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atcuevas/Downloads/"/>
    </mc:Choice>
  </mc:AlternateContent>
  <xr:revisionPtr revIDLastSave="0" documentId="13_ncr:1_{11CECE24-D1D4-C044-87F1-B9E2DFAA5071}" xr6:coauthVersionLast="47" xr6:coauthVersionMax="47" xr10:uidLastSave="{00000000-0000-0000-0000-000000000000}"/>
  <bookViews>
    <workbookView xWindow="3280" yWindow="500" windowWidth="25380" windowHeight="16020" xr2:uid="{A2545C2D-B39C-9741-80F4-4278E49EEC10}"/>
  </bookViews>
  <sheets>
    <sheet name="INDICE" sheetId="1" r:id="rId1"/>
    <sheet name="BD EVA 1 APO" sheetId="2" r:id="rId2"/>
    <sheet name="EVA 1 APO" sheetId="3" r:id="rId3"/>
    <sheet name="BD EVA 2 APO" sheetId="5" r:id="rId4"/>
    <sheet name="EVA 2 APO" sheetId="6" r:id="rId5"/>
    <sheet name="BD EVA 3 APO" sheetId="7" r:id="rId6"/>
    <sheet name="EVA 3 APO" sheetId="8" r:id="rId7"/>
    <sheet name="BD EVA 4 APO" sheetId="9" r:id="rId8"/>
    <sheet name="EVA 4 APO" sheetId="10" r:id="rId9"/>
    <sheet name="BD EVA 5 APO" sheetId="11" r:id="rId10"/>
    <sheet name="EVA 5 APO" sheetId="12" r:id="rId11"/>
    <sheet name="APO HISTORICO" sheetId="13" r:id="rId12"/>
    <sheet name="BD EVA 1 ESC" sheetId="14" r:id="rId13"/>
    <sheet name="EVA 1 ESC" sheetId="15" r:id="rId14"/>
    <sheet name="BD EVA 2 ESC" sheetId="16" r:id="rId15"/>
    <sheet name="EVA 2 ESC" sheetId="17" r:id="rId16"/>
    <sheet name="BD EVA 3 ESC" sheetId="18" r:id="rId17"/>
    <sheet name="EVA 3 ESC" sheetId="19" r:id="rId18"/>
    <sheet name="BD EVA 4 ESC" sheetId="20" r:id="rId19"/>
    <sheet name="EVA 4 ESC" sheetId="21" r:id="rId20"/>
    <sheet name="BD EVA 5 ESC" sheetId="22" r:id="rId21"/>
    <sheet name="EVA 5 ESC" sheetId="23" r:id="rId22"/>
    <sheet name="ESC HISTORICO" sheetId="24" r:id="rId23"/>
    <sheet name="BD EVA 1 GAR" sheetId="25" r:id="rId24"/>
    <sheet name="EVA 1 GAR" sheetId="26" r:id="rId25"/>
    <sheet name="BD EVA 2 GAR" sheetId="27" r:id="rId26"/>
    <sheet name="EVA 2 GAR" sheetId="28" r:id="rId27"/>
    <sheet name="BD EVA 3 GAR" sheetId="29" r:id="rId28"/>
    <sheet name="EVA 3 GAR" sheetId="30" r:id="rId29"/>
    <sheet name="BD EVA 4 GAR" sheetId="31" r:id="rId30"/>
    <sheet name="EVA 4 GAR" sheetId="32" r:id="rId31"/>
    <sheet name="BD EVA 5 GAR" sheetId="33" r:id="rId32"/>
    <sheet name="EVA 5 GAR" sheetId="34" r:id="rId33"/>
    <sheet name="GAR HISTORICO" sheetId="35" r:id="rId34"/>
    <sheet name="BD EVA 1 GPE" sheetId="36" r:id="rId35"/>
    <sheet name="EVA 1 GPE" sheetId="37" r:id="rId36"/>
    <sheet name="BD EVA 2 GPE" sheetId="38" r:id="rId37"/>
    <sheet name="EVA 2 GPE" sheetId="39" r:id="rId38"/>
    <sheet name="BD EVA 3 GPE" sheetId="40" r:id="rId39"/>
    <sheet name="EVA 3 GPE" sheetId="41" r:id="rId40"/>
    <sheet name="BD EVA 4 GPE" sheetId="42" r:id="rId41"/>
    <sheet name="EVA 4 GPE" sheetId="43" r:id="rId42"/>
    <sheet name="BD EVA 5 GPE" sheetId="44" r:id="rId43"/>
    <sheet name="EVA 5 GPE" sheetId="45" r:id="rId44"/>
    <sheet name="GPE HISTORICO" sheetId="46" r:id="rId45"/>
    <sheet name="BD EVA 1 JUA" sheetId="47" r:id="rId46"/>
    <sheet name="EVA 1 JUA" sheetId="48" r:id="rId47"/>
    <sheet name="BD EVA 2 JUA" sheetId="49" r:id="rId48"/>
    <sheet name="EVA 2 JUA" sheetId="50" r:id="rId49"/>
    <sheet name="BD EVA 3 JUA" sheetId="51" r:id="rId50"/>
    <sheet name="EVA 3 JUA" sheetId="52" r:id="rId51"/>
    <sheet name="BD EVA 4 JUA" sheetId="53" r:id="rId52"/>
    <sheet name="EVA 4 JUA" sheetId="54" r:id="rId53"/>
    <sheet name="BD EVA 5 JUA" sheetId="55" r:id="rId54"/>
    <sheet name="EVA 5 JUA" sheetId="56" r:id="rId55"/>
    <sheet name="JUA HISTORICO" sheetId="57" r:id="rId56"/>
    <sheet name="BD EVA 1 MTY" sheetId="59" r:id="rId57"/>
    <sheet name="EVA 1 MTY" sheetId="60" r:id="rId58"/>
    <sheet name="BD EVA 2 MTY" sheetId="61" r:id="rId59"/>
    <sheet name="EVA 2 MTY" sheetId="62" r:id="rId60"/>
    <sheet name="BD EVA 3 MTY" sheetId="63" r:id="rId61"/>
    <sheet name="EVA 3 MTY" sheetId="64" r:id="rId62"/>
    <sheet name="BD EVA 4 MTY" sheetId="65" r:id="rId63"/>
    <sheet name="EVA 4 MTY" sheetId="66" r:id="rId64"/>
    <sheet name="BD EVA 5 MTY" sheetId="67" r:id="rId65"/>
    <sheet name="EVA 5 MTY" sheetId="68" r:id="rId66"/>
    <sheet name="MTY HISTORICO" sheetId="69" r:id="rId67"/>
    <sheet name="BD EVA 1 SNG" sheetId="70" r:id="rId68"/>
    <sheet name="EVA 1 SNG" sheetId="71" r:id="rId69"/>
    <sheet name="BD EVA 2 SNG" sheetId="72" r:id="rId70"/>
    <sheet name="EVA 2 SNG" sheetId="73" r:id="rId71"/>
    <sheet name="BD EVA 3 SNG" sheetId="74" r:id="rId72"/>
    <sheet name="EVA 3 SNG" sheetId="75" r:id="rId73"/>
    <sheet name="BD EVA 4 SNG" sheetId="76" r:id="rId74"/>
    <sheet name="EVA 4 SNG" sheetId="77" r:id="rId75"/>
    <sheet name="BD EVA 5 SNG" sheetId="78" r:id="rId76"/>
    <sheet name="EVA 5 SNG" sheetId="79" r:id="rId77"/>
    <sheet name="SNG HISTORICO" sheetId="80" r:id="rId78"/>
    <sheet name="BD EVA 1 SPGG" sheetId="81" r:id="rId79"/>
    <sheet name="EVA 1 SPGG" sheetId="82" r:id="rId80"/>
    <sheet name="BD EVA 2 SPGG" sheetId="83" r:id="rId81"/>
    <sheet name="EVA 2 SPGG" sheetId="84" r:id="rId82"/>
    <sheet name="BD EVA 3 SPGG" sheetId="85" r:id="rId83"/>
    <sheet name="EVA 3 SPGG" sheetId="86" r:id="rId84"/>
    <sheet name="BD EVA 4 SPGG" sheetId="87" r:id="rId85"/>
    <sheet name="EVA 4 SPGG" sheetId="88" r:id="rId86"/>
    <sheet name="BD EVA 5 SPGG" sheetId="89" r:id="rId87"/>
    <sheet name="EVA 5 SPGG" sheetId="90" r:id="rId88"/>
    <sheet name="SPGG HISTORICO" sheetId="91" r:id="rId89"/>
    <sheet name="BD EVA 1 STC" sheetId="92" r:id="rId90"/>
    <sheet name="EVA 1 STC" sheetId="93" r:id="rId91"/>
    <sheet name="BD EVA 2 STC" sheetId="94" r:id="rId92"/>
    <sheet name="EVA 2 STC" sheetId="95" r:id="rId93"/>
    <sheet name="BD EVA 3 STC" sheetId="96" r:id="rId94"/>
    <sheet name="EVA 3 STC" sheetId="97" r:id="rId95"/>
    <sheet name="BD EVA 4 STC" sheetId="98" r:id="rId96"/>
    <sheet name="EVA 4 STC" sheetId="99" r:id="rId97"/>
    <sheet name="BD EVA 5 STC" sheetId="100" r:id="rId98"/>
    <sheet name="EVA 5 STC" sheetId="101" r:id="rId99"/>
    <sheet name="STC HISTORICO" sheetId="102" r:id="rId100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9" i="101" l="1"/>
  <c r="F39" i="101"/>
  <c r="D39" i="101"/>
  <c r="H38" i="101"/>
  <c r="F38" i="101"/>
  <c r="D38" i="101"/>
  <c r="H37" i="101"/>
  <c r="F37" i="101"/>
  <c r="D37" i="101"/>
  <c r="H36" i="101"/>
  <c r="F36" i="101"/>
  <c r="D36" i="101"/>
  <c r="H35" i="101"/>
  <c r="F35" i="101"/>
  <c r="D35" i="101"/>
  <c r="H34" i="101"/>
  <c r="F34" i="101"/>
  <c r="D34" i="101"/>
  <c r="H33" i="101"/>
  <c r="F33" i="101"/>
  <c r="D33" i="101"/>
  <c r="H32" i="101"/>
  <c r="F32" i="101"/>
  <c r="D32" i="101"/>
  <c r="H31" i="101"/>
  <c r="F31" i="101"/>
  <c r="D31" i="101"/>
  <c r="H30" i="101"/>
  <c r="F30" i="101"/>
  <c r="D30" i="101"/>
  <c r="H29" i="101"/>
  <c r="F29" i="101"/>
  <c r="D29" i="101"/>
  <c r="F28" i="101"/>
  <c r="D28" i="101"/>
  <c r="H27" i="101"/>
  <c r="F27" i="101"/>
  <c r="D27" i="101"/>
  <c r="H26" i="101"/>
  <c r="F26" i="101"/>
  <c r="D26" i="101"/>
  <c r="H25" i="101"/>
  <c r="F25" i="101"/>
  <c r="D25" i="101"/>
  <c r="H24" i="101"/>
  <c r="F24" i="101"/>
  <c r="D24" i="101"/>
  <c r="H23" i="101"/>
  <c r="F23" i="101"/>
  <c r="D23" i="101"/>
  <c r="H22" i="101"/>
  <c r="F22" i="101"/>
  <c r="D22" i="101"/>
  <c r="H21" i="101"/>
  <c r="F21" i="101"/>
  <c r="D21" i="101"/>
  <c r="H20" i="101"/>
  <c r="F20" i="101"/>
  <c r="D20" i="101"/>
  <c r="H19" i="101"/>
  <c r="F19" i="101"/>
  <c r="D19" i="101"/>
  <c r="H18" i="101"/>
  <c r="F18" i="101"/>
  <c r="D18" i="101"/>
  <c r="H17" i="101"/>
  <c r="F17" i="101"/>
  <c r="D17" i="101"/>
  <c r="H16" i="101"/>
  <c r="F16" i="101"/>
  <c r="D16" i="101"/>
  <c r="H15" i="101"/>
  <c r="F15" i="101"/>
  <c r="D15" i="101"/>
  <c r="F14" i="101"/>
  <c r="D14" i="101"/>
  <c r="H13" i="101"/>
  <c r="F13" i="101"/>
  <c r="D13" i="101"/>
  <c r="H12" i="101"/>
  <c r="F12" i="101"/>
  <c r="D12" i="101"/>
  <c r="H11" i="101"/>
  <c r="F11" i="101"/>
  <c r="D11" i="101"/>
  <c r="F10" i="101"/>
  <c r="D10" i="101"/>
  <c r="F9" i="101"/>
  <c r="D9" i="101"/>
  <c r="F8" i="101"/>
  <c r="D8" i="101"/>
  <c r="F7" i="101"/>
  <c r="D7" i="101"/>
  <c r="F6" i="101"/>
  <c r="D6" i="101"/>
  <c r="H5" i="101"/>
  <c r="F5" i="101"/>
  <c r="D5" i="101"/>
  <c r="H4" i="101"/>
  <c r="F4" i="101"/>
  <c r="D4" i="101"/>
  <c r="H3" i="101"/>
  <c r="F3" i="101"/>
  <c r="D3" i="101"/>
  <c r="H2" i="101"/>
  <c r="F2" i="101"/>
  <c r="D2" i="101"/>
  <c r="L18" i="101"/>
  <c r="AE113" i="100"/>
  <c r="G39" i="101" s="1"/>
  <c r="AD113" i="100"/>
  <c r="AC113" i="100"/>
  <c r="AB113" i="100"/>
  <c r="AA113" i="100"/>
  <c r="Z113" i="100"/>
  <c r="S113" i="100"/>
  <c r="E39" i="101" s="1"/>
  <c r="AE112" i="100"/>
  <c r="G38" i="101" s="1"/>
  <c r="AD112" i="100"/>
  <c r="AC112" i="100"/>
  <c r="AB112" i="100"/>
  <c r="AA112" i="100"/>
  <c r="Z112" i="100"/>
  <c r="X112" i="100"/>
  <c r="S112" i="100"/>
  <c r="E38" i="101" s="1"/>
  <c r="R112" i="100"/>
  <c r="Q112" i="100"/>
  <c r="AE111" i="100"/>
  <c r="AD111" i="100"/>
  <c r="AC111" i="100"/>
  <c r="AB111" i="100"/>
  <c r="AA111" i="100"/>
  <c r="Z111" i="100"/>
  <c r="S111" i="100"/>
  <c r="AE110" i="100"/>
  <c r="G37" i="101" s="1"/>
  <c r="AD110" i="100"/>
  <c r="AC110" i="100"/>
  <c r="AB110" i="100"/>
  <c r="AA110" i="100"/>
  <c r="Z110" i="100"/>
  <c r="X110" i="100"/>
  <c r="S110" i="100"/>
  <c r="E37" i="101" s="1"/>
  <c r="AE109" i="100"/>
  <c r="AD109" i="100"/>
  <c r="AC109" i="100"/>
  <c r="AB109" i="100"/>
  <c r="AA109" i="100"/>
  <c r="Z109" i="100"/>
  <c r="S109" i="100"/>
  <c r="AE108" i="100"/>
  <c r="G36" i="101" s="1"/>
  <c r="AD108" i="100"/>
  <c r="AC108" i="100"/>
  <c r="AB108" i="100"/>
  <c r="AA108" i="100"/>
  <c r="Z108" i="100"/>
  <c r="X108" i="100"/>
  <c r="S108" i="100"/>
  <c r="E36" i="101" s="1"/>
  <c r="R108" i="100"/>
  <c r="Q108" i="100"/>
  <c r="AE107" i="100"/>
  <c r="AD107" i="100"/>
  <c r="AC107" i="100"/>
  <c r="AB107" i="100"/>
  <c r="AA107" i="100"/>
  <c r="Z107" i="100"/>
  <c r="S107" i="100"/>
  <c r="AE106" i="100"/>
  <c r="AD106" i="100"/>
  <c r="AC106" i="100"/>
  <c r="AB106" i="100"/>
  <c r="AA106" i="100"/>
  <c r="Z106" i="100"/>
  <c r="S106" i="100"/>
  <c r="AE105" i="100"/>
  <c r="G35" i="101" s="1"/>
  <c r="AD105" i="100"/>
  <c r="AC105" i="100"/>
  <c r="AB105" i="100"/>
  <c r="AA105" i="100"/>
  <c r="Z105" i="100"/>
  <c r="X105" i="100"/>
  <c r="S105" i="100"/>
  <c r="E35" i="101" s="1"/>
  <c r="R105" i="100"/>
  <c r="Q105" i="100"/>
  <c r="AE104" i="100"/>
  <c r="AD104" i="100"/>
  <c r="AC104" i="100"/>
  <c r="AB104" i="100"/>
  <c r="AA104" i="100"/>
  <c r="Z104" i="100"/>
  <c r="S104" i="100"/>
  <c r="AE103" i="100"/>
  <c r="G34" i="101" s="1"/>
  <c r="AD103" i="100"/>
  <c r="AC103" i="100"/>
  <c r="AB103" i="100"/>
  <c r="AA103" i="100"/>
  <c r="Z103" i="100"/>
  <c r="X103" i="100"/>
  <c r="S103" i="100"/>
  <c r="E34" i="101" s="1"/>
  <c r="R103" i="100"/>
  <c r="Q103" i="100"/>
  <c r="AE102" i="100"/>
  <c r="AD102" i="100"/>
  <c r="AC102" i="100"/>
  <c r="AB102" i="100"/>
  <c r="AA102" i="100"/>
  <c r="Z102" i="100"/>
  <c r="S102" i="100"/>
  <c r="AE101" i="100"/>
  <c r="AD101" i="100"/>
  <c r="AC101" i="100"/>
  <c r="AB101" i="100"/>
  <c r="AA101" i="100"/>
  <c r="Z101" i="100"/>
  <c r="S101" i="100"/>
  <c r="AE100" i="100"/>
  <c r="G33" i="101" s="1"/>
  <c r="AD100" i="100"/>
  <c r="AC100" i="100"/>
  <c r="AB100" i="100"/>
  <c r="AA100" i="100"/>
  <c r="Z100" i="100"/>
  <c r="S100" i="100"/>
  <c r="E33" i="101" s="1"/>
  <c r="AE99" i="100"/>
  <c r="AD99" i="100"/>
  <c r="AC99" i="100"/>
  <c r="AB99" i="100"/>
  <c r="AA99" i="100"/>
  <c r="Z99" i="100"/>
  <c r="S99" i="100"/>
  <c r="AE98" i="100"/>
  <c r="AD98" i="100"/>
  <c r="AC98" i="100"/>
  <c r="AB98" i="100"/>
  <c r="AA98" i="100"/>
  <c r="Z98" i="100"/>
  <c r="S98" i="100"/>
  <c r="AE97" i="100"/>
  <c r="AD97" i="100"/>
  <c r="AC97" i="100"/>
  <c r="AB97" i="100"/>
  <c r="AA97" i="100"/>
  <c r="Z97" i="100"/>
  <c r="S97" i="100"/>
  <c r="AE96" i="100"/>
  <c r="AD96" i="100"/>
  <c r="AC96" i="100"/>
  <c r="AB96" i="100"/>
  <c r="AA96" i="100"/>
  <c r="Z96" i="100"/>
  <c r="S96" i="100"/>
  <c r="AE95" i="100"/>
  <c r="AD95" i="100"/>
  <c r="AC95" i="100"/>
  <c r="AB95" i="100"/>
  <c r="AA95" i="100"/>
  <c r="Z95" i="100"/>
  <c r="S95" i="100"/>
  <c r="AE94" i="100"/>
  <c r="AD94" i="100"/>
  <c r="AC94" i="100"/>
  <c r="AB94" i="100"/>
  <c r="AA94" i="100"/>
  <c r="Z94" i="100"/>
  <c r="S94" i="100"/>
  <c r="AE93" i="100"/>
  <c r="G32" i="101" s="1"/>
  <c r="AD93" i="100"/>
  <c r="AC93" i="100"/>
  <c r="AB93" i="100"/>
  <c r="AA93" i="100"/>
  <c r="Z93" i="100"/>
  <c r="S93" i="100"/>
  <c r="E32" i="101" s="1"/>
  <c r="AE92" i="100"/>
  <c r="G31" i="101" s="1"/>
  <c r="AD92" i="100"/>
  <c r="AC92" i="100"/>
  <c r="AB92" i="100"/>
  <c r="AA92" i="100"/>
  <c r="Z92" i="100"/>
  <c r="S92" i="100"/>
  <c r="E31" i="101" s="1"/>
  <c r="AE91" i="100"/>
  <c r="G30" i="101" s="1"/>
  <c r="AD91" i="100"/>
  <c r="AC91" i="100"/>
  <c r="AB91" i="100"/>
  <c r="AA91" i="100"/>
  <c r="Z91" i="100"/>
  <c r="S91" i="100"/>
  <c r="E30" i="101" s="1"/>
  <c r="AE90" i="100"/>
  <c r="G29" i="101" s="1"/>
  <c r="AD90" i="100"/>
  <c r="AC90" i="100"/>
  <c r="AB90" i="100"/>
  <c r="AA90" i="100"/>
  <c r="Z90" i="100"/>
  <c r="S90" i="100"/>
  <c r="E29" i="101" s="1"/>
  <c r="AE89" i="100"/>
  <c r="G28" i="101" s="1"/>
  <c r="AD89" i="100"/>
  <c r="AC89" i="100"/>
  <c r="AB89" i="100"/>
  <c r="AA89" i="100"/>
  <c r="Z89" i="100"/>
  <c r="S89" i="100"/>
  <c r="E28" i="101" s="1"/>
  <c r="AE88" i="100"/>
  <c r="AD88" i="100"/>
  <c r="AC88" i="100"/>
  <c r="AB88" i="100"/>
  <c r="AA88" i="100"/>
  <c r="Z88" i="100"/>
  <c r="S88" i="100"/>
  <c r="AE87" i="100"/>
  <c r="AD87" i="100"/>
  <c r="AC87" i="100"/>
  <c r="AB87" i="100"/>
  <c r="AA87" i="100"/>
  <c r="Z87" i="100"/>
  <c r="S87" i="100"/>
  <c r="AE86" i="100"/>
  <c r="AD86" i="100"/>
  <c r="AC86" i="100"/>
  <c r="AB86" i="100"/>
  <c r="AA86" i="100"/>
  <c r="Z86" i="100"/>
  <c r="S86" i="100"/>
  <c r="AE85" i="100"/>
  <c r="AD85" i="100"/>
  <c r="AC85" i="100"/>
  <c r="AB85" i="100"/>
  <c r="AA85" i="100"/>
  <c r="Z85" i="100"/>
  <c r="S85" i="100"/>
  <c r="AE84" i="100"/>
  <c r="AD84" i="100"/>
  <c r="AC84" i="100"/>
  <c r="AB84" i="100"/>
  <c r="AA84" i="100"/>
  <c r="Z84" i="100"/>
  <c r="S84" i="100"/>
  <c r="AE83" i="100"/>
  <c r="G27" i="101" s="1"/>
  <c r="AD83" i="100"/>
  <c r="AC83" i="100"/>
  <c r="AB83" i="100"/>
  <c r="AA83" i="100"/>
  <c r="Z83" i="100"/>
  <c r="S83" i="100"/>
  <c r="E27" i="101" s="1"/>
  <c r="R83" i="100"/>
  <c r="Q83" i="100"/>
  <c r="AE82" i="100"/>
  <c r="AD82" i="100"/>
  <c r="AC82" i="100"/>
  <c r="AB82" i="100"/>
  <c r="AA82" i="100"/>
  <c r="Z82" i="100"/>
  <c r="S82" i="100"/>
  <c r="AE81" i="100"/>
  <c r="AD81" i="100"/>
  <c r="AC81" i="100"/>
  <c r="AB81" i="100"/>
  <c r="AA81" i="100"/>
  <c r="Z81" i="100"/>
  <c r="S81" i="100"/>
  <c r="AE80" i="100"/>
  <c r="G26" i="101" s="1"/>
  <c r="AD80" i="100"/>
  <c r="AC80" i="100"/>
  <c r="AB80" i="100"/>
  <c r="AA80" i="100"/>
  <c r="Z80" i="100"/>
  <c r="X80" i="100"/>
  <c r="S80" i="100"/>
  <c r="E26" i="101" s="1"/>
  <c r="R80" i="100"/>
  <c r="Q80" i="100"/>
  <c r="AE79" i="100"/>
  <c r="AD79" i="100"/>
  <c r="AC79" i="100"/>
  <c r="AB79" i="100"/>
  <c r="AA79" i="100"/>
  <c r="Z79" i="100"/>
  <c r="S79" i="100"/>
  <c r="AE78" i="100"/>
  <c r="AD78" i="100"/>
  <c r="AC78" i="100"/>
  <c r="AB78" i="100"/>
  <c r="AA78" i="100"/>
  <c r="Z78" i="100"/>
  <c r="S78" i="100"/>
  <c r="AE77" i="100"/>
  <c r="G25" i="101" s="1"/>
  <c r="AD77" i="100"/>
  <c r="AC77" i="100"/>
  <c r="AB77" i="100"/>
  <c r="AA77" i="100"/>
  <c r="Z77" i="100"/>
  <c r="X77" i="100"/>
  <c r="S77" i="100"/>
  <c r="E25" i="101" s="1"/>
  <c r="Q77" i="100"/>
  <c r="AE76" i="100"/>
  <c r="AD76" i="100"/>
  <c r="AC76" i="100"/>
  <c r="AB76" i="100"/>
  <c r="AA76" i="100"/>
  <c r="Z76" i="100"/>
  <c r="S76" i="100"/>
  <c r="AE75" i="100"/>
  <c r="AD75" i="100"/>
  <c r="AC75" i="100"/>
  <c r="AB75" i="100"/>
  <c r="AA75" i="100"/>
  <c r="Z75" i="100"/>
  <c r="S75" i="100"/>
  <c r="AE74" i="100"/>
  <c r="AD74" i="100"/>
  <c r="AC74" i="100"/>
  <c r="AB74" i="100"/>
  <c r="AA74" i="100"/>
  <c r="Z74" i="100"/>
  <c r="S74" i="100"/>
  <c r="AE73" i="100"/>
  <c r="G24" i="101" s="1"/>
  <c r="AD73" i="100"/>
  <c r="AC73" i="100"/>
  <c r="AB73" i="100"/>
  <c r="AA73" i="100"/>
  <c r="Z73" i="100"/>
  <c r="X73" i="100"/>
  <c r="S73" i="100"/>
  <c r="E24" i="101" s="1"/>
  <c r="AE72" i="100"/>
  <c r="G23" i="101" s="1"/>
  <c r="AD72" i="100"/>
  <c r="AC72" i="100"/>
  <c r="AB72" i="100"/>
  <c r="AA72" i="100"/>
  <c r="Z72" i="100"/>
  <c r="X72" i="100"/>
  <c r="S72" i="100"/>
  <c r="E23" i="101" s="1"/>
  <c r="Q72" i="100"/>
  <c r="AE71" i="100"/>
  <c r="AD71" i="100"/>
  <c r="AC71" i="100"/>
  <c r="AB71" i="100"/>
  <c r="AA71" i="100"/>
  <c r="Z71" i="100"/>
  <c r="S71" i="100"/>
  <c r="AE70" i="100"/>
  <c r="AD70" i="100"/>
  <c r="AC70" i="100"/>
  <c r="AB70" i="100"/>
  <c r="AA70" i="100"/>
  <c r="Z70" i="100"/>
  <c r="S70" i="100"/>
  <c r="AE69" i="100"/>
  <c r="AD69" i="100"/>
  <c r="AC69" i="100"/>
  <c r="AB69" i="100"/>
  <c r="AA69" i="100"/>
  <c r="Z69" i="100"/>
  <c r="S69" i="100"/>
  <c r="AE68" i="100"/>
  <c r="G22" i="101" s="1"/>
  <c r="AD68" i="100"/>
  <c r="AC68" i="100"/>
  <c r="AB68" i="100"/>
  <c r="AA68" i="100"/>
  <c r="Z68" i="100"/>
  <c r="S68" i="100"/>
  <c r="E22" i="101" s="1"/>
  <c r="R68" i="100"/>
  <c r="Q68" i="100"/>
  <c r="AE67" i="100"/>
  <c r="AD67" i="100"/>
  <c r="AC67" i="100"/>
  <c r="AB67" i="100"/>
  <c r="AA67" i="100"/>
  <c r="Z67" i="100"/>
  <c r="S67" i="100"/>
  <c r="AE66" i="100"/>
  <c r="AD66" i="100"/>
  <c r="AC66" i="100"/>
  <c r="AB66" i="100"/>
  <c r="AA66" i="100"/>
  <c r="Z66" i="100"/>
  <c r="S66" i="100"/>
  <c r="AE65" i="100"/>
  <c r="G21" i="101" s="1"/>
  <c r="AD65" i="100"/>
  <c r="AC65" i="100"/>
  <c r="AB65" i="100"/>
  <c r="AA65" i="100"/>
  <c r="Z65" i="100"/>
  <c r="S65" i="100"/>
  <c r="E21" i="101" s="1"/>
  <c r="R65" i="100"/>
  <c r="Q65" i="100"/>
  <c r="AE64" i="100"/>
  <c r="AD64" i="100"/>
  <c r="AC64" i="100"/>
  <c r="AB64" i="100"/>
  <c r="AA64" i="100"/>
  <c r="Z64" i="100"/>
  <c r="S64" i="100"/>
  <c r="AE63" i="100"/>
  <c r="AD63" i="100"/>
  <c r="AC63" i="100"/>
  <c r="AB63" i="100"/>
  <c r="AA63" i="100"/>
  <c r="Z63" i="100"/>
  <c r="S63" i="100"/>
  <c r="AE62" i="100"/>
  <c r="G20" i="101" s="1"/>
  <c r="AD62" i="100"/>
  <c r="AC62" i="100"/>
  <c r="AB62" i="100"/>
  <c r="AA62" i="100"/>
  <c r="Z62" i="100"/>
  <c r="S62" i="100"/>
  <c r="E20" i="101" s="1"/>
  <c r="R62" i="100"/>
  <c r="Q62" i="100"/>
  <c r="AE61" i="100"/>
  <c r="AD61" i="100"/>
  <c r="AC61" i="100"/>
  <c r="AB61" i="100"/>
  <c r="AA61" i="100"/>
  <c r="Z61" i="100"/>
  <c r="S61" i="100"/>
  <c r="AE60" i="100"/>
  <c r="G19" i="101" s="1"/>
  <c r="AD60" i="100"/>
  <c r="AC60" i="100"/>
  <c r="AB60" i="100"/>
  <c r="AA60" i="100"/>
  <c r="Z60" i="100"/>
  <c r="S60" i="100"/>
  <c r="E19" i="101" s="1"/>
  <c r="R60" i="100"/>
  <c r="Q60" i="100"/>
  <c r="AE59" i="100"/>
  <c r="AD59" i="100"/>
  <c r="AC59" i="100"/>
  <c r="AB59" i="100"/>
  <c r="AA59" i="100"/>
  <c r="Z59" i="100"/>
  <c r="S59" i="100"/>
  <c r="AE58" i="100"/>
  <c r="AD58" i="100"/>
  <c r="AC58" i="100"/>
  <c r="AB58" i="100"/>
  <c r="AA58" i="100"/>
  <c r="Z58" i="100"/>
  <c r="S58" i="100"/>
  <c r="AE57" i="100"/>
  <c r="G18" i="101" s="1"/>
  <c r="AD57" i="100"/>
  <c r="AC57" i="100"/>
  <c r="AB57" i="100"/>
  <c r="AA57" i="100"/>
  <c r="Z57" i="100"/>
  <c r="S57" i="100"/>
  <c r="AE56" i="100"/>
  <c r="AD56" i="100"/>
  <c r="AC56" i="100"/>
  <c r="AB56" i="100"/>
  <c r="AA56" i="100"/>
  <c r="Z56" i="100"/>
  <c r="S56" i="100"/>
  <c r="AE55" i="100"/>
  <c r="AD55" i="100"/>
  <c r="AC55" i="100"/>
  <c r="AB55" i="100"/>
  <c r="AA55" i="100"/>
  <c r="Z55" i="100"/>
  <c r="S55" i="100"/>
  <c r="AE54" i="100"/>
  <c r="G17" i="101" s="1"/>
  <c r="AD54" i="100"/>
  <c r="AC54" i="100"/>
  <c r="AB54" i="100"/>
  <c r="AA54" i="100"/>
  <c r="Z54" i="100"/>
  <c r="S54" i="100"/>
  <c r="E17" i="101" s="1"/>
  <c r="AE53" i="100"/>
  <c r="G16" i="101" s="1"/>
  <c r="AD53" i="100"/>
  <c r="AC53" i="100"/>
  <c r="AB53" i="100"/>
  <c r="AA53" i="100"/>
  <c r="Z53" i="100"/>
  <c r="S53" i="100"/>
  <c r="E16" i="101" s="1"/>
  <c r="R53" i="100"/>
  <c r="Q53" i="100"/>
  <c r="AE52" i="100"/>
  <c r="AD52" i="100"/>
  <c r="AC52" i="100"/>
  <c r="AB52" i="100"/>
  <c r="AA52" i="100"/>
  <c r="Z52" i="100"/>
  <c r="S52" i="100"/>
  <c r="AE51" i="100"/>
  <c r="AD51" i="100"/>
  <c r="AC51" i="100"/>
  <c r="AB51" i="100"/>
  <c r="AA51" i="100"/>
  <c r="Z51" i="100"/>
  <c r="S51" i="100"/>
  <c r="AE50" i="100"/>
  <c r="AD50" i="100"/>
  <c r="AC50" i="100"/>
  <c r="AB50" i="100"/>
  <c r="AA50" i="100"/>
  <c r="Z50" i="100"/>
  <c r="S50" i="100"/>
  <c r="AE49" i="100"/>
  <c r="G15" i="101" s="1"/>
  <c r="AD49" i="100"/>
  <c r="AC49" i="100"/>
  <c r="AB49" i="100"/>
  <c r="AA49" i="100"/>
  <c r="Z49" i="100"/>
  <c r="U49" i="100"/>
  <c r="V49" i="100" s="1"/>
  <c r="W49" i="100" s="1"/>
  <c r="X49" i="100" s="1"/>
  <c r="S49" i="100"/>
  <c r="E15" i="101" s="1"/>
  <c r="R49" i="100"/>
  <c r="AE48" i="100"/>
  <c r="AD48" i="100"/>
  <c r="AC48" i="100"/>
  <c r="AB48" i="100"/>
  <c r="AA48" i="100"/>
  <c r="Z48" i="100"/>
  <c r="S48" i="100"/>
  <c r="AE47" i="100"/>
  <c r="AD47" i="100"/>
  <c r="AC47" i="100"/>
  <c r="AB47" i="100"/>
  <c r="AA47" i="100"/>
  <c r="Z47" i="100"/>
  <c r="S47" i="100"/>
  <c r="AE46" i="100"/>
  <c r="AD46" i="100"/>
  <c r="AC46" i="100"/>
  <c r="AB46" i="100"/>
  <c r="AA46" i="100"/>
  <c r="Z46" i="100"/>
  <c r="S46" i="100"/>
  <c r="AE45" i="100"/>
  <c r="AD45" i="100"/>
  <c r="AC45" i="100"/>
  <c r="AB45" i="100"/>
  <c r="AA45" i="100"/>
  <c r="Z45" i="100"/>
  <c r="S45" i="100"/>
  <c r="AE44" i="100"/>
  <c r="G14" i="101" s="1"/>
  <c r="AD44" i="100"/>
  <c r="X44" i="100" s="1"/>
  <c r="H14" i="101" s="1"/>
  <c r="AC44" i="100"/>
  <c r="AB44" i="100"/>
  <c r="AA44" i="100"/>
  <c r="Z44" i="100"/>
  <c r="U44" i="100"/>
  <c r="V44" i="100" s="1"/>
  <c r="W44" i="100" s="1"/>
  <c r="S44" i="100"/>
  <c r="E14" i="101" s="1"/>
  <c r="AE43" i="100"/>
  <c r="G13" i="101" s="1"/>
  <c r="AD43" i="100"/>
  <c r="AC43" i="100"/>
  <c r="AB43" i="100"/>
  <c r="AA43" i="100"/>
  <c r="Z43" i="100"/>
  <c r="X43" i="100"/>
  <c r="S43" i="100"/>
  <c r="E13" i="101" s="1"/>
  <c r="AE42" i="100"/>
  <c r="G12" i="101" s="1"/>
  <c r="AD42" i="100"/>
  <c r="AC42" i="100"/>
  <c r="AB42" i="100"/>
  <c r="AA42" i="100"/>
  <c r="Z42" i="100"/>
  <c r="X42" i="100"/>
  <c r="S42" i="100"/>
  <c r="E12" i="101" s="1"/>
  <c r="AE41" i="100"/>
  <c r="AD41" i="100"/>
  <c r="AC41" i="100"/>
  <c r="AB41" i="100"/>
  <c r="AA41" i="100"/>
  <c r="Z41" i="100"/>
  <c r="S41" i="100"/>
  <c r="AE40" i="100"/>
  <c r="AD40" i="100"/>
  <c r="AC40" i="100"/>
  <c r="AB40" i="100"/>
  <c r="AA40" i="100"/>
  <c r="Z40" i="100"/>
  <c r="S40" i="100"/>
  <c r="AE39" i="100"/>
  <c r="G11" i="101" s="1"/>
  <c r="AD39" i="100"/>
  <c r="AC39" i="100"/>
  <c r="AB39" i="100"/>
  <c r="AA39" i="100"/>
  <c r="Z39" i="100"/>
  <c r="S39" i="100"/>
  <c r="E11" i="101" s="1"/>
  <c r="R39" i="100"/>
  <c r="Q39" i="100"/>
  <c r="AE38" i="100"/>
  <c r="AD38" i="100"/>
  <c r="AC38" i="100"/>
  <c r="AB38" i="100"/>
  <c r="AA38" i="100"/>
  <c r="Z38" i="100"/>
  <c r="S38" i="100"/>
  <c r="AE37" i="100"/>
  <c r="AD37" i="100"/>
  <c r="AC37" i="100"/>
  <c r="AB37" i="100"/>
  <c r="AA37" i="100"/>
  <c r="Z37" i="100"/>
  <c r="S37" i="100"/>
  <c r="AE36" i="100"/>
  <c r="G10" i="101" s="1"/>
  <c r="AD36" i="100"/>
  <c r="AC36" i="100"/>
  <c r="AB36" i="100"/>
  <c r="AA36" i="100"/>
  <c r="Z36" i="100"/>
  <c r="S36" i="100"/>
  <c r="E10" i="101" s="1"/>
  <c r="R36" i="100"/>
  <c r="Q36" i="100"/>
  <c r="AE35" i="100"/>
  <c r="AD35" i="100"/>
  <c r="AC35" i="100"/>
  <c r="AB35" i="100"/>
  <c r="AA35" i="100"/>
  <c r="Z35" i="100"/>
  <c r="S35" i="100"/>
  <c r="R35" i="100"/>
  <c r="Q35" i="100"/>
  <c r="AE34" i="100"/>
  <c r="AD34" i="100"/>
  <c r="AC34" i="100"/>
  <c r="AB34" i="100"/>
  <c r="AA34" i="100"/>
  <c r="Z34" i="100"/>
  <c r="S34" i="100"/>
  <c r="AE33" i="100"/>
  <c r="AD33" i="100"/>
  <c r="AC33" i="100"/>
  <c r="AB33" i="100"/>
  <c r="AA33" i="100"/>
  <c r="Z33" i="100"/>
  <c r="S33" i="100"/>
  <c r="AE32" i="100"/>
  <c r="AD32" i="100"/>
  <c r="AC32" i="100"/>
  <c r="AB32" i="100"/>
  <c r="AA32" i="100"/>
  <c r="Z32" i="100"/>
  <c r="S32" i="100"/>
  <c r="AE31" i="100"/>
  <c r="AD31" i="100"/>
  <c r="AC31" i="100"/>
  <c r="AB31" i="100"/>
  <c r="AA31" i="100"/>
  <c r="Z31" i="100"/>
  <c r="S31" i="100"/>
  <c r="AE30" i="100"/>
  <c r="AD30" i="100"/>
  <c r="AC30" i="100"/>
  <c r="AB30" i="100"/>
  <c r="AA30" i="100"/>
  <c r="Z30" i="100"/>
  <c r="S30" i="100"/>
  <c r="AE29" i="100"/>
  <c r="AD29" i="100"/>
  <c r="AC29" i="100"/>
  <c r="AB29" i="100"/>
  <c r="AA29" i="100"/>
  <c r="Z29" i="100"/>
  <c r="S29" i="100"/>
  <c r="AE28" i="100"/>
  <c r="AD28" i="100"/>
  <c r="AC28" i="100"/>
  <c r="AB28" i="100"/>
  <c r="AA28" i="100"/>
  <c r="Z28" i="100"/>
  <c r="S28" i="100"/>
  <c r="AE27" i="100"/>
  <c r="AD27" i="100"/>
  <c r="AC27" i="100"/>
  <c r="AB27" i="100"/>
  <c r="AA27" i="100"/>
  <c r="Z27" i="100"/>
  <c r="S27" i="100"/>
  <c r="AE26" i="100"/>
  <c r="AD26" i="100"/>
  <c r="AC26" i="100"/>
  <c r="AB26" i="100"/>
  <c r="AA26" i="100"/>
  <c r="Z26" i="100"/>
  <c r="S26" i="100"/>
  <c r="AE25" i="100"/>
  <c r="AD25" i="100"/>
  <c r="AC25" i="100"/>
  <c r="AB25" i="100"/>
  <c r="AA25" i="100"/>
  <c r="Z25" i="100"/>
  <c r="S25" i="100"/>
  <c r="AE24" i="100"/>
  <c r="AD24" i="100"/>
  <c r="AC24" i="100"/>
  <c r="AB24" i="100"/>
  <c r="AA24" i="100"/>
  <c r="Z24" i="100"/>
  <c r="S24" i="100"/>
  <c r="AE23" i="100"/>
  <c r="G9" i="101" s="1"/>
  <c r="AD23" i="100"/>
  <c r="AC23" i="100"/>
  <c r="AB23" i="100"/>
  <c r="AA23" i="100"/>
  <c r="Z23" i="100"/>
  <c r="S23" i="100"/>
  <c r="E9" i="101" s="1"/>
  <c r="R23" i="100"/>
  <c r="Q23" i="100"/>
  <c r="AE22" i="100"/>
  <c r="AD22" i="100"/>
  <c r="AC22" i="100"/>
  <c r="AB22" i="100"/>
  <c r="AA22" i="100"/>
  <c r="Z22" i="100"/>
  <c r="S22" i="100"/>
  <c r="AE21" i="100"/>
  <c r="G8" i="101" s="1"/>
  <c r="AD21" i="100"/>
  <c r="AC21" i="100"/>
  <c r="AB21" i="100"/>
  <c r="AA21" i="100"/>
  <c r="Z21" i="100"/>
  <c r="S21" i="100"/>
  <c r="X21" i="100" s="1"/>
  <c r="H8" i="101" s="1"/>
  <c r="R21" i="100"/>
  <c r="Q21" i="100"/>
  <c r="AE20" i="100"/>
  <c r="AD20" i="100"/>
  <c r="AC20" i="100"/>
  <c r="AB20" i="100"/>
  <c r="AA20" i="100"/>
  <c r="Z20" i="100"/>
  <c r="S20" i="100"/>
  <c r="AE19" i="100"/>
  <c r="G7" i="101" s="1"/>
  <c r="AD19" i="100"/>
  <c r="AC19" i="100"/>
  <c r="AB19" i="100"/>
  <c r="AA19" i="100"/>
  <c r="Z19" i="100"/>
  <c r="S19" i="100"/>
  <c r="X19" i="100" s="1"/>
  <c r="H7" i="101" s="1"/>
  <c r="R19" i="100"/>
  <c r="Q19" i="100"/>
  <c r="AE18" i="100"/>
  <c r="AD18" i="100"/>
  <c r="AC18" i="100"/>
  <c r="AB18" i="100"/>
  <c r="AA18" i="100"/>
  <c r="Z18" i="100"/>
  <c r="S18" i="100"/>
  <c r="R18" i="100"/>
  <c r="Q18" i="100"/>
  <c r="E18" i="100"/>
  <c r="AE17" i="100"/>
  <c r="AD17" i="100"/>
  <c r="AC17" i="100"/>
  <c r="AB17" i="100"/>
  <c r="AA17" i="100"/>
  <c r="Z17" i="100"/>
  <c r="S17" i="100"/>
  <c r="AE16" i="100"/>
  <c r="AD16" i="100"/>
  <c r="AC16" i="100"/>
  <c r="AB16" i="100"/>
  <c r="AA16" i="100"/>
  <c r="Z16" i="100"/>
  <c r="S16" i="100"/>
  <c r="AE15" i="100"/>
  <c r="AD15" i="100"/>
  <c r="AC15" i="100"/>
  <c r="AB15" i="100"/>
  <c r="AA15" i="100"/>
  <c r="Z15" i="100"/>
  <c r="S15" i="100"/>
  <c r="AE14" i="100"/>
  <c r="AD14" i="100"/>
  <c r="AC14" i="100"/>
  <c r="AB14" i="100"/>
  <c r="AA14" i="100"/>
  <c r="Z14" i="100"/>
  <c r="S14" i="100"/>
  <c r="AE13" i="100"/>
  <c r="G6" i="101" s="1"/>
  <c r="AD13" i="100"/>
  <c r="AC13" i="100"/>
  <c r="AB13" i="100"/>
  <c r="AA13" i="100"/>
  <c r="Z13" i="100"/>
  <c r="S13" i="100"/>
  <c r="X13" i="100" s="1"/>
  <c r="H6" i="101" s="1"/>
  <c r="R13" i="100"/>
  <c r="Q13" i="100"/>
  <c r="AE12" i="100"/>
  <c r="AD12" i="100"/>
  <c r="AC12" i="100"/>
  <c r="AB12" i="100"/>
  <c r="AA12" i="100"/>
  <c r="Z12" i="100"/>
  <c r="S12" i="100"/>
  <c r="AE11" i="100"/>
  <c r="G5" i="101" s="1"/>
  <c r="AD11" i="100"/>
  <c r="AC11" i="100"/>
  <c r="AB11" i="100"/>
  <c r="AA11" i="100"/>
  <c r="Z11" i="100"/>
  <c r="X11" i="100"/>
  <c r="W11" i="100"/>
  <c r="V11" i="100"/>
  <c r="S11" i="100"/>
  <c r="E5" i="101" s="1"/>
  <c r="R11" i="100"/>
  <c r="Q11" i="100"/>
  <c r="AE10" i="100"/>
  <c r="AD10" i="100"/>
  <c r="AC10" i="100"/>
  <c r="AB10" i="100"/>
  <c r="AA10" i="100"/>
  <c r="Z10" i="100"/>
  <c r="S10" i="100"/>
  <c r="AE9" i="100"/>
  <c r="AD9" i="100"/>
  <c r="AC9" i="100"/>
  <c r="AB9" i="100"/>
  <c r="AA9" i="100"/>
  <c r="Z9" i="100"/>
  <c r="S9" i="100"/>
  <c r="AE8" i="100"/>
  <c r="G4" i="101" s="1"/>
  <c r="AD8" i="100"/>
  <c r="AC8" i="100"/>
  <c r="AB8" i="100"/>
  <c r="AA8" i="100"/>
  <c r="Z8" i="100"/>
  <c r="X8" i="100"/>
  <c r="S8" i="100"/>
  <c r="E4" i="101" s="1"/>
  <c r="R8" i="100"/>
  <c r="Q8" i="100"/>
  <c r="AE7" i="100"/>
  <c r="AD7" i="100"/>
  <c r="AC7" i="100"/>
  <c r="AB7" i="100"/>
  <c r="AA7" i="100"/>
  <c r="Z7" i="100"/>
  <c r="S7" i="100"/>
  <c r="AE6" i="100"/>
  <c r="AD6" i="100"/>
  <c r="AC6" i="100"/>
  <c r="AB6" i="100"/>
  <c r="AA6" i="100"/>
  <c r="Z6" i="100"/>
  <c r="S6" i="100"/>
  <c r="AE5" i="100"/>
  <c r="G3" i="101" s="1"/>
  <c r="AD5" i="100"/>
  <c r="AC5" i="100"/>
  <c r="AB5" i="100"/>
  <c r="AA5" i="100"/>
  <c r="Z5" i="100"/>
  <c r="S5" i="100"/>
  <c r="E3" i="101" s="1"/>
  <c r="R5" i="100"/>
  <c r="Q5" i="100"/>
  <c r="AE4" i="100"/>
  <c r="AD4" i="100"/>
  <c r="AC4" i="100"/>
  <c r="AB4" i="100"/>
  <c r="AA4" i="100"/>
  <c r="Z4" i="100"/>
  <c r="S4" i="100"/>
  <c r="AE3" i="100"/>
  <c r="G2" i="101" s="1"/>
  <c r="AD3" i="100"/>
  <c r="AC3" i="100"/>
  <c r="AB3" i="100"/>
  <c r="AA3" i="100"/>
  <c r="Z3" i="100"/>
  <c r="X3" i="100"/>
  <c r="S3" i="100"/>
  <c r="E2" i="101" s="1"/>
  <c r="E6" i="101" l="1"/>
  <c r="X89" i="100"/>
  <c r="H28" i="101" s="1"/>
  <c r="E7" i="101"/>
  <c r="E8" i="101"/>
  <c r="X23" i="100"/>
  <c r="H9" i="101" s="1"/>
  <c r="I3" i="101"/>
  <c r="L3" i="101" s="1"/>
  <c r="I13" i="101"/>
  <c r="L13" i="101" s="1"/>
  <c r="I20" i="101"/>
  <c r="L20" i="101" s="1"/>
  <c r="I24" i="101"/>
  <c r="L24" i="101" s="1"/>
  <c r="I25" i="101"/>
  <c r="L25" i="101" s="1"/>
  <c r="I29" i="101"/>
  <c r="L29" i="101" s="1"/>
  <c r="I30" i="101"/>
  <c r="L30" i="101" s="1"/>
  <c r="I34" i="101"/>
  <c r="L34" i="101" s="1"/>
  <c r="I35" i="101"/>
  <c r="L35" i="101" s="1"/>
  <c r="I39" i="101"/>
  <c r="L39" i="101" s="1"/>
  <c r="X36" i="100"/>
  <c r="H10" i="101" s="1"/>
  <c r="I11" i="101"/>
  <c r="L11" i="101" s="1"/>
  <c r="I12" i="101"/>
  <c r="L12" i="101" s="1"/>
  <c r="I16" i="101"/>
  <c r="L16" i="101" s="1"/>
  <c r="I17" i="101"/>
  <c r="L17" i="101" s="1"/>
  <c r="I19" i="101"/>
  <c r="L19" i="101" s="1"/>
  <c r="I23" i="101"/>
  <c r="L23" i="101" s="1"/>
  <c r="I33" i="101"/>
  <c r="L33" i="101" s="1"/>
  <c r="I38" i="101"/>
  <c r="L38" i="101" s="1"/>
  <c r="I5" i="101"/>
  <c r="L5" i="101" s="1"/>
  <c r="I6" i="101"/>
  <c r="L6" i="101" s="1"/>
  <c r="I15" i="101"/>
  <c r="L15" i="101" s="1"/>
  <c r="I22" i="101"/>
  <c r="L22" i="101" s="1"/>
  <c r="I27" i="101"/>
  <c r="L27" i="101" s="1"/>
  <c r="I32" i="101"/>
  <c r="L32" i="101" s="1"/>
  <c r="I37" i="101"/>
  <c r="L37" i="101" s="1"/>
  <c r="I4" i="101"/>
  <c r="L4" i="101" s="1"/>
  <c r="I9" i="101"/>
  <c r="L9" i="101" s="1"/>
  <c r="I14" i="101"/>
  <c r="L14" i="101" s="1"/>
  <c r="I21" i="101"/>
  <c r="L21" i="101" s="1"/>
  <c r="I26" i="101"/>
  <c r="L26" i="101" s="1"/>
  <c r="I31" i="101"/>
  <c r="L31" i="101" s="1"/>
  <c r="I36" i="101"/>
  <c r="L36" i="101" s="1"/>
  <c r="I28" i="101" l="1"/>
  <c r="L28" i="101" s="1"/>
  <c r="M24" i="101" s="1"/>
  <c r="M11" i="101"/>
  <c r="M34" i="101"/>
  <c r="I10" i="101"/>
  <c r="L10" i="101" s="1"/>
  <c r="M16" i="101"/>
  <c r="I7" i="101"/>
  <c r="L7" i="101" s="1"/>
  <c r="I8" i="101"/>
  <c r="L8" i="101" s="1"/>
  <c r="I2" i="101"/>
  <c r="L2" i="101" s="1"/>
  <c r="M2" i="101" s="1"/>
  <c r="M29" i="101"/>
  <c r="H39" i="99"/>
  <c r="F39" i="99"/>
  <c r="E39" i="99"/>
  <c r="D39" i="99"/>
  <c r="H38" i="99"/>
  <c r="F38" i="99"/>
  <c r="E38" i="99"/>
  <c r="D38" i="99"/>
  <c r="H37" i="99"/>
  <c r="F37" i="99"/>
  <c r="E37" i="99"/>
  <c r="D37" i="99"/>
  <c r="H36" i="99"/>
  <c r="F36" i="99"/>
  <c r="E36" i="99"/>
  <c r="D36" i="99"/>
  <c r="H35" i="99"/>
  <c r="F35" i="99"/>
  <c r="E35" i="99"/>
  <c r="D35" i="99"/>
  <c r="H34" i="99"/>
  <c r="F34" i="99"/>
  <c r="E34" i="99"/>
  <c r="D34" i="99"/>
  <c r="H33" i="99"/>
  <c r="F33" i="99"/>
  <c r="E33" i="99"/>
  <c r="D33" i="99"/>
  <c r="H32" i="99"/>
  <c r="F32" i="99"/>
  <c r="E32" i="99"/>
  <c r="D32" i="99"/>
  <c r="H31" i="99"/>
  <c r="F31" i="99"/>
  <c r="E31" i="99"/>
  <c r="D31" i="99"/>
  <c r="H30" i="99"/>
  <c r="F30" i="99"/>
  <c r="E30" i="99"/>
  <c r="D30" i="99"/>
  <c r="H29" i="99"/>
  <c r="F29" i="99"/>
  <c r="E29" i="99"/>
  <c r="D29" i="99"/>
  <c r="H28" i="99"/>
  <c r="F28" i="99"/>
  <c r="E28" i="99"/>
  <c r="D28" i="99"/>
  <c r="H27" i="99"/>
  <c r="F27" i="99"/>
  <c r="E27" i="99"/>
  <c r="D27" i="99"/>
  <c r="H26" i="99"/>
  <c r="F26" i="99"/>
  <c r="E26" i="99"/>
  <c r="D26" i="99"/>
  <c r="H25" i="99"/>
  <c r="F25" i="99"/>
  <c r="E25" i="99"/>
  <c r="D25" i="99"/>
  <c r="H24" i="99"/>
  <c r="F24" i="99"/>
  <c r="E24" i="99"/>
  <c r="D24" i="99"/>
  <c r="H23" i="99"/>
  <c r="F23" i="99"/>
  <c r="E23" i="99"/>
  <c r="D23" i="99"/>
  <c r="H22" i="99"/>
  <c r="F22" i="99"/>
  <c r="E22" i="99"/>
  <c r="D22" i="99"/>
  <c r="H21" i="99"/>
  <c r="F21" i="99"/>
  <c r="E21" i="99"/>
  <c r="D21" i="99"/>
  <c r="H20" i="99"/>
  <c r="F20" i="99"/>
  <c r="E20" i="99"/>
  <c r="D20" i="99"/>
  <c r="H19" i="99"/>
  <c r="F19" i="99"/>
  <c r="E19" i="99"/>
  <c r="D19" i="99"/>
  <c r="H18" i="99"/>
  <c r="F18" i="99"/>
  <c r="E18" i="99"/>
  <c r="D18" i="99"/>
  <c r="H17" i="99"/>
  <c r="F17" i="99"/>
  <c r="E17" i="99"/>
  <c r="D17" i="99"/>
  <c r="H16" i="99"/>
  <c r="F16" i="99"/>
  <c r="E16" i="99"/>
  <c r="D16" i="99"/>
  <c r="H15" i="99"/>
  <c r="F15" i="99"/>
  <c r="E15" i="99"/>
  <c r="D15" i="99"/>
  <c r="H14" i="99"/>
  <c r="F14" i="99"/>
  <c r="E14" i="99"/>
  <c r="D14" i="99"/>
  <c r="H13" i="99"/>
  <c r="F13" i="99"/>
  <c r="E13" i="99"/>
  <c r="D13" i="99"/>
  <c r="H12" i="99"/>
  <c r="F12" i="99"/>
  <c r="E12" i="99"/>
  <c r="D12" i="99"/>
  <c r="H11" i="99"/>
  <c r="F11" i="99"/>
  <c r="E11" i="99"/>
  <c r="D11" i="99"/>
  <c r="H10" i="99"/>
  <c r="F10" i="99"/>
  <c r="E10" i="99"/>
  <c r="D10" i="99"/>
  <c r="H9" i="99"/>
  <c r="F9" i="99"/>
  <c r="E9" i="99"/>
  <c r="D9" i="99"/>
  <c r="H8" i="99"/>
  <c r="F8" i="99"/>
  <c r="E8" i="99"/>
  <c r="D8" i="99"/>
  <c r="H7" i="99"/>
  <c r="F7" i="99"/>
  <c r="E7" i="99"/>
  <c r="D7" i="99"/>
  <c r="H6" i="99"/>
  <c r="F6" i="99"/>
  <c r="E6" i="99"/>
  <c r="D6" i="99"/>
  <c r="H5" i="99"/>
  <c r="F5" i="99"/>
  <c r="E5" i="99"/>
  <c r="D5" i="99"/>
  <c r="H4" i="99"/>
  <c r="F4" i="99"/>
  <c r="E4" i="99"/>
  <c r="D4" i="99"/>
  <c r="H3" i="99"/>
  <c r="F3" i="99"/>
  <c r="E3" i="99"/>
  <c r="D3" i="99"/>
  <c r="H2" i="99"/>
  <c r="F2" i="99"/>
  <c r="E2" i="99"/>
  <c r="D2" i="99"/>
  <c r="L18" i="99"/>
  <c r="AB113" i="98"/>
  <c r="G39" i="99" s="1"/>
  <c r="AA113" i="98"/>
  <c r="Z113" i="98"/>
  <c r="Y113" i="98"/>
  <c r="AB112" i="98"/>
  <c r="G38" i="99" s="1"/>
  <c r="AA112" i="98"/>
  <c r="Z112" i="98"/>
  <c r="Y112" i="98"/>
  <c r="X112" i="98"/>
  <c r="Q112" i="98"/>
  <c r="P112" i="98"/>
  <c r="AB111" i="98"/>
  <c r="AA111" i="98"/>
  <c r="Z111" i="98"/>
  <c r="Y111" i="98"/>
  <c r="AB110" i="98"/>
  <c r="G37" i="99" s="1"/>
  <c r="AA110" i="98"/>
  <c r="Z110" i="98"/>
  <c r="Y110" i="98"/>
  <c r="AB109" i="98"/>
  <c r="AA109" i="98"/>
  <c r="Z109" i="98"/>
  <c r="Y109" i="98"/>
  <c r="AB108" i="98"/>
  <c r="G36" i="99" s="1"/>
  <c r="AA108" i="98"/>
  <c r="Z108" i="98"/>
  <c r="Y108" i="98"/>
  <c r="X108" i="98"/>
  <c r="Q108" i="98"/>
  <c r="P108" i="98"/>
  <c r="AB107" i="98"/>
  <c r="AA107" i="98"/>
  <c r="Z107" i="98"/>
  <c r="Y107" i="98"/>
  <c r="AB106" i="98"/>
  <c r="AA106" i="98"/>
  <c r="Z106" i="98"/>
  <c r="Y106" i="98"/>
  <c r="AB105" i="98"/>
  <c r="G35" i="99" s="1"/>
  <c r="AA105" i="98"/>
  <c r="Z105" i="98"/>
  <c r="Y105" i="98"/>
  <c r="X105" i="98"/>
  <c r="Q105" i="98"/>
  <c r="P105" i="98"/>
  <c r="AB104" i="98"/>
  <c r="AA104" i="98"/>
  <c r="Z104" i="98"/>
  <c r="Y104" i="98"/>
  <c r="AB103" i="98"/>
  <c r="G34" i="99" s="1"/>
  <c r="AA103" i="98"/>
  <c r="Z103" i="98"/>
  <c r="Y103" i="98"/>
  <c r="X103" i="98"/>
  <c r="Q103" i="98"/>
  <c r="P103" i="98"/>
  <c r="AB102" i="98"/>
  <c r="AA102" i="98"/>
  <c r="Z102" i="98"/>
  <c r="Y102" i="98"/>
  <c r="AB101" i="98"/>
  <c r="AA101" i="98"/>
  <c r="Z101" i="98"/>
  <c r="Y101" i="98"/>
  <c r="AB100" i="98"/>
  <c r="G33" i="99" s="1"/>
  <c r="AA100" i="98"/>
  <c r="Z100" i="98"/>
  <c r="Y100" i="98"/>
  <c r="X100" i="98"/>
  <c r="AB99" i="98"/>
  <c r="AA99" i="98"/>
  <c r="Z99" i="98"/>
  <c r="Y99" i="98"/>
  <c r="AB98" i="98"/>
  <c r="AA98" i="98"/>
  <c r="Z98" i="98"/>
  <c r="Y98" i="98"/>
  <c r="AB97" i="98"/>
  <c r="AA97" i="98"/>
  <c r="Z97" i="98"/>
  <c r="Y97" i="98"/>
  <c r="AB96" i="98"/>
  <c r="AA96" i="98"/>
  <c r="Z96" i="98"/>
  <c r="Y96" i="98"/>
  <c r="AB95" i="98"/>
  <c r="AA95" i="98"/>
  <c r="Z95" i="98"/>
  <c r="Y95" i="98"/>
  <c r="AB94" i="98"/>
  <c r="AA94" i="98"/>
  <c r="Z94" i="98"/>
  <c r="Y94" i="98"/>
  <c r="AB93" i="98"/>
  <c r="G32" i="99" s="1"/>
  <c r="AA93" i="98"/>
  <c r="Z93" i="98"/>
  <c r="Y93" i="98"/>
  <c r="AB92" i="98"/>
  <c r="G31" i="99" s="1"/>
  <c r="AA92" i="98"/>
  <c r="Z92" i="98"/>
  <c r="Y92" i="98"/>
  <c r="AB91" i="98"/>
  <c r="G30" i="99" s="1"/>
  <c r="AA91" i="98"/>
  <c r="Z91" i="98"/>
  <c r="Y91" i="98"/>
  <c r="AB90" i="98"/>
  <c r="G29" i="99" s="1"/>
  <c r="AA90" i="98"/>
  <c r="Z90" i="98"/>
  <c r="Y90" i="98"/>
  <c r="AB89" i="98"/>
  <c r="G28" i="99" s="1"/>
  <c r="AA89" i="98"/>
  <c r="Z89" i="98"/>
  <c r="Y89" i="98"/>
  <c r="AB88" i="98"/>
  <c r="AA88" i="98"/>
  <c r="Z88" i="98"/>
  <c r="Y88" i="98"/>
  <c r="AB87" i="98"/>
  <c r="AA87" i="98"/>
  <c r="Z87" i="98"/>
  <c r="Y87" i="98"/>
  <c r="AB86" i="98"/>
  <c r="AA86" i="98"/>
  <c r="Z86" i="98"/>
  <c r="Y86" i="98"/>
  <c r="AB85" i="98"/>
  <c r="AA85" i="98"/>
  <c r="Z85" i="98"/>
  <c r="Y85" i="98"/>
  <c r="AB84" i="98"/>
  <c r="AA84" i="98"/>
  <c r="Z84" i="98"/>
  <c r="Y84" i="98"/>
  <c r="AB83" i="98"/>
  <c r="G27" i="99" s="1"/>
  <c r="AA83" i="98"/>
  <c r="Z83" i="98"/>
  <c r="Y83" i="98"/>
  <c r="X83" i="98"/>
  <c r="Q83" i="98"/>
  <c r="P83" i="98"/>
  <c r="AB82" i="98"/>
  <c r="AA82" i="98"/>
  <c r="Z82" i="98"/>
  <c r="Y82" i="98"/>
  <c r="AB81" i="98"/>
  <c r="AA81" i="98"/>
  <c r="Z81" i="98"/>
  <c r="Y81" i="98"/>
  <c r="AB80" i="98"/>
  <c r="G26" i="99" s="1"/>
  <c r="AA80" i="98"/>
  <c r="Z80" i="98"/>
  <c r="Y80" i="98"/>
  <c r="X80" i="98"/>
  <c r="Q80" i="98"/>
  <c r="P80" i="98"/>
  <c r="AB79" i="98"/>
  <c r="AA79" i="98"/>
  <c r="Z79" i="98"/>
  <c r="Y79" i="98"/>
  <c r="AB78" i="98"/>
  <c r="AA78" i="98"/>
  <c r="Z78" i="98"/>
  <c r="Y78" i="98"/>
  <c r="AB77" i="98"/>
  <c r="G25" i="99" s="1"/>
  <c r="AA77" i="98"/>
  <c r="Z77" i="98"/>
  <c r="Y77" i="98"/>
  <c r="X77" i="98"/>
  <c r="P77" i="98"/>
  <c r="AB76" i="98"/>
  <c r="AA76" i="98"/>
  <c r="Z76" i="98"/>
  <c r="Y76" i="98"/>
  <c r="AB75" i="98"/>
  <c r="AA75" i="98"/>
  <c r="Z75" i="98"/>
  <c r="Y75" i="98"/>
  <c r="AB74" i="98"/>
  <c r="AA74" i="98"/>
  <c r="Z74" i="98"/>
  <c r="Y74" i="98"/>
  <c r="AB73" i="98"/>
  <c r="G24" i="99" s="1"/>
  <c r="AA73" i="98"/>
  <c r="Z73" i="98"/>
  <c r="Y73" i="98"/>
  <c r="AB72" i="98"/>
  <c r="G23" i="99" s="1"/>
  <c r="AA72" i="98"/>
  <c r="Z72" i="98"/>
  <c r="Y72" i="98"/>
  <c r="X72" i="98"/>
  <c r="P72" i="98"/>
  <c r="AB71" i="98"/>
  <c r="AA71" i="98"/>
  <c r="Z71" i="98"/>
  <c r="Y71" i="98"/>
  <c r="AB70" i="98"/>
  <c r="AA70" i="98"/>
  <c r="Z70" i="98"/>
  <c r="Y70" i="98"/>
  <c r="AB69" i="98"/>
  <c r="AA69" i="98"/>
  <c r="Z69" i="98"/>
  <c r="Y69" i="98"/>
  <c r="AB68" i="98"/>
  <c r="G22" i="99" s="1"/>
  <c r="AA68" i="98"/>
  <c r="Z68" i="98"/>
  <c r="Y68" i="98"/>
  <c r="X68" i="98"/>
  <c r="Q68" i="98"/>
  <c r="P68" i="98"/>
  <c r="AB67" i="98"/>
  <c r="AA67" i="98"/>
  <c r="Z67" i="98"/>
  <c r="Y67" i="98"/>
  <c r="AB66" i="98"/>
  <c r="AA66" i="98"/>
  <c r="Z66" i="98"/>
  <c r="Y66" i="98"/>
  <c r="AB65" i="98"/>
  <c r="G21" i="99" s="1"/>
  <c r="AA65" i="98"/>
  <c r="Z65" i="98"/>
  <c r="Y65" i="98"/>
  <c r="X65" i="98"/>
  <c r="Q65" i="98"/>
  <c r="P65" i="98"/>
  <c r="AB64" i="98"/>
  <c r="AA64" i="98"/>
  <c r="Z64" i="98"/>
  <c r="Y64" i="98"/>
  <c r="AB63" i="98"/>
  <c r="AA63" i="98"/>
  <c r="Z63" i="98"/>
  <c r="Y63" i="98"/>
  <c r="AB62" i="98"/>
  <c r="G20" i="99" s="1"/>
  <c r="AA62" i="98"/>
  <c r="Z62" i="98"/>
  <c r="Y62" i="98"/>
  <c r="X62" i="98"/>
  <c r="Q62" i="98"/>
  <c r="P62" i="98"/>
  <c r="AB61" i="98"/>
  <c r="AA61" i="98"/>
  <c r="Z61" i="98"/>
  <c r="Y61" i="98"/>
  <c r="AB60" i="98"/>
  <c r="G19" i="99" s="1"/>
  <c r="AA60" i="98"/>
  <c r="Z60" i="98"/>
  <c r="Y60" i="98"/>
  <c r="X60" i="98"/>
  <c r="Q60" i="98"/>
  <c r="P60" i="98"/>
  <c r="AB59" i="98"/>
  <c r="AA59" i="98"/>
  <c r="Z59" i="98"/>
  <c r="Y59" i="98"/>
  <c r="AB58" i="98"/>
  <c r="AA58" i="98"/>
  <c r="Z58" i="98"/>
  <c r="Y58" i="98"/>
  <c r="AB57" i="98"/>
  <c r="AA57" i="98"/>
  <c r="Z57" i="98"/>
  <c r="Y57" i="98"/>
  <c r="AB56" i="98"/>
  <c r="AA56" i="98"/>
  <c r="Z56" i="98"/>
  <c r="Y56" i="98"/>
  <c r="AB55" i="98"/>
  <c r="AA55" i="98"/>
  <c r="Z55" i="98"/>
  <c r="Y55" i="98"/>
  <c r="AB54" i="98"/>
  <c r="G17" i="99" s="1"/>
  <c r="AA54" i="98"/>
  <c r="Z54" i="98"/>
  <c r="Y54" i="98"/>
  <c r="AB53" i="98"/>
  <c r="G16" i="99" s="1"/>
  <c r="AA53" i="98"/>
  <c r="Z53" i="98"/>
  <c r="Y53" i="98"/>
  <c r="X53" i="98"/>
  <c r="Q53" i="98"/>
  <c r="P53" i="98"/>
  <c r="AB52" i="98"/>
  <c r="AA52" i="98"/>
  <c r="Z52" i="98"/>
  <c r="Y52" i="98"/>
  <c r="AB51" i="98"/>
  <c r="AA51" i="98"/>
  <c r="Z51" i="98"/>
  <c r="Y51" i="98"/>
  <c r="AB50" i="98"/>
  <c r="AA50" i="98"/>
  <c r="Z50" i="98"/>
  <c r="Y50" i="98"/>
  <c r="AB49" i="98"/>
  <c r="G15" i="99" s="1"/>
  <c r="AA49" i="98"/>
  <c r="Z49" i="98"/>
  <c r="Y49" i="98"/>
  <c r="X49" i="98"/>
  <c r="T49" i="98"/>
  <c r="U49" i="98" s="1"/>
  <c r="V49" i="98" s="1"/>
  <c r="S49" i="98"/>
  <c r="Q49" i="98"/>
  <c r="AB48" i="98"/>
  <c r="AA48" i="98"/>
  <c r="Z48" i="98"/>
  <c r="Y48" i="98"/>
  <c r="AB47" i="98"/>
  <c r="AA47" i="98"/>
  <c r="Z47" i="98"/>
  <c r="Y47" i="98"/>
  <c r="AB46" i="98"/>
  <c r="AA46" i="98"/>
  <c r="Z46" i="98"/>
  <c r="Y46" i="98"/>
  <c r="AB45" i="98"/>
  <c r="AA45" i="98"/>
  <c r="Z45" i="98"/>
  <c r="Y45" i="98"/>
  <c r="AB44" i="98"/>
  <c r="G14" i="99" s="1"/>
  <c r="AA44" i="98"/>
  <c r="Z44" i="98"/>
  <c r="Y44" i="98"/>
  <c r="S44" i="98"/>
  <c r="T44" i="98" s="1"/>
  <c r="U44" i="98" s="1"/>
  <c r="V44" i="98" s="1"/>
  <c r="AB43" i="98"/>
  <c r="G13" i="99" s="1"/>
  <c r="AA43" i="98"/>
  <c r="Z43" i="98"/>
  <c r="Y43" i="98"/>
  <c r="AB42" i="98"/>
  <c r="G12" i="99" s="1"/>
  <c r="AA42" i="98"/>
  <c r="Z42" i="98"/>
  <c r="Y42" i="98"/>
  <c r="W42" i="98"/>
  <c r="AB41" i="98"/>
  <c r="AA41" i="98"/>
  <c r="Z41" i="98"/>
  <c r="Y41" i="98"/>
  <c r="AB40" i="98"/>
  <c r="AA40" i="98"/>
  <c r="Z40" i="98"/>
  <c r="Y40" i="98"/>
  <c r="AB39" i="98"/>
  <c r="G11" i="99" s="1"/>
  <c r="AA39" i="98"/>
  <c r="Z39" i="98"/>
  <c r="Y39" i="98"/>
  <c r="X39" i="98"/>
  <c r="Q39" i="98"/>
  <c r="P39" i="98"/>
  <c r="AB38" i="98"/>
  <c r="AA38" i="98"/>
  <c r="Z38" i="98"/>
  <c r="Y38" i="98"/>
  <c r="AB37" i="98"/>
  <c r="AA37" i="98"/>
  <c r="Z37" i="98"/>
  <c r="Y37" i="98"/>
  <c r="AB36" i="98"/>
  <c r="G10" i="99" s="1"/>
  <c r="AA36" i="98"/>
  <c r="Z36" i="98"/>
  <c r="Y36" i="98"/>
  <c r="X36" i="98"/>
  <c r="Q36" i="98"/>
  <c r="P36" i="98"/>
  <c r="AB35" i="98"/>
  <c r="X35" i="98"/>
  <c r="Q35" i="98"/>
  <c r="P35" i="98"/>
  <c r="AB34" i="98"/>
  <c r="AA34" i="98"/>
  <c r="Z34" i="98"/>
  <c r="Y34" i="98"/>
  <c r="AB33" i="98"/>
  <c r="AA33" i="98"/>
  <c r="Z33" i="98"/>
  <c r="Y33" i="98"/>
  <c r="AB32" i="98"/>
  <c r="AA32" i="98"/>
  <c r="Z32" i="98"/>
  <c r="Y32" i="98"/>
  <c r="AB31" i="98"/>
  <c r="AA31" i="98"/>
  <c r="Z31" i="98"/>
  <c r="Y31" i="98"/>
  <c r="AB30" i="98"/>
  <c r="AA30" i="98"/>
  <c r="Z30" i="98"/>
  <c r="Y30" i="98"/>
  <c r="AB29" i="98"/>
  <c r="AA29" i="98"/>
  <c r="Z29" i="98"/>
  <c r="Y29" i="98"/>
  <c r="AB28" i="98"/>
  <c r="AA28" i="98"/>
  <c r="Z28" i="98"/>
  <c r="Y28" i="98"/>
  <c r="AB27" i="98"/>
  <c r="AA27" i="98"/>
  <c r="Z27" i="98"/>
  <c r="Y27" i="98"/>
  <c r="AB26" i="98"/>
  <c r="AA26" i="98"/>
  <c r="Z26" i="98"/>
  <c r="Y26" i="98"/>
  <c r="AB25" i="98"/>
  <c r="AA25" i="98"/>
  <c r="Z25" i="98"/>
  <c r="Y25" i="98"/>
  <c r="AB24" i="98"/>
  <c r="AA24" i="98"/>
  <c r="AA35" i="98" s="1"/>
  <c r="Z24" i="98"/>
  <c r="Z35" i="98" s="1"/>
  <c r="Y24" i="98"/>
  <c r="AB23" i="98"/>
  <c r="G9" i="99" s="1"/>
  <c r="AA23" i="98"/>
  <c r="Z23" i="98"/>
  <c r="Y23" i="98"/>
  <c r="X23" i="98"/>
  <c r="Q23" i="98"/>
  <c r="P23" i="98"/>
  <c r="AB22" i="98"/>
  <c r="AA22" i="98"/>
  <c r="Z22" i="98"/>
  <c r="Y22" i="98"/>
  <c r="AB21" i="98"/>
  <c r="G8" i="99" s="1"/>
  <c r="AA21" i="98"/>
  <c r="Z21" i="98"/>
  <c r="Y21" i="98"/>
  <c r="X21" i="98"/>
  <c r="Q21" i="98"/>
  <c r="P21" i="98"/>
  <c r="AB20" i="98"/>
  <c r="AA20" i="98"/>
  <c r="Z20" i="98"/>
  <c r="Y20" i="98"/>
  <c r="AB19" i="98"/>
  <c r="G7" i="99" s="1"/>
  <c r="AA19" i="98"/>
  <c r="Z19" i="98"/>
  <c r="Y19" i="98"/>
  <c r="X19" i="98"/>
  <c r="Q19" i="98"/>
  <c r="P19" i="98"/>
  <c r="AB18" i="98"/>
  <c r="X18" i="98"/>
  <c r="Q18" i="98"/>
  <c r="P18" i="98"/>
  <c r="E18" i="98"/>
  <c r="AB17" i="98"/>
  <c r="AA17" i="98"/>
  <c r="Z17" i="98"/>
  <c r="Y17" i="98"/>
  <c r="AB16" i="98"/>
  <c r="AA16" i="98"/>
  <c r="Z16" i="98"/>
  <c r="Y16" i="98"/>
  <c r="AB15" i="98"/>
  <c r="AA15" i="98"/>
  <c r="Z15" i="98"/>
  <c r="Y15" i="98"/>
  <c r="AB14" i="98"/>
  <c r="AA14" i="98"/>
  <c r="AA18" i="98" s="1"/>
  <c r="Z14" i="98"/>
  <c r="Y14" i="98"/>
  <c r="AB13" i="98"/>
  <c r="G6" i="99" s="1"/>
  <c r="AA13" i="98"/>
  <c r="Z13" i="98"/>
  <c r="Y13" i="98"/>
  <c r="X13" i="98"/>
  <c r="Q13" i="98"/>
  <c r="P13" i="98"/>
  <c r="AB12" i="98"/>
  <c r="AA12" i="98"/>
  <c r="Z12" i="98"/>
  <c r="Y12" i="98"/>
  <c r="AB11" i="98"/>
  <c r="G5" i="99" s="1"/>
  <c r="AA11" i="98"/>
  <c r="Z11" i="98"/>
  <c r="Y11" i="98"/>
  <c r="X11" i="98"/>
  <c r="T11" i="98"/>
  <c r="U11" i="98" s="1"/>
  <c r="V11" i="98" s="1"/>
  <c r="Q11" i="98"/>
  <c r="P11" i="98"/>
  <c r="AB10" i="98"/>
  <c r="AA10" i="98"/>
  <c r="Z10" i="98"/>
  <c r="Y10" i="98"/>
  <c r="AB9" i="98"/>
  <c r="AA9" i="98"/>
  <c r="Z9" i="98"/>
  <c r="Y9" i="98"/>
  <c r="AB8" i="98"/>
  <c r="G4" i="99" s="1"/>
  <c r="AA8" i="98"/>
  <c r="Z8" i="98"/>
  <c r="Y8" i="98"/>
  <c r="X8" i="98"/>
  <c r="W8" i="98"/>
  <c r="Q8" i="98"/>
  <c r="P8" i="98"/>
  <c r="AB7" i="98"/>
  <c r="AA7" i="98"/>
  <c r="Z7" i="98"/>
  <c r="Y7" i="98"/>
  <c r="AB6" i="98"/>
  <c r="AA6" i="98"/>
  <c r="Z6" i="98"/>
  <c r="Y6" i="98"/>
  <c r="AB5" i="98"/>
  <c r="G3" i="99" s="1"/>
  <c r="AA5" i="98"/>
  <c r="Z5" i="98"/>
  <c r="Y5" i="98"/>
  <c r="X5" i="98"/>
  <c r="Q5" i="98"/>
  <c r="P5" i="98"/>
  <c r="AB4" i="98"/>
  <c r="AA4" i="98"/>
  <c r="Z4" i="98"/>
  <c r="Y4" i="98"/>
  <c r="AB3" i="98"/>
  <c r="G2" i="99" s="1"/>
  <c r="AA3" i="98"/>
  <c r="Z3" i="98"/>
  <c r="Y3" i="98"/>
  <c r="W3" i="98"/>
  <c r="Z18" i="98" l="1"/>
  <c r="Y35" i="98"/>
  <c r="Y18" i="98"/>
  <c r="M5" i="101"/>
  <c r="I12" i="99"/>
  <c r="L12" i="99" s="1"/>
  <c r="I2" i="99"/>
  <c r="L2" i="99" s="1"/>
  <c r="I3" i="99"/>
  <c r="L3" i="99" s="1"/>
  <c r="I8" i="99"/>
  <c r="L8" i="99" s="1"/>
  <c r="I13" i="99"/>
  <c r="L13" i="99" s="1"/>
  <c r="I20" i="99"/>
  <c r="L20" i="99" s="1"/>
  <c r="I24" i="99"/>
  <c r="L24" i="99" s="1"/>
  <c r="I25" i="99"/>
  <c r="L25" i="99" s="1"/>
  <c r="I29" i="99"/>
  <c r="L29" i="99" s="1"/>
  <c r="I30" i="99"/>
  <c r="L30" i="99" s="1"/>
  <c r="I34" i="99"/>
  <c r="L34" i="99" s="1"/>
  <c r="I35" i="99"/>
  <c r="L35" i="99" s="1"/>
  <c r="I39" i="99"/>
  <c r="L39" i="99" s="1"/>
  <c r="I7" i="99"/>
  <c r="L7" i="99" s="1"/>
  <c r="I11" i="99"/>
  <c r="L11" i="99" s="1"/>
  <c r="I16" i="99"/>
  <c r="L16" i="99" s="1"/>
  <c r="I17" i="99"/>
  <c r="L17" i="99" s="1"/>
  <c r="I19" i="99"/>
  <c r="L19" i="99" s="1"/>
  <c r="I23" i="99"/>
  <c r="L23" i="99" s="1"/>
  <c r="I28" i="99"/>
  <c r="L28" i="99" s="1"/>
  <c r="I33" i="99"/>
  <c r="L33" i="99" s="1"/>
  <c r="I38" i="99"/>
  <c r="L38" i="99" s="1"/>
  <c r="I5" i="99"/>
  <c r="L5" i="99" s="1"/>
  <c r="I6" i="99"/>
  <c r="L6" i="99" s="1"/>
  <c r="I10" i="99"/>
  <c r="L10" i="99" s="1"/>
  <c r="I15" i="99"/>
  <c r="L15" i="99" s="1"/>
  <c r="I22" i="99"/>
  <c r="L22" i="99" s="1"/>
  <c r="I27" i="99"/>
  <c r="L27" i="99" s="1"/>
  <c r="I32" i="99"/>
  <c r="L32" i="99" s="1"/>
  <c r="I37" i="99"/>
  <c r="L37" i="99" s="1"/>
  <c r="I4" i="99"/>
  <c r="L4" i="99" s="1"/>
  <c r="I9" i="99"/>
  <c r="L9" i="99" s="1"/>
  <c r="I14" i="99"/>
  <c r="L14" i="99" s="1"/>
  <c r="I21" i="99"/>
  <c r="L21" i="99" s="1"/>
  <c r="I26" i="99"/>
  <c r="L26" i="99" s="1"/>
  <c r="I31" i="99"/>
  <c r="L31" i="99" s="1"/>
  <c r="I36" i="99"/>
  <c r="L36" i="99" s="1"/>
  <c r="M16" i="99" l="1"/>
  <c r="M5" i="99"/>
  <c r="M11" i="99"/>
  <c r="M34" i="99"/>
  <c r="M24" i="99"/>
  <c r="M2" i="99"/>
  <c r="M29" i="99"/>
  <c r="AA113" i="96"/>
  <c r="Z113" i="96"/>
  <c r="Y113" i="96"/>
  <c r="AA112" i="96"/>
  <c r="Z112" i="96"/>
  <c r="Y112" i="96"/>
  <c r="X112" i="96"/>
  <c r="Q112" i="96"/>
  <c r="P112" i="96"/>
  <c r="AA111" i="96"/>
  <c r="Z111" i="96"/>
  <c r="Y111" i="96"/>
  <c r="AA110" i="96"/>
  <c r="Z110" i="96"/>
  <c r="Y110" i="96"/>
  <c r="AA109" i="96"/>
  <c r="Z109" i="96"/>
  <c r="Y109" i="96"/>
  <c r="AA108" i="96"/>
  <c r="Z108" i="96"/>
  <c r="Y108" i="96"/>
  <c r="X108" i="96"/>
  <c r="Q108" i="96"/>
  <c r="P108" i="96"/>
  <c r="AA107" i="96"/>
  <c r="Z107" i="96"/>
  <c r="Y107" i="96"/>
  <c r="AA106" i="96"/>
  <c r="Z106" i="96"/>
  <c r="Y106" i="96"/>
  <c r="AA105" i="96"/>
  <c r="Z105" i="96"/>
  <c r="Y105" i="96"/>
  <c r="X105" i="96"/>
  <c r="Q105" i="96"/>
  <c r="P105" i="96"/>
  <c r="AA104" i="96"/>
  <c r="Z104" i="96"/>
  <c r="Y104" i="96"/>
  <c r="AA103" i="96"/>
  <c r="Z103" i="96"/>
  <c r="Y103" i="96"/>
  <c r="X103" i="96"/>
  <c r="Q103" i="96"/>
  <c r="P103" i="96"/>
  <c r="AA102" i="96"/>
  <c r="Z102" i="96"/>
  <c r="Y102" i="96"/>
  <c r="AA101" i="96"/>
  <c r="Z101" i="96"/>
  <c r="Y101" i="96"/>
  <c r="AA100" i="96"/>
  <c r="Z100" i="96"/>
  <c r="Y100" i="96"/>
  <c r="X100" i="96"/>
  <c r="AA99" i="96"/>
  <c r="Z99" i="96"/>
  <c r="Y99" i="96"/>
  <c r="AA98" i="96"/>
  <c r="Z98" i="96"/>
  <c r="Y98" i="96"/>
  <c r="AA97" i="96"/>
  <c r="Z97" i="96"/>
  <c r="Y97" i="96"/>
  <c r="AA96" i="96"/>
  <c r="Z96" i="96"/>
  <c r="Y96" i="96"/>
  <c r="AA95" i="96"/>
  <c r="Z95" i="96"/>
  <c r="Y95" i="96"/>
  <c r="AA94" i="96"/>
  <c r="Z94" i="96"/>
  <c r="Y94" i="96"/>
  <c r="AA93" i="96"/>
  <c r="Z93" i="96"/>
  <c r="Y93" i="96"/>
  <c r="AA92" i="96"/>
  <c r="G30" i="97" s="1"/>
  <c r="Z92" i="96"/>
  <c r="Y92" i="96"/>
  <c r="AA91" i="96"/>
  <c r="G29" i="97" s="1"/>
  <c r="Z91" i="96"/>
  <c r="Y91" i="96"/>
  <c r="AA90" i="96"/>
  <c r="G28" i="97" s="1"/>
  <c r="Z90" i="96"/>
  <c r="Y90" i="96"/>
  <c r="AA89" i="96"/>
  <c r="Z89" i="96"/>
  <c r="Y89" i="96"/>
  <c r="AA88" i="96"/>
  <c r="Z88" i="96"/>
  <c r="Y88" i="96"/>
  <c r="AA87" i="96"/>
  <c r="Z87" i="96"/>
  <c r="Y87" i="96"/>
  <c r="AA86" i="96"/>
  <c r="Z86" i="96"/>
  <c r="Y86" i="96"/>
  <c r="AA85" i="96"/>
  <c r="Z85" i="96"/>
  <c r="Y85" i="96"/>
  <c r="AA84" i="96"/>
  <c r="Z84" i="96"/>
  <c r="Y84" i="96"/>
  <c r="AA83" i="96"/>
  <c r="G26" i="97" s="1"/>
  <c r="Z83" i="96"/>
  <c r="Y83" i="96"/>
  <c r="X83" i="96"/>
  <c r="Q83" i="96"/>
  <c r="E26" i="97" s="1"/>
  <c r="P83" i="96"/>
  <c r="AA82" i="96"/>
  <c r="Z82" i="96"/>
  <c r="Y82" i="96"/>
  <c r="AA81" i="96"/>
  <c r="Z81" i="96"/>
  <c r="Y81" i="96"/>
  <c r="AA80" i="96"/>
  <c r="Z80" i="96"/>
  <c r="Y80" i="96"/>
  <c r="X80" i="96"/>
  <c r="Q80" i="96"/>
  <c r="P80" i="96"/>
  <c r="AA79" i="96"/>
  <c r="Z79" i="96"/>
  <c r="Y79" i="96"/>
  <c r="AA78" i="96"/>
  <c r="Z78" i="96"/>
  <c r="Y78" i="96"/>
  <c r="AA77" i="96"/>
  <c r="G25" i="97" s="1"/>
  <c r="Z77" i="96"/>
  <c r="Y77" i="96"/>
  <c r="X77" i="96"/>
  <c r="P77" i="96"/>
  <c r="AA76" i="96"/>
  <c r="Z76" i="96"/>
  <c r="Y76" i="96"/>
  <c r="AA75" i="96"/>
  <c r="Z75" i="96"/>
  <c r="Y75" i="96"/>
  <c r="AA74" i="96"/>
  <c r="Z74" i="96"/>
  <c r="Y74" i="96"/>
  <c r="AA73" i="96"/>
  <c r="Z73" i="96"/>
  <c r="Y73" i="96"/>
  <c r="AA72" i="96"/>
  <c r="G23" i="97" s="1"/>
  <c r="Z72" i="96"/>
  <c r="Y72" i="96"/>
  <c r="X72" i="96"/>
  <c r="P72" i="96"/>
  <c r="AA71" i="96"/>
  <c r="Z71" i="96"/>
  <c r="Y71" i="96"/>
  <c r="AA70" i="96"/>
  <c r="Z70" i="96"/>
  <c r="Y70" i="96"/>
  <c r="AA69" i="96"/>
  <c r="Z69" i="96"/>
  <c r="Y69" i="96"/>
  <c r="AA68" i="96"/>
  <c r="G22" i="97" s="1"/>
  <c r="Z68" i="96"/>
  <c r="Y68" i="96"/>
  <c r="X68" i="96"/>
  <c r="Q68" i="96"/>
  <c r="P68" i="96"/>
  <c r="AA67" i="96"/>
  <c r="Z67" i="96"/>
  <c r="Y67" i="96"/>
  <c r="AA66" i="96"/>
  <c r="Z66" i="96"/>
  <c r="Y66" i="96"/>
  <c r="AA65" i="96"/>
  <c r="G21" i="97" s="1"/>
  <c r="Z65" i="96"/>
  <c r="Y65" i="96"/>
  <c r="X65" i="96"/>
  <c r="Q65" i="96"/>
  <c r="P65" i="96"/>
  <c r="AA64" i="96"/>
  <c r="Z64" i="96"/>
  <c r="Y64" i="96"/>
  <c r="AA63" i="96"/>
  <c r="Z63" i="96"/>
  <c r="Y63" i="96"/>
  <c r="AA62" i="96"/>
  <c r="G20" i="97" s="1"/>
  <c r="Z62" i="96"/>
  <c r="Y62" i="96"/>
  <c r="X62" i="96"/>
  <c r="Q62" i="96"/>
  <c r="P62" i="96"/>
  <c r="AA61" i="96"/>
  <c r="Z61" i="96"/>
  <c r="Y61" i="96"/>
  <c r="AA60" i="96"/>
  <c r="G19" i="97" s="1"/>
  <c r="Z60" i="96"/>
  <c r="Y60" i="96"/>
  <c r="X60" i="96"/>
  <c r="Q60" i="96"/>
  <c r="E19" i="97" s="1"/>
  <c r="P60" i="96"/>
  <c r="AA59" i="96"/>
  <c r="Z59" i="96"/>
  <c r="Y59" i="96"/>
  <c r="AA58" i="96"/>
  <c r="Z58" i="96"/>
  <c r="Y58" i="96"/>
  <c r="AA57" i="96"/>
  <c r="G18" i="97" s="1"/>
  <c r="Z57" i="96"/>
  <c r="Y57" i="96"/>
  <c r="AA56" i="96"/>
  <c r="Z56" i="96"/>
  <c r="Y56" i="96"/>
  <c r="AA55" i="96"/>
  <c r="Z55" i="96"/>
  <c r="Y55" i="96"/>
  <c r="AA54" i="96"/>
  <c r="G17" i="97" s="1"/>
  <c r="Z54" i="96"/>
  <c r="Y54" i="96"/>
  <c r="AA53" i="96"/>
  <c r="G16" i="97" s="1"/>
  <c r="Z53" i="96"/>
  <c r="Y53" i="96"/>
  <c r="X53" i="96"/>
  <c r="Q53" i="96"/>
  <c r="E16" i="97" s="1"/>
  <c r="P53" i="96"/>
  <c r="AA52" i="96"/>
  <c r="Z52" i="96"/>
  <c r="Y52" i="96"/>
  <c r="AA51" i="96"/>
  <c r="Z51" i="96"/>
  <c r="Y51" i="96"/>
  <c r="AA50" i="96"/>
  <c r="Z50" i="96"/>
  <c r="Y50" i="96"/>
  <c r="AA49" i="96"/>
  <c r="G15" i="97" s="1"/>
  <c r="Z49" i="96"/>
  <c r="Y49" i="96"/>
  <c r="X49" i="96"/>
  <c r="S49" i="96"/>
  <c r="T49" i="96" s="1"/>
  <c r="Q49" i="96"/>
  <c r="AA48" i="96"/>
  <c r="Z48" i="96"/>
  <c r="Y48" i="96"/>
  <c r="AA47" i="96"/>
  <c r="Z47" i="96"/>
  <c r="Y47" i="96"/>
  <c r="AA46" i="96"/>
  <c r="Z46" i="96"/>
  <c r="Y46" i="96"/>
  <c r="AA45" i="96"/>
  <c r="Z45" i="96"/>
  <c r="Y45" i="96"/>
  <c r="AA44" i="96"/>
  <c r="G14" i="97" s="1"/>
  <c r="Z44" i="96"/>
  <c r="Y44" i="96"/>
  <c r="S44" i="96"/>
  <c r="T44" i="96" s="1"/>
  <c r="AA43" i="96"/>
  <c r="G13" i="97" s="1"/>
  <c r="Z43" i="96"/>
  <c r="Y43" i="96"/>
  <c r="AA42" i="96"/>
  <c r="G12" i="97" s="1"/>
  <c r="Z42" i="96"/>
  <c r="Y42" i="96"/>
  <c r="W42" i="96"/>
  <c r="AA41" i="96"/>
  <c r="Z41" i="96"/>
  <c r="Y41" i="96"/>
  <c r="AA40" i="96"/>
  <c r="Z40" i="96"/>
  <c r="Y40" i="96"/>
  <c r="AA39" i="96"/>
  <c r="G11" i="97" s="1"/>
  <c r="Z39" i="96"/>
  <c r="Y39" i="96"/>
  <c r="X39" i="96"/>
  <c r="Q39" i="96"/>
  <c r="E11" i="97" s="1"/>
  <c r="P39" i="96"/>
  <c r="AA38" i="96"/>
  <c r="Z38" i="96"/>
  <c r="Y38" i="96"/>
  <c r="AA37" i="96"/>
  <c r="Z37" i="96"/>
  <c r="Y37" i="96"/>
  <c r="AA36" i="96"/>
  <c r="G10" i="97" s="1"/>
  <c r="Z36" i="96"/>
  <c r="Y36" i="96"/>
  <c r="X36" i="96"/>
  <c r="Q36" i="96"/>
  <c r="E10" i="97" s="1"/>
  <c r="P36" i="96"/>
  <c r="X35" i="96"/>
  <c r="Q35" i="96"/>
  <c r="P35" i="96"/>
  <c r="AA34" i="96"/>
  <c r="Z34" i="96"/>
  <c r="Y34" i="96"/>
  <c r="AA33" i="96"/>
  <c r="Z33" i="96"/>
  <c r="Y33" i="96"/>
  <c r="AA32" i="96"/>
  <c r="Z32" i="96"/>
  <c r="Y32" i="96"/>
  <c r="AA31" i="96"/>
  <c r="Z31" i="96"/>
  <c r="Y31" i="96"/>
  <c r="AA30" i="96"/>
  <c r="Z30" i="96"/>
  <c r="Y30" i="96"/>
  <c r="AA29" i="96"/>
  <c r="Z29" i="96"/>
  <c r="Y29" i="96"/>
  <c r="AA28" i="96"/>
  <c r="Z28" i="96"/>
  <c r="Y28" i="96"/>
  <c r="AA27" i="96"/>
  <c r="Z27" i="96"/>
  <c r="Y27" i="96"/>
  <c r="AA26" i="96"/>
  <c r="Z26" i="96"/>
  <c r="Y26" i="96"/>
  <c r="AA25" i="96"/>
  <c r="Z25" i="96"/>
  <c r="Y25" i="96"/>
  <c r="AA24" i="96"/>
  <c r="Z24" i="96"/>
  <c r="Y24" i="96"/>
  <c r="AA23" i="96"/>
  <c r="G9" i="97" s="1"/>
  <c r="Z23" i="96"/>
  <c r="Y23" i="96"/>
  <c r="X23" i="96"/>
  <c r="Q23" i="96"/>
  <c r="P23" i="96"/>
  <c r="AA22" i="96"/>
  <c r="Z22" i="96"/>
  <c r="Y22" i="96"/>
  <c r="AA21" i="96"/>
  <c r="G8" i="97" s="1"/>
  <c r="Z21" i="96"/>
  <c r="Y21" i="96"/>
  <c r="X21" i="96"/>
  <c r="Q21" i="96"/>
  <c r="P21" i="96"/>
  <c r="AA20" i="96"/>
  <c r="Z20" i="96"/>
  <c r="Y20" i="96"/>
  <c r="AA19" i="96"/>
  <c r="Z19" i="96"/>
  <c r="Y19" i="96"/>
  <c r="X19" i="96"/>
  <c r="Q19" i="96"/>
  <c r="P19" i="96"/>
  <c r="X18" i="96"/>
  <c r="Q18" i="96"/>
  <c r="P18" i="96"/>
  <c r="E18" i="96"/>
  <c r="AA17" i="96"/>
  <c r="Z17" i="96"/>
  <c r="Y17" i="96"/>
  <c r="AA16" i="96"/>
  <c r="Z16" i="96"/>
  <c r="Y16" i="96"/>
  <c r="AA15" i="96"/>
  <c r="Z15" i="96"/>
  <c r="Y15" i="96"/>
  <c r="AA14" i="96"/>
  <c r="Z14" i="96"/>
  <c r="Y14" i="96"/>
  <c r="AA13" i="96"/>
  <c r="G6" i="97" s="1"/>
  <c r="Z13" i="96"/>
  <c r="Y13" i="96"/>
  <c r="X13" i="96"/>
  <c r="Q13" i="96"/>
  <c r="E6" i="97" s="1"/>
  <c r="P13" i="96"/>
  <c r="AA12" i="96"/>
  <c r="Z12" i="96"/>
  <c r="Y12" i="96"/>
  <c r="AA11" i="96"/>
  <c r="G5" i="97" s="1"/>
  <c r="Z11" i="96"/>
  <c r="Y11" i="96"/>
  <c r="X11" i="96"/>
  <c r="T11" i="96"/>
  <c r="U11" i="96" s="1"/>
  <c r="V11" i="96" s="1"/>
  <c r="Q11" i="96"/>
  <c r="E5" i="97" s="1"/>
  <c r="P11" i="96"/>
  <c r="AA10" i="96"/>
  <c r="Z10" i="96"/>
  <c r="Y10" i="96"/>
  <c r="AA9" i="96"/>
  <c r="Z9" i="96"/>
  <c r="Y9" i="96"/>
  <c r="AA8" i="96"/>
  <c r="G4" i="97" s="1"/>
  <c r="Z8" i="96"/>
  <c r="Y8" i="96"/>
  <c r="X8" i="96"/>
  <c r="W8" i="96"/>
  <c r="Q8" i="96"/>
  <c r="P8" i="96"/>
  <c r="AA7" i="96"/>
  <c r="Z7" i="96"/>
  <c r="Y7" i="96"/>
  <c r="AA6" i="96"/>
  <c r="Z6" i="96"/>
  <c r="Y6" i="96"/>
  <c r="AA5" i="96"/>
  <c r="G3" i="97" s="1"/>
  <c r="Z5" i="96"/>
  <c r="Y5" i="96"/>
  <c r="X5" i="96"/>
  <c r="Q5" i="96"/>
  <c r="P5" i="96"/>
  <c r="AA4" i="96"/>
  <c r="Z4" i="96"/>
  <c r="Y4" i="96"/>
  <c r="AA3" i="96"/>
  <c r="G2" i="97" s="1"/>
  <c r="Z3" i="96"/>
  <c r="Y3" i="96"/>
  <c r="W3" i="96"/>
  <c r="H5" i="97"/>
  <c r="H31" i="97"/>
  <c r="F31" i="97"/>
  <c r="E31" i="97"/>
  <c r="D31" i="97"/>
  <c r="H30" i="97"/>
  <c r="F30" i="97"/>
  <c r="E30" i="97"/>
  <c r="D30" i="97"/>
  <c r="H29" i="97"/>
  <c r="F29" i="97"/>
  <c r="E29" i="97"/>
  <c r="D29" i="97"/>
  <c r="H28" i="97"/>
  <c r="F28" i="97"/>
  <c r="E28" i="97"/>
  <c r="D28" i="97"/>
  <c r="H27" i="97"/>
  <c r="F27" i="97"/>
  <c r="E27" i="97"/>
  <c r="D27" i="97"/>
  <c r="H26" i="97"/>
  <c r="F26" i="97"/>
  <c r="D26" i="97"/>
  <c r="H25" i="97"/>
  <c r="F25" i="97"/>
  <c r="E25" i="97"/>
  <c r="D25" i="97"/>
  <c r="H24" i="97"/>
  <c r="F24" i="97"/>
  <c r="E24" i="97"/>
  <c r="D24" i="97"/>
  <c r="H23" i="97"/>
  <c r="F23" i="97"/>
  <c r="E23" i="97"/>
  <c r="D23" i="97"/>
  <c r="H22" i="97"/>
  <c r="F22" i="97"/>
  <c r="E22" i="97"/>
  <c r="D22" i="97"/>
  <c r="H21" i="97"/>
  <c r="F21" i="97"/>
  <c r="E21" i="97"/>
  <c r="D21" i="97"/>
  <c r="H20" i="97"/>
  <c r="F20" i="97"/>
  <c r="E20" i="97"/>
  <c r="D20" i="97"/>
  <c r="H19" i="97"/>
  <c r="F19" i="97"/>
  <c r="D19" i="97"/>
  <c r="H18" i="97"/>
  <c r="F18" i="97"/>
  <c r="E18" i="97"/>
  <c r="D18" i="97"/>
  <c r="H17" i="97"/>
  <c r="F17" i="97"/>
  <c r="E17" i="97"/>
  <c r="D17" i="97"/>
  <c r="H16" i="97"/>
  <c r="F16" i="97"/>
  <c r="D16" i="97"/>
  <c r="F15" i="97"/>
  <c r="E15" i="97"/>
  <c r="D15" i="97"/>
  <c r="F14" i="97"/>
  <c r="E14" i="97"/>
  <c r="D14" i="97"/>
  <c r="H13" i="97"/>
  <c r="F13" i="97"/>
  <c r="E13" i="97"/>
  <c r="D13" i="97"/>
  <c r="H12" i="97"/>
  <c r="F12" i="97"/>
  <c r="E12" i="97"/>
  <c r="D12" i="97"/>
  <c r="H11" i="97"/>
  <c r="F11" i="97"/>
  <c r="D11" i="97"/>
  <c r="H10" i="97"/>
  <c r="F10" i="97"/>
  <c r="D10" i="97"/>
  <c r="H9" i="97"/>
  <c r="F9" i="97"/>
  <c r="E9" i="97"/>
  <c r="D9" i="97"/>
  <c r="H8" i="97"/>
  <c r="F8" i="97"/>
  <c r="E8" i="97"/>
  <c r="D8" i="97"/>
  <c r="H7" i="97"/>
  <c r="F7" i="97"/>
  <c r="E7" i="97"/>
  <c r="D7" i="97"/>
  <c r="H6" i="97"/>
  <c r="F6" i="97"/>
  <c r="D6" i="97"/>
  <c r="F5" i="97"/>
  <c r="D5" i="97"/>
  <c r="H4" i="97"/>
  <c r="F4" i="97"/>
  <c r="E4" i="97"/>
  <c r="D4" i="97"/>
  <c r="H3" i="97"/>
  <c r="F3" i="97"/>
  <c r="E3" i="97"/>
  <c r="D3" i="97"/>
  <c r="H2" i="97"/>
  <c r="F2" i="97"/>
  <c r="E2" i="97"/>
  <c r="D2" i="97"/>
  <c r="G31" i="97"/>
  <c r="G27" i="97"/>
  <c r="G24" i="97"/>
  <c r="G7" i="97"/>
  <c r="Y18" i="96" l="1"/>
  <c r="Y35" i="96"/>
  <c r="Z18" i="96"/>
  <c r="Z35" i="96"/>
  <c r="AA18" i="96"/>
  <c r="AA35" i="96"/>
  <c r="U44" i="96"/>
  <c r="V44" i="96" s="1"/>
  <c r="H14" i="97"/>
  <c r="H15" i="97"/>
  <c r="I15" i="97" s="1"/>
  <c r="L15" i="97" s="1"/>
  <c r="U49" i="96"/>
  <c r="V49" i="96" s="1"/>
  <c r="I7" i="97"/>
  <c r="L7" i="97" s="1"/>
  <c r="I11" i="97"/>
  <c r="L11" i="97" s="1"/>
  <c r="I12" i="97"/>
  <c r="L12" i="97" s="1"/>
  <c r="I16" i="97"/>
  <c r="L16" i="97" s="1"/>
  <c r="I17" i="97"/>
  <c r="L17" i="97" s="1"/>
  <c r="I21" i="97"/>
  <c r="L21" i="97" s="1"/>
  <c r="I26" i="97"/>
  <c r="L26" i="97" s="1"/>
  <c r="I31" i="97"/>
  <c r="L31" i="97" s="1"/>
  <c r="I5" i="97"/>
  <c r="L5" i="97" s="1"/>
  <c r="I6" i="97"/>
  <c r="L6" i="97" s="1"/>
  <c r="I10" i="97"/>
  <c r="L10" i="97" s="1"/>
  <c r="I20" i="97"/>
  <c r="L20" i="97" s="1"/>
  <c r="I24" i="97"/>
  <c r="L24" i="97" s="1"/>
  <c r="I25" i="97"/>
  <c r="L25" i="97" s="1"/>
  <c r="I30" i="97"/>
  <c r="L30" i="97" s="1"/>
  <c r="I4" i="97"/>
  <c r="L4" i="97" s="1"/>
  <c r="I9" i="97"/>
  <c r="L9" i="97" s="1"/>
  <c r="I14" i="97"/>
  <c r="L14" i="97" s="1"/>
  <c r="I19" i="97"/>
  <c r="L19" i="97" s="1"/>
  <c r="I23" i="97"/>
  <c r="L23" i="97" s="1"/>
  <c r="I28" i="97"/>
  <c r="L28" i="97" s="1"/>
  <c r="I29" i="97"/>
  <c r="L29" i="97" s="1"/>
  <c r="I2" i="97"/>
  <c r="L2" i="97" s="1"/>
  <c r="I3" i="97"/>
  <c r="L3" i="97" s="1"/>
  <c r="I8" i="97"/>
  <c r="L8" i="97" s="1"/>
  <c r="I13" i="97"/>
  <c r="L13" i="97" s="1"/>
  <c r="I18" i="97"/>
  <c r="L18" i="97" s="1"/>
  <c r="I22" i="97"/>
  <c r="L22" i="97" s="1"/>
  <c r="I27" i="97"/>
  <c r="L27" i="97" s="1"/>
  <c r="M24" i="97" l="1"/>
  <c r="M11" i="97"/>
  <c r="M5" i="97"/>
  <c r="M2" i="97"/>
  <c r="M16" i="97"/>
  <c r="M28" i="97"/>
  <c r="H39" i="95"/>
  <c r="F39" i="95"/>
  <c r="E39" i="95"/>
  <c r="D39" i="95"/>
  <c r="H38" i="95"/>
  <c r="F38" i="95"/>
  <c r="E38" i="95"/>
  <c r="D38" i="95"/>
  <c r="H37" i="95"/>
  <c r="F37" i="95"/>
  <c r="E37" i="95"/>
  <c r="D37" i="95"/>
  <c r="H36" i="95"/>
  <c r="F36" i="95"/>
  <c r="E36" i="95"/>
  <c r="D36" i="95"/>
  <c r="H35" i="95"/>
  <c r="F35" i="95"/>
  <c r="E35" i="95"/>
  <c r="D35" i="95"/>
  <c r="H34" i="95"/>
  <c r="F34" i="95"/>
  <c r="E34" i="95"/>
  <c r="D34" i="95"/>
  <c r="H33" i="95"/>
  <c r="F33" i="95"/>
  <c r="E33" i="95"/>
  <c r="D33" i="95"/>
  <c r="H32" i="95"/>
  <c r="F32" i="95"/>
  <c r="E32" i="95"/>
  <c r="D32" i="95"/>
  <c r="H31" i="95"/>
  <c r="F31" i="95"/>
  <c r="E31" i="95"/>
  <c r="D31" i="95"/>
  <c r="H30" i="95"/>
  <c r="F30" i="95"/>
  <c r="E30" i="95"/>
  <c r="D30" i="95"/>
  <c r="H29" i="95"/>
  <c r="F29" i="95"/>
  <c r="E29" i="95"/>
  <c r="D29" i="95"/>
  <c r="H28" i="95"/>
  <c r="F28" i="95"/>
  <c r="E28" i="95"/>
  <c r="D28" i="95"/>
  <c r="H27" i="95"/>
  <c r="F27" i="95"/>
  <c r="E27" i="95"/>
  <c r="D27" i="95"/>
  <c r="H26" i="95"/>
  <c r="F26" i="95"/>
  <c r="E26" i="95"/>
  <c r="D26" i="95"/>
  <c r="H25" i="95"/>
  <c r="F25" i="95"/>
  <c r="E25" i="95"/>
  <c r="D25" i="95"/>
  <c r="H24" i="95"/>
  <c r="F24" i="95"/>
  <c r="E24" i="95"/>
  <c r="D24" i="95"/>
  <c r="H23" i="95"/>
  <c r="F23" i="95"/>
  <c r="E23" i="95"/>
  <c r="D23" i="95"/>
  <c r="H22" i="95"/>
  <c r="F22" i="95"/>
  <c r="E22" i="95"/>
  <c r="D22" i="95"/>
  <c r="H21" i="95"/>
  <c r="F21" i="95"/>
  <c r="E21" i="95"/>
  <c r="D21" i="95"/>
  <c r="H20" i="95"/>
  <c r="F20" i="95"/>
  <c r="E20" i="95"/>
  <c r="D20" i="95"/>
  <c r="H19" i="95"/>
  <c r="F19" i="95"/>
  <c r="E19" i="95"/>
  <c r="D19" i="95"/>
  <c r="H18" i="95"/>
  <c r="F18" i="95"/>
  <c r="E18" i="95"/>
  <c r="D18" i="95"/>
  <c r="H17" i="95"/>
  <c r="F17" i="95"/>
  <c r="E17" i="95"/>
  <c r="D17" i="95"/>
  <c r="H16" i="95"/>
  <c r="F16" i="95"/>
  <c r="E16" i="95"/>
  <c r="D16" i="95"/>
  <c r="H15" i="95"/>
  <c r="F15" i="95"/>
  <c r="E15" i="95"/>
  <c r="D15" i="95"/>
  <c r="H14" i="95"/>
  <c r="F14" i="95"/>
  <c r="E14" i="95"/>
  <c r="D14" i="95"/>
  <c r="H13" i="95"/>
  <c r="F13" i="95"/>
  <c r="E13" i="95"/>
  <c r="D13" i="95"/>
  <c r="H12" i="95"/>
  <c r="F12" i="95"/>
  <c r="E12" i="95"/>
  <c r="D12" i="95"/>
  <c r="H11" i="95"/>
  <c r="F11" i="95"/>
  <c r="E11" i="95"/>
  <c r="D11" i="95"/>
  <c r="H10" i="95"/>
  <c r="F10" i="95"/>
  <c r="E10" i="95"/>
  <c r="D10" i="95"/>
  <c r="H9" i="95"/>
  <c r="F9" i="95"/>
  <c r="E9" i="95"/>
  <c r="D9" i="95"/>
  <c r="H8" i="95"/>
  <c r="F8" i="95"/>
  <c r="E8" i="95"/>
  <c r="D8" i="95"/>
  <c r="H7" i="95"/>
  <c r="F7" i="95"/>
  <c r="E7" i="95"/>
  <c r="D7" i="95"/>
  <c r="H6" i="95"/>
  <c r="F6" i="95"/>
  <c r="E6" i="95"/>
  <c r="D6" i="95"/>
  <c r="H5" i="95"/>
  <c r="F5" i="95"/>
  <c r="E5" i="95"/>
  <c r="D5" i="95"/>
  <c r="H4" i="95"/>
  <c r="F4" i="95"/>
  <c r="E4" i="95"/>
  <c r="D4" i="95"/>
  <c r="H3" i="95"/>
  <c r="F3" i="95"/>
  <c r="E3" i="95"/>
  <c r="D3" i="95"/>
  <c r="H2" i="95"/>
  <c r="F2" i="95"/>
  <c r="E2" i="95"/>
  <c r="D2" i="95"/>
  <c r="L18" i="95"/>
  <c r="Z111" i="94"/>
  <c r="G39" i="95" s="1"/>
  <c r="I39" i="95" s="1"/>
  <c r="L39" i="95" s="1"/>
  <c r="Y111" i="94"/>
  <c r="Z110" i="94"/>
  <c r="G38" i="95" s="1"/>
  <c r="Y110" i="94"/>
  <c r="X110" i="94"/>
  <c r="Q110" i="94"/>
  <c r="P110" i="94"/>
  <c r="Z109" i="94"/>
  <c r="Y109" i="94"/>
  <c r="Z108" i="94"/>
  <c r="G37" i="95" s="1"/>
  <c r="Y108" i="94"/>
  <c r="Z107" i="94"/>
  <c r="Y107" i="94"/>
  <c r="Z106" i="94"/>
  <c r="G36" i="95" s="1"/>
  <c r="Y106" i="94"/>
  <c r="X106" i="94"/>
  <c r="Q106" i="94"/>
  <c r="P106" i="94"/>
  <c r="Z105" i="94"/>
  <c r="Y105" i="94"/>
  <c r="Z104" i="94"/>
  <c r="Y104" i="94"/>
  <c r="Z103" i="94"/>
  <c r="G35" i="95" s="1"/>
  <c r="Y103" i="94"/>
  <c r="X103" i="94"/>
  <c r="Q103" i="94"/>
  <c r="P103" i="94"/>
  <c r="Z102" i="94"/>
  <c r="Y102" i="94"/>
  <c r="Z101" i="94"/>
  <c r="G34" i="95" s="1"/>
  <c r="Y101" i="94"/>
  <c r="X101" i="94"/>
  <c r="Q101" i="94"/>
  <c r="P101" i="94"/>
  <c r="Z100" i="94"/>
  <c r="Y100" i="94"/>
  <c r="Z99" i="94"/>
  <c r="Y99" i="94"/>
  <c r="Z98" i="94"/>
  <c r="G33" i="95" s="1"/>
  <c r="Y98" i="94"/>
  <c r="X98" i="94"/>
  <c r="Z97" i="94"/>
  <c r="Y97" i="94"/>
  <c r="Z96" i="94"/>
  <c r="Y96" i="94"/>
  <c r="Z95" i="94"/>
  <c r="Y95" i="94"/>
  <c r="Z94" i="94"/>
  <c r="Y94" i="94"/>
  <c r="Z93" i="94"/>
  <c r="Y93" i="94"/>
  <c r="Z92" i="94"/>
  <c r="Y92" i="94"/>
  <c r="Z91" i="94"/>
  <c r="G32" i="95" s="1"/>
  <c r="Y91" i="94"/>
  <c r="Z90" i="94"/>
  <c r="G31" i="95" s="1"/>
  <c r="Y90" i="94"/>
  <c r="Z89" i="94"/>
  <c r="G30" i="95" s="1"/>
  <c r="Y89" i="94"/>
  <c r="Z88" i="94"/>
  <c r="G29" i="95" s="1"/>
  <c r="Y88" i="94"/>
  <c r="Z87" i="94"/>
  <c r="G28" i="95" s="1"/>
  <c r="Y87" i="94"/>
  <c r="Z86" i="94"/>
  <c r="Y86" i="94"/>
  <c r="Z85" i="94"/>
  <c r="Y85" i="94"/>
  <c r="Z84" i="94"/>
  <c r="Y84" i="94"/>
  <c r="Z83" i="94"/>
  <c r="Y83" i="94"/>
  <c r="Z82" i="94"/>
  <c r="Y82" i="94"/>
  <c r="Z81" i="94"/>
  <c r="G27" i="95" s="1"/>
  <c r="Y81" i="94"/>
  <c r="X81" i="94"/>
  <c r="Q81" i="94"/>
  <c r="P81" i="94"/>
  <c r="Z80" i="94"/>
  <c r="Y80" i="94"/>
  <c r="Z79" i="94"/>
  <c r="Y79" i="94"/>
  <c r="Z78" i="94"/>
  <c r="G26" i="95" s="1"/>
  <c r="Y78" i="94"/>
  <c r="X78" i="94"/>
  <c r="Q78" i="94"/>
  <c r="P78" i="94"/>
  <c r="Z77" i="94"/>
  <c r="Y77" i="94"/>
  <c r="Z76" i="94"/>
  <c r="Y76" i="94"/>
  <c r="Z75" i="94"/>
  <c r="G25" i="95" s="1"/>
  <c r="Y75" i="94"/>
  <c r="X75" i="94"/>
  <c r="P75" i="94"/>
  <c r="Z74" i="94"/>
  <c r="Y74" i="94"/>
  <c r="Z73" i="94"/>
  <c r="Y73" i="94"/>
  <c r="Z72" i="94"/>
  <c r="Y72" i="94"/>
  <c r="Z71" i="94"/>
  <c r="G24" i="95" s="1"/>
  <c r="Y71" i="94"/>
  <c r="Z70" i="94"/>
  <c r="G23" i="95" s="1"/>
  <c r="Y70" i="94"/>
  <c r="X70" i="94"/>
  <c r="P70" i="94"/>
  <c r="Z69" i="94"/>
  <c r="Y69" i="94"/>
  <c r="Z68" i="94"/>
  <c r="Y68" i="94"/>
  <c r="Z67" i="94"/>
  <c r="Y67" i="94"/>
  <c r="Z66" i="94"/>
  <c r="G22" i="95" s="1"/>
  <c r="Y66" i="94"/>
  <c r="X66" i="94"/>
  <c r="Q66" i="94"/>
  <c r="P66" i="94"/>
  <c r="Z65" i="94"/>
  <c r="Y65" i="94"/>
  <c r="Z64" i="94"/>
  <c r="Y64" i="94"/>
  <c r="Z63" i="94"/>
  <c r="G21" i="95" s="1"/>
  <c r="Y63" i="94"/>
  <c r="X63" i="94"/>
  <c r="Q63" i="94"/>
  <c r="P63" i="94"/>
  <c r="Z62" i="94"/>
  <c r="Y62" i="94"/>
  <c r="Z61" i="94"/>
  <c r="Y61" i="94"/>
  <c r="Z60" i="94"/>
  <c r="G20" i="95" s="1"/>
  <c r="Y60" i="94"/>
  <c r="X60" i="94"/>
  <c r="Q60" i="94"/>
  <c r="P60" i="94"/>
  <c r="Z59" i="94"/>
  <c r="Y59" i="94"/>
  <c r="Z58" i="94"/>
  <c r="G19" i="95" s="1"/>
  <c r="Y58" i="94"/>
  <c r="X58" i="94"/>
  <c r="Q58" i="94"/>
  <c r="P58" i="94"/>
  <c r="Z57" i="94"/>
  <c r="Y57" i="94"/>
  <c r="Z56" i="94"/>
  <c r="Y56" i="94"/>
  <c r="Z55" i="94"/>
  <c r="G18" i="95" s="1"/>
  <c r="Y55" i="94"/>
  <c r="Z54" i="94"/>
  <c r="Y54" i="94"/>
  <c r="Z53" i="94"/>
  <c r="Y53" i="94"/>
  <c r="Z52" i="94"/>
  <c r="G17" i="95" s="1"/>
  <c r="Y52" i="94"/>
  <c r="Z51" i="94"/>
  <c r="G16" i="95" s="1"/>
  <c r="Y51" i="94"/>
  <c r="X51" i="94"/>
  <c r="Q51" i="94"/>
  <c r="P51" i="94"/>
  <c r="Z50" i="94"/>
  <c r="Y50" i="94"/>
  <c r="Z49" i="94"/>
  <c r="Y49" i="94"/>
  <c r="Z48" i="94"/>
  <c r="Y48" i="94"/>
  <c r="Z47" i="94"/>
  <c r="G15" i="95" s="1"/>
  <c r="Y47" i="94"/>
  <c r="X47" i="94"/>
  <c r="T47" i="94"/>
  <c r="U47" i="94" s="1"/>
  <c r="V47" i="94" s="1"/>
  <c r="S47" i="94"/>
  <c r="Q47" i="94"/>
  <c r="Z46" i="94"/>
  <c r="Y46" i="94"/>
  <c r="Z45" i="94"/>
  <c r="Y45" i="94"/>
  <c r="Z44" i="94"/>
  <c r="Y44" i="94"/>
  <c r="Z43" i="94"/>
  <c r="Y43" i="94"/>
  <c r="Z42" i="94"/>
  <c r="G14" i="95" s="1"/>
  <c r="Y42" i="94"/>
  <c r="S42" i="94"/>
  <c r="T42" i="94" s="1"/>
  <c r="U42" i="94" s="1"/>
  <c r="V42" i="94" s="1"/>
  <c r="Z41" i="94"/>
  <c r="G13" i="95" s="1"/>
  <c r="Y41" i="94"/>
  <c r="Z40" i="94"/>
  <c r="G12" i="95" s="1"/>
  <c r="I12" i="95" s="1"/>
  <c r="L12" i="95" s="1"/>
  <c r="W40" i="94"/>
  <c r="Z39" i="94"/>
  <c r="Z38" i="94"/>
  <c r="Z37" i="94"/>
  <c r="G11" i="95" s="1"/>
  <c r="I11" i="95" s="1"/>
  <c r="L11" i="95" s="1"/>
  <c r="Y37" i="94"/>
  <c r="X37" i="94"/>
  <c r="Q37" i="94"/>
  <c r="P37" i="94"/>
  <c r="Z36" i="94"/>
  <c r="Y36" i="94"/>
  <c r="Z35" i="94"/>
  <c r="Y35" i="94"/>
  <c r="Z34" i="94"/>
  <c r="G10" i="95" s="1"/>
  <c r="Y34" i="94"/>
  <c r="X34" i="94"/>
  <c r="Q34" i="94"/>
  <c r="P34" i="94"/>
  <c r="Z33" i="94"/>
  <c r="Y33" i="94"/>
  <c r="Z32" i="94"/>
  <c r="Y32" i="94"/>
  <c r="Z31" i="94"/>
  <c r="Y31" i="94"/>
  <c r="Z30" i="94"/>
  <c r="Y30" i="94"/>
  <c r="Z29" i="94"/>
  <c r="Y29" i="94"/>
  <c r="Z28" i="94"/>
  <c r="Y28" i="94"/>
  <c r="Z27" i="94"/>
  <c r="Y27" i="94"/>
  <c r="Z26" i="94"/>
  <c r="Y26" i="94"/>
  <c r="Z25" i="94"/>
  <c r="Y25" i="94"/>
  <c r="Z24" i="94"/>
  <c r="Y24" i="94"/>
  <c r="Z23" i="94"/>
  <c r="Y23" i="94"/>
  <c r="Z22" i="94"/>
  <c r="G9" i="95" s="1"/>
  <c r="I9" i="95" s="1"/>
  <c r="L9" i="95" s="1"/>
  <c r="Y22" i="94"/>
  <c r="X22" i="94"/>
  <c r="Q22" i="94"/>
  <c r="P22" i="94"/>
  <c r="Z21" i="94"/>
  <c r="Y21" i="94"/>
  <c r="Z20" i="94"/>
  <c r="G8" i="95" s="1"/>
  <c r="Y20" i="94"/>
  <c r="X20" i="94"/>
  <c r="Q20" i="94"/>
  <c r="P20" i="94"/>
  <c r="Z19" i="94"/>
  <c r="Y19" i="94"/>
  <c r="Z18" i="94"/>
  <c r="G7" i="95" s="1"/>
  <c r="Y18" i="94"/>
  <c r="X18" i="94"/>
  <c r="Q18" i="94"/>
  <c r="P18" i="94"/>
  <c r="Z17" i="94"/>
  <c r="Y17" i="94"/>
  <c r="Z16" i="94"/>
  <c r="Y16" i="94"/>
  <c r="Z15" i="94"/>
  <c r="Y15" i="94"/>
  <c r="Z14" i="94"/>
  <c r="Y14" i="94"/>
  <c r="Z13" i="94"/>
  <c r="G6" i="95" s="1"/>
  <c r="Y13" i="94"/>
  <c r="X13" i="94"/>
  <c r="Q13" i="94"/>
  <c r="P13" i="94"/>
  <c r="Z12" i="94"/>
  <c r="Y12" i="94"/>
  <c r="Z11" i="94"/>
  <c r="G5" i="95" s="1"/>
  <c r="Y11" i="94"/>
  <c r="X11" i="94"/>
  <c r="T11" i="94"/>
  <c r="U11" i="94" s="1"/>
  <c r="V11" i="94" s="1"/>
  <c r="Q11" i="94"/>
  <c r="P11" i="94"/>
  <c r="Z10" i="94"/>
  <c r="Y10" i="94"/>
  <c r="Z9" i="94"/>
  <c r="Y9" i="94"/>
  <c r="Z8" i="94"/>
  <c r="G4" i="95" s="1"/>
  <c r="I4" i="95" s="1"/>
  <c r="L4" i="95" s="1"/>
  <c r="Y8" i="94"/>
  <c r="X8" i="94"/>
  <c r="W8" i="94"/>
  <c r="Q8" i="94"/>
  <c r="P8" i="94"/>
  <c r="Z7" i="94"/>
  <c r="Y7" i="94"/>
  <c r="Z6" i="94"/>
  <c r="Y6" i="94"/>
  <c r="Z5" i="94"/>
  <c r="G3" i="95" s="1"/>
  <c r="Y5" i="94"/>
  <c r="X5" i="94"/>
  <c r="Q5" i="94"/>
  <c r="P5" i="94"/>
  <c r="Z4" i="94"/>
  <c r="Y4" i="94"/>
  <c r="Z3" i="94"/>
  <c r="G2" i="95" s="1"/>
  <c r="Y3" i="94"/>
  <c r="W3" i="94"/>
  <c r="I7" i="95" l="1"/>
  <c r="L7" i="95" s="1"/>
  <c r="I16" i="95"/>
  <c r="L16" i="95" s="1"/>
  <c r="I17" i="95"/>
  <c r="L17" i="95" s="1"/>
  <c r="I20" i="95"/>
  <c r="L20" i="95" s="1"/>
  <c r="I24" i="95"/>
  <c r="L24" i="95" s="1"/>
  <c r="I25" i="95"/>
  <c r="L25" i="95" s="1"/>
  <c r="I29" i="95"/>
  <c r="L29" i="95" s="1"/>
  <c r="I30" i="95"/>
  <c r="L30" i="95" s="1"/>
  <c r="I34" i="95"/>
  <c r="L34" i="95" s="1"/>
  <c r="I35" i="95"/>
  <c r="L35" i="95" s="1"/>
  <c r="I5" i="95"/>
  <c r="L5" i="95" s="1"/>
  <c r="I6" i="95"/>
  <c r="L6" i="95" s="1"/>
  <c r="I10" i="95"/>
  <c r="L10" i="95" s="1"/>
  <c r="I15" i="95"/>
  <c r="L15" i="95" s="1"/>
  <c r="I19" i="95"/>
  <c r="L19" i="95" s="1"/>
  <c r="I23" i="95"/>
  <c r="L23" i="95" s="1"/>
  <c r="I28" i="95"/>
  <c r="L28" i="95" s="1"/>
  <c r="I33" i="95"/>
  <c r="L33" i="95" s="1"/>
  <c r="I38" i="95"/>
  <c r="L38" i="95" s="1"/>
  <c r="I14" i="95"/>
  <c r="L14" i="95" s="1"/>
  <c r="I22" i="95"/>
  <c r="L22" i="95" s="1"/>
  <c r="I27" i="95"/>
  <c r="L27" i="95" s="1"/>
  <c r="I32" i="95"/>
  <c r="L32" i="95" s="1"/>
  <c r="I37" i="95"/>
  <c r="L37" i="95" s="1"/>
  <c r="I2" i="95"/>
  <c r="L2" i="95" s="1"/>
  <c r="I3" i="95"/>
  <c r="L3" i="95" s="1"/>
  <c r="I8" i="95"/>
  <c r="L8" i="95" s="1"/>
  <c r="I13" i="95"/>
  <c r="L13" i="95" s="1"/>
  <c r="I21" i="95"/>
  <c r="L21" i="95" s="1"/>
  <c r="I26" i="95"/>
  <c r="L26" i="95" s="1"/>
  <c r="I31" i="95"/>
  <c r="L31" i="95" s="1"/>
  <c r="I36" i="95"/>
  <c r="L36" i="95" s="1"/>
  <c r="M11" i="95" l="1"/>
  <c r="M16" i="95"/>
  <c r="M34" i="95"/>
  <c r="M24" i="95"/>
  <c r="M2" i="95"/>
  <c r="M5" i="95"/>
  <c r="M29" i="95"/>
  <c r="H30" i="93"/>
  <c r="E30" i="93"/>
  <c r="H29" i="93"/>
  <c r="E29" i="93"/>
  <c r="H28" i="93"/>
  <c r="E28" i="93"/>
  <c r="H27" i="93"/>
  <c r="E27" i="93"/>
  <c r="H26" i="93"/>
  <c r="E26" i="93"/>
  <c r="H25" i="93"/>
  <c r="E25" i="93"/>
  <c r="H24" i="93"/>
  <c r="E24" i="93"/>
  <c r="H23" i="93"/>
  <c r="E23" i="93"/>
  <c r="H22" i="93"/>
  <c r="E22" i="93"/>
  <c r="H21" i="93"/>
  <c r="E21" i="93"/>
  <c r="H20" i="93"/>
  <c r="E20" i="93"/>
  <c r="H19" i="93"/>
  <c r="E19" i="93"/>
  <c r="H18" i="93"/>
  <c r="E18" i="93"/>
  <c r="H17" i="93"/>
  <c r="E17" i="93"/>
  <c r="H16" i="93"/>
  <c r="E16" i="93"/>
  <c r="H15" i="93"/>
  <c r="E15" i="93"/>
  <c r="H14" i="93"/>
  <c r="E14" i="93"/>
  <c r="H13" i="93"/>
  <c r="E13" i="93"/>
  <c r="H12" i="93"/>
  <c r="E12" i="93"/>
  <c r="H11" i="93"/>
  <c r="E11" i="93"/>
  <c r="H10" i="93"/>
  <c r="E10" i="93"/>
  <c r="H9" i="93"/>
  <c r="E9" i="93"/>
  <c r="H8" i="93"/>
  <c r="E8" i="93"/>
  <c r="H7" i="93"/>
  <c r="E7" i="93"/>
  <c r="H6" i="93"/>
  <c r="E6" i="93"/>
  <c r="H5" i="93"/>
  <c r="E5" i="93"/>
  <c r="H4" i="93"/>
  <c r="E4" i="93"/>
  <c r="E3" i="93"/>
  <c r="H2" i="93"/>
  <c r="E2" i="93"/>
  <c r="L17" i="93"/>
  <c r="K14" i="93"/>
  <c r="K13" i="93"/>
  <c r="K12" i="93"/>
  <c r="K10" i="93"/>
  <c r="K9" i="93"/>
  <c r="K8" i="93"/>
  <c r="K7" i="93"/>
  <c r="K6" i="93"/>
  <c r="K5" i="93"/>
  <c r="Y108" i="92"/>
  <c r="Y107" i="92"/>
  <c r="X107" i="92"/>
  <c r="Q107" i="92"/>
  <c r="P107" i="92"/>
  <c r="Y106" i="92"/>
  <c r="Y105" i="92"/>
  <c r="Y104" i="92"/>
  <c r="Y103" i="92"/>
  <c r="X103" i="92"/>
  <c r="Q103" i="92"/>
  <c r="P103" i="92"/>
  <c r="Y102" i="92"/>
  <c r="Y101" i="92"/>
  <c r="Y100" i="92"/>
  <c r="X100" i="92"/>
  <c r="Q100" i="92"/>
  <c r="P100" i="92"/>
  <c r="Y99" i="92"/>
  <c r="Y98" i="92"/>
  <c r="X98" i="92"/>
  <c r="Q98" i="92"/>
  <c r="P98" i="92"/>
  <c r="Y97" i="92"/>
  <c r="Y96" i="92"/>
  <c r="Y95" i="92"/>
  <c r="X95" i="92"/>
  <c r="Y94" i="92"/>
  <c r="Y93" i="92"/>
  <c r="Y92" i="92"/>
  <c r="Y91" i="92"/>
  <c r="Y90" i="92"/>
  <c r="Y89" i="92"/>
  <c r="Y88" i="92"/>
  <c r="G30" i="93" s="1"/>
  <c r="Y87" i="92"/>
  <c r="G29" i="93" s="1"/>
  <c r="Y86" i="92"/>
  <c r="G28" i="93" s="1"/>
  <c r="Y85" i="92"/>
  <c r="G27" i="93" s="1"/>
  <c r="Y84" i="92"/>
  <c r="G26" i="93" s="1"/>
  <c r="Y83" i="92"/>
  <c r="Y82" i="92"/>
  <c r="Y81" i="92"/>
  <c r="Y80" i="92"/>
  <c r="Y79" i="92"/>
  <c r="Y78" i="92"/>
  <c r="G25" i="93" s="1"/>
  <c r="X78" i="92"/>
  <c r="Q78" i="92"/>
  <c r="P78" i="92"/>
  <c r="Y77" i="92"/>
  <c r="Y76" i="92"/>
  <c r="Y75" i="92"/>
  <c r="X75" i="92"/>
  <c r="Q75" i="92"/>
  <c r="P75" i="92"/>
  <c r="Y74" i="92"/>
  <c r="Y73" i="92"/>
  <c r="Y72" i="92"/>
  <c r="G24" i="93" s="1"/>
  <c r="X72" i="92"/>
  <c r="P72" i="92"/>
  <c r="Y71" i="92"/>
  <c r="Y70" i="92"/>
  <c r="Y69" i="92"/>
  <c r="Y68" i="92"/>
  <c r="G23" i="93" s="1"/>
  <c r="Y67" i="92"/>
  <c r="G22" i="93" s="1"/>
  <c r="X67" i="92"/>
  <c r="P67" i="92"/>
  <c r="Y66" i="92"/>
  <c r="Y65" i="92"/>
  <c r="Y64" i="92"/>
  <c r="Y63" i="92"/>
  <c r="G21" i="93" s="1"/>
  <c r="X63" i="92"/>
  <c r="Q63" i="92"/>
  <c r="P63" i="92"/>
  <c r="Y62" i="92"/>
  <c r="Y61" i="92"/>
  <c r="Y60" i="92"/>
  <c r="G20" i="93" s="1"/>
  <c r="X60" i="92"/>
  <c r="Q60" i="92"/>
  <c r="P60" i="92"/>
  <c r="Y59" i="92"/>
  <c r="Y58" i="92"/>
  <c r="Y57" i="92"/>
  <c r="G19" i="93" s="1"/>
  <c r="X57" i="92"/>
  <c r="Q57" i="92"/>
  <c r="P57" i="92"/>
  <c r="Y56" i="92"/>
  <c r="Y55" i="92"/>
  <c r="G18" i="93" s="1"/>
  <c r="X55" i="92"/>
  <c r="Q55" i="92"/>
  <c r="P55" i="92"/>
  <c r="Y54" i="92"/>
  <c r="Y53" i="92"/>
  <c r="Y52" i="92"/>
  <c r="G17" i="93" s="1"/>
  <c r="Y51" i="92"/>
  <c r="Y50" i="92"/>
  <c r="Y49" i="92"/>
  <c r="G16" i="93" s="1"/>
  <c r="Y48" i="92"/>
  <c r="G15" i="93" s="1"/>
  <c r="X48" i="92"/>
  <c r="Q48" i="92"/>
  <c r="P48" i="92"/>
  <c r="Y47" i="92"/>
  <c r="Y46" i="92"/>
  <c r="Y45" i="92"/>
  <c r="Y44" i="92"/>
  <c r="G14" i="93" s="1"/>
  <c r="X44" i="92"/>
  <c r="Q44" i="92"/>
  <c r="Y43" i="92"/>
  <c r="Y42" i="92"/>
  <c r="Y41" i="92"/>
  <c r="Y40" i="92"/>
  <c r="Y39" i="92"/>
  <c r="G13" i="93" s="1"/>
  <c r="Y38" i="92"/>
  <c r="G12" i="93" s="1"/>
  <c r="Y37" i="92"/>
  <c r="G11" i="93" s="1"/>
  <c r="X37" i="92"/>
  <c r="Q37" i="92"/>
  <c r="P37" i="92"/>
  <c r="Y36" i="92"/>
  <c r="Y35" i="92"/>
  <c r="Y34" i="92"/>
  <c r="G10" i="93" s="1"/>
  <c r="X34" i="92"/>
  <c r="Q34" i="92"/>
  <c r="P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G9" i="93" s="1"/>
  <c r="X22" i="92"/>
  <c r="Q22" i="92"/>
  <c r="P22" i="92"/>
  <c r="Y21" i="92"/>
  <c r="Y20" i="92"/>
  <c r="G8" i="93" s="1"/>
  <c r="X20" i="92"/>
  <c r="Q20" i="92"/>
  <c r="P20" i="92"/>
  <c r="Y19" i="92"/>
  <c r="Y18" i="92"/>
  <c r="G7" i="93" s="1"/>
  <c r="X18" i="92"/>
  <c r="Q18" i="92"/>
  <c r="P18" i="92"/>
  <c r="Y17" i="92"/>
  <c r="Y16" i="92"/>
  <c r="Y15" i="92"/>
  <c r="Y14" i="92"/>
  <c r="Y13" i="92"/>
  <c r="G6" i="93" s="1"/>
  <c r="X13" i="92"/>
  <c r="Q13" i="92"/>
  <c r="P13" i="92"/>
  <c r="Y12" i="92"/>
  <c r="Y11" i="92"/>
  <c r="G5" i="93" s="1"/>
  <c r="X11" i="92"/>
  <c r="Q11" i="92"/>
  <c r="P11" i="92"/>
  <c r="Y10" i="92"/>
  <c r="Y9" i="92"/>
  <c r="Y8" i="92"/>
  <c r="G4" i="93" s="1"/>
  <c r="X8" i="92"/>
  <c r="W8" i="92"/>
  <c r="Q8" i="92"/>
  <c r="P8" i="92"/>
  <c r="Y7" i="92"/>
  <c r="Y6" i="92"/>
  <c r="Y5" i="92"/>
  <c r="G3" i="93" s="1"/>
  <c r="X5" i="92"/>
  <c r="Q5" i="92"/>
  <c r="P5" i="92"/>
  <c r="Y4" i="92"/>
  <c r="Y3" i="92"/>
  <c r="G2" i="93" s="1"/>
  <c r="W3" i="92"/>
  <c r="I2" i="93" l="1"/>
  <c r="L2" i="93" s="1"/>
  <c r="I7" i="93"/>
  <c r="L7" i="93" s="1"/>
  <c r="I9" i="93"/>
  <c r="L9" i="93" s="1"/>
  <c r="I11" i="93"/>
  <c r="I20" i="93"/>
  <c r="L20" i="93" s="1"/>
  <c r="I27" i="93"/>
  <c r="L27" i="93" s="1"/>
  <c r="I30" i="93"/>
  <c r="L30" i="93" s="1"/>
  <c r="I12" i="93"/>
  <c r="L12" i="93" s="1"/>
  <c r="I14" i="93"/>
  <c r="L14" i="93" s="1"/>
  <c r="I16" i="93"/>
  <c r="L16" i="93" s="1"/>
  <c r="I21" i="93"/>
  <c r="L21" i="93" s="1"/>
  <c r="I24" i="93"/>
  <c r="L24" i="93" s="1"/>
  <c r="I3" i="93"/>
  <c r="L3" i="93" s="1"/>
  <c r="I4" i="93"/>
  <c r="L4" i="93" s="1"/>
  <c r="I6" i="93"/>
  <c r="L6" i="93" s="1"/>
  <c r="I8" i="93"/>
  <c r="L8" i="93" s="1"/>
  <c r="I10" i="93"/>
  <c r="L10" i="93" s="1"/>
  <c r="I18" i="93"/>
  <c r="L18" i="93" s="1"/>
  <c r="I22" i="93"/>
  <c r="L22" i="93" s="1"/>
  <c r="I25" i="93"/>
  <c r="L25" i="93" s="1"/>
  <c r="I28" i="93"/>
  <c r="L28" i="93" s="1"/>
  <c r="I5" i="93"/>
  <c r="L5" i="93" s="1"/>
  <c r="I13" i="93"/>
  <c r="L13" i="93" s="1"/>
  <c r="I15" i="93"/>
  <c r="L15" i="93" s="1"/>
  <c r="I19" i="93"/>
  <c r="L19" i="93" s="1"/>
  <c r="I23" i="93"/>
  <c r="L23" i="93" s="1"/>
  <c r="I26" i="93"/>
  <c r="L26" i="93" s="1"/>
  <c r="I29" i="93"/>
  <c r="L29" i="93" s="1"/>
  <c r="M23" i="93" l="1"/>
  <c r="C9" i="102" s="1"/>
  <c r="M5" i="93"/>
  <c r="C6" i="102" s="1"/>
  <c r="M27" i="93"/>
  <c r="C10" i="102" s="1"/>
  <c r="M2" i="93"/>
  <c r="C5" i="102" s="1"/>
  <c r="M15" i="93"/>
  <c r="C8" i="102" s="1"/>
  <c r="M11" i="93"/>
  <c r="C7" i="102" s="1"/>
  <c r="K11" i="102"/>
  <c r="I11" i="102"/>
  <c r="E11" i="102"/>
  <c r="K10" i="102"/>
  <c r="I10" i="102"/>
  <c r="G10" i="102"/>
  <c r="E10" i="102"/>
  <c r="K9" i="102"/>
  <c r="I9" i="102"/>
  <c r="G9" i="102"/>
  <c r="E9" i="102"/>
  <c r="K8" i="102"/>
  <c r="I8" i="102"/>
  <c r="G8" i="102"/>
  <c r="E8" i="102"/>
  <c r="K7" i="102"/>
  <c r="I7" i="102"/>
  <c r="G7" i="102"/>
  <c r="E7" i="102"/>
  <c r="K6" i="102"/>
  <c r="I6" i="102"/>
  <c r="G6" i="102"/>
  <c r="E6" i="102"/>
  <c r="K5" i="102"/>
  <c r="I5" i="102"/>
  <c r="G5" i="102"/>
  <c r="E5" i="102"/>
  <c r="H39" i="90"/>
  <c r="F39" i="90"/>
  <c r="D39" i="90"/>
  <c r="H38" i="90"/>
  <c r="F38" i="90"/>
  <c r="D38" i="90"/>
  <c r="H37" i="90"/>
  <c r="F37" i="90"/>
  <c r="D37" i="90"/>
  <c r="H36" i="90"/>
  <c r="F36" i="90"/>
  <c r="D36" i="90"/>
  <c r="H35" i="90"/>
  <c r="F35" i="90"/>
  <c r="D35" i="90"/>
  <c r="H34" i="90"/>
  <c r="F34" i="90"/>
  <c r="D34" i="90"/>
  <c r="H33" i="90"/>
  <c r="F33" i="90"/>
  <c r="D33" i="90"/>
  <c r="H32" i="90"/>
  <c r="F32" i="90"/>
  <c r="D32" i="90"/>
  <c r="H31" i="90"/>
  <c r="F31" i="90"/>
  <c r="D31" i="90"/>
  <c r="H30" i="90"/>
  <c r="F30" i="90"/>
  <c r="D30" i="90"/>
  <c r="H29" i="90"/>
  <c r="F29" i="90"/>
  <c r="D29" i="90"/>
  <c r="F28" i="90"/>
  <c r="D28" i="90"/>
  <c r="H27" i="90"/>
  <c r="F27" i="90"/>
  <c r="D27" i="90"/>
  <c r="H26" i="90"/>
  <c r="F26" i="90"/>
  <c r="D26" i="90"/>
  <c r="H25" i="90"/>
  <c r="F25" i="90"/>
  <c r="D25" i="90"/>
  <c r="H24" i="90"/>
  <c r="F24" i="90"/>
  <c r="E24" i="90"/>
  <c r="D24" i="90"/>
  <c r="H23" i="90"/>
  <c r="F23" i="90"/>
  <c r="D23" i="90"/>
  <c r="H22" i="90"/>
  <c r="F22" i="90"/>
  <c r="D22" i="90"/>
  <c r="H21" i="90"/>
  <c r="F21" i="90"/>
  <c r="D21" i="90"/>
  <c r="H20" i="90"/>
  <c r="F20" i="90"/>
  <c r="D20" i="90"/>
  <c r="H19" i="90"/>
  <c r="F19" i="90"/>
  <c r="D19" i="90"/>
  <c r="H18" i="90"/>
  <c r="F18" i="90"/>
  <c r="D18" i="90"/>
  <c r="H17" i="90"/>
  <c r="F17" i="90"/>
  <c r="D17" i="90"/>
  <c r="H16" i="90"/>
  <c r="F16" i="90"/>
  <c r="D16" i="90"/>
  <c r="H15" i="90"/>
  <c r="F15" i="90"/>
  <c r="D15" i="90"/>
  <c r="H14" i="90"/>
  <c r="F14" i="90"/>
  <c r="D14" i="90"/>
  <c r="H13" i="90"/>
  <c r="F13" i="90"/>
  <c r="D13" i="90"/>
  <c r="H12" i="90"/>
  <c r="F12" i="90"/>
  <c r="D12" i="90"/>
  <c r="H11" i="90"/>
  <c r="F11" i="90"/>
  <c r="D11" i="90"/>
  <c r="F10" i="90"/>
  <c r="D10" i="90"/>
  <c r="F9" i="90"/>
  <c r="D9" i="90"/>
  <c r="F8" i="90"/>
  <c r="D8" i="90"/>
  <c r="F7" i="90"/>
  <c r="D7" i="90"/>
  <c r="F6" i="90"/>
  <c r="D6" i="90"/>
  <c r="H5" i="90"/>
  <c r="F5" i="90"/>
  <c r="D5" i="90"/>
  <c r="H4" i="90"/>
  <c r="F4" i="90"/>
  <c r="D4" i="90"/>
  <c r="H3" i="90"/>
  <c r="F3" i="90"/>
  <c r="D3" i="90"/>
  <c r="H2" i="90"/>
  <c r="F2" i="90"/>
  <c r="D2" i="90"/>
  <c r="AE113" i="89"/>
  <c r="G39" i="90" s="1"/>
  <c r="AD113" i="89"/>
  <c r="AC113" i="89"/>
  <c r="AB113" i="89"/>
  <c r="AA113" i="89"/>
  <c r="Z113" i="89"/>
  <c r="S113" i="89"/>
  <c r="E39" i="90" s="1"/>
  <c r="AE112" i="89"/>
  <c r="G38" i="90" s="1"/>
  <c r="AD112" i="89"/>
  <c r="AC112" i="89"/>
  <c r="AB112" i="89"/>
  <c r="AA112" i="89"/>
  <c r="Z112" i="89"/>
  <c r="X112" i="89"/>
  <c r="S112" i="89"/>
  <c r="E38" i="90" s="1"/>
  <c r="R112" i="89"/>
  <c r="Q112" i="89"/>
  <c r="AE111" i="89"/>
  <c r="AD111" i="89"/>
  <c r="AC111" i="89"/>
  <c r="AB111" i="89"/>
  <c r="AA111" i="89"/>
  <c r="Z111" i="89"/>
  <c r="S111" i="89"/>
  <c r="AE110" i="89"/>
  <c r="G37" i="90" s="1"/>
  <c r="AD110" i="89"/>
  <c r="AC110" i="89"/>
  <c r="AB110" i="89"/>
  <c r="AA110" i="89"/>
  <c r="Z110" i="89"/>
  <c r="X110" i="89"/>
  <c r="S110" i="89"/>
  <c r="E37" i="90" s="1"/>
  <c r="AE109" i="89"/>
  <c r="AD109" i="89"/>
  <c r="AC109" i="89"/>
  <c r="AB109" i="89"/>
  <c r="AA109" i="89"/>
  <c r="Z109" i="89"/>
  <c r="S109" i="89"/>
  <c r="AE108" i="89"/>
  <c r="G36" i="90" s="1"/>
  <c r="AD108" i="89"/>
  <c r="AC108" i="89"/>
  <c r="AB108" i="89"/>
  <c r="AA108" i="89"/>
  <c r="Z108" i="89"/>
  <c r="X108" i="89"/>
  <c r="S108" i="89"/>
  <c r="E36" i="90" s="1"/>
  <c r="R108" i="89"/>
  <c r="Q108" i="89"/>
  <c r="AE107" i="89"/>
  <c r="AD107" i="89"/>
  <c r="AC107" i="89"/>
  <c r="AB107" i="89"/>
  <c r="AA107" i="89"/>
  <c r="Z107" i="89"/>
  <c r="S107" i="89"/>
  <c r="AE106" i="89"/>
  <c r="AD106" i="89"/>
  <c r="AC106" i="89"/>
  <c r="AB106" i="89"/>
  <c r="AA106" i="89"/>
  <c r="Z106" i="89"/>
  <c r="S106" i="89"/>
  <c r="AE105" i="89"/>
  <c r="G35" i="90" s="1"/>
  <c r="AD105" i="89"/>
  <c r="AC105" i="89"/>
  <c r="AB105" i="89"/>
  <c r="AA105" i="89"/>
  <c r="Z105" i="89"/>
  <c r="X105" i="89"/>
  <c r="S105" i="89"/>
  <c r="E35" i="90" s="1"/>
  <c r="R105" i="89"/>
  <c r="Q105" i="89"/>
  <c r="AE104" i="89"/>
  <c r="AD104" i="89"/>
  <c r="AC104" i="89"/>
  <c r="AB104" i="89"/>
  <c r="AA104" i="89"/>
  <c r="Z104" i="89"/>
  <c r="S104" i="89"/>
  <c r="AE103" i="89"/>
  <c r="G34" i="90" s="1"/>
  <c r="AD103" i="89"/>
  <c r="AC103" i="89"/>
  <c r="AB103" i="89"/>
  <c r="AA103" i="89"/>
  <c r="Z103" i="89"/>
  <c r="X103" i="89"/>
  <c r="S103" i="89"/>
  <c r="E34" i="90" s="1"/>
  <c r="R103" i="89"/>
  <c r="Q103" i="89"/>
  <c r="AE102" i="89"/>
  <c r="AD102" i="89"/>
  <c r="AC102" i="89"/>
  <c r="AB102" i="89"/>
  <c r="AA102" i="89"/>
  <c r="Z102" i="89"/>
  <c r="S102" i="89"/>
  <c r="AE101" i="89"/>
  <c r="AD101" i="89"/>
  <c r="AC101" i="89"/>
  <c r="AB101" i="89"/>
  <c r="AA101" i="89"/>
  <c r="Z101" i="89"/>
  <c r="S101" i="89"/>
  <c r="AE100" i="89"/>
  <c r="G33" i="90" s="1"/>
  <c r="AD100" i="89"/>
  <c r="AC100" i="89"/>
  <c r="AB100" i="89"/>
  <c r="AA100" i="89"/>
  <c r="Z100" i="89"/>
  <c r="S100" i="89"/>
  <c r="E33" i="90" s="1"/>
  <c r="AE99" i="89"/>
  <c r="AD99" i="89"/>
  <c r="AC99" i="89"/>
  <c r="AB99" i="89"/>
  <c r="AA99" i="89"/>
  <c r="Z99" i="89"/>
  <c r="S99" i="89"/>
  <c r="AE98" i="89"/>
  <c r="AD98" i="89"/>
  <c r="AC98" i="89"/>
  <c r="AB98" i="89"/>
  <c r="AA98" i="89"/>
  <c r="Z98" i="89"/>
  <c r="S98" i="89"/>
  <c r="AE97" i="89"/>
  <c r="AD97" i="89"/>
  <c r="AC97" i="89"/>
  <c r="AB97" i="89"/>
  <c r="AA97" i="89"/>
  <c r="Z97" i="89"/>
  <c r="S97" i="89"/>
  <c r="AE96" i="89"/>
  <c r="AD96" i="89"/>
  <c r="AC96" i="89"/>
  <c r="AB96" i="89"/>
  <c r="AA96" i="89"/>
  <c r="Z96" i="89"/>
  <c r="S96" i="89"/>
  <c r="AE95" i="89"/>
  <c r="AD95" i="89"/>
  <c r="AC95" i="89"/>
  <c r="AB95" i="89"/>
  <c r="AA95" i="89"/>
  <c r="Z95" i="89"/>
  <c r="S95" i="89"/>
  <c r="AE94" i="89"/>
  <c r="AD94" i="89"/>
  <c r="AC94" i="89"/>
  <c r="AB94" i="89"/>
  <c r="AA94" i="89"/>
  <c r="Z94" i="89"/>
  <c r="S94" i="89"/>
  <c r="AE93" i="89"/>
  <c r="G32" i="90" s="1"/>
  <c r="AD93" i="89"/>
  <c r="AC93" i="89"/>
  <c r="AB93" i="89"/>
  <c r="AA93" i="89"/>
  <c r="Z93" i="89"/>
  <c r="S93" i="89"/>
  <c r="E32" i="90" s="1"/>
  <c r="AE92" i="89"/>
  <c r="G31" i="90" s="1"/>
  <c r="AD92" i="89"/>
  <c r="AC92" i="89"/>
  <c r="AB92" i="89"/>
  <c r="AA92" i="89"/>
  <c r="Z92" i="89"/>
  <c r="S92" i="89"/>
  <c r="E31" i="90" s="1"/>
  <c r="AE91" i="89"/>
  <c r="G30" i="90" s="1"/>
  <c r="AD91" i="89"/>
  <c r="AC91" i="89"/>
  <c r="AB91" i="89"/>
  <c r="AA91" i="89"/>
  <c r="Z91" i="89"/>
  <c r="S91" i="89"/>
  <c r="E30" i="90" s="1"/>
  <c r="AE90" i="89"/>
  <c r="G29" i="90" s="1"/>
  <c r="AD90" i="89"/>
  <c r="AC90" i="89"/>
  <c r="AB90" i="89"/>
  <c r="AA90" i="89"/>
  <c r="Z90" i="89"/>
  <c r="S90" i="89"/>
  <c r="E29" i="90" s="1"/>
  <c r="AE89" i="89"/>
  <c r="G28" i="90" s="1"/>
  <c r="AD89" i="89"/>
  <c r="AC89" i="89"/>
  <c r="AB89" i="89"/>
  <c r="AA89" i="89"/>
  <c r="Z89" i="89"/>
  <c r="S89" i="89"/>
  <c r="X89" i="89" s="1"/>
  <c r="H28" i="90" s="1"/>
  <c r="R89" i="89"/>
  <c r="Q89" i="89"/>
  <c r="AE88" i="89"/>
  <c r="AD88" i="89"/>
  <c r="AC88" i="89"/>
  <c r="AB88" i="89"/>
  <c r="AA88" i="89"/>
  <c r="Z88" i="89"/>
  <c r="S88" i="89"/>
  <c r="AE87" i="89"/>
  <c r="AD87" i="89"/>
  <c r="AC87" i="89"/>
  <c r="AB87" i="89"/>
  <c r="AA87" i="89"/>
  <c r="Z87" i="89"/>
  <c r="S87" i="89"/>
  <c r="AE86" i="89"/>
  <c r="AD86" i="89"/>
  <c r="AC86" i="89"/>
  <c r="AB86" i="89"/>
  <c r="AA86" i="89"/>
  <c r="Z86" i="89"/>
  <c r="S86" i="89"/>
  <c r="AE85" i="89"/>
  <c r="AD85" i="89"/>
  <c r="AC85" i="89"/>
  <c r="AB85" i="89"/>
  <c r="AA85" i="89"/>
  <c r="Z85" i="89"/>
  <c r="S85" i="89"/>
  <c r="AE84" i="89"/>
  <c r="AD84" i="89"/>
  <c r="AC84" i="89"/>
  <c r="AB84" i="89"/>
  <c r="AA84" i="89"/>
  <c r="Z84" i="89"/>
  <c r="S84" i="89"/>
  <c r="AE83" i="89"/>
  <c r="G27" i="90" s="1"/>
  <c r="AD83" i="89"/>
  <c r="AC83" i="89"/>
  <c r="AB83" i="89"/>
  <c r="AA83" i="89"/>
  <c r="Z83" i="89"/>
  <c r="X83" i="89"/>
  <c r="S83" i="89"/>
  <c r="E27" i="90" s="1"/>
  <c r="R83" i="89"/>
  <c r="Q83" i="89"/>
  <c r="AE82" i="89"/>
  <c r="AD82" i="89"/>
  <c r="AC82" i="89"/>
  <c r="AB82" i="89"/>
  <c r="AA82" i="89"/>
  <c r="Z82" i="89"/>
  <c r="S82" i="89"/>
  <c r="AE81" i="89"/>
  <c r="AD81" i="89"/>
  <c r="AC81" i="89"/>
  <c r="AB81" i="89"/>
  <c r="AA81" i="89"/>
  <c r="Z81" i="89"/>
  <c r="S81" i="89"/>
  <c r="AE80" i="89"/>
  <c r="G26" i="90" s="1"/>
  <c r="AD80" i="89"/>
  <c r="AC80" i="89"/>
  <c r="AB80" i="89"/>
  <c r="AA80" i="89"/>
  <c r="Z80" i="89"/>
  <c r="S80" i="89"/>
  <c r="E26" i="90" s="1"/>
  <c r="R80" i="89"/>
  <c r="Q80" i="89"/>
  <c r="AE79" i="89"/>
  <c r="AD79" i="89"/>
  <c r="AC79" i="89"/>
  <c r="AB79" i="89"/>
  <c r="AA79" i="89"/>
  <c r="Z79" i="89"/>
  <c r="S79" i="89"/>
  <c r="AE78" i="89"/>
  <c r="AD78" i="89"/>
  <c r="AC78" i="89"/>
  <c r="AB78" i="89"/>
  <c r="AA78" i="89"/>
  <c r="Z78" i="89"/>
  <c r="S78" i="89"/>
  <c r="AE77" i="89"/>
  <c r="G25" i="90" s="1"/>
  <c r="AD77" i="89"/>
  <c r="AC77" i="89"/>
  <c r="AB77" i="89"/>
  <c r="AA77" i="89"/>
  <c r="Z77" i="89"/>
  <c r="X77" i="89"/>
  <c r="V77" i="89"/>
  <c r="S77" i="89"/>
  <c r="E25" i="90" s="1"/>
  <c r="AE76" i="89"/>
  <c r="AD76" i="89"/>
  <c r="AC76" i="89"/>
  <c r="AB76" i="89"/>
  <c r="AA76" i="89"/>
  <c r="Z76" i="89"/>
  <c r="S76" i="89"/>
  <c r="AE75" i="89"/>
  <c r="AD75" i="89"/>
  <c r="AC75" i="89"/>
  <c r="AB75" i="89"/>
  <c r="AA75" i="89"/>
  <c r="Z75" i="89"/>
  <c r="S75" i="89"/>
  <c r="AE74" i="89"/>
  <c r="AD74" i="89"/>
  <c r="AC74" i="89"/>
  <c r="AB74" i="89"/>
  <c r="AA74" i="89"/>
  <c r="Z74" i="89"/>
  <c r="S74" i="89"/>
  <c r="AE73" i="89"/>
  <c r="G24" i="90" s="1"/>
  <c r="AD73" i="89"/>
  <c r="AC73" i="89"/>
  <c r="AB73" i="89"/>
  <c r="AA73" i="89"/>
  <c r="Z73" i="89"/>
  <c r="AE72" i="89"/>
  <c r="G23" i="90" s="1"/>
  <c r="AD72" i="89"/>
  <c r="AC72" i="89"/>
  <c r="AB72" i="89"/>
  <c r="AA72" i="89"/>
  <c r="Z72" i="89"/>
  <c r="X72" i="89"/>
  <c r="S72" i="89"/>
  <c r="E23" i="90" s="1"/>
  <c r="R72" i="89"/>
  <c r="Q72" i="89"/>
  <c r="AE71" i="89"/>
  <c r="AD71" i="89"/>
  <c r="AC71" i="89"/>
  <c r="AB71" i="89"/>
  <c r="AA71" i="89"/>
  <c r="Z71" i="89"/>
  <c r="S71" i="89"/>
  <c r="AE70" i="89"/>
  <c r="AD70" i="89"/>
  <c r="AC70" i="89"/>
  <c r="AB70" i="89"/>
  <c r="AA70" i="89"/>
  <c r="Z70" i="89"/>
  <c r="S70" i="89"/>
  <c r="AE69" i="89"/>
  <c r="AD69" i="89"/>
  <c r="AC69" i="89"/>
  <c r="AB69" i="89"/>
  <c r="AA69" i="89"/>
  <c r="Z69" i="89"/>
  <c r="S69" i="89"/>
  <c r="AE68" i="89"/>
  <c r="G22" i="90" s="1"/>
  <c r="AD68" i="89"/>
  <c r="AC68" i="89"/>
  <c r="AB68" i="89"/>
  <c r="AA68" i="89"/>
  <c r="Z68" i="89"/>
  <c r="S68" i="89"/>
  <c r="E22" i="90" s="1"/>
  <c r="R68" i="89"/>
  <c r="Q68" i="89"/>
  <c r="AE67" i="89"/>
  <c r="AD67" i="89"/>
  <c r="AC67" i="89"/>
  <c r="AB67" i="89"/>
  <c r="AA67" i="89"/>
  <c r="Z67" i="89"/>
  <c r="S67" i="89"/>
  <c r="AE66" i="89"/>
  <c r="AD66" i="89"/>
  <c r="AC66" i="89"/>
  <c r="AB66" i="89"/>
  <c r="AA66" i="89"/>
  <c r="Z66" i="89"/>
  <c r="S66" i="89"/>
  <c r="AE65" i="89"/>
  <c r="G21" i="90" s="1"/>
  <c r="AD65" i="89"/>
  <c r="AC65" i="89"/>
  <c r="AB65" i="89"/>
  <c r="AA65" i="89"/>
  <c r="Z65" i="89"/>
  <c r="S65" i="89"/>
  <c r="E21" i="90" s="1"/>
  <c r="R65" i="89"/>
  <c r="Q65" i="89"/>
  <c r="AE64" i="89"/>
  <c r="AD64" i="89"/>
  <c r="AC64" i="89"/>
  <c r="AB64" i="89"/>
  <c r="AA64" i="89"/>
  <c r="Z64" i="89"/>
  <c r="S64" i="89"/>
  <c r="AE63" i="89"/>
  <c r="AD63" i="89"/>
  <c r="AC63" i="89"/>
  <c r="AB63" i="89"/>
  <c r="AA63" i="89"/>
  <c r="Z63" i="89"/>
  <c r="S63" i="89"/>
  <c r="AE62" i="89"/>
  <c r="G20" i="90" s="1"/>
  <c r="AD62" i="89"/>
  <c r="AC62" i="89"/>
  <c r="AB62" i="89"/>
  <c r="AA62" i="89"/>
  <c r="Z62" i="89"/>
  <c r="S62" i="89"/>
  <c r="E20" i="90" s="1"/>
  <c r="R62" i="89"/>
  <c r="Q62" i="89"/>
  <c r="AE61" i="89"/>
  <c r="AD61" i="89"/>
  <c r="AC61" i="89"/>
  <c r="AB61" i="89"/>
  <c r="AA61" i="89"/>
  <c r="Z61" i="89"/>
  <c r="S61" i="89"/>
  <c r="AE60" i="89"/>
  <c r="G19" i="90" s="1"/>
  <c r="AD60" i="89"/>
  <c r="AC60" i="89"/>
  <c r="AB60" i="89"/>
  <c r="AA60" i="89"/>
  <c r="Z60" i="89"/>
  <c r="S60" i="89"/>
  <c r="E19" i="90" s="1"/>
  <c r="R60" i="89"/>
  <c r="Q60" i="89"/>
  <c r="AE59" i="89"/>
  <c r="AD59" i="89"/>
  <c r="AC59" i="89"/>
  <c r="AB59" i="89"/>
  <c r="AA59" i="89"/>
  <c r="Z59" i="89"/>
  <c r="S59" i="89"/>
  <c r="AE58" i="89"/>
  <c r="AD58" i="89"/>
  <c r="AC58" i="89"/>
  <c r="AB58" i="89"/>
  <c r="AA58" i="89"/>
  <c r="Z58" i="89"/>
  <c r="S58" i="89"/>
  <c r="AE57" i="89"/>
  <c r="G18" i="90" s="1"/>
  <c r="AD57" i="89"/>
  <c r="AC57" i="89"/>
  <c r="AB57" i="89"/>
  <c r="AA57" i="89"/>
  <c r="Z57" i="89"/>
  <c r="S57" i="89"/>
  <c r="R57" i="89"/>
  <c r="Q57" i="89"/>
  <c r="AE56" i="89"/>
  <c r="AD56" i="89"/>
  <c r="AC56" i="89"/>
  <c r="AB56" i="89"/>
  <c r="AA56" i="89"/>
  <c r="Z56" i="89"/>
  <c r="S56" i="89"/>
  <c r="AE55" i="89"/>
  <c r="AD55" i="89"/>
  <c r="AC55" i="89"/>
  <c r="AB55" i="89"/>
  <c r="AA55" i="89"/>
  <c r="Z55" i="89"/>
  <c r="S55" i="89"/>
  <c r="AE54" i="89"/>
  <c r="G17" i="90" s="1"/>
  <c r="AD54" i="89"/>
  <c r="AC54" i="89"/>
  <c r="AB54" i="89"/>
  <c r="AA54" i="89"/>
  <c r="Z54" i="89"/>
  <c r="S54" i="89"/>
  <c r="E17" i="90" s="1"/>
  <c r="AE53" i="89"/>
  <c r="G16" i="90" s="1"/>
  <c r="AD53" i="89"/>
  <c r="AC53" i="89"/>
  <c r="AB53" i="89"/>
  <c r="AA53" i="89"/>
  <c r="Z53" i="89"/>
  <c r="S53" i="89"/>
  <c r="E16" i="90" s="1"/>
  <c r="R53" i="89"/>
  <c r="Q53" i="89"/>
  <c r="AE52" i="89"/>
  <c r="AD52" i="89"/>
  <c r="AC52" i="89"/>
  <c r="AB52" i="89"/>
  <c r="AA52" i="89"/>
  <c r="Z52" i="89"/>
  <c r="S52" i="89"/>
  <c r="AE51" i="89"/>
  <c r="AD51" i="89"/>
  <c r="AC51" i="89"/>
  <c r="AB51" i="89"/>
  <c r="AA51" i="89"/>
  <c r="Z51" i="89"/>
  <c r="S51" i="89"/>
  <c r="AE50" i="89"/>
  <c r="AD50" i="89"/>
  <c r="AC50" i="89"/>
  <c r="AB50" i="89"/>
  <c r="AA50" i="89"/>
  <c r="Z50" i="89"/>
  <c r="S50" i="89"/>
  <c r="AE49" i="89"/>
  <c r="G15" i="90" s="1"/>
  <c r="AD49" i="89"/>
  <c r="AC49" i="89"/>
  <c r="AB49" i="89"/>
  <c r="AA49" i="89"/>
  <c r="Z49" i="89"/>
  <c r="U49" i="89"/>
  <c r="V49" i="89" s="1"/>
  <c r="W49" i="89" s="1"/>
  <c r="X49" i="89" s="1"/>
  <c r="S49" i="89"/>
  <c r="E15" i="90" s="1"/>
  <c r="R49" i="89"/>
  <c r="Q49" i="89"/>
  <c r="AE48" i="89"/>
  <c r="AD48" i="89"/>
  <c r="AC48" i="89"/>
  <c r="AB48" i="89"/>
  <c r="AA48" i="89"/>
  <c r="Z48" i="89"/>
  <c r="S48" i="89"/>
  <c r="AE47" i="89"/>
  <c r="AD47" i="89"/>
  <c r="AC47" i="89"/>
  <c r="AB47" i="89"/>
  <c r="AA47" i="89"/>
  <c r="Z47" i="89"/>
  <c r="S47" i="89"/>
  <c r="AE46" i="89"/>
  <c r="AD46" i="89"/>
  <c r="AC46" i="89"/>
  <c r="AB46" i="89"/>
  <c r="AA46" i="89"/>
  <c r="Z46" i="89"/>
  <c r="S46" i="89"/>
  <c r="AE45" i="89"/>
  <c r="AD45" i="89"/>
  <c r="AC45" i="89"/>
  <c r="AB45" i="89"/>
  <c r="AA45" i="89"/>
  <c r="Z45" i="89"/>
  <c r="S45" i="89"/>
  <c r="AE44" i="89"/>
  <c r="G14" i="90" s="1"/>
  <c r="AD44" i="89"/>
  <c r="AC44" i="89"/>
  <c r="AB44" i="89"/>
  <c r="AA44" i="89"/>
  <c r="Z44" i="89"/>
  <c r="V44" i="89"/>
  <c r="W44" i="89" s="1"/>
  <c r="X44" i="89" s="1"/>
  <c r="Y44" i="89" s="1"/>
  <c r="U44" i="89"/>
  <c r="S44" i="89"/>
  <c r="E14" i="90" s="1"/>
  <c r="AE43" i="89"/>
  <c r="G13" i="90" s="1"/>
  <c r="AD43" i="89"/>
  <c r="AC43" i="89"/>
  <c r="AB43" i="89"/>
  <c r="AA43" i="89"/>
  <c r="Z43" i="89"/>
  <c r="S43" i="89"/>
  <c r="E13" i="90" s="1"/>
  <c r="AE42" i="89"/>
  <c r="G12" i="90" s="1"/>
  <c r="AD42" i="89"/>
  <c r="AC42" i="89"/>
  <c r="AB42" i="89"/>
  <c r="AA42" i="89"/>
  <c r="Z42" i="89"/>
  <c r="X42" i="89"/>
  <c r="S42" i="89"/>
  <c r="E12" i="90" s="1"/>
  <c r="AE41" i="89"/>
  <c r="AD41" i="89"/>
  <c r="AC41" i="89"/>
  <c r="AB41" i="89"/>
  <c r="AA41" i="89"/>
  <c r="Z41" i="89"/>
  <c r="S41" i="89"/>
  <c r="AE40" i="89"/>
  <c r="AD40" i="89"/>
  <c r="AC40" i="89"/>
  <c r="AB40" i="89"/>
  <c r="AA40" i="89"/>
  <c r="Z40" i="89"/>
  <c r="S40" i="89"/>
  <c r="AE39" i="89"/>
  <c r="G11" i="90" s="1"/>
  <c r="AD39" i="89"/>
  <c r="AC39" i="89"/>
  <c r="AB39" i="89"/>
  <c r="AA39" i="89"/>
  <c r="Z39" i="89"/>
  <c r="S39" i="89"/>
  <c r="E11" i="90" s="1"/>
  <c r="R39" i="89"/>
  <c r="Q39" i="89"/>
  <c r="AE38" i="89"/>
  <c r="AD38" i="89"/>
  <c r="AC38" i="89"/>
  <c r="AB38" i="89"/>
  <c r="AA38" i="89"/>
  <c r="Z38" i="89"/>
  <c r="S38" i="89"/>
  <c r="AE37" i="89"/>
  <c r="AD37" i="89"/>
  <c r="AC37" i="89"/>
  <c r="AB37" i="89"/>
  <c r="AA37" i="89"/>
  <c r="Z37" i="89"/>
  <c r="S37" i="89"/>
  <c r="AE36" i="89"/>
  <c r="G10" i="90" s="1"/>
  <c r="AD36" i="89"/>
  <c r="AC36" i="89"/>
  <c r="AB36" i="89"/>
  <c r="AA36" i="89"/>
  <c r="Z36" i="89"/>
  <c r="S36" i="89"/>
  <c r="E10" i="90" s="1"/>
  <c r="R36" i="89"/>
  <c r="Q36" i="89"/>
  <c r="AE35" i="89"/>
  <c r="AD35" i="89"/>
  <c r="AC35" i="89"/>
  <c r="AB35" i="89"/>
  <c r="AA35" i="89"/>
  <c r="Z35" i="89"/>
  <c r="S35" i="89"/>
  <c r="R35" i="89"/>
  <c r="Q35" i="89"/>
  <c r="AE34" i="89"/>
  <c r="AD34" i="89"/>
  <c r="AC34" i="89"/>
  <c r="AB34" i="89"/>
  <c r="AA34" i="89"/>
  <c r="Z34" i="89"/>
  <c r="S34" i="89"/>
  <c r="AE33" i="89"/>
  <c r="AD33" i="89"/>
  <c r="AC33" i="89"/>
  <c r="AB33" i="89"/>
  <c r="AA33" i="89"/>
  <c r="Z33" i="89"/>
  <c r="S33" i="89"/>
  <c r="AE32" i="89"/>
  <c r="AD32" i="89"/>
  <c r="AC32" i="89"/>
  <c r="AB32" i="89"/>
  <c r="AA32" i="89"/>
  <c r="Z32" i="89"/>
  <c r="S32" i="89"/>
  <c r="AE31" i="89"/>
  <c r="AD31" i="89"/>
  <c r="AC31" i="89"/>
  <c r="AB31" i="89"/>
  <c r="AA31" i="89"/>
  <c r="Z31" i="89"/>
  <c r="S31" i="89"/>
  <c r="AE30" i="89"/>
  <c r="AD30" i="89"/>
  <c r="AC30" i="89"/>
  <c r="AB30" i="89"/>
  <c r="AA30" i="89"/>
  <c r="Z30" i="89"/>
  <c r="S30" i="89"/>
  <c r="AE29" i="89"/>
  <c r="AD29" i="89"/>
  <c r="AC29" i="89"/>
  <c r="AB29" i="89"/>
  <c r="AA29" i="89"/>
  <c r="Z29" i="89"/>
  <c r="S29" i="89"/>
  <c r="AE28" i="89"/>
  <c r="AD28" i="89"/>
  <c r="AC28" i="89"/>
  <c r="AB28" i="89"/>
  <c r="AA28" i="89"/>
  <c r="Z28" i="89"/>
  <c r="S28" i="89"/>
  <c r="AE27" i="89"/>
  <c r="AD27" i="89"/>
  <c r="AC27" i="89"/>
  <c r="AB27" i="89"/>
  <c r="AA27" i="89"/>
  <c r="Z27" i="89"/>
  <c r="S27" i="89"/>
  <c r="AE26" i="89"/>
  <c r="AD26" i="89"/>
  <c r="AC26" i="89"/>
  <c r="AB26" i="89"/>
  <c r="AA26" i="89"/>
  <c r="Z26" i="89"/>
  <c r="S26" i="89"/>
  <c r="AE25" i="89"/>
  <c r="AD25" i="89"/>
  <c r="AC25" i="89"/>
  <c r="AB25" i="89"/>
  <c r="AA25" i="89"/>
  <c r="Z25" i="89"/>
  <c r="S25" i="89"/>
  <c r="AE24" i="89"/>
  <c r="AD24" i="89"/>
  <c r="AC24" i="89"/>
  <c r="AB24" i="89"/>
  <c r="AA24" i="89"/>
  <c r="Z24" i="89"/>
  <c r="S24" i="89"/>
  <c r="AE23" i="89"/>
  <c r="G9" i="90" s="1"/>
  <c r="AD23" i="89"/>
  <c r="AC23" i="89"/>
  <c r="AB23" i="89"/>
  <c r="AA23" i="89"/>
  <c r="Z23" i="89"/>
  <c r="S23" i="89"/>
  <c r="E9" i="90" s="1"/>
  <c r="R23" i="89"/>
  <c r="Q23" i="89"/>
  <c r="AE22" i="89"/>
  <c r="AD22" i="89"/>
  <c r="AC22" i="89"/>
  <c r="AB22" i="89"/>
  <c r="AA22" i="89"/>
  <c r="Z22" i="89"/>
  <c r="S22" i="89"/>
  <c r="AE21" i="89"/>
  <c r="G8" i="90" s="1"/>
  <c r="AD21" i="89"/>
  <c r="AC21" i="89"/>
  <c r="AB21" i="89"/>
  <c r="AA21" i="89"/>
  <c r="Z21" i="89"/>
  <c r="S21" i="89"/>
  <c r="X21" i="89" s="1"/>
  <c r="H8" i="90" s="1"/>
  <c r="R21" i="89"/>
  <c r="Q21" i="89"/>
  <c r="AE20" i="89"/>
  <c r="AD20" i="89"/>
  <c r="AC20" i="89"/>
  <c r="AB20" i="89"/>
  <c r="AA20" i="89"/>
  <c r="Z20" i="89"/>
  <c r="S20" i="89"/>
  <c r="AE19" i="89"/>
  <c r="G7" i="90" s="1"/>
  <c r="AD19" i="89"/>
  <c r="AC19" i="89"/>
  <c r="AB19" i="89"/>
  <c r="AA19" i="89"/>
  <c r="Z19" i="89"/>
  <c r="S19" i="89"/>
  <c r="X19" i="89" s="1"/>
  <c r="H7" i="90" s="1"/>
  <c r="R19" i="89"/>
  <c r="Q19" i="89"/>
  <c r="AE18" i="89"/>
  <c r="AD18" i="89"/>
  <c r="AC18" i="89"/>
  <c r="AB18" i="89"/>
  <c r="AA18" i="89"/>
  <c r="Z18" i="89"/>
  <c r="S18" i="89"/>
  <c r="R18" i="89"/>
  <c r="Q18" i="89"/>
  <c r="E18" i="89"/>
  <c r="AE17" i="89"/>
  <c r="AD17" i="89"/>
  <c r="AC17" i="89"/>
  <c r="AB17" i="89"/>
  <c r="AA17" i="89"/>
  <c r="Z17" i="89"/>
  <c r="S17" i="89"/>
  <c r="AE16" i="89"/>
  <c r="AD16" i="89"/>
  <c r="AC16" i="89"/>
  <c r="AB16" i="89"/>
  <c r="AA16" i="89"/>
  <c r="Z16" i="89"/>
  <c r="S16" i="89"/>
  <c r="AE15" i="89"/>
  <c r="AD15" i="89"/>
  <c r="AC15" i="89"/>
  <c r="AB15" i="89"/>
  <c r="AA15" i="89"/>
  <c r="Z15" i="89"/>
  <c r="S15" i="89"/>
  <c r="AE14" i="89"/>
  <c r="AD14" i="89"/>
  <c r="AC14" i="89"/>
  <c r="AB14" i="89"/>
  <c r="AA14" i="89"/>
  <c r="Z14" i="89"/>
  <c r="S14" i="89"/>
  <c r="AE13" i="89"/>
  <c r="G6" i="90" s="1"/>
  <c r="AD13" i="89"/>
  <c r="AC13" i="89"/>
  <c r="AB13" i="89"/>
  <c r="AA13" i="89"/>
  <c r="Z13" i="89"/>
  <c r="S13" i="89"/>
  <c r="X13" i="89" s="1"/>
  <c r="H6" i="90" s="1"/>
  <c r="R13" i="89"/>
  <c r="Q13" i="89"/>
  <c r="AE12" i="89"/>
  <c r="AD12" i="89"/>
  <c r="AC12" i="89"/>
  <c r="AB12" i="89"/>
  <c r="AA12" i="89"/>
  <c r="Z12" i="89"/>
  <c r="S12" i="89"/>
  <c r="AE11" i="89"/>
  <c r="G5" i="90" s="1"/>
  <c r="AD11" i="89"/>
  <c r="AC11" i="89"/>
  <c r="AB11" i="89"/>
  <c r="AA11" i="89"/>
  <c r="Z11" i="89"/>
  <c r="S11" i="89"/>
  <c r="E5" i="90" s="1"/>
  <c r="R11" i="89"/>
  <c r="Q11" i="89"/>
  <c r="AE10" i="89"/>
  <c r="AD10" i="89"/>
  <c r="AC10" i="89"/>
  <c r="AB10" i="89"/>
  <c r="AA10" i="89"/>
  <c r="Z10" i="89"/>
  <c r="S10" i="89"/>
  <c r="AE9" i="89"/>
  <c r="AD9" i="89"/>
  <c r="AC9" i="89"/>
  <c r="AB9" i="89"/>
  <c r="AA9" i="89"/>
  <c r="Z9" i="89"/>
  <c r="S9" i="89"/>
  <c r="AE8" i="89"/>
  <c r="G4" i="90" s="1"/>
  <c r="AD8" i="89"/>
  <c r="AC8" i="89"/>
  <c r="AB8" i="89"/>
  <c r="AA8" i="89"/>
  <c r="Z8" i="89"/>
  <c r="X8" i="89"/>
  <c r="S8" i="89"/>
  <c r="E4" i="90" s="1"/>
  <c r="R8" i="89"/>
  <c r="Q8" i="89"/>
  <c r="AE7" i="89"/>
  <c r="AD7" i="89"/>
  <c r="AC7" i="89"/>
  <c r="AB7" i="89"/>
  <c r="AA7" i="89"/>
  <c r="Z7" i="89"/>
  <c r="S7" i="89"/>
  <c r="AE6" i="89"/>
  <c r="AD6" i="89"/>
  <c r="AC6" i="89"/>
  <c r="AB6" i="89"/>
  <c r="AA6" i="89"/>
  <c r="Z6" i="89"/>
  <c r="S6" i="89"/>
  <c r="AE5" i="89"/>
  <c r="G3" i="90" s="1"/>
  <c r="AD5" i="89"/>
  <c r="AC5" i="89"/>
  <c r="AB5" i="89"/>
  <c r="AA5" i="89"/>
  <c r="Z5" i="89"/>
  <c r="S5" i="89"/>
  <c r="E3" i="90" s="1"/>
  <c r="R5" i="89"/>
  <c r="Q5" i="89"/>
  <c r="AE4" i="89"/>
  <c r="AD4" i="89"/>
  <c r="AC4" i="89"/>
  <c r="AB4" i="89"/>
  <c r="AA4" i="89"/>
  <c r="Z4" i="89"/>
  <c r="S4" i="89"/>
  <c r="AE3" i="89"/>
  <c r="G2" i="90" s="1"/>
  <c r="AD3" i="89"/>
  <c r="AC3" i="89"/>
  <c r="AB3" i="89"/>
  <c r="AA3" i="89"/>
  <c r="Z3" i="89"/>
  <c r="X3" i="89"/>
  <c r="S3" i="89"/>
  <c r="E2" i="90" s="1"/>
  <c r="E6" i="90" l="1"/>
  <c r="X23" i="89"/>
  <c r="H9" i="90" s="1"/>
  <c r="E7" i="90"/>
  <c r="E28" i="90"/>
  <c r="E8" i="90"/>
  <c r="I8" i="90" s="1"/>
  <c r="L8" i="90" s="1"/>
  <c r="I15" i="90"/>
  <c r="L15" i="90" s="1"/>
  <c r="I18" i="90"/>
  <c r="L18" i="90" s="1"/>
  <c r="I20" i="90"/>
  <c r="L20" i="90" s="1"/>
  <c r="I24" i="90"/>
  <c r="L24" i="90" s="1"/>
  <c r="I25" i="90"/>
  <c r="L25" i="90" s="1"/>
  <c r="I11" i="90"/>
  <c r="L11" i="90" s="1"/>
  <c r="I12" i="90"/>
  <c r="L12" i="90" s="1"/>
  <c r="I16" i="90"/>
  <c r="L16" i="90" s="1"/>
  <c r="I29" i="90"/>
  <c r="L29" i="90" s="1"/>
  <c r="I34" i="90"/>
  <c r="L34" i="90" s="1"/>
  <c r="I39" i="90"/>
  <c r="L39" i="90" s="1"/>
  <c r="X36" i="89"/>
  <c r="H10" i="90" s="1"/>
  <c r="I4" i="90"/>
  <c r="L4" i="90" s="1"/>
  <c r="I30" i="90"/>
  <c r="L30" i="90" s="1"/>
  <c r="I5" i="90"/>
  <c r="L5" i="90" s="1"/>
  <c r="I19" i="90"/>
  <c r="L19" i="90" s="1"/>
  <c r="I23" i="90"/>
  <c r="L23" i="90" s="1"/>
  <c r="I33" i="90"/>
  <c r="L33" i="90" s="1"/>
  <c r="I38" i="90"/>
  <c r="L38" i="90" s="1"/>
  <c r="I22" i="90"/>
  <c r="L22" i="90" s="1"/>
  <c r="I27" i="90"/>
  <c r="L27" i="90" s="1"/>
  <c r="I32" i="90"/>
  <c r="L32" i="90" s="1"/>
  <c r="I37" i="90"/>
  <c r="L37" i="90" s="1"/>
  <c r="I17" i="90"/>
  <c r="L17" i="90" s="1"/>
  <c r="I35" i="90"/>
  <c r="L35" i="90" s="1"/>
  <c r="I14" i="90"/>
  <c r="L14" i="90" s="1"/>
  <c r="I2" i="90"/>
  <c r="L2" i="90" s="1"/>
  <c r="I3" i="90"/>
  <c r="L3" i="90" s="1"/>
  <c r="I13" i="90"/>
  <c r="L13" i="90" s="1"/>
  <c r="I21" i="90"/>
  <c r="L21" i="90" s="1"/>
  <c r="I26" i="90"/>
  <c r="L26" i="90" s="1"/>
  <c r="I31" i="90"/>
  <c r="L31" i="90" s="1"/>
  <c r="I36" i="90"/>
  <c r="L36" i="90" s="1"/>
  <c r="M11" i="90" l="1"/>
  <c r="M16" i="90"/>
  <c r="M29" i="90"/>
  <c r="M34" i="90"/>
  <c r="I28" i="90"/>
  <c r="L28" i="90" s="1"/>
  <c r="M24" i="90" s="1"/>
  <c r="M2" i="90"/>
  <c r="I10" i="90"/>
  <c r="L10" i="90" s="1"/>
  <c r="I6" i="90"/>
  <c r="L6" i="90" s="1"/>
  <c r="I7" i="90"/>
  <c r="L7" i="90" s="1"/>
  <c r="I9" i="90"/>
  <c r="L9" i="90" s="1"/>
  <c r="M5" i="90" l="1"/>
  <c r="K12" i="102" s="1"/>
  <c r="H39" i="88"/>
  <c r="F39" i="88"/>
  <c r="E39" i="88"/>
  <c r="D39" i="88"/>
  <c r="H38" i="88"/>
  <c r="F38" i="88"/>
  <c r="E38" i="88"/>
  <c r="D38" i="88"/>
  <c r="H37" i="88"/>
  <c r="F37" i="88"/>
  <c r="E37" i="88"/>
  <c r="D37" i="88"/>
  <c r="H36" i="88"/>
  <c r="F36" i="88"/>
  <c r="E36" i="88"/>
  <c r="D36" i="88"/>
  <c r="H35" i="88"/>
  <c r="F35" i="88"/>
  <c r="E35" i="88"/>
  <c r="D35" i="88"/>
  <c r="H34" i="88"/>
  <c r="F34" i="88"/>
  <c r="E34" i="88"/>
  <c r="D34" i="88"/>
  <c r="H33" i="88"/>
  <c r="F33" i="88"/>
  <c r="E33" i="88"/>
  <c r="D33" i="88"/>
  <c r="H32" i="88"/>
  <c r="F32" i="88"/>
  <c r="E32" i="88"/>
  <c r="D32" i="88"/>
  <c r="H31" i="88"/>
  <c r="F31" i="88"/>
  <c r="E31" i="88"/>
  <c r="D31" i="88"/>
  <c r="H30" i="88"/>
  <c r="F30" i="88"/>
  <c r="E30" i="88"/>
  <c r="D30" i="88"/>
  <c r="H29" i="88"/>
  <c r="F29" i="88"/>
  <c r="E29" i="88"/>
  <c r="D29" i="88"/>
  <c r="H28" i="88"/>
  <c r="F28" i="88"/>
  <c r="E28" i="88"/>
  <c r="D28" i="88"/>
  <c r="H27" i="88"/>
  <c r="F27" i="88"/>
  <c r="E27" i="88"/>
  <c r="D27" i="88"/>
  <c r="H26" i="88"/>
  <c r="F26" i="88"/>
  <c r="E26" i="88"/>
  <c r="D26" i="88"/>
  <c r="H25" i="88"/>
  <c r="F25" i="88"/>
  <c r="E25" i="88"/>
  <c r="D25" i="88"/>
  <c r="H24" i="88"/>
  <c r="F24" i="88"/>
  <c r="E24" i="88"/>
  <c r="D24" i="88"/>
  <c r="H23" i="88"/>
  <c r="F23" i="88"/>
  <c r="E23" i="88"/>
  <c r="D23" i="88"/>
  <c r="H22" i="88"/>
  <c r="F22" i="88"/>
  <c r="E22" i="88"/>
  <c r="D22" i="88"/>
  <c r="H21" i="88"/>
  <c r="F21" i="88"/>
  <c r="E21" i="88"/>
  <c r="D21" i="88"/>
  <c r="H20" i="88"/>
  <c r="F20" i="88"/>
  <c r="E20" i="88"/>
  <c r="D20" i="88"/>
  <c r="H19" i="88"/>
  <c r="F19" i="88"/>
  <c r="E19" i="88"/>
  <c r="D19" i="88"/>
  <c r="H18" i="88"/>
  <c r="F18" i="88"/>
  <c r="E18" i="88"/>
  <c r="D18" i="88"/>
  <c r="H17" i="88"/>
  <c r="F17" i="88"/>
  <c r="E17" i="88"/>
  <c r="D17" i="88"/>
  <c r="H16" i="88"/>
  <c r="F16" i="88"/>
  <c r="E16" i="88"/>
  <c r="D16" i="88"/>
  <c r="H15" i="88"/>
  <c r="F15" i="88"/>
  <c r="E15" i="88"/>
  <c r="D15" i="88"/>
  <c r="H14" i="88"/>
  <c r="F14" i="88"/>
  <c r="E14" i="88"/>
  <c r="D14" i="88"/>
  <c r="H13" i="88"/>
  <c r="F13" i="88"/>
  <c r="E13" i="88"/>
  <c r="D13" i="88"/>
  <c r="H12" i="88"/>
  <c r="F12" i="88"/>
  <c r="E12" i="88"/>
  <c r="D12" i="88"/>
  <c r="H11" i="88"/>
  <c r="F11" i="88"/>
  <c r="E11" i="88"/>
  <c r="D11" i="88"/>
  <c r="H10" i="88"/>
  <c r="F10" i="88"/>
  <c r="E10" i="88"/>
  <c r="D10" i="88"/>
  <c r="H9" i="88"/>
  <c r="F9" i="88"/>
  <c r="E9" i="88"/>
  <c r="D9" i="88"/>
  <c r="H8" i="88"/>
  <c r="F8" i="88"/>
  <c r="E8" i="88"/>
  <c r="D8" i="88"/>
  <c r="H7" i="88"/>
  <c r="F7" i="88"/>
  <c r="E7" i="88"/>
  <c r="D7" i="88"/>
  <c r="H6" i="88"/>
  <c r="F6" i="88"/>
  <c r="E6" i="88"/>
  <c r="D6" i="88"/>
  <c r="H5" i="88"/>
  <c r="F5" i="88"/>
  <c r="E5" i="88"/>
  <c r="D5" i="88"/>
  <c r="H4" i="88"/>
  <c r="F4" i="88"/>
  <c r="E4" i="88"/>
  <c r="D4" i="88"/>
  <c r="H3" i="88"/>
  <c r="F3" i="88"/>
  <c r="E3" i="88"/>
  <c r="D3" i="88"/>
  <c r="H2" i="88"/>
  <c r="F2" i="88"/>
  <c r="E2" i="88"/>
  <c r="D2" i="88"/>
  <c r="I32" i="88"/>
  <c r="L32" i="88" s="1"/>
  <c r="AB113" i="87"/>
  <c r="G39" i="88" s="1"/>
  <c r="AA113" i="87"/>
  <c r="Z113" i="87"/>
  <c r="Y113" i="87"/>
  <c r="AB112" i="87"/>
  <c r="G38" i="88" s="1"/>
  <c r="AA112" i="87"/>
  <c r="Z112" i="87"/>
  <c r="Y112" i="87"/>
  <c r="X112" i="87"/>
  <c r="Q112" i="87"/>
  <c r="P112" i="87"/>
  <c r="AB111" i="87"/>
  <c r="AA111" i="87"/>
  <c r="Z111" i="87"/>
  <c r="Y111" i="87"/>
  <c r="AB110" i="87"/>
  <c r="G37" i="88" s="1"/>
  <c r="AA110" i="87"/>
  <c r="Z110" i="87"/>
  <c r="Y110" i="87"/>
  <c r="AB109" i="87"/>
  <c r="AA109" i="87"/>
  <c r="Z109" i="87"/>
  <c r="Y109" i="87"/>
  <c r="AB108" i="87"/>
  <c r="G36" i="88" s="1"/>
  <c r="AA108" i="87"/>
  <c r="Z108" i="87"/>
  <c r="Y108" i="87"/>
  <c r="X108" i="87"/>
  <c r="Q108" i="87"/>
  <c r="P108" i="87"/>
  <c r="AB107" i="87"/>
  <c r="AA107" i="87"/>
  <c r="Z107" i="87"/>
  <c r="Y107" i="87"/>
  <c r="AB106" i="87"/>
  <c r="AA106" i="87"/>
  <c r="Z106" i="87"/>
  <c r="Y106" i="87"/>
  <c r="AB105" i="87"/>
  <c r="G35" i="88" s="1"/>
  <c r="AA105" i="87"/>
  <c r="Z105" i="87"/>
  <c r="Y105" i="87"/>
  <c r="X105" i="87"/>
  <c r="Q105" i="87"/>
  <c r="P105" i="87"/>
  <c r="AB104" i="87"/>
  <c r="AA104" i="87"/>
  <c r="Z104" i="87"/>
  <c r="Y104" i="87"/>
  <c r="AB103" i="87"/>
  <c r="G34" i="88" s="1"/>
  <c r="AA103" i="87"/>
  <c r="Z103" i="87"/>
  <c r="Y103" i="87"/>
  <c r="X103" i="87"/>
  <c r="Q103" i="87"/>
  <c r="P103" i="87"/>
  <c r="AB102" i="87"/>
  <c r="AA102" i="87"/>
  <c r="Z102" i="87"/>
  <c r="Y102" i="87"/>
  <c r="AB101" i="87"/>
  <c r="AA101" i="87"/>
  <c r="Z101" i="87"/>
  <c r="Y101" i="87"/>
  <c r="AB100" i="87"/>
  <c r="G33" i="88" s="1"/>
  <c r="AA100" i="87"/>
  <c r="Z100" i="87"/>
  <c r="Y100" i="87"/>
  <c r="X100" i="87"/>
  <c r="AB99" i="87"/>
  <c r="AA99" i="87"/>
  <c r="Z99" i="87"/>
  <c r="Y99" i="87"/>
  <c r="AB98" i="87"/>
  <c r="AA98" i="87"/>
  <c r="Z98" i="87"/>
  <c r="Y98" i="87"/>
  <c r="AB97" i="87"/>
  <c r="AA97" i="87"/>
  <c r="Z97" i="87"/>
  <c r="Y97" i="87"/>
  <c r="AB96" i="87"/>
  <c r="AA96" i="87"/>
  <c r="Z96" i="87"/>
  <c r="Y96" i="87"/>
  <c r="AB95" i="87"/>
  <c r="AA95" i="87"/>
  <c r="Z95" i="87"/>
  <c r="Y95" i="87"/>
  <c r="AB94" i="87"/>
  <c r="AA94" i="87"/>
  <c r="Z94" i="87"/>
  <c r="Y94" i="87"/>
  <c r="AB93" i="87"/>
  <c r="AA93" i="87"/>
  <c r="Z93" i="87"/>
  <c r="Y93" i="87"/>
  <c r="AB92" i="87"/>
  <c r="G31" i="88" s="1"/>
  <c r="AA92" i="87"/>
  <c r="Z92" i="87"/>
  <c r="Y92" i="87"/>
  <c r="AB91" i="87"/>
  <c r="G30" i="88" s="1"/>
  <c r="AA91" i="87"/>
  <c r="Z91" i="87"/>
  <c r="Y91" i="87"/>
  <c r="AB90" i="87"/>
  <c r="G29" i="88" s="1"/>
  <c r="AA90" i="87"/>
  <c r="Z90" i="87"/>
  <c r="Y90" i="87"/>
  <c r="AB89" i="87"/>
  <c r="G28" i="88" s="1"/>
  <c r="AA89" i="87"/>
  <c r="Z89" i="87"/>
  <c r="Y89" i="87"/>
  <c r="X89" i="87"/>
  <c r="Q89" i="87"/>
  <c r="P89" i="87"/>
  <c r="AB88" i="87"/>
  <c r="AA88" i="87"/>
  <c r="Z88" i="87"/>
  <c r="Y88" i="87"/>
  <c r="AB87" i="87"/>
  <c r="AA87" i="87"/>
  <c r="Z87" i="87"/>
  <c r="Y87" i="87"/>
  <c r="AB86" i="87"/>
  <c r="AA86" i="87"/>
  <c r="Z86" i="87"/>
  <c r="Y86" i="87"/>
  <c r="AB85" i="87"/>
  <c r="AA85" i="87"/>
  <c r="Z85" i="87"/>
  <c r="Y85" i="87"/>
  <c r="AB84" i="87"/>
  <c r="AA84" i="87"/>
  <c r="Z84" i="87"/>
  <c r="Y84" i="87"/>
  <c r="AB83" i="87"/>
  <c r="G27" i="88" s="1"/>
  <c r="AA83" i="87"/>
  <c r="Z83" i="87"/>
  <c r="Y83" i="87"/>
  <c r="X83" i="87"/>
  <c r="Q83" i="87"/>
  <c r="P83" i="87"/>
  <c r="AB82" i="87"/>
  <c r="AA82" i="87"/>
  <c r="Z82" i="87"/>
  <c r="Y82" i="87"/>
  <c r="AB81" i="87"/>
  <c r="AA81" i="87"/>
  <c r="Z81" i="87"/>
  <c r="Y81" i="87"/>
  <c r="AB80" i="87"/>
  <c r="G26" i="88" s="1"/>
  <c r="AA80" i="87"/>
  <c r="Z80" i="87"/>
  <c r="Y80" i="87"/>
  <c r="X80" i="87"/>
  <c r="Q80" i="87"/>
  <c r="P80" i="87"/>
  <c r="AB79" i="87"/>
  <c r="AA79" i="87"/>
  <c r="Z79" i="87"/>
  <c r="Y79" i="87"/>
  <c r="AB78" i="87"/>
  <c r="AA78" i="87"/>
  <c r="Z78" i="87"/>
  <c r="Y78" i="87"/>
  <c r="AB77" i="87"/>
  <c r="G25" i="88" s="1"/>
  <c r="AA77" i="87"/>
  <c r="Z77" i="87"/>
  <c r="Y77" i="87"/>
  <c r="X77" i="87"/>
  <c r="AB76" i="87"/>
  <c r="AA76" i="87"/>
  <c r="Z76" i="87"/>
  <c r="Y76" i="87"/>
  <c r="AB75" i="87"/>
  <c r="AA75" i="87"/>
  <c r="Z75" i="87"/>
  <c r="Y75" i="87"/>
  <c r="AB74" i="87"/>
  <c r="AA74" i="87"/>
  <c r="Z74" i="87"/>
  <c r="Y74" i="87"/>
  <c r="AB73" i="87"/>
  <c r="G24" i="88" s="1"/>
  <c r="AA73" i="87"/>
  <c r="Z73" i="87"/>
  <c r="Y73" i="87"/>
  <c r="AB72" i="87"/>
  <c r="G23" i="88" s="1"/>
  <c r="AA72" i="87"/>
  <c r="Z72" i="87"/>
  <c r="Y72" i="87"/>
  <c r="X72" i="87"/>
  <c r="Q72" i="87"/>
  <c r="P72" i="87"/>
  <c r="AB71" i="87"/>
  <c r="AA71" i="87"/>
  <c r="Z71" i="87"/>
  <c r="Y71" i="87"/>
  <c r="AB70" i="87"/>
  <c r="AA70" i="87"/>
  <c r="Z70" i="87"/>
  <c r="Y70" i="87"/>
  <c r="AB69" i="87"/>
  <c r="AA69" i="87"/>
  <c r="Z69" i="87"/>
  <c r="Y69" i="87"/>
  <c r="AB68" i="87"/>
  <c r="G22" i="88" s="1"/>
  <c r="AA68" i="87"/>
  <c r="Z68" i="87"/>
  <c r="Y68" i="87"/>
  <c r="X68" i="87"/>
  <c r="Q68" i="87"/>
  <c r="P68" i="87"/>
  <c r="AB67" i="87"/>
  <c r="AA67" i="87"/>
  <c r="Z67" i="87"/>
  <c r="Y67" i="87"/>
  <c r="AB66" i="87"/>
  <c r="AA66" i="87"/>
  <c r="Z66" i="87"/>
  <c r="Y66" i="87"/>
  <c r="AB65" i="87"/>
  <c r="G21" i="88" s="1"/>
  <c r="AA65" i="87"/>
  <c r="Z65" i="87"/>
  <c r="Y65" i="87"/>
  <c r="X65" i="87"/>
  <c r="Q65" i="87"/>
  <c r="P65" i="87"/>
  <c r="AB64" i="87"/>
  <c r="AA64" i="87"/>
  <c r="Z64" i="87"/>
  <c r="Y64" i="87"/>
  <c r="AB63" i="87"/>
  <c r="AA63" i="87"/>
  <c r="Z63" i="87"/>
  <c r="Y63" i="87"/>
  <c r="AB62" i="87"/>
  <c r="G20" i="88" s="1"/>
  <c r="AA62" i="87"/>
  <c r="Z62" i="87"/>
  <c r="Y62" i="87"/>
  <c r="X62" i="87"/>
  <c r="Q62" i="87"/>
  <c r="P62" i="87"/>
  <c r="AB61" i="87"/>
  <c r="AA61" i="87"/>
  <c r="Z61" i="87"/>
  <c r="Y61" i="87"/>
  <c r="AB60" i="87"/>
  <c r="G19" i="88" s="1"/>
  <c r="AA60" i="87"/>
  <c r="Z60" i="87"/>
  <c r="Y60" i="87"/>
  <c r="X60" i="87"/>
  <c r="Q60" i="87"/>
  <c r="P60" i="87"/>
  <c r="AB59" i="87"/>
  <c r="AA59" i="87"/>
  <c r="Z59" i="87"/>
  <c r="Y59" i="87"/>
  <c r="AB58" i="87"/>
  <c r="AA58" i="87"/>
  <c r="Z58" i="87"/>
  <c r="Y58" i="87"/>
  <c r="AB57" i="87"/>
  <c r="G18" i="88" s="1"/>
  <c r="AA57" i="87"/>
  <c r="Z57" i="87"/>
  <c r="Y57" i="87"/>
  <c r="X57" i="87"/>
  <c r="Q57" i="87"/>
  <c r="P57" i="87"/>
  <c r="AB56" i="87"/>
  <c r="AA56" i="87"/>
  <c r="Z56" i="87"/>
  <c r="Y56" i="87"/>
  <c r="AB55" i="87"/>
  <c r="AA55" i="87"/>
  <c r="Z55" i="87"/>
  <c r="Y55" i="87"/>
  <c r="AB54" i="87"/>
  <c r="G17" i="88" s="1"/>
  <c r="AA54" i="87"/>
  <c r="Z54" i="87"/>
  <c r="Y54" i="87"/>
  <c r="AB53" i="87"/>
  <c r="G16" i="88" s="1"/>
  <c r="AA53" i="87"/>
  <c r="Z53" i="87"/>
  <c r="Y53" i="87"/>
  <c r="X53" i="87"/>
  <c r="Q53" i="87"/>
  <c r="P53" i="87"/>
  <c r="AB52" i="87"/>
  <c r="AA52" i="87"/>
  <c r="Z52" i="87"/>
  <c r="Y52" i="87"/>
  <c r="AB51" i="87"/>
  <c r="AA51" i="87"/>
  <c r="Z51" i="87"/>
  <c r="Y51" i="87"/>
  <c r="AB50" i="87"/>
  <c r="AA50" i="87"/>
  <c r="Z50" i="87"/>
  <c r="Y50" i="87"/>
  <c r="AB49" i="87"/>
  <c r="G15" i="88" s="1"/>
  <c r="AA49" i="87"/>
  <c r="Z49" i="87"/>
  <c r="Y49" i="87"/>
  <c r="X49" i="87"/>
  <c r="T49" i="87"/>
  <c r="U49" i="87" s="1"/>
  <c r="V49" i="87" s="1"/>
  <c r="S49" i="87"/>
  <c r="Q49" i="87"/>
  <c r="P49" i="87"/>
  <c r="AB48" i="87"/>
  <c r="AA48" i="87"/>
  <c r="Z48" i="87"/>
  <c r="Y48" i="87"/>
  <c r="AB47" i="87"/>
  <c r="AA47" i="87"/>
  <c r="Z47" i="87"/>
  <c r="Y47" i="87"/>
  <c r="AB46" i="87"/>
  <c r="AA46" i="87"/>
  <c r="Z46" i="87"/>
  <c r="Y46" i="87"/>
  <c r="AB45" i="87"/>
  <c r="AA45" i="87"/>
  <c r="Z45" i="87"/>
  <c r="Y45" i="87"/>
  <c r="AB44" i="87"/>
  <c r="G14" i="88" s="1"/>
  <c r="AA44" i="87"/>
  <c r="Z44" i="87"/>
  <c r="Y44" i="87"/>
  <c r="S44" i="87"/>
  <c r="T44" i="87" s="1"/>
  <c r="U44" i="87" s="1"/>
  <c r="V44" i="87" s="1"/>
  <c r="W44" i="87" s="1"/>
  <c r="AB43" i="87"/>
  <c r="G13" i="88" s="1"/>
  <c r="AA43" i="87"/>
  <c r="Z43" i="87"/>
  <c r="Y43" i="87"/>
  <c r="AB42" i="87"/>
  <c r="G12" i="88" s="1"/>
  <c r="AA42" i="87"/>
  <c r="Z42" i="87"/>
  <c r="Y42" i="87"/>
  <c r="W42" i="87"/>
  <c r="AB41" i="87"/>
  <c r="AA41" i="87"/>
  <c r="Z41" i="87"/>
  <c r="Y41" i="87"/>
  <c r="AB40" i="87"/>
  <c r="AA40" i="87"/>
  <c r="Z40" i="87"/>
  <c r="Y40" i="87"/>
  <c r="AB39" i="87"/>
  <c r="G11" i="88" s="1"/>
  <c r="AA39" i="87"/>
  <c r="Z39" i="87"/>
  <c r="Y39" i="87"/>
  <c r="X39" i="87"/>
  <c r="Q39" i="87"/>
  <c r="P39" i="87"/>
  <c r="AB38" i="87"/>
  <c r="AA38" i="87"/>
  <c r="Z38" i="87"/>
  <c r="Y38" i="87"/>
  <c r="AB37" i="87"/>
  <c r="AA37" i="87"/>
  <c r="Z37" i="87"/>
  <c r="Y37" i="87"/>
  <c r="AB36" i="87"/>
  <c r="G10" i="88" s="1"/>
  <c r="AA36" i="87"/>
  <c r="Z36" i="87"/>
  <c r="Y36" i="87"/>
  <c r="X36" i="87"/>
  <c r="W36" i="87"/>
  <c r="Q36" i="87"/>
  <c r="P36" i="87"/>
  <c r="AB35" i="87"/>
  <c r="X35" i="87"/>
  <c r="Q35" i="87"/>
  <c r="P35" i="87"/>
  <c r="AB34" i="87"/>
  <c r="AA34" i="87"/>
  <c r="Z34" i="87"/>
  <c r="Y34" i="87"/>
  <c r="AB33" i="87"/>
  <c r="AA33" i="87"/>
  <c r="Z33" i="87"/>
  <c r="Y33" i="87"/>
  <c r="AB32" i="87"/>
  <c r="AA32" i="87"/>
  <c r="Z32" i="87"/>
  <c r="Y32" i="87"/>
  <c r="AB31" i="87"/>
  <c r="AA31" i="87"/>
  <c r="Z31" i="87"/>
  <c r="Y31" i="87"/>
  <c r="AB30" i="87"/>
  <c r="AA30" i="87"/>
  <c r="Z30" i="87"/>
  <c r="Y30" i="87"/>
  <c r="AB29" i="87"/>
  <c r="AA29" i="87"/>
  <c r="Z29" i="87"/>
  <c r="Y29" i="87"/>
  <c r="AB28" i="87"/>
  <c r="AA28" i="87"/>
  <c r="Z28" i="87"/>
  <c r="Y28" i="87"/>
  <c r="AB27" i="87"/>
  <c r="AA27" i="87"/>
  <c r="Z27" i="87"/>
  <c r="Y27" i="87"/>
  <c r="AB26" i="87"/>
  <c r="AA26" i="87"/>
  <c r="Z26" i="87"/>
  <c r="Y26" i="87"/>
  <c r="AB25" i="87"/>
  <c r="AA25" i="87"/>
  <c r="Z25" i="87"/>
  <c r="Y25" i="87"/>
  <c r="AB24" i="87"/>
  <c r="AA24" i="87"/>
  <c r="Z24" i="87"/>
  <c r="Y24" i="87"/>
  <c r="AB23" i="87"/>
  <c r="G9" i="88" s="1"/>
  <c r="AA23" i="87"/>
  <c r="Z23" i="87"/>
  <c r="Y23" i="87"/>
  <c r="X23" i="87"/>
  <c r="Q23" i="87"/>
  <c r="P23" i="87"/>
  <c r="AB22" i="87"/>
  <c r="AA22" i="87"/>
  <c r="Z22" i="87"/>
  <c r="Y22" i="87"/>
  <c r="AB21" i="87"/>
  <c r="G8" i="88" s="1"/>
  <c r="AA21" i="87"/>
  <c r="Z21" i="87"/>
  <c r="Y21" i="87"/>
  <c r="X21" i="87"/>
  <c r="Q21" i="87"/>
  <c r="P21" i="87"/>
  <c r="AB20" i="87"/>
  <c r="AA20" i="87"/>
  <c r="Z20" i="87"/>
  <c r="Y20" i="87"/>
  <c r="AB19" i="87"/>
  <c r="G7" i="88" s="1"/>
  <c r="AA19" i="87"/>
  <c r="Z19" i="87"/>
  <c r="Y19" i="87"/>
  <c r="X19" i="87"/>
  <c r="Q19" i="87"/>
  <c r="P19" i="87"/>
  <c r="AB18" i="87"/>
  <c r="X18" i="87"/>
  <c r="Q18" i="87"/>
  <c r="P18" i="87"/>
  <c r="E18" i="87"/>
  <c r="AB17" i="87"/>
  <c r="AA17" i="87"/>
  <c r="Z17" i="87"/>
  <c r="Y17" i="87"/>
  <c r="AB16" i="87"/>
  <c r="AA16" i="87"/>
  <c r="Z16" i="87"/>
  <c r="Y16" i="87"/>
  <c r="AB15" i="87"/>
  <c r="AA15" i="87"/>
  <c r="Z15" i="87"/>
  <c r="Y15" i="87"/>
  <c r="AB14" i="87"/>
  <c r="AA14" i="87"/>
  <c r="Z14" i="87"/>
  <c r="Z18" i="87" s="1"/>
  <c r="Y14" i="87"/>
  <c r="Y18" i="87" s="1"/>
  <c r="AB13" i="87"/>
  <c r="G6" i="88" s="1"/>
  <c r="AA13" i="87"/>
  <c r="Z13" i="87"/>
  <c r="Y13" i="87"/>
  <c r="X13" i="87"/>
  <c r="Q13" i="87"/>
  <c r="P13" i="87"/>
  <c r="AB12" i="87"/>
  <c r="AA12" i="87"/>
  <c r="Z12" i="87"/>
  <c r="Y12" i="87"/>
  <c r="AB11" i="87"/>
  <c r="G5" i="88" s="1"/>
  <c r="AA11" i="87"/>
  <c r="Z11" i="87"/>
  <c r="Y11" i="87"/>
  <c r="X11" i="87"/>
  <c r="Q11" i="87"/>
  <c r="P11" i="87"/>
  <c r="AB10" i="87"/>
  <c r="AA10" i="87"/>
  <c r="Z10" i="87"/>
  <c r="Y10" i="87"/>
  <c r="AB9" i="87"/>
  <c r="AA9" i="87"/>
  <c r="Z9" i="87"/>
  <c r="Y9" i="87"/>
  <c r="AB8" i="87"/>
  <c r="G4" i="88" s="1"/>
  <c r="AA8" i="87"/>
  <c r="Z8" i="87"/>
  <c r="Y8" i="87"/>
  <c r="X8" i="87"/>
  <c r="Q8" i="87"/>
  <c r="P8" i="87"/>
  <c r="AB7" i="87"/>
  <c r="AA7" i="87"/>
  <c r="Z7" i="87"/>
  <c r="Y7" i="87"/>
  <c r="AB6" i="87"/>
  <c r="AA6" i="87"/>
  <c r="Z6" i="87"/>
  <c r="Y6" i="87"/>
  <c r="AB5" i="87"/>
  <c r="G3" i="88" s="1"/>
  <c r="AA5" i="87"/>
  <c r="Z5" i="87"/>
  <c r="Y5" i="87"/>
  <c r="X5" i="87"/>
  <c r="Q5" i="87"/>
  <c r="P5" i="87"/>
  <c r="AB4" i="87"/>
  <c r="AA4" i="87"/>
  <c r="Z4" i="87"/>
  <c r="Y4" i="87"/>
  <c r="AB3" i="87"/>
  <c r="G2" i="88" s="1"/>
  <c r="AA3" i="87"/>
  <c r="Z3" i="87"/>
  <c r="Y3" i="87"/>
  <c r="Y35" i="87" l="1"/>
  <c r="AA18" i="87"/>
  <c r="Z35" i="87"/>
  <c r="AA35" i="87"/>
  <c r="I22" i="88"/>
  <c r="L22" i="88" s="1"/>
  <c r="I7" i="88"/>
  <c r="L7" i="88" s="1"/>
  <c r="I11" i="88"/>
  <c r="L11" i="88" s="1"/>
  <c r="I12" i="88"/>
  <c r="L12" i="88" s="1"/>
  <c r="I16" i="88"/>
  <c r="L16" i="88" s="1"/>
  <c r="I17" i="88"/>
  <c r="L17" i="88" s="1"/>
  <c r="I21" i="88"/>
  <c r="L21" i="88" s="1"/>
  <c r="I26" i="88"/>
  <c r="L26" i="88" s="1"/>
  <c r="I31" i="88"/>
  <c r="L31" i="88" s="1"/>
  <c r="I34" i="88"/>
  <c r="L34" i="88" s="1"/>
  <c r="I35" i="88"/>
  <c r="L35" i="88" s="1"/>
  <c r="I39" i="88"/>
  <c r="L39" i="88" s="1"/>
  <c r="I5" i="88"/>
  <c r="L5" i="88" s="1"/>
  <c r="I6" i="88"/>
  <c r="L6" i="88" s="1"/>
  <c r="I10" i="88"/>
  <c r="L10" i="88" s="1"/>
  <c r="I15" i="88"/>
  <c r="L15" i="88" s="1"/>
  <c r="I20" i="88"/>
  <c r="L20" i="88" s="1"/>
  <c r="I24" i="88"/>
  <c r="L24" i="88" s="1"/>
  <c r="I25" i="88"/>
  <c r="L25" i="88" s="1"/>
  <c r="I29" i="88"/>
  <c r="L29" i="88" s="1"/>
  <c r="I30" i="88"/>
  <c r="L30" i="88" s="1"/>
  <c r="I33" i="88"/>
  <c r="L33" i="88" s="1"/>
  <c r="I38" i="88"/>
  <c r="L38" i="88" s="1"/>
  <c r="I4" i="88"/>
  <c r="L4" i="88" s="1"/>
  <c r="I9" i="88"/>
  <c r="L9" i="88" s="1"/>
  <c r="I14" i="88"/>
  <c r="L14" i="88" s="1"/>
  <c r="I19" i="88"/>
  <c r="L19" i="88" s="1"/>
  <c r="I23" i="88"/>
  <c r="L23" i="88" s="1"/>
  <c r="I28" i="88"/>
  <c r="L28" i="88" s="1"/>
  <c r="I37" i="88"/>
  <c r="L37" i="88" s="1"/>
  <c r="I2" i="88"/>
  <c r="L2" i="88" s="1"/>
  <c r="I3" i="88"/>
  <c r="L3" i="88" s="1"/>
  <c r="I8" i="88"/>
  <c r="L8" i="88" s="1"/>
  <c r="I13" i="88"/>
  <c r="L13" i="88" s="1"/>
  <c r="I18" i="88"/>
  <c r="L18" i="88" s="1"/>
  <c r="I27" i="88"/>
  <c r="L27" i="88" s="1"/>
  <c r="I36" i="88"/>
  <c r="L36" i="88" s="1"/>
  <c r="M24" i="88" l="1"/>
  <c r="M34" i="88"/>
  <c r="M11" i="88"/>
  <c r="M16" i="88"/>
  <c r="M5" i="88"/>
  <c r="M2" i="88"/>
  <c r="M29" i="88"/>
  <c r="H31" i="86"/>
  <c r="F31" i="86"/>
  <c r="E31" i="86"/>
  <c r="D31" i="86"/>
  <c r="H30" i="86"/>
  <c r="F30" i="86"/>
  <c r="E30" i="86"/>
  <c r="D30" i="86"/>
  <c r="H29" i="86"/>
  <c r="F29" i="86"/>
  <c r="E29" i="86"/>
  <c r="D29" i="86"/>
  <c r="H28" i="86"/>
  <c r="F28" i="86"/>
  <c r="E28" i="86"/>
  <c r="D28" i="86"/>
  <c r="H27" i="86"/>
  <c r="F27" i="86"/>
  <c r="E27" i="86"/>
  <c r="D27" i="86"/>
  <c r="H26" i="86"/>
  <c r="F26" i="86"/>
  <c r="E26" i="86"/>
  <c r="D26" i="86"/>
  <c r="H25" i="86"/>
  <c r="F25" i="86"/>
  <c r="E25" i="86"/>
  <c r="D25" i="86"/>
  <c r="H24" i="86"/>
  <c r="F24" i="86"/>
  <c r="E24" i="86"/>
  <c r="D24" i="86"/>
  <c r="H23" i="86"/>
  <c r="F23" i="86"/>
  <c r="E23" i="86"/>
  <c r="D23" i="86"/>
  <c r="H22" i="86"/>
  <c r="F22" i="86"/>
  <c r="E22" i="86"/>
  <c r="D22" i="86"/>
  <c r="H21" i="86"/>
  <c r="F21" i="86"/>
  <c r="E21" i="86"/>
  <c r="D21" i="86"/>
  <c r="H20" i="86"/>
  <c r="F20" i="86"/>
  <c r="E20" i="86"/>
  <c r="D20" i="86"/>
  <c r="H19" i="86"/>
  <c r="F19" i="86"/>
  <c r="E19" i="86"/>
  <c r="D19" i="86"/>
  <c r="H18" i="86"/>
  <c r="F18" i="86"/>
  <c r="E18" i="86"/>
  <c r="D18" i="86"/>
  <c r="H17" i="86"/>
  <c r="F17" i="86"/>
  <c r="E17" i="86"/>
  <c r="D17" i="86"/>
  <c r="H16" i="86"/>
  <c r="F16" i="86"/>
  <c r="E16" i="86"/>
  <c r="D16" i="86"/>
  <c r="H15" i="86"/>
  <c r="F15" i="86"/>
  <c r="E15" i="86"/>
  <c r="D15" i="86"/>
  <c r="H14" i="86"/>
  <c r="F14" i="86"/>
  <c r="E14" i="86"/>
  <c r="D14" i="86"/>
  <c r="H13" i="86"/>
  <c r="F13" i="86"/>
  <c r="E13" i="86"/>
  <c r="D13" i="86"/>
  <c r="H12" i="86"/>
  <c r="F12" i="86"/>
  <c r="E12" i="86"/>
  <c r="D12" i="86"/>
  <c r="H11" i="86"/>
  <c r="F11" i="86"/>
  <c r="E11" i="86"/>
  <c r="D11" i="86"/>
  <c r="H10" i="86"/>
  <c r="F10" i="86"/>
  <c r="E10" i="86"/>
  <c r="D10" i="86"/>
  <c r="H9" i="86"/>
  <c r="F9" i="86"/>
  <c r="E9" i="86"/>
  <c r="D9" i="86"/>
  <c r="H8" i="86"/>
  <c r="F8" i="86"/>
  <c r="E8" i="86"/>
  <c r="D8" i="86"/>
  <c r="H7" i="86"/>
  <c r="F7" i="86"/>
  <c r="E7" i="86"/>
  <c r="D7" i="86"/>
  <c r="H6" i="86"/>
  <c r="F6" i="86"/>
  <c r="E6" i="86"/>
  <c r="D6" i="86"/>
  <c r="H5" i="86"/>
  <c r="F5" i="86"/>
  <c r="E5" i="86"/>
  <c r="D5" i="86"/>
  <c r="H4" i="86"/>
  <c r="F4" i="86"/>
  <c r="E4" i="86"/>
  <c r="D4" i="86"/>
  <c r="H3" i="86"/>
  <c r="F3" i="86"/>
  <c r="E3" i="86"/>
  <c r="D3" i="86"/>
  <c r="H2" i="86"/>
  <c r="F2" i="86"/>
  <c r="E2" i="86"/>
  <c r="D2" i="86"/>
  <c r="AA113" i="85"/>
  <c r="Z113" i="85"/>
  <c r="Y113" i="85"/>
  <c r="AA112" i="85"/>
  <c r="Z112" i="85"/>
  <c r="Y112" i="85"/>
  <c r="X112" i="85"/>
  <c r="Q112" i="85"/>
  <c r="P112" i="85"/>
  <c r="AA111" i="85"/>
  <c r="Z111" i="85"/>
  <c r="Y111" i="85"/>
  <c r="AA110" i="85"/>
  <c r="Z110" i="85"/>
  <c r="Y110" i="85"/>
  <c r="AA109" i="85"/>
  <c r="Z109" i="85"/>
  <c r="Y109" i="85"/>
  <c r="AA108" i="85"/>
  <c r="Z108" i="85"/>
  <c r="Y108" i="85"/>
  <c r="X108" i="85"/>
  <c r="Q108" i="85"/>
  <c r="P108" i="85"/>
  <c r="AA107" i="85"/>
  <c r="Z107" i="85"/>
  <c r="Y107" i="85"/>
  <c r="AA106" i="85"/>
  <c r="Z106" i="85"/>
  <c r="Y106" i="85"/>
  <c r="AA105" i="85"/>
  <c r="Z105" i="85"/>
  <c r="Y105" i="85"/>
  <c r="X105" i="85"/>
  <c r="Q105" i="85"/>
  <c r="P105" i="85"/>
  <c r="AA104" i="85"/>
  <c r="Z104" i="85"/>
  <c r="Y104" i="85"/>
  <c r="AA103" i="85"/>
  <c r="Z103" i="85"/>
  <c r="Y103" i="85"/>
  <c r="X103" i="85"/>
  <c r="Q103" i="85"/>
  <c r="P103" i="85"/>
  <c r="AA102" i="85"/>
  <c r="Z102" i="85"/>
  <c r="Y102" i="85"/>
  <c r="AA101" i="85"/>
  <c r="Z101" i="85"/>
  <c r="Y101" i="85"/>
  <c r="AA100" i="85"/>
  <c r="Z100" i="85"/>
  <c r="Y100" i="85"/>
  <c r="X100" i="85"/>
  <c r="AA99" i="85"/>
  <c r="Z99" i="85"/>
  <c r="Y99" i="85"/>
  <c r="AA98" i="85"/>
  <c r="Z98" i="85"/>
  <c r="Y98" i="85"/>
  <c r="AA97" i="85"/>
  <c r="Z97" i="85"/>
  <c r="Y97" i="85"/>
  <c r="AA96" i="85"/>
  <c r="Z96" i="85"/>
  <c r="Y96" i="85"/>
  <c r="AA95" i="85"/>
  <c r="Z95" i="85"/>
  <c r="Y95" i="85"/>
  <c r="AA94" i="85"/>
  <c r="Z94" i="85"/>
  <c r="Y94" i="85"/>
  <c r="AA93" i="85"/>
  <c r="G31" i="86" s="1"/>
  <c r="Z93" i="85"/>
  <c r="Y93" i="85"/>
  <c r="AA92" i="85"/>
  <c r="G30" i="86" s="1"/>
  <c r="Z92" i="85"/>
  <c r="Y92" i="85"/>
  <c r="AA91" i="85"/>
  <c r="G29" i="86" s="1"/>
  <c r="Z91" i="85"/>
  <c r="Y91" i="85"/>
  <c r="AA90" i="85"/>
  <c r="G28" i="86" s="1"/>
  <c r="Z90" i="85"/>
  <c r="Y90" i="85"/>
  <c r="AA89" i="85"/>
  <c r="G27" i="86" s="1"/>
  <c r="Z89" i="85"/>
  <c r="Y89" i="85"/>
  <c r="X89" i="85"/>
  <c r="Q89" i="85"/>
  <c r="P89" i="85"/>
  <c r="AA88" i="85"/>
  <c r="Z88" i="85"/>
  <c r="Y88" i="85"/>
  <c r="AA87" i="85"/>
  <c r="Z87" i="85"/>
  <c r="Y87" i="85"/>
  <c r="AA86" i="85"/>
  <c r="Z86" i="85"/>
  <c r="Y86" i="85"/>
  <c r="AA85" i="85"/>
  <c r="Z85" i="85"/>
  <c r="Y85" i="85"/>
  <c r="AA84" i="85"/>
  <c r="Z84" i="85"/>
  <c r="Y84" i="85"/>
  <c r="AA83" i="85"/>
  <c r="G26" i="86" s="1"/>
  <c r="Z83" i="85"/>
  <c r="Y83" i="85"/>
  <c r="X83" i="85"/>
  <c r="Q83" i="85"/>
  <c r="P83" i="85"/>
  <c r="AA82" i="85"/>
  <c r="Z82" i="85"/>
  <c r="Y82" i="85"/>
  <c r="AA81" i="85"/>
  <c r="Z81" i="85"/>
  <c r="Y81" i="85"/>
  <c r="AA80" i="85"/>
  <c r="Z80" i="85"/>
  <c r="Y80" i="85"/>
  <c r="X80" i="85"/>
  <c r="Q80" i="85"/>
  <c r="P80" i="85"/>
  <c r="AA79" i="85"/>
  <c r="Z79" i="85"/>
  <c r="Y79" i="85"/>
  <c r="AA78" i="85"/>
  <c r="Z78" i="85"/>
  <c r="Y78" i="85"/>
  <c r="AA77" i="85"/>
  <c r="G25" i="86" s="1"/>
  <c r="Z77" i="85"/>
  <c r="Y77" i="85"/>
  <c r="X77" i="85"/>
  <c r="AA76" i="85"/>
  <c r="Z76" i="85"/>
  <c r="Y76" i="85"/>
  <c r="AA75" i="85"/>
  <c r="Z75" i="85"/>
  <c r="Y75" i="85"/>
  <c r="AA74" i="85"/>
  <c r="Z74" i="85"/>
  <c r="Y74" i="85"/>
  <c r="AA73" i="85"/>
  <c r="G24" i="86" s="1"/>
  <c r="Z73" i="85"/>
  <c r="Y73" i="85"/>
  <c r="AA72" i="85"/>
  <c r="G23" i="86" s="1"/>
  <c r="Z72" i="85"/>
  <c r="Y72" i="85"/>
  <c r="X72" i="85"/>
  <c r="Q72" i="85"/>
  <c r="P72" i="85"/>
  <c r="AA71" i="85"/>
  <c r="Z71" i="85"/>
  <c r="Y71" i="85"/>
  <c r="AA70" i="85"/>
  <c r="Z70" i="85"/>
  <c r="Y70" i="85"/>
  <c r="AA69" i="85"/>
  <c r="Z69" i="85"/>
  <c r="Y69" i="85"/>
  <c r="AA68" i="85"/>
  <c r="G22" i="86" s="1"/>
  <c r="Z68" i="85"/>
  <c r="Y68" i="85"/>
  <c r="X68" i="85"/>
  <c r="Q68" i="85"/>
  <c r="P68" i="85"/>
  <c r="AA67" i="85"/>
  <c r="Z67" i="85"/>
  <c r="Y67" i="85"/>
  <c r="AA66" i="85"/>
  <c r="Z66" i="85"/>
  <c r="Y66" i="85"/>
  <c r="AA65" i="85"/>
  <c r="G21" i="86" s="1"/>
  <c r="Z65" i="85"/>
  <c r="Y65" i="85"/>
  <c r="X65" i="85"/>
  <c r="Q65" i="85"/>
  <c r="P65" i="85"/>
  <c r="AA64" i="85"/>
  <c r="Z64" i="85"/>
  <c r="Y64" i="85"/>
  <c r="AA63" i="85"/>
  <c r="Z63" i="85"/>
  <c r="Y63" i="85"/>
  <c r="AA62" i="85"/>
  <c r="G20" i="86" s="1"/>
  <c r="Z62" i="85"/>
  <c r="Y62" i="85"/>
  <c r="X62" i="85"/>
  <c r="Q62" i="85"/>
  <c r="P62" i="85"/>
  <c r="AA61" i="85"/>
  <c r="Z61" i="85"/>
  <c r="Y61" i="85"/>
  <c r="AA60" i="85"/>
  <c r="G19" i="86" s="1"/>
  <c r="Z60" i="85"/>
  <c r="Y60" i="85"/>
  <c r="X60" i="85"/>
  <c r="Q60" i="85"/>
  <c r="P60" i="85"/>
  <c r="AA59" i="85"/>
  <c r="Z59" i="85"/>
  <c r="Y59" i="85"/>
  <c r="AA58" i="85"/>
  <c r="Z58" i="85"/>
  <c r="Y58" i="85"/>
  <c r="AA57" i="85"/>
  <c r="G18" i="86" s="1"/>
  <c r="Z57" i="85"/>
  <c r="Y57" i="85"/>
  <c r="X57" i="85"/>
  <c r="Q57" i="85"/>
  <c r="P57" i="85"/>
  <c r="AA56" i="85"/>
  <c r="Z56" i="85"/>
  <c r="Y56" i="85"/>
  <c r="AA55" i="85"/>
  <c r="Z55" i="85"/>
  <c r="Y55" i="85"/>
  <c r="AA54" i="85"/>
  <c r="G17" i="86" s="1"/>
  <c r="Z54" i="85"/>
  <c r="Y54" i="85"/>
  <c r="AA53" i="85"/>
  <c r="G16" i="86" s="1"/>
  <c r="Z53" i="85"/>
  <c r="Y53" i="85"/>
  <c r="X53" i="85"/>
  <c r="Q53" i="85"/>
  <c r="P53" i="85"/>
  <c r="AA52" i="85"/>
  <c r="Z52" i="85"/>
  <c r="Y52" i="85"/>
  <c r="AA51" i="85"/>
  <c r="Z51" i="85"/>
  <c r="Y51" i="85"/>
  <c r="AA50" i="85"/>
  <c r="Z50" i="85"/>
  <c r="Y50" i="85"/>
  <c r="AA49" i="85"/>
  <c r="G15" i="86" s="1"/>
  <c r="Z49" i="85"/>
  <c r="Y49" i="85"/>
  <c r="X49" i="85"/>
  <c r="T49" i="85"/>
  <c r="U49" i="85" s="1"/>
  <c r="V49" i="85" s="1"/>
  <c r="S49" i="85"/>
  <c r="Q49" i="85"/>
  <c r="P49" i="85"/>
  <c r="AA48" i="85"/>
  <c r="Z48" i="85"/>
  <c r="Y48" i="85"/>
  <c r="AA47" i="85"/>
  <c r="Z47" i="85"/>
  <c r="Y47" i="85"/>
  <c r="AA46" i="85"/>
  <c r="Z46" i="85"/>
  <c r="Y46" i="85"/>
  <c r="AA45" i="85"/>
  <c r="Z45" i="85"/>
  <c r="Y45" i="85"/>
  <c r="AA44" i="85"/>
  <c r="G14" i="86" s="1"/>
  <c r="Z44" i="85"/>
  <c r="Y44" i="85"/>
  <c r="V44" i="85"/>
  <c r="W44" i="85" s="1"/>
  <c r="U44" i="85"/>
  <c r="T44" i="85"/>
  <c r="S44" i="85"/>
  <c r="AA43" i="85"/>
  <c r="G13" i="86" s="1"/>
  <c r="Z43" i="85"/>
  <c r="Y43" i="85"/>
  <c r="AA42" i="85"/>
  <c r="G12" i="86" s="1"/>
  <c r="Z42" i="85"/>
  <c r="Y42" i="85"/>
  <c r="W42" i="85"/>
  <c r="AA41" i="85"/>
  <c r="Z41" i="85"/>
  <c r="Y41" i="85"/>
  <c r="AA40" i="85"/>
  <c r="Z40" i="85"/>
  <c r="Y40" i="85"/>
  <c r="AA39" i="85"/>
  <c r="G11" i="86" s="1"/>
  <c r="Z39" i="85"/>
  <c r="Y39" i="85"/>
  <c r="X39" i="85"/>
  <c r="Q39" i="85"/>
  <c r="P39" i="85"/>
  <c r="AA38" i="85"/>
  <c r="Z38" i="85"/>
  <c r="Y38" i="85"/>
  <c r="AA37" i="85"/>
  <c r="Z37" i="85"/>
  <c r="Y37" i="85"/>
  <c r="AA36" i="85"/>
  <c r="G10" i="86" s="1"/>
  <c r="Z36" i="85"/>
  <c r="Y36" i="85"/>
  <c r="X36" i="85"/>
  <c r="W36" i="85"/>
  <c r="Q36" i="85"/>
  <c r="P36" i="85"/>
  <c r="X35" i="85"/>
  <c r="Q35" i="85"/>
  <c r="P35" i="85"/>
  <c r="AA34" i="85"/>
  <c r="Z34" i="85"/>
  <c r="Y34" i="85"/>
  <c r="AA33" i="85"/>
  <c r="Z33" i="85"/>
  <c r="Y33" i="85"/>
  <c r="AA32" i="85"/>
  <c r="Z32" i="85"/>
  <c r="Y32" i="85"/>
  <c r="AA31" i="85"/>
  <c r="Z31" i="85"/>
  <c r="Y31" i="85"/>
  <c r="AA30" i="85"/>
  <c r="Z30" i="85"/>
  <c r="Y30" i="85"/>
  <c r="AA29" i="85"/>
  <c r="Z29" i="85"/>
  <c r="Y29" i="85"/>
  <c r="AA28" i="85"/>
  <c r="Z28" i="85"/>
  <c r="Y28" i="85"/>
  <c r="AA27" i="85"/>
  <c r="Z27" i="85"/>
  <c r="Y27" i="85"/>
  <c r="AA26" i="85"/>
  <c r="Z26" i="85"/>
  <c r="Y26" i="85"/>
  <c r="AA25" i="85"/>
  <c r="Z25" i="85"/>
  <c r="Y25" i="85"/>
  <c r="AA24" i="85"/>
  <c r="Z24" i="85"/>
  <c r="Y24" i="85"/>
  <c r="AA23" i="85"/>
  <c r="G9" i="86" s="1"/>
  <c r="Z23" i="85"/>
  <c r="Y23" i="85"/>
  <c r="X23" i="85"/>
  <c r="Q23" i="85"/>
  <c r="P23" i="85"/>
  <c r="AA22" i="85"/>
  <c r="Z22" i="85"/>
  <c r="Y22" i="85"/>
  <c r="AA21" i="85"/>
  <c r="G8" i="86" s="1"/>
  <c r="Z21" i="85"/>
  <c r="Y21" i="85"/>
  <c r="X21" i="85"/>
  <c r="Q21" i="85"/>
  <c r="P21" i="85"/>
  <c r="AA20" i="85"/>
  <c r="Z20" i="85"/>
  <c r="Y20" i="85"/>
  <c r="AA19" i="85"/>
  <c r="G7" i="86" s="1"/>
  <c r="Z19" i="85"/>
  <c r="Y19" i="85"/>
  <c r="X19" i="85"/>
  <c r="Q19" i="85"/>
  <c r="P19" i="85"/>
  <c r="X18" i="85"/>
  <c r="Q18" i="85"/>
  <c r="P18" i="85"/>
  <c r="E18" i="85"/>
  <c r="AA17" i="85"/>
  <c r="Z17" i="85"/>
  <c r="Y17" i="85"/>
  <c r="AA16" i="85"/>
  <c r="Z16" i="85"/>
  <c r="Y16" i="85"/>
  <c r="AA15" i="85"/>
  <c r="Z15" i="85"/>
  <c r="Y15" i="85"/>
  <c r="AA14" i="85"/>
  <c r="Z14" i="85"/>
  <c r="Y14" i="85"/>
  <c r="AA13" i="85"/>
  <c r="G6" i="86" s="1"/>
  <c r="Z13" i="85"/>
  <c r="Y13" i="85"/>
  <c r="X13" i="85"/>
  <c r="Q13" i="85"/>
  <c r="P13" i="85"/>
  <c r="AA12" i="85"/>
  <c r="Z12" i="85"/>
  <c r="Y12" i="85"/>
  <c r="AA11" i="85"/>
  <c r="G5" i="86" s="1"/>
  <c r="Z11" i="85"/>
  <c r="Y11" i="85"/>
  <c r="X11" i="85"/>
  <c r="Q11" i="85"/>
  <c r="P11" i="85"/>
  <c r="AA10" i="85"/>
  <c r="Z10" i="85"/>
  <c r="Y10" i="85"/>
  <c r="AA9" i="85"/>
  <c r="Z9" i="85"/>
  <c r="Y9" i="85"/>
  <c r="AA8" i="85"/>
  <c r="G4" i="86" s="1"/>
  <c r="Z8" i="85"/>
  <c r="Y8" i="85"/>
  <c r="X8" i="85"/>
  <c r="Q8" i="85"/>
  <c r="P8" i="85"/>
  <c r="AA7" i="85"/>
  <c r="Z7" i="85"/>
  <c r="Y7" i="85"/>
  <c r="AA6" i="85"/>
  <c r="Z6" i="85"/>
  <c r="Y6" i="85"/>
  <c r="AA5" i="85"/>
  <c r="G3" i="86" s="1"/>
  <c r="Z5" i="85"/>
  <c r="Y5" i="85"/>
  <c r="X5" i="85"/>
  <c r="Q5" i="85"/>
  <c r="P5" i="85"/>
  <c r="AA4" i="85"/>
  <c r="Z4" i="85"/>
  <c r="Y4" i="85"/>
  <c r="AA3" i="85"/>
  <c r="G2" i="86" s="1"/>
  <c r="Z3" i="85"/>
  <c r="Y3" i="85"/>
  <c r="I12" i="102" l="1"/>
  <c r="I7" i="86"/>
  <c r="L7" i="86" s="1"/>
  <c r="I11" i="86"/>
  <c r="L11" i="86" s="1"/>
  <c r="I12" i="86"/>
  <c r="L12" i="86" s="1"/>
  <c r="I16" i="86"/>
  <c r="L16" i="86" s="1"/>
  <c r="I17" i="86"/>
  <c r="L17" i="86" s="1"/>
  <c r="I21" i="86"/>
  <c r="L21" i="86" s="1"/>
  <c r="I26" i="86"/>
  <c r="L26" i="86" s="1"/>
  <c r="I31" i="86"/>
  <c r="L31" i="86" s="1"/>
  <c r="I5" i="86"/>
  <c r="L5" i="86" s="1"/>
  <c r="I6" i="86"/>
  <c r="L6" i="86" s="1"/>
  <c r="I10" i="86"/>
  <c r="L10" i="86" s="1"/>
  <c r="I15" i="86"/>
  <c r="L15" i="86" s="1"/>
  <c r="I20" i="86"/>
  <c r="L20" i="86" s="1"/>
  <c r="I24" i="86"/>
  <c r="L24" i="86" s="1"/>
  <c r="I25" i="86"/>
  <c r="L25" i="86" s="1"/>
  <c r="I30" i="86"/>
  <c r="L30" i="86" s="1"/>
  <c r="I4" i="86"/>
  <c r="L4" i="86" s="1"/>
  <c r="I9" i="86"/>
  <c r="L9" i="86" s="1"/>
  <c r="I14" i="86"/>
  <c r="L14" i="86" s="1"/>
  <c r="I19" i="86"/>
  <c r="L19" i="86" s="1"/>
  <c r="I23" i="86"/>
  <c r="L23" i="86" s="1"/>
  <c r="I28" i="86"/>
  <c r="L28" i="86" s="1"/>
  <c r="I29" i="86"/>
  <c r="L29" i="86" s="1"/>
  <c r="I2" i="86"/>
  <c r="L2" i="86" s="1"/>
  <c r="I3" i="86"/>
  <c r="L3" i="86" s="1"/>
  <c r="I8" i="86"/>
  <c r="L8" i="86" s="1"/>
  <c r="I13" i="86"/>
  <c r="L13" i="86" s="1"/>
  <c r="I18" i="86"/>
  <c r="L18" i="86" s="1"/>
  <c r="I22" i="86"/>
  <c r="L22" i="86" s="1"/>
  <c r="I27" i="86"/>
  <c r="L27" i="86" s="1"/>
  <c r="Y18" i="85"/>
  <c r="Y35" i="85"/>
  <c r="Z35" i="85"/>
  <c r="Z18" i="85"/>
  <c r="AA18" i="85"/>
  <c r="AA35" i="85"/>
  <c r="M24" i="86" l="1"/>
  <c r="M11" i="86"/>
  <c r="M5" i="86"/>
  <c r="M2" i="86"/>
  <c r="M16" i="86"/>
  <c r="M28" i="86"/>
  <c r="H39" i="84"/>
  <c r="F39" i="84"/>
  <c r="E39" i="84"/>
  <c r="D39" i="84"/>
  <c r="H38" i="84"/>
  <c r="F38" i="84"/>
  <c r="E38" i="84"/>
  <c r="D38" i="84"/>
  <c r="H37" i="84"/>
  <c r="F37" i="84"/>
  <c r="E37" i="84"/>
  <c r="D37" i="84"/>
  <c r="H36" i="84"/>
  <c r="F36" i="84"/>
  <c r="E36" i="84"/>
  <c r="D36" i="84"/>
  <c r="H35" i="84"/>
  <c r="F35" i="84"/>
  <c r="E35" i="84"/>
  <c r="D35" i="84"/>
  <c r="H34" i="84"/>
  <c r="F34" i="84"/>
  <c r="E34" i="84"/>
  <c r="D34" i="84"/>
  <c r="H33" i="84"/>
  <c r="F33" i="84"/>
  <c r="E33" i="84"/>
  <c r="D33" i="84"/>
  <c r="H32" i="84"/>
  <c r="F32" i="84"/>
  <c r="E32" i="84"/>
  <c r="D32" i="84"/>
  <c r="H31" i="84"/>
  <c r="F31" i="84"/>
  <c r="E31" i="84"/>
  <c r="D31" i="84"/>
  <c r="H30" i="84"/>
  <c r="F30" i="84"/>
  <c r="E30" i="84"/>
  <c r="D30" i="84"/>
  <c r="H29" i="84"/>
  <c r="F29" i="84"/>
  <c r="E29" i="84"/>
  <c r="D29" i="84"/>
  <c r="H28" i="84"/>
  <c r="F28" i="84"/>
  <c r="E28" i="84"/>
  <c r="D28" i="84"/>
  <c r="H27" i="84"/>
  <c r="F27" i="84"/>
  <c r="E27" i="84"/>
  <c r="D27" i="84"/>
  <c r="H26" i="84"/>
  <c r="F26" i="84"/>
  <c r="E26" i="84"/>
  <c r="D26" i="84"/>
  <c r="H25" i="84"/>
  <c r="F25" i="84"/>
  <c r="E25" i="84"/>
  <c r="D25" i="84"/>
  <c r="H24" i="84"/>
  <c r="F24" i="84"/>
  <c r="E24" i="84"/>
  <c r="D24" i="84"/>
  <c r="H23" i="84"/>
  <c r="F23" i="84"/>
  <c r="E23" i="84"/>
  <c r="D23" i="84"/>
  <c r="H22" i="84"/>
  <c r="F22" i="84"/>
  <c r="E22" i="84"/>
  <c r="D22" i="84"/>
  <c r="H21" i="84"/>
  <c r="F21" i="84"/>
  <c r="E21" i="84"/>
  <c r="D21" i="84"/>
  <c r="H20" i="84"/>
  <c r="F20" i="84"/>
  <c r="E20" i="84"/>
  <c r="D20" i="84"/>
  <c r="H19" i="84"/>
  <c r="F19" i="84"/>
  <c r="E19" i="84"/>
  <c r="D19" i="84"/>
  <c r="H18" i="84"/>
  <c r="F18" i="84"/>
  <c r="E18" i="84"/>
  <c r="D18" i="84"/>
  <c r="H17" i="84"/>
  <c r="F17" i="84"/>
  <c r="E17" i="84"/>
  <c r="D17" i="84"/>
  <c r="H16" i="84"/>
  <c r="F16" i="84"/>
  <c r="E16" i="84"/>
  <c r="D16" i="84"/>
  <c r="H15" i="84"/>
  <c r="F15" i="84"/>
  <c r="E15" i="84"/>
  <c r="D15" i="84"/>
  <c r="H14" i="84"/>
  <c r="F14" i="84"/>
  <c r="E14" i="84"/>
  <c r="D14" i="84"/>
  <c r="H13" i="84"/>
  <c r="F13" i="84"/>
  <c r="E13" i="84"/>
  <c r="D13" i="84"/>
  <c r="H12" i="84"/>
  <c r="F12" i="84"/>
  <c r="E12" i="84"/>
  <c r="D12" i="84"/>
  <c r="H11" i="84"/>
  <c r="F11" i="84"/>
  <c r="E11" i="84"/>
  <c r="D11" i="84"/>
  <c r="H10" i="84"/>
  <c r="F10" i="84"/>
  <c r="E10" i="84"/>
  <c r="D10" i="84"/>
  <c r="H9" i="84"/>
  <c r="F9" i="84"/>
  <c r="E9" i="84"/>
  <c r="D9" i="84"/>
  <c r="H8" i="84"/>
  <c r="F8" i="84"/>
  <c r="E8" i="84"/>
  <c r="D8" i="84"/>
  <c r="H7" i="84"/>
  <c r="F7" i="84"/>
  <c r="E7" i="84"/>
  <c r="D7" i="84"/>
  <c r="H6" i="84"/>
  <c r="F6" i="84"/>
  <c r="E6" i="84"/>
  <c r="D6" i="84"/>
  <c r="H5" i="84"/>
  <c r="F5" i="84"/>
  <c r="E5" i="84"/>
  <c r="D5" i="84"/>
  <c r="H4" i="84"/>
  <c r="F4" i="84"/>
  <c r="E4" i="84"/>
  <c r="D4" i="84"/>
  <c r="H3" i="84"/>
  <c r="F3" i="84"/>
  <c r="E3" i="84"/>
  <c r="D3" i="84"/>
  <c r="H2" i="84"/>
  <c r="F2" i="84"/>
  <c r="E2" i="84"/>
  <c r="D2" i="84"/>
  <c r="L18" i="84"/>
  <c r="Z111" i="83"/>
  <c r="G39" i="84" s="1"/>
  <c r="I39" i="84" s="1"/>
  <c r="L39" i="84" s="1"/>
  <c r="Y111" i="83"/>
  <c r="Z110" i="83"/>
  <c r="G38" i="84" s="1"/>
  <c r="Y110" i="83"/>
  <c r="X110" i="83"/>
  <c r="Q110" i="83"/>
  <c r="P110" i="83"/>
  <c r="Z109" i="83"/>
  <c r="Y109" i="83"/>
  <c r="Z108" i="83"/>
  <c r="G37" i="84" s="1"/>
  <c r="Y108" i="83"/>
  <c r="Z107" i="83"/>
  <c r="Y107" i="83"/>
  <c r="Z106" i="83"/>
  <c r="G36" i="84" s="1"/>
  <c r="Y106" i="83"/>
  <c r="X106" i="83"/>
  <c r="Q106" i="83"/>
  <c r="P106" i="83"/>
  <c r="Z105" i="83"/>
  <c r="Y105" i="83"/>
  <c r="Z104" i="83"/>
  <c r="Y104" i="83"/>
  <c r="Z103" i="83"/>
  <c r="G35" i="84" s="1"/>
  <c r="I35" i="84" s="1"/>
  <c r="L35" i="84" s="1"/>
  <c r="Y103" i="83"/>
  <c r="X103" i="83"/>
  <c r="Q103" i="83"/>
  <c r="P103" i="83"/>
  <c r="Z102" i="83"/>
  <c r="Y102" i="83"/>
  <c r="Z101" i="83"/>
  <c r="G34" i="84" s="1"/>
  <c r="Y101" i="83"/>
  <c r="X101" i="83"/>
  <c r="Q101" i="83"/>
  <c r="P101" i="83"/>
  <c r="Z100" i="83"/>
  <c r="Y100" i="83"/>
  <c r="Z99" i="83"/>
  <c r="Y99" i="83"/>
  <c r="Z98" i="83"/>
  <c r="G33" i="84" s="1"/>
  <c r="Y98" i="83"/>
  <c r="X98" i="83"/>
  <c r="Z97" i="83"/>
  <c r="Y97" i="83"/>
  <c r="Z96" i="83"/>
  <c r="Y96" i="83"/>
  <c r="Z95" i="83"/>
  <c r="Y95" i="83"/>
  <c r="Z94" i="83"/>
  <c r="Y94" i="83"/>
  <c r="Z93" i="83"/>
  <c r="Y93" i="83"/>
  <c r="Z92" i="83"/>
  <c r="Y92" i="83"/>
  <c r="Z91" i="83"/>
  <c r="G32" i="84" s="1"/>
  <c r="Y91" i="83"/>
  <c r="Z90" i="83"/>
  <c r="G31" i="84" s="1"/>
  <c r="Y90" i="83"/>
  <c r="Z89" i="83"/>
  <c r="G30" i="84" s="1"/>
  <c r="Y89" i="83"/>
  <c r="Z88" i="83"/>
  <c r="G29" i="84" s="1"/>
  <c r="I29" i="84" s="1"/>
  <c r="L29" i="84" s="1"/>
  <c r="Y88" i="83"/>
  <c r="Z87" i="83"/>
  <c r="G28" i="84" s="1"/>
  <c r="Y87" i="83"/>
  <c r="X87" i="83"/>
  <c r="Q87" i="83"/>
  <c r="P87" i="83"/>
  <c r="Z86" i="83"/>
  <c r="Y86" i="83"/>
  <c r="Z85" i="83"/>
  <c r="Y85" i="83"/>
  <c r="Z84" i="83"/>
  <c r="Y84" i="83"/>
  <c r="Z83" i="83"/>
  <c r="Y83" i="83"/>
  <c r="Z82" i="83"/>
  <c r="Y82" i="83"/>
  <c r="Z81" i="83"/>
  <c r="G27" i="84" s="1"/>
  <c r="Y81" i="83"/>
  <c r="X81" i="83"/>
  <c r="Q81" i="83"/>
  <c r="P81" i="83"/>
  <c r="Z80" i="83"/>
  <c r="Y80" i="83"/>
  <c r="Z79" i="83"/>
  <c r="Y79" i="83"/>
  <c r="Z78" i="83"/>
  <c r="G26" i="84" s="1"/>
  <c r="Y78" i="83"/>
  <c r="X78" i="83"/>
  <c r="Q78" i="83"/>
  <c r="P78" i="83"/>
  <c r="Z77" i="83"/>
  <c r="Y77" i="83"/>
  <c r="Z76" i="83"/>
  <c r="Y76" i="83"/>
  <c r="Z75" i="83"/>
  <c r="G25" i="84" s="1"/>
  <c r="I25" i="84" s="1"/>
  <c r="L25" i="84" s="1"/>
  <c r="Y75" i="83"/>
  <c r="X75" i="83"/>
  <c r="Z74" i="83"/>
  <c r="Y74" i="83"/>
  <c r="Z73" i="83"/>
  <c r="Y73" i="83"/>
  <c r="Z72" i="83"/>
  <c r="Y72" i="83"/>
  <c r="Z71" i="83"/>
  <c r="G24" i="84" s="1"/>
  <c r="I24" i="84" s="1"/>
  <c r="L24" i="84" s="1"/>
  <c r="Y71" i="83"/>
  <c r="Z70" i="83"/>
  <c r="G23" i="84" s="1"/>
  <c r="Y70" i="83"/>
  <c r="X70" i="83"/>
  <c r="Q70" i="83"/>
  <c r="P70" i="83"/>
  <c r="Z69" i="83"/>
  <c r="Y69" i="83"/>
  <c r="Z68" i="83"/>
  <c r="Y68" i="83"/>
  <c r="Z67" i="83"/>
  <c r="Y67" i="83"/>
  <c r="Z66" i="83"/>
  <c r="G22" i="84" s="1"/>
  <c r="Y66" i="83"/>
  <c r="X66" i="83"/>
  <c r="Q66" i="83"/>
  <c r="P66" i="83"/>
  <c r="Z65" i="83"/>
  <c r="Y65" i="83"/>
  <c r="Z64" i="83"/>
  <c r="Y64" i="83"/>
  <c r="Z63" i="83"/>
  <c r="G21" i="84" s="1"/>
  <c r="Y63" i="83"/>
  <c r="X63" i="83"/>
  <c r="Q63" i="83"/>
  <c r="P63" i="83"/>
  <c r="Z62" i="83"/>
  <c r="Y62" i="83"/>
  <c r="Z61" i="83"/>
  <c r="Y61" i="83"/>
  <c r="Z60" i="83"/>
  <c r="G20" i="84" s="1"/>
  <c r="I20" i="84" s="1"/>
  <c r="L20" i="84" s="1"/>
  <c r="Y60" i="83"/>
  <c r="X60" i="83"/>
  <c r="Q60" i="83"/>
  <c r="P60" i="83"/>
  <c r="Z59" i="83"/>
  <c r="Y59" i="83"/>
  <c r="Z58" i="83"/>
  <c r="G19" i="84" s="1"/>
  <c r="Y58" i="83"/>
  <c r="X58" i="83"/>
  <c r="Q58" i="83"/>
  <c r="P58" i="83"/>
  <c r="Z57" i="83"/>
  <c r="Y57" i="83"/>
  <c r="Z56" i="83"/>
  <c r="Y56" i="83"/>
  <c r="Z55" i="83"/>
  <c r="G18" i="84" s="1"/>
  <c r="Y55" i="83"/>
  <c r="X55" i="83"/>
  <c r="Q55" i="83"/>
  <c r="P55" i="83"/>
  <c r="Z54" i="83"/>
  <c r="Y54" i="83"/>
  <c r="Z53" i="83"/>
  <c r="Y53" i="83"/>
  <c r="Z52" i="83"/>
  <c r="G17" i="84" s="1"/>
  <c r="I17" i="84" s="1"/>
  <c r="L17" i="84" s="1"/>
  <c r="Y52" i="83"/>
  <c r="Z51" i="83"/>
  <c r="G16" i="84" s="1"/>
  <c r="Y51" i="83"/>
  <c r="X51" i="83"/>
  <c r="Q51" i="83"/>
  <c r="P51" i="83"/>
  <c r="Z50" i="83"/>
  <c r="Y50" i="83"/>
  <c r="Z49" i="83"/>
  <c r="Y49" i="83"/>
  <c r="Z48" i="83"/>
  <c r="Y48" i="83"/>
  <c r="Z47" i="83"/>
  <c r="G15" i="84" s="1"/>
  <c r="Y47" i="83"/>
  <c r="X47" i="83"/>
  <c r="T47" i="83"/>
  <c r="U47" i="83" s="1"/>
  <c r="V47" i="83" s="1"/>
  <c r="S47" i="83"/>
  <c r="Q47" i="83"/>
  <c r="P47" i="83"/>
  <c r="Z46" i="83"/>
  <c r="Y46" i="83"/>
  <c r="Z45" i="83"/>
  <c r="Y45" i="83"/>
  <c r="Z44" i="83"/>
  <c r="Y44" i="83"/>
  <c r="Z43" i="83"/>
  <c r="Y43" i="83"/>
  <c r="Z42" i="83"/>
  <c r="G14" i="84" s="1"/>
  <c r="I14" i="84" s="1"/>
  <c r="L14" i="84" s="1"/>
  <c r="Y42" i="83"/>
  <c r="S42" i="83"/>
  <c r="T42" i="83" s="1"/>
  <c r="U42" i="83" s="1"/>
  <c r="V42" i="83" s="1"/>
  <c r="W42" i="83" s="1"/>
  <c r="Z41" i="83"/>
  <c r="G13" i="84" s="1"/>
  <c r="Y41" i="83"/>
  <c r="Z40" i="83"/>
  <c r="G12" i="84" s="1"/>
  <c r="I12" i="84" s="1"/>
  <c r="L12" i="84" s="1"/>
  <c r="W40" i="83"/>
  <c r="Z37" i="83"/>
  <c r="G11" i="84" s="1"/>
  <c r="Y37" i="83"/>
  <c r="X37" i="83"/>
  <c r="Q37" i="83"/>
  <c r="P37" i="83"/>
  <c r="Z36" i="83"/>
  <c r="Y36" i="83"/>
  <c r="Z35" i="83"/>
  <c r="Y35" i="83"/>
  <c r="Z34" i="83"/>
  <c r="G10" i="84" s="1"/>
  <c r="I10" i="84" s="1"/>
  <c r="L10" i="84" s="1"/>
  <c r="Y34" i="83"/>
  <c r="X34" i="83"/>
  <c r="W34" i="83"/>
  <c r="Q34" i="83"/>
  <c r="P34" i="83"/>
  <c r="Z33" i="83"/>
  <c r="Y33" i="83"/>
  <c r="Z32" i="83"/>
  <c r="Y32" i="83"/>
  <c r="Z31" i="83"/>
  <c r="Y31" i="83"/>
  <c r="Z30" i="83"/>
  <c r="Y30" i="83"/>
  <c r="Z29" i="83"/>
  <c r="Y29" i="83"/>
  <c r="Z28" i="83"/>
  <c r="Y28" i="83"/>
  <c r="Z27" i="83"/>
  <c r="Y27" i="83"/>
  <c r="Z26" i="83"/>
  <c r="Y26" i="83"/>
  <c r="Z25" i="83"/>
  <c r="Y25" i="83"/>
  <c r="Z24" i="83"/>
  <c r="Y24" i="83"/>
  <c r="Z23" i="83"/>
  <c r="Y23" i="83"/>
  <c r="Z22" i="83"/>
  <c r="G9" i="84" s="1"/>
  <c r="I9" i="84" s="1"/>
  <c r="L9" i="84" s="1"/>
  <c r="Y22" i="83"/>
  <c r="X22" i="83"/>
  <c r="Q22" i="83"/>
  <c r="P22" i="83"/>
  <c r="Z21" i="83"/>
  <c r="Y21" i="83"/>
  <c r="Z20" i="83"/>
  <c r="G8" i="84" s="1"/>
  <c r="Y20" i="83"/>
  <c r="X20" i="83"/>
  <c r="Q20" i="83"/>
  <c r="P20" i="83"/>
  <c r="Z19" i="83"/>
  <c r="Y19" i="83"/>
  <c r="Z18" i="83"/>
  <c r="G7" i="84" s="1"/>
  <c r="Y18" i="83"/>
  <c r="X18" i="83"/>
  <c r="Q18" i="83"/>
  <c r="P18" i="83"/>
  <c r="Z17" i="83"/>
  <c r="Y17" i="83"/>
  <c r="Z16" i="83"/>
  <c r="Y16" i="83"/>
  <c r="Z15" i="83"/>
  <c r="Y15" i="83"/>
  <c r="Z14" i="83"/>
  <c r="Y14" i="83"/>
  <c r="Z13" i="83"/>
  <c r="G6" i="84" s="1"/>
  <c r="Y13" i="83"/>
  <c r="X13" i="83"/>
  <c r="Q13" i="83"/>
  <c r="P13" i="83"/>
  <c r="Z12" i="83"/>
  <c r="Y12" i="83"/>
  <c r="Z11" i="83"/>
  <c r="G5" i="84" s="1"/>
  <c r="Y11" i="83"/>
  <c r="X11" i="83"/>
  <c r="Q11" i="83"/>
  <c r="P11" i="83"/>
  <c r="Z10" i="83"/>
  <c r="Y10" i="83"/>
  <c r="Z9" i="83"/>
  <c r="Y9" i="83"/>
  <c r="Z8" i="83"/>
  <c r="G4" i="84" s="1"/>
  <c r="Y8" i="83"/>
  <c r="X8" i="83"/>
  <c r="Q8" i="83"/>
  <c r="P8" i="83"/>
  <c r="Z7" i="83"/>
  <c r="Y7" i="83"/>
  <c r="Z6" i="83"/>
  <c r="Y6" i="83"/>
  <c r="Z5" i="83"/>
  <c r="G3" i="84" s="1"/>
  <c r="Y5" i="83"/>
  <c r="X5" i="83"/>
  <c r="Q5" i="83"/>
  <c r="P5" i="83"/>
  <c r="Z4" i="83"/>
  <c r="Y4" i="83"/>
  <c r="Z3" i="83"/>
  <c r="G2" i="84" s="1"/>
  <c r="Y3" i="83"/>
  <c r="G12" i="102" l="1"/>
  <c r="I7" i="84"/>
  <c r="L7" i="84" s="1"/>
  <c r="I15" i="84"/>
  <c r="L15" i="84" s="1"/>
  <c r="I19" i="84"/>
  <c r="L19" i="84" s="1"/>
  <c r="I23" i="84"/>
  <c r="L23" i="84" s="1"/>
  <c r="I28" i="84"/>
  <c r="L28" i="84" s="1"/>
  <c r="I33" i="84"/>
  <c r="L33" i="84" s="1"/>
  <c r="I38" i="84"/>
  <c r="L38" i="84" s="1"/>
  <c r="I11" i="84"/>
  <c r="L11" i="84" s="1"/>
  <c r="I30" i="84"/>
  <c r="L30" i="84" s="1"/>
  <c r="I34" i="84"/>
  <c r="L34" i="84" s="1"/>
  <c r="I5" i="84"/>
  <c r="L5" i="84" s="1"/>
  <c r="I27" i="84"/>
  <c r="L27" i="84" s="1"/>
  <c r="I32" i="84"/>
  <c r="L32" i="84" s="1"/>
  <c r="I37" i="84"/>
  <c r="L37" i="84" s="1"/>
  <c r="I16" i="84"/>
  <c r="L16" i="84" s="1"/>
  <c r="I6" i="84"/>
  <c r="L6" i="84" s="1"/>
  <c r="I4" i="84"/>
  <c r="L4" i="84" s="1"/>
  <c r="I22" i="84"/>
  <c r="L22" i="84" s="1"/>
  <c r="I2" i="84"/>
  <c r="L2" i="84" s="1"/>
  <c r="I3" i="84"/>
  <c r="L3" i="84" s="1"/>
  <c r="I8" i="84"/>
  <c r="L8" i="84" s="1"/>
  <c r="I13" i="84"/>
  <c r="L13" i="84" s="1"/>
  <c r="I21" i="84"/>
  <c r="L21" i="84" s="1"/>
  <c r="I26" i="84"/>
  <c r="L26" i="84" s="1"/>
  <c r="I31" i="84"/>
  <c r="L31" i="84" s="1"/>
  <c r="I36" i="84"/>
  <c r="L36" i="84" s="1"/>
  <c r="M29" i="84" l="1"/>
  <c r="M24" i="84"/>
  <c r="M34" i="84"/>
  <c r="L11" i="102" s="1"/>
  <c r="M11" i="84"/>
  <c r="M2" i="84"/>
  <c r="M16" i="84"/>
  <c r="M5" i="84"/>
  <c r="H30" i="82"/>
  <c r="E30" i="82"/>
  <c r="H29" i="82"/>
  <c r="E29" i="82"/>
  <c r="H28" i="82"/>
  <c r="E28" i="82"/>
  <c r="H27" i="82"/>
  <c r="E27" i="82"/>
  <c r="H26" i="82"/>
  <c r="E26" i="82"/>
  <c r="H25" i="82"/>
  <c r="E25" i="82"/>
  <c r="H24" i="82"/>
  <c r="E24" i="82"/>
  <c r="H23" i="82"/>
  <c r="E23" i="82"/>
  <c r="H22" i="82"/>
  <c r="E22" i="82"/>
  <c r="H21" i="82"/>
  <c r="E21" i="82"/>
  <c r="H20" i="82"/>
  <c r="E20" i="82"/>
  <c r="H19" i="82"/>
  <c r="E19" i="82"/>
  <c r="H18" i="82"/>
  <c r="E18" i="82"/>
  <c r="H17" i="82"/>
  <c r="E17" i="82"/>
  <c r="H16" i="82"/>
  <c r="E16" i="82"/>
  <c r="H15" i="82"/>
  <c r="E15" i="82"/>
  <c r="H14" i="82"/>
  <c r="E14" i="82"/>
  <c r="H13" i="82"/>
  <c r="E13" i="82"/>
  <c r="H12" i="82"/>
  <c r="E12" i="82"/>
  <c r="H11" i="82"/>
  <c r="E11" i="82"/>
  <c r="H10" i="82"/>
  <c r="E10" i="82"/>
  <c r="H9" i="82"/>
  <c r="E9" i="82"/>
  <c r="H8" i="82"/>
  <c r="E8" i="82"/>
  <c r="H7" i="82"/>
  <c r="E7" i="82"/>
  <c r="H6" i="82"/>
  <c r="E6" i="82"/>
  <c r="H5" i="82"/>
  <c r="E5" i="82"/>
  <c r="H4" i="82"/>
  <c r="E4" i="82"/>
  <c r="H3" i="82"/>
  <c r="E3" i="82"/>
  <c r="H2" i="82"/>
  <c r="E2" i="82"/>
  <c r="K10" i="82"/>
  <c r="K9" i="82"/>
  <c r="K8" i="82"/>
  <c r="K7" i="82"/>
  <c r="K6" i="82"/>
  <c r="Y108" i="81"/>
  <c r="Y107" i="81"/>
  <c r="X107" i="81"/>
  <c r="Q107" i="81"/>
  <c r="P107" i="81"/>
  <c r="Y106" i="81"/>
  <c r="Y105" i="81"/>
  <c r="Y104" i="81"/>
  <c r="Y103" i="81"/>
  <c r="X103" i="81"/>
  <c r="Q103" i="81"/>
  <c r="P103" i="81"/>
  <c r="Y102" i="81"/>
  <c r="Y101" i="81"/>
  <c r="Y100" i="81"/>
  <c r="X100" i="81"/>
  <c r="Q100" i="81"/>
  <c r="P100" i="81"/>
  <c r="Y99" i="81"/>
  <c r="Y98" i="81"/>
  <c r="X98" i="81"/>
  <c r="Q98" i="81"/>
  <c r="P98" i="81"/>
  <c r="Y97" i="81"/>
  <c r="Y96" i="81"/>
  <c r="Y95" i="81"/>
  <c r="X95" i="81"/>
  <c r="Y94" i="81"/>
  <c r="Y93" i="81"/>
  <c r="Y92" i="81"/>
  <c r="Y91" i="81"/>
  <c r="Y90" i="81"/>
  <c r="Y89" i="81"/>
  <c r="Y88" i="81"/>
  <c r="G30" i="82" s="1"/>
  <c r="Y87" i="81"/>
  <c r="G29" i="82" s="1"/>
  <c r="Y86" i="81"/>
  <c r="G28" i="82" s="1"/>
  <c r="I28" i="82" s="1"/>
  <c r="L28" i="82" s="1"/>
  <c r="Y85" i="81"/>
  <c r="G27" i="82" s="1"/>
  <c r="Y84" i="81"/>
  <c r="G26" i="82" s="1"/>
  <c r="X84" i="81"/>
  <c r="Q84" i="81"/>
  <c r="P84" i="81"/>
  <c r="Y83" i="81"/>
  <c r="Y82" i="81"/>
  <c r="Y81" i="81"/>
  <c r="Y80" i="81"/>
  <c r="Y79" i="81"/>
  <c r="Y78" i="81"/>
  <c r="G25" i="82" s="1"/>
  <c r="I25" i="82" s="1"/>
  <c r="L25" i="82" s="1"/>
  <c r="X78" i="81"/>
  <c r="Q78" i="81"/>
  <c r="P78" i="81"/>
  <c r="Y77" i="81"/>
  <c r="Y76" i="81"/>
  <c r="Y75" i="81"/>
  <c r="X75" i="81"/>
  <c r="Q75" i="81"/>
  <c r="P75" i="81"/>
  <c r="Y74" i="81"/>
  <c r="Y73" i="81"/>
  <c r="Y72" i="81"/>
  <c r="G24" i="82" s="1"/>
  <c r="X72" i="81"/>
  <c r="Y71" i="81"/>
  <c r="Y70" i="81"/>
  <c r="Y69" i="81"/>
  <c r="Y68" i="81"/>
  <c r="G23" i="82" s="1"/>
  <c r="Y67" i="81"/>
  <c r="G22" i="82" s="1"/>
  <c r="X67" i="81"/>
  <c r="Q67" i="81"/>
  <c r="P67" i="81"/>
  <c r="Y66" i="81"/>
  <c r="Y65" i="81"/>
  <c r="Y64" i="81"/>
  <c r="Y63" i="81"/>
  <c r="G21" i="82" s="1"/>
  <c r="X63" i="81"/>
  <c r="Q63" i="81"/>
  <c r="P63" i="81"/>
  <c r="Y62" i="81"/>
  <c r="Y61" i="81"/>
  <c r="Y60" i="81"/>
  <c r="G20" i="82" s="1"/>
  <c r="X60" i="81"/>
  <c r="Q60" i="81"/>
  <c r="P60" i="81"/>
  <c r="Y59" i="81"/>
  <c r="Y58" i="81"/>
  <c r="Y57" i="81"/>
  <c r="G19" i="82" s="1"/>
  <c r="X57" i="81"/>
  <c r="Q57" i="81"/>
  <c r="P57" i="81"/>
  <c r="Y56" i="81"/>
  <c r="Y55" i="81"/>
  <c r="G18" i="82" s="1"/>
  <c r="X55" i="81"/>
  <c r="Q55" i="81"/>
  <c r="P55" i="81"/>
  <c r="Y54" i="81"/>
  <c r="Y53" i="81"/>
  <c r="Y52" i="81"/>
  <c r="G17" i="82" s="1"/>
  <c r="X52" i="81"/>
  <c r="Q52" i="81"/>
  <c r="P52" i="81"/>
  <c r="Y51" i="81"/>
  <c r="Y50" i="81"/>
  <c r="Y49" i="81"/>
  <c r="G16" i="82" s="1"/>
  <c r="Y48" i="81"/>
  <c r="G15" i="82" s="1"/>
  <c r="I15" i="82" s="1"/>
  <c r="L15" i="82" s="1"/>
  <c r="X48" i="81"/>
  <c r="Q48" i="81"/>
  <c r="P48" i="81"/>
  <c r="Y47" i="81"/>
  <c r="Y46" i="81"/>
  <c r="Y45" i="81"/>
  <c r="Y44" i="81"/>
  <c r="G14" i="82" s="1"/>
  <c r="X44" i="81"/>
  <c r="Q44" i="81"/>
  <c r="P44" i="81"/>
  <c r="Y43" i="81"/>
  <c r="Y42" i="81"/>
  <c r="Y41" i="81"/>
  <c r="Y40" i="81"/>
  <c r="Y39" i="81"/>
  <c r="G13" i="82" s="1"/>
  <c r="Y38" i="81"/>
  <c r="G12" i="82" s="1"/>
  <c r="Y37" i="81"/>
  <c r="G11" i="82" s="1"/>
  <c r="X37" i="81"/>
  <c r="Q37" i="81"/>
  <c r="P37" i="81"/>
  <c r="Y36" i="81"/>
  <c r="Y35" i="81"/>
  <c r="Y34" i="81"/>
  <c r="G10" i="82" s="1"/>
  <c r="X34" i="81"/>
  <c r="W34" i="81"/>
  <c r="Q34" i="81"/>
  <c r="P34" i="81"/>
  <c r="Y33" i="81"/>
  <c r="Y32" i="81"/>
  <c r="Y31" i="81"/>
  <c r="Y30" i="81"/>
  <c r="Y29" i="81"/>
  <c r="Y28" i="81"/>
  <c r="Y27" i="81"/>
  <c r="Y26" i="81"/>
  <c r="Y25" i="81"/>
  <c r="Y24" i="81"/>
  <c r="Y23" i="81"/>
  <c r="Y22" i="81"/>
  <c r="G9" i="82" s="1"/>
  <c r="X22" i="81"/>
  <c r="Q22" i="81"/>
  <c r="P22" i="81"/>
  <c r="Y21" i="81"/>
  <c r="Y20" i="81"/>
  <c r="G8" i="82" s="1"/>
  <c r="X20" i="81"/>
  <c r="Q20" i="81"/>
  <c r="P20" i="81"/>
  <c r="Y19" i="81"/>
  <c r="Y18" i="81"/>
  <c r="G7" i="82" s="1"/>
  <c r="X18" i="81"/>
  <c r="Q18" i="81"/>
  <c r="P18" i="81"/>
  <c r="Y17" i="81"/>
  <c r="Y16" i="81"/>
  <c r="Y15" i="81"/>
  <c r="Y14" i="81"/>
  <c r="Y13" i="81"/>
  <c r="G6" i="82" s="1"/>
  <c r="X13" i="81"/>
  <c r="Q13" i="81"/>
  <c r="P13" i="81"/>
  <c r="Y12" i="81"/>
  <c r="Y11" i="81"/>
  <c r="G5" i="82" s="1"/>
  <c r="X11" i="81"/>
  <c r="Q11" i="81"/>
  <c r="P11" i="81"/>
  <c r="Y10" i="81"/>
  <c r="Y9" i="81"/>
  <c r="Y8" i="81"/>
  <c r="G4" i="82" s="1"/>
  <c r="X8" i="81"/>
  <c r="Q8" i="81"/>
  <c r="P8" i="81"/>
  <c r="Y7" i="81"/>
  <c r="Y6" i="81"/>
  <c r="Y5" i="81"/>
  <c r="G3" i="82" s="1"/>
  <c r="X5" i="81"/>
  <c r="Q5" i="81"/>
  <c r="P5" i="81"/>
  <c r="Y4" i="81"/>
  <c r="Y3" i="81"/>
  <c r="G2" i="82" s="1"/>
  <c r="E12" i="102" l="1"/>
  <c r="I4" i="82"/>
  <c r="L4" i="82" s="1"/>
  <c r="I13" i="82"/>
  <c r="L13" i="82" s="1"/>
  <c r="I16" i="82"/>
  <c r="L16" i="82" s="1"/>
  <c r="I20" i="82"/>
  <c r="L20" i="82" s="1"/>
  <c r="I27" i="82"/>
  <c r="L27" i="82" s="1"/>
  <c r="I30" i="82"/>
  <c r="L30" i="82" s="1"/>
  <c r="I2" i="82"/>
  <c r="L2" i="82" s="1"/>
  <c r="I5" i="82"/>
  <c r="L5" i="82" s="1"/>
  <c r="I7" i="82"/>
  <c r="L7" i="82" s="1"/>
  <c r="I9" i="82"/>
  <c r="L9" i="82" s="1"/>
  <c r="I11" i="82"/>
  <c r="L11" i="82" s="1"/>
  <c r="I14" i="82"/>
  <c r="L14" i="82" s="1"/>
  <c r="I17" i="82"/>
  <c r="L17" i="82" s="1"/>
  <c r="I21" i="82"/>
  <c r="L21" i="82" s="1"/>
  <c r="I24" i="82"/>
  <c r="L24" i="82" s="1"/>
  <c r="I18" i="82"/>
  <c r="L18" i="82" s="1"/>
  <c r="I22" i="82"/>
  <c r="L22" i="82" s="1"/>
  <c r="I3" i="82"/>
  <c r="L3" i="82" s="1"/>
  <c r="I6" i="82"/>
  <c r="L6" i="82" s="1"/>
  <c r="I8" i="82"/>
  <c r="L8" i="82" s="1"/>
  <c r="I10" i="82"/>
  <c r="L10" i="82" s="1"/>
  <c r="I12" i="82"/>
  <c r="L12" i="82" s="1"/>
  <c r="I19" i="82"/>
  <c r="L19" i="82" s="1"/>
  <c r="I23" i="82"/>
  <c r="L23" i="82" s="1"/>
  <c r="I26" i="82"/>
  <c r="L26" i="82" s="1"/>
  <c r="I29" i="82"/>
  <c r="L29" i="82" s="1"/>
  <c r="M23" i="82" l="1"/>
  <c r="L9" i="102" s="1"/>
  <c r="M15" i="82"/>
  <c r="M27" i="82"/>
  <c r="M5" i="82"/>
  <c r="M11" i="82"/>
  <c r="M2" i="82"/>
  <c r="K11" i="91"/>
  <c r="I11" i="91"/>
  <c r="E11" i="91"/>
  <c r="K10" i="91"/>
  <c r="I10" i="91"/>
  <c r="G10" i="91"/>
  <c r="E10" i="91"/>
  <c r="K9" i="91"/>
  <c r="I9" i="91"/>
  <c r="G9" i="91"/>
  <c r="E9" i="91"/>
  <c r="K8" i="91"/>
  <c r="I8" i="91"/>
  <c r="G8" i="91"/>
  <c r="E8" i="91"/>
  <c r="K7" i="91"/>
  <c r="I7" i="91"/>
  <c r="G7" i="91"/>
  <c r="E7" i="91"/>
  <c r="K6" i="91"/>
  <c r="I6" i="91"/>
  <c r="G6" i="91"/>
  <c r="E6" i="91"/>
  <c r="K5" i="91"/>
  <c r="I5" i="91"/>
  <c r="G5" i="91"/>
  <c r="E5" i="91"/>
  <c r="H39" i="79"/>
  <c r="F39" i="79"/>
  <c r="D39" i="79"/>
  <c r="H38" i="79"/>
  <c r="F38" i="79"/>
  <c r="D38" i="79"/>
  <c r="H37" i="79"/>
  <c r="F37" i="79"/>
  <c r="D37" i="79"/>
  <c r="H36" i="79"/>
  <c r="F36" i="79"/>
  <c r="D36" i="79"/>
  <c r="H35" i="79"/>
  <c r="F35" i="79"/>
  <c r="D35" i="79"/>
  <c r="H34" i="79"/>
  <c r="F34" i="79"/>
  <c r="D34" i="79"/>
  <c r="H33" i="79"/>
  <c r="F33" i="79"/>
  <c r="D33" i="79"/>
  <c r="H32" i="79"/>
  <c r="F32" i="79"/>
  <c r="D32" i="79"/>
  <c r="H31" i="79"/>
  <c r="F31" i="79"/>
  <c r="D31" i="79"/>
  <c r="H30" i="79"/>
  <c r="F30" i="79"/>
  <c r="D30" i="79"/>
  <c r="H29" i="79"/>
  <c r="F29" i="79"/>
  <c r="D29" i="79"/>
  <c r="F28" i="79"/>
  <c r="D28" i="79"/>
  <c r="H27" i="79"/>
  <c r="F27" i="79"/>
  <c r="D27" i="79"/>
  <c r="H26" i="79"/>
  <c r="F26" i="79"/>
  <c r="D26" i="79"/>
  <c r="H25" i="79"/>
  <c r="F25" i="79"/>
  <c r="D25" i="79"/>
  <c r="H24" i="79"/>
  <c r="F24" i="79"/>
  <c r="D24" i="79"/>
  <c r="H23" i="79"/>
  <c r="F23" i="79"/>
  <c r="D23" i="79"/>
  <c r="H22" i="79"/>
  <c r="F22" i="79"/>
  <c r="D22" i="79"/>
  <c r="H21" i="79"/>
  <c r="F21" i="79"/>
  <c r="D21" i="79"/>
  <c r="H20" i="79"/>
  <c r="F20" i="79"/>
  <c r="D20" i="79"/>
  <c r="H19" i="79"/>
  <c r="F19" i="79"/>
  <c r="D19" i="79"/>
  <c r="H18" i="79"/>
  <c r="F18" i="79"/>
  <c r="D18" i="79"/>
  <c r="H17" i="79"/>
  <c r="F17" i="79"/>
  <c r="D17" i="79"/>
  <c r="H16" i="79"/>
  <c r="F16" i="79"/>
  <c r="D16" i="79"/>
  <c r="H15" i="79"/>
  <c r="F15" i="79"/>
  <c r="D15" i="79"/>
  <c r="H14" i="79"/>
  <c r="F14" i="79"/>
  <c r="D14" i="79"/>
  <c r="H13" i="79"/>
  <c r="F13" i="79"/>
  <c r="D13" i="79"/>
  <c r="H12" i="79"/>
  <c r="F12" i="79"/>
  <c r="D12" i="79"/>
  <c r="H11" i="79"/>
  <c r="F11" i="79"/>
  <c r="D11" i="79"/>
  <c r="F10" i="79"/>
  <c r="D10" i="79"/>
  <c r="F9" i="79"/>
  <c r="D9" i="79"/>
  <c r="F8" i="79"/>
  <c r="D8" i="79"/>
  <c r="F7" i="79"/>
  <c r="D7" i="79"/>
  <c r="F6" i="79"/>
  <c r="D6" i="79"/>
  <c r="H5" i="79"/>
  <c r="F5" i="79"/>
  <c r="D5" i="79"/>
  <c r="H4" i="79"/>
  <c r="F4" i="79"/>
  <c r="D4" i="79"/>
  <c r="H3" i="79"/>
  <c r="F3" i="79"/>
  <c r="D3" i="79"/>
  <c r="H2" i="79"/>
  <c r="F2" i="79"/>
  <c r="D2" i="79"/>
  <c r="L11" i="79"/>
  <c r="AE113" i="78"/>
  <c r="G39" i="79" s="1"/>
  <c r="I39" i="79" s="1"/>
  <c r="L39" i="79" s="1"/>
  <c r="AD113" i="78"/>
  <c r="AC113" i="78"/>
  <c r="AB113" i="78"/>
  <c r="AA113" i="78"/>
  <c r="Z113" i="78"/>
  <c r="S113" i="78"/>
  <c r="E39" i="79" s="1"/>
  <c r="AE112" i="78"/>
  <c r="G38" i="79" s="1"/>
  <c r="AD112" i="78"/>
  <c r="AC112" i="78"/>
  <c r="AB112" i="78"/>
  <c r="AA112" i="78"/>
  <c r="Z112" i="78"/>
  <c r="X112" i="78"/>
  <c r="S112" i="78"/>
  <c r="E38" i="79" s="1"/>
  <c r="R112" i="78"/>
  <c r="Q112" i="78"/>
  <c r="AE111" i="78"/>
  <c r="AD111" i="78"/>
  <c r="AC111" i="78"/>
  <c r="AB111" i="78"/>
  <c r="AA111" i="78"/>
  <c r="Z111" i="78"/>
  <c r="S111" i="78"/>
  <c r="AE110" i="78"/>
  <c r="G37" i="79" s="1"/>
  <c r="AD110" i="78"/>
  <c r="AC110" i="78"/>
  <c r="AB110" i="78"/>
  <c r="AA110" i="78"/>
  <c r="Z110" i="78"/>
  <c r="X110" i="78"/>
  <c r="S110" i="78"/>
  <c r="E37" i="79" s="1"/>
  <c r="AE109" i="78"/>
  <c r="AD109" i="78"/>
  <c r="AC109" i="78"/>
  <c r="AB109" i="78"/>
  <c r="AA109" i="78"/>
  <c r="Z109" i="78"/>
  <c r="S109" i="78"/>
  <c r="AE108" i="78"/>
  <c r="G36" i="79" s="1"/>
  <c r="AD108" i="78"/>
  <c r="AC108" i="78"/>
  <c r="AB108" i="78"/>
  <c r="AA108" i="78"/>
  <c r="Z108" i="78"/>
  <c r="X108" i="78"/>
  <c r="S108" i="78"/>
  <c r="E36" i="79" s="1"/>
  <c r="R108" i="78"/>
  <c r="Q108" i="78"/>
  <c r="AE107" i="78"/>
  <c r="AD107" i="78"/>
  <c r="AC107" i="78"/>
  <c r="AB107" i="78"/>
  <c r="AA107" i="78"/>
  <c r="Z107" i="78"/>
  <c r="S107" i="78"/>
  <c r="AE106" i="78"/>
  <c r="AD106" i="78"/>
  <c r="AC106" i="78"/>
  <c r="AB106" i="78"/>
  <c r="AA106" i="78"/>
  <c r="Z106" i="78"/>
  <c r="S106" i="78"/>
  <c r="AE105" i="78"/>
  <c r="G35" i="79" s="1"/>
  <c r="I35" i="79" s="1"/>
  <c r="L35" i="79" s="1"/>
  <c r="AD105" i="78"/>
  <c r="AC105" i="78"/>
  <c r="AB105" i="78"/>
  <c r="AA105" i="78"/>
  <c r="Z105" i="78"/>
  <c r="X105" i="78"/>
  <c r="S105" i="78"/>
  <c r="E35" i="79" s="1"/>
  <c r="R105" i="78"/>
  <c r="Q105" i="78"/>
  <c r="AE104" i="78"/>
  <c r="AD104" i="78"/>
  <c r="AC104" i="78"/>
  <c r="AB104" i="78"/>
  <c r="AA104" i="78"/>
  <c r="Z104" i="78"/>
  <c r="S104" i="78"/>
  <c r="AE103" i="78"/>
  <c r="G34" i="79" s="1"/>
  <c r="I34" i="79" s="1"/>
  <c r="L34" i="79" s="1"/>
  <c r="AD103" i="78"/>
  <c r="AC103" i="78"/>
  <c r="AB103" i="78"/>
  <c r="AA103" i="78"/>
  <c r="Z103" i="78"/>
  <c r="X103" i="78"/>
  <c r="S103" i="78"/>
  <c r="E34" i="79" s="1"/>
  <c r="R103" i="78"/>
  <c r="Q103" i="78"/>
  <c r="AE102" i="78"/>
  <c r="AD102" i="78"/>
  <c r="AC102" i="78"/>
  <c r="AB102" i="78"/>
  <c r="AA102" i="78"/>
  <c r="Z102" i="78"/>
  <c r="S102" i="78"/>
  <c r="AE101" i="78"/>
  <c r="AD101" i="78"/>
  <c r="AC101" i="78"/>
  <c r="AB101" i="78"/>
  <c r="AA101" i="78"/>
  <c r="Z101" i="78"/>
  <c r="S101" i="78"/>
  <c r="AE100" i="78"/>
  <c r="G33" i="79" s="1"/>
  <c r="AD100" i="78"/>
  <c r="AC100" i="78"/>
  <c r="AB100" i="78"/>
  <c r="AA100" i="78"/>
  <c r="Z100" i="78"/>
  <c r="S100" i="78"/>
  <c r="E33" i="79" s="1"/>
  <c r="AE99" i="78"/>
  <c r="AD99" i="78"/>
  <c r="AC99" i="78"/>
  <c r="AB99" i="78"/>
  <c r="AA99" i="78"/>
  <c r="Z99" i="78"/>
  <c r="S99" i="78"/>
  <c r="AE98" i="78"/>
  <c r="AD98" i="78"/>
  <c r="AC98" i="78"/>
  <c r="AB98" i="78"/>
  <c r="AA98" i="78"/>
  <c r="Z98" i="78"/>
  <c r="S98" i="78"/>
  <c r="AE97" i="78"/>
  <c r="AD97" i="78"/>
  <c r="AC97" i="78"/>
  <c r="AB97" i="78"/>
  <c r="AA97" i="78"/>
  <c r="Z97" i="78"/>
  <c r="S97" i="78"/>
  <c r="AE96" i="78"/>
  <c r="AD96" i="78"/>
  <c r="AC96" i="78"/>
  <c r="AB96" i="78"/>
  <c r="AA96" i="78"/>
  <c r="Z96" i="78"/>
  <c r="S96" i="78"/>
  <c r="AE95" i="78"/>
  <c r="AD95" i="78"/>
  <c r="AC95" i="78"/>
  <c r="AB95" i="78"/>
  <c r="AA95" i="78"/>
  <c r="Z95" i="78"/>
  <c r="S95" i="78"/>
  <c r="AE94" i="78"/>
  <c r="AD94" i="78"/>
  <c r="AC94" i="78"/>
  <c r="AB94" i="78"/>
  <c r="AA94" i="78"/>
  <c r="Z94" i="78"/>
  <c r="S94" i="78"/>
  <c r="AE93" i="78"/>
  <c r="G32" i="79" s="1"/>
  <c r="AD93" i="78"/>
  <c r="AC93" i="78"/>
  <c r="AB93" i="78"/>
  <c r="AA93" i="78"/>
  <c r="Z93" i="78"/>
  <c r="S93" i="78"/>
  <c r="E32" i="79" s="1"/>
  <c r="AE92" i="78"/>
  <c r="G31" i="79" s="1"/>
  <c r="AD92" i="78"/>
  <c r="AC92" i="78"/>
  <c r="AB92" i="78"/>
  <c r="AA92" i="78"/>
  <c r="Z92" i="78"/>
  <c r="S92" i="78"/>
  <c r="E31" i="79" s="1"/>
  <c r="AE91" i="78"/>
  <c r="G30" i="79" s="1"/>
  <c r="I30" i="79" s="1"/>
  <c r="L30" i="79" s="1"/>
  <c r="AD91" i="78"/>
  <c r="AC91" i="78"/>
  <c r="AB91" i="78"/>
  <c r="AA91" i="78"/>
  <c r="Z91" i="78"/>
  <c r="X91" i="78"/>
  <c r="S91" i="78"/>
  <c r="E30" i="79" s="1"/>
  <c r="AE90" i="78"/>
  <c r="G29" i="79" s="1"/>
  <c r="I29" i="79" s="1"/>
  <c r="L29" i="79" s="1"/>
  <c r="AD90" i="78"/>
  <c r="AC90" i="78"/>
  <c r="AB90" i="78"/>
  <c r="AA90" i="78"/>
  <c r="Z90" i="78"/>
  <c r="S90" i="78"/>
  <c r="E29" i="79" s="1"/>
  <c r="AE89" i="78"/>
  <c r="G28" i="79" s="1"/>
  <c r="AD89" i="78"/>
  <c r="AC89" i="78"/>
  <c r="AB89" i="78"/>
  <c r="AA89" i="78"/>
  <c r="Z89" i="78"/>
  <c r="S89" i="78"/>
  <c r="X89" i="78" s="1"/>
  <c r="H28" i="79" s="1"/>
  <c r="R89" i="78"/>
  <c r="Q89" i="78"/>
  <c r="AE88" i="78"/>
  <c r="AD88" i="78"/>
  <c r="AC88" i="78"/>
  <c r="AB88" i="78"/>
  <c r="AA88" i="78"/>
  <c r="Z88" i="78"/>
  <c r="S88" i="78"/>
  <c r="AE87" i="78"/>
  <c r="AD87" i="78"/>
  <c r="AC87" i="78"/>
  <c r="AB87" i="78"/>
  <c r="AA87" i="78"/>
  <c r="Z87" i="78"/>
  <c r="S87" i="78"/>
  <c r="AE86" i="78"/>
  <c r="AD86" i="78"/>
  <c r="AC86" i="78"/>
  <c r="AB86" i="78"/>
  <c r="AA86" i="78"/>
  <c r="Z86" i="78"/>
  <c r="S86" i="78"/>
  <c r="AE85" i="78"/>
  <c r="AD85" i="78"/>
  <c r="AC85" i="78"/>
  <c r="AB85" i="78"/>
  <c r="AA85" i="78"/>
  <c r="Z85" i="78"/>
  <c r="S85" i="78"/>
  <c r="AE84" i="78"/>
  <c r="AD84" i="78"/>
  <c r="AC84" i="78"/>
  <c r="AB84" i="78"/>
  <c r="AA84" i="78"/>
  <c r="Z84" i="78"/>
  <c r="S84" i="78"/>
  <c r="AE83" i="78"/>
  <c r="G27" i="79" s="1"/>
  <c r="AD83" i="78"/>
  <c r="AC83" i="78"/>
  <c r="AB83" i="78"/>
  <c r="AA83" i="78"/>
  <c r="Z83" i="78"/>
  <c r="S83" i="78"/>
  <c r="E27" i="79" s="1"/>
  <c r="R83" i="78"/>
  <c r="Q83" i="78"/>
  <c r="AE82" i="78"/>
  <c r="AD82" i="78"/>
  <c r="AC82" i="78"/>
  <c r="AB82" i="78"/>
  <c r="AA82" i="78"/>
  <c r="Z82" i="78"/>
  <c r="S82" i="78"/>
  <c r="AE81" i="78"/>
  <c r="AD81" i="78"/>
  <c r="AC81" i="78"/>
  <c r="AB81" i="78"/>
  <c r="AA81" i="78"/>
  <c r="Z81" i="78"/>
  <c r="S81" i="78"/>
  <c r="AE80" i="78"/>
  <c r="G26" i="79" s="1"/>
  <c r="AD80" i="78"/>
  <c r="AC80" i="78"/>
  <c r="AB80" i="78"/>
  <c r="AA80" i="78"/>
  <c r="Z80" i="78"/>
  <c r="X80" i="78"/>
  <c r="S80" i="78"/>
  <c r="E26" i="79" s="1"/>
  <c r="R80" i="78"/>
  <c r="Q80" i="78"/>
  <c r="AE79" i="78"/>
  <c r="AD79" i="78"/>
  <c r="AC79" i="78"/>
  <c r="AB79" i="78"/>
  <c r="AA79" i="78"/>
  <c r="Z79" i="78"/>
  <c r="S79" i="78"/>
  <c r="AE78" i="78"/>
  <c r="AD78" i="78"/>
  <c r="AC78" i="78"/>
  <c r="AB78" i="78"/>
  <c r="AA78" i="78"/>
  <c r="Z78" i="78"/>
  <c r="S78" i="78"/>
  <c r="AE77" i="78"/>
  <c r="G25" i="79" s="1"/>
  <c r="I25" i="79" s="1"/>
  <c r="L25" i="79" s="1"/>
  <c r="AD77" i="78"/>
  <c r="AC77" i="78"/>
  <c r="AB77" i="78"/>
  <c r="AA77" i="78"/>
  <c r="Z77" i="78"/>
  <c r="X77" i="78"/>
  <c r="S77" i="78"/>
  <c r="E25" i="79" s="1"/>
  <c r="AE76" i="78"/>
  <c r="AD76" i="78"/>
  <c r="AC76" i="78"/>
  <c r="AB76" i="78"/>
  <c r="AA76" i="78"/>
  <c r="Z76" i="78"/>
  <c r="S76" i="78"/>
  <c r="AE75" i="78"/>
  <c r="AD75" i="78"/>
  <c r="AC75" i="78"/>
  <c r="AB75" i="78"/>
  <c r="AA75" i="78"/>
  <c r="Z75" i="78"/>
  <c r="S75" i="78"/>
  <c r="AE74" i="78"/>
  <c r="AD74" i="78"/>
  <c r="AC74" i="78"/>
  <c r="AB74" i="78"/>
  <c r="AA74" i="78"/>
  <c r="Z74" i="78"/>
  <c r="S74" i="78"/>
  <c r="AE73" i="78"/>
  <c r="G24" i="79" s="1"/>
  <c r="AD73" i="78"/>
  <c r="AC73" i="78"/>
  <c r="AB73" i="78"/>
  <c r="AA73" i="78"/>
  <c r="Z73" i="78"/>
  <c r="S73" i="78"/>
  <c r="E24" i="79" s="1"/>
  <c r="AE72" i="78"/>
  <c r="G23" i="79" s="1"/>
  <c r="AD72" i="78"/>
  <c r="AC72" i="78"/>
  <c r="AB72" i="78"/>
  <c r="AA72" i="78"/>
  <c r="Z72" i="78"/>
  <c r="X72" i="78"/>
  <c r="S72" i="78"/>
  <c r="E23" i="79" s="1"/>
  <c r="R72" i="78"/>
  <c r="Q72" i="78"/>
  <c r="AE71" i="78"/>
  <c r="AD71" i="78"/>
  <c r="AC71" i="78"/>
  <c r="AB71" i="78"/>
  <c r="AA71" i="78"/>
  <c r="Z71" i="78"/>
  <c r="S71" i="78"/>
  <c r="AE70" i="78"/>
  <c r="AD70" i="78"/>
  <c r="AC70" i="78"/>
  <c r="AB70" i="78"/>
  <c r="AA70" i="78"/>
  <c r="Z70" i="78"/>
  <c r="S70" i="78"/>
  <c r="AE69" i="78"/>
  <c r="AD69" i="78"/>
  <c r="AC69" i="78"/>
  <c r="AB69" i="78"/>
  <c r="AA69" i="78"/>
  <c r="Z69" i="78"/>
  <c r="S69" i="78"/>
  <c r="AE68" i="78"/>
  <c r="G22" i="79" s="1"/>
  <c r="AD68" i="78"/>
  <c r="AC68" i="78"/>
  <c r="AB68" i="78"/>
  <c r="AA68" i="78"/>
  <c r="Z68" i="78"/>
  <c r="S68" i="78"/>
  <c r="E22" i="79" s="1"/>
  <c r="R68" i="78"/>
  <c r="Q68" i="78"/>
  <c r="AE67" i="78"/>
  <c r="AD67" i="78"/>
  <c r="AC67" i="78"/>
  <c r="AB67" i="78"/>
  <c r="AA67" i="78"/>
  <c r="Z67" i="78"/>
  <c r="S67" i="78"/>
  <c r="AE66" i="78"/>
  <c r="AD66" i="78"/>
  <c r="AC66" i="78"/>
  <c r="AB66" i="78"/>
  <c r="AA66" i="78"/>
  <c r="Z66" i="78"/>
  <c r="S66" i="78"/>
  <c r="AE65" i="78"/>
  <c r="G21" i="79" s="1"/>
  <c r="AD65" i="78"/>
  <c r="AC65" i="78"/>
  <c r="AB65" i="78"/>
  <c r="AA65" i="78"/>
  <c r="Z65" i="78"/>
  <c r="S65" i="78"/>
  <c r="E21" i="79" s="1"/>
  <c r="R65" i="78"/>
  <c r="Q65" i="78"/>
  <c r="AE64" i="78"/>
  <c r="AD64" i="78"/>
  <c r="AC64" i="78"/>
  <c r="AB64" i="78"/>
  <c r="AA64" i="78"/>
  <c r="Z64" i="78"/>
  <c r="S64" i="78"/>
  <c r="AE63" i="78"/>
  <c r="AD63" i="78"/>
  <c r="AC63" i="78"/>
  <c r="AB63" i="78"/>
  <c r="AA63" i="78"/>
  <c r="Z63" i="78"/>
  <c r="S63" i="78"/>
  <c r="AE62" i="78"/>
  <c r="G20" i="79" s="1"/>
  <c r="AD62" i="78"/>
  <c r="AC62" i="78"/>
  <c r="AB62" i="78"/>
  <c r="AA62" i="78"/>
  <c r="Z62" i="78"/>
  <c r="S62" i="78"/>
  <c r="E20" i="79" s="1"/>
  <c r="R62" i="78"/>
  <c r="Q62" i="78"/>
  <c r="AE61" i="78"/>
  <c r="AD61" i="78"/>
  <c r="AC61" i="78"/>
  <c r="AB61" i="78"/>
  <c r="AA61" i="78"/>
  <c r="Z61" i="78"/>
  <c r="S61" i="78"/>
  <c r="AE60" i="78"/>
  <c r="G19" i="79" s="1"/>
  <c r="AD60" i="78"/>
  <c r="AC60" i="78"/>
  <c r="AB60" i="78"/>
  <c r="AA60" i="78"/>
  <c r="Z60" i="78"/>
  <c r="S60" i="78"/>
  <c r="E19" i="79" s="1"/>
  <c r="R60" i="78"/>
  <c r="Q60" i="78"/>
  <c r="AE59" i="78"/>
  <c r="AD59" i="78"/>
  <c r="AC59" i="78"/>
  <c r="AB59" i="78"/>
  <c r="AA59" i="78"/>
  <c r="Z59" i="78"/>
  <c r="S59" i="78"/>
  <c r="AE58" i="78"/>
  <c r="AD58" i="78"/>
  <c r="AC58" i="78"/>
  <c r="AB58" i="78"/>
  <c r="AA58" i="78"/>
  <c r="Z58" i="78"/>
  <c r="S58" i="78"/>
  <c r="AE57" i="78"/>
  <c r="G18" i="79" s="1"/>
  <c r="AD57" i="78"/>
  <c r="AC57" i="78"/>
  <c r="AB57" i="78"/>
  <c r="AA57" i="78"/>
  <c r="Z57" i="78"/>
  <c r="S57" i="78"/>
  <c r="E18" i="79" s="1"/>
  <c r="R57" i="78"/>
  <c r="Q57" i="78"/>
  <c r="AE56" i="78"/>
  <c r="AD56" i="78"/>
  <c r="AC56" i="78"/>
  <c r="AB56" i="78"/>
  <c r="AA56" i="78"/>
  <c r="Z56" i="78"/>
  <c r="S56" i="78"/>
  <c r="AE55" i="78"/>
  <c r="AD55" i="78"/>
  <c r="AC55" i="78"/>
  <c r="AB55" i="78"/>
  <c r="AA55" i="78"/>
  <c r="Z55" i="78"/>
  <c r="S55" i="78"/>
  <c r="AE54" i="78"/>
  <c r="G17" i="79" s="1"/>
  <c r="AD54" i="78"/>
  <c r="AC54" i="78"/>
  <c r="AB54" i="78"/>
  <c r="AA54" i="78"/>
  <c r="Z54" i="78"/>
  <c r="S54" i="78"/>
  <c r="E17" i="79" s="1"/>
  <c r="AE53" i="78"/>
  <c r="G16" i="79" s="1"/>
  <c r="AD53" i="78"/>
  <c r="AC53" i="78"/>
  <c r="AB53" i="78"/>
  <c r="AA53" i="78"/>
  <c r="Z53" i="78"/>
  <c r="S53" i="78"/>
  <c r="E16" i="79" s="1"/>
  <c r="R53" i="78"/>
  <c r="Q53" i="78"/>
  <c r="AE52" i="78"/>
  <c r="AD52" i="78"/>
  <c r="AC52" i="78"/>
  <c r="AB52" i="78"/>
  <c r="AA52" i="78"/>
  <c r="Z52" i="78"/>
  <c r="S52" i="78"/>
  <c r="AE51" i="78"/>
  <c r="AD51" i="78"/>
  <c r="AC51" i="78"/>
  <c r="AB51" i="78"/>
  <c r="AA51" i="78"/>
  <c r="Z51" i="78"/>
  <c r="S51" i="78"/>
  <c r="AE50" i="78"/>
  <c r="AD50" i="78"/>
  <c r="AC50" i="78"/>
  <c r="AB50" i="78"/>
  <c r="AA50" i="78"/>
  <c r="Z50" i="78"/>
  <c r="S50" i="78"/>
  <c r="AE49" i="78"/>
  <c r="G15" i="79" s="1"/>
  <c r="I15" i="79" s="1"/>
  <c r="L15" i="79" s="1"/>
  <c r="AD49" i="78"/>
  <c r="AC49" i="78"/>
  <c r="AB49" i="78"/>
  <c r="AA49" i="78"/>
  <c r="Z49" i="78"/>
  <c r="U49" i="78"/>
  <c r="V49" i="78" s="1"/>
  <c r="W49" i="78" s="1"/>
  <c r="X49" i="78" s="1"/>
  <c r="S49" i="78"/>
  <c r="E15" i="79" s="1"/>
  <c r="R49" i="78"/>
  <c r="Q49" i="78"/>
  <c r="AE48" i="78"/>
  <c r="AD48" i="78"/>
  <c r="AC48" i="78"/>
  <c r="AB48" i="78"/>
  <c r="AA48" i="78"/>
  <c r="Z48" i="78"/>
  <c r="S48" i="78"/>
  <c r="AE47" i="78"/>
  <c r="AD47" i="78"/>
  <c r="AC47" i="78"/>
  <c r="AB47" i="78"/>
  <c r="AA47" i="78"/>
  <c r="Z47" i="78"/>
  <c r="S47" i="78"/>
  <c r="AE46" i="78"/>
  <c r="AD46" i="78"/>
  <c r="AC46" i="78"/>
  <c r="AB46" i="78"/>
  <c r="AA46" i="78"/>
  <c r="Z46" i="78"/>
  <c r="S46" i="78"/>
  <c r="AE45" i="78"/>
  <c r="AD45" i="78"/>
  <c r="AC45" i="78"/>
  <c r="AB45" i="78"/>
  <c r="AA45" i="78"/>
  <c r="Z45" i="78"/>
  <c r="S45" i="78"/>
  <c r="AE44" i="78"/>
  <c r="G14" i="79" s="1"/>
  <c r="AD44" i="78"/>
  <c r="AC44" i="78"/>
  <c r="AB44" i="78"/>
  <c r="AA44" i="78"/>
  <c r="Z44" i="78"/>
  <c r="V44" i="78"/>
  <c r="W44" i="78" s="1"/>
  <c r="X44" i="78" s="1"/>
  <c r="U44" i="78"/>
  <c r="S44" i="78"/>
  <c r="E14" i="79" s="1"/>
  <c r="AE43" i="78"/>
  <c r="G13" i="79" s="1"/>
  <c r="AD43" i="78"/>
  <c r="AC43" i="78"/>
  <c r="AB43" i="78"/>
  <c r="AA43" i="78"/>
  <c r="Z43" i="78"/>
  <c r="S43" i="78"/>
  <c r="E13" i="79" s="1"/>
  <c r="AE42" i="78"/>
  <c r="G12" i="79" s="1"/>
  <c r="AD42" i="78"/>
  <c r="AC42" i="78"/>
  <c r="AB42" i="78"/>
  <c r="AA42" i="78"/>
  <c r="Z42" i="78"/>
  <c r="Y42" i="78"/>
  <c r="S42" i="78"/>
  <c r="E12" i="79" s="1"/>
  <c r="AE41" i="78"/>
  <c r="AD41" i="78"/>
  <c r="AC41" i="78"/>
  <c r="AB41" i="78"/>
  <c r="AA41" i="78"/>
  <c r="Z41" i="78"/>
  <c r="S41" i="78"/>
  <c r="AE40" i="78"/>
  <c r="AD40" i="78"/>
  <c r="AC40" i="78"/>
  <c r="AB40" i="78"/>
  <c r="AA40" i="78"/>
  <c r="Z40" i="78"/>
  <c r="S40" i="78"/>
  <c r="AE39" i="78"/>
  <c r="G11" i="79" s="1"/>
  <c r="AD39" i="78"/>
  <c r="AC39" i="78"/>
  <c r="AB39" i="78"/>
  <c r="AA39" i="78"/>
  <c r="Z39" i="78"/>
  <c r="S39" i="78"/>
  <c r="E11" i="79" s="1"/>
  <c r="R39" i="78"/>
  <c r="Q39" i="78"/>
  <c r="AE38" i="78"/>
  <c r="AD38" i="78"/>
  <c r="AC38" i="78"/>
  <c r="AB38" i="78"/>
  <c r="AA38" i="78"/>
  <c r="Z38" i="78"/>
  <c r="S38" i="78"/>
  <c r="AE37" i="78"/>
  <c r="AD37" i="78"/>
  <c r="AC37" i="78"/>
  <c r="AB37" i="78"/>
  <c r="AA37" i="78"/>
  <c r="Z37" i="78"/>
  <c r="S37" i="78"/>
  <c r="AE36" i="78"/>
  <c r="G10" i="79" s="1"/>
  <c r="AD36" i="78"/>
  <c r="AC36" i="78"/>
  <c r="AB36" i="78"/>
  <c r="AA36" i="78"/>
  <c r="Z36" i="78"/>
  <c r="S36" i="78"/>
  <c r="E10" i="79" s="1"/>
  <c r="R36" i="78"/>
  <c r="Q36" i="78"/>
  <c r="AE35" i="78"/>
  <c r="AD35" i="78"/>
  <c r="AC35" i="78"/>
  <c r="AB35" i="78"/>
  <c r="AA35" i="78"/>
  <c r="Z35" i="78"/>
  <c r="S35" i="78"/>
  <c r="R35" i="78"/>
  <c r="Q35" i="78"/>
  <c r="AE34" i="78"/>
  <c r="AD34" i="78"/>
  <c r="AC34" i="78"/>
  <c r="AB34" i="78"/>
  <c r="AA34" i="78"/>
  <c r="Z34" i="78"/>
  <c r="S34" i="78"/>
  <c r="AE33" i="78"/>
  <c r="AD33" i="78"/>
  <c r="AC33" i="78"/>
  <c r="AB33" i="78"/>
  <c r="AA33" i="78"/>
  <c r="Z33" i="78"/>
  <c r="S33" i="78"/>
  <c r="AE32" i="78"/>
  <c r="AD32" i="78"/>
  <c r="AC32" i="78"/>
  <c r="AB32" i="78"/>
  <c r="AA32" i="78"/>
  <c r="Z32" i="78"/>
  <c r="S32" i="78"/>
  <c r="AE31" i="78"/>
  <c r="AD31" i="78"/>
  <c r="AC31" i="78"/>
  <c r="AB31" i="78"/>
  <c r="AA31" i="78"/>
  <c r="Z31" i="78"/>
  <c r="S31" i="78"/>
  <c r="AE30" i="78"/>
  <c r="AD30" i="78"/>
  <c r="AC30" i="78"/>
  <c r="AB30" i="78"/>
  <c r="AA30" i="78"/>
  <c r="Z30" i="78"/>
  <c r="S30" i="78"/>
  <c r="AE29" i="78"/>
  <c r="AD29" i="78"/>
  <c r="AC29" i="78"/>
  <c r="AB29" i="78"/>
  <c r="AA29" i="78"/>
  <c r="Z29" i="78"/>
  <c r="S29" i="78"/>
  <c r="AE28" i="78"/>
  <c r="AD28" i="78"/>
  <c r="AC28" i="78"/>
  <c r="AB28" i="78"/>
  <c r="AA28" i="78"/>
  <c r="Z28" i="78"/>
  <c r="S28" i="78"/>
  <c r="AE27" i="78"/>
  <c r="AD27" i="78"/>
  <c r="AC27" i="78"/>
  <c r="AB27" i="78"/>
  <c r="AA27" i="78"/>
  <c r="Z27" i="78"/>
  <c r="S27" i="78"/>
  <c r="AE26" i="78"/>
  <c r="AD26" i="78"/>
  <c r="AC26" i="78"/>
  <c r="AB26" i="78"/>
  <c r="AA26" i="78"/>
  <c r="Z26" i="78"/>
  <c r="S26" i="78"/>
  <c r="AE25" i="78"/>
  <c r="AD25" i="78"/>
  <c r="AC25" i="78"/>
  <c r="AB25" i="78"/>
  <c r="AA25" i="78"/>
  <c r="Z25" i="78"/>
  <c r="S25" i="78"/>
  <c r="AE24" i="78"/>
  <c r="AD24" i="78"/>
  <c r="AC24" i="78"/>
  <c r="AB24" i="78"/>
  <c r="AA24" i="78"/>
  <c r="Z24" i="78"/>
  <c r="S24" i="78"/>
  <c r="AE23" i="78"/>
  <c r="G9" i="79" s="1"/>
  <c r="AD23" i="78"/>
  <c r="AC23" i="78"/>
  <c r="AB23" i="78"/>
  <c r="AA23" i="78"/>
  <c r="Z23" i="78"/>
  <c r="S23" i="78"/>
  <c r="E9" i="79" s="1"/>
  <c r="R23" i="78"/>
  <c r="Q23" i="78"/>
  <c r="AE22" i="78"/>
  <c r="AD22" i="78"/>
  <c r="AC22" i="78"/>
  <c r="AB22" i="78"/>
  <c r="AA22" i="78"/>
  <c r="Z22" i="78"/>
  <c r="S22" i="78"/>
  <c r="AE21" i="78"/>
  <c r="G8" i="79" s="1"/>
  <c r="AD21" i="78"/>
  <c r="AC21" i="78"/>
  <c r="AB21" i="78"/>
  <c r="AA21" i="78"/>
  <c r="Z21" i="78"/>
  <c r="S21" i="78"/>
  <c r="X21" i="78" s="1"/>
  <c r="H8" i="79" s="1"/>
  <c r="R21" i="78"/>
  <c r="Q21" i="78"/>
  <c r="AE20" i="78"/>
  <c r="AD20" i="78"/>
  <c r="AC20" i="78"/>
  <c r="AB20" i="78"/>
  <c r="AA20" i="78"/>
  <c r="Z20" i="78"/>
  <c r="S20" i="78"/>
  <c r="AE19" i="78"/>
  <c r="G7" i="79" s="1"/>
  <c r="AD19" i="78"/>
  <c r="AC19" i="78"/>
  <c r="AB19" i="78"/>
  <c r="AA19" i="78"/>
  <c r="Z19" i="78"/>
  <c r="S19" i="78"/>
  <c r="X19" i="78" s="1"/>
  <c r="H7" i="79" s="1"/>
  <c r="R19" i="78"/>
  <c r="Q19" i="78"/>
  <c r="AE18" i="78"/>
  <c r="AD18" i="78"/>
  <c r="AC18" i="78"/>
  <c r="AB18" i="78"/>
  <c r="AA18" i="78"/>
  <c r="Z18" i="78"/>
  <c r="S18" i="78"/>
  <c r="R18" i="78"/>
  <c r="Q18" i="78"/>
  <c r="E18" i="78"/>
  <c r="AE17" i="78"/>
  <c r="AD17" i="78"/>
  <c r="AC17" i="78"/>
  <c r="AB17" i="78"/>
  <c r="AA17" i="78"/>
  <c r="Z17" i="78"/>
  <c r="S17" i="78"/>
  <c r="AE16" i="78"/>
  <c r="AD16" i="78"/>
  <c r="AC16" i="78"/>
  <c r="AB16" i="78"/>
  <c r="AA16" i="78"/>
  <c r="Z16" i="78"/>
  <c r="S16" i="78"/>
  <c r="AE15" i="78"/>
  <c r="AD15" i="78"/>
  <c r="AC15" i="78"/>
  <c r="AB15" i="78"/>
  <c r="AA15" i="78"/>
  <c r="Z15" i="78"/>
  <c r="S15" i="78"/>
  <c r="AE14" i="78"/>
  <c r="AD14" i="78"/>
  <c r="AC14" i="78"/>
  <c r="AB14" i="78"/>
  <c r="AA14" i="78"/>
  <c r="Z14" i="78"/>
  <c r="S14" i="78"/>
  <c r="AE13" i="78"/>
  <c r="G6" i="79" s="1"/>
  <c r="AD13" i="78"/>
  <c r="AC13" i="78"/>
  <c r="AB13" i="78"/>
  <c r="AA13" i="78"/>
  <c r="Z13" i="78"/>
  <c r="S13" i="78"/>
  <c r="X13" i="78" s="1"/>
  <c r="H6" i="79" s="1"/>
  <c r="R13" i="78"/>
  <c r="Q13" i="78"/>
  <c r="AE12" i="78"/>
  <c r="AD12" i="78"/>
  <c r="AC12" i="78"/>
  <c r="AB12" i="78"/>
  <c r="AA12" i="78"/>
  <c r="Z12" i="78"/>
  <c r="S12" i="78"/>
  <c r="AE11" i="78"/>
  <c r="G5" i="79" s="1"/>
  <c r="AD11" i="78"/>
  <c r="AC11" i="78"/>
  <c r="AB11" i="78"/>
  <c r="AA11" i="78"/>
  <c r="Z11" i="78"/>
  <c r="X11" i="78"/>
  <c r="S11" i="78"/>
  <c r="E5" i="79" s="1"/>
  <c r="R11" i="78"/>
  <c r="Q11" i="78"/>
  <c r="AE10" i="78"/>
  <c r="AD10" i="78"/>
  <c r="AC10" i="78"/>
  <c r="AB10" i="78"/>
  <c r="AA10" i="78"/>
  <c r="Z10" i="78"/>
  <c r="S10" i="78"/>
  <c r="AE9" i="78"/>
  <c r="AD9" i="78"/>
  <c r="AC9" i="78"/>
  <c r="AB9" i="78"/>
  <c r="AA9" i="78"/>
  <c r="Z9" i="78"/>
  <c r="S9" i="78"/>
  <c r="AE8" i="78"/>
  <c r="G4" i="79" s="1"/>
  <c r="AD8" i="78"/>
  <c r="AC8" i="78"/>
  <c r="AB8" i="78"/>
  <c r="AA8" i="78"/>
  <c r="Z8" i="78"/>
  <c r="X8" i="78"/>
  <c r="S8" i="78"/>
  <c r="E4" i="79" s="1"/>
  <c r="R8" i="78"/>
  <c r="Q8" i="78"/>
  <c r="AE7" i="78"/>
  <c r="AD7" i="78"/>
  <c r="AC7" i="78"/>
  <c r="AB7" i="78"/>
  <c r="AA7" i="78"/>
  <c r="Z7" i="78"/>
  <c r="S7" i="78"/>
  <c r="AE6" i="78"/>
  <c r="AD6" i="78"/>
  <c r="AC6" i="78"/>
  <c r="AB6" i="78"/>
  <c r="AA6" i="78"/>
  <c r="Z6" i="78"/>
  <c r="S6" i="78"/>
  <c r="AE5" i="78"/>
  <c r="G3" i="79" s="1"/>
  <c r="AD5" i="78"/>
  <c r="AC5" i="78"/>
  <c r="AB5" i="78"/>
  <c r="AA5" i="78"/>
  <c r="Z5" i="78"/>
  <c r="S5" i="78"/>
  <c r="E3" i="79" s="1"/>
  <c r="R5" i="78"/>
  <c r="Q5" i="78"/>
  <c r="AE4" i="78"/>
  <c r="AD4" i="78"/>
  <c r="AC4" i="78"/>
  <c r="AB4" i="78"/>
  <c r="AA4" i="78"/>
  <c r="Z4" i="78"/>
  <c r="S4" i="78"/>
  <c r="AE3" i="78"/>
  <c r="G2" i="79" s="1"/>
  <c r="AD3" i="78"/>
  <c r="AC3" i="78"/>
  <c r="AB3" i="78"/>
  <c r="AA3" i="78"/>
  <c r="E2" i="79" s="1"/>
  <c r="Z3" i="78"/>
  <c r="X3" i="78"/>
  <c r="S3" i="78"/>
  <c r="C6" i="91" l="1"/>
  <c r="L6" i="102"/>
  <c r="C10" i="91"/>
  <c r="L10" i="102"/>
  <c r="C9" i="91"/>
  <c r="C5" i="91"/>
  <c r="C8" i="91"/>
  <c r="L8" i="102"/>
  <c r="C7" i="91"/>
  <c r="L7" i="102"/>
  <c r="X23" i="78"/>
  <c r="H9" i="79" s="1"/>
  <c r="E7" i="79"/>
  <c r="E8" i="79"/>
  <c r="I8" i="79" s="1"/>
  <c r="L8" i="79" s="1"/>
  <c r="E28" i="79"/>
  <c r="X36" i="78"/>
  <c r="H10" i="79" s="1"/>
  <c r="E6" i="79"/>
  <c r="I20" i="79"/>
  <c r="L20" i="79" s="1"/>
  <c r="I24" i="79"/>
  <c r="L24" i="79" s="1"/>
  <c r="I5" i="79"/>
  <c r="L5" i="79" s="1"/>
  <c r="I14" i="79"/>
  <c r="L14" i="79" s="1"/>
  <c r="I19" i="79"/>
  <c r="L19" i="79" s="1"/>
  <c r="I23" i="79"/>
  <c r="L23" i="79" s="1"/>
  <c r="I33" i="79"/>
  <c r="L33" i="79" s="1"/>
  <c r="I38" i="79"/>
  <c r="L38" i="79" s="1"/>
  <c r="I4" i="79"/>
  <c r="L4" i="79" s="1"/>
  <c r="I13" i="79"/>
  <c r="L13" i="79" s="1"/>
  <c r="I18" i="79"/>
  <c r="L18" i="79" s="1"/>
  <c r="I22" i="79"/>
  <c r="L22" i="79" s="1"/>
  <c r="I27" i="79"/>
  <c r="L27" i="79" s="1"/>
  <c r="I32" i="79"/>
  <c r="L32" i="79" s="1"/>
  <c r="I37" i="79"/>
  <c r="L37" i="79" s="1"/>
  <c r="I2" i="79"/>
  <c r="L2" i="79" s="1"/>
  <c r="I3" i="79"/>
  <c r="L3" i="79" s="1"/>
  <c r="I12" i="79"/>
  <c r="L12" i="79" s="1"/>
  <c r="I16" i="79"/>
  <c r="L16" i="79" s="1"/>
  <c r="I17" i="79"/>
  <c r="L17" i="79" s="1"/>
  <c r="I21" i="79"/>
  <c r="L21" i="79" s="1"/>
  <c r="I26" i="79"/>
  <c r="L26" i="79" s="1"/>
  <c r="I31" i="79"/>
  <c r="L31" i="79" s="1"/>
  <c r="I36" i="79"/>
  <c r="L36" i="79" s="1"/>
  <c r="L5" i="102" l="1"/>
  <c r="C12" i="102"/>
  <c r="B15" i="102" s="1"/>
  <c r="M11" i="79"/>
  <c r="M2" i="79"/>
  <c r="M34" i="79"/>
  <c r="M29" i="79"/>
  <c r="I6" i="79"/>
  <c r="L6" i="79" s="1"/>
  <c r="M16" i="79"/>
  <c r="I28" i="79"/>
  <c r="L28" i="79" s="1"/>
  <c r="M24" i="79" s="1"/>
  <c r="I9" i="79"/>
  <c r="L9" i="79" s="1"/>
  <c r="I10" i="79"/>
  <c r="L10" i="79" s="1"/>
  <c r="I7" i="79"/>
  <c r="L7" i="79" s="1"/>
  <c r="H39" i="77"/>
  <c r="F39" i="77"/>
  <c r="E39" i="77"/>
  <c r="D39" i="77"/>
  <c r="H38" i="77"/>
  <c r="F38" i="77"/>
  <c r="E38" i="77"/>
  <c r="D38" i="77"/>
  <c r="H37" i="77"/>
  <c r="F37" i="77"/>
  <c r="E37" i="77"/>
  <c r="D37" i="77"/>
  <c r="H36" i="77"/>
  <c r="F36" i="77"/>
  <c r="E36" i="77"/>
  <c r="D36" i="77"/>
  <c r="H35" i="77"/>
  <c r="F35" i="77"/>
  <c r="E35" i="77"/>
  <c r="D35" i="77"/>
  <c r="H34" i="77"/>
  <c r="F34" i="77"/>
  <c r="E34" i="77"/>
  <c r="D34" i="77"/>
  <c r="H33" i="77"/>
  <c r="F33" i="77"/>
  <c r="E33" i="77"/>
  <c r="D33" i="77"/>
  <c r="H32" i="77"/>
  <c r="F32" i="77"/>
  <c r="E32" i="77"/>
  <c r="D32" i="77"/>
  <c r="H31" i="77"/>
  <c r="F31" i="77"/>
  <c r="E31" i="77"/>
  <c r="D31" i="77"/>
  <c r="H30" i="77"/>
  <c r="F30" i="77"/>
  <c r="E30" i="77"/>
  <c r="D30" i="77"/>
  <c r="H29" i="77"/>
  <c r="F29" i="77"/>
  <c r="E29" i="77"/>
  <c r="D29" i="77"/>
  <c r="H28" i="77"/>
  <c r="F28" i="77"/>
  <c r="E28" i="77"/>
  <c r="D28" i="77"/>
  <c r="H27" i="77"/>
  <c r="F27" i="77"/>
  <c r="E27" i="77"/>
  <c r="D27" i="77"/>
  <c r="H26" i="77"/>
  <c r="F26" i="77"/>
  <c r="E26" i="77"/>
  <c r="D26" i="77"/>
  <c r="H25" i="77"/>
  <c r="F25" i="77"/>
  <c r="E25" i="77"/>
  <c r="D25" i="77"/>
  <c r="H24" i="77"/>
  <c r="F24" i="77"/>
  <c r="E24" i="77"/>
  <c r="D24" i="77"/>
  <c r="H23" i="77"/>
  <c r="F23" i="77"/>
  <c r="E23" i="77"/>
  <c r="D23" i="77"/>
  <c r="H22" i="77"/>
  <c r="F22" i="77"/>
  <c r="E22" i="77"/>
  <c r="D22" i="77"/>
  <c r="H21" i="77"/>
  <c r="F21" i="77"/>
  <c r="E21" i="77"/>
  <c r="D21" i="77"/>
  <c r="H20" i="77"/>
  <c r="F20" i="77"/>
  <c r="E20" i="77"/>
  <c r="D20" i="77"/>
  <c r="H19" i="77"/>
  <c r="F19" i="77"/>
  <c r="E19" i="77"/>
  <c r="D19" i="77"/>
  <c r="H18" i="77"/>
  <c r="F18" i="77"/>
  <c r="E18" i="77"/>
  <c r="D18" i="77"/>
  <c r="H17" i="77"/>
  <c r="F17" i="77"/>
  <c r="E17" i="77"/>
  <c r="D17" i="77"/>
  <c r="H16" i="77"/>
  <c r="F16" i="77"/>
  <c r="E16" i="77"/>
  <c r="D16" i="77"/>
  <c r="H15" i="77"/>
  <c r="F15" i="77"/>
  <c r="E15" i="77"/>
  <c r="D15" i="77"/>
  <c r="H14" i="77"/>
  <c r="F14" i="77"/>
  <c r="E14" i="77"/>
  <c r="D14" i="77"/>
  <c r="H13" i="77"/>
  <c r="F13" i="77"/>
  <c r="E13" i="77"/>
  <c r="D13" i="77"/>
  <c r="H12" i="77"/>
  <c r="F12" i="77"/>
  <c r="E12" i="77"/>
  <c r="D12" i="77"/>
  <c r="H11" i="77"/>
  <c r="F11" i="77"/>
  <c r="E11" i="77"/>
  <c r="D11" i="77"/>
  <c r="H10" i="77"/>
  <c r="F10" i="77"/>
  <c r="E10" i="77"/>
  <c r="D10" i="77"/>
  <c r="H9" i="77"/>
  <c r="F9" i="77"/>
  <c r="E9" i="77"/>
  <c r="D9" i="77"/>
  <c r="H8" i="77"/>
  <c r="F8" i="77"/>
  <c r="E8" i="77"/>
  <c r="D8" i="77"/>
  <c r="H7" i="77"/>
  <c r="F7" i="77"/>
  <c r="E7" i="77"/>
  <c r="D7" i="77"/>
  <c r="H6" i="77"/>
  <c r="F6" i="77"/>
  <c r="E6" i="77"/>
  <c r="D6" i="77"/>
  <c r="H5" i="77"/>
  <c r="F5" i="77"/>
  <c r="E5" i="77"/>
  <c r="D5" i="77"/>
  <c r="H4" i="77"/>
  <c r="F4" i="77"/>
  <c r="E4" i="77"/>
  <c r="D4" i="77"/>
  <c r="H3" i="77"/>
  <c r="F3" i="77"/>
  <c r="E3" i="77"/>
  <c r="D3" i="77"/>
  <c r="H2" i="77"/>
  <c r="F2" i="77"/>
  <c r="E2" i="77"/>
  <c r="D2" i="77"/>
  <c r="L11" i="77"/>
  <c r="AB113" i="76"/>
  <c r="G39" i="77" s="1"/>
  <c r="I39" i="77" s="1"/>
  <c r="L39" i="77" s="1"/>
  <c r="AA113" i="76"/>
  <c r="Z113" i="76"/>
  <c r="Y113" i="76"/>
  <c r="AB112" i="76"/>
  <c r="G38" i="77" s="1"/>
  <c r="AA112" i="76"/>
  <c r="Z112" i="76"/>
  <c r="Y112" i="76"/>
  <c r="Q112" i="76"/>
  <c r="P112" i="76"/>
  <c r="AB111" i="76"/>
  <c r="AA111" i="76"/>
  <c r="Z111" i="76"/>
  <c r="Y111" i="76"/>
  <c r="AB110" i="76"/>
  <c r="G37" i="77" s="1"/>
  <c r="AA110" i="76"/>
  <c r="Z110" i="76"/>
  <c r="Y110" i="76"/>
  <c r="AB109" i="76"/>
  <c r="AA109" i="76"/>
  <c r="Z109" i="76"/>
  <c r="Y109" i="76"/>
  <c r="AB108" i="76"/>
  <c r="G36" i="77" s="1"/>
  <c r="AA108" i="76"/>
  <c r="Z108" i="76"/>
  <c r="Y108" i="76"/>
  <c r="X108" i="76"/>
  <c r="Q108" i="76"/>
  <c r="P108" i="76"/>
  <c r="AB107" i="76"/>
  <c r="AA107" i="76"/>
  <c r="Z107" i="76"/>
  <c r="Y107" i="76"/>
  <c r="AB106" i="76"/>
  <c r="AA106" i="76"/>
  <c r="Z106" i="76"/>
  <c r="Y106" i="76"/>
  <c r="AB105" i="76"/>
  <c r="G35" i="77" s="1"/>
  <c r="AA105" i="76"/>
  <c r="Z105" i="76"/>
  <c r="Y105" i="76"/>
  <c r="X105" i="76"/>
  <c r="Q105" i="76"/>
  <c r="P105" i="76"/>
  <c r="AB104" i="76"/>
  <c r="AA104" i="76"/>
  <c r="Z104" i="76"/>
  <c r="Y104" i="76"/>
  <c r="AB103" i="76"/>
  <c r="G34" i="77" s="1"/>
  <c r="I34" i="77" s="1"/>
  <c r="L34" i="77" s="1"/>
  <c r="AA103" i="76"/>
  <c r="Z103" i="76"/>
  <c r="Y103" i="76"/>
  <c r="X103" i="76"/>
  <c r="Q103" i="76"/>
  <c r="P103" i="76"/>
  <c r="AB102" i="76"/>
  <c r="AA102" i="76"/>
  <c r="Z102" i="76"/>
  <c r="Y102" i="76"/>
  <c r="AB101" i="76"/>
  <c r="AA101" i="76"/>
  <c r="Z101" i="76"/>
  <c r="Y101" i="76"/>
  <c r="AB100" i="76"/>
  <c r="G33" i="77" s="1"/>
  <c r="AA100" i="76"/>
  <c r="Z100" i="76"/>
  <c r="Y100" i="76"/>
  <c r="X100" i="76"/>
  <c r="AB99" i="76"/>
  <c r="AA99" i="76"/>
  <c r="Z99" i="76"/>
  <c r="Y99" i="76"/>
  <c r="AB98" i="76"/>
  <c r="AA98" i="76"/>
  <c r="Z98" i="76"/>
  <c r="Y98" i="76"/>
  <c r="AB97" i="76"/>
  <c r="AA97" i="76"/>
  <c r="Z97" i="76"/>
  <c r="Y97" i="76"/>
  <c r="AB96" i="76"/>
  <c r="AA96" i="76"/>
  <c r="Z96" i="76"/>
  <c r="Y96" i="76"/>
  <c r="AB95" i="76"/>
  <c r="AA95" i="76"/>
  <c r="Z95" i="76"/>
  <c r="Y95" i="76"/>
  <c r="AB94" i="76"/>
  <c r="AA94" i="76"/>
  <c r="Z94" i="76"/>
  <c r="Y94" i="76"/>
  <c r="AB93" i="76"/>
  <c r="G32" i="77" s="1"/>
  <c r="AA93" i="76"/>
  <c r="Z93" i="76"/>
  <c r="Y93" i="76"/>
  <c r="AB92" i="76"/>
  <c r="G31" i="77" s="1"/>
  <c r="AA92" i="76"/>
  <c r="Z92" i="76"/>
  <c r="Y92" i="76"/>
  <c r="AB91" i="76"/>
  <c r="G30" i="77" s="1"/>
  <c r="I30" i="77" s="1"/>
  <c r="L30" i="77" s="1"/>
  <c r="AA91" i="76"/>
  <c r="Z91" i="76"/>
  <c r="Y91" i="76"/>
  <c r="AB90" i="76"/>
  <c r="G29" i="77" s="1"/>
  <c r="I29" i="77" s="1"/>
  <c r="L29" i="77" s="1"/>
  <c r="AA90" i="76"/>
  <c r="Z90" i="76"/>
  <c r="Y90" i="76"/>
  <c r="AB89" i="76"/>
  <c r="G28" i="77" s="1"/>
  <c r="AA89" i="76"/>
  <c r="Z89" i="76"/>
  <c r="Y89" i="76"/>
  <c r="X89" i="76"/>
  <c r="Q89" i="76"/>
  <c r="P89" i="76"/>
  <c r="AB88" i="76"/>
  <c r="AA88" i="76"/>
  <c r="Z88" i="76"/>
  <c r="Y88" i="76"/>
  <c r="AB87" i="76"/>
  <c r="AA87" i="76"/>
  <c r="Z87" i="76"/>
  <c r="Y87" i="76"/>
  <c r="AB86" i="76"/>
  <c r="AA86" i="76"/>
  <c r="Z86" i="76"/>
  <c r="Y86" i="76"/>
  <c r="AB85" i="76"/>
  <c r="AA85" i="76"/>
  <c r="Z85" i="76"/>
  <c r="Y85" i="76"/>
  <c r="AB84" i="76"/>
  <c r="AA84" i="76"/>
  <c r="Z84" i="76"/>
  <c r="Y84" i="76"/>
  <c r="AB83" i="76"/>
  <c r="G27" i="77" s="1"/>
  <c r="AA83" i="76"/>
  <c r="Z83" i="76"/>
  <c r="Y83" i="76"/>
  <c r="X83" i="76"/>
  <c r="Q83" i="76"/>
  <c r="P83" i="76"/>
  <c r="AB82" i="76"/>
  <c r="AA82" i="76"/>
  <c r="Z82" i="76"/>
  <c r="Y82" i="76"/>
  <c r="AB81" i="76"/>
  <c r="AA81" i="76"/>
  <c r="Z81" i="76"/>
  <c r="Y81" i="76"/>
  <c r="AB80" i="76"/>
  <c r="G26" i="77" s="1"/>
  <c r="AA80" i="76"/>
  <c r="Z80" i="76"/>
  <c r="Y80" i="76"/>
  <c r="X80" i="76"/>
  <c r="Q80" i="76"/>
  <c r="P80" i="76"/>
  <c r="AB79" i="76"/>
  <c r="AA79" i="76"/>
  <c r="Z79" i="76"/>
  <c r="Y79" i="76"/>
  <c r="AB78" i="76"/>
  <c r="AA78" i="76"/>
  <c r="Z78" i="76"/>
  <c r="Y78" i="76"/>
  <c r="AB77" i="76"/>
  <c r="G25" i="77" s="1"/>
  <c r="AA77" i="76"/>
  <c r="Z77" i="76"/>
  <c r="Y77" i="76"/>
  <c r="X77" i="76"/>
  <c r="AB76" i="76"/>
  <c r="AA76" i="76"/>
  <c r="Z76" i="76"/>
  <c r="Y76" i="76"/>
  <c r="AB75" i="76"/>
  <c r="AA75" i="76"/>
  <c r="Z75" i="76"/>
  <c r="Y75" i="76"/>
  <c r="AB74" i="76"/>
  <c r="AA74" i="76"/>
  <c r="Z74" i="76"/>
  <c r="Y74" i="76"/>
  <c r="AB73" i="76"/>
  <c r="G24" i="77" s="1"/>
  <c r="I24" i="77" s="1"/>
  <c r="L24" i="77" s="1"/>
  <c r="AA73" i="76"/>
  <c r="Z73" i="76"/>
  <c r="Y73" i="76"/>
  <c r="AB72" i="76"/>
  <c r="G23" i="77" s="1"/>
  <c r="I23" i="77" s="1"/>
  <c r="L23" i="77" s="1"/>
  <c r="AA72" i="76"/>
  <c r="Z72" i="76"/>
  <c r="Y72" i="76"/>
  <c r="X72" i="76"/>
  <c r="Q72" i="76"/>
  <c r="P72" i="76"/>
  <c r="AB71" i="76"/>
  <c r="AA71" i="76"/>
  <c r="Z71" i="76"/>
  <c r="Y71" i="76"/>
  <c r="AB70" i="76"/>
  <c r="AA70" i="76"/>
  <c r="Z70" i="76"/>
  <c r="Y70" i="76"/>
  <c r="AB69" i="76"/>
  <c r="AA69" i="76"/>
  <c r="Z69" i="76"/>
  <c r="Y69" i="76"/>
  <c r="AB68" i="76"/>
  <c r="G22" i="77" s="1"/>
  <c r="AA68" i="76"/>
  <c r="Z68" i="76"/>
  <c r="Y68" i="76"/>
  <c r="X68" i="76"/>
  <c r="Q68" i="76"/>
  <c r="P68" i="76"/>
  <c r="AB67" i="76"/>
  <c r="AA67" i="76"/>
  <c r="Z67" i="76"/>
  <c r="Y67" i="76"/>
  <c r="AB66" i="76"/>
  <c r="AA66" i="76"/>
  <c r="Z66" i="76"/>
  <c r="Y66" i="76"/>
  <c r="AB65" i="76"/>
  <c r="G21" i="77" s="1"/>
  <c r="AA65" i="76"/>
  <c r="Z65" i="76"/>
  <c r="Y65" i="76"/>
  <c r="X65" i="76"/>
  <c r="Q65" i="76"/>
  <c r="P65" i="76"/>
  <c r="AB64" i="76"/>
  <c r="AA64" i="76"/>
  <c r="Z64" i="76"/>
  <c r="Y64" i="76"/>
  <c r="AB63" i="76"/>
  <c r="AA63" i="76"/>
  <c r="Z63" i="76"/>
  <c r="Y63" i="76"/>
  <c r="AB62" i="76"/>
  <c r="G20" i="77" s="1"/>
  <c r="I20" i="77" s="1"/>
  <c r="L20" i="77" s="1"/>
  <c r="AA62" i="76"/>
  <c r="Z62" i="76"/>
  <c r="Y62" i="76"/>
  <c r="X62" i="76"/>
  <c r="Q62" i="76"/>
  <c r="P62" i="76"/>
  <c r="AB61" i="76"/>
  <c r="AA61" i="76"/>
  <c r="Z61" i="76"/>
  <c r="Y61" i="76"/>
  <c r="AB60" i="76"/>
  <c r="G19" i="77" s="1"/>
  <c r="I19" i="77" s="1"/>
  <c r="L19" i="77" s="1"/>
  <c r="AA60" i="76"/>
  <c r="Z60" i="76"/>
  <c r="Y60" i="76"/>
  <c r="X60" i="76"/>
  <c r="Q60" i="76"/>
  <c r="P60" i="76"/>
  <c r="AB59" i="76"/>
  <c r="AA59" i="76"/>
  <c r="Z59" i="76"/>
  <c r="Y59" i="76"/>
  <c r="AB58" i="76"/>
  <c r="AA58" i="76"/>
  <c r="Z58" i="76"/>
  <c r="Y58" i="76"/>
  <c r="AB57" i="76"/>
  <c r="G18" i="77" s="1"/>
  <c r="AA57" i="76"/>
  <c r="Z57" i="76"/>
  <c r="Y57" i="76"/>
  <c r="X57" i="76"/>
  <c r="Q57" i="76"/>
  <c r="P57" i="76"/>
  <c r="AB56" i="76"/>
  <c r="AA56" i="76"/>
  <c r="Z56" i="76"/>
  <c r="Y56" i="76"/>
  <c r="AB55" i="76"/>
  <c r="AA55" i="76"/>
  <c r="Z55" i="76"/>
  <c r="Y55" i="76"/>
  <c r="AB54" i="76"/>
  <c r="G17" i="77" s="1"/>
  <c r="AA54" i="76"/>
  <c r="Z54" i="76"/>
  <c r="Y54" i="76"/>
  <c r="AB53" i="76"/>
  <c r="G16" i="77" s="1"/>
  <c r="AA53" i="76"/>
  <c r="Z53" i="76"/>
  <c r="Y53" i="76"/>
  <c r="X53" i="76"/>
  <c r="Q53" i="76"/>
  <c r="P53" i="76"/>
  <c r="AB52" i="76"/>
  <c r="AA52" i="76"/>
  <c r="Z52" i="76"/>
  <c r="Y52" i="76"/>
  <c r="AB51" i="76"/>
  <c r="AA51" i="76"/>
  <c r="Z51" i="76"/>
  <c r="Y51" i="76"/>
  <c r="AB50" i="76"/>
  <c r="AA50" i="76"/>
  <c r="Z50" i="76"/>
  <c r="Y50" i="76"/>
  <c r="AB49" i="76"/>
  <c r="G15" i="77" s="1"/>
  <c r="I15" i="77" s="1"/>
  <c r="L15" i="77" s="1"/>
  <c r="AA49" i="76"/>
  <c r="Z49" i="76"/>
  <c r="Y49" i="76"/>
  <c r="X49" i="76"/>
  <c r="T49" i="76"/>
  <c r="U49" i="76" s="1"/>
  <c r="V49" i="76" s="1"/>
  <c r="W49" i="76" s="1"/>
  <c r="S49" i="76"/>
  <c r="Q49" i="76"/>
  <c r="P49" i="76"/>
  <c r="AB48" i="76"/>
  <c r="AA48" i="76"/>
  <c r="Z48" i="76"/>
  <c r="Y48" i="76"/>
  <c r="AB47" i="76"/>
  <c r="AA47" i="76"/>
  <c r="Z47" i="76"/>
  <c r="Y47" i="76"/>
  <c r="AB46" i="76"/>
  <c r="AA46" i="76"/>
  <c r="Z46" i="76"/>
  <c r="Y46" i="76"/>
  <c r="AB45" i="76"/>
  <c r="AA45" i="76"/>
  <c r="Z45" i="76"/>
  <c r="Y45" i="76"/>
  <c r="AB44" i="76"/>
  <c r="G14" i="77" s="1"/>
  <c r="AA44" i="76"/>
  <c r="Z44" i="76"/>
  <c r="Y44" i="76"/>
  <c r="S44" i="76"/>
  <c r="T44" i="76" s="1"/>
  <c r="U44" i="76" s="1"/>
  <c r="V44" i="76" s="1"/>
  <c r="W44" i="76" s="1"/>
  <c r="AB43" i="76"/>
  <c r="G13" i="77" s="1"/>
  <c r="AA43" i="76"/>
  <c r="Z43" i="76"/>
  <c r="Y43" i="76"/>
  <c r="AB42" i="76"/>
  <c r="G12" i="77" s="1"/>
  <c r="AA42" i="76"/>
  <c r="Z42" i="76"/>
  <c r="Y42" i="76"/>
  <c r="W42" i="76"/>
  <c r="AB41" i="76"/>
  <c r="AA41" i="76"/>
  <c r="Z41" i="76"/>
  <c r="Y41" i="76"/>
  <c r="AB40" i="76"/>
  <c r="AA40" i="76"/>
  <c r="Z40" i="76"/>
  <c r="Y40" i="76"/>
  <c r="AB39" i="76"/>
  <c r="G11" i="77" s="1"/>
  <c r="AA39" i="76"/>
  <c r="Z39" i="76"/>
  <c r="Y39" i="76"/>
  <c r="X39" i="76"/>
  <c r="Q39" i="76"/>
  <c r="P39" i="76"/>
  <c r="AB38" i="76"/>
  <c r="AA38" i="76"/>
  <c r="Z38" i="76"/>
  <c r="Y38" i="76"/>
  <c r="AB37" i="76"/>
  <c r="AA37" i="76"/>
  <c r="Z37" i="76"/>
  <c r="Y37" i="76"/>
  <c r="AB36" i="76"/>
  <c r="G10" i="77" s="1"/>
  <c r="AA36" i="76"/>
  <c r="Z36" i="76"/>
  <c r="Y36" i="76"/>
  <c r="X36" i="76"/>
  <c r="W36" i="76"/>
  <c r="Q36" i="76"/>
  <c r="P36" i="76"/>
  <c r="AB35" i="76"/>
  <c r="X35" i="76"/>
  <c r="Q35" i="76"/>
  <c r="P35" i="76"/>
  <c r="AB34" i="76"/>
  <c r="AA34" i="76"/>
  <c r="Z34" i="76"/>
  <c r="Y34" i="76"/>
  <c r="AB33" i="76"/>
  <c r="AA33" i="76"/>
  <c r="Z33" i="76"/>
  <c r="Y33" i="76"/>
  <c r="AB32" i="76"/>
  <c r="AA32" i="76"/>
  <c r="Z32" i="76"/>
  <c r="Y32" i="76"/>
  <c r="AB31" i="76"/>
  <c r="AA31" i="76"/>
  <c r="Z31" i="76"/>
  <c r="Y31" i="76"/>
  <c r="AB30" i="76"/>
  <c r="AA30" i="76"/>
  <c r="Z30" i="76"/>
  <c r="Y30" i="76"/>
  <c r="AB29" i="76"/>
  <c r="AA29" i="76"/>
  <c r="Z29" i="76"/>
  <c r="Y29" i="76"/>
  <c r="AB28" i="76"/>
  <c r="AA28" i="76"/>
  <c r="Z28" i="76"/>
  <c r="Y28" i="76"/>
  <c r="AB27" i="76"/>
  <c r="AA27" i="76"/>
  <c r="Z27" i="76"/>
  <c r="Y27" i="76"/>
  <c r="AB26" i="76"/>
  <c r="AA26" i="76"/>
  <c r="Z26" i="76"/>
  <c r="Y26" i="76"/>
  <c r="AB25" i="76"/>
  <c r="AA25" i="76"/>
  <c r="Z25" i="76"/>
  <c r="Y25" i="76"/>
  <c r="AB24" i="76"/>
  <c r="AA24" i="76"/>
  <c r="Z24" i="76"/>
  <c r="Y24" i="76"/>
  <c r="AB23" i="76"/>
  <c r="G9" i="77" s="1"/>
  <c r="AA23" i="76"/>
  <c r="Z23" i="76"/>
  <c r="Y23" i="76"/>
  <c r="X23" i="76"/>
  <c r="Q23" i="76"/>
  <c r="P23" i="76"/>
  <c r="AB22" i="76"/>
  <c r="AA22" i="76"/>
  <c r="Z22" i="76"/>
  <c r="Y22" i="76"/>
  <c r="AB21" i="76"/>
  <c r="G8" i="77" s="1"/>
  <c r="AA21" i="76"/>
  <c r="Z21" i="76"/>
  <c r="Y21" i="76"/>
  <c r="X21" i="76"/>
  <c r="W21" i="76"/>
  <c r="Q21" i="76"/>
  <c r="P21" i="76"/>
  <c r="AB20" i="76"/>
  <c r="AA20" i="76"/>
  <c r="Z20" i="76"/>
  <c r="Y20" i="76"/>
  <c r="AB19" i="76"/>
  <c r="G7" i="77" s="1"/>
  <c r="I7" i="77" s="1"/>
  <c r="L7" i="77" s="1"/>
  <c r="AA19" i="76"/>
  <c r="Z19" i="76"/>
  <c r="Y19" i="76"/>
  <c r="X19" i="76"/>
  <c r="W19" i="76"/>
  <c r="Q19" i="76"/>
  <c r="P19" i="76"/>
  <c r="AB18" i="76"/>
  <c r="X18" i="76"/>
  <c r="Q18" i="76"/>
  <c r="P18" i="76"/>
  <c r="E18" i="76"/>
  <c r="AB17" i="76"/>
  <c r="AA17" i="76"/>
  <c r="Z17" i="76"/>
  <c r="Y17" i="76"/>
  <c r="AB16" i="76"/>
  <c r="AA16" i="76"/>
  <c r="Z16" i="76"/>
  <c r="Y16" i="76"/>
  <c r="AB15" i="76"/>
  <c r="AA15" i="76"/>
  <c r="Z15" i="76"/>
  <c r="Y15" i="76"/>
  <c r="AB14" i="76"/>
  <c r="AA14" i="76"/>
  <c r="AA18" i="76" s="1"/>
  <c r="Z14" i="76"/>
  <c r="Y14" i="76"/>
  <c r="AB13" i="76"/>
  <c r="G6" i="77" s="1"/>
  <c r="AA13" i="76"/>
  <c r="Z13" i="76"/>
  <c r="Y13" i="76"/>
  <c r="X13" i="76"/>
  <c r="W13" i="76"/>
  <c r="Q13" i="76"/>
  <c r="P13" i="76"/>
  <c r="AB12" i="76"/>
  <c r="AA12" i="76"/>
  <c r="Z12" i="76"/>
  <c r="Y12" i="76"/>
  <c r="AB11" i="76"/>
  <c r="G5" i="77" s="1"/>
  <c r="AA11" i="76"/>
  <c r="Z11" i="76"/>
  <c r="Y11" i="76"/>
  <c r="X11" i="76"/>
  <c r="W11" i="76"/>
  <c r="Q11" i="76"/>
  <c r="P11" i="76"/>
  <c r="AB10" i="76"/>
  <c r="AA10" i="76"/>
  <c r="Z10" i="76"/>
  <c r="Y10" i="76"/>
  <c r="AB9" i="76"/>
  <c r="AA9" i="76"/>
  <c r="Z9" i="76"/>
  <c r="Y9" i="76"/>
  <c r="AB8" i="76"/>
  <c r="G4" i="77" s="1"/>
  <c r="AA8" i="76"/>
  <c r="Z8" i="76"/>
  <c r="Y8" i="76"/>
  <c r="X8" i="76"/>
  <c r="Q8" i="76"/>
  <c r="P8" i="76"/>
  <c r="AB7" i="76"/>
  <c r="AA7" i="76"/>
  <c r="Z7" i="76"/>
  <c r="Y7" i="76"/>
  <c r="AB6" i="76"/>
  <c r="AA6" i="76"/>
  <c r="Z6" i="76"/>
  <c r="Y6" i="76"/>
  <c r="AB5" i="76"/>
  <c r="G3" i="77" s="1"/>
  <c r="AA5" i="76"/>
  <c r="Z5" i="76"/>
  <c r="Y5" i="76"/>
  <c r="X5" i="76"/>
  <c r="Q5" i="76"/>
  <c r="P5" i="76"/>
  <c r="AB4" i="76"/>
  <c r="AA4" i="76"/>
  <c r="Z4" i="76"/>
  <c r="Y4" i="76"/>
  <c r="AB3" i="76"/>
  <c r="G2" i="77" s="1"/>
  <c r="AA3" i="76"/>
  <c r="Z3" i="76"/>
  <c r="Y3" i="76"/>
  <c r="AA35" i="76" l="1"/>
  <c r="Y18" i="76"/>
  <c r="Z35" i="76"/>
  <c r="Z18" i="76"/>
  <c r="M5" i="79"/>
  <c r="K12" i="91" s="1"/>
  <c r="Y35" i="76"/>
  <c r="I38" i="77"/>
  <c r="L38" i="77" s="1"/>
  <c r="I35" i="77"/>
  <c r="L35" i="77" s="1"/>
  <c r="I5" i="77"/>
  <c r="L5" i="77" s="1"/>
  <c r="I28" i="77"/>
  <c r="L28" i="77" s="1"/>
  <c r="I33" i="77"/>
  <c r="L33" i="77" s="1"/>
  <c r="I6" i="77"/>
  <c r="L6" i="77" s="1"/>
  <c r="I22" i="77"/>
  <c r="L22" i="77" s="1"/>
  <c r="I27" i="77"/>
  <c r="L27" i="77" s="1"/>
  <c r="I32" i="77"/>
  <c r="L32" i="77" s="1"/>
  <c r="I37" i="77"/>
  <c r="L37" i="77" s="1"/>
  <c r="I25" i="77"/>
  <c r="L25" i="77" s="1"/>
  <c r="I10" i="77"/>
  <c r="L10" i="77" s="1"/>
  <c r="I14" i="77"/>
  <c r="L14" i="77" s="1"/>
  <c r="I4" i="77"/>
  <c r="L4" i="77" s="1"/>
  <c r="I9" i="77"/>
  <c r="L9" i="77" s="1"/>
  <c r="I13" i="77"/>
  <c r="L13" i="77" s="1"/>
  <c r="I18" i="77"/>
  <c r="L18" i="77" s="1"/>
  <c r="I2" i="77"/>
  <c r="L2" i="77" s="1"/>
  <c r="I3" i="77"/>
  <c r="L3" i="77" s="1"/>
  <c r="I8" i="77"/>
  <c r="L8" i="77" s="1"/>
  <c r="I12" i="77"/>
  <c r="L12" i="77" s="1"/>
  <c r="I16" i="77"/>
  <c r="L16" i="77" s="1"/>
  <c r="I17" i="77"/>
  <c r="L17" i="77" s="1"/>
  <c r="I21" i="77"/>
  <c r="L21" i="77" s="1"/>
  <c r="I26" i="77"/>
  <c r="L26" i="77" s="1"/>
  <c r="I31" i="77"/>
  <c r="L31" i="77" s="1"/>
  <c r="I36" i="77"/>
  <c r="L36" i="77" s="1"/>
  <c r="M29" i="77" l="1"/>
  <c r="M24" i="77"/>
  <c r="M34" i="77"/>
  <c r="M11" i="77"/>
  <c r="M16" i="77"/>
  <c r="M2" i="77"/>
  <c r="M5" i="77"/>
  <c r="H31" i="75"/>
  <c r="F31" i="75"/>
  <c r="E31" i="75"/>
  <c r="D31" i="75"/>
  <c r="H30" i="75"/>
  <c r="F30" i="75"/>
  <c r="E30" i="75"/>
  <c r="D30" i="75"/>
  <c r="H29" i="75"/>
  <c r="F29" i="75"/>
  <c r="E29" i="75"/>
  <c r="D29" i="75"/>
  <c r="H28" i="75"/>
  <c r="F28" i="75"/>
  <c r="E28" i="75"/>
  <c r="D28" i="75"/>
  <c r="H27" i="75"/>
  <c r="F27" i="75"/>
  <c r="E27" i="75"/>
  <c r="D27" i="75"/>
  <c r="H26" i="75"/>
  <c r="F26" i="75"/>
  <c r="E26" i="75"/>
  <c r="D26" i="75"/>
  <c r="H25" i="75"/>
  <c r="F25" i="75"/>
  <c r="E25" i="75"/>
  <c r="D25" i="75"/>
  <c r="H24" i="75"/>
  <c r="F24" i="75"/>
  <c r="E24" i="75"/>
  <c r="D24" i="75"/>
  <c r="H23" i="75"/>
  <c r="F23" i="75"/>
  <c r="E23" i="75"/>
  <c r="D23" i="75"/>
  <c r="H22" i="75"/>
  <c r="F22" i="75"/>
  <c r="E22" i="75"/>
  <c r="D22" i="75"/>
  <c r="H21" i="75"/>
  <c r="F21" i="75"/>
  <c r="E21" i="75"/>
  <c r="D21" i="75"/>
  <c r="H20" i="75"/>
  <c r="F20" i="75"/>
  <c r="E20" i="75"/>
  <c r="D20" i="75"/>
  <c r="H19" i="75"/>
  <c r="F19" i="75"/>
  <c r="E19" i="75"/>
  <c r="D19" i="75"/>
  <c r="H18" i="75"/>
  <c r="F18" i="75"/>
  <c r="E18" i="75"/>
  <c r="D18" i="75"/>
  <c r="H17" i="75"/>
  <c r="F17" i="75"/>
  <c r="E17" i="75"/>
  <c r="D17" i="75"/>
  <c r="H16" i="75"/>
  <c r="F16" i="75"/>
  <c r="E16" i="75"/>
  <c r="D16" i="75"/>
  <c r="H15" i="75"/>
  <c r="F15" i="75"/>
  <c r="E15" i="75"/>
  <c r="D15" i="75"/>
  <c r="H14" i="75"/>
  <c r="F14" i="75"/>
  <c r="E14" i="75"/>
  <c r="D14" i="75"/>
  <c r="H13" i="75"/>
  <c r="F13" i="75"/>
  <c r="E13" i="75"/>
  <c r="D13" i="75"/>
  <c r="H12" i="75"/>
  <c r="F12" i="75"/>
  <c r="E12" i="75"/>
  <c r="D12" i="75"/>
  <c r="H11" i="75"/>
  <c r="F11" i="75"/>
  <c r="E11" i="75"/>
  <c r="D11" i="75"/>
  <c r="H10" i="75"/>
  <c r="F10" i="75"/>
  <c r="E10" i="75"/>
  <c r="D10" i="75"/>
  <c r="H9" i="75"/>
  <c r="F9" i="75"/>
  <c r="E9" i="75"/>
  <c r="D9" i="75"/>
  <c r="H8" i="75"/>
  <c r="F8" i="75"/>
  <c r="E8" i="75"/>
  <c r="D8" i="75"/>
  <c r="H7" i="75"/>
  <c r="F7" i="75"/>
  <c r="E7" i="75"/>
  <c r="D7" i="75"/>
  <c r="H6" i="75"/>
  <c r="F6" i="75"/>
  <c r="E6" i="75"/>
  <c r="D6" i="75"/>
  <c r="H5" i="75"/>
  <c r="F5" i="75"/>
  <c r="E5" i="75"/>
  <c r="D5" i="75"/>
  <c r="H4" i="75"/>
  <c r="F4" i="75"/>
  <c r="E4" i="75"/>
  <c r="D4" i="75"/>
  <c r="H3" i="75"/>
  <c r="F3" i="75"/>
  <c r="E3" i="75"/>
  <c r="D3" i="75"/>
  <c r="H2" i="75"/>
  <c r="F2" i="75"/>
  <c r="D2" i="75"/>
  <c r="I11" i="75"/>
  <c r="L11" i="75" s="1"/>
  <c r="AA113" i="74"/>
  <c r="Z113" i="74"/>
  <c r="Y113" i="74"/>
  <c r="AA112" i="74"/>
  <c r="Z112" i="74"/>
  <c r="Y112" i="74"/>
  <c r="Q112" i="74"/>
  <c r="P112" i="74"/>
  <c r="AA111" i="74"/>
  <c r="Z111" i="74"/>
  <c r="Y111" i="74"/>
  <c r="AA110" i="74"/>
  <c r="Z110" i="74"/>
  <c r="Y110" i="74"/>
  <c r="AA109" i="74"/>
  <c r="Z109" i="74"/>
  <c r="Y109" i="74"/>
  <c r="AA108" i="74"/>
  <c r="Z108" i="74"/>
  <c r="Y108" i="74"/>
  <c r="X108" i="74"/>
  <c r="Q108" i="74"/>
  <c r="P108" i="74"/>
  <c r="AA107" i="74"/>
  <c r="Z107" i="74"/>
  <c r="Y107" i="74"/>
  <c r="AA106" i="74"/>
  <c r="Z106" i="74"/>
  <c r="Y106" i="74"/>
  <c r="AA105" i="74"/>
  <c r="Z105" i="74"/>
  <c r="Y105" i="74"/>
  <c r="X105" i="74"/>
  <c r="Q105" i="74"/>
  <c r="P105" i="74"/>
  <c r="AA104" i="74"/>
  <c r="Z104" i="74"/>
  <c r="Y104" i="74"/>
  <c r="AA103" i="74"/>
  <c r="Z103" i="74"/>
  <c r="Y103" i="74"/>
  <c r="X103" i="74"/>
  <c r="Q103" i="74"/>
  <c r="P103" i="74"/>
  <c r="AA102" i="74"/>
  <c r="Z102" i="74"/>
  <c r="Y102" i="74"/>
  <c r="AA101" i="74"/>
  <c r="Z101" i="74"/>
  <c r="Y101" i="74"/>
  <c r="AA100" i="74"/>
  <c r="Z100" i="74"/>
  <c r="Y100" i="74"/>
  <c r="X100" i="74"/>
  <c r="AA99" i="74"/>
  <c r="Z99" i="74"/>
  <c r="Y99" i="74"/>
  <c r="AA98" i="74"/>
  <c r="Z98" i="74"/>
  <c r="Y98" i="74"/>
  <c r="AA97" i="74"/>
  <c r="Z97" i="74"/>
  <c r="Y97" i="74"/>
  <c r="AA96" i="74"/>
  <c r="Z96" i="74"/>
  <c r="Y96" i="74"/>
  <c r="AA95" i="74"/>
  <c r="Z95" i="74"/>
  <c r="Y95" i="74"/>
  <c r="AA94" i="74"/>
  <c r="Z94" i="74"/>
  <c r="Y94" i="74"/>
  <c r="AA93" i="74"/>
  <c r="G31" i="75" s="1"/>
  <c r="Z93" i="74"/>
  <c r="Y93" i="74"/>
  <c r="AA92" i="74"/>
  <c r="G30" i="75" s="1"/>
  <c r="Z92" i="74"/>
  <c r="Y92" i="74"/>
  <c r="AA91" i="74"/>
  <c r="G29" i="75" s="1"/>
  <c r="Z91" i="74"/>
  <c r="Y91" i="74"/>
  <c r="AA90" i="74"/>
  <c r="G28" i="75" s="1"/>
  <c r="Z90" i="74"/>
  <c r="Y90" i="74"/>
  <c r="AA89" i="74"/>
  <c r="G27" i="75" s="1"/>
  <c r="Z89" i="74"/>
  <c r="Y89" i="74"/>
  <c r="X89" i="74"/>
  <c r="Q89" i="74"/>
  <c r="P89" i="74"/>
  <c r="AA88" i="74"/>
  <c r="Z88" i="74"/>
  <c r="Y88" i="74"/>
  <c r="AA87" i="74"/>
  <c r="Z87" i="74"/>
  <c r="Y87" i="74"/>
  <c r="AA86" i="74"/>
  <c r="Z86" i="74"/>
  <c r="Y86" i="74"/>
  <c r="AA85" i="74"/>
  <c r="Z85" i="74"/>
  <c r="Y85" i="74"/>
  <c r="AA84" i="74"/>
  <c r="Z84" i="74"/>
  <c r="Y84" i="74"/>
  <c r="AA83" i="74"/>
  <c r="G26" i="75" s="1"/>
  <c r="Z83" i="74"/>
  <c r="Y83" i="74"/>
  <c r="X83" i="74"/>
  <c r="Q83" i="74"/>
  <c r="P83" i="74"/>
  <c r="AA82" i="74"/>
  <c r="Z82" i="74"/>
  <c r="Y82" i="74"/>
  <c r="AA81" i="74"/>
  <c r="Z81" i="74"/>
  <c r="Y81" i="74"/>
  <c r="AA80" i="74"/>
  <c r="Z80" i="74"/>
  <c r="Y80" i="74"/>
  <c r="X80" i="74"/>
  <c r="Q80" i="74"/>
  <c r="P80" i="74"/>
  <c r="AA79" i="74"/>
  <c r="Z79" i="74"/>
  <c r="Y79" i="74"/>
  <c r="AA78" i="74"/>
  <c r="Z78" i="74"/>
  <c r="Y78" i="74"/>
  <c r="AA77" i="74"/>
  <c r="G25" i="75" s="1"/>
  <c r="Z77" i="74"/>
  <c r="Y77" i="74"/>
  <c r="X77" i="74"/>
  <c r="AA76" i="74"/>
  <c r="Z76" i="74"/>
  <c r="Y76" i="74"/>
  <c r="AA75" i="74"/>
  <c r="Z75" i="74"/>
  <c r="Y75" i="74"/>
  <c r="AA74" i="74"/>
  <c r="Z74" i="74"/>
  <c r="Y74" i="74"/>
  <c r="AA73" i="74"/>
  <c r="G24" i="75" s="1"/>
  <c r="Z73" i="74"/>
  <c r="Y73" i="74"/>
  <c r="AA72" i="74"/>
  <c r="G23" i="75" s="1"/>
  <c r="Z72" i="74"/>
  <c r="Y72" i="74"/>
  <c r="X72" i="74"/>
  <c r="Q72" i="74"/>
  <c r="P72" i="74"/>
  <c r="AA71" i="74"/>
  <c r="Z71" i="74"/>
  <c r="Y71" i="74"/>
  <c r="AA70" i="74"/>
  <c r="Z70" i="74"/>
  <c r="Y70" i="74"/>
  <c r="AA69" i="74"/>
  <c r="Z69" i="74"/>
  <c r="Y69" i="74"/>
  <c r="AA68" i="74"/>
  <c r="G22" i="75" s="1"/>
  <c r="Z68" i="74"/>
  <c r="Y68" i="74"/>
  <c r="X68" i="74"/>
  <c r="Q68" i="74"/>
  <c r="P68" i="74"/>
  <c r="AA67" i="74"/>
  <c r="Z67" i="74"/>
  <c r="Y67" i="74"/>
  <c r="AA66" i="74"/>
  <c r="Z66" i="74"/>
  <c r="Y66" i="74"/>
  <c r="AA65" i="74"/>
  <c r="G21" i="75" s="1"/>
  <c r="Z65" i="74"/>
  <c r="Y65" i="74"/>
  <c r="X65" i="74"/>
  <c r="Q65" i="74"/>
  <c r="P65" i="74"/>
  <c r="AA64" i="74"/>
  <c r="Z64" i="74"/>
  <c r="Y64" i="74"/>
  <c r="AA63" i="74"/>
  <c r="Z63" i="74"/>
  <c r="Y63" i="74"/>
  <c r="AA62" i="74"/>
  <c r="G20" i="75" s="1"/>
  <c r="Z62" i="74"/>
  <c r="Y62" i="74"/>
  <c r="X62" i="74"/>
  <c r="Q62" i="74"/>
  <c r="P62" i="74"/>
  <c r="AA61" i="74"/>
  <c r="Z61" i="74"/>
  <c r="Y61" i="74"/>
  <c r="AA60" i="74"/>
  <c r="G19" i="75" s="1"/>
  <c r="Z60" i="74"/>
  <c r="Y60" i="74"/>
  <c r="X60" i="74"/>
  <c r="Q60" i="74"/>
  <c r="P60" i="74"/>
  <c r="AA59" i="74"/>
  <c r="Z59" i="74"/>
  <c r="Y59" i="74"/>
  <c r="AA58" i="74"/>
  <c r="Z58" i="74"/>
  <c r="Y58" i="74"/>
  <c r="AA57" i="74"/>
  <c r="G18" i="75" s="1"/>
  <c r="Z57" i="74"/>
  <c r="Y57" i="74"/>
  <c r="X57" i="74"/>
  <c r="Q57" i="74"/>
  <c r="P57" i="74"/>
  <c r="AA56" i="74"/>
  <c r="Z56" i="74"/>
  <c r="Y56" i="74"/>
  <c r="AA55" i="74"/>
  <c r="Z55" i="74"/>
  <c r="Y55" i="74"/>
  <c r="AA54" i="74"/>
  <c r="G17" i="75" s="1"/>
  <c r="Z54" i="74"/>
  <c r="Y54" i="74"/>
  <c r="AA53" i="74"/>
  <c r="G16" i="75" s="1"/>
  <c r="Z53" i="74"/>
  <c r="Y53" i="74"/>
  <c r="X53" i="74"/>
  <c r="Q53" i="74"/>
  <c r="P53" i="74"/>
  <c r="AA52" i="74"/>
  <c r="Z52" i="74"/>
  <c r="Y52" i="74"/>
  <c r="AA51" i="74"/>
  <c r="Z51" i="74"/>
  <c r="Y51" i="74"/>
  <c r="AA50" i="74"/>
  <c r="Z50" i="74"/>
  <c r="Y50" i="74"/>
  <c r="AA49" i="74"/>
  <c r="G15" i="75" s="1"/>
  <c r="Z49" i="74"/>
  <c r="Y49" i="74"/>
  <c r="X49" i="74"/>
  <c r="S49" i="74"/>
  <c r="T49" i="74" s="1"/>
  <c r="U49" i="74" s="1"/>
  <c r="V49" i="74" s="1"/>
  <c r="W49" i="74" s="1"/>
  <c r="Q49" i="74"/>
  <c r="P49" i="74"/>
  <c r="AA48" i="74"/>
  <c r="Z48" i="74"/>
  <c r="Y48" i="74"/>
  <c r="AA47" i="74"/>
  <c r="Z47" i="74"/>
  <c r="Y47" i="74"/>
  <c r="AA46" i="74"/>
  <c r="Z46" i="74"/>
  <c r="Y46" i="74"/>
  <c r="AA45" i="74"/>
  <c r="Z45" i="74"/>
  <c r="Y45" i="74"/>
  <c r="AA44" i="74"/>
  <c r="G14" i="75" s="1"/>
  <c r="Z44" i="74"/>
  <c r="Y44" i="74"/>
  <c r="U44" i="74"/>
  <c r="V44" i="74" s="1"/>
  <c r="W44" i="74" s="1"/>
  <c r="T44" i="74"/>
  <c r="S44" i="74"/>
  <c r="AA43" i="74"/>
  <c r="G13" i="75" s="1"/>
  <c r="Z43" i="74"/>
  <c r="Y43" i="74"/>
  <c r="AA42" i="74"/>
  <c r="G12" i="75" s="1"/>
  <c r="Z42" i="74"/>
  <c r="Y42" i="74"/>
  <c r="W42" i="74"/>
  <c r="AA41" i="74"/>
  <c r="Z41" i="74"/>
  <c r="Y41" i="74"/>
  <c r="AA40" i="74"/>
  <c r="Z40" i="74"/>
  <c r="Y40" i="74"/>
  <c r="AA39" i="74"/>
  <c r="G11" i="75" s="1"/>
  <c r="Z39" i="74"/>
  <c r="Y39" i="74"/>
  <c r="X39" i="74"/>
  <c r="Q39" i="74"/>
  <c r="P39" i="74"/>
  <c r="AA38" i="74"/>
  <c r="Z38" i="74"/>
  <c r="Y38" i="74"/>
  <c r="AA37" i="74"/>
  <c r="Z37" i="74"/>
  <c r="Y37" i="74"/>
  <c r="AA36" i="74"/>
  <c r="G10" i="75" s="1"/>
  <c r="Z36" i="74"/>
  <c r="Y36" i="74"/>
  <c r="X36" i="74"/>
  <c r="Q36" i="74"/>
  <c r="P36" i="74"/>
  <c r="X35" i="74"/>
  <c r="Q35" i="74"/>
  <c r="P35" i="74"/>
  <c r="AA34" i="74"/>
  <c r="Z34" i="74"/>
  <c r="Y34" i="74"/>
  <c r="AA33" i="74"/>
  <c r="Z33" i="74"/>
  <c r="Y33" i="74"/>
  <c r="AA32" i="74"/>
  <c r="Z32" i="74"/>
  <c r="Y32" i="74"/>
  <c r="AA31" i="74"/>
  <c r="Z31" i="74"/>
  <c r="Y31" i="74"/>
  <c r="AA30" i="74"/>
  <c r="Z30" i="74"/>
  <c r="Y30" i="74"/>
  <c r="AA29" i="74"/>
  <c r="Z29" i="74"/>
  <c r="Y29" i="74"/>
  <c r="AA28" i="74"/>
  <c r="Z28" i="74"/>
  <c r="Y28" i="74"/>
  <c r="AA27" i="74"/>
  <c r="Z27" i="74"/>
  <c r="Y27" i="74"/>
  <c r="AA26" i="74"/>
  <c r="Z26" i="74"/>
  <c r="Y26" i="74"/>
  <c r="AA25" i="74"/>
  <c r="Z25" i="74"/>
  <c r="Y25" i="74"/>
  <c r="AA24" i="74"/>
  <c r="Z24" i="74"/>
  <c r="Y24" i="74"/>
  <c r="AA23" i="74"/>
  <c r="G9" i="75" s="1"/>
  <c r="Z23" i="74"/>
  <c r="Y23" i="74"/>
  <c r="X23" i="74"/>
  <c r="Q23" i="74"/>
  <c r="P23" i="74"/>
  <c r="AA22" i="74"/>
  <c r="Z22" i="74"/>
  <c r="Y22" i="74"/>
  <c r="AA21" i="74"/>
  <c r="G8" i="75" s="1"/>
  <c r="Z21" i="74"/>
  <c r="Y21" i="74"/>
  <c r="X21" i="74"/>
  <c r="Q21" i="74"/>
  <c r="P21" i="74"/>
  <c r="AA20" i="74"/>
  <c r="Z20" i="74"/>
  <c r="Y20" i="74"/>
  <c r="AA19" i="74"/>
  <c r="G7" i="75" s="1"/>
  <c r="Z19" i="74"/>
  <c r="Y19" i="74"/>
  <c r="X19" i="74"/>
  <c r="W19" i="74"/>
  <c r="Q19" i="74"/>
  <c r="P19" i="74"/>
  <c r="X18" i="74"/>
  <c r="Q18" i="74"/>
  <c r="P18" i="74"/>
  <c r="E18" i="74"/>
  <c r="AA17" i="74"/>
  <c r="Z17" i="74"/>
  <c r="Y17" i="74"/>
  <c r="AA16" i="74"/>
  <c r="Z16" i="74"/>
  <c r="Y16" i="74"/>
  <c r="AA15" i="74"/>
  <c r="Z15" i="74"/>
  <c r="Y15" i="74"/>
  <c r="AA14" i="74"/>
  <c r="Z14" i="74"/>
  <c r="Y14" i="74"/>
  <c r="AA13" i="74"/>
  <c r="G6" i="75" s="1"/>
  <c r="Z13" i="74"/>
  <c r="Y13" i="74"/>
  <c r="X13" i="74"/>
  <c r="W13" i="74"/>
  <c r="Q13" i="74"/>
  <c r="P13" i="74"/>
  <c r="AA12" i="74"/>
  <c r="Z12" i="74"/>
  <c r="Y12" i="74"/>
  <c r="AA11" i="74"/>
  <c r="G5" i="75" s="1"/>
  <c r="Z11" i="74"/>
  <c r="Y11" i="74"/>
  <c r="X11" i="74"/>
  <c r="W11" i="74"/>
  <c r="Q11" i="74"/>
  <c r="P11" i="74"/>
  <c r="AA10" i="74"/>
  <c r="Z10" i="74"/>
  <c r="Y10" i="74"/>
  <c r="AA9" i="74"/>
  <c r="Z9" i="74"/>
  <c r="Y9" i="74"/>
  <c r="AA8" i="74"/>
  <c r="G4" i="75" s="1"/>
  <c r="Z8" i="74"/>
  <c r="Y8" i="74"/>
  <c r="X8" i="74"/>
  <c r="Q8" i="74"/>
  <c r="P8" i="74"/>
  <c r="AA7" i="74"/>
  <c r="Z7" i="74"/>
  <c r="Y7" i="74"/>
  <c r="AA6" i="74"/>
  <c r="Z6" i="74"/>
  <c r="Y6" i="74"/>
  <c r="AA5" i="74"/>
  <c r="G3" i="75" s="1"/>
  <c r="Z5" i="74"/>
  <c r="Y5" i="74"/>
  <c r="X5" i="74"/>
  <c r="Q5" i="74"/>
  <c r="P5" i="74"/>
  <c r="AA4" i="74"/>
  <c r="Z4" i="74"/>
  <c r="Y4" i="74"/>
  <c r="AA3" i="74"/>
  <c r="G2" i="75" s="1"/>
  <c r="Z3" i="74"/>
  <c r="Y3" i="74"/>
  <c r="I12" i="91" l="1"/>
  <c r="Y18" i="74"/>
  <c r="I7" i="75"/>
  <c r="L7" i="75" s="1"/>
  <c r="I12" i="75"/>
  <c r="L12" i="75" s="1"/>
  <c r="I16" i="75"/>
  <c r="L16" i="75" s="1"/>
  <c r="I17" i="75"/>
  <c r="L17" i="75" s="1"/>
  <c r="I21" i="75"/>
  <c r="L21" i="75" s="1"/>
  <c r="I26" i="75"/>
  <c r="L26" i="75" s="1"/>
  <c r="I31" i="75"/>
  <c r="L31" i="75" s="1"/>
  <c r="I5" i="75"/>
  <c r="L5" i="75" s="1"/>
  <c r="I6" i="75"/>
  <c r="L6" i="75" s="1"/>
  <c r="I10" i="75"/>
  <c r="L10" i="75" s="1"/>
  <c r="I15" i="75"/>
  <c r="L15" i="75" s="1"/>
  <c r="I20" i="75"/>
  <c r="L20" i="75" s="1"/>
  <c r="I24" i="75"/>
  <c r="L24" i="75" s="1"/>
  <c r="I25" i="75"/>
  <c r="L25" i="75" s="1"/>
  <c r="I30" i="75"/>
  <c r="L30" i="75" s="1"/>
  <c r="Z18" i="74"/>
  <c r="Y35" i="74"/>
  <c r="I4" i="75"/>
  <c r="L4" i="75" s="1"/>
  <c r="I9" i="75"/>
  <c r="L9" i="75" s="1"/>
  <c r="I14" i="75"/>
  <c r="L14" i="75" s="1"/>
  <c r="I19" i="75"/>
  <c r="L19" i="75" s="1"/>
  <c r="I23" i="75"/>
  <c r="L23" i="75" s="1"/>
  <c r="I28" i="75"/>
  <c r="L28" i="75" s="1"/>
  <c r="I29" i="75"/>
  <c r="L29" i="75" s="1"/>
  <c r="I2" i="75"/>
  <c r="L2" i="75" s="1"/>
  <c r="I3" i="75"/>
  <c r="L3" i="75" s="1"/>
  <c r="I8" i="75"/>
  <c r="L8" i="75" s="1"/>
  <c r="I13" i="75"/>
  <c r="L13" i="75" s="1"/>
  <c r="I18" i="75"/>
  <c r="L18" i="75" s="1"/>
  <c r="I22" i="75"/>
  <c r="L22" i="75" s="1"/>
  <c r="I27" i="75"/>
  <c r="L27" i="75" s="1"/>
  <c r="AA18" i="74"/>
  <c r="Z35" i="74"/>
  <c r="AA35" i="74"/>
  <c r="M11" i="75" l="1"/>
  <c r="M5" i="75"/>
  <c r="M2" i="75"/>
  <c r="G12" i="91" s="1"/>
  <c r="M24" i="75"/>
  <c r="M28" i="75"/>
  <c r="M16" i="75"/>
  <c r="H39" i="73" l="1"/>
  <c r="F39" i="73"/>
  <c r="E39" i="73"/>
  <c r="D39" i="73"/>
  <c r="H38" i="73"/>
  <c r="F38" i="73"/>
  <c r="E38" i="73"/>
  <c r="D38" i="73"/>
  <c r="H37" i="73"/>
  <c r="F37" i="73"/>
  <c r="E37" i="73"/>
  <c r="D37" i="73"/>
  <c r="H36" i="73"/>
  <c r="F36" i="73"/>
  <c r="E36" i="73"/>
  <c r="D36" i="73"/>
  <c r="H35" i="73"/>
  <c r="F35" i="73"/>
  <c r="E35" i="73"/>
  <c r="D35" i="73"/>
  <c r="H34" i="73"/>
  <c r="F34" i="73"/>
  <c r="E34" i="73"/>
  <c r="D34" i="73"/>
  <c r="H33" i="73"/>
  <c r="F33" i="73"/>
  <c r="E33" i="73"/>
  <c r="D33" i="73"/>
  <c r="H32" i="73"/>
  <c r="F32" i="73"/>
  <c r="E32" i="73"/>
  <c r="D32" i="73"/>
  <c r="H31" i="73"/>
  <c r="F31" i="73"/>
  <c r="E31" i="73"/>
  <c r="D31" i="73"/>
  <c r="H30" i="73"/>
  <c r="F30" i="73"/>
  <c r="E30" i="73"/>
  <c r="D30" i="73"/>
  <c r="H29" i="73"/>
  <c r="F29" i="73"/>
  <c r="E29" i="73"/>
  <c r="D29" i="73"/>
  <c r="H28" i="73"/>
  <c r="F28" i="73"/>
  <c r="E28" i="73"/>
  <c r="D28" i="73"/>
  <c r="H27" i="73"/>
  <c r="F27" i="73"/>
  <c r="E27" i="73"/>
  <c r="D27" i="73"/>
  <c r="H26" i="73"/>
  <c r="F26" i="73"/>
  <c r="E26" i="73"/>
  <c r="D26" i="73"/>
  <c r="H25" i="73"/>
  <c r="F25" i="73"/>
  <c r="E25" i="73"/>
  <c r="D25" i="73"/>
  <c r="H24" i="73"/>
  <c r="F24" i="73"/>
  <c r="E24" i="73"/>
  <c r="D24" i="73"/>
  <c r="H23" i="73"/>
  <c r="F23" i="73"/>
  <c r="E23" i="73"/>
  <c r="D23" i="73"/>
  <c r="H22" i="73"/>
  <c r="F22" i="73"/>
  <c r="E22" i="73"/>
  <c r="D22" i="73"/>
  <c r="H21" i="73"/>
  <c r="F21" i="73"/>
  <c r="E21" i="73"/>
  <c r="D21" i="73"/>
  <c r="H20" i="73"/>
  <c r="F20" i="73"/>
  <c r="E20" i="73"/>
  <c r="D20" i="73"/>
  <c r="H19" i="73"/>
  <c r="F19" i="73"/>
  <c r="E19" i="73"/>
  <c r="D19" i="73"/>
  <c r="H18" i="73"/>
  <c r="F18" i="73"/>
  <c r="E18" i="73"/>
  <c r="D18" i="73"/>
  <c r="H17" i="73"/>
  <c r="F17" i="73"/>
  <c r="E17" i="73"/>
  <c r="D17" i="73"/>
  <c r="H16" i="73"/>
  <c r="F16" i="73"/>
  <c r="E16" i="73"/>
  <c r="D16" i="73"/>
  <c r="H15" i="73"/>
  <c r="F15" i="73"/>
  <c r="E15" i="73"/>
  <c r="D15" i="73"/>
  <c r="H14" i="73"/>
  <c r="F14" i="73"/>
  <c r="E14" i="73"/>
  <c r="D14" i="73"/>
  <c r="H13" i="73"/>
  <c r="F13" i="73"/>
  <c r="E13" i="73"/>
  <c r="D13" i="73"/>
  <c r="H12" i="73"/>
  <c r="F12" i="73"/>
  <c r="E12" i="73"/>
  <c r="D12" i="73"/>
  <c r="H11" i="73"/>
  <c r="F11" i="73"/>
  <c r="E11" i="73"/>
  <c r="D11" i="73"/>
  <c r="H10" i="73"/>
  <c r="F10" i="73"/>
  <c r="E10" i="73"/>
  <c r="D10" i="73"/>
  <c r="H9" i="73"/>
  <c r="F9" i="73"/>
  <c r="E9" i="73"/>
  <c r="D9" i="73"/>
  <c r="H8" i="73"/>
  <c r="F8" i="73"/>
  <c r="E8" i="73"/>
  <c r="D8" i="73"/>
  <c r="H7" i="73"/>
  <c r="F7" i="73"/>
  <c r="E7" i="73"/>
  <c r="D7" i="73"/>
  <c r="H6" i="73"/>
  <c r="F6" i="73"/>
  <c r="E6" i="73"/>
  <c r="D6" i="73"/>
  <c r="H5" i="73"/>
  <c r="F5" i="73"/>
  <c r="E5" i="73"/>
  <c r="D5" i="73"/>
  <c r="H4" i="73"/>
  <c r="F4" i="73"/>
  <c r="E4" i="73"/>
  <c r="D4" i="73"/>
  <c r="H3" i="73"/>
  <c r="F3" i="73"/>
  <c r="E3" i="73"/>
  <c r="D3" i="73"/>
  <c r="H2" i="73"/>
  <c r="F2" i="73"/>
  <c r="D2" i="73"/>
  <c r="L11" i="73"/>
  <c r="Z111" i="72"/>
  <c r="G39" i="73" s="1"/>
  <c r="Y111" i="72"/>
  <c r="Z110" i="72"/>
  <c r="G38" i="73" s="1"/>
  <c r="Y110" i="72"/>
  <c r="Q110" i="72"/>
  <c r="P110" i="72"/>
  <c r="Z109" i="72"/>
  <c r="Y109" i="72"/>
  <c r="Z108" i="72"/>
  <c r="G37" i="73" s="1"/>
  <c r="Y108" i="72"/>
  <c r="Z107" i="72"/>
  <c r="Y107" i="72"/>
  <c r="Z106" i="72"/>
  <c r="G36" i="73" s="1"/>
  <c r="Y106" i="72"/>
  <c r="X106" i="72"/>
  <c r="Q106" i="72"/>
  <c r="P106" i="72"/>
  <c r="Z105" i="72"/>
  <c r="Y105" i="72"/>
  <c r="Z104" i="72"/>
  <c r="Y104" i="72"/>
  <c r="Z103" i="72"/>
  <c r="G35" i="73" s="1"/>
  <c r="Y103" i="72"/>
  <c r="X103" i="72"/>
  <c r="Q103" i="72"/>
  <c r="P103" i="72"/>
  <c r="Z102" i="72"/>
  <c r="Y102" i="72"/>
  <c r="Z101" i="72"/>
  <c r="G34" i="73" s="1"/>
  <c r="Y101" i="72"/>
  <c r="X101" i="72"/>
  <c r="Q101" i="72"/>
  <c r="P101" i="72"/>
  <c r="Z100" i="72"/>
  <c r="Y100" i="72"/>
  <c r="Z99" i="72"/>
  <c r="Y99" i="72"/>
  <c r="Z98" i="72"/>
  <c r="G33" i="73" s="1"/>
  <c r="Y98" i="72"/>
  <c r="X98" i="72"/>
  <c r="Z97" i="72"/>
  <c r="Y97" i="72"/>
  <c r="Z96" i="72"/>
  <c r="Y96" i="72"/>
  <c r="Z95" i="72"/>
  <c r="Y95" i="72"/>
  <c r="Z94" i="72"/>
  <c r="Y94" i="72"/>
  <c r="Z93" i="72"/>
  <c r="Y93" i="72"/>
  <c r="Z92" i="72"/>
  <c r="Y92" i="72"/>
  <c r="Z91" i="72"/>
  <c r="G32" i="73" s="1"/>
  <c r="Y91" i="72"/>
  <c r="Z90" i="72"/>
  <c r="G31" i="73" s="1"/>
  <c r="Y90" i="72"/>
  <c r="Z89" i="72"/>
  <c r="G30" i="73" s="1"/>
  <c r="Y89" i="72"/>
  <c r="Z88" i="72"/>
  <c r="G29" i="73" s="1"/>
  <c r="Y88" i="72"/>
  <c r="Z87" i="72"/>
  <c r="G28" i="73" s="1"/>
  <c r="Y87" i="72"/>
  <c r="X87" i="72"/>
  <c r="Q87" i="72"/>
  <c r="P87" i="72"/>
  <c r="Z86" i="72"/>
  <c r="Y86" i="72"/>
  <c r="Z85" i="72"/>
  <c r="Y85" i="72"/>
  <c r="Z84" i="72"/>
  <c r="Y84" i="72"/>
  <c r="Z83" i="72"/>
  <c r="Y83" i="72"/>
  <c r="Z82" i="72"/>
  <c r="Y82" i="72"/>
  <c r="Z81" i="72"/>
  <c r="G27" i="73" s="1"/>
  <c r="Y81" i="72"/>
  <c r="X81" i="72"/>
  <c r="Q81" i="72"/>
  <c r="P81" i="72"/>
  <c r="Z80" i="72"/>
  <c r="Y80" i="72"/>
  <c r="Z79" i="72"/>
  <c r="Y79" i="72"/>
  <c r="Z78" i="72"/>
  <c r="G26" i="73" s="1"/>
  <c r="Y78" i="72"/>
  <c r="X78" i="72"/>
  <c r="Q78" i="72"/>
  <c r="P78" i="72"/>
  <c r="Z77" i="72"/>
  <c r="Y77" i="72"/>
  <c r="Z76" i="72"/>
  <c r="Y76" i="72"/>
  <c r="Z75" i="72"/>
  <c r="G25" i="73" s="1"/>
  <c r="Y75" i="72"/>
  <c r="X75" i="72"/>
  <c r="Z74" i="72"/>
  <c r="Y74" i="72"/>
  <c r="Z73" i="72"/>
  <c r="Y73" i="72"/>
  <c r="Z72" i="72"/>
  <c r="Y72" i="72"/>
  <c r="Z71" i="72"/>
  <c r="G24" i="73" s="1"/>
  <c r="Y71" i="72"/>
  <c r="Z70" i="72"/>
  <c r="G23" i="73" s="1"/>
  <c r="Y70" i="72"/>
  <c r="X70" i="72"/>
  <c r="Q70" i="72"/>
  <c r="P70" i="72"/>
  <c r="Z69" i="72"/>
  <c r="Y69" i="72"/>
  <c r="Z68" i="72"/>
  <c r="Y68" i="72"/>
  <c r="Z67" i="72"/>
  <c r="Y67" i="72"/>
  <c r="Z66" i="72"/>
  <c r="G22" i="73" s="1"/>
  <c r="Y66" i="72"/>
  <c r="X66" i="72"/>
  <c r="Q66" i="72"/>
  <c r="P66" i="72"/>
  <c r="Z65" i="72"/>
  <c r="Y65" i="72"/>
  <c r="Z64" i="72"/>
  <c r="Y64" i="72"/>
  <c r="Z63" i="72"/>
  <c r="G21" i="73" s="1"/>
  <c r="Y63" i="72"/>
  <c r="X63" i="72"/>
  <c r="Q63" i="72"/>
  <c r="P63" i="72"/>
  <c r="Z62" i="72"/>
  <c r="Y62" i="72"/>
  <c r="Z61" i="72"/>
  <c r="Y61" i="72"/>
  <c r="Z60" i="72"/>
  <c r="G20" i="73" s="1"/>
  <c r="Y60" i="72"/>
  <c r="X60" i="72"/>
  <c r="Q60" i="72"/>
  <c r="P60" i="72"/>
  <c r="Z59" i="72"/>
  <c r="Y59" i="72"/>
  <c r="Z58" i="72"/>
  <c r="G19" i="73" s="1"/>
  <c r="Y58" i="72"/>
  <c r="X58" i="72"/>
  <c r="Q58" i="72"/>
  <c r="P58" i="72"/>
  <c r="Z57" i="72"/>
  <c r="Y57" i="72"/>
  <c r="Z56" i="72"/>
  <c r="Y56" i="72"/>
  <c r="Z55" i="72"/>
  <c r="G18" i="73" s="1"/>
  <c r="Y55" i="72"/>
  <c r="X55" i="72"/>
  <c r="Q55" i="72"/>
  <c r="P55" i="72"/>
  <c r="Z54" i="72"/>
  <c r="Y54" i="72"/>
  <c r="Z53" i="72"/>
  <c r="Y53" i="72"/>
  <c r="Z52" i="72"/>
  <c r="G17" i="73" s="1"/>
  <c r="Y52" i="72"/>
  <c r="Z51" i="72"/>
  <c r="G16" i="73" s="1"/>
  <c r="Y51" i="72"/>
  <c r="X51" i="72"/>
  <c r="Q51" i="72"/>
  <c r="P51" i="72"/>
  <c r="Z50" i="72"/>
  <c r="Y50" i="72"/>
  <c r="Z49" i="72"/>
  <c r="Y49" i="72"/>
  <c r="Z48" i="72"/>
  <c r="Y48" i="72"/>
  <c r="Z47" i="72"/>
  <c r="G15" i="73" s="1"/>
  <c r="Y47" i="72"/>
  <c r="X47" i="72"/>
  <c r="S47" i="72"/>
  <c r="T47" i="72" s="1"/>
  <c r="U47" i="72" s="1"/>
  <c r="V47" i="72" s="1"/>
  <c r="W47" i="72" s="1"/>
  <c r="Q47" i="72"/>
  <c r="P47" i="72"/>
  <c r="Z46" i="72"/>
  <c r="Y46" i="72"/>
  <c r="Z45" i="72"/>
  <c r="Y45" i="72"/>
  <c r="Z44" i="72"/>
  <c r="Y44" i="72"/>
  <c r="Z43" i="72"/>
  <c r="Y43" i="72"/>
  <c r="Z42" i="72"/>
  <c r="G14" i="73" s="1"/>
  <c r="Y42" i="72"/>
  <c r="S42" i="72"/>
  <c r="T42" i="72" s="1"/>
  <c r="U42" i="72" s="1"/>
  <c r="V42" i="72" s="1"/>
  <c r="W42" i="72" s="1"/>
  <c r="Z41" i="72"/>
  <c r="G13" i="73" s="1"/>
  <c r="Y41" i="72"/>
  <c r="Z40" i="72"/>
  <c r="G12" i="73" s="1"/>
  <c r="W40" i="72"/>
  <c r="Z37" i="72"/>
  <c r="G11" i="73" s="1"/>
  <c r="Y37" i="72"/>
  <c r="X37" i="72"/>
  <c r="Q37" i="72"/>
  <c r="P37" i="72"/>
  <c r="Z36" i="72"/>
  <c r="Y36" i="72"/>
  <c r="Z35" i="72"/>
  <c r="Y35" i="72"/>
  <c r="Z34" i="72"/>
  <c r="G10" i="73" s="1"/>
  <c r="Y34" i="72"/>
  <c r="X34" i="72"/>
  <c r="Q34" i="72"/>
  <c r="P34" i="72"/>
  <c r="Z33" i="72"/>
  <c r="Y33" i="72"/>
  <c r="Z32" i="72"/>
  <c r="Y32" i="72"/>
  <c r="Z31" i="72"/>
  <c r="Y31" i="72"/>
  <c r="Z30" i="72"/>
  <c r="Y30" i="72"/>
  <c r="Z29" i="72"/>
  <c r="Y29" i="72"/>
  <c r="Z28" i="72"/>
  <c r="Y28" i="72"/>
  <c r="Z27" i="72"/>
  <c r="Y27" i="72"/>
  <c r="Z26" i="72"/>
  <c r="Y26" i="72"/>
  <c r="Z25" i="72"/>
  <c r="Y25" i="72"/>
  <c r="Z24" i="72"/>
  <c r="Y24" i="72"/>
  <c r="Z23" i="72"/>
  <c r="Y23" i="72"/>
  <c r="Z22" i="72"/>
  <c r="G9" i="73" s="1"/>
  <c r="Y22" i="72"/>
  <c r="X22" i="72"/>
  <c r="Q22" i="72"/>
  <c r="P22" i="72"/>
  <c r="Z21" i="72"/>
  <c r="Y21" i="72"/>
  <c r="Z20" i="72"/>
  <c r="G8" i="73" s="1"/>
  <c r="Y20" i="72"/>
  <c r="X20" i="72"/>
  <c r="Q20" i="72"/>
  <c r="P20" i="72"/>
  <c r="Z19" i="72"/>
  <c r="Y19" i="72"/>
  <c r="Z18" i="72"/>
  <c r="G7" i="73" s="1"/>
  <c r="Y18" i="72"/>
  <c r="X18" i="72"/>
  <c r="W18" i="72"/>
  <c r="Q18" i="72"/>
  <c r="P18" i="72"/>
  <c r="Z17" i="72"/>
  <c r="Y17" i="72"/>
  <c r="Z16" i="72"/>
  <c r="Y16" i="72"/>
  <c r="Z15" i="72"/>
  <c r="Y15" i="72"/>
  <c r="Z14" i="72"/>
  <c r="Y14" i="72"/>
  <c r="Z13" i="72"/>
  <c r="G6" i="73" s="1"/>
  <c r="Y13" i="72"/>
  <c r="X13" i="72"/>
  <c r="W13" i="72"/>
  <c r="Q13" i="72"/>
  <c r="P13" i="72"/>
  <c r="Z12" i="72"/>
  <c r="Y12" i="72"/>
  <c r="Z11" i="72"/>
  <c r="G5" i="73" s="1"/>
  <c r="Y11" i="72"/>
  <c r="X11" i="72"/>
  <c r="W11" i="72"/>
  <c r="Q11" i="72"/>
  <c r="P11" i="72"/>
  <c r="Z10" i="72"/>
  <c r="Y10" i="72"/>
  <c r="Z9" i="72"/>
  <c r="Y9" i="72"/>
  <c r="Z8" i="72"/>
  <c r="G4" i="73" s="1"/>
  <c r="Y8" i="72"/>
  <c r="X8" i="72"/>
  <c r="Q8" i="72"/>
  <c r="P8" i="72"/>
  <c r="Z7" i="72"/>
  <c r="Y7" i="72"/>
  <c r="Z6" i="72"/>
  <c r="Y6" i="72"/>
  <c r="Z5" i="72"/>
  <c r="G3" i="73" s="1"/>
  <c r="Y5" i="72"/>
  <c r="X5" i="72"/>
  <c r="Q5" i="72"/>
  <c r="P5" i="72"/>
  <c r="Z4" i="72"/>
  <c r="Y4" i="72"/>
  <c r="Z3" i="72"/>
  <c r="G2" i="73" s="1"/>
  <c r="Y3" i="72"/>
  <c r="I7" i="73" l="1"/>
  <c r="L7" i="73" s="1"/>
  <c r="I15" i="73"/>
  <c r="L15" i="73" s="1"/>
  <c r="I20" i="73"/>
  <c r="L20" i="73" s="1"/>
  <c r="I24" i="73"/>
  <c r="L24" i="73" s="1"/>
  <c r="I25" i="73"/>
  <c r="L25" i="73" s="1"/>
  <c r="I29" i="73"/>
  <c r="L29" i="73" s="1"/>
  <c r="I30" i="73"/>
  <c r="L30" i="73" s="1"/>
  <c r="I34" i="73"/>
  <c r="L34" i="73" s="1"/>
  <c r="I35" i="73"/>
  <c r="L35" i="73" s="1"/>
  <c r="I39" i="73"/>
  <c r="L39" i="73" s="1"/>
  <c r="I5" i="73"/>
  <c r="L5" i="73" s="1"/>
  <c r="I6" i="73"/>
  <c r="L6" i="73" s="1"/>
  <c r="I10" i="73"/>
  <c r="L10" i="73" s="1"/>
  <c r="I14" i="73"/>
  <c r="L14" i="73" s="1"/>
  <c r="I19" i="73"/>
  <c r="L19" i="73" s="1"/>
  <c r="I23" i="73"/>
  <c r="L23" i="73" s="1"/>
  <c r="I28" i="73"/>
  <c r="L28" i="73" s="1"/>
  <c r="I33" i="73"/>
  <c r="L33" i="73" s="1"/>
  <c r="I38" i="73"/>
  <c r="L38" i="73" s="1"/>
  <c r="I4" i="73"/>
  <c r="L4" i="73" s="1"/>
  <c r="I9" i="73"/>
  <c r="L9" i="73" s="1"/>
  <c r="I13" i="73"/>
  <c r="L13" i="73" s="1"/>
  <c r="I18" i="73"/>
  <c r="L18" i="73" s="1"/>
  <c r="I22" i="73"/>
  <c r="L22" i="73" s="1"/>
  <c r="I27" i="73"/>
  <c r="L27" i="73" s="1"/>
  <c r="I32" i="73"/>
  <c r="L32" i="73" s="1"/>
  <c r="I37" i="73"/>
  <c r="L37" i="73" s="1"/>
  <c r="I2" i="73"/>
  <c r="L2" i="73" s="1"/>
  <c r="I3" i="73"/>
  <c r="L3" i="73" s="1"/>
  <c r="I8" i="73"/>
  <c r="L8" i="73" s="1"/>
  <c r="I12" i="73"/>
  <c r="L12" i="73" s="1"/>
  <c r="I16" i="73"/>
  <c r="L16" i="73" s="1"/>
  <c r="I17" i="73"/>
  <c r="L17" i="73" s="1"/>
  <c r="I21" i="73"/>
  <c r="L21" i="73" s="1"/>
  <c r="I26" i="73"/>
  <c r="L26" i="73" s="1"/>
  <c r="I31" i="73"/>
  <c r="L31" i="73" s="1"/>
  <c r="I36" i="73"/>
  <c r="L36" i="73" s="1"/>
  <c r="M11" i="73" l="1"/>
  <c r="M2" i="73"/>
  <c r="M34" i="73"/>
  <c r="L11" i="91" s="1"/>
  <c r="M24" i="73"/>
  <c r="M5" i="73"/>
  <c r="M16" i="73"/>
  <c r="M29" i="73"/>
  <c r="H30" i="71"/>
  <c r="E30" i="71"/>
  <c r="H29" i="71"/>
  <c r="E29" i="71"/>
  <c r="H28" i="71"/>
  <c r="E28" i="71"/>
  <c r="H27" i="71"/>
  <c r="E27" i="71"/>
  <c r="H26" i="71"/>
  <c r="E26" i="71"/>
  <c r="H25" i="71"/>
  <c r="E25" i="71"/>
  <c r="H24" i="71"/>
  <c r="E24" i="71"/>
  <c r="H23" i="71"/>
  <c r="E23" i="71"/>
  <c r="H22" i="71"/>
  <c r="E22" i="71"/>
  <c r="H21" i="71"/>
  <c r="E21" i="71"/>
  <c r="H20" i="71"/>
  <c r="E20" i="71"/>
  <c r="H19" i="71"/>
  <c r="E19" i="71"/>
  <c r="H18" i="71"/>
  <c r="E18" i="71"/>
  <c r="H17" i="71"/>
  <c r="E17" i="71"/>
  <c r="H16" i="71"/>
  <c r="E16" i="71"/>
  <c r="H15" i="71"/>
  <c r="E15" i="71"/>
  <c r="H14" i="71"/>
  <c r="E14" i="71"/>
  <c r="H13" i="71"/>
  <c r="E13" i="71"/>
  <c r="H12" i="71"/>
  <c r="E12" i="71"/>
  <c r="E11" i="71"/>
  <c r="H10" i="71"/>
  <c r="E10" i="71"/>
  <c r="H9" i="71"/>
  <c r="E9" i="71"/>
  <c r="H8" i="71"/>
  <c r="E8" i="71"/>
  <c r="H7" i="71"/>
  <c r="E7" i="71"/>
  <c r="H6" i="71"/>
  <c r="E6" i="71"/>
  <c r="H5" i="71"/>
  <c r="E5" i="71"/>
  <c r="H4" i="71"/>
  <c r="E4" i="71"/>
  <c r="E3" i="71"/>
  <c r="H2" i="71"/>
  <c r="K14" i="71"/>
  <c r="K13" i="71"/>
  <c r="K12" i="71"/>
  <c r="K10" i="71"/>
  <c r="K9" i="71"/>
  <c r="K8" i="71"/>
  <c r="K7" i="71"/>
  <c r="K6" i="71"/>
  <c r="K5" i="71"/>
  <c r="Y108" i="70"/>
  <c r="Y107" i="70"/>
  <c r="X107" i="70"/>
  <c r="Q107" i="70"/>
  <c r="P107" i="70"/>
  <c r="Y106" i="70"/>
  <c r="Y105" i="70"/>
  <c r="Y104" i="70"/>
  <c r="Y103" i="70"/>
  <c r="X103" i="70"/>
  <c r="Q103" i="70"/>
  <c r="P103" i="70"/>
  <c r="Y102" i="70"/>
  <c r="Y101" i="70"/>
  <c r="Y100" i="70"/>
  <c r="X100" i="70"/>
  <c r="Q100" i="70"/>
  <c r="P100" i="70"/>
  <c r="Y99" i="70"/>
  <c r="Y98" i="70"/>
  <c r="X98" i="70"/>
  <c r="Q98" i="70"/>
  <c r="P98" i="70"/>
  <c r="Y97" i="70"/>
  <c r="Y96" i="70"/>
  <c r="Y95" i="70"/>
  <c r="X95" i="70"/>
  <c r="Y94" i="70"/>
  <c r="Y93" i="70"/>
  <c r="Y92" i="70"/>
  <c r="Y91" i="70"/>
  <c r="Y90" i="70"/>
  <c r="Y89" i="70"/>
  <c r="Y88" i="70"/>
  <c r="G30" i="71" s="1"/>
  <c r="Y87" i="70"/>
  <c r="G29" i="71" s="1"/>
  <c r="Y86" i="70"/>
  <c r="G28" i="71" s="1"/>
  <c r="Y85" i="70"/>
  <c r="G27" i="71" s="1"/>
  <c r="Y84" i="70"/>
  <c r="G26" i="71" s="1"/>
  <c r="X84" i="70"/>
  <c r="Q84" i="70"/>
  <c r="P84" i="70"/>
  <c r="Y83" i="70"/>
  <c r="Y82" i="70"/>
  <c r="Y81" i="70"/>
  <c r="Y80" i="70"/>
  <c r="Y79" i="70"/>
  <c r="Y78" i="70"/>
  <c r="G25" i="71" s="1"/>
  <c r="X78" i="70"/>
  <c r="Q78" i="70"/>
  <c r="P78" i="70"/>
  <c r="Y77" i="70"/>
  <c r="Y76" i="70"/>
  <c r="Y75" i="70"/>
  <c r="X75" i="70"/>
  <c r="Q75" i="70"/>
  <c r="P75" i="70"/>
  <c r="Y74" i="70"/>
  <c r="Y73" i="70"/>
  <c r="Y72" i="70"/>
  <c r="G24" i="71" s="1"/>
  <c r="X72" i="70"/>
  <c r="Y71" i="70"/>
  <c r="Y70" i="70"/>
  <c r="Y69" i="70"/>
  <c r="Y68" i="70"/>
  <c r="G23" i="71" s="1"/>
  <c r="Y67" i="70"/>
  <c r="G22" i="71" s="1"/>
  <c r="X67" i="70"/>
  <c r="Q67" i="70"/>
  <c r="P67" i="70"/>
  <c r="Y66" i="70"/>
  <c r="Y65" i="70"/>
  <c r="Y64" i="70"/>
  <c r="Y63" i="70"/>
  <c r="G21" i="71" s="1"/>
  <c r="X63" i="70"/>
  <c r="Q63" i="70"/>
  <c r="P63" i="70"/>
  <c r="Y62" i="70"/>
  <c r="Y61" i="70"/>
  <c r="Y60" i="70"/>
  <c r="G20" i="71" s="1"/>
  <c r="X60" i="70"/>
  <c r="Q60" i="70"/>
  <c r="P60" i="70"/>
  <c r="Y59" i="70"/>
  <c r="Y58" i="70"/>
  <c r="Y57" i="70"/>
  <c r="G19" i="71" s="1"/>
  <c r="X57" i="70"/>
  <c r="Q57" i="70"/>
  <c r="P57" i="70"/>
  <c r="Y56" i="70"/>
  <c r="Y55" i="70"/>
  <c r="G18" i="71" s="1"/>
  <c r="X55" i="70"/>
  <c r="Q55" i="70"/>
  <c r="P55" i="70"/>
  <c r="Y54" i="70"/>
  <c r="Y53" i="70"/>
  <c r="Y52" i="70"/>
  <c r="G17" i="71" s="1"/>
  <c r="X52" i="70"/>
  <c r="Q52" i="70"/>
  <c r="P52" i="70"/>
  <c r="Y51" i="70"/>
  <c r="Y50" i="70"/>
  <c r="Y49" i="70"/>
  <c r="G16" i="71" s="1"/>
  <c r="Y48" i="70"/>
  <c r="G15" i="71" s="1"/>
  <c r="X48" i="70"/>
  <c r="Q48" i="70"/>
  <c r="P48" i="70"/>
  <c r="Y47" i="70"/>
  <c r="Y46" i="70"/>
  <c r="Y45" i="70"/>
  <c r="Y44" i="70"/>
  <c r="G14" i="71" s="1"/>
  <c r="X44" i="70"/>
  <c r="W44" i="70"/>
  <c r="Q44" i="70"/>
  <c r="P44" i="70"/>
  <c r="Y43" i="70"/>
  <c r="Y42" i="70"/>
  <c r="Y41" i="70"/>
  <c r="Y40" i="70"/>
  <c r="Y39" i="70"/>
  <c r="G13" i="71" s="1"/>
  <c r="W39" i="70"/>
  <c r="Y38" i="70"/>
  <c r="G12" i="71" s="1"/>
  <c r="Y37" i="70"/>
  <c r="X37" i="70"/>
  <c r="Q37" i="70"/>
  <c r="P37" i="70"/>
  <c r="Y36" i="70"/>
  <c r="Y35" i="70"/>
  <c r="Y34" i="70"/>
  <c r="G10" i="71" s="1"/>
  <c r="X34" i="70"/>
  <c r="Q34" i="70"/>
  <c r="P34" i="70"/>
  <c r="Y33" i="70"/>
  <c r="Y32" i="70"/>
  <c r="Y31" i="70"/>
  <c r="Y30" i="70"/>
  <c r="Y29" i="70"/>
  <c r="Y28" i="70"/>
  <c r="Y27" i="70"/>
  <c r="Y26" i="70"/>
  <c r="Y25" i="70"/>
  <c r="Y24" i="70"/>
  <c r="Y23" i="70"/>
  <c r="Y22" i="70"/>
  <c r="G9" i="71" s="1"/>
  <c r="X22" i="70"/>
  <c r="Q22" i="70"/>
  <c r="P22" i="70"/>
  <c r="Y21" i="70"/>
  <c r="Y20" i="70"/>
  <c r="G8" i="71" s="1"/>
  <c r="X20" i="70"/>
  <c r="Q20" i="70"/>
  <c r="P20" i="70"/>
  <c r="Y19" i="70"/>
  <c r="Y18" i="70"/>
  <c r="G7" i="71" s="1"/>
  <c r="X18" i="70"/>
  <c r="Q18" i="70"/>
  <c r="P18" i="70"/>
  <c r="Y17" i="70"/>
  <c r="Y16" i="70"/>
  <c r="Y15" i="70"/>
  <c r="Y14" i="70"/>
  <c r="Y13" i="70"/>
  <c r="G6" i="71" s="1"/>
  <c r="X13" i="70"/>
  <c r="Q13" i="70"/>
  <c r="P13" i="70"/>
  <c r="Y12" i="70"/>
  <c r="Y11" i="70"/>
  <c r="G5" i="71" s="1"/>
  <c r="X11" i="70"/>
  <c r="W11" i="70"/>
  <c r="Q11" i="70"/>
  <c r="P11" i="70"/>
  <c r="Y10" i="70"/>
  <c r="Y9" i="70"/>
  <c r="Y8" i="70"/>
  <c r="G4" i="71" s="1"/>
  <c r="X8" i="70"/>
  <c r="Q8" i="70"/>
  <c r="P8" i="70"/>
  <c r="Y7" i="70"/>
  <c r="Y6" i="70"/>
  <c r="Y5" i="70"/>
  <c r="G3" i="71" s="1"/>
  <c r="X5" i="70"/>
  <c r="Q5" i="70"/>
  <c r="P5" i="70"/>
  <c r="Y4" i="70"/>
  <c r="Y3" i="70"/>
  <c r="G2" i="71" s="1"/>
  <c r="E12" i="91" l="1"/>
  <c r="I3" i="71"/>
  <c r="L3" i="71" s="1"/>
  <c r="I4" i="71"/>
  <c r="L4" i="71" s="1"/>
  <c r="I6" i="71"/>
  <c r="L6" i="71" s="1"/>
  <c r="I8" i="71"/>
  <c r="L8" i="71" s="1"/>
  <c r="I10" i="71"/>
  <c r="L10" i="71" s="1"/>
  <c r="I12" i="71"/>
  <c r="L12" i="71" s="1"/>
  <c r="I14" i="71"/>
  <c r="L14" i="71" s="1"/>
  <c r="I16" i="71"/>
  <c r="L16" i="71" s="1"/>
  <c r="I20" i="71"/>
  <c r="L20" i="71" s="1"/>
  <c r="I27" i="71"/>
  <c r="L27" i="71" s="1"/>
  <c r="I30" i="71"/>
  <c r="L30" i="71" s="1"/>
  <c r="I5" i="71"/>
  <c r="L5" i="71" s="1"/>
  <c r="I17" i="71"/>
  <c r="L17" i="71" s="1"/>
  <c r="I21" i="71"/>
  <c r="L21" i="71" s="1"/>
  <c r="I24" i="71"/>
  <c r="L24" i="71" s="1"/>
  <c r="I2" i="71"/>
  <c r="L2" i="71" s="1"/>
  <c r="I7" i="71"/>
  <c r="L7" i="71" s="1"/>
  <c r="I9" i="71"/>
  <c r="L9" i="71" s="1"/>
  <c r="I13" i="71"/>
  <c r="L13" i="71" s="1"/>
  <c r="I15" i="71"/>
  <c r="L15" i="71" s="1"/>
  <c r="I18" i="71"/>
  <c r="L18" i="71" s="1"/>
  <c r="I22" i="71"/>
  <c r="L22" i="71" s="1"/>
  <c r="I25" i="71"/>
  <c r="L25" i="71" s="1"/>
  <c r="I28" i="71"/>
  <c r="L28" i="71" s="1"/>
  <c r="I19" i="71"/>
  <c r="L19" i="71" s="1"/>
  <c r="I23" i="71"/>
  <c r="L23" i="71" s="1"/>
  <c r="I26" i="71"/>
  <c r="L26" i="71" s="1"/>
  <c r="I29" i="71"/>
  <c r="L29" i="71" s="1"/>
  <c r="M2" i="71" l="1"/>
  <c r="M15" i="71"/>
  <c r="L8" i="91" s="1"/>
  <c r="M5" i="71"/>
  <c r="M27" i="71"/>
  <c r="M11" i="71"/>
  <c r="M23" i="71"/>
  <c r="K11" i="80"/>
  <c r="I11" i="80"/>
  <c r="E11" i="80"/>
  <c r="K10" i="80"/>
  <c r="I10" i="80"/>
  <c r="G10" i="80"/>
  <c r="E10" i="80"/>
  <c r="K9" i="80"/>
  <c r="I9" i="80"/>
  <c r="G9" i="80"/>
  <c r="E9" i="80"/>
  <c r="K8" i="80"/>
  <c r="I8" i="80"/>
  <c r="G8" i="80"/>
  <c r="E8" i="80"/>
  <c r="C8" i="80"/>
  <c r="K7" i="80"/>
  <c r="I7" i="80"/>
  <c r="G7" i="80"/>
  <c r="E7" i="80"/>
  <c r="K6" i="80"/>
  <c r="I6" i="80"/>
  <c r="G6" i="80"/>
  <c r="E6" i="80"/>
  <c r="K5" i="80"/>
  <c r="I5" i="80"/>
  <c r="G5" i="80"/>
  <c r="E5" i="80"/>
  <c r="H39" i="68"/>
  <c r="F39" i="68"/>
  <c r="D39" i="68"/>
  <c r="H38" i="68"/>
  <c r="F38" i="68"/>
  <c r="D38" i="68"/>
  <c r="H37" i="68"/>
  <c r="F37" i="68"/>
  <c r="D37" i="68"/>
  <c r="H36" i="68"/>
  <c r="F36" i="68"/>
  <c r="D36" i="68"/>
  <c r="H35" i="68"/>
  <c r="F35" i="68"/>
  <c r="D35" i="68"/>
  <c r="H34" i="68"/>
  <c r="F34" i="68"/>
  <c r="D34" i="68"/>
  <c r="H33" i="68"/>
  <c r="F33" i="68"/>
  <c r="D33" i="68"/>
  <c r="H32" i="68"/>
  <c r="F32" i="68"/>
  <c r="D32" i="68"/>
  <c r="H31" i="68"/>
  <c r="F31" i="68"/>
  <c r="D31" i="68"/>
  <c r="H30" i="68"/>
  <c r="F30" i="68"/>
  <c r="D30" i="68"/>
  <c r="H29" i="68"/>
  <c r="F29" i="68"/>
  <c r="D29" i="68"/>
  <c r="F28" i="68"/>
  <c r="D28" i="68"/>
  <c r="H27" i="68"/>
  <c r="F27" i="68"/>
  <c r="D27" i="68"/>
  <c r="H26" i="68"/>
  <c r="F26" i="68"/>
  <c r="D26" i="68"/>
  <c r="H25" i="68"/>
  <c r="F25" i="68"/>
  <c r="D25" i="68"/>
  <c r="H24" i="68"/>
  <c r="F24" i="68"/>
  <c r="D24" i="68"/>
  <c r="H23" i="68"/>
  <c r="F23" i="68"/>
  <c r="D23" i="68"/>
  <c r="H22" i="68"/>
  <c r="F22" i="68"/>
  <c r="D22" i="68"/>
  <c r="H21" i="68"/>
  <c r="F21" i="68"/>
  <c r="D21" i="68"/>
  <c r="H20" i="68"/>
  <c r="F20" i="68"/>
  <c r="D20" i="68"/>
  <c r="H19" i="68"/>
  <c r="F19" i="68"/>
  <c r="D19" i="68"/>
  <c r="H18" i="68"/>
  <c r="F18" i="68"/>
  <c r="D18" i="68"/>
  <c r="H17" i="68"/>
  <c r="F17" i="68"/>
  <c r="D17" i="68"/>
  <c r="H16" i="68"/>
  <c r="F16" i="68"/>
  <c r="D16" i="68"/>
  <c r="H15" i="68"/>
  <c r="F15" i="68"/>
  <c r="D15" i="68"/>
  <c r="H14" i="68"/>
  <c r="F14" i="68"/>
  <c r="D14" i="68"/>
  <c r="H13" i="68"/>
  <c r="F13" i="68"/>
  <c r="D13" i="68"/>
  <c r="H12" i="68"/>
  <c r="F12" i="68"/>
  <c r="D12" i="68"/>
  <c r="H11" i="68"/>
  <c r="F11" i="68"/>
  <c r="D11" i="68"/>
  <c r="F10" i="68"/>
  <c r="D10" i="68"/>
  <c r="F9" i="68"/>
  <c r="D9" i="68"/>
  <c r="F8" i="68"/>
  <c r="D8" i="68"/>
  <c r="F7" i="68"/>
  <c r="D7" i="68"/>
  <c r="F6" i="68"/>
  <c r="D6" i="68"/>
  <c r="H5" i="68"/>
  <c r="F5" i="68"/>
  <c r="D5" i="68"/>
  <c r="H4" i="68"/>
  <c r="F4" i="68"/>
  <c r="D4" i="68"/>
  <c r="H3" i="68"/>
  <c r="F3" i="68"/>
  <c r="D3" i="68"/>
  <c r="H2" i="68"/>
  <c r="F2" i="68"/>
  <c r="D2" i="68"/>
  <c r="AE113" i="67"/>
  <c r="G39" i="68" s="1"/>
  <c r="AD113" i="67"/>
  <c r="AC113" i="67"/>
  <c r="AB113" i="67"/>
  <c r="AA113" i="67"/>
  <c r="Z113" i="67"/>
  <c r="S113" i="67"/>
  <c r="E39" i="68" s="1"/>
  <c r="AE112" i="67"/>
  <c r="G38" i="68" s="1"/>
  <c r="AD112" i="67"/>
  <c r="AC112" i="67"/>
  <c r="AB112" i="67"/>
  <c r="AA112" i="67"/>
  <c r="Z112" i="67"/>
  <c r="X112" i="67"/>
  <c r="S112" i="67"/>
  <c r="E38" i="68" s="1"/>
  <c r="R112" i="67"/>
  <c r="Q112" i="67"/>
  <c r="AE111" i="67"/>
  <c r="AD111" i="67"/>
  <c r="AC111" i="67"/>
  <c r="AB111" i="67"/>
  <c r="AA111" i="67"/>
  <c r="Z111" i="67"/>
  <c r="S111" i="67"/>
  <c r="AE110" i="67"/>
  <c r="G37" i="68" s="1"/>
  <c r="AD110" i="67"/>
  <c r="AC110" i="67"/>
  <c r="AB110" i="67"/>
  <c r="AA110" i="67"/>
  <c r="Z110" i="67"/>
  <c r="X110" i="67"/>
  <c r="S110" i="67"/>
  <c r="E37" i="68" s="1"/>
  <c r="AE109" i="67"/>
  <c r="AD109" i="67"/>
  <c r="AC109" i="67"/>
  <c r="AB109" i="67"/>
  <c r="AA109" i="67"/>
  <c r="Z109" i="67"/>
  <c r="S109" i="67"/>
  <c r="AE108" i="67"/>
  <c r="G36" i="68" s="1"/>
  <c r="AD108" i="67"/>
  <c r="AC108" i="67"/>
  <c r="AB108" i="67"/>
  <c r="AA108" i="67"/>
  <c r="Z108" i="67"/>
  <c r="S108" i="67"/>
  <c r="E36" i="68" s="1"/>
  <c r="R108" i="67"/>
  <c r="Q108" i="67"/>
  <c r="AE107" i="67"/>
  <c r="AD107" i="67"/>
  <c r="AC107" i="67"/>
  <c r="AB107" i="67"/>
  <c r="AA107" i="67"/>
  <c r="Z107" i="67"/>
  <c r="S107" i="67"/>
  <c r="AE106" i="67"/>
  <c r="AD106" i="67"/>
  <c r="AC106" i="67"/>
  <c r="AB106" i="67"/>
  <c r="AA106" i="67"/>
  <c r="Z106" i="67"/>
  <c r="S106" i="67"/>
  <c r="AE105" i="67"/>
  <c r="G35" i="68" s="1"/>
  <c r="AD105" i="67"/>
  <c r="AC105" i="67"/>
  <c r="AB105" i="67"/>
  <c r="AA105" i="67"/>
  <c r="Z105" i="67"/>
  <c r="X105" i="67"/>
  <c r="S105" i="67"/>
  <c r="E35" i="68" s="1"/>
  <c r="R105" i="67"/>
  <c r="Q105" i="67"/>
  <c r="AE104" i="67"/>
  <c r="AD104" i="67"/>
  <c r="AC104" i="67"/>
  <c r="AB104" i="67"/>
  <c r="AA104" i="67"/>
  <c r="Z104" i="67"/>
  <c r="S104" i="67"/>
  <c r="AE103" i="67"/>
  <c r="G34" i="68" s="1"/>
  <c r="AD103" i="67"/>
  <c r="AC103" i="67"/>
  <c r="AB103" i="67"/>
  <c r="AA103" i="67"/>
  <c r="Z103" i="67"/>
  <c r="X103" i="67"/>
  <c r="S103" i="67"/>
  <c r="E34" i="68" s="1"/>
  <c r="R103" i="67"/>
  <c r="Q103" i="67"/>
  <c r="AE102" i="67"/>
  <c r="AD102" i="67"/>
  <c r="AC102" i="67"/>
  <c r="AB102" i="67"/>
  <c r="AA102" i="67"/>
  <c r="Z102" i="67"/>
  <c r="S102" i="67"/>
  <c r="AE101" i="67"/>
  <c r="AD101" i="67"/>
  <c r="AC101" i="67"/>
  <c r="AB101" i="67"/>
  <c r="AA101" i="67"/>
  <c r="Z101" i="67"/>
  <c r="S101" i="67"/>
  <c r="AE100" i="67"/>
  <c r="G33" i="68" s="1"/>
  <c r="AD100" i="67"/>
  <c r="AC100" i="67"/>
  <c r="AB100" i="67"/>
  <c r="AA100" i="67"/>
  <c r="Z100" i="67"/>
  <c r="S100" i="67"/>
  <c r="E33" i="68" s="1"/>
  <c r="AE99" i="67"/>
  <c r="AD99" i="67"/>
  <c r="AC99" i="67"/>
  <c r="AB99" i="67"/>
  <c r="AA99" i="67"/>
  <c r="Z99" i="67"/>
  <c r="S99" i="67"/>
  <c r="AE98" i="67"/>
  <c r="AD98" i="67"/>
  <c r="AC98" i="67"/>
  <c r="AB98" i="67"/>
  <c r="AA98" i="67"/>
  <c r="Z98" i="67"/>
  <c r="S98" i="67"/>
  <c r="AE97" i="67"/>
  <c r="AD97" i="67"/>
  <c r="AC97" i="67"/>
  <c r="AB97" i="67"/>
  <c r="AA97" i="67"/>
  <c r="Z97" i="67"/>
  <c r="S97" i="67"/>
  <c r="AE96" i="67"/>
  <c r="AD96" i="67"/>
  <c r="AC96" i="67"/>
  <c r="AB96" i="67"/>
  <c r="AA96" i="67"/>
  <c r="Z96" i="67"/>
  <c r="S96" i="67"/>
  <c r="AE95" i="67"/>
  <c r="AD95" i="67"/>
  <c r="AC95" i="67"/>
  <c r="AB95" i="67"/>
  <c r="AA95" i="67"/>
  <c r="Z95" i="67"/>
  <c r="S95" i="67"/>
  <c r="AE94" i="67"/>
  <c r="AD94" i="67"/>
  <c r="AC94" i="67"/>
  <c r="AB94" i="67"/>
  <c r="AA94" i="67"/>
  <c r="Z94" i="67"/>
  <c r="S94" i="67"/>
  <c r="AE93" i="67"/>
  <c r="G32" i="68" s="1"/>
  <c r="AD93" i="67"/>
  <c r="AC93" i="67"/>
  <c r="AB93" i="67"/>
  <c r="AA93" i="67"/>
  <c r="Z93" i="67"/>
  <c r="S93" i="67"/>
  <c r="E32" i="68" s="1"/>
  <c r="AE92" i="67"/>
  <c r="G31" i="68" s="1"/>
  <c r="AD92" i="67"/>
  <c r="AC92" i="67"/>
  <c r="AB92" i="67"/>
  <c r="AA92" i="67"/>
  <c r="Z92" i="67"/>
  <c r="S92" i="67"/>
  <c r="E31" i="68" s="1"/>
  <c r="AE91" i="67"/>
  <c r="G30" i="68" s="1"/>
  <c r="AD91" i="67"/>
  <c r="AC91" i="67"/>
  <c r="AB91" i="67"/>
  <c r="AA91" i="67"/>
  <c r="Z91" i="67"/>
  <c r="X91" i="67"/>
  <c r="S91" i="67"/>
  <c r="E30" i="68" s="1"/>
  <c r="AE90" i="67"/>
  <c r="G29" i="68" s="1"/>
  <c r="AD90" i="67"/>
  <c r="AC90" i="67"/>
  <c r="AB90" i="67"/>
  <c r="AA90" i="67"/>
  <c r="Z90" i="67"/>
  <c r="X90" i="67"/>
  <c r="S90" i="67"/>
  <c r="E29" i="68" s="1"/>
  <c r="AE89" i="67"/>
  <c r="G28" i="68" s="1"/>
  <c r="AD89" i="67"/>
  <c r="AC89" i="67"/>
  <c r="AB89" i="67"/>
  <c r="AA89" i="67"/>
  <c r="Z89" i="67"/>
  <c r="S89" i="67"/>
  <c r="X89" i="67" s="1"/>
  <c r="H28" i="68" s="1"/>
  <c r="R89" i="67"/>
  <c r="Q89" i="67"/>
  <c r="AE88" i="67"/>
  <c r="AD88" i="67"/>
  <c r="AC88" i="67"/>
  <c r="AB88" i="67"/>
  <c r="AA88" i="67"/>
  <c r="Z88" i="67"/>
  <c r="S88" i="67"/>
  <c r="AE87" i="67"/>
  <c r="AD87" i="67"/>
  <c r="AC87" i="67"/>
  <c r="AB87" i="67"/>
  <c r="AA87" i="67"/>
  <c r="Z87" i="67"/>
  <c r="S87" i="67"/>
  <c r="AE86" i="67"/>
  <c r="AD86" i="67"/>
  <c r="AC86" i="67"/>
  <c r="AB86" i="67"/>
  <c r="AA86" i="67"/>
  <c r="Z86" i="67"/>
  <c r="S86" i="67"/>
  <c r="AE85" i="67"/>
  <c r="AD85" i="67"/>
  <c r="AC85" i="67"/>
  <c r="AB85" i="67"/>
  <c r="AA85" i="67"/>
  <c r="Z85" i="67"/>
  <c r="S85" i="67"/>
  <c r="AE84" i="67"/>
  <c r="AD84" i="67"/>
  <c r="AC84" i="67"/>
  <c r="AB84" i="67"/>
  <c r="AA84" i="67"/>
  <c r="Z84" i="67"/>
  <c r="S84" i="67"/>
  <c r="AE83" i="67"/>
  <c r="G27" i="68" s="1"/>
  <c r="AD83" i="67"/>
  <c r="AC83" i="67"/>
  <c r="AB83" i="67"/>
  <c r="AA83" i="67"/>
  <c r="Z83" i="67"/>
  <c r="Y83" i="67"/>
  <c r="W83" i="67"/>
  <c r="V83" i="67"/>
  <c r="U83" i="67"/>
  <c r="T83" i="67"/>
  <c r="S83" i="67"/>
  <c r="E27" i="68" s="1"/>
  <c r="R83" i="67"/>
  <c r="Q83" i="67"/>
  <c r="AE82" i="67"/>
  <c r="AD82" i="67"/>
  <c r="AC82" i="67"/>
  <c r="AB82" i="67"/>
  <c r="AA82" i="67"/>
  <c r="Z82" i="67"/>
  <c r="S82" i="67"/>
  <c r="AE81" i="67"/>
  <c r="AD81" i="67"/>
  <c r="AC81" i="67"/>
  <c r="AB81" i="67"/>
  <c r="AA81" i="67"/>
  <c r="Z81" i="67"/>
  <c r="X81" i="67"/>
  <c r="X83" i="67" s="1"/>
  <c r="S81" i="67"/>
  <c r="AE80" i="67"/>
  <c r="G26" i="68" s="1"/>
  <c r="AD80" i="67"/>
  <c r="AC80" i="67"/>
  <c r="AB80" i="67"/>
  <c r="AA80" i="67"/>
  <c r="Z80" i="67"/>
  <c r="S80" i="67"/>
  <c r="E26" i="68" s="1"/>
  <c r="R80" i="67"/>
  <c r="Q80" i="67"/>
  <c r="AE79" i="67"/>
  <c r="AD79" i="67"/>
  <c r="AC79" i="67"/>
  <c r="AB79" i="67"/>
  <c r="AA79" i="67"/>
  <c r="Z79" i="67"/>
  <c r="S79" i="67"/>
  <c r="AE78" i="67"/>
  <c r="AD78" i="67"/>
  <c r="AC78" i="67"/>
  <c r="AB78" i="67"/>
  <c r="AA78" i="67"/>
  <c r="Z78" i="67"/>
  <c r="S78" i="67"/>
  <c r="AE77" i="67"/>
  <c r="G25" i="68" s="1"/>
  <c r="AD77" i="67"/>
  <c r="AC77" i="67"/>
  <c r="AB77" i="67"/>
  <c r="AA77" i="67"/>
  <c r="Z77" i="67"/>
  <c r="Y77" i="67"/>
  <c r="X77" i="67"/>
  <c r="W77" i="67"/>
  <c r="V77" i="67"/>
  <c r="U77" i="67"/>
  <c r="T77" i="67"/>
  <c r="S77" i="67"/>
  <c r="E25" i="68" s="1"/>
  <c r="AE76" i="67"/>
  <c r="AD76" i="67"/>
  <c r="AC76" i="67"/>
  <c r="AB76" i="67"/>
  <c r="AA76" i="67"/>
  <c r="Z76" i="67"/>
  <c r="S76" i="67"/>
  <c r="AE75" i="67"/>
  <c r="AD75" i="67"/>
  <c r="AC75" i="67"/>
  <c r="AB75" i="67"/>
  <c r="AA75" i="67"/>
  <c r="Z75" i="67"/>
  <c r="S75" i="67"/>
  <c r="AE74" i="67"/>
  <c r="AD74" i="67"/>
  <c r="AC74" i="67"/>
  <c r="AB74" i="67"/>
  <c r="AA74" i="67"/>
  <c r="Z74" i="67"/>
  <c r="S74" i="67"/>
  <c r="AE73" i="67"/>
  <c r="G24" i="68" s="1"/>
  <c r="AD73" i="67"/>
  <c r="AC73" i="67"/>
  <c r="AB73" i="67"/>
  <c r="AA73" i="67"/>
  <c r="Z73" i="67"/>
  <c r="S73" i="67"/>
  <c r="E24" i="68" s="1"/>
  <c r="AE72" i="67"/>
  <c r="G23" i="68" s="1"/>
  <c r="AD72" i="67"/>
  <c r="AC72" i="67"/>
  <c r="AB72" i="67"/>
  <c r="AA72" i="67"/>
  <c r="Z72" i="67"/>
  <c r="Y72" i="67"/>
  <c r="W72" i="67"/>
  <c r="V72" i="67"/>
  <c r="U72" i="67"/>
  <c r="T72" i="67"/>
  <c r="S72" i="67"/>
  <c r="E23" i="68" s="1"/>
  <c r="R72" i="67"/>
  <c r="Q72" i="67"/>
  <c r="AE71" i="67"/>
  <c r="AD71" i="67"/>
  <c r="AC71" i="67"/>
  <c r="AB71" i="67"/>
  <c r="AA71" i="67"/>
  <c r="Z71" i="67"/>
  <c r="S71" i="67"/>
  <c r="AE70" i="67"/>
  <c r="AD70" i="67"/>
  <c r="AC70" i="67"/>
  <c r="AB70" i="67"/>
  <c r="AA70" i="67"/>
  <c r="Z70" i="67"/>
  <c r="X70" i="67"/>
  <c r="S70" i="67"/>
  <c r="AE69" i="67"/>
  <c r="AD69" i="67"/>
  <c r="AC69" i="67"/>
  <c r="AB69" i="67"/>
  <c r="AA69" i="67"/>
  <c r="Z69" i="67"/>
  <c r="X69" i="67"/>
  <c r="X72" i="67" s="1"/>
  <c r="S69" i="67"/>
  <c r="AE68" i="67"/>
  <c r="G22" i="68" s="1"/>
  <c r="AD68" i="67"/>
  <c r="AC68" i="67"/>
  <c r="AB68" i="67"/>
  <c r="AA68" i="67"/>
  <c r="Z68" i="67"/>
  <c r="S68" i="67"/>
  <c r="E22" i="68" s="1"/>
  <c r="R68" i="67"/>
  <c r="Q68" i="67"/>
  <c r="AE67" i="67"/>
  <c r="AD67" i="67"/>
  <c r="AC67" i="67"/>
  <c r="AB67" i="67"/>
  <c r="AA67" i="67"/>
  <c r="Z67" i="67"/>
  <c r="S67" i="67"/>
  <c r="AE66" i="67"/>
  <c r="AD66" i="67"/>
  <c r="AC66" i="67"/>
  <c r="AB66" i="67"/>
  <c r="AA66" i="67"/>
  <c r="Z66" i="67"/>
  <c r="S66" i="67"/>
  <c r="AE65" i="67"/>
  <c r="G21" i="68" s="1"/>
  <c r="AD65" i="67"/>
  <c r="AC65" i="67"/>
  <c r="AB65" i="67"/>
  <c r="AA65" i="67"/>
  <c r="Z65" i="67"/>
  <c r="S65" i="67"/>
  <c r="E21" i="68" s="1"/>
  <c r="R65" i="67"/>
  <c r="Q65" i="67"/>
  <c r="AE64" i="67"/>
  <c r="AD64" i="67"/>
  <c r="AC64" i="67"/>
  <c r="AB64" i="67"/>
  <c r="AA64" i="67"/>
  <c r="Z64" i="67"/>
  <c r="S64" i="67"/>
  <c r="AE63" i="67"/>
  <c r="AD63" i="67"/>
  <c r="AC63" i="67"/>
  <c r="AB63" i="67"/>
  <c r="AA63" i="67"/>
  <c r="Z63" i="67"/>
  <c r="S63" i="67"/>
  <c r="AE62" i="67"/>
  <c r="G20" i="68" s="1"/>
  <c r="AD62" i="67"/>
  <c r="AC62" i="67"/>
  <c r="AB62" i="67"/>
  <c r="AA62" i="67"/>
  <c r="Z62" i="67"/>
  <c r="S62" i="67"/>
  <c r="E20" i="68" s="1"/>
  <c r="R62" i="67"/>
  <c r="Q62" i="67"/>
  <c r="AE61" i="67"/>
  <c r="AD61" i="67"/>
  <c r="AC61" i="67"/>
  <c r="AB61" i="67"/>
  <c r="AA61" i="67"/>
  <c r="Z61" i="67"/>
  <c r="S61" i="67"/>
  <c r="AE60" i="67"/>
  <c r="G19" i="68" s="1"/>
  <c r="AD60" i="67"/>
  <c r="AC60" i="67"/>
  <c r="AB60" i="67"/>
  <c r="AA60" i="67"/>
  <c r="Z60" i="67"/>
  <c r="S60" i="67"/>
  <c r="E19" i="68" s="1"/>
  <c r="R60" i="67"/>
  <c r="Q60" i="67"/>
  <c r="AE59" i="67"/>
  <c r="AD59" i="67"/>
  <c r="AC59" i="67"/>
  <c r="AB59" i="67"/>
  <c r="AA59" i="67"/>
  <c r="Z59" i="67"/>
  <c r="S59" i="67"/>
  <c r="AE58" i="67"/>
  <c r="AD58" i="67"/>
  <c r="AC58" i="67"/>
  <c r="AB58" i="67"/>
  <c r="AA58" i="67"/>
  <c r="Z58" i="67"/>
  <c r="S58" i="67"/>
  <c r="AE57" i="67"/>
  <c r="G18" i="68" s="1"/>
  <c r="AD57" i="67"/>
  <c r="AC57" i="67"/>
  <c r="AB57" i="67"/>
  <c r="AA57" i="67"/>
  <c r="Z57" i="67"/>
  <c r="S57" i="67"/>
  <c r="E18" i="68" s="1"/>
  <c r="R57" i="67"/>
  <c r="Q57" i="67"/>
  <c r="AE56" i="67"/>
  <c r="AD56" i="67"/>
  <c r="AC56" i="67"/>
  <c r="AB56" i="67"/>
  <c r="AA56" i="67"/>
  <c r="Z56" i="67"/>
  <c r="S56" i="67"/>
  <c r="AE55" i="67"/>
  <c r="AD55" i="67"/>
  <c r="AC55" i="67"/>
  <c r="AB55" i="67"/>
  <c r="AA55" i="67"/>
  <c r="Z55" i="67"/>
  <c r="S55" i="67"/>
  <c r="AE54" i="67"/>
  <c r="G17" i="68" s="1"/>
  <c r="AD54" i="67"/>
  <c r="AC54" i="67"/>
  <c r="AB54" i="67"/>
  <c r="AA54" i="67"/>
  <c r="Z54" i="67"/>
  <c r="S54" i="67"/>
  <c r="E17" i="68" s="1"/>
  <c r="AE53" i="67"/>
  <c r="G16" i="68" s="1"/>
  <c r="AD53" i="67"/>
  <c r="AC53" i="67"/>
  <c r="AB53" i="67"/>
  <c r="AA53" i="67"/>
  <c r="Z53" i="67"/>
  <c r="S53" i="67"/>
  <c r="E16" i="68" s="1"/>
  <c r="R53" i="67"/>
  <c r="Q53" i="67"/>
  <c r="AE52" i="67"/>
  <c r="AD52" i="67"/>
  <c r="AC52" i="67"/>
  <c r="AB52" i="67"/>
  <c r="AA52" i="67"/>
  <c r="Z52" i="67"/>
  <c r="S52" i="67"/>
  <c r="AE51" i="67"/>
  <c r="AD51" i="67"/>
  <c r="AC51" i="67"/>
  <c r="AB51" i="67"/>
  <c r="AA51" i="67"/>
  <c r="Z51" i="67"/>
  <c r="S51" i="67"/>
  <c r="AE50" i="67"/>
  <c r="AD50" i="67"/>
  <c r="AC50" i="67"/>
  <c r="AB50" i="67"/>
  <c r="AA50" i="67"/>
  <c r="Z50" i="67"/>
  <c r="S50" i="67"/>
  <c r="AE49" i="67"/>
  <c r="G15" i="68" s="1"/>
  <c r="AD49" i="67"/>
  <c r="AC49" i="67"/>
  <c r="AB49" i="67"/>
  <c r="AA49" i="67"/>
  <c r="Z49" i="67"/>
  <c r="Y49" i="67"/>
  <c r="T49" i="67"/>
  <c r="U49" i="67" s="1"/>
  <c r="V49" i="67" s="1"/>
  <c r="W49" i="67" s="1"/>
  <c r="X49" i="67" s="1"/>
  <c r="S49" i="67"/>
  <c r="E15" i="68" s="1"/>
  <c r="AE48" i="67"/>
  <c r="AD48" i="67"/>
  <c r="AC48" i="67"/>
  <c r="AB48" i="67"/>
  <c r="AA48" i="67"/>
  <c r="Z48" i="67"/>
  <c r="S48" i="67"/>
  <c r="AE47" i="67"/>
  <c r="AD47" i="67"/>
  <c r="AC47" i="67"/>
  <c r="AB47" i="67"/>
  <c r="AA47" i="67"/>
  <c r="Z47" i="67"/>
  <c r="S47" i="67"/>
  <c r="AE46" i="67"/>
  <c r="AD46" i="67"/>
  <c r="AC46" i="67"/>
  <c r="AB46" i="67"/>
  <c r="AA46" i="67"/>
  <c r="Z46" i="67"/>
  <c r="S46" i="67"/>
  <c r="AE45" i="67"/>
  <c r="AD45" i="67"/>
  <c r="AC45" i="67"/>
  <c r="AB45" i="67"/>
  <c r="AA45" i="67"/>
  <c r="Z45" i="67"/>
  <c r="S45" i="67"/>
  <c r="AE44" i="67"/>
  <c r="G14" i="68" s="1"/>
  <c r="AD44" i="67"/>
  <c r="AC44" i="67"/>
  <c r="AB44" i="67"/>
  <c r="AA44" i="67"/>
  <c r="Z44" i="67"/>
  <c r="U44" i="67"/>
  <c r="V44" i="67" s="1"/>
  <c r="W44" i="67" s="1"/>
  <c r="X44" i="67" s="1"/>
  <c r="S44" i="67"/>
  <c r="E14" i="68" s="1"/>
  <c r="AE43" i="67"/>
  <c r="G13" i="68" s="1"/>
  <c r="AD43" i="67"/>
  <c r="AC43" i="67"/>
  <c r="AB43" i="67"/>
  <c r="AA43" i="67"/>
  <c r="Z43" i="67"/>
  <c r="U43" i="67"/>
  <c r="V43" i="67" s="1"/>
  <c r="W43" i="67" s="1"/>
  <c r="X43" i="67" s="1"/>
  <c r="S43" i="67"/>
  <c r="E13" i="68" s="1"/>
  <c r="AE42" i="67"/>
  <c r="G12" i="68" s="1"/>
  <c r="AD42" i="67"/>
  <c r="AC42" i="67"/>
  <c r="AB42" i="67"/>
  <c r="AA42" i="67"/>
  <c r="Z42" i="67"/>
  <c r="X42" i="67"/>
  <c r="S42" i="67"/>
  <c r="E12" i="68" s="1"/>
  <c r="AE41" i="67"/>
  <c r="AD41" i="67"/>
  <c r="AC41" i="67"/>
  <c r="AB41" i="67"/>
  <c r="AA41" i="67"/>
  <c r="Z41" i="67"/>
  <c r="S41" i="67"/>
  <c r="AE40" i="67"/>
  <c r="AD40" i="67"/>
  <c r="AC40" i="67"/>
  <c r="AB40" i="67"/>
  <c r="AA40" i="67"/>
  <c r="Z40" i="67"/>
  <c r="S40" i="67"/>
  <c r="AE39" i="67"/>
  <c r="G11" i="68" s="1"/>
  <c r="AD39" i="67"/>
  <c r="AC39" i="67"/>
  <c r="AB39" i="67"/>
  <c r="AA39" i="67"/>
  <c r="Z39" i="67"/>
  <c r="X39" i="67"/>
  <c r="S39" i="67"/>
  <c r="E11" i="68" s="1"/>
  <c r="R39" i="67"/>
  <c r="Q39" i="67"/>
  <c r="AE38" i="67"/>
  <c r="AD38" i="67"/>
  <c r="AC38" i="67"/>
  <c r="AB38" i="67"/>
  <c r="AA38" i="67"/>
  <c r="Z38" i="67"/>
  <c r="X38" i="67"/>
  <c r="S38" i="67"/>
  <c r="AE37" i="67"/>
  <c r="AD37" i="67"/>
  <c r="AC37" i="67"/>
  <c r="AB37" i="67"/>
  <c r="AA37" i="67"/>
  <c r="Z37" i="67"/>
  <c r="S37" i="67"/>
  <c r="AE36" i="67"/>
  <c r="G10" i="68" s="1"/>
  <c r="AD36" i="67"/>
  <c r="AC36" i="67"/>
  <c r="AB36" i="67"/>
  <c r="AA36" i="67"/>
  <c r="Z36" i="67"/>
  <c r="S36" i="67"/>
  <c r="X36" i="67" s="1"/>
  <c r="H10" i="68" s="1"/>
  <c r="AE35" i="67"/>
  <c r="AD35" i="67"/>
  <c r="AC35" i="67"/>
  <c r="AB35" i="67"/>
  <c r="AA35" i="67"/>
  <c r="Z35" i="67"/>
  <c r="S35" i="67"/>
  <c r="AE34" i="67"/>
  <c r="AD34" i="67"/>
  <c r="AC34" i="67"/>
  <c r="AB34" i="67"/>
  <c r="AA34" i="67"/>
  <c r="Z34" i="67"/>
  <c r="S34" i="67"/>
  <c r="AE33" i="67"/>
  <c r="AD33" i="67"/>
  <c r="AC33" i="67"/>
  <c r="AB33" i="67"/>
  <c r="AA33" i="67"/>
  <c r="Z33" i="67"/>
  <c r="S33" i="67"/>
  <c r="AE32" i="67"/>
  <c r="AD32" i="67"/>
  <c r="AC32" i="67"/>
  <c r="AB32" i="67"/>
  <c r="AA32" i="67"/>
  <c r="Z32" i="67"/>
  <c r="S32" i="67"/>
  <c r="AE31" i="67"/>
  <c r="AD31" i="67"/>
  <c r="AC31" i="67"/>
  <c r="AB31" i="67"/>
  <c r="AA31" i="67"/>
  <c r="Z31" i="67"/>
  <c r="S31" i="67"/>
  <c r="AE30" i="67"/>
  <c r="AD30" i="67"/>
  <c r="AC30" i="67"/>
  <c r="AB30" i="67"/>
  <c r="AA30" i="67"/>
  <c r="Z30" i="67"/>
  <c r="S30" i="67"/>
  <c r="AE29" i="67"/>
  <c r="AD29" i="67"/>
  <c r="AC29" i="67"/>
  <c r="AB29" i="67"/>
  <c r="AA29" i="67"/>
  <c r="Z29" i="67"/>
  <c r="S29" i="67"/>
  <c r="AE28" i="67"/>
  <c r="AD28" i="67"/>
  <c r="AC28" i="67"/>
  <c r="AB28" i="67"/>
  <c r="AA28" i="67"/>
  <c r="Z28" i="67"/>
  <c r="S28" i="67"/>
  <c r="AE27" i="67"/>
  <c r="AD27" i="67"/>
  <c r="AC27" i="67"/>
  <c r="AB27" i="67"/>
  <c r="AA27" i="67"/>
  <c r="Z27" i="67"/>
  <c r="S27" i="67"/>
  <c r="AE26" i="67"/>
  <c r="AD26" i="67"/>
  <c r="AC26" i="67"/>
  <c r="AB26" i="67"/>
  <c r="AA26" i="67"/>
  <c r="Z26" i="67"/>
  <c r="S26" i="67"/>
  <c r="AE25" i="67"/>
  <c r="AD25" i="67"/>
  <c r="AC25" i="67"/>
  <c r="AB25" i="67"/>
  <c r="AA25" i="67"/>
  <c r="Z25" i="67"/>
  <c r="S25" i="67"/>
  <c r="AE24" i="67"/>
  <c r="AD24" i="67"/>
  <c r="AC24" i="67"/>
  <c r="AB24" i="67"/>
  <c r="AA24" i="67"/>
  <c r="Z24" i="67"/>
  <c r="S24" i="67"/>
  <c r="AE23" i="67"/>
  <c r="G9" i="68" s="1"/>
  <c r="AD23" i="67"/>
  <c r="AC23" i="67"/>
  <c r="AB23" i="67"/>
  <c r="AA23" i="67"/>
  <c r="Z23" i="67"/>
  <c r="S23" i="67"/>
  <c r="X23" i="67" s="1"/>
  <c r="H9" i="68" s="1"/>
  <c r="AE22" i="67"/>
  <c r="AD22" i="67"/>
  <c r="AC22" i="67"/>
  <c r="AB22" i="67"/>
  <c r="AA22" i="67"/>
  <c r="Z22" i="67"/>
  <c r="S22" i="67"/>
  <c r="AE21" i="67"/>
  <c r="G8" i="68" s="1"/>
  <c r="AD21" i="67"/>
  <c r="AC21" i="67"/>
  <c r="AB21" i="67"/>
  <c r="AA21" i="67"/>
  <c r="Z21" i="67"/>
  <c r="S21" i="67"/>
  <c r="X21" i="67" s="1"/>
  <c r="H8" i="68" s="1"/>
  <c r="AE20" i="67"/>
  <c r="AD20" i="67"/>
  <c r="AC20" i="67"/>
  <c r="AB20" i="67"/>
  <c r="AA20" i="67"/>
  <c r="Z20" i="67"/>
  <c r="S20" i="67"/>
  <c r="AE19" i="67"/>
  <c r="G7" i="68" s="1"/>
  <c r="AD19" i="67"/>
  <c r="AC19" i="67"/>
  <c r="AB19" i="67"/>
  <c r="AA19" i="67"/>
  <c r="Z19" i="67"/>
  <c r="S19" i="67"/>
  <c r="X19" i="67" s="1"/>
  <c r="H7" i="68" s="1"/>
  <c r="AE18" i="67"/>
  <c r="AD18" i="67"/>
  <c r="AC18" i="67"/>
  <c r="AB18" i="67"/>
  <c r="AA18" i="67"/>
  <c r="Z18" i="67"/>
  <c r="S18" i="67"/>
  <c r="R18" i="67"/>
  <c r="Q18" i="67"/>
  <c r="E18" i="67"/>
  <c r="AE17" i="67"/>
  <c r="AD17" i="67"/>
  <c r="AC17" i="67"/>
  <c r="AB17" i="67"/>
  <c r="AA17" i="67"/>
  <c r="Z17" i="67"/>
  <c r="S17" i="67"/>
  <c r="AE16" i="67"/>
  <c r="AD16" i="67"/>
  <c r="AC16" i="67"/>
  <c r="AB16" i="67"/>
  <c r="AA16" i="67"/>
  <c r="Z16" i="67"/>
  <c r="S16" i="67"/>
  <c r="AE15" i="67"/>
  <c r="AD15" i="67"/>
  <c r="AC15" i="67"/>
  <c r="AB15" i="67"/>
  <c r="AA15" i="67"/>
  <c r="Z15" i="67"/>
  <c r="S15" i="67"/>
  <c r="AE14" i="67"/>
  <c r="AD14" i="67"/>
  <c r="AC14" i="67"/>
  <c r="AB14" i="67"/>
  <c r="AA14" i="67"/>
  <c r="Z14" i="67"/>
  <c r="S14" i="67"/>
  <c r="AE13" i="67"/>
  <c r="G6" i="68" s="1"/>
  <c r="AD13" i="67"/>
  <c r="AC13" i="67"/>
  <c r="AB13" i="67"/>
  <c r="AA13" i="67"/>
  <c r="Z13" i="67"/>
  <c r="S13" i="67"/>
  <c r="X13" i="67" s="1"/>
  <c r="H6" i="68" s="1"/>
  <c r="AE12" i="67"/>
  <c r="AD12" i="67"/>
  <c r="AC12" i="67"/>
  <c r="AB12" i="67"/>
  <c r="AA12" i="67"/>
  <c r="Z12" i="67"/>
  <c r="S12" i="67"/>
  <c r="AE11" i="67"/>
  <c r="G5" i="68" s="1"/>
  <c r="AD11" i="67"/>
  <c r="AC11" i="67"/>
  <c r="AB11" i="67"/>
  <c r="AA11" i="67"/>
  <c r="Z11" i="67"/>
  <c r="X11" i="67"/>
  <c r="S11" i="67"/>
  <c r="E5" i="68" s="1"/>
  <c r="R11" i="67"/>
  <c r="Q11" i="67"/>
  <c r="AE10" i="67"/>
  <c r="AD10" i="67"/>
  <c r="AC10" i="67"/>
  <c r="AB10" i="67"/>
  <c r="AA10" i="67"/>
  <c r="Z10" i="67"/>
  <c r="S10" i="67"/>
  <c r="AE9" i="67"/>
  <c r="AD9" i="67"/>
  <c r="AC9" i="67"/>
  <c r="AB9" i="67"/>
  <c r="AA9" i="67"/>
  <c r="Z9" i="67"/>
  <c r="S9" i="67"/>
  <c r="AE8" i="67"/>
  <c r="G4" i="68" s="1"/>
  <c r="AD8" i="67"/>
  <c r="AC8" i="67"/>
  <c r="AB8" i="67"/>
  <c r="AA8" i="67"/>
  <c r="Z8" i="67"/>
  <c r="Y8" i="67"/>
  <c r="X8" i="67" s="1"/>
  <c r="W8" i="67"/>
  <c r="V8" i="67"/>
  <c r="U8" i="67"/>
  <c r="T8" i="67"/>
  <c r="S8" i="67"/>
  <c r="E4" i="68" s="1"/>
  <c r="R8" i="67"/>
  <c r="Q8" i="67"/>
  <c r="AE7" i="67"/>
  <c r="AD7" i="67"/>
  <c r="AC7" i="67"/>
  <c r="AB7" i="67"/>
  <c r="AA7" i="67"/>
  <c r="Z7" i="67"/>
  <c r="X7" i="67"/>
  <c r="S7" i="67"/>
  <c r="AE6" i="67"/>
  <c r="AD6" i="67"/>
  <c r="AC6" i="67"/>
  <c r="AB6" i="67"/>
  <c r="AA6" i="67"/>
  <c r="Z6" i="67"/>
  <c r="S6" i="67"/>
  <c r="AE5" i="67"/>
  <c r="G3" i="68" s="1"/>
  <c r="AD5" i="67"/>
  <c r="AC5" i="67"/>
  <c r="AB5" i="67"/>
  <c r="AA5" i="67"/>
  <c r="Z5" i="67"/>
  <c r="S5" i="67"/>
  <c r="E3" i="68" s="1"/>
  <c r="R5" i="67"/>
  <c r="Q5" i="67"/>
  <c r="AE4" i="67"/>
  <c r="AD4" i="67"/>
  <c r="AC4" i="67"/>
  <c r="AB4" i="67"/>
  <c r="AA4" i="67"/>
  <c r="Z4" i="67"/>
  <c r="S4" i="67"/>
  <c r="AE3" i="67"/>
  <c r="G2" i="68" s="1"/>
  <c r="AD3" i="67"/>
  <c r="AC3" i="67"/>
  <c r="AB3" i="67"/>
  <c r="AA3" i="67"/>
  <c r="Z3" i="67"/>
  <c r="X3" i="67"/>
  <c r="S3" i="67"/>
  <c r="E2" i="68" s="1"/>
  <c r="C10" i="80" l="1"/>
  <c r="L10" i="91"/>
  <c r="C6" i="80"/>
  <c r="L6" i="91"/>
  <c r="C9" i="80"/>
  <c r="L9" i="91"/>
  <c r="C7" i="80"/>
  <c r="L7" i="91"/>
  <c r="C5" i="80"/>
  <c r="E7" i="68"/>
  <c r="E8" i="68"/>
  <c r="E28" i="68"/>
  <c r="E9" i="68"/>
  <c r="E6" i="68"/>
  <c r="E10" i="68"/>
  <c r="I5" i="68"/>
  <c r="L5" i="68" s="1"/>
  <c r="I15" i="68"/>
  <c r="L15" i="68" s="1"/>
  <c r="I20" i="68"/>
  <c r="L20" i="68" s="1"/>
  <c r="I24" i="68"/>
  <c r="L24" i="68" s="1"/>
  <c r="I25" i="68"/>
  <c r="L25" i="68" s="1"/>
  <c r="I29" i="68"/>
  <c r="L29" i="68" s="1"/>
  <c r="I30" i="68"/>
  <c r="L30" i="68" s="1"/>
  <c r="I34" i="68"/>
  <c r="L34" i="68" s="1"/>
  <c r="I35" i="68"/>
  <c r="L35" i="68" s="1"/>
  <c r="I39" i="68"/>
  <c r="L39" i="68" s="1"/>
  <c r="I4" i="68"/>
  <c r="L4" i="68" s="1"/>
  <c r="I14" i="68"/>
  <c r="L14" i="68" s="1"/>
  <c r="I19" i="68"/>
  <c r="L19" i="68" s="1"/>
  <c r="I23" i="68"/>
  <c r="L23" i="68" s="1"/>
  <c r="I33" i="68"/>
  <c r="L33" i="68" s="1"/>
  <c r="I38" i="68"/>
  <c r="L38" i="68" s="1"/>
  <c r="I2" i="68"/>
  <c r="L2" i="68" s="1"/>
  <c r="I3" i="68"/>
  <c r="L3" i="68" s="1"/>
  <c r="I13" i="68"/>
  <c r="L13" i="68" s="1"/>
  <c r="I18" i="68"/>
  <c r="L18" i="68" s="1"/>
  <c r="I22" i="68"/>
  <c r="L22" i="68" s="1"/>
  <c r="I27" i="68"/>
  <c r="L27" i="68" s="1"/>
  <c r="I32" i="68"/>
  <c r="L32" i="68" s="1"/>
  <c r="I37" i="68"/>
  <c r="L37" i="68" s="1"/>
  <c r="I11" i="68"/>
  <c r="L11" i="68" s="1"/>
  <c r="I12" i="68"/>
  <c r="L12" i="68" s="1"/>
  <c r="I16" i="68"/>
  <c r="L16" i="68" s="1"/>
  <c r="I17" i="68"/>
  <c r="L17" i="68" s="1"/>
  <c r="I21" i="68"/>
  <c r="L21" i="68" s="1"/>
  <c r="I26" i="68"/>
  <c r="L26" i="68" s="1"/>
  <c r="I31" i="68"/>
  <c r="L31" i="68" s="1"/>
  <c r="L5" i="91" l="1"/>
  <c r="C12" i="91"/>
  <c r="B15" i="91" s="1"/>
  <c r="M11" i="68"/>
  <c r="I36" i="68"/>
  <c r="L36" i="68" s="1"/>
  <c r="M34" i="68" s="1"/>
  <c r="I7" i="68"/>
  <c r="L7" i="68" s="1"/>
  <c r="M2" i="68"/>
  <c r="M16" i="68"/>
  <c r="I10" i="68"/>
  <c r="L10" i="68" s="1"/>
  <c r="I6" i="68"/>
  <c r="L6" i="68" s="1"/>
  <c r="I8" i="68"/>
  <c r="L8" i="68" s="1"/>
  <c r="I9" i="68"/>
  <c r="L9" i="68" s="1"/>
  <c r="I28" i="68"/>
  <c r="L28" i="68" s="1"/>
  <c r="M24" i="68" s="1"/>
  <c r="M29" i="68"/>
  <c r="H39" i="66"/>
  <c r="F39" i="66"/>
  <c r="E39" i="66"/>
  <c r="D39" i="66"/>
  <c r="H38" i="66"/>
  <c r="F38" i="66"/>
  <c r="E38" i="66"/>
  <c r="D38" i="66"/>
  <c r="H37" i="66"/>
  <c r="F37" i="66"/>
  <c r="E37" i="66"/>
  <c r="D37" i="66"/>
  <c r="H36" i="66"/>
  <c r="F36" i="66"/>
  <c r="E36" i="66"/>
  <c r="D36" i="66"/>
  <c r="H35" i="66"/>
  <c r="F35" i="66"/>
  <c r="E35" i="66"/>
  <c r="D35" i="66"/>
  <c r="H34" i="66"/>
  <c r="F34" i="66"/>
  <c r="E34" i="66"/>
  <c r="D34" i="66"/>
  <c r="H33" i="66"/>
  <c r="F33" i="66"/>
  <c r="E33" i="66"/>
  <c r="D33" i="66"/>
  <c r="H32" i="66"/>
  <c r="F32" i="66"/>
  <c r="E32" i="66"/>
  <c r="D32" i="66"/>
  <c r="H31" i="66"/>
  <c r="F31" i="66"/>
  <c r="E31" i="66"/>
  <c r="D31" i="66"/>
  <c r="H30" i="66"/>
  <c r="F30" i="66"/>
  <c r="E30" i="66"/>
  <c r="D30" i="66"/>
  <c r="H29" i="66"/>
  <c r="F29" i="66"/>
  <c r="E29" i="66"/>
  <c r="D29" i="66"/>
  <c r="H28" i="66"/>
  <c r="F28" i="66"/>
  <c r="E28" i="66"/>
  <c r="D28" i="66"/>
  <c r="H27" i="66"/>
  <c r="F27" i="66"/>
  <c r="E27" i="66"/>
  <c r="D27" i="66"/>
  <c r="H26" i="66"/>
  <c r="F26" i="66"/>
  <c r="E26" i="66"/>
  <c r="D26" i="66"/>
  <c r="H25" i="66"/>
  <c r="F25" i="66"/>
  <c r="E25" i="66"/>
  <c r="D25" i="66"/>
  <c r="H24" i="66"/>
  <c r="F24" i="66"/>
  <c r="E24" i="66"/>
  <c r="D24" i="66"/>
  <c r="H23" i="66"/>
  <c r="F23" i="66"/>
  <c r="E23" i="66"/>
  <c r="D23" i="66"/>
  <c r="H22" i="66"/>
  <c r="F22" i="66"/>
  <c r="E22" i="66"/>
  <c r="D22" i="66"/>
  <c r="H21" i="66"/>
  <c r="F21" i="66"/>
  <c r="E21" i="66"/>
  <c r="D21" i="66"/>
  <c r="H20" i="66"/>
  <c r="F20" i="66"/>
  <c r="E20" i="66"/>
  <c r="D20" i="66"/>
  <c r="H19" i="66"/>
  <c r="F19" i="66"/>
  <c r="E19" i="66"/>
  <c r="D19" i="66"/>
  <c r="H18" i="66"/>
  <c r="F18" i="66"/>
  <c r="E18" i="66"/>
  <c r="D18" i="66"/>
  <c r="H17" i="66"/>
  <c r="F17" i="66"/>
  <c r="E17" i="66"/>
  <c r="D17" i="66"/>
  <c r="H16" i="66"/>
  <c r="F16" i="66"/>
  <c r="E16" i="66"/>
  <c r="D16" i="66"/>
  <c r="H15" i="66"/>
  <c r="F15" i="66"/>
  <c r="E15" i="66"/>
  <c r="D15" i="66"/>
  <c r="H14" i="66"/>
  <c r="F14" i="66"/>
  <c r="E14" i="66"/>
  <c r="D14" i="66"/>
  <c r="H13" i="66"/>
  <c r="F13" i="66"/>
  <c r="E13" i="66"/>
  <c r="D13" i="66"/>
  <c r="H12" i="66"/>
  <c r="F12" i="66"/>
  <c r="E12" i="66"/>
  <c r="D12" i="66"/>
  <c r="H11" i="66"/>
  <c r="F11" i="66"/>
  <c r="E11" i="66"/>
  <c r="D11" i="66"/>
  <c r="H10" i="66"/>
  <c r="F10" i="66"/>
  <c r="E10" i="66"/>
  <c r="D10" i="66"/>
  <c r="H9" i="66"/>
  <c r="F9" i="66"/>
  <c r="E9" i="66"/>
  <c r="D9" i="66"/>
  <c r="H8" i="66"/>
  <c r="F8" i="66"/>
  <c r="E8" i="66"/>
  <c r="D8" i="66"/>
  <c r="H7" i="66"/>
  <c r="F7" i="66"/>
  <c r="E7" i="66"/>
  <c r="D7" i="66"/>
  <c r="H6" i="66"/>
  <c r="F6" i="66"/>
  <c r="E6" i="66"/>
  <c r="D6" i="66"/>
  <c r="H5" i="66"/>
  <c r="F5" i="66"/>
  <c r="E5" i="66"/>
  <c r="D5" i="66"/>
  <c r="H4" i="66"/>
  <c r="F4" i="66"/>
  <c r="E4" i="66"/>
  <c r="D4" i="66"/>
  <c r="H3" i="66"/>
  <c r="F3" i="66"/>
  <c r="E3" i="66"/>
  <c r="D3" i="66"/>
  <c r="H2" i="66"/>
  <c r="F2" i="66"/>
  <c r="E2" i="66"/>
  <c r="D2" i="66"/>
  <c r="AB113" i="65"/>
  <c r="G39" i="66" s="1"/>
  <c r="AA113" i="65"/>
  <c r="Z113" i="65"/>
  <c r="Y113" i="65"/>
  <c r="AB112" i="65"/>
  <c r="G38" i="66" s="1"/>
  <c r="AA112" i="65"/>
  <c r="Z112" i="65"/>
  <c r="Y112" i="65"/>
  <c r="X112" i="65"/>
  <c r="Q112" i="65"/>
  <c r="P112" i="65"/>
  <c r="AB111" i="65"/>
  <c r="AA111" i="65"/>
  <c r="Z111" i="65"/>
  <c r="Y111" i="65"/>
  <c r="AB110" i="65"/>
  <c r="G37" i="66" s="1"/>
  <c r="AA110" i="65"/>
  <c r="Z110" i="65"/>
  <c r="Y110" i="65"/>
  <c r="AB109" i="65"/>
  <c r="AA109" i="65"/>
  <c r="Z109" i="65"/>
  <c r="Y109" i="65"/>
  <c r="AB108" i="65"/>
  <c r="G36" i="66" s="1"/>
  <c r="AA108" i="65"/>
  <c r="Z108" i="65"/>
  <c r="Y108" i="65"/>
  <c r="X108" i="65"/>
  <c r="Q108" i="65"/>
  <c r="P108" i="65"/>
  <c r="AB107" i="65"/>
  <c r="AA107" i="65"/>
  <c r="Z107" i="65"/>
  <c r="Y107" i="65"/>
  <c r="AB106" i="65"/>
  <c r="AA106" i="65"/>
  <c r="Z106" i="65"/>
  <c r="Y106" i="65"/>
  <c r="AB105" i="65"/>
  <c r="G35" i="66" s="1"/>
  <c r="AA105" i="65"/>
  <c r="Z105" i="65"/>
  <c r="Y105" i="65"/>
  <c r="X105" i="65"/>
  <c r="Q105" i="65"/>
  <c r="P105" i="65"/>
  <c r="AB104" i="65"/>
  <c r="AA104" i="65"/>
  <c r="Z104" i="65"/>
  <c r="Y104" i="65"/>
  <c r="AB103" i="65"/>
  <c r="G34" i="66" s="1"/>
  <c r="AA103" i="65"/>
  <c r="Z103" i="65"/>
  <c r="Y103" i="65"/>
  <c r="X103" i="65"/>
  <c r="Q103" i="65"/>
  <c r="P103" i="65"/>
  <c r="AB102" i="65"/>
  <c r="AA102" i="65"/>
  <c r="Z102" i="65"/>
  <c r="Y102" i="65"/>
  <c r="AB101" i="65"/>
  <c r="AA101" i="65"/>
  <c r="Z101" i="65"/>
  <c r="Y101" i="65"/>
  <c r="AB100" i="65"/>
  <c r="G33" i="66" s="1"/>
  <c r="AA100" i="65"/>
  <c r="Z100" i="65"/>
  <c r="Y100" i="65"/>
  <c r="X100" i="65"/>
  <c r="AB99" i="65"/>
  <c r="AA99" i="65"/>
  <c r="Z99" i="65"/>
  <c r="Y99" i="65"/>
  <c r="AB98" i="65"/>
  <c r="AA98" i="65"/>
  <c r="Z98" i="65"/>
  <c r="Y98" i="65"/>
  <c r="AB97" i="65"/>
  <c r="AA97" i="65"/>
  <c r="Z97" i="65"/>
  <c r="Y97" i="65"/>
  <c r="AB96" i="65"/>
  <c r="AA96" i="65"/>
  <c r="Z96" i="65"/>
  <c r="Y96" i="65"/>
  <c r="AB95" i="65"/>
  <c r="AA95" i="65"/>
  <c r="Z95" i="65"/>
  <c r="Y95" i="65"/>
  <c r="AB94" i="65"/>
  <c r="AA94" i="65"/>
  <c r="Z94" i="65"/>
  <c r="Y94" i="65"/>
  <c r="AB93" i="65"/>
  <c r="G32" i="66" s="1"/>
  <c r="AA93" i="65"/>
  <c r="Z93" i="65"/>
  <c r="Y93" i="65"/>
  <c r="AB92" i="65"/>
  <c r="G31" i="66" s="1"/>
  <c r="AA92" i="65"/>
  <c r="Z92" i="65"/>
  <c r="Y92" i="65"/>
  <c r="AB91" i="65"/>
  <c r="G30" i="66" s="1"/>
  <c r="AA91" i="65"/>
  <c r="Z91" i="65"/>
  <c r="Y91" i="65"/>
  <c r="AB90" i="65"/>
  <c r="G29" i="66" s="1"/>
  <c r="AA90" i="65"/>
  <c r="Z90" i="65"/>
  <c r="Y90" i="65"/>
  <c r="AB89" i="65"/>
  <c r="G28" i="66" s="1"/>
  <c r="AA89" i="65"/>
  <c r="Z89" i="65"/>
  <c r="Y89" i="65"/>
  <c r="X89" i="65"/>
  <c r="Q89" i="65"/>
  <c r="P89" i="65"/>
  <c r="AB88" i="65"/>
  <c r="AA88" i="65"/>
  <c r="Z88" i="65"/>
  <c r="Y88" i="65"/>
  <c r="AB87" i="65"/>
  <c r="AA87" i="65"/>
  <c r="Z87" i="65"/>
  <c r="Y87" i="65"/>
  <c r="AB86" i="65"/>
  <c r="AA86" i="65"/>
  <c r="Z86" i="65"/>
  <c r="Y86" i="65"/>
  <c r="AB85" i="65"/>
  <c r="AA85" i="65"/>
  <c r="Z85" i="65"/>
  <c r="Y85" i="65"/>
  <c r="AB84" i="65"/>
  <c r="AA84" i="65"/>
  <c r="Z84" i="65"/>
  <c r="Y84" i="65"/>
  <c r="AB83" i="65"/>
  <c r="G27" i="66" s="1"/>
  <c r="AA83" i="65"/>
  <c r="Z83" i="65"/>
  <c r="Y83" i="65"/>
  <c r="X83" i="65"/>
  <c r="W83" i="65"/>
  <c r="V83" i="65"/>
  <c r="U83" i="65"/>
  <c r="T83" i="65"/>
  <c r="S83" i="65"/>
  <c r="R83" i="65"/>
  <c r="Q83" i="65"/>
  <c r="P83" i="65"/>
  <c r="AB82" i="65"/>
  <c r="AA82" i="65"/>
  <c r="Z82" i="65"/>
  <c r="Y82" i="65"/>
  <c r="AB81" i="65"/>
  <c r="AA81" i="65"/>
  <c r="Z81" i="65"/>
  <c r="Y81" i="65"/>
  <c r="AB80" i="65"/>
  <c r="G26" i="66" s="1"/>
  <c r="AA80" i="65"/>
  <c r="Z80" i="65"/>
  <c r="Y80" i="65"/>
  <c r="X80" i="65"/>
  <c r="Q80" i="65"/>
  <c r="P80" i="65"/>
  <c r="AB79" i="65"/>
  <c r="AA79" i="65"/>
  <c r="Z79" i="65"/>
  <c r="Y79" i="65"/>
  <c r="AB78" i="65"/>
  <c r="AA78" i="65"/>
  <c r="Z78" i="65"/>
  <c r="Y78" i="65"/>
  <c r="AB77" i="65"/>
  <c r="G25" i="66" s="1"/>
  <c r="AA77" i="65"/>
  <c r="Z77" i="65"/>
  <c r="Y77" i="65"/>
  <c r="X77" i="65"/>
  <c r="W77" i="65"/>
  <c r="V77" i="65"/>
  <c r="U77" i="65"/>
  <c r="T77" i="65"/>
  <c r="S77" i="65"/>
  <c r="R77" i="65"/>
  <c r="AB76" i="65"/>
  <c r="AA76" i="65"/>
  <c r="Z76" i="65"/>
  <c r="Y76" i="65"/>
  <c r="AB75" i="65"/>
  <c r="AA75" i="65"/>
  <c r="Z75" i="65"/>
  <c r="Y75" i="65"/>
  <c r="AB74" i="65"/>
  <c r="AA74" i="65"/>
  <c r="Z74" i="65"/>
  <c r="Y74" i="65"/>
  <c r="AB73" i="65"/>
  <c r="G24" i="66" s="1"/>
  <c r="AA73" i="65"/>
  <c r="Z73" i="65"/>
  <c r="Y73" i="65"/>
  <c r="AB72" i="65"/>
  <c r="G23" i="66" s="1"/>
  <c r="AA72" i="65"/>
  <c r="Z72" i="65"/>
  <c r="Y72" i="65"/>
  <c r="X72" i="65"/>
  <c r="W72" i="65"/>
  <c r="V72" i="65"/>
  <c r="U72" i="65"/>
  <c r="T72" i="65"/>
  <c r="S72" i="65"/>
  <c r="R72" i="65"/>
  <c r="Q72" i="65"/>
  <c r="P72" i="65"/>
  <c r="AB71" i="65"/>
  <c r="AA71" i="65"/>
  <c r="Z71" i="65"/>
  <c r="Y71" i="65"/>
  <c r="AB70" i="65"/>
  <c r="AA70" i="65"/>
  <c r="Z70" i="65"/>
  <c r="Y70" i="65"/>
  <c r="AB69" i="65"/>
  <c r="AA69" i="65"/>
  <c r="Z69" i="65"/>
  <c r="Y69" i="65"/>
  <c r="AB68" i="65"/>
  <c r="G22" i="66" s="1"/>
  <c r="AA68" i="65"/>
  <c r="Z68" i="65"/>
  <c r="Y68" i="65"/>
  <c r="X68" i="65"/>
  <c r="Q68" i="65"/>
  <c r="P68" i="65"/>
  <c r="AB67" i="65"/>
  <c r="AA67" i="65"/>
  <c r="Z67" i="65"/>
  <c r="Y67" i="65"/>
  <c r="AB66" i="65"/>
  <c r="AA66" i="65"/>
  <c r="Z66" i="65"/>
  <c r="Y66" i="65"/>
  <c r="AB65" i="65"/>
  <c r="G21" i="66" s="1"/>
  <c r="AA65" i="65"/>
  <c r="Z65" i="65"/>
  <c r="Y65" i="65"/>
  <c r="X65" i="65"/>
  <c r="Q65" i="65"/>
  <c r="P65" i="65"/>
  <c r="AB64" i="65"/>
  <c r="AA64" i="65"/>
  <c r="Z64" i="65"/>
  <c r="Y64" i="65"/>
  <c r="AB63" i="65"/>
  <c r="AA63" i="65"/>
  <c r="Z63" i="65"/>
  <c r="Y63" i="65"/>
  <c r="AB62" i="65"/>
  <c r="G20" i="66" s="1"/>
  <c r="AA62" i="65"/>
  <c r="Z62" i="65"/>
  <c r="Y62" i="65"/>
  <c r="X62" i="65"/>
  <c r="Q62" i="65"/>
  <c r="P62" i="65"/>
  <c r="AB61" i="65"/>
  <c r="AA61" i="65"/>
  <c r="Z61" i="65"/>
  <c r="Y61" i="65"/>
  <c r="AB60" i="65"/>
  <c r="G19" i="66" s="1"/>
  <c r="AA60" i="65"/>
  <c r="Z60" i="65"/>
  <c r="Y60" i="65"/>
  <c r="X60" i="65"/>
  <c r="Q60" i="65"/>
  <c r="P60" i="65"/>
  <c r="AB59" i="65"/>
  <c r="AA59" i="65"/>
  <c r="Z59" i="65"/>
  <c r="Y59" i="65"/>
  <c r="AB58" i="65"/>
  <c r="AA58" i="65"/>
  <c r="Z58" i="65"/>
  <c r="Y58" i="65"/>
  <c r="AB57" i="65"/>
  <c r="G18" i="66" s="1"/>
  <c r="AA57" i="65"/>
  <c r="Z57" i="65"/>
  <c r="Y57" i="65"/>
  <c r="X57" i="65"/>
  <c r="Q57" i="65"/>
  <c r="P57" i="65"/>
  <c r="AB56" i="65"/>
  <c r="AA56" i="65"/>
  <c r="Z56" i="65"/>
  <c r="Y56" i="65"/>
  <c r="AB55" i="65"/>
  <c r="AA55" i="65"/>
  <c r="Z55" i="65"/>
  <c r="Y55" i="65"/>
  <c r="AB54" i="65"/>
  <c r="G17" i="66" s="1"/>
  <c r="AA54" i="65"/>
  <c r="Z54" i="65"/>
  <c r="Y54" i="65"/>
  <c r="AB53" i="65"/>
  <c r="G16" i="66" s="1"/>
  <c r="AA53" i="65"/>
  <c r="Z53" i="65"/>
  <c r="Y53" i="65"/>
  <c r="X53" i="65"/>
  <c r="Q53" i="65"/>
  <c r="P53" i="65"/>
  <c r="AB52" i="65"/>
  <c r="AA52" i="65"/>
  <c r="Z52" i="65"/>
  <c r="Y52" i="65"/>
  <c r="AB51" i="65"/>
  <c r="AA51" i="65"/>
  <c r="Z51" i="65"/>
  <c r="Y51" i="65"/>
  <c r="AB50" i="65"/>
  <c r="AA50" i="65"/>
  <c r="Z50" i="65"/>
  <c r="Y50" i="65"/>
  <c r="AB49" i="65"/>
  <c r="G15" i="66" s="1"/>
  <c r="AA49" i="65"/>
  <c r="Z49" i="65"/>
  <c r="Y49" i="65"/>
  <c r="W49" i="65"/>
  <c r="R49" i="65"/>
  <c r="S49" i="65" s="1"/>
  <c r="T49" i="65" s="1"/>
  <c r="U49" i="65" s="1"/>
  <c r="V49" i="65" s="1"/>
  <c r="AB48" i="65"/>
  <c r="AA48" i="65"/>
  <c r="Z48" i="65"/>
  <c r="Y48" i="65"/>
  <c r="AB47" i="65"/>
  <c r="AA47" i="65"/>
  <c r="Z47" i="65"/>
  <c r="Y47" i="65"/>
  <c r="AB46" i="65"/>
  <c r="AA46" i="65"/>
  <c r="Z46" i="65"/>
  <c r="Y46" i="65"/>
  <c r="AB45" i="65"/>
  <c r="AA45" i="65"/>
  <c r="Z45" i="65"/>
  <c r="Y45" i="65"/>
  <c r="AB44" i="65"/>
  <c r="G14" i="66" s="1"/>
  <c r="AA44" i="65"/>
  <c r="Z44" i="65"/>
  <c r="Y44" i="65"/>
  <c r="S44" i="65"/>
  <c r="T44" i="65" s="1"/>
  <c r="U44" i="65" s="1"/>
  <c r="V44" i="65" s="1"/>
  <c r="AB43" i="65"/>
  <c r="G13" i="66" s="1"/>
  <c r="AA43" i="65"/>
  <c r="Z43" i="65"/>
  <c r="Y43" i="65"/>
  <c r="S43" i="65"/>
  <c r="T43" i="65" s="1"/>
  <c r="U43" i="65" s="1"/>
  <c r="V43" i="65" s="1"/>
  <c r="AB42" i="65"/>
  <c r="G12" i="66" s="1"/>
  <c r="AA42" i="65"/>
  <c r="Z42" i="65"/>
  <c r="Y42" i="65"/>
  <c r="AB41" i="65"/>
  <c r="AA41" i="65"/>
  <c r="Z41" i="65"/>
  <c r="Y41" i="65"/>
  <c r="AB40" i="65"/>
  <c r="AA40" i="65"/>
  <c r="Z40" i="65"/>
  <c r="Y40" i="65"/>
  <c r="AB39" i="65"/>
  <c r="G11" i="66" s="1"/>
  <c r="AA39" i="65"/>
  <c r="Z39" i="65"/>
  <c r="Y39" i="65"/>
  <c r="X39" i="65"/>
  <c r="Q39" i="65"/>
  <c r="P39" i="65"/>
  <c r="AB38" i="65"/>
  <c r="AA38" i="65"/>
  <c r="Z38" i="65"/>
  <c r="Y38" i="65"/>
  <c r="AB37" i="65"/>
  <c r="AA37" i="65"/>
  <c r="Z37" i="65"/>
  <c r="Y37" i="65"/>
  <c r="AB36" i="65"/>
  <c r="G10" i="66" s="1"/>
  <c r="AA36" i="65"/>
  <c r="Z36" i="65"/>
  <c r="Y36" i="65"/>
  <c r="X36" i="65"/>
  <c r="AB35" i="65"/>
  <c r="X35" i="65"/>
  <c r="Q35" i="65"/>
  <c r="P35" i="65"/>
  <c r="AB34" i="65"/>
  <c r="AA34" i="65"/>
  <c r="Z34" i="65"/>
  <c r="Y34" i="65"/>
  <c r="AB33" i="65"/>
  <c r="AA33" i="65"/>
  <c r="Z33" i="65"/>
  <c r="Y33" i="65"/>
  <c r="AB32" i="65"/>
  <c r="AA32" i="65"/>
  <c r="Z32" i="65"/>
  <c r="Y32" i="65"/>
  <c r="AB31" i="65"/>
  <c r="AA31" i="65"/>
  <c r="Z31" i="65"/>
  <c r="Y31" i="65"/>
  <c r="AB30" i="65"/>
  <c r="AA30" i="65"/>
  <c r="Z30" i="65"/>
  <c r="Y30" i="65"/>
  <c r="AB29" i="65"/>
  <c r="AA29" i="65"/>
  <c r="Z29" i="65"/>
  <c r="Y29" i="65"/>
  <c r="AB28" i="65"/>
  <c r="AA28" i="65"/>
  <c r="Z28" i="65"/>
  <c r="Y28" i="65"/>
  <c r="AB27" i="65"/>
  <c r="AA27" i="65"/>
  <c r="Z27" i="65"/>
  <c r="Y27" i="65"/>
  <c r="AB26" i="65"/>
  <c r="AA26" i="65"/>
  <c r="Z26" i="65"/>
  <c r="Y26" i="65"/>
  <c r="AB25" i="65"/>
  <c r="AA25" i="65"/>
  <c r="Z25" i="65"/>
  <c r="Y25" i="65"/>
  <c r="AB24" i="65"/>
  <c r="AA24" i="65"/>
  <c r="Z24" i="65"/>
  <c r="Y24" i="65"/>
  <c r="AB23" i="65"/>
  <c r="G9" i="66" s="1"/>
  <c r="AA23" i="65"/>
  <c r="Z23" i="65"/>
  <c r="Y23" i="65"/>
  <c r="X23" i="65"/>
  <c r="AB22" i="65"/>
  <c r="AA22" i="65"/>
  <c r="Z22" i="65"/>
  <c r="Y22" i="65"/>
  <c r="AB21" i="65"/>
  <c r="G8" i="66" s="1"/>
  <c r="AA21" i="65"/>
  <c r="Z21" i="65"/>
  <c r="Y21" i="65"/>
  <c r="X21" i="65"/>
  <c r="AB20" i="65"/>
  <c r="AA20" i="65"/>
  <c r="Z20" i="65"/>
  <c r="Y20" i="65"/>
  <c r="AB19" i="65"/>
  <c r="G7" i="66" s="1"/>
  <c r="AA19" i="65"/>
  <c r="Z19" i="65"/>
  <c r="Y19" i="65"/>
  <c r="X19" i="65"/>
  <c r="AB18" i="65"/>
  <c r="X18" i="65"/>
  <c r="Q18" i="65"/>
  <c r="P18" i="65"/>
  <c r="E18" i="65"/>
  <c r="AB17" i="65"/>
  <c r="AA17" i="65"/>
  <c r="Z17" i="65"/>
  <c r="Y17" i="65"/>
  <c r="AB16" i="65"/>
  <c r="AA16" i="65"/>
  <c r="Z16" i="65"/>
  <c r="Y16" i="65"/>
  <c r="AB15" i="65"/>
  <c r="AA15" i="65"/>
  <c r="Z15" i="65"/>
  <c r="Y15" i="65"/>
  <c r="AB14" i="65"/>
  <c r="AA14" i="65"/>
  <c r="AA18" i="65" s="1"/>
  <c r="Z14" i="65"/>
  <c r="Y14" i="65"/>
  <c r="AB13" i="65"/>
  <c r="G6" i="66" s="1"/>
  <c r="AA13" i="65"/>
  <c r="Z13" i="65"/>
  <c r="Y13" i="65"/>
  <c r="X13" i="65"/>
  <c r="AB12" i="65"/>
  <c r="AA12" i="65"/>
  <c r="Z12" i="65"/>
  <c r="Y12" i="65"/>
  <c r="AB11" i="65"/>
  <c r="G5" i="66" s="1"/>
  <c r="AA11" i="65"/>
  <c r="Z11" i="65"/>
  <c r="Y11" i="65"/>
  <c r="X11" i="65"/>
  <c r="Q11" i="65"/>
  <c r="P11" i="65"/>
  <c r="AB10" i="65"/>
  <c r="AA10" i="65"/>
  <c r="Z10" i="65"/>
  <c r="Y10" i="65"/>
  <c r="AB9" i="65"/>
  <c r="AA9" i="65"/>
  <c r="Z9" i="65"/>
  <c r="Y9" i="65"/>
  <c r="AB8" i="65"/>
  <c r="G4" i="66" s="1"/>
  <c r="AA8" i="65"/>
  <c r="Z8" i="65"/>
  <c r="Y8" i="65"/>
  <c r="X8" i="65"/>
  <c r="W8" i="65"/>
  <c r="V8" i="65"/>
  <c r="U8" i="65"/>
  <c r="T8" i="65"/>
  <c r="S8" i="65"/>
  <c r="R8" i="65"/>
  <c r="Q8" i="65"/>
  <c r="P8" i="65"/>
  <c r="AB7" i="65"/>
  <c r="AA7" i="65"/>
  <c r="Z7" i="65"/>
  <c r="Y7" i="65"/>
  <c r="AB6" i="65"/>
  <c r="AA6" i="65"/>
  <c r="Z6" i="65"/>
  <c r="Y6" i="65"/>
  <c r="AB5" i="65"/>
  <c r="G3" i="66" s="1"/>
  <c r="AA5" i="65"/>
  <c r="Z5" i="65"/>
  <c r="Y5" i="65"/>
  <c r="X5" i="65"/>
  <c r="Q5" i="65"/>
  <c r="P5" i="65"/>
  <c r="AB4" i="65"/>
  <c r="AA4" i="65"/>
  <c r="Z4" i="65"/>
  <c r="Y4" i="65"/>
  <c r="AB3" i="65"/>
  <c r="G2" i="66" s="1"/>
  <c r="AA3" i="65"/>
  <c r="Z3" i="65"/>
  <c r="Y3" i="65"/>
  <c r="Z18" i="65" l="1"/>
  <c r="Z35" i="65"/>
  <c r="Y35" i="65"/>
  <c r="AA35" i="65"/>
  <c r="M5" i="68"/>
  <c r="K12" i="80" s="1"/>
  <c r="Y18" i="65"/>
  <c r="I6" i="66"/>
  <c r="L6" i="66" s="1"/>
  <c r="I15" i="66"/>
  <c r="L15" i="66" s="1"/>
  <c r="I25" i="66"/>
  <c r="L25" i="66" s="1"/>
  <c r="I9" i="66"/>
  <c r="L9" i="66" s="1"/>
  <c r="I20" i="66"/>
  <c r="L20" i="66" s="1"/>
  <c r="I35" i="66"/>
  <c r="L35" i="66" s="1"/>
  <c r="I4" i="66"/>
  <c r="L4" i="66" s="1"/>
  <c r="I10" i="66"/>
  <c r="L10" i="66" s="1"/>
  <c r="I23" i="66"/>
  <c r="L23" i="66" s="1"/>
  <c r="I39" i="66"/>
  <c r="L39" i="66" s="1"/>
  <c r="I5" i="66"/>
  <c r="L5" i="66" s="1"/>
  <c r="I14" i="66"/>
  <c r="L14" i="66" s="1"/>
  <c r="I24" i="66"/>
  <c r="L24" i="66" s="1"/>
  <c r="I30" i="66"/>
  <c r="L30" i="66" s="1"/>
  <c r="I19" i="66"/>
  <c r="L19" i="66" s="1"/>
  <c r="I2" i="66"/>
  <c r="L2" i="66" s="1"/>
  <c r="I3" i="66"/>
  <c r="L3" i="66" s="1"/>
  <c r="I8" i="66"/>
  <c r="L8" i="66" s="1"/>
  <c r="I13" i="66"/>
  <c r="L13" i="66" s="1"/>
  <c r="I18" i="66"/>
  <c r="L18" i="66" s="1"/>
  <c r="I22" i="66"/>
  <c r="L22" i="66" s="1"/>
  <c r="I27" i="66"/>
  <c r="L27" i="66" s="1"/>
  <c r="I32" i="66"/>
  <c r="L32" i="66" s="1"/>
  <c r="I37" i="66"/>
  <c r="L37" i="66" s="1"/>
  <c r="I29" i="66"/>
  <c r="L29" i="66" s="1"/>
  <c r="I34" i="66"/>
  <c r="L34" i="66" s="1"/>
  <c r="I28" i="66"/>
  <c r="L28" i="66" s="1"/>
  <c r="I33" i="66"/>
  <c r="L33" i="66" s="1"/>
  <c r="I38" i="66"/>
  <c r="L38" i="66" s="1"/>
  <c r="I7" i="66"/>
  <c r="L7" i="66" s="1"/>
  <c r="I11" i="66"/>
  <c r="L11" i="66" s="1"/>
  <c r="I12" i="66"/>
  <c r="L12" i="66" s="1"/>
  <c r="I16" i="66"/>
  <c r="L16" i="66" s="1"/>
  <c r="I17" i="66"/>
  <c r="L17" i="66" s="1"/>
  <c r="I21" i="66"/>
  <c r="L21" i="66" s="1"/>
  <c r="I26" i="66"/>
  <c r="L26" i="66" s="1"/>
  <c r="I31" i="66"/>
  <c r="L31" i="66" s="1"/>
  <c r="I36" i="66"/>
  <c r="L36" i="66" s="1"/>
  <c r="M5" i="66" l="1"/>
  <c r="M24" i="66"/>
  <c r="M34" i="66"/>
  <c r="M16" i="66"/>
  <c r="M29" i="66"/>
  <c r="M2" i="66"/>
  <c r="M11" i="66"/>
  <c r="H31" i="64"/>
  <c r="F31" i="64"/>
  <c r="E31" i="64"/>
  <c r="D31" i="64"/>
  <c r="H30" i="64"/>
  <c r="F30" i="64"/>
  <c r="E30" i="64"/>
  <c r="D30" i="64"/>
  <c r="H29" i="64"/>
  <c r="F29" i="64"/>
  <c r="E29" i="64"/>
  <c r="D29" i="64"/>
  <c r="H28" i="64"/>
  <c r="F28" i="64"/>
  <c r="E28" i="64"/>
  <c r="D28" i="64"/>
  <c r="H27" i="64"/>
  <c r="F27" i="64"/>
  <c r="E27" i="64"/>
  <c r="D27" i="64"/>
  <c r="H26" i="64"/>
  <c r="F26" i="64"/>
  <c r="E26" i="64"/>
  <c r="D26" i="64"/>
  <c r="H25" i="64"/>
  <c r="F25" i="64"/>
  <c r="E25" i="64"/>
  <c r="D25" i="64"/>
  <c r="H24" i="64"/>
  <c r="F24" i="64"/>
  <c r="E24" i="64"/>
  <c r="D24" i="64"/>
  <c r="H23" i="64"/>
  <c r="F23" i="64"/>
  <c r="E23" i="64"/>
  <c r="D23" i="64"/>
  <c r="H22" i="64"/>
  <c r="F22" i="64"/>
  <c r="E22" i="64"/>
  <c r="D22" i="64"/>
  <c r="H21" i="64"/>
  <c r="F21" i="64"/>
  <c r="E21" i="64"/>
  <c r="D21" i="64"/>
  <c r="H20" i="64"/>
  <c r="F20" i="64"/>
  <c r="E20" i="64"/>
  <c r="D20" i="64"/>
  <c r="H19" i="64"/>
  <c r="F19" i="64"/>
  <c r="E19" i="64"/>
  <c r="D19" i="64"/>
  <c r="H18" i="64"/>
  <c r="F18" i="64"/>
  <c r="E18" i="64"/>
  <c r="D18" i="64"/>
  <c r="H17" i="64"/>
  <c r="F17" i="64"/>
  <c r="E17" i="64"/>
  <c r="D17" i="64"/>
  <c r="H16" i="64"/>
  <c r="F16" i="64"/>
  <c r="E16" i="64"/>
  <c r="D16" i="64"/>
  <c r="H15" i="64"/>
  <c r="F15" i="64"/>
  <c r="E15" i="64"/>
  <c r="D15" i="64"/>
  <c r="H14" i="64"/>
  <c r="F14" i="64"/>
  <c r="E14" i="64"/>
  <c r="D14" i="64"/>
  <c r="H13" i="64"/>
  <c r="F13" i="64"/>
  <c r="E13" i="64"/>
  <c r="D13" i="64"/>
  <c r="H12" i="64"/>
  <c r="F12" i="64"/>
  <c r="E12" i="64"/>
  <c r="D12" i="64"/>
  <c r="H11" i="64"/>
  <c r="F11" i="64"/>
  <c r="E11" i="64"/>
  <c r="D11" i="64"/>
  <c r="H10" i="64"/>
  <c r="F10" i="64"/>
  <c r="E10" i="64"/>
  <c r="D10" i="64"/>
  <c r="H9" i="64"/>
  <c r="F9" i="64"/>
  <c r="E9" i="64"/>
  <c r="D9" i="64"/>
  <c r="H8" i="64"/>
  <c r="F8" i="64"/>
  <c r="E8" i="64"/>
  <c r="D8" i="64"/>
  <c r="H7" i="64"/>
  <c r="F7" i="64"/>
  <c r="E7" i="64"/>
  <c r="D7" i="64"/>
  <c r="H6" i="64"/>
  <c r="F6" i="64"/>
  <c r="E6" i="64"/>
  <c r="D6" i="64"/>
  <c r="H5" i="64"/>
  <c r="F5" i="64"/>
  <c r="E5" i="64"/>
  <c r="D5" i="64"/>
  <c r="H4" i="64"/>
  <c r="F4" i="64"/>
  <c r="E4" i="64"/>
  <c r="D4" i="64"/>
  <c r="H3" i="64"/>
  <c r="F3" i="64"/>
  <c r="E3" i="64"/>
  <c r="D3" i="64"/>
  <c r="H2" i="64"/>
  <c r="F2" i="64"/>
  <c r="E2" i="64"/>
  <c r="D2" i="64"/>
  <c r="AA113" i="63"/>
  <c r="Z113" i="63"/>
  <c r="Y113" i="63"/>
  <c r="AA112" i="63"/>
  <c r="Z112" i="63"/>
  <c r="Y112" i="63"/>
  <c r="X112" i="63"/>
  <c r="Q112" i="63"/>
  <c r="P112" i="63"/>
  <c r="AA111" i="63"/>
  <c r="Z111" i="63"/>
  <c r="Y111" i="63"/>
  <c r="AA110" i="63"/>
  <c r="Z110" i="63"/>
  <c r="Y110" i="63"/>
  <c r="AA109" i="63"/>
  <c r="Z109" i="63"/>
  <c r="Y109" i="63"/>
  <c r="AA108" i="63"/>
  <c r="Z108" i="63"/>
  <c r="Y108" i="63"/>
  <c r="X108" i="63"/>
  <c r="Q108" i="63"/>
  <c r="P108" i="63"/>
  <c r="AA107" i="63"/>
  <c r="Z107" i="63"/>
  <c r="Y107" i="63"/>
  <c r="AA106" i="63"/>
  <c r="Z106" i="63"/>
  <c r="Y106" i="63"/>
  <c r="AA105" i="63"/>
  <c r="Z105" i="63"/>
  <c r="Y105" i="63"/>
  <c r="X105" i="63"/>
  <c r="Q105" i="63"/>
  <c r="P105" i="63"/>
  <c r="AA104" i="63"/>
  <c r="Z104" i="63"/>
  <c r="Y104" i="63"/>
  <c r="AA103" i="63"/>
  <c r="Z103" i="63"/>
  <c r="Y103" i="63"/>
  <c r="X103" i="63"/>
  <c r="Q103" i="63"/>
  <c r="P103" i="63"/>
  <c r="AA102" i="63"/>
  <c r="Z102" i="63"/>
  <c r="Y102" i="63"/>
  <c r="AA101" i="63"/>
  <c r="Z101" i="63"/>
  <c r="Y101" i="63"/>
  <c r="AA100" i="63"/>
  <c r="Z100" i="63"/>
  <c r="Y100" i="63"/>
  <c r="X100" i="63"/>
  <c r="AA99" i="63"/>
  <c r="Z99" i="63"/>
  <c r="Y99" i="63"/>
  <c r="AA98" i="63"/>
  <c r="Z98" i="63"/>
  <c r="Y98" i="63"/>
  <c r="AA97" i="63"/>
  <c r="Z97" i="63"/>
  <c r="Y97" i="63"/>
  <c r="AA96" i="63"/>
  <c r="Z96" i="63"/>
  <c r="Y96" i="63"/>
  <c r="AA95" i="63"/>
  <c r="Z95" i="63"/>
  <c r="Y95" i="63"/>
  <c r="AA94" i="63"/>
  <c r="Z94" i="63"/>
  <c r="Y94" i="63"/>
  <c r="AA93" i="63"/>
  <c r="G31" i="64" s="1"/>
  <c r="Z93" i="63"/>
  <c r="Y93" i="63"/>
  <c r="AA92" i="63"/>
  <c r="G30" i="64" s="1"/>
  <c r="Z92" i="63"/>
  <c r="Y92" i="63"/>
  <c r="AA91" i="63"/>
  <c r="G29" i="64" s="1"/>
  <c r="Z91" i="63"/>
  <c r="Y91" i="63"/>
  <c r="AA90" i="63"/>
  <c r="G28" i="64" s="1"/>
  <c r="Z90" i="63"/>
  <c r="Y90" i="63"/>
  <c r="AA89" i="63"/>
  <c r="G27" i="64" s="1"/>
  <c r="Z89" i="63"/>
  <c r="Y89" i="63"/>
  <c r="X89" i="63"/>
  <c r="Q89" i="63"/>
  <c r="P89" i="63"/>
  <c r="AA88" i="63"/>
  <c r="Z88" i="63"/>
  <c r="Y88" i="63"/>
  <c r="AA87" i="63"/>
  <c r="Z87" i="63"/>
  <c r="Y87" i="63"/>
  <c r="AA86" i="63"/>
  <c r="Z86" i="63"/>
  <c r="Y86" i="63"/>
  <c r="AA85" i="63"/>
  <c r="Z85" i="63"/>
  <c r="Y85" i="63"/>
  <c r="AA84" i="63"/>
  <c r="Z84" i="63"/>
  <c r="Y84" i="63"/>
  <c r="AA83" i="63"/>
  <c r="G26" i="64" s="1"/>
  <c r="Z83" i="63"/>
  <c r="Y83" i="63"/>
  <c r="X83" i="63"/>
  <c r="W83" i="63"/>
  <c r="V83" i="63"/>
  <c r="U83" i="63"/>
  <c r="T83" i="63"/>
  <c r="S83" i="63"/>
  <c r="R83" i="63"/>
  <c r="Q83" i="63"/>
  <c r="P83" i="63"/>
  <c r="AA82" i="63"/>
  <c r="Z82" i="63"/>
  <c r="Y82" i="63"/>
  <c r="AA81" i="63"/>
  <c r="Z81" i="63"/>
  <c r="Y81" i="63"/>
  <c r="AA80" i="63"/>
  <c r="Z80" i="63"/>
  <c r="Y80" i="63"/>
  <c r="X80" i="63"/>
  <c r="Q80" i="63"/>
  <c r="P80" i="63"/>
  <c r="AA79" i="63"/>
  <c r="Z79" i="63"/>
  <c r="Y79" i="63"/>
  <c r="AA78" i="63"/>
  <c r="Z78" i="63"/>
  <c r="Y78" i="63"/>
  <c r="AA77" i="63"/>
  <c r="G25" i="64" s="1"/>
  <c r="Z77" i="63"/>
  <c r="Y77" i="63"/>
  <c r="X77" i="63"/>
  <c r="W77" i="63"/>
  <c r="V77" i="63"/>
  <c r="U77" i="63"/>
  <c r="T77" i="63"/>
  <c r="S77" i="63"/>
  <c r="R77" i="63"/>
  <c r="AA76" i="63"/>
  <c r="Z76" i="63"/>
  <c r="Y76" i="63"/>
  <c r="AA75" i="63"/>
  <c r="Z75" i="63"/>
  <c r="Y75" i="63"/>
  <c r="AA74" i="63"/>
  <c r="Z74" i="63"/>
  <c r="Y74" i="63"/>
  <c r="AA73" i="63"/>
  <c r="G24" i="64" s="1"/>
  <c r="Z73" i="63"/>
  <c r="Y73" i="63"/>
  <c r="AA72" i="63"/>
  <c r="G23" i="64" s="1"/>
  <c r="Z72" i="63"/>
  <c r="Y72" i="63"/>
  <c r="X72" i="63"/>
  <c r="W72" i="63"/>
  <c r="V72" i="63"/>
  <c r="U72" i="63"/>
  <c r="T72" i="63"/>
  <c r="S72" i="63"/>
  <c r="R72" i="63"/>
  <c r="Q72" i="63"/>
  <c r="P72" i="63"/>
  <c r="AA71" i="63"/>
  <c r="Z71" i="63"/>
  <c r="Y71" i="63"/>
  <c r="AA70" i="63"/>
  <c r="Z70" i="63"/>
  <c r="Y70" i="63"/>
  <c r="AA69" i="63"/>
  <c r="Z69" i="63"/>
  <c r="Y69" i="63"/>
  <c r="AA68" i="63"/>
  <c r="G22" i="64" s="1"/>
  <c r="Z68" i="63"/>
  <c r="Y68" i="63"/>
  <c r="X68" i="63"/>
  <c r="Q68" i="63"/>
  <c r="P68" i="63"/>
  <c r="AA67" i="63"/>
  <c r="Z67" i="63"/>
  <c r="Y67" i="63"/>
  <c r="AA66" i="63"/>
  <c r="Z66" i="63"/>
  <c r="Y66" i="63"/>
  <c r="AA65" i="63"/>
  <c r="G21" i="64" s="1"/>
  <c r="Z65" i="63"/>
  <c r="Y65" i="63"/>
  <c r="X65" i="63"/>
  <c r="Q65" i="63"/>
  <c r="P65" i="63"/>
  <c r="AA64" i="63"/>
  <c r="Z64" i="63"/>
  <c r="Y64" i="63"/>
  <c r="AA63" i="63"/>
  <c r="Z63" i="63"/>
  <c r="Y63" i="63"/>
  <c r="AA62" i="63"/>
  <c r="G20" i="64" s="1"/>
  <c r="Z62" i="63"/>
  <c r="Y62" i="63"/>
  <c r="X62" i="63"/>
  <c r="Q62" i="63"/>
  <c r="P62" i="63"/>
  <c r="AA61" i="63"/>
  <c r="Z61" i="63"/>
  <c r="Y61" i="63"/>
  <c r="AA60" i="63"/>
  <c r="G19" i="64" s="1"/>
  <c r="Z60" i="63"/>
  <c r="Y60" i="63"/>
  <c r="X60" i="63"/>
  <c r="Q60" i="63"/>
  <c r="P60" i="63"/>
  <c r="AA59" i="63"/>
  <c r="Z59" i="63"/>
  <c r="Y59" i="63"/>
  <c r="AA58" i="63"/>
  <c r="Z58" i="63"/>
  <c r="Y58" i="63"/>
  <c r="AA57" i="63"/>
  <c r="G18" i="64" s="1"/>
  <c r="Z57" i="63"/>
  <c r="Y57" i="63"/>
  <c r="X57" i="63"/>
  <c r="Q57" i="63"/>
  <c r="P57" i="63"/>
  <c r="AA56" i="63"/>
  <c r="Z56" i="63"/>
  <c r="Y56" i="63"/>
  <c r="AA55" i="63"/>
  <c r="Z55" i="63"/>
  <c r="Y55" i="63"/>
  <c r="AA54" i="63"/>
  <c r="G17" i="64" s="1"/>
  <c r="Z54" i="63"/>
  <c r="Y54" i="63"/>
  <c r="AA53" i="63"/>
  <c r="G16" i="64" s="1"/>
  <c r="Z53" i="63"/>
  <c r="Y53" i="63"/>
  <c r="X53" i="63"/>
  <c r="Q53" i="63"/>
  <c r="P53" i="63"/>
  <c r="AA52" i="63"/>
  <c r="Z52" i="63"/>
  <c r="Y52" i="63"/>
  <c r="AA51" i="63"/>
  <c r="Z51" i="63"/>
  <c r="Y51" i="63"/>
  <c r="AA50" i="63"/>
  <c r="Z50" i="63"/>
  <c r="Y50" i="63"/>
  <c r="AA49" i="63"/>
  <c r="G15" i="64" s="1"/>
  <c r="Z49" i="63"/>
  <c r="Y49" i="63"/>
  <c r="W49" i="63"/>
  <c r="R49" i="63"/>
  <c r="S49" i="63" s="1"/>
  <c r="T49" i="63" s="1"/>
  <c r="U49" i="63" s="1"/>
  <c r="V49" i="63" s="1"/>
  <c r="AA48" i="63"/>
  <c r="Z48" i="63"/>
  <c r="Y48" i="63"/>
  <c r="AA47" i="63"/>
  <c r="Z47" i="63"/>
  <c r="Y47" i="63"/>
  <c r="AA46" i="63"/>
  <c r="Z46" i="63"/>
  <c r="Y46" i="63"/>
  <c r="AA45" i="63"/>
  <c r="Z45" i="63"/>
  <c r="Y45" i="63"/>
  <c r="AA44" i="63"/>
  <c r="G14" i="64" s="1"/>
  <c r="Z44" i="63"/>
  <c r="Y44" i="63"/>
  <c r="U44" i="63"/>
  <c r="V44" i="63" s="1"/>
  <c r="T44" i="63"/>
  <c r="S44" i="63"/>
  <c r="AA43" i="63"/>
  <c r="G13" i="64" s="1"/>
  <c r="Z43" i="63"/>
  <c r="Y43" i="63"/>
  <c r="T43" i="63"/>
  <c r="U43" i="63" s="1"/>
  <c r="V43" i="63" s="1"/>
  <c r="S43" i="63"/>
  <c r="AA42" i="63"/>
  <c r="G12" i="64" s="1"/>
  <c r="Z42" i="63"/>
  <c r="Y42" i="63"/>
  <c r="AA41" i="63"/>
  <c r="Z41" i="63"/>
  <c r="Y41" i="63"/>
  <c r="AA40" i="63"/>
  <c r="Z40" i="63"/>
  <c r="Y40" i="63"/>
  <c r="AA39" i="63"/>
  <c r="G11" i="64" s="1"/>
  <c r="Z39" i="63"/>
  <c r="Y39" i="63"/>
  <c r="X39" i="63"/>
  <c r="Q39" i="63"/>
  <c r="P39" i="63"/>
  <c r="AA38" i="63"/>
  <c r="Z38" i="63"/>
  <c r="Y38" i="63"/>
  <c r="AA37" i="63"/>
  <c r="Z37" i="63"/>
  <c r="Y37" i="63"/>
  <c r="AA36" i="63"/>
  <c r="G10" i="64" s="1"/>
  <c r="Z36" i="63"/>
  <c r="Y36" i="63"/>
  <c r="X36" i="63"/>
  <c r="X35" i="63"/>
  <c r="Q35" i="63"/>
  <c r="P35" i="63"/>
  <c r="AA34" i="63"/>
  <c r="Z34" i="63"/>
  <c r="Y34" i="63"/>
  <c r="AA33" i="63"/>
  <c r="Z33" i="63"/>
  <c r="Y33" i="63"/>
  <c r="AA32" i="63"/>
  <c r="Z32" i="63"/>
  <c r="Y32" i="63"/>
  <c r="AA31" i="63"/>
  <c r="Z31" i="63"/>
  <c r="Y31" i="63"/>
  <c r="AA30" i="63"/>
  <c r="Z30" i="63"/>
  <c r="Y30" i="63"/>
  <c r="AA29" i="63"/>
  <c r="Z29" i="63"/>
  <c r="Y29" i="63"/>
  <c r="AA28" i="63"/>
  <c r="Z28" i="63"/>
  <c r="Y28" i="63"/>
  <c r="AA27" i="63"/>
  <c r="Z27" i="63"/>
  <c r="Y27" i="63"/>
  <c r="AA26" i="63"/>
  <c r="Z26" i="63"/>
  <c r="Y26" i="63"/>
  <c r="AA25" i="63"/>
  <c r="Z25" i="63"/>
  <c r="Y25" i="63"/>
  <c r="AA24" i="63"/>
  <c r="Z24" i="63"/>
  <c r="Y24" i="63"/>
  <c r="AA23" i="63"/>
  <c r="G9" i="64" s="1"/>
  <c r="Z23" i="63"/>
  <c r="Y23" i="63"/>
  <c r="X23" i="63"/>
  <c r="AA22" i="63"/>
  <c r="Z22" i="63"/>
  <c r="Y22" i="63"/>
  <c r="AA21" i="63"/>
  <c r="G8" i="64" s="1"/>
  <c r="Z21" i="63"/>
  <c r="Y21" i="63"/>
  <c r="X21" i="63"/>
  <c r="AA20" i="63"/>
  <c r="Z20" i="63"/>
  <c r="Y20" i="63"/>
  <c r="AA19" i="63"/>
  <c r="G7" i="64" s="1"/>
  <c r="Z19" i="63"/>
  <c r="Y19" i="63"/>
  <c r="X19" i="63"/>
  <c r="X18" i="63"/>
  <c r="Q18" i="63"/>
  <c r="P18" i="63"/>
  <c r="E18" i="63"/>
  <c r="AA17" i="63"/>
  <c r="Z17" i="63"/>
  <c r="Y17" i="63"/>
  <c r="AA16" i="63"/>
  <c r="Z16" i="63"/>
  <c r="Y16" i="63"/>
  <c r="AA15" i="63"/>
  <c r="Z15" i="63"/>
  <c r="Y15" i="63"/>
  <c r="AA14" i="63"/>
  <c r="Z14" i="63"/>
  <c r="Y14" i="63"/>
  <c r="AA13" i="63"/>
  <c r="G6" i="64" s="1"/>
  <c r="Z13" i="63"/>
  <c r="Y13" i="63"/>
  <c r="X13" i="63"/>
  <c r="AA12" i="63"/>
  <c r="Z12" i="63"/>
  <c r="Y12" i="63"/>
  <c r="AA11" i="63"/>
  <c r="G5" i="64" s="1"/>
  <c r="Z11" i="63"/>
  <c r="Y11" i="63"/>
  <c r="X11" i="63"/>
  <c r="Q11" i="63"/>
  <c r="P11" i="63"/>
  <c r="AA10" i="63"/>
  <c r="Z10" i="63"/>
  <c r="Y10" i="63"/>
  <c r="AA9" i="63"/>
  <c r="Z9" i="63"/>
  <c r="Y9" i="63"/>
  <c r="AA8" i="63"/>
  <c r="G4" i="64" s="1"/>
  <c r="Z8" i="63"/>
  <c r="Y8" i="63"/>
  <c r="X8" i="63"/>
  <c r="W8" i="63"/>
  <c r="V8" i="63"/>
  <c r="U8" i="63"/>
  <c r="T8" i="63"/>
  <c r="S8" i="63"/>
  <c r="R8" i="63"/>
  <c r="Q8" i="63"/>
  <c r="P8" i="63"/>
  <c r="AA7" i="63"/>
  <c r="Z7" i="63"/>
  <c r="Y7" i="63"/>
  <c r="AA6" i="63"/>
  <c r="Z6" i="63"/>
  <c r="Y6" i="63"/>
  <c r="AA5" i="63"/>
  <c r="G3" i="64" s="1"/>
  <c r="Z5" i="63"/>
  <c r="Y5" i="63"/>
  <c r="X5" i="63"/>
  <c r="Q5" i="63"/>
  <c r="P5" i="63"/>
  <c r="AA4" i="63"/>
  <c r="Z4" i="63"/>
  <c r="Y4" i="63"/>
  <c r="AA3" i="63"/>
  <c r="G2" i="64" s="1"/>
  <c r="Z3" i="63"/>
  <c r="Y3" i="63"/>
  <c r="I12" i="80" l="1"/>
  <c r="I13" i="64"/>
  <c r="L13" i="64" s="1"/>
  <c r="Y18" i="63"/>
  <c r="AA35" i="63"/>
  <c r="I2" i="64"/>
  <c r="L2" i="64" s="1"/>
  <c r="I22" i="64"/>
  <c r="L22" i="64" s="1"/>
  <c r="I3" i="64"/>
  <c r="L3" i="64" s="1"/>
  <c r="I27" i="64"/>
  <c r="L27" i="64" s="1"/>
  <c r="I8" i="64"/>
  <c r="L8" i="64" s="1"/>
  <c r="I18" i="64"/>
  <c r="L18" i="64" s="1"/>
  <c r="Z18" i="63"/>
  <c r="I7" i="64"/>
  <c r="L7" i="64" s="1"/>
  <c r="I11" i="64"/>
  <c r="L11" i="64" s="1"/>
  <c r="I12" i="64"/>
  <c r="L12" i="64" s="1"/>
  <c r="I16" i="64"/>
  <c r="L16" i="64" s="1"/>
  <c r="I17" i="64"/>
  <c r="L17" i="64" s="1"/>
  <c r="I21" i="64"/>
  <c r="L21" i="64" s="1"/>
  <c r="I26" i="64"/>
  <c r="L26" i="64" s="1"/>
  <c r="I31" i="64"/>
  <c r="L31" i="64" s="1"/>
  <c r="AA18" i="63"/>
  <c r="Y35" i="63"/>
  <c r="I5" i="64"/>
  <c r="L5" i="64" s="1"/>
  <c r="I6" i="64"/>
  <c r="L6" i="64" s="1"/>
  <c r="I10" i="64"/>
  <c r="L10" i="64" s="1"/>
  <c r="I15" i="64"/>
  <c r="L15" i="64" s="1"/>
  <c r="I20" i="64"/>
  <c r="L20" i="64" s="1"/>
  <c r="I24" i="64"/>
  <c r="L24" i="64" s="1"/>
  <c r="I25" i="64"/>
  <c r="L25" i="64" s="1"/>
  <c r="I30" i="64"/>
  <c r="L30" i="64" s="1"/>
  <c r="Z35" i="63"/>
  <c r="I4" i="64"/>
  <c r="L4" i="64" s="1"/>
  <c r="I9" i="64"/>
  <c r="L9" i="64" s="1"/>
  <c r="I14" i="64"/>
  <c r="L14" i="64" s="1"/>
  <c r="I19" i="64"/>
  <c r="L19" i="64" s="1"/>
  <c r="I23" i="64"/>
  <c r="L23" i="64" s="1"/>
  <c r="I28" i="64"/>
  <c r="L28" i="64" s="1"/>
  <c r="I29" i="64"/>
  <c r="L29" i="64" s="1"/>
  <c r="M2" i="64" l="1"/>
  <c r="M5" i="64"/>
  <c r="M28" i="64"/>
  <c r="M24" i="64"/>
  <c r="M16" i="64"/>
  <c r="M11" i="64"/>
  <c r="H39" i="62"/>
  <c r="F39" i="62"/>
  <c r="E39" i="62"/>
  <c r="D39" i="62"/>
  <c r="H38" i="62"/>
  <c r="F38" i="62"/>
  <c r="E38" i="62"/>
  <c r="D38" i="62"/>
  <c r="H37" i="62"/>
  <c r="F37" i="62"/>
  <c r="E37" i="62"/>
  <c r="D37" i="62"/>
  <c r="H36" i="62"/>
  <c r="F36" i="62"/>
  <c r="E36" i="62"/>
  <c r="D36" i="62"/>
  <c r="H35" i="62"/>
  <c r="F35" i="62"/>
  <c r="E35" i="62"/>
  <c r="D35" i="62"/>
  <c r="H34" i="62"/>
  <c r="F34" i="62"/>
  <c r="E34" i="62"/>
  <c r="D34" i="62"/>
  <c r="H33" i="62"/>
  <c r="F33" i="62"/>
  <c r="E33" i="62"/>
  <c r="D33" i="62"/>
  <c r="H32" i="62"/>
  <c r="F32" i="62"/>
  <c r="E32" i="62"/>
  <c r="D32" i="62"/>
  <c r="H31" i="62"/>
  <c r="F31" i="62"/>
  <c r="E31" i="62"/>
  <c r="D31" i="62"/>
  <c r="H30" i="62"/>
  <c r="F30" i="62"/>
  <c r="E30" i="62"/>
  <c r="D30" i="62"/>
  <c r="H29" i="62"/>
  <c r="F29" i="62"/>
  <c r="E29" i="62"/>
  <c r="D29" i="62"/>
  <c r="H28" i="62"/>
  <c r="F28" i="62"/>
  <c r="E28" i="62"/>
  <c r="D28" i="62"/>
  <c r="H27" i="62"/>
  <c r="F27" i="62"/>
  <c r="E27" i="62"/>
  <c r="D27" i="62"/>
  <c r="H26" i="62"/>
  <c r="F26" i="62"/>
  <c r="E26" i="62"/>
  <c r="D26" i="62"/>
  <c r="H25" i="62"/>
  <c r="F25" i="62"/>
  <c r="E25" i="62"/>
  <c r="D25" i="62"/>
  <c r="H24" i="62"/>
  <c r="F24" i="62"/>
  <c r="E24" i="62"/>
  <c r="D24" i="62"/>
  <c r="H23" i="62"/>
  <c r="F23" i="62"/>
  <c r="E23" i="62"/>
  <c r="D23" i="62"/>
  <c r="H22" i="62"/>
  <c r="F22" i="62"/>
  <c r="E22" i="62"/>
  <c r="D22" i="62"/>
  <c r="H21" i="62"/>
  <c r="F21" i="62"/>
  <c r="E21" i="62"/>
  <c r="D21" i="62"/>
  <c r="H20" i="62"/>
  <c r="F20" i="62"/>
  <c r="E20" i="62"/>
  <c r="D20" i="62"/>
  <c r="H19" i="62"/>
  <c r="F19" i="62"/>
  <c r="E19" i="62"/>
  <c r="D19" i="62"/>
  <c r="H18" i="62"/>
  <c r="F18" i="62"/>
  <c r="E18" i="62"/>
  <c r="D18" i="62"/>
  <c r="H17" i="62"/>
  <c r="F17" i="62"/>
  <c r="E17" i="62"/>
  <c r="D17" i="62"/>
  <c r="H16" i="62"/>
  <c r="F16" i="62"/>
  <c r="E16" i="62"/>
  <c r="D16" i="62"/>
  <c r="H15" i="62"/>
  <c r="F15" i="62"/>
  <c r="E15" i="62"/>
  <c r="D15" i="62"/>
  <c r="H14" i="62"/>
  <c r="F14" i="62"/>
  <c r="E14" i="62"/>
  <c r="D14" i="62"/>
  <c r="H13" i="62"/>
  <c r="F13" i="62"/>
  <c r="E13" i="62"/>
  <c r="D13" i="62"/>
  <c r="H12" i="62"/>
  <c r="F12" i="62"/>
  <c r="E12" i="62"/>
  <c r="D12" i="62"/>
  <c r="H11" i="62"/>
  <c r="F11" i="62"/>
  <c r="E11" i="62"/>
  <c r="D11" i="62"/>
  <c r="H10" i="62"/>
  <c r="F10" i="62"/>
  <c r="E10" i="62"/>
  <c r="D10" i="62"/>
  <c r="H9" i="62"/>
  <c r="F9" i="62"/>
  <c r="E9" i="62"/>
  <c r="D9" i="62"/>
  <c r="H8" i="62"/>
  <c r="F8" i="62"/>
  <c r="E8" i="62"/>
  <c r="D8" i="62"/>
  <c r="H7" i="62"/>
  <c r="F7" i="62"/>
  <c r="E7" i="62"/>
  <c r="D7" i="62"/>
  <c r="H6" i="62"/>
  <c r="F6" i="62"/>
  <c r="E6" i="62"/>
  <c r="D6" i="62"/>
  <c r="H5" i="62"/>
  <c r="F5" i="62"/>
  <c r="E5" i="62"/>
  <c r="D5" i="62"/>
  <c r="H4" i="62"/>
  <c r="F4" i="62"/>
  <c r="E4" i="62"/>
  <c r="D4" i="62"/>
  <c r="H3" i="62"/>
  <c r="F3" i="62"/>
  <c r="E3" i="62"/>
  <c r="D3" i="62"/>
  <c r="H2" i="62"/>
  <c r="F2" i="62"/>
  <c r="E2" i="62"/>
  <c r="D2" i="62"/>
  <c r="Z111" i="61"/>
  <c r="G39" i="62" s="1"/>
  <c r="Y111" i="61"/>
  <c r="Z110" i="61"/>
  <c r="G38" i="62" s="1"/>
  <c r="Y110" i="61"/>
  <c r="X110" i="61"/>
  <c r="Q110" i="61"/>
  <c r="P110" i="61"/>
  <c r="Z109" i="61"/>
  <c r="Y109" i="61"/>
  <c r="Z108" i="61"/>
  <c r="G37" i="62" s="1"/>
  <c r="Y108" i="61"/>
  <c r="Z107" i="61"/>
  <c r="Y107" i="61"/>
  <c r="Z106" i="61"/>
  <c r="G36" i="62" s="1"/>
  <c r="Y106" i="61"/>
  <c r="X106" i="61"/>
  <c r="Q106" i="61"/>
  <c r="P106" i="61"/>
  <c r="Z105" i="61"/>
  <c r="Y105" i="61"/>
  <c r="Z104" i="61"/>
  <c r="Y104" i="61"/>
  <c r="Z103" i="61"/>
  <c r="G35" i="62" s="1"/>
  <c r="Y103" i="61"/>
  <c r="X103" i="61"/>
  <c r="Q103" i="61"/>
  <c r="P103" i="61"/>
  <c r="Z102" i="61"/>
  <c r="Y102" i="61"/>
  <c r="Z101" i="61"/>
  <c r="G34" i="62" s="1"/>
  <c r="Y101" i="61"/>
  <c r="X101" i="61"/>
  <c r="Q101" i="61"/>
  <c r="P101" i="61"/>
  <c r="Z100" i="61"/>
  <c r="Y100" i="61"/>
  <c r="Z99" i="61"/>
  <c r="Y99" i="61"/>
  <c r="Z98" i="61"/>
  <c r="G33" i="62" s="1"/>
  <c r="I33" i="62" s="1"/>
  <c r="L33" i="62" s="1"/>
  <c r="Y98" i="61"/>
  <c r="X98" i="61"/>
  <c r="Z97" i="61"/>
  <c r="Y97" i="61"/>
  <c r="Z96" i="61"/>
  <c r="Y96" i="61"/>
  <c r="Z95" i="61"/>
  <c r="Y95" i="61"/>
  <c r="Z94" i="61"/>
  <c r="Y94" i="61"/>
  <c r="Z93" i="61"/>
  <c r="Y93" i="61"/>
  <c r="Z92" i="61"/>
  <c r="Y92" i="61"/>
  <c r="Z91" i="61"/>
  <c r="G32" i="62" s="1"/>
  <c r="Y91" i="61"/>
  <c r="Z90" i="61"/>
  <c r="G31" i="62" s="1"/>
  <c r="Y90" i="61"/>
  <c r="Z89" i="61"/>
  <c r="G30" i="62" s="1"/>
  <c r="Y89" i="61"/>
  <c r="Z88" i="61"/>
  <c r="G29" i="62" s="1"/>
  <c r="Y88" i="61"/>
  <c r="Z87" i="61"/>
  <c r="G28" i="62" s="1"/>
  <c r="Y87" i="61"/>
  <c r="X87" i="61"/>
  <c r="Q87" i="61"/>
  <c r="P87" i="61"/>
  <c r="Z86" i="61"/>
  <c r="Y86" i="61"/>
  <c r="Z85" i="61"/>
  <c r="Y85" i="61"/>
  <c r="Z84" i="61"/>
  <c r="Y84" i="61"/>
  <c r="Z83" i="61"/>
  <c r="Y83" i="61"/>
  <c r="Z82" i="61"/>
  <c r="Y82" i="61"/>
  <c r="Z81" i="61"/>
  <c r="G27" i="62" s="1"/>
  <c r="Y81" i="61"/>
  <c r="X81" i="61"/>
  <c r="W81" i="61"/>
  <c r="V81" i="61"/>
  <c r="U81" i="61"/>
  <c r="T81" i="61"/>
  <c r="S81" i="61"/>
  <c r="R81" i="61"/>
  <c r="Q81" i="61"/>
  <c r="P81" i="61"/>
  <c r="Z80" i="61"/>
  <c r="Y80" i="61"/>
  <c r="Z79" i="61"/>
  <c r="Y79" i="61"/>
  <c r="Z78" i="61"/>
  <c r="G26" i="62" s="1"/>
  <c r="Y78" i="61"/>
  <c r="X78" i="61"/>
  <c r="Q78" i="61"/>
  <c r="P78" i="61"/>
  <c r="Z77" i="61"/>
  <c r="Y77" i="61"/>
  <c r="Z76" i="61"/>
  <c r="Y76" i="61"/>
  <c r="Z75" i="61"/>
  <c r="G25" i="62" s="1"/>
  <c r="Y75" i="61"/>
  <c r="X75" i="61"/>
  <c r="W75" i="61"/>
  <c r="V75" i="61"/>
  <c r="U75" i="61"/>
  <c r="T75" i="61"/>
  <c r="S75" i="61"/>
  <c r="R75" i="61"/>
  <c r="Z74" i="61"/>
  <c r="Y74" i="61"/>
  <c r="Z73" i="61"/>
  <c r="Y73" i="61"/>
  <c r="Z72" i="61"/>
  <c r="Y72" i="61"/>
  <c r="Z71" i="61"/>
  <c r="G24" i="62" s="1"/>
  <c r="Y71" i="61"/>
  <c r="Z70" i="61"/>
  <c r="G23" i="62" s="1"/>
  <c r="Y70" i="61"/>
  <c r="X70" i="61"/>
  <c r="W70" i="61"/>
  <c r="V70" i="61"/>
  <c r="U70" i="61"/>
  <c r="T70" i="61"/>
  <c r="S70" i="61"/>
  <c r="R70" i="61"/>
  <c r="Q70" i="61"/>
  <c r="P70" i="61"/>
  <c r="Z69" i="61"/>
  <c r="Y69" i="61"/>
  <c r="Z68" i="61"/>
  <c r="Y68" i="61"/>
  <c r="Z67" i="61"/>
  <c r="Y67" i="61"/>
  <c r="Z66" i="61"/>
  <c r="G22" i="62" s="1"/>
  <c r="Y66" i="61"/>
  <c r="X66" i="61"/>
  <c r="Q66" i="61"/>
  <c r="P66" i="61"/>
  <c r="Z65" i="61"/>
  <c r="Y65" i="61"/>
  <c r="Z64" i="61"/>
  <c r="Y64" i="61"/>
  <c r="Z63" i="61"/>
  <c r="G21" i="62" s="1"/>
  <c r="Y63" i="61"/>
  <c r="X63" i="61"/>
  <c r="Q63" i="61"/>
  <c r="P63" i="61"/>
  <c r="Z62" i="61"/>
  <c r="Y62" i="61"/>
  <c r="Z61" i="61"/>
  <c r="Y61" i="61"/>
  <c r="Z60" i="61"/>
  <c r="G20" i="62" s="1"/>
  <c r="Y60" i="61"/>
  <c r="X60" i="61"/>
  <c r="Q60" i="61"/>
  <c r="P60" i="61"/>
  <c r="Z59" i="61"/>
  <c r="Y59" i="61"/>
  <c r="Z58" i="61"/>
  <c r="G19" i="62" s="1"/>
  <c r="I19" i="62" s="1"/>
  <c r="L19" i="62" s="1"/>
  <c r="Y58" i="61"/>
  <c r="X58" i="61"/>
  <c r="Q58" i="61"/>
  <c r="P58" i="61"/>
  <c r="Z57" i="61"/>
  <c r="Y57" i="61"/>
  <c r="Z56" i="61"/>
  <c r="Y56" i="61"/>
  <c r="Z55" i="61"/>
  <c r="G18" i="62" s="1"/>
  <c r="Y55" i="61"/>
  <c r="X55" i="61"/>
  <c r="Q55" i="61"/>
  <c r="P55" i="61"/>
  <c r="Z54" i="61"/>
  <c r="Y54" i="61"/>
  <c r="Z53" i="61"/>
  <c r="Y53" i="61"/>
  <c r="Z52" i="61"/>
  <c r="G17" i="62" s="1"/>
  <c r="Y52" i="61"/>
  <c r="Z51" i="61"/>
  <c r="G16" i="62" s="1"/>
  <c r="Y51" i="61"/>
  <c r="X51" i="61"/>
  <c r="Q51" i="61"/>
  <c r="P51" i="61"/>
  <c r="Z50" i="61"/>
  <c r="Y50" i="61"/>
  <c r="Z49" i="61"/>
  <c r="Y49" i="61"/>
  <c r="Z48" i="61"/>
  <c r="Y48" i="61"/>
  <c r="Z47" i="61"/>
  <c r="G15" i="62" s="1"/>
  <c r="Y47" i="61"/>
  <c r="W47" i="61"/>
  <c r="R47" i="61"/>
  <c r="S47" i="61" s="1"/>
  <c r="T47" i="61" s="1"/>
  <c r="U47" i="61" s="1"/>
  <c r="V47" i="61" s="1"/>
  <c r="Z46" i="61"/>
  <c r="Y46" i="61"/>
  <c r="Z45" i="61"/>
  <c r="Y45" i="61"/>
  <c r="Z44" i="61"/>
  <c r="Y44" i="61"/>
  <c r="Z43" i="61"/>
  <c r="Y43" i="61"/>
  <c r="Z42" i="61"/>
  <c r="G14" i="62" s="1"/>
  <c r="I14" i="62" s="1"/>
  <c r="L14" i="62" s="1"/>
  <c r="Y42" i="61"/>
  <c r="T42" i="61"/>
  <c r="U42" i="61" s="1"/>
  <c r="V42" i="61" s="1"/>
  <c r="S42" i="61"/>
  <c r="Z41" i="61"/>
  <c r="G13" i="62" s="1"/>
  <c r="Y41" i="61"/>
  <c r="S41" i="61"/>
  <c r="T41" i="61" s="1"/>
  <c r="U41" i="61" s="1"/>
  <c r="V41" i="61" s="1"/>
  <c r="Z40" i="61"/>
  <c r="G12" i="62" s="1"/>
  <c r="Z39" i="61"/>
  <c r="Z38" i="61"/>
  <c r="Z37" i="61"/>
  <c r="G11" i="62" s="1"/>
  <c r="Y37" i="61"/>
  <c r="X37" i="61"/>
  <c r="Q37" i="61"/>
  <c r="P37" i="61"/>
  <c r="Z36" i="61"/>
  <c r="Y36" i="61"/>
  <c r="Z35" i="61"/>
  <c r="Y35" i="61"/>
  <c r="Z34" i="61"/>
  <c r="G10" i="62" s="1"/>
  <c r="Y34" i="61"/>
  <c r="X34" i="61"/>
  <c r="P34" i="61"/>
  <c r="Z33" i="61"/>
  <c r="Y33" i="61"/>
  <c r="Z32" i="61"/>
  <c r="Y32" i="61"/>
  <c r="Z31" i="61"/>
  <c r="Y31" i="61"/>
  <c r="Z30" i="61"/>
  <c r="Y30" i="61"/>
  <c r="Z29" i="61"/>
  <c r="Y29" i="61"/>
  <c r="Z28" i="61"/>
  <c r="Y28" i="61"/>
  <c r="Z27" i="61"/>
  <c r="Y27" i="61"/>
  <c r="Z26" i="61"/>
  <c r="Y26" i="61"/>
  <c r="Z25" i="61"/>
  <c r="Y25" i="61"/>
  <c r="Z24" i="61"/>
  <c r="Y24" i="61"/>
  <c r="Z23" i="61"/>
  <c r="Y23" i="61"/>
  <c r="Z22" i="61"/>
  <c r="G9" i="62" s="1"/>
  <c r="I9" i="62" s="1"/>
  <c r="L9" i="62" s="1"/>
  <c r="Y22" i="61"/>
  <c r="X22" i="61"/>
  <c r="Z21" i="61"/>
  <c r="Y21" i="61"/>
  <c r="Z20" i="61"/>
  <c r="G8" i="62" s="1"/>
  <c r="Y20" i="61"/>
  <c r="X20" i="61"/>
  <c r="Z19" i="61"/>
  <c r="Y19" i="61"/>
  <c r="Z18" i="61"/>
  <c r="G7" i="62" s="1"/>
  <c r="Y18" i="61"/>
  <c r="X18" i="61"/>
  <c r="Z17" i="61"/>
  <c r="Y17" i="61"/>
  <c r="Z16" i="61"/>
  <c r="Y16" i="61"/>
  <c r="Z15" i="61"/>
  <c r="Y15" i="61"/>
  <c r="Z14" i="61"/>
  <c r="Y14" i="61"/>
  <c r="Z13" i="61"/>
  <c r="G6" i="62" s="1"/>
  <c r="Y13" i="61"/>
  <c r="X13" i="61"/>
  <c r="Z12" i="61"/>
  <c r="Y12" i="61"/>
  <c r="Z11" i="61"/>
  <c r="G5" i="62" s="1"/>
  <c r="Y11" i="61"/>
  <c r="X11" i="61"/>
  <c r="Q11" i="61"/>
  <c r="P11" i="61"/>
  <c r="Z10" i="61"/>
  <c r="Y10" i="61"/>
  <c r="Z9" i="61"/>
  <c r="Y9" i="61"/>
  <c r="Z8" i="61"/>
  <c r="G4" i="62" s="1"/>
  <c r="Y8" i="61"/>
  <c r="X8" i="61"/>
  <c r="W8" i="61"/>
  <c r="V8" i="61"/>
  <c r="U8" i="61"/>
  <c r="T8" i="61"/>
  <c r="S8" i="61"/>
  <c r="R8" i="61"/>
  <c r="Q8" i="61"/>
  <c r="P8" i="61"/>
  <c r="Z7" i="61"/>
  <c r="Y7" i="61"/>
  <c r="Z6" i="61"/>
  <c r="Y6" i="61"/>
  <c r="Z5" i="61"/>
  <c r="G3" i="62" s="1"/>
  <c r="Y5" i="61"/>
  <c r="X5" i="61"/>
  <c r="Q5" i="61"/>
  <c r="P5" i="61"/>
  <c r="Z4" i="61"/>
  <c r="Y4" i="61"/>
  <c r="Z3" i="61"/>
  <c r="G2" i="62" s="1"/>
  <c r="Y3" i="61"/>
  <c r="G12" i="80" l="1"/>
  <c r="I5" i="62"/>
  <c r="L5" i="62" s="1"/>
  <c r="I6" i="62"/>
  <c r="L6" i="62" s="1"/>
  <c r="I10" i="62"/>
  <c r="L10" i="62" s="1"/>
  <c r="I15" i="62"/>
  <c r="L15" i="62" s="1"/>
  <c r="I20" i="62"/>
  <c r="L20" i="62" s="1"/>
  <c r="I24" i="62"/>
  <c r="L24" i="62" s="1"/>
  <c r="I25" i="62"/>
  <c r="L25" i="62" s="1"/>
  <c r="I29" i="62"/>
  <c r="L29" i="62" s="1"/>
  <c r="I30" i="62"/>
  <c r="L30" i="62" s="1"/>
  <c r="I34" i="62"/>
  <c r="L34" i="62" s="1"/>
  <c r="I35" i="62"/>
  <c r="L35" i="62" s="1"/>
  <c r="I39" i="62"/>
  <c r="L39" i="62" s="1"/>
  <c r="I23" i="62"/>
  <c r="L23" i="62" s="1"/>
  <c r="I28" i="62"/>
  <c r="L28" i="62" s="1"/>
  <c r="I38" i="62"/>
  <c r="L38" i="62" s="1"/>
  <c r="I2" i="62"/>
  <c r="L2" i="62" s="1"/>
  <c r="I3" i="62"/>
  <c r="L3" i="62" s="1"/>
  <c r="I8" i="62"/>
  <c r="L8" i="62" s="1"/>
  <c r="I13" i="62"/>
  <c r="L13" i="62" s="1"/>
  <c r="I18" i="62"/>
  <c r="L18" i="62" s="1"/>
  <c r="I22" i="62"/>
  <c r="L22" i="62" s="1"/>
  <c r="I27" i="62"/>
  <c r="L27" i="62" s="1"/>
  <c r="I32" i="62"/>
  <c r="L32" i="62" s="1"/>
  <c r="I37" i="62"/>
  <c r="L37" i="62" s="1"/>
  <c r="I4" i="62"/>
  <c r="L4" i="62" s="1"/>
  <c r="I7" i="62"/>
  <c r="L7" i="62" s="1"/>
  <c r="I11" i="62"/>
  <c r="L11" i="62" s="1"/>
  <c r="I12" i="62"/>
  <c r="L12" i="62" s="1"/>
  <c r="I16" i="62"/>
  <c r="L16" i="62" s="1"/>
  <c r="I17" i="62"/>
  <c r="L17" i="62" s="1"/>
  <c r="I21" i="62"/>
  <c r="L21" i="62" s="1"/>
  <c r="I26" i="62"/>
  <c r="L26" i="62" s="1"/>
  <c r="I31" i="62"/>
  <c r="L31" i="62" s="1"/>
  <c r="I36" i="62"/>
  <c r="L36" i="62" s="1"/>
  <c r="M11" i="62" l="1"/>
  <c r="M34" i="62"/>
  <c r="L11" i="80" s="1"/>
  <c r="M24" i="62"/>
  <c r="M16" i="62"/>
  <c r="M5" i="62"/>
  <c r="M2" i="62"/>
  <c r="M29" i="62"/>
  <c r="H30" i="60"/>
  <c r="E30" i="60"/>
  <c r="H29" i="60"/>
  <c r="E29" i="60"/>
  <c r="H28" i="60"/>
  <c r="E28" i="60"/>
  <c r="H27" i="60"/>
  <c r="E27" i="60"/>
  <c r="H26" i="60"/>
  <c r="E26" i="60"/>
  <c r="H25" i="60"/>
  <c r="E25" i="60"/>
  <c r="H24" i="60"/>
  <c r="E24" i="60"/>
  <c r="H23" i="60"/>
  <c r="E23" i="60"/>
  <c r="H22" i="60"/>
  <c r="E22" i="60"/>
  <c r="H21" i="60"/>
  <c r="E21" i="60"/>
  <c r="H20" i="60"/>
  <c r="E20" i="60"/>
  <c r="H19" i="60"/>
  <c r="E19" i="60"/>
  <c r="H18" i="60"/>
  <c r="E18" i="60"/>
  <c r="H17" i="60"/>
  <c r="E17" i="60"/>
  <c r="H16" i="60"/>
  <c r="E16" i="60"/>
  <c r="H15" i="60"/>
  <c r="E15" i="60"/>
  <c r="H14" i="60"/>
  <c r="E14" i="60"/>
  <c r="H13" i="60"/>
  <c r="E13" i="60"/>
  <c r="H12" i="60"/>
  <c r="E12" i="60"/>
  <c r="H11" i="60"/>
  <c r="E11" i="60"/>
  <c r="H10" i="60"/>
  <c r="E10" i="60"/>
  <c r="H9" i="60"/>
  <c r="E9" i="60"/>
  <c r="H8" i="60"/>
  <c r="E8" i="60"/>
  <c r="H7" i="60"/>
  <c r="E7" i="60"/>
  <c r="H6" i="60"/>
  <c r="E6" i="60"/>
  <c r="H5" i="60"/>
  <c r="E5" i="60"/>
  <c r="H4" i="60"/>
  <c r="E4" i="60"/>
  <c r="E3" i="60"/>
  <c r="H2" i="60"/>
  <c r="E2" i="60"/>
  <c r="K10" i="60"/>
  <c r="K9" i="60"/>
  <c r="K8" i="60"/>
  <c r="K7" i="60"/>
  <c r="K6" i="60"/>
  <c r="K5" i="60"/>
  <c r="Y108" i="59"/>
  <c r="Y107" i="59"/>
  <c r="X107" i="59"/>
  <c r="Q107" i="59"/>
  <c r="P107" i="59"/>
  <c r="Y106" i="59"/>
  <c r="Y105" i="59"/>
  <c r="Y104" i="59"/>
  <c r="Y103" i="59"/>
  <c r="X103" i="59"/>
  <c r="Q103" i="59"/>
  <c r="P103" i="59"/>
  <c r="Y102" i="59"/>
  <c r="Y101" i="59"/>
  <c r="Y100" i="59"/>
  <c r="X100" i="59"/>
  <c r="Q100" i="59"/>
  <c r="P100" i="59"/>
  <c r="Y99" i="59"/>
  <c r="Y98" i="59"/>
  <c r="X98" i="59"/>
  <c r="Q98" i="59"/>
  <c r="P98" i="59"/>
  <c r="Y97" i="59"/>
  <c r="Y96" i="59"/>
  <c r="Y95" i="59"/>
  <c r="X95" i="59"/>
  <c r="Y94" i="59"/>
  <c r="Y93" i="59"/>
  <c r="Y92" i="59"/>
  <c r="Y91" i="59"/>
  <c r="Y90" i="59"/>
  <c r="Y89" i="59"/>
  <c r="Y88" i="59"/>
  <c r="G30" i="60" s="1"/>
  <c r="Y87" i="59"/>
  <c r="G29" i="60" s="1"/>
  <c r="Y86" i="59"/>
  <c r="G28" i="60" s="1"/>
  <c r="Y85" i="59"/>
  <c r="G27" i="60" s="1"/>
  <c r="Y84" i="59"/>
  <c r="G26" i="60" s="1"/>
  <c r="X84" i="59"/>
  <c r="Q84" i="59"/>
  <c r="P84" i="59"/>
  <c r="Y83" i="59"/>
  <c r="Y82" i="59"/>
  <c r="Y81" i="59"/>
  <c r="Y80" i="59"/>
  <c r="Y79" i="59"/>
  <c r="Y78" i="59"/>
  <c r="G25" i="60" s="1"/>
  <c r="X78" i="59"/>
  <c r="W78" i="59"/>
  <c r="V78" i="59"/>
  <c r="U78" i="59"/>
  <c r="T78" i="59"/>
  <c r="S78" i="59"/>
  <c r="R78" i="59"/>
  <c r="Q78" i="59"/>
  <c r="P78" i="59"/>
  <c r="Y77" i="59"/>
  <c r="Y76" i="59"/>
  <c r="Y75" i="59"/>
  <c r="X75" i="59"/>
  <c r="Q75" i="59"/>
  <c r="P75" i="59"/>
  <c r="Y74" i="59"/>
  <c r="Y73" i="59"/>
  <c r="Y72" i="59"/>
  <c r="G24" i="60" s="1"/>
  <c r="X72" i="59"/>
  <c r="W72" i="59"/>
  <c r="V72" i="59"/>
  <c r="U72" i="59"/>
  <c r="T72" i="59"/>
  <c r="S72" i="59"/>
  <c r="R72" i="59"/>
  <c r="Y71" i="59"/>
  <c r="Y70" i="59"/>
  <c r="Y69" i="59"/>
  <c r="Y68" i="59"/>
  <c r="G23" i="60" s="1"/>
  <c r="Y67" i="59"/>
  <c r="G22" i="60" s="1"/>
  <c r="X67" i="59"/>
  <c r="W67" i="59"/>
  <c r="V67" i="59"/>
  <c r="U67" i="59"/>
  <c r="T67" i="59"/>
  <c r="S67" i="59"/>
  <c r="R67" i="59"/>
  <c r="Q67" i="59"/>
  <c r="P67" i="59"/>
  <c r="Y66" i="59"/>
  <c r="Y65" i="59"/>
  <c r="Y64" i="59"/>
  <c r="Y63" i="59"/>
  <c r="G21" i="60" s="1"/>
  <c r="X63" i="59"/>
  <c r="Q63" i="59"/>
  <c r="P63" i="59"/>
  <c r="Y62" i="59"/>
  <c r="Y61" i="59"/>
  <c r="Y60" i="59"/>
  <c r="G20" i="60" s="1"/>
  <c r="X60" i="59"/>
  <c r="Q60" i="59"/>
  <c r="P60" i="59"/>
  <c r="Y59" i="59"/>
  <c r="Y58" i="59"/>
  <c r="Y57" i="59"/>
  <c r="G19" i="60" s="1"/>
  <c r="X57" i="59"/>
  <c r="Q57" i="59"/>
  <c r="P57" i="59"/>
  <c r="Y56" i="59"/>
  <c r="Y55" i="59"/>
  <c r="G18" i="60" s="1"/>
  <c r="X55" i="59"/>
  <c r="Q55" i="59"/>
  <c r="P55" i="59"/>
  <c r="Y54" i="59"/>
  <c r="Y53" i="59"/>
  <c r="Y52" i="59"/>
  <c r="G17" i="60" s="1"/>
  <c r="X52" i="59"/>
  <c r="Q52" i="59"/>
  <c r="P52" i="59"/>
  <c r="Y51" i="59"/>
  <c r="Y50" i="59"/>
  <c r="Y49" i="59"/>
  <c r="G16" i="60" s="1"/>
  <c r="Y48" i="59"/>
  <c r="G15" i="60" s="1"/>
  <c r="X48" i="59"/>
  <c r="Q48" i="59"/>
  <c r="P48" i="59"/>
  <c r="Y47" i="59"/>
  <c r="Y46" i="59"/>
  <c r="Y45" i="59"/>
  <c r="Y44" i="59"/>
  <c r="G14" i="60" s="1"/>
  <c r="W44" i="59"/>
  <c r="V44" i="59"/>
  <c r="U44" i="59"/>
  <c r="T44" i="59"/>
  <c r="S44" i="59"/>
  <c r="R44" i="59"/>
  <c r="Y43" i="59"/>
  <c r="Y42" i="59"/>
  <c r="Y41" i="59"/>
  <c r="Y40" i="59"/>
  <c r="Y39" i="59"/>
  <c r="G13" i="60" s="1"/>
  <c r="Y38" i="59"/>
  <c r="G12" i="60" s="1"/>
  <c r="Y37" i="59"/>
  <c r="G11" i="60" s="1"/>
  <c r="X37" i="59"/>
  <c r="Q37" i="59"/>
  <c r="P37" i="59"/>
  <c r="Y36" i="59"/>
  <c r="Y35" i="59"/>
  <c r="Y34" i="59"/>
  <c r="G10" i="60" s="1"/>
  <c r="X34" i="59"/>
  <c r="Q34" i="59"/>
  <c r="P34" i="59"/>
  <c r="Y33" i="59"/>
  <c r="Y32" i="59"/>
  <c r="Y31" i="59"/>
  <c r="Y30" i="59"/>
  <c r="Y29" i="59"/>
  <c r="Y28" i="59"/>
  <c r="Y27" i="59"/>
  <c r="Y26" i="59"/>
  <c r="Y25" i="59"/>
  <c r="Y24" i="59"/>
  <c r="Y23" i="59"/>
  <c r="Y22" i="59"/>
  <c r="G9" i="60" s="1"/>
  <c r="X22" i="59"/>
  <c r="Q22" i="59"/>
  <c r="P22" i="59"/>
  <c r="Y21" i="59"/>
  <c r="Y20" i="59"/>
  <c r="G8" i="60" s="1"/>
  <c r="X20" i="59"/>
  <c r="Q20" i="59"/>
  <c r="P20" i="59"/>
  <c r="Y19" i="59"/>
  <c r="Y18" i="59"/>
  <c r="G7" i="60" s="1"/>
  <c r="X18" i="59"/>
  <c r="Q18" i="59"/>
  <c r="P18" i="59"/>
  <c r="Y17" i="59"/>
  <c r="Y16" i="59"/>
  <c r="Y15" i="59"/>
  <c r="Y14" i="59"/>
  <c r="Y13" i="59"/>
  <c r="G6" i="60" s="1"/>
  <c r="X13" i="59"/>
  <c r="Q13" i="59"/>
  <c r="P13" i="59"/>
  <c r="Y12" i="59"/>
  <c r="Y11" i="59"/>
  <c r="G5" i="60" s="1"/>
  <c r="X11" i="59"/>
  <c r="Q11" i="59"/>
  <c r="P11" i="59"/>
  <c r="Y10" i="59"/>
  <c r="Y9" i="59"/>
  <c r="Y8" i="59"/>
  <c r="G4" i="60" s="1"/>
  <c r="X8" i="59"/>
  <c r="W8" i="59"/>
  <c r="V8" i="59"/>
  <c r="U8" i="59"/>
  <c r="T8" i="59"/>
  <c r="S8" i="59"/>
  <c r="R8" i="59"/>
  <c r="Q8" i="59"/>
  <c r="P8" i="59"/>
  <c r="Y7" i="59"/>
  <c r="Y6" i="59"/>
  <c r="Y5" i="59"/>
  <c r="G3" i="60" s="1"/>
  <c r="X5" i="59"/>
  <c r="Q5" i="59"/>
  <c r="P5" i="59"/>
  <c r="Y4" i="59"/>
  <c r="Y3" i="59"/>
  <c r="G2" i="60" s="1"/>
  <c r="E12" i="80" l="1"/>
  <c r="I5" i="60"/>
  <c r="L5" i="60" s="1"/>
  <c r="I13" i="60"/>
  <c r="L13" i="60" s="1"/>
  <c r="I16" i="60"/>
  <c r="L16" i="60" s="1"/>
  <c r="I20" i="60"/>
  <c r="L20" i="60" s="1"/>
  <c r="I27" i="60"/>
  <c r="L27" i="60" s="1"/>
  <c r="I30" i="60"/>
  <c r="L30" i="60" s="1"/>
  <c r="I2" i="60"/>
  <c r="L2" i="60" s="1"/>
  <c r="I7" i="60"/>
  <c r="L7" i="60" s="1"/>
  <c r="I9" i="60"/>
  <c r="L9" i="60" s="1"/>
  <c r="I11" i="60"/>
  <c r="L11" i="60" s="1"/>
  <c r="I14" i="60"/>
  <c r="L14" i="60" s="1"/>
  <c r="I17" i="60"/>
  <c r="L17" i="60" s="1"/>
  <c r="I21" i="60"/>
  <c r="L21" i="60" s="1"/>
  <c r="I24" i="60"/>
  <c r="L24" i="60" s="1"/>
  <c r="I15" i="60"/>
  <c r="L15" i="60" s="1"/>
  <c r="I18" i="60"/>
  <c r="L18" i="60" s="1"/>
  <c r="I22" i="60"/>
  <c r="L22" i="60" s="1"/>
  <c r="I25" i="60"/>
  <c r="L25" i="60" s="1"/>
  <c r="I28" i="60"/>
  <c r="L28" i="60" s="1"/>
  <c r="I3" i="60"/>
  <c r="L3" i="60" s="1"/>
  <c r="I4" i="60"/>
  <c r="L4" i="60" s="1"/>
  <c r="I6" i="60"/>
  <c r="L6" i="60" s="1"/>
  <c r="I8" i="60"/>
  <c r="L8" i="60" s="1"/>
  <c r="I10" i="60"/>
  <c r="L10" i="60" s="1"/>
  <c r="I12" i="60"/>
  <c r="L12" i="60" s="1"/>
  <c r="I19" i="60"/>
  <c r="L19" i="60" s="1"/>
  <c r="I23" i="60"/>
  <c r="L23" i="60" s="1"/>
  <c r="I26" i="60"/>
  <c r="L26" i="60" s="1"/>
  <c r="I29" i="60"/>
  <c r="L29" i="60" s="1"/>
  <c r="M15" i="60" l="1"/>
  <c r="M2" i="60"/>
  <c r="M11" i="60"/>
  <c r="M23" i="60"/>
  <c r="M27" i="60"/>
  <c r="M5" i="60"/>
  <c r="K11" i="69"/>
  <c r="I11" i="69"/>
  <c r="E11" i="69"/>
  <c r="K10" i="69"/>
  <c r="I10" i="69"/>
  <c r="G10" i="69"/>
  <c r="E10" i="69"/>
  <c r="K9" i="69"/>
  <c r="I9" i="69"/>
  <c r="G9" i="69"/>
  <c r="E9" i="69"/>
  <c r="K8" i="69"/>
  <c r="I8" i="69"/>
  <c r="G8" i="69"/>
  <c r="E8" i="69"/>
  <c r="K7" i="69"/>
  <c r="I7" i="69"/>
  <c r="G7" i="69"/>
  <c r="E7" i="69"/>
  <c r="K6" i="69"/>
  <c r="I6" i="69"/>
  <c r="G6" i="69"/>
  <c r="E6" i="69"/>
  <c r="K5" i="69"/>
  <c r="I5" i="69"/>
  <c r="G5" i="69"/>
  <c r="E5" i="69"/>
  <c r="H39" i="56"/>
  <c r="F39" i="56"/>
  <c r="D39" i="56"/>
  <c r="H38" i="56"/>
  <c r="F38" i="56"/>
  <c r="D38" i="56"/>
  <c r="H37" i="56"/>
  <c r="F37" i="56"/>
  <c r="D37" i="56"/>
  <c r="H36" i="56"/>
  <c r="F36" i="56"/>
  <c r="D36" i="56"/>
  <c r="H35" i="56"/>
  <c r="F35" i="56"/>
  <c r="D35" i="56"/>
  <c r="H34" i="56"/>
  <c r="F34" i="56"/>
  <c r="D34" i="56"/>
  <c r="H33" i="56"/>
  <c r="F33" i="56"/>
  <c r="D33" i="56"/>
  <c r="H32" i="56"/>
  <c r="F32" i="56"/>
  <c r="D32" i="56"/>
  <c r="H31" i="56"/>
  <c r="F31" i="56"/>
  <c r="D31" i="56"/>
  <c r="H30" i="56"/>
  <c r="F30" i="56"/>
  <c r="D30" i="56"/>
  <c r="H29" i="56"/>
  <c r="F29" i="56"/>
  <c r="D29" i="56"/>
  <c r="F28" i="56"/>
  <c r="D28" i="56"/>
  <c r="H27" i="56"/>
  <c r="F27" i="56"/>
  <c r="D27" i="56"/>
  <c r="H26" i="56"/>
  <c r="F26" i="56"/>
  <c r="D26" i="56"/>
  <c r="H25" i="56"/>
  <c r="F25" i="56"/>
  <c r="D25" i="56"/>
  <c r="H24" i="56"/>
  <c r="F24" i="56"/>
  <c r="D24" i="56"/>
  <c r="H23" i="56"/>
  <c r="F23" i="56"/>
  <c r="D23" i="56"/>
  <c r="H22" i="56"/>
  <c r="F22" i="56"/>
  <c r="D22" i="56"/>
  <c r="H21" i="56"/>
  <c r="F21" i="56"/>
  <c r="D21" i="56"/>
  <c r="H20" i="56"/>
  <c r="F20" i="56"/>
  <c r="D20" i="56"/>
  <c r="H19" i="56"/>
  <c r="F19" i="56"/>
  <c r="D19" i="56"/>
  <c r="H18" i="56"/>
  <c r="F18" i="56"/>
  <c r="D18" i="56"/>
  <c r="H17" i="56"/>
  <c r="F17" i="56"/>
  <c r="D17" i="56"/>
  <c r="H16" i="56"/>
  <c r="F16" i="56"/>
  <c r="D16" i="56"/>
  <c r="H15" i="56"/>
  <c r="F15" i="56"/>
  <c r="D15" i="56"/>
  <c r="H14" i="56"/>
  <c r="F14" i="56"/>
  <c r="D14" i="56"/>
  <c r="H13" i="56"/>
  <c r="F13" i="56"/>
  <c r="D13" i="56"/>
  <c r="H12" i="56"/>
  <c r="F12" i="56"/>
  <c r="D12" i="56"/>
  <c r="H11" i="56"/>
  <c r="F11" i="56"/>
  <c r="E11" i="56"/>
  <c r="D11" i="56"/>
  <c r="F10" i="56"/>
  <c r="D10" i="56"/>
  <c r="F9" i="56"/>
  <c r="D9" i="56"/>
  <c r="F8" i="56"/>
  <c r="D8" i="56"/>
  <c r="F7" i="56"/>
  <c r="D7" i="56"/>
  <c r="F6" i="56"/>
  <c r="D6" i="56"/>
  <c r="H5" i="56"/>
  <c r="F5" i="56"/>
  <c r="D5" i="56"/>
  <c r="H4" i="56"/>
  <c r="F4" i="56"/>
  <c r="D4" i="56"/>
  <c r="H3" i="56"/>
  <c r="F3" i="56"/>
  <c r="D3" i="56"/>
  <c r="F2" i="56"/>
  <c r="D2" i="56"/>
  <c r="L38" i="56"/>
  <c r="L35" i="56"/>
  <c r="L34" i="56"/>
  <c r="L18" i="56"/>
  <c r="L4" i="56"/>
  <c r="L3" i="56"/>
  <c r="L2" i="56"/>
  <c r="M2" i="56" s="1"/>
  <c r="AE113" i="55"/>
  <c r="G39" i="56" s="1"/>
  <c r="AD113" i="55"/>
  <c r="AC113" i="55"/>
  <c r="AB113" i="55"/>
  <c r="AA113" i="55"/>
  <c r="Z113" i="55"/>
  <c r="S113" i="55"/>
  <c r="E39" i="56" s="1"/>
  <c r="AE112" i="55"/>
  <c r="AD112" i="55"/>
  <c r="AC112" i="55"/>
  <c r="AB112" i="55"/>
  <c r="AA112" i="55"/>
  <c r="Z112" i="55"/>
  <c r="S112" i="55"/>
  <c r="R112" i="55"/>
  <c r="Y112" i="55" s="1"/>
  <c r="Q112" i="55"/>
  <c r="U112" i="55" s="1"/>
  <c r="W112" i="55" s="1"/>
  <c r="AE111" i="55"/>
  <c r="AD111" i="55"/>
  <c r="AC111" i="55"/>
  <c r="AB111" i="55"/>
  <c r="AA111" i="55"/>
  <c r="Z111" i="55"/>
  <c r="S111" i="55"/>
  <c r="AE110" i="55"/>
  <c r="G37" i="56" s="1"/>
  <c r="AD110" i="55"/>
  <c r="AC110" i="55"/>
  <c r="AB110" i="55"/>
  <c r="AA110" i="55"/>
  <c r="Z110" i="55"/>
  <c r="X110" i="55"/>
  <c r="S110" i="55"/>
  <c r="E37" i="56" s="1"/>
  <c r="AE109" i="55"/>
  <c r="AD109" i="55"/>
  <c r="AC109" i="55"/>
  <c r="AB109" i="55"/>
  <c r="AA109" i="55"/>
  <c r="Z109" i="55"/>
  <c r="S109" i="55"/>
  <c r="AE108" i="55"/>
  <c r="G36" i="56" s="1"/>
  <c r="AD108" i="55"/>
  <c r="AC108" i="55"/>
  <c r="AB108" i="55"/>
  <c r="AA108" i="55"/>
  <c r="Z108" i="55"/>
  <c r="X108" i="55"/>
  <c r="S108" i="55"/>
  <c r="E36" i="56" s="1"/>
  <c r="R108" i="55"/>
  <c r="Q108" i="55"/>
  <c r="AE107" i="55"/>
  <c r="AD107" i="55"/>
  <c r="AC107" i="55"/>
  <c r="AB107" i="55"/>
  <c r="AA107" i="55"/>
  <c r="Z107" i="55"/>
  <c r="S107" i="55"/>
  <c r="AE106" i="55"/>
  <c r="AD106" i="55"/>
  <c r="AC106" i="55"/>
  <c r="AB106" i="55"/>
  <c r="AA106" i="55"/>
  <c r="Z106" i="55"/>
  <c r="S106" i="55"/>
  <c r="AE105" i="55"/>
  <c r="AD105" i="55"/>
  <c r="AC105" i="55"/>
  <c r="AB105" i="55"/>
  <c r="AA105" i="55"/>
  <c r="Z105" i="55"/>
  <c r="X105" i="55"/>
  <c r="S105" i="55"/>
  <c r="R105" i="55"/>
  <c r="Q105" i="55"/>
  <c r="AE104" i="55"/>
  <c r="AD104" i="55"/>
  <c r="AC104" i="55"/>
  <c r="AB104" i="55"/>
  <c r="AA104" i="55"/>
  <c r="Z104" i="55"/>
  <c r="S104" i="55"/>
  <c r="AE103" i="55"/>
  <c r="AD103" i="55"/>
  <c r="AC103" i="55"/>
  <c r="AB103" i="55"/>
  <c r="AA103" i="55"/>
  <c r="Z103" i="55"/>
  <c r="X103" i="55"/>
  <c r="S103" i="55"/>
  <c r="R103" i="55"/>
  <c r="Q103" i="55"/>
  <c r="AE102" i="55"/>
  <c r="AD102" i="55"/>
  <c r="AC102" i="55"/>
  <c r="AB102" i="55"/>
  <c r="AA102" i="55"/>
  <c r="Z102" i="55"/>
  <c r="S102" i="55"/>
  <c r="AE101" i="55"/>
  <c r="AD101" i="55"/>
  <c r="AC101" i="55"/>
  <c r="AB101" i="55"/>
  <c r="AA101" i="55"/>
  <c r="Z101" i="55"/>
  <c r="S101" i="55"/>
  <c r="AE100" i="55"/>
  <c r="G33" i="56" s="1"/>
  <c r="AD100" i="55"/>
  <c r="AC100" i="55"/>
  <c r="AB100" i="55"/>
  <c r="AA100" i="55"/>
  <c r="Z100" i="55"/>
  <c r="S100" i="55"/>
  <c r="E33" i="56" s="1"/>
  <c r="AE99" i="55"/>
  <c r="AD99" i="55"/>
  <c r="AC99" i="55"/>
  <c r="AB99" i="55"/>
  <c r="AA99" i="55"/>
  <c r="Z99" i="55"/>
  <c r="S99" i="55"/>
  <c r="AE98" i="55"/>
  <c r="AD98" i="55"/>
  <c r="AC98" i="55"/>
  <c r="AB98" i="55"/>
  <c r="AA98" i="55"/>
  <c r="Z98" i="55"/>
  <c r="S98" i="55"/>
  <c r="AE97" i="55"/>
  <c r="AD97" i="55"/>
  <c r="AC97" i="55"/>
  <c r="AB97" i="55"/>
  <c r="AA97" i="55"/>
  <c r="Z97" i="55"/>
  <c r="S97" i="55"/>
  <c r="AE96" i="55"/>
  <c r="AD96" i="55"/>
  <c r="AC96" i="55"/>
  <c r="AB96" i="55"/>
  <c r="AA96" i="55"/>
  <c r="Z96" i="55"/>
  <c r="S96" i="55"/>
  <c r="AE95" i="55"/>
  <c r="AD95" i="55"/>
  <c r="AC95" i="55"/>
  <c r="AB95" i="55"/>
  <c r="AA95" i="55"/>
  <c r="Z95" i="55"/>
  <c r="S95" i="55"/>
  <c r="AE94" i="55"/>
  <c r="AD94" i="55"/>
  <c r="AC94" i="55"/>
  <c r="AB94" i="55"/>
  <c r="AA94" i="55"/>
  <c r="Z94" i="55"/>
  <c r="S94" i="55"/>
  <c r="AE93" i="55"/>
  <c r="G32" i="56" s="1"/>
  <c r="AD93" i="55"/>
  <c r="AC93" i="55"/>
  <c r="AB93" i="55"/>
  <c r="AA93" i="55"/>
  <c r="Z93" i="55"/>
  <c r="S93" i="55"/>
  <c r="E32" i="56" s="1"/>
  <c r="AE92" i="55"/>
  <c r="G31" i="56" s="1"/>
  <c r="I31" i="56" s="1"/>
  <c r="L31" i="56" s="1"/>
  <c r="AD92" i="55"/>
  <c r="AC92" i="55"/>
  <c r="AB92" i="55"/>
  <c r="AA92" i="55"/>
  <c r="Z92" i="55"/>
  <c r="S92" i="55"/>
  <c r="E31" i="56" s="1"/>
  <c r="AE91" i="55"/>
  <c r="G30" i="56" s="1"/>
  <c r="AD91" i="55"/>
  <c r="AC91" i="55"/>
  <c r="AB91" i="55"/>
  <c r="AA91" i="55"/>
  <c r="Z91" i="55"/>
  <c r="X91" i="55"/>
  <c r="S91" i="55"/>
  <c r="E30" i="56" s="1"/>
  <c r="AE90" i="55"/>
  <c r="G29" i="56" s="1"/>
  <c r="AD90" i="55"/>
  <c r="AC90" i="55"/>
  <c r="AB90" i="55"/>
  <c r="AA90" i="55"/>
  <c r="Z90" i="55"/>
  <c r="X90" i="55"/>
  <c r="S90" i="55"/>
  <c r="E29" i="56" s="1"/>
  <c r="AE89" i="55"/>
  <c r="G28" i="56" s="1"/>
  <c r="AD89" i="55"/>
  <c r="AC89" i="55"/>
  <c r="AB89" i="55"/>
  <c r="AA89" i="55"/>
  <c r="Z89" i="55"/>
  <c r="S89" i="55"/>
  <c r="X89" i="55" s="1"/>
  <c r="H28" i="56" s="1"/>
  <c r="Q89" i="55"/>
  <c r="AE88" i="55"/>
  <c r="AD88" i="55"/>
  <c r="AC88" i="55"/>
  <c r="AB88" i="55"/>
  <c r="AA88" i="55"/>
  <c r="Z88" i="55"/>
  <c r="S88" i="55"/>
  <c r="AE87" i="55"/>
  <c r="AD87" i="55"/>
  <c r="AC87" i="55"/>
  <c r="AB87" i="55"/>
  <c r="AA87" i="55"/>
  <c r="Z87" i="55"/>
  <c r="S87" i="55"/>
  <c r="AE86" i="55"/>
  <c r="AD86" i="55"/>
  <c r="AC86" i="55"/>
  <c r="AB86" i="55"/>
  <c r="AA86" i="55"/>
  <c r="Z86" i="55"/>
  <c r="S86" i="55"/>
  <c r="AE85" i="55"/>
  <c r="AD85" i="55"/>
  <c r="AC85" i="55"/>
  <c r="AB85" i="55"/>
  <c r="AA85" i="55"/>
  <c r="Z85" i="55"/>
  <c r="S85" i="55"/>
  <c r="AE84" i="55"/>
  <c r="AD84" i="55"/>
  <c r="AC84" i="55"/>
  <c r="AB84" i="55"/>
  <c r="AA84" i="55"/>
  <c r="Z84" i="55"/>
  <c r="S84" i="55"/>
  <c r="AE83" i="55"/>
  <c r="G27" i="56" s="1"/>
  <c r="AD83" i="55"/>
  <c r="AC83" i="55"/>
  <c r="AB83" i="55"/>
  <c r="AA83" i="55"/>
  <c r="Z83" i="55"/>
  <c r="X83" i="55"/>
  <c r="S83" i="55"/>
  <c r="E27" i="56" s="1"/>
  <c r="R83" i="55"/>
  <c r="Q83" i="55"/>
  <c r="AE82" i="55"/>
  <c r="AD82" i="55"/>
  <c r="AC82" i="55"/>
  <c r="AB82" i="55"/>
  <c r="AA82" i="55"/>
  <c r="Z82" i="55"/>
  <c r="S82" i="55"/>
  <c r="AE81" i="55"/>
  <c r="AD81" i="55"/>
  <c r="AC81" i="55"/>
  <c r="AB81" i="55"/>
  <c r="AA81" i="55"/>
  <c r="Z81" i="55"/>
  <c r="S81" i="55"/>
  <c r="AE80" i="55"/>
  <c r="G26" i="56" s="1"/>
  <c r="I26" i="56" s="1"/>
  <c r="L26" i="56" s="1"/>
  <c r="AD80" i="55"/>
  <c r="AC80" i="55"/>
  <c r="AB80" i="55"/>
  <c r="AA80" i="55"/>
  <c r="Z80" i="55"/>
  <c r="X80" i="55"/>
  <c r="S80" i="55"/>
  <c r="E26" i="56" s="1"/>
  <c r="R80" i="55"/>
  <c r="Q80" i="55"/>
  <c r="AE79" i="55"/>
  <c r="AD79" i="55"/>
  <c r="AC79" i="55"/>
  <c r="AB79" i="55"/>
  <c r="AA79" i="55"/>
  <c r="Z79" i="55"/>
  <c r="S79" i="55"/>
  <c r="AE78" i="55"/>
  <c r="AD78" i="55"/>
  <c r="AC78" i="55"/>
  <c r="AB78" i="55"/>
  <c r="AA78" i="55"/>
  <c r="Z78" i="55"/>
  <c r="S78" i="55"/>
  <c r="AE77" i="55"/>
  <c r="G25" i="56" s="1"/>
  <c r="AD77" i="55"/>
  <c r="AC77" i="55"/>
  <c r="AB77" i="55"/>
  <c r="AA77" i="55"/>
  <c r="Z77" i="55"/>
  <c r="X77" i="55"/>
  <c r="S77" i="55"/>
  <c r="E25" i="56" s="1"/>
  <c r="AE76" i="55"/>
  <c r="AD76" i="55"/>
  <c r="AC76" i="55"/>
  <c r="AB76" i="55"/>
  <c r="AA76" i="55"/>
  <c r="Z76" i="55"/>
  <c r="S76" i="55"/>
  <c r="AE75" i="55"/>
  <c r="AD75" i="55"/>
  <c r="AC75" i="55"/>
  <c r="AB75" i="55"/>
  <c r="AA75" i="55"/>
  <c r="Z75" i="55"/>
  <c r="S75" i="55"/>
  <c r="AE74" i="55"/>
  <c r="AD74" i="55"/>
  <c r="AC74" i="55"/>
  <c r="AB74" i="55"/>
  <c r="AA74" i="55"/>
  <c r="Z74" i="55"/>
  <c r="S74" i="55"/>
  <c r="AE73" i="55"/>
  <c r="G24" i="56" s="1"/>
  <c r="AD73" i="55"/>
  <c r="AC73" i="55"/>
  <c r="AB73" i="55"/>
  <c r="AA73" i="55"/>
  <c r="Z73" i="55"/>
  <c r="X73" i="55"/>
  <c r="S73" i="55"/>
  <c r="E24" i="56" s="1"/>
  <c r="AE72" i="55"/>
  <c r="G23" i="56" s="1"/>
  <c r="AD72" i="55"/>
  <c r="AC72" i="55"/>
  <c r="AB72" i="55"/>
  <c r="AA72" i="55"/>
  <c r="Z72" i="55"/>
  <c r="X72" i="55"/>
  <c r="S72" i="55"/>
  <c r="E23" i="56" s="1"/>
  <c r="R72" i="55"/>
  <c r="Q72" i="55"/>
  <c r="AE71" i="55"/>
  <c r="AD71" i="55"/>
  <c r="AC71" i="55"/>
  <c r="AB71" i="55"/>
  <c r="AA71" i="55"/>
  <c r="Z71" i="55"/>
  <c r="S71" i="55"/>
  <c r="AE70" i="55"/>
  <c r="AD70" i="55"/>
  <c r="AC70" i="55"/>
  <c r="AB70" i="55"/>
  <c r="AA70" i="55"/>
  <c r="Z70" i="55"/>
  <c r="S70" i="55"/>
  <c r="AE69" i="55"/>
  <c r="AD69" i="55"/>
  <c r="AC69" i="55"/>
  <c r="AB69" i="55"/>
  <c r="AA69" i="55"/>
  <c r="Z69" i="55"/>
  <c r="S69" i="55"/>
  <c r="AE68" i="55"/>
  <c r="G22" i="56" s="1"/>
  <c r="AD68" i="55"/>
  <c r="AC68" i="55"/>
  <c r="AB68" i="55"/>
  <c r="AA68" i="55"/>
  <c r="Z68" i="55"/>
  <c r="S68" i="55"/>
  <c r="R68" i="55"/>
  <c r="Q68" i="55"/>
  <c r="AE67" i="55"/>
  <c r="AD67" i="55"/>
  <c r="AC67" i="55"/>
  <c r="AB67" i="55"/>
  <c r="AA67" i="55"/>
  <c r="Z67" i="55"/>
  <c r="S67" i="55"/>
  <c r="AE66" i="55"/>
  <c r="AD66" i="55"/>
  <c r="AC66" i="55"/>
  <c r="AB66" i="55"/>
  <c r="AA66" i="55"/>
  <c r="Z66" i="55"/>
  <c r="S66" i="55"/>
  <c r="AE65" i="55"/>
  <c r="G21" i="56" s="1"/>
  <c r="AD65" i="55"/>
  <c r="AC65" i="55"/>
  <c r="AB65" i="55"/>
  <c r="AA65" i="55"/>
  <c r="Z65" i="55"/>
  <c r="S65" i="55"/>
  <c r="R65" i="55"/>
  <c r="Q65" i="55"/>
  <c r="AE64" i="55"/>
  <c r="AD64" i="55"/>
  <c r="AC64" i="55"/>
  <c r="AB64" i="55"/>
  <c r="AA64" i="55"/>
  <c r="Z64" i="55"/>
  <c r="S64" i="55"/>
  <c r="AE63" i="55"/>
  <c r="AD63" i="55"/>
  <c r="AC63" i="55"/>
  <c r="AB63" i="55"/>
  <c r="AA63" i="55"/>
  <c r="Z63" i="55"/>
  <c r="S63" i="55"/>
  <c r="AE62" i="55"/>
  <c r="G20" i="56" s="1"/>
  <c r="AD62" i="55"/>
  <c r="AC62" i="55"/>
  <c r="AB62" i="55"/>
  <c r="AA62" i="55"/>
  <c r="Z62" i="55"/>
  <c r="S62" i="55"/>
  <c r="R62" i="55"/>
  <c r="Q62" i="55"/>
  <c r="AE61" i="55"/>
  <c r="AD61" i="55"/>
  <c r="AC61" i="55"/>
  <c r="AB61" i="55"/>
  <c r="AA61" i="55"/>
  <c r="Z61" i="55"/>
  <c r="S61" i="55"/>
  <c r="AE60" i="55"/>
  <c r="G19" i="56" s="1"/>
  <c r="AD60" i="55"/>
  <c r="AC60" i="55"/>
  <c r="AB60" i="55"/>
  <c r="AA60" i="55"/>
  <c r="Z60" i="55"/>
  <c r="S60" i="55"/>
  <c r="R60" i="55"/>
  <c r="Q60" i="55"/>
  <c r="AE59" i="55"/>
  <c r="AD59" i="55"/>
  <c r="AC59" i="55"/>
  <c r="AB59" i="55"/>
  <c r="AA59" i="55"/>
  <c r="Z59" i="55"/>
  <c r="S59" i="55"/>
  <c r="AE58" i="55"/>
  <c r="AD58" i="55"/>
  <c r="AC58" i="55"/>
  <c r="AB58" i="55"/>
  <c r="AA58" i="55"/>
  <c r="Z58" i="55"/>
  <c r="S58" i="55"/>
  <c r="AE57" i="55"/>
  <c r="G18" i="56" s="1"/>
  <c r="AD57" i="55"/>
  <c r="AC57" i="55"/>
  <c r="AB57" i="55"/>
  <c r="AA57" i="55"/>
  <c r="Z57" i="55"/>
  <c r="S57" i="55"/>
  <c r="AE56" i="55"/>
  <c r="AD56" i="55"/>
  <c r="AC56" i="55"/>
  <c r="AB56" i="55"/>
  <c r="AA56" i="55"/>
  <c r="Z56" i="55"/>
  <c r="S56" i="55"/>
  <c r="AE55" i="55"/>
  <c r="AD55" i="55"/>
  <c r="AC55" i="55"/>
  <c r="AB55" i="55"/>
  <c r="AA55" i="55"/>
  <c r="Z55" i="55"/>
  <c r="S55" i="55"/>
  <c r="AE54" i="55"/>
  <c r="G17" i="56" s="1"/>
  <c r="I17" i="56" s="1"/>
  <c r="L17" i="56" s="1"/>
  <c r="AD54" i="55"/>
  <c r="AC54" i="55"/>
  <c r="AB54" i="55"/>
  <c r="AA54" i="55"/>
  <c r="Z54" i="55"/>
  <c r="S54" i="55"/>
  <c r="E17" i="56" s="1"/>
  <c r="AE53" i="55"/>
  <c r="G16" i="56" s="1"/>
  <c r="AD53" i="55"/>
  <c r="AC53" i="55"/>
  <c r="AB53" i="55"/>
  <c r="AA53" i="55"/>
  <c r="Z53" i="55"/>
  <c r="S53" i="55"/>
  <c r="E16" i="56" s="1"/>
  <c r="R53" i="55"/>
  <c r="Q53" i="55"/>
  <c r="AE52" i="55"/>
  <c r="AD52" i="55"/>
  <c r="AC52" i="55"/>
  <c r="AB52" i="55"/>
  <c r="AA52" i="55"/>
  <c r="Z52" i="55"/>
  <c r="S52" i="55"/>
  <c r="AE51" i="55"/>
  <c r="AD51" i="55"/>
  <c r="AC51" i="55"/>
  <c r="AB51" i="55"/>
  <c r="AA51" i="55"/>
  <c r="Z51" i="55"/>
  <c r="S51" i="55"/>
  <c r="AE50" i="55"/>
  <c r="AD50" i="55"/>
  <c r="AC50" i="55"/>
  <c r="AB50" i="55"/>
  <c r="AA50" i="55"/>
  <c r="Z50" i="55"/>
  <c r="S50" i="55"/>
  <c r="AE49" i="55"/>
  <c r="G15" i="56" s="1"/>
  <c r="AD49" i="55"/>
  <c r="AC49" i="55"/>
  <c r="AB49" i="55"/>
  <c r="AA49" i="55"/>
  <c r="Z49" i="55"/>
  <c r="X49" i="55"/>
  <c r="S49" i="55"/>
  <c r="E15" i="56" s="1"/>
  <c r="AE48" i="55"/>
  <c r="AD48" i="55"/>
  <c r="AC48" i="55"/>
  <c r="AB48" i="55"/>
  <c r="AA48" i="55"/>
  <c r="Z48" i="55"/>
  <c r="S48" i="55"/>
  <c r="AE47" i="55"/>
  <c r="AD47" i="55"/>
  <c r="AC47" i="55"/>
  <c r="AB47" i="55"/>
  <c r="AA47" i="55"/>
  <c r="Z47" i="55"/>
  <c r="S47" i="55"/>
  <c r="AE46" i="55"/>
  <c r="AD46" i="55"/>
  <c r="AC46" i="55"/>
  <c r="AB46" i="55"/>
  <c r="AA46" i="55"/>
  <c r="Z46" i="55"/>
  <c r="S46" i="55"/>
  <c r="AE45" i="55"/>
  <c r="AD45" i="55"/>
  <c r="AC45" i="55"/>
  <c r="AB45" i="55"/>
  <c r="AA45" i="55"/>
  <c r="Z45" i="55"/>
  <c r="S45" i="55"/>
  <c r="AE44" i="55"/>
  <c r="G14" i="56" s="1"/>
  <c r="I14" i="56" s="1"/>
  <c r="L14" i="56" s="1"/>
  <c r="AD44" i="55"/>
  <c r="AC44" i="55"/>
  <c r="AB44" i="55"/>
  <c r="AA44" i="55"/>
  <c r="Z44" i="55"/>
  <c r="X44" i="55"/>
  <c r="S44" i="55"/>
  <c r="E14" i="56" s="1"/>
  <c r="AE43" i="55"/>
  <c r="G13" i="56" s="1"/>
  <c r="AD43" i="55"/>
  <c r="AC43" i="55"/>
  <c r="AB43" i="55"/>
  <c r="AA43" i="55"/>
  <c r="Z43" i="55"/>
  <c r="S43" i="55"/>
  <c r="E13" i="56" s="1"/>
  <c r="AE42" i="55"/>
  <c r="G12" i="56" s="1"/>
  <c r="I12" i="56" s="1"/>
  <c r="L12" i="56" s="1"/>
  <c r="AD42" i="55"/>
  <c r="AC42" i="55"/>
  <c r="AB42" i="55"/>
  <c r="AA42" i="55"/>
  <c r="Z42" i="55"/>
  <c r="X42" i="55"/>
  <c r="S42" i="55"/>
  <c r="E12" i="56" s="1"/>
  <c r="AE41" i="55"/>
  <c r="AD41" i="55"/>
  <c r="AC41" i="55"/>
  <c r="AB41" i="55"/>
  <c r="AA41" i="55"/>
  <c r="Z41" i="55"/>
  <c r="S41" i="55"/>
  <c r="AE40" i="55"/>
  <c r="AD40" i="55"/>
  <c r="AC40" i="55"/>
  <c r="AB40" i="55"/>
  <c r="AA40" i="55"/>
  <c r="Z40" i="55"/>
  <c r="S40" i="55"/>
  <c r="AE39" i="55"/>
  <c r="G11" i="56" s="1"/>
  <c r="AD39" i="55"/>
  <c r="AC39" i="55"/>
  <c r="AB39" i="55"/>
  <c r="AA39" i="55"/>
  <c r="Z39" i="55"/>
  <c r="X39" i="55"/>
  <c r="R39" i="55"/>
  <c r="Q39" i="55"/>
  <c r="AE38" i="55"/>
  <c r="AD38" i="55"/>
  <c r="AC38" i="55"/>
  <c r="AB38" i="55"/>
  <c r="AA38" i="55"/>
  <c r="Z38" i="55"/>
  <c r="S38" i="55"/>
  <c r="AE37" i="55"/>
  <c r="AD37" i="55"/>
  <c r="AC37" i="55"/>
  <c r="AB37" i="55"/>
  <c r="AA37" i="55"/>
  <c r="Z37" i="55"/>
  <c r="S37" i="55"/>
  <c r="AE36" i="55"/>
  <c r="G10" i="56" s="1"/>
  <c r="AD36" i="55"/>
  <c r="AC36" i="55"/>
  <c r="AB36" i="55"/>
  <c r="AA36" i="55"/>
  <c r="Z36" i="55"/>
  <c r="S36" i="55"/>
  <c r="X36" i="55" s="1"/>
  <c r="H10" i="56" s="1"/>
  <c r="R36" i="55"/>
  <c r="Q36" i="55"/>
  <c r="AE35" i="55"/>
  <c r="AD35" i="55"/>
  <c r="AC35" i="55"/>
  <c r="AB35" i="55"/>
  <c r="AA35" i="55"/>
  <c r="Z35" i="55"/>
  <c r="S35" i="55"/>
  <c r="R35" i="55"/>
  <c r="Q35" i="55"/>
  <c r="AE34" i="55"/>
  <c r="AD34" i="55"/>
  <c r="AC34" i="55"/>
  <c r="AB34" i="55"/>
  <c r="AA34" i="55"/>
  <c r="Z34" i="55"/>
  <c r="S34" i="55"/>
  <c r="AE33" i="55"/>
  <c r="AD33" i="55"/>
  <c r="AC33" i="55"/>
  <c r="AB33" i="55"/>
  <c r="AA33" i="55"/>
  <c r="Z33" i="55"/>
  <c r="S33" i="55"/>
  <c r="AE32" i="55"/>
  <c r="AD32" i="55"/>
  <c r="AC32" i="55"/>
  <c r="AB32" i="55"/>
  <c r="AA32" i="55"/>
  <c r="Z32" i="55"/>
  <c r="S32" i="55"/>
  <c r="AE31" i="55"/>
  <c r="AD31" i="55"/>
  <c r="AC31" i="55"/>
  <c r="AB31" i="55"/>
  <c r="AA31" i="55"/>
  <c r="Z31" i="55"/>
  <c r="S31" i="55"/>
  <c r="AE30" i="55"/>
  <c r="AD30" i="55"/>
  <c r="AC30" i="55"/>
  <c r="AB30" i="55"/>
  <c r="AA30" i="55"/>
  <c r="Z30" i="55"/>
  <c r="S30" i="55"/>
  <c r="AE29" i="55"/>
  <c r="AD29" i="55"/>
  <c r="AC29" i="55"/>
  <c r="AB29" i="55"/>
  <c r="AA29" i="55"/>
  <c r="Z29" i="55"/>
  <c r="S29" i="55"/>
  <c r="AE28" i="55"/>
  <c r="AD28" i="55"/>
  <c r="AC28" i="55"/>
  <c r="AB28" i="55"/>
  <c r="AA28" i="55"/>
  <c r="Z28" i="55"/>
  <c r="S28" i="55"/>
  <c r="AE27" i="55"/>
  <c r="AD27" i="55"/>
  <c r="AC27" i="55"/>
  <c r="AB27" i="55"/>
  <c r="AA27" i="55"/>
  <c r="Z27" i="55"/>
  <c r="S27" i="55"/>
  <c r="AE26" i="55"/>
  <c r="AD26" i="55"/>
  <c r="AC26" i="55"/>
  <c r="AB26" i="55"/>
  <c r="AA26" i="55"/>
  <c r="Z26" i="55"/>
  <c r="S26" i="55"/>
  <c r="AE25" i="55"/>
  <c r="AD25" i="55"/>
  <c r="AC25" i="55"/>
  <c r="AB25" i="55"/>
  <c r="AA25" i="55"/>
  <c r="Z25" i="55"/>
  <c r="S25" i="55"/>
  <c r="AE24" i="55"/>
  <c r="AD24" i="55"/>
  <c r="AC24" i="55"/>
  <c r="AB24" i="55"/>
  <c r="AA24" i="55"/>
  <c r="Z24" i="55"/>
  <c r="S24" i="55"/>
  <c r="AE23" i="55"/>
  <c r="G9" i="56" s="1"/>
  <c r="AD23" i="55"/>
  <c r="AC23" i="55"/>
  <c r="AB23" i="55"/>
  <c r="AA23" i="55"/>
  <c r="Z23" i="55"/>
  <c r="S23" i="55"/>
  <c r="X23" i="55" s="1"/>
  <c r="H9" i="56" s="1"/>
  <c r="R23" i="55"/>
  <c r="Q23" i="55"/>
  <c r="AE22" i="55"/>
  <c r="AD22" i="55"/>
  <c r="AC22" i="55"/>
  <c r="AB22" i="55"/>
  <c r="AA22" i="55"/>
  <c r="Z22" i="55"/>
  <c r="S22" i="55"/>
  <c r="AE21" i="55"/>
  <c r="G8" i="56" s="1"/>
  <c r="AD21" i="55"/>
  <c r="AC21" i="55"/>
  <c r="AB21" i="55"/>
  <c r="AA21" i="55"/>
  <c r="Z21" i="55"/>
  <c r="S21" i="55"/>
  <c r="X21" i="55" s="1"/>
  <c r="H8" i="56" s="1"/>
  <c r="R21" i="55"/>
  <c r="Q21" i="55"/>
  <c r="AE20" i="55"/>
  <c r="AD20" i="55"/>
  <c r="AC20" i="55"/>
  <c r="AB20" i="55"/>
  <c r="AA20" i="55"/>
  <c r="Z20" i="55"/>
  <c r="S20" i="55"/>
  <c r="AE19" i="55"/>
  <c r="G7" i="56" s="1"/>
  <c r="AD19" i="55"/>
  <c r="AC19" i="55"/>
  <c r="AB19" i="55"/>
  <c r="AA19" i="55"/>
  <c r="Z19" i="55"/>
  <c r="S19" i="55"/>
  <c r="X19" i="55" s="1"/>
  <c r="H7" i="56" s="1"/>
  <c r="R19" i="55"/>
  <c r="Q19" i="55"/>
  <c r="AE18" i="55"/>
  <c r="AD18" i="55"/>
  <c r="AC18" i="55"/>
  <c r="AB18" i="55"/>
  <c r="AA18" i="55"/>
  <c r="Z18" i="55"/>
  <c r="S18" i="55"/>
  <c r="R18" i="55"/>
  <c r="Q18" i="55"/>
  <c r="E18" i="55"/>
  <c r="AE17" i="55"/>
  <c r="AD17" i="55"/>
  <c r="AC17" i="55"/>
  <c r="AB17" i="55"/>
  <c r="AA17" i="55"/>
  <c r="Z17" i="55"/>
  <c r="S17" i="55"/>
  <c r="AE16" i="55"/>
  <c r="AD16" i="55"/>
  <c r="AC16" i="55"/>
  <c r="AB16" i="55"/>
  <c r="AA16" i="55"/>
  <c r="Z16" i="55"/>
  <c r="S16" i="55"/>
  <c r="AE15" i="55"/>
  <c r="AD15" i="55"/>
  <c r="AC15" i="55"/>
  <c r="AB15" i="55"/>
  <c r="AA15" i="55"/>
  <c r="Z15" i="55"/>
  <c r="S15" i="55"/>
  <c r="AE14" i="55"/>
  <c r="AD14" i="55"/>
  <c r="AC14" i="55"/>
  <c r="AB14" i="55"/>
  <c r="AA14" i="55"/>
  <c r="Z14" i="55"/>
  <c r="S14" i="55"/>
  <c r="AE13" i="55"/>
  <c r="G6" i="56" s="1"/>
  <c r="AD13" i="55"/>
  <c r="AC13" i="55"/>
  <c r="AB13" i="55"/>
  <c r="AA13" i="55"/>
  <c r="Z13" i="55"/>
  <c r="S13" i="55"/>
  <c r="X13" i="55" s="1"/>
  <c r="H6" i="56" s="1"/>
  <c r="R13" i="55"/>
  <c r="Q13" i="55"/>
  <c r="AE12" i="55"/>
  <c r="AD12" i="55"/>
  <c r="AC12" i="55"/>
  <c r="AB12" i="55"/>
  <c r="AA12" i="55"/>
  <c r="Z12" i="55"/>
  <c r="S12" i="55"/>
  <c r="AE11" i="55"/>
  <c r="G5" i="56" s="1"/>
  <c r="AD11" i="55"/>
  <c r="AC11" i="55"/>
  <c r="AB11" i="55"/>
  <c r="AA11" i="55"/>
  <c r="Z11" i="55"/>
  <c r="X11" i="55"/>
  <c r="S11" i="55"/>
  <c r="E5" i="56" s="1"/>
  <c r="R11" i="55"/>
  <c r="Q11" i="55"/>
  <c r="AE10" i="55"/>
  <c r="AD10" i="55"/>
  <c r="AC10" i="55"/>
  <c r="AB10" i="55"/>
  <c r="AA10" i="55"/>
  <c r="Z10" i="55"/>
  <c r="S10" i="55"/>
  <c r="AE9" i="55"/>
  <c r="AD9" i="55"/>
  <c r="AC9" i="55"/>
  <c r="AB9" i="55"/>
  <c r="AA9" i="55"/>
  <c r="Z9" i="55"/>
  <c r="S9" i="55"/>
  <c r="AE8" i="55"/>
  <c r="AD8" i="55"/>
  <c r="AC8" i="55"/>
  <c r="AB8" i="55"/>
  <c r="AA8" i="55"/>
  <c r="Z8" i="55"/>
  <c r="X8" i="55"/>
  <c r="S8" i="55"/>
  <c r="E4" i="56" s="1"/>
  <c r="R8" i="55"/>
  <c r="Q8" i="55"/>
  <c r="AE7" i="55"/>
  <c r="AD7" i="55"/>
  <c r="AC7" i="55"/>
  <c r="AB7" i="55"/>
  <c r="AA7" i="55"/>
  <c r="Z7" i="55"/>
  <c r="S7" i="55"/>
  <c r="AE6" i="55"/>
  <c r="AD6" i="55"/>
  <c r="AC6" i="55"/>
  <c r="AB6" i="55"/>
  <c r="AA6" i="55"/>
  <c r="Z6" i="55"/>
  <c r="S6" i="55"/>
  <c r="AE5" i="55"/>
  <c r="AD5" i="55"/>
  <c r="AC5" i="55"/>
  <c r="AB5" i="55"/>
  <c r="AA5" i="55"/>
  <c r="Z5" i="55"/>
  <c r="S5" i="55"/>
  <c r="E3" i="56" s="1"/>
  <c r="R5" i="55"/>
  <c r="Q5" i="55"/>
  <c r="AE4" i="55"/>
  <c r="AD4" i="55"/>
  <c r="AC4" i="55"/>
  <c r="AB4" i="55"/>
  <c r="AA4" i="55"/>
  <c r="Z4" i="55"/>
  <c r="S4" i="55"/>
  <c r="AE3" i="55"/>
  <c r="AD3" i="55"/>
  <c r="AC3" i="55"/>
  <c r="AB3" i="55"/>
  <c r="AA3" i="55"/>
  <c r="Z3" i="55"/>
  <c r="W3" i="55"/>
  <c r="V3" i="55"/>
  <c r="U3" i="55"/>
  <c r="T3" i="55"/>
  <c r="S3" i="55"/>
  <c r="Y3" i="55" s="1"/>
  <c r="X3" i="55" s="1"/>
  <c r="H2" i="56" s="1"/>
  <c r="C9" i="69" l="1"/>
  <c r="L9" i="80"/>
  <c r="C7" i="69"/>
  <c r="L7" i="80"/>
  <c r="C6" i="69"/>
  <c r="L6" i="80"/>
  <c r="C5" i="69"/>
  <c r="C10" i="69"/>
  <c r="L10" i="80"/>
  <c r="C8" i="69"/>
  <c r="L8" i="80"/>
  <c r="I12" i="69"/>
  <c r="E8" i="56"/>
  <c r="E2" i="56"/>
  <c r="E9" i="56"/>
  <c r="I9" i="56" s="1"/>
  <c r="L9" i="56" s="1"/>
  <c r="E6" i="56"/>
  <c r="I6" i="56" s="1"/>
  <c r="L6" i="56" s="1"/>
  <c r="E10" i="56"/>
  <c r="I10" i="56" s="1"/>
  <c r="L10" i="56" s="1"/>
  <c r="E7" i="56"/>
  <c r="I7" i="56" s="1"/>
  <c r="L7" i="56" s="1"/>
  <c r="E28" i="56"/>
  <c r="I13" i="56"/>
  <c r="L13" i="56" s="1"/>
  <c r="I19" i="56"/>
  <c r="L19" i="56" s="1"/>
  <c r="I21" i="56"/>
  <c r="L21" i="56" s="1"/>
  <c r="I24" i="56"/>
  <c r="L24" i="56" s="1"/>
  <c r="I25" i="56"/>
  <c r="L25" i="56" s="1"/>
  <c r="I29" i="56"/>
  <c r="L29" i="56" s="1"/>
  <c r="I30" i="56"/>
  <c r="L30" i="56" s="1"/>
  <c r="I37" i="56"/>
  <c r="L37" i="56" s="1"/>
  <c r="I39" i="56"/>
  <c r="L39" i="56" s="1"/>
  <c r="I11" i="56"/>
  <c r="L11" i="56" s="1"/>
  <c r="I16" i="56"/>
  <c r="L16" i="56" s="1"/>
  <c r="I23" i="56"/>
  <c r="L23" i="56" s="1"/>
  <c r="I33" i="56"/>
  <c r="L33" i="56" s="1"/>
  <c r="I36" i="56"/>
  <c r="L36" i="56" s="1"/>
  <c r="I5" i="56"/>
  <c r="L5" i="56" s="1"/>
  <c r="I15" i="56"/>
  <c r="L15" i="56" s="1"/>
  <c r="I20" i="56"/>
  <c r="L20" i="56" s="1"/>
  <c r="I22" i="56"/>
  <c r="L22" i="56" s="1"/>
  <c r="I27" i="56"/>
  <c r="L27" i="56" s="1"/>
  <c r="I32" i="56"/>
  <c r="L32" i="56" s="1"/>
  <c r="X112" i="55"/>
  <c r="L5" i="80" l="1"/>
  <c r="C12" i="80"/>
  <c r="B15" i="80" s="1"/>
  <c r="M34" i="56"/>
  <c r="I8" i="56"/>
  <c r="L8" i="56" s="1"/>
  <c r="M5" i="56" s="1"/>
  <c r="M16" i="56"/>
  <c r="I28" i="56"/>
  <c r="L28" i="56" s="1"/>
  <c r="M24" i="56" s="1"/>
  <c r="M11" i="56"/>
  <c r="M29" i="56"/>
  <c r="K12" i="69" l="1"/>
  <c r="H2" i="54"/>
  <c r="G2" i="54"/>
  <c r="F2" i="54"/>
  <c r="E2" i="54"/>
  <c r="D2" i="54"/>
  <c r="H39" i="54"/>
  <c r="G39" i="54"/>
  <c r="F39" i="54"/>
  <c r="E39" i="54"/>
  <c r="D39" i="54"/>
  <c r="H38" i="54"/>
  <c r="G38" i="54"/>
  <c r="F38" i="54"/>
  <c r="E38" i="54"/>
  <c r="D38" i="54"/>
  <c r="H37" i="54"/>
  <c r="G37" i="54"/>
  <c r="F37" i="54"/>
  <c r="E37" i="54"/>
  <c r="D37" i="54"/>
  <c r="H36" i="54"/>
  <c r="G36" i="54"/>
  <c r="F36" i="54"/>
  <c r="E36" i="54"/>
  <c r="D36" i="54"/>
  <c r="H35" i="54"/>
  <c r="G35" i="54"/>
  <c r="F35" i="54"/>
  <c r="E35" i="54"/>
  <c r="D35" i="54"/>
  <c r="H34" i="54"/>
  <c r="G34" i="54"/>
  <c r="F34" i="54"/>
  <c r="E34" i="54"/>
  <c r="D34" i="54"/>
  <c r="H33" i="54"/>
  <c r="G33" i="54"/>
  <c r="F33" i="54"/>
  <c r="E33" i="54"/>
  <c r="D33" i="54"/>
  <c r="H32" i="54"/>
  <c r="G32" i="54"/>
  <c r="F32" i="54"/>
  <c r="E32" i="54"/>
  <c r="D32" i="54"/>
  <c r="H31" i="54"/>
  <c r="G31" i="54"/>
  <c r="F31" i="54"/>
  <c r="E31" i="54"/>
  <c r="D31" i="54"/>
  <c r="H30" i="54"/>
  <c r="G30" i="54"/>
  <c r="F30" i="54"/>
  <c r="E30" i="54"/>
  <c r="D30" i="54"/>
  <c r="H29" i="54"/>
  <c r="G29" i="54"/>
  <c r="F29" i="54"/>
  <c r="E29" i="54"/>
  <c r="D29" i="54"/>
  <c r="H28" i="54"/>
  <c r="G28" i="54"/>
  <c r="F28" i="54"/>
  <c r="E28" i="54"/>
  <c r="D28" i="54"/>
  <c r="H27" i="54"/>
  <c r="G27" i="54"/>
  <c r="F27" i="54"/>
  <c r="E27" i="54"/>
  <c r="D27" i="54"/>
  <c r="H26" i="54"/>
  <c r="G26" i="54"/>
  <c r="F26" i="54"/>
  <c r="E26" i="54"/>
  <c r="D26" i="54"/>
  <c r="H25" i="54"/>
  <c r="G25" i="54"/>
  <c r="F25" i="54"/>
  <c r="E25" i="54"/>
  <c r="D25" i="54"/>
  <c r="H24" i="54"/>
  <c r="G24" i="54"/>
  <c r="F24" i="54"/>
  <c r="E24" i="54"/>
  <c r="D24" i="54"/>
  <c r="H23" i="54"/>
  <c r="G23" i="54"/>
  <c r="F23" i="54"/>
  <c r="E23" i="54"/>
  <c r="D23" i="54"/>
  <c r="H22" i="54"/>
  <c r="G22" i="54"/>
  <c r="F22" i="54"/>
  <c r="E22" i="54"/>
  <c r="D22" i="54"/>
  <c r="H21" i="54"/>
  <c r="G21" i="54"/>
  <c r="F21" i="54"/>
  <c r="E21" i="54"/>
  <c r="D21" i="54"/>
  <c r="H20" i="54"/>
  <c r="G20" i="54"/>
  <c r="F20" i="54"/>
  <c r="E20" i="54"/>
  <c r="D20" i="54"/>
  <c r="H19" i="54"/>
  <c r="G19" i="54"/>
  <c r="F19" i="54"/>
  <c r="E19" i="54"/>
  <c r="D19" i="54"/>
  <c r="H18" i="54"/>
  <c r="G18" i="54"/>
  <c r="F18" i="54"/>
  <c r="E18" i="54"/>
  <c r="D18" i="54"/>
  <c r="H17" i="54"/>
  <c r="G17" i="54"/>
  <c r="F17" i="54"/>
  <c r="E17" i="54"/>
  <c r="D17" i="54"/>
  <c r="H16" i="54"/>
  <c r="G16" i="54"/>
  <c r="F16" i="54"/>
  <c r="E16" i="54"/>
  <c r="D16" i="54"/>
  <c r="H15" i="54"/>
  <c r="G15" i="54"/>
  <c r="F15" i="54"/>
  <c r="E15" i="54"/>
  <c r="D15" i="54"/>
  <c r="H14" i="54"/>
  <c r="G14" i="54"/>
  <c r="F14" i="54"/>
  <c r="E14" i="54"/>
  <c r="D14" i="54"/>
  <c r="H13" i="54"/>
  <c r="G13" i="54"/>
  <c r="F13" i="54"/>
  <c r="E13" i="54"/>
  <c r="D13" i="54"/>
  <c r="H12" i="54"/>
  <c r="G12" i="54"/>
  <c r="F12" i="54"/>
  <c r="E12" i="54"/>
  <c r="D12" i="54"/>
  <c r="H11" i="54"/>
  <c r="G11" i="54"/>
  <c r="F11" i="54"/>
  <c r="E11" i="54"/>
  <c r="D11" i="54"/>
  <c r="H10" i="54"/>
  <c r="G10" i="54"/>
  <c r="F10" i="54"/>
  <c r="E10" i="54"/>
  <c r="D10" i="54"/>
  <c r="H9" i="54"/>
  <c r="G9" i="54"/>
  <c r="F9" i="54"/>
  <c r="E9" i="54"/>
  <c r="D9" i="54"/>
  <c r="H8" i="54"/>
  <c r="G8" i="54"/>
  <c r="F8" i="54"/>
  <c r="E8" i="54"/>
  <c r="D8" i="54"/>
  <c r="H7" i="54"/>
  <c r="G7" i="54"/>
  <c r="F7" i="54"/>
  <c r="E7" i="54"/>
  <c r="D7" i="54"/>
  <c r="H6" i="54"/>
  <c r="G6" i="54"/>
  <c r="F6" i="54"/>
  <c r="E6" i="54"/>
  <c r="D6" i="54"/>
  <c r="H5" i="54"/>
  <c r="G5" i="54"/>
  <c r="F5" i="54"/>
  <c r="E5" i="54"/>
  <c r="D5" i="54"/>
  <c r="H4" i="54"/>
  <c r="G4" i="54"/>
  <c r="F4" i="54"/>
  <c r="E4" i="54"/>
  <c r="D4" i="54"/>
  <c r="H3" i="54"/>
  <c r="G3" i="54"/>
  <c r="F3" i="54"/>
  <c r="E3" i="54"/>
  <c r="D3" i="54"/>
  <c r="L18" i="54"/>
  <c r="I7" i="54" l="1"/>
  <c r="L7" i="54" s="1"/>
  <c r="I11" i="54"/>
  <c r="L11" i="54" s="1"/>
  <c r="I12" i="54"/>
  <c r="L12" i="54" s="1"/>
  <c r="I16" i="54"/>
  <c r="L16" i="54" s="1"/>
  <c r="I17" i="54"/>
  <c r="L17" i="54" s="1"/>
  <c r="I20" i="54"/>
  <c r="L20" i="54" s="1"/>
  <c r="I24" i="54"/>
  <c r="L24" i="54" s="1"/>
  <c r="I25" i="54"/>
  <c r="L25" i="54" s="1"/>
  <c r="I29" i="54"/>
  <c r="L29" i="54" s="1"/>
  <c r="I30" i="54"/>
  <c r="L30" i="54" s="1"/>
  <c r="I34" i="54"/>
  <c r="L34" i="54" s="1"/>
  <c r="I35" i="54"/>
  <c r="L35" i="54" s="1"/>
  <c r="I39" i="54"/>
  <c r="L39" i="54" s="1"/>
  <c r="I5" i="54"/>
  <c r="L5" i="54" s="1"/>
  <c r="I6" i="54"/>
  <c r="L6" i="54" s="1"/>
  <c r="I10" i="54"/>
  <c r="L10" i="54" s="1"/>
  <c r="I15" i="54"/>
  <c r="L15" i="54" s="1"/>
  <c r="I19" i="54"/>
  <c r="L19" i="54" s="1"/>
  <c r="I23" i="54"/>
  <c r="L23" i="54" s="1"/>
  <c r="I28" i="54"/>
  <c r="L28" i="54" s="1"/>
  <c r="I33" i="54"/>
  <c r="L33" i="54" s="1"/>
  <c r="I38" i="54"/>
  <c r="L38" i="54" s="1"/>
  <c r="I4" i="54"/>
  <c r="L4" i="54" s="1"/>
  <c r="I9" i="54"/>
  <c r="L9" i="54" s="1"/>
  <c r="I14" i="54"/>
  <c r="L14" i="54" s="1"/>
  <c r="I22" i="54"/>
  <c r="L22" i="54" s="1"/>
  <c r="I27" i="54"/>
  <c r="L27" i="54" s="1"/>
  <c r="I32" i="54"/>
  <c r="L32" i="54" s="1"/>
  <c r="I37" i="54"/>
  <c r="L37" i="54" s="1"/>
  <c r="I2" i="54"/>
  <c r="L2" i="54" s="1"/>
  <c r="I3" i="54"/>
  <c r="L3" i="54" s="1"/>
  <c r="I8" i="54"/>
  <c r="L8" i="54" s="1"/>
  <c r="I13" i="54"/>
  <c r="L13" i="54" s="1"/>
  <c r="I21" i="54"/>
  <c r="L21" i="54" s="1"/>
  <c r="I26" i="54"/>
  <c r="L26" i="54" s="1"/>
  <c r="I31" i="54"/>
  <c r="L31" i="54" s="1"/>
  <c r="I36" i="54"/>
  <c r="L36" i="54" s="1"/>
  <c r="M2" i="54" l="1"/>
  <c r="M34" i="54"/>
  <c r="M24" i="54"/>
  <c r="M5" i="54"/>
  <c r="M11" i="54"/>
  <c r="M29" i="54"/>
  <c r="M16" i="54"/>
  <c r="H31" i="52"/>
  <c r="F31" i="52"/>
  <c r="E31" i="52"/>
  <c r="D31" i="52"/>
  <c r="H30" i="52"/>
  <c r="F30" i="52"/>
  <c r="E30" i="52"/>
  <c r="D30" i="52"/>
  <c r="H29" i="52"/>
  <c r="F29" i="52"/>
  <c r="E29" i="52"/>
  <c r="D29" i="52"/>
  <c r="H28" i="52"/>
  <c r="F28" i="52"/>
  <c r="E28" i="52"/>
  <c r="D28" i="52"/>
  <c r="H27" i="52"/>
  <c r="F27" i="52"/>
  <c r="E27" i="52"/>
  <c r="D27" i="52"/>
  <c r="H26" i="52"/>
  <c r="F26" i="52"/>
  <c r="E26" i="52"/>
  <c r="D26" i="52"/>
  <c r="H25" i="52"/>
  <c r="F25" i="52"/>
  <c r="E25" i="52"/>
  <c r="D25" i="52"/>
  <c r="H24" i="52"/>
  <c r="F24" i="52"/>
  <c r="E24" i="52"/>
  <c r="D24" i="52"/>
  <c r="H23" i="52"/>
  <c r="F23" i="52"/>
  <c r="E23" i="52"/>
  <c r="D23" i="52"/>
  <c r="H22" i="52"/>
  <c r="F22" i="52"/>
  <c r="D22" i="52"/>
  <c r="H21" i="52"/>
  <c r="F21" i="52"/>
  <c r="D21" i="52"/>
  <c r="H20" i="52"/>
  <c r="F20" i="52"/>
  <c r="D20" i="52"/>
  <c r="H19" i="52"/>
  <c r="F19" i="52"/>
  <c r="D19" i="52"/>
  <c r="H18" i="52"/>
  <c r="F18" i="52"/>
  <c r="D18" i="52"/>
  <c r="H17" i="52"/>
  <c r="F17" i="52"/>
  <c r="E17" i="52"/>
  <c r="D17" i="52"/>
  <c r="H16" i="52"/>
  <c r="F16" i="52"/>
  <c r="E16" i="52"/>
  <c r="D16" i="52"/>
  <c r="H15" i="52"/>
  <c r="F15" i="52"/>
  <c r="E15" i="52"/>
  <c r="D15" i="52"/>
  <c r="H14" i="52"/>
  <c r="F14" i="52"/>
  <c r="E14" i="52"/>
  <c r="D14" i="52"/>
  <c r="H13" i="52"/>
  <c r="F13" i="52"/>
  <c r="E13" i="52"/>
  <c r="D13" i="52"/>
  <c r="H12" i="52"/>
  <c r="F12" i="52"/>
  <c r="E12" i="52"/>
  <c r="D12" i="52"/>
  <c r="H11" i="52"/>
  <c r="I11" i="52" s="1"/>
  <c r="L11" i="52" s="1"/>
  <c r="F11" i="52"/>
  <c r="E11" i="52"/>
  <c r="D11" i="52"/>
  <c r="H10" i="52"/>
  <c r="F10" i="52"/>
  <c r="E10" i="52"/>
  <c r="D10" i="52"/>
  <c r="H9" i="52"/>
  <c r="F9" i="52"/>
  <c r="E9" i="52"/>
  <c r="D9" i="52"/>
  <c r="H8" i="52"/>
  <c r="F8" i="52"/>
  <c r="E8" i="52"/>
  <c r="D8" i="52"/>
  <c r="H7" i="52"/>
  <c r="F7" i="52"/>
  <c r="E7" i="52"/>
  <c r="D7" i="52"/>
  <c r="H6" i="52"/>
  <c r="F6" i="52"/>
  <c r="E6" i="52"/>
  <c r="D6" i="52"/>
  <c r="H5" i="52"/>
  <c r="F5" i="52"/>
  <c r="E5" i="52"/>
  <c r="D5" i="52"/>
  <c r="H4" i="52"/>
  <c r="F4" i="52"/>
  <c r="D4" i="52"/>
  <c r="H3" i="52"/>
  <c r="F3" i="52"/>
  <c r="D3" i="52"/>
  <c r="H2" i="52"/>
  <c r="F2" i="52"/>
  <c r="E2" i="52"/>
  <c r="D2" i="52"/>
  <c r="AA113" i="51"/>
  <c r="Z113" i="51"/>
  <c r="Y113" i="51"/>
  <c r="AA112" i="51"/>
  <c r="Z112" i="51"/>
  <c r="Y112" i="51"/>
  <c r="X112" i="51"/>
  <c r="Q112" i="51"/>
  <c r="P112" i="51"/>
  <c r="AA111" i="51"/>
  <c r="Z111" i="51"/>
  <c r="Y111" i="51"/>
  <c r="AA110" i="51"/>
  <c r="Z110" i="51"/>
  <c r="Y110" i="51"/>
  <c r="AA109" i="51"/>
  <c r="Z109" i="51"/>
  <c r="Y109" i="51"/>
  <c r="AA108" i="51"/>
  <c r="Z108" i="51"/>
  <c r="Y108" i="51"/>
  <c r="X108" i="51"/>
  <c r="Q108" i="51"/>
  <c r="P108" i="51"/>
  <c r="AA107" i="51"/>
  <c r="Z107" i="51"/>
  <c r="Y107" i="51"/>
  <c r="AA106" i="51"/>
  <c r="Z106" i="51"/>
  <c r="Y106" i="51"/>
  <c r="AA105" i="51"/>
  <c r="Z105" i="51"/>
  <c r="Y105" i="51"/>
  <c r="X105" i="51"/>
  <c r="Q105" i="51"/>
  <c r="P105" i="51"/>
  <c r="AA104" i="51"/>
  <c r="Z104" i="51"/>
  <c r="Y104" i="51"/>
  <c r="AA103" i="51"/>
  <c r="Z103" i="51"/>
  <c r="Y103" i="51"/>
  <c r="X103" i="51"/>
  <c r="Q103" i="51"/>
  <c r="P103" i="51"/>
  <c r="AA102" i="51"/>
  <c r="Z102" i="51"/>
  <c r="Y102" i="51"/>
  <c r="AA101" i="51"/>
  <c r="Z101" i="51"/>
  <c r="Y101" i="51"/>
  <c r="AA100" i="51"/>
  <c r="Z100" i="51"/>
  <c r="Y100" i="51"/>
  <c r="X100" i="51"/>
  <c r="AA99" i="51"/>
  <c r="Z99" i="51"/>
  <c r="Y99" i="51"/>
  <c r="AA98" i="51"/>
  <c r="Z98" i="51"/>
  <c r="Y98" i="51"/>
  <c r="AA97" i="51"/>
  <c r="Z97" i="51"/>
  <c r="Y97" i="51"/>
  <c r="AA96" i="51"/>
  <c r="Z96" i="51"/>
  <c r="Y96" i="51"/>
  <c r="AA95" i="51"/>
  <c r="Z95" i="51"/>
  <c r="Y95" i="51"/>
  <c r="AA94" i="51"/>
  <c r="Z94" i="51"/>
  <c r="Y94" i="51"/>
  <c r="AA93" i="51"/>
  <c r="G31" i="52" s="1"/>
  <c r="I31" i="52" s="1"/>
  <c r="L31" i="52" s="1"/>
  <c r="Z93" i="51"/>
  <c r="Y93" i="51"/>
  <c r="AA92" i="51"/>
  <c r="G30" i="52" s="1"/>
  <c r="I30" i="52" s="1"/>
  <c r="L30" i="52" s="1"/>
  <c r="Z92" i="51"/>
  <c r="Y92" i="51"/>
  <c r="AA91" i="51"/>
  <c r="G29" i="52" s="1"/>
  <c r="Z91" i="51"/>
  <c r="Y91" i="51"/>
  <c r="AA90" i="51"/>
  <c r="G28" i="52" s="1"/>
  <c r="Z90" i="51"/>
  <c r="Y90" i="51"/>
  <c r="AA89" i="51"/>
  <c r="G27" i="52" s="1"/>
  <c r="Z89" i="51"/>
  <c r="Y89" i="51"/>
  <c r="X89" i="51"/>
  <c r="P89" i="51"/>
  <c r="AA88" i="51"/>
  <c r="Z88" i="51"/>
  <c r="Y88" i="51"/>
  <c r="AA87" i="51"/>
  <c r="Z87" i="51"/>
  <c r="Y87" i="51"/>
  <c r="AA86" i="51"/>
  <c r="Z86" i="51"/>
  <c r="Y86" i="51"/>
  <c r="AA85" i="51"/>
  <c r="Z85" i="51"/>
  <c r="Y85" i="51"/>
  <c r="AA84" i="51"/>
  <c r="Z84" i="51"/>
  <c r="Y84" i="51"/>
  <c r="AA83" i="51"/>
  <c r="G26" i="52" s="1"/>
  <c r="I26" i="52" s="1"/>
  <c r="L26" i="52" s="1"/>
  <c r="Z83" i="51"/>
  <c r="Y83" i="51"/>
  <c r="Q83" i="51"/>
  <c r="P83" i="51"/>
  <c r="AA82" i="51"/>
  <c r="Z82" i="51"/>
  <c r="Y82" i="51"/>
  <c r="AA81" i="51"/>
  <c r="Z81" i="51"/>
  <c r="Y81" i="51"/>
  <c r="AA80" i="51"/>
  <c r="Z80" i="51"/>
  <c r="Y80" i="51"/>
  <c r="X80" i="51"/>
  <c r="Q80" i="51"/>
  <c r="P80" i="51"/>
  <c r="AA79" i="51"/>
  <c r="Z79" i="51"/>
  <c r="Y79" i="51"/>
  <c r="AA78" i="51"/>
  <c r="Z78" i="51"/>
  <c r="Y78" i="51"/>
  <c r="AA77" i="51"/>
  <c r="G25" i="52" s="1"/>
  <c r="I25" i="52" s="1"/>
  <c r="L25" i="52" s="1"/>
  <c r="Z77" i="51"/>
  <c r="Y77" i="51"/>
  <c r="X77" i="51"/>
  <c r="AA76" i="51"/>
  <c r="Z76" i="51"/>
  <c r="Y76" i="51"/>
  <c r="AA75" i="51"/>
  <c r="Z75" i="51"/>
  <c r="Y75" i="51"/>
  <c r="AA74" i="51"/>
  <c r="Z74" i="51"/>
  <c r="Y74" i="51"/>
  <c r="AA73" i="51"/>
  <c r="G24" i="52" s="1"/>
  <c r="Z73" i="51"/>
  <c r="Y73" i="51"/>
  <c r="AA72" i="51"/>
  <c r="G23" i="52" s="1"/>
  <c r="Z72" i="51"/>
  <c r="Y72" i="51"/>
  <c r="X72" i="51"/>
  <c r="Q72" i="51"/>
  <c r="P72" i="51"/>
  <c r="AA71" i="51"/>
  <c r="Z71" i="51"/>
  <c r="Y71" i="51"/>
  <c r="AA70" i="51"/>
  <c r="Z70" i="51"/>
  <c r="Y70" i="51"/>
  <c r="AA69" i="51"/>
  <c r="Z69" i="51"/>
  <c r="Y69" i="51"/>
  <c r="AA68" i="51"/>
  <c r="G22" i="52" s="1"/>
  <c r="Z68" i="51"/>
  <c r="Y68" i="51"/>
  <c r="X68" i="51"/>
  <c r="Q68" i="51"/>
  <c r="P68" i="51"/>
  <c r="AA67" i="51"/>
  <c r="Z67" i="51"/>
  <c r="Y67" i="51"/>
  <c r="AA66" i="51"/>
  <c r="Z66" i="51"/>
  <c r="Y66" i="51"/>
  <c r="AA65" i="51"/>
  <c r="G21" i="52" s="1"/>
  <c r="I21" i="52" s="1"/>
  <c r="L21" i="52" s="1"/>
  <c r="Z65" i="51"/>
  <c r="Y65" i="51"/>
  <c r="X65" i="51"/>
  <c r="Q65" i="51"/>
  <c r="P65" i="51"/>
  <c r="AA64" i="51"/>
  <c r="Z64" i="51"/>
  <c r="Y64" i="51"/>
  <c r="AA63" i="51"/>
  <c r="Z63" i="51"/>
  <c r="Y63" i="51"/>
  <c r="AA62" i="51"/>
  <c r="G20" i="52" s="1"/>
  <c r="Z62" i="51"/>
  <c r="Y62" i="51"/>
  <c r="X62" i="51"/>
  <c r="Q62" i="51"/>
  <c r="P62" i="51"/>
  <c r="AA61" i="51"/>
  <c r="Z61" i="51"/>
  <c r="Y61" i="51"/>
  <c r="AA60" i="51"/>
  <c r="G19" i="52" s="1"/>
  <c r="I19" i="52" s="1"/>
  <c r="L19" i="52" s="1"/>
  <c r="Z60" i="51"/>
  <c r="Y60" i="51"/>
  <c r="X60" i="51"/>
  <c r="Q60" i="51"/>
  <c r="P60" i="51"/>
  <c r="AA59" i="51"/>
  <c r="Z59" i="51"/>
  <c r="Y59" i="51"/>
  <c r="AA58" i="51"/>
  <c r="Z58" i="51"/>
  <c r="Y58" i="51"/>
  <c r="AA57" i="51"/>
  <c r="G18" i="52" s="1"/>
  <c r="Z57" i="51"/>
  <c r="Y57" i="51"/>
  <c r="AA56" i="51"/>
  <c r="Z56" i="51"/>
  <c r="Y56" i="51"/>
  <c r="AA55" i="51"/>
  <c r="Z55" i="51"/>
  <c r="Y55" i="51"/>
  <c r="AA54" i="51"/>
  <c r="G17" i="52" s="1"/>
  <c r="Z54" i="51"/>
  <c r="Y54" i="51"/>
  <c r="AA53" i="51"/>
  <c r="G16" i="52" s="1"/>
  <c r="I16" i="52" s="1"/>
  <c r="L16" i="52" s="1"/>
  <c r="Z53" i="51"/>
  <c r="Y53" i="51"/>
  <c r="X53" i="51"/>
  <c r="Q53" i="51"/>
  <c r="P53" i="51"/>
  <c r="AA52" i="51"/>
  <c r="Z52" i="51"/>
  <c r="Y52" i="51"/>
  <c r="AA51" i="51"/>
  <c r="Z51" i="51"/>
  <c r="Y51" i="51"/>
  <c r="AA50" i="51"/>
  <c r="Z50" i="51"/>
  <c r="Y50" i="51"/>
  <c r="AA49" i="51"/>
  <c r="G15" i="52" s="1"/>
  <c r="Z49" i="51"/>
  <c r="Y49" i="51"/>
  <c r="X49" i="51"/>
  <c r="AA48" i="51"/>
  <c r="Z48" i="51"/>
  <c r="Y48" i="51"/>
  <c r="AA47" i="51"/>
  <c r="Z47" i="51"/>
  <c r="Y47" i="51"/>
  <c r="AA46" i="51"/>
  <c r="Z46" i="51"/>
  <c r="Y46" i="51"/>
  <c r="AA45" i="51"/>
  <c r="Z45" i="51"/>
  <c r="Y45" i="51"/>
  <c r="AA44" i="51"/>
  <c r="G14" i="52" s="1"/>
  <c r="Z44" i="51"/>
  <c r="Y44" i="51"/>
  <c r="AA43" i="51"/>
  <c r="G13" i="52" s="1"/>
  <c r="Z43" i="51"/>
  <c r="Y43" i="51"/>
  <c r="AA42" i="51"/>
  <c r="G12" i="52" s="1"/>
  <c r="Z42" i="51"/>
  <c r="Y42" i="51"/>
  <c r="AA41" i="51"/>
  <c r="Z41" i="51"/>
  <c r="Y41" i="51"/>
  <c r="AA40" i="51"/>
  <c r="Z40" i="51"/>
  <c r="Y40" i="51"/>
  <c r="AA39" i="51"/>
  <c r="Z39" i="51"/>
  <c r="Y39" i="51"/>
  <c r="X39" i="51"/>
  <c r="Q39" i="51"/>
  <c r="P39" i="51"/>
  <c r="AA38" i="51"/>
  <c r="Z38" i="51"/>
  <c r="Y38" i="51"/>
  <c r="AA37" i="51"/>
  <c r="Z37" i="51"/>
  <c r="Y37" i="51"/>
  <c r="AA36" i="51"/>
  <c r="G10" i="52" s="1"/>
  <c r="Z36" i="51"/>
  <c r="Y36" i="51"/>
  <c r="X36" i="51"/>
  <c r="Q36" i="51"/>
  <c r="P36" i="51"/>
  <c r="X35" i="51"/>
  <c r="Q35" i="51"/>
  <c r="P35" i="51"/>
  <c r="AA34" i="51"/>
  <c r="Z34" i="51"/>
  <c r="Y34" i="51"/>
  <c r="AA33" i="51"/>
  <c r="Z33" i="51"/>
  <c r="Y33" i="51"/>
  <c r="AA32" i="51"/>
  <c r="Z32" i="51"/>
  <c r="Y32" i="51"/>
  <c r="AA31" i="51"/>
  <c r="Z31" i="51"/>
  <c r="Y31" i="51"/>
  <c r="AA30" i="51"/>
  <c r="Z30" i="51"/>
  <c r="Y30" i="51"/>
  <c r="AA29" i="51"/>
  <c r="Z29" i="51"/>
  <c r="Y29" i="51"/>
  <c r="AA28" i="51"/>
  <c r="Z28" i="51"/>
  <c r="Y28" i="51"/>
  <c r="AA27" i="51"/>
  <c r="Z27" i="51"/>
  <c r="Y27" i="51"/>
  <c r="AA26" i="51"/>
  <c r="Z26" i="51"/>
  <c r="Y26" i="51"/>
  <c r="AA25" i="51"/>
  <c r="Z25" i="51"/>
  <c r="Y25" i="51"/>
  <c r="AA24" i="51"/>
  <c r="Z24" i="51"/>
  <c r="Y24" i="51"/>
  <c r="AA23" i="51"/>
  <c r="G9" i="52" s="1"/>
  <c r="I9" i="52" s="1"/>
  <c r="L9" i="52" s="1"/>
  <c r="Z23" i="51"/>
  <c r="Y23" i="51"/>
  <c r="X23" i="51"/>
  <c r="Q23" i="51"/>
  <c r="P23" i="51"/>
  <c r="AA22" i="51"/>
  <c r="Z22" i="51"/>
  <c r="Y22" i="51"/>
  <c r="AA21" i="51"/>
  <c r="G8" i="52" s="1"/>
  <c r="Z21" i="51"/>
  <c r="Y21" i="51"/>
  <c r="X21" i="51"/>
  <c r="Q21" i="51"/>
  <c r="P21" i="51"/>
  <c r="AA20" i="51"/>
  <c r="Z20" i="51"/>
  <c r="Y20" i="51"/>
  <c r="AA19" i="51"/>
  <c r="G7" i="52" s="1"/>
  <c r="Z19" i="51"/>
  <c r="Y19" i="51"/>
  <c r="X19" i="51"/>
  <c r="Q19" i="51"/>
  <c r="P19" i="51"/>
  <c r="X18" i="51"/>
  <c r="Q18" i="51"/>
  <c r="P18" i="51"/>
  <c r="E18" i="51"/>
  <c r="AA17" i="51"/>
  <c r="Z17" i="51"/>
  <c r="Y17" i="51"/>
  <c r="AA16" i="51"/>
  <c r="Z16" i="51"/>
  <c r="Y16" i="51"/>
  <c r="AA15" i="51"/>
  <c r="Z15" i="51"/>
  <c r="Y15" i="51"/>
  <c r="AA14" i="51"/>
  <c r="Z14" i="51"/>
  <c r="Y14" i="51"/>
  <c r="AA13" i="51"/>
  <c r="G6" i="52" s="1"/>
  <c r="Z13" i="51"/>
  <c r="Y13" i="51"/>
  <c r="X13" i="51"/>
  <c r="Q13" i="51"/>
  <c r="P13" i="51"/>
  <c r="AA12" i="51"/>
  <c r="Z12" i="51"/>
  <c r="Y12" i="51"/>
  <c r="AA11" i="51"/>
  <c r="G5" i="52" s="1"/>
  <c r="Z11" i="51"/>
  <c r="Y11" i="51"/>
  <c r="X11" i="51"/>
  <c r="Q11" i="51"/>
  <c r="P11" i="51"/>
  <c r="AA10" i="51"/>
  <c r="Z10" i="51"/>
  <c r="Y10" i="51"/>
  <c r="AA9" i="51"/>
  <c r="Z9" i="51"/>
  <c r="Y9" i="51"/>
  <c r="AA8" i="51"/>
  <c r="G4" i="52" s="1"/>
  <c r="I4" i="52" s="1"/>
  <c r="L4" i="52" s="1"/>
  <c r="Z8" i="51"/>
  <c r="Y8" i="51"/>
  <c r="X8" i="51"/>
  <c r="Q8" i="51"/>
  <c r="P8" i="51"/>
  <c r="AA7" i="51"/>
  <c r="Z7" i="51"/>
  <c r="Y7" i="51"/>
  <c r="AA6" i="51"/>
  <c r="Z6" i="51"/>
  <c r="Y6" i="51"/>
  <c r="AA5" i="51"/>
  <c r="G3" i="52" s="1"/>
  <c r="Z5" i="51"/>
  <c r="Y5" i="51"/>
  <c r="X5" i="51"/>
  <c r="Q5" i="51"/>
  <c r="P5" i="51"/>
  <c r="AA4" i="51"/>
  <c r="Z4" i="51"/>
  <c r="Y4" i="51"/>
  <c r="AA3" i="51"/>
  <c r="G2" i="52" s="1"/>
  <c r="Z3" i="51"/>
  <c r="Y3" i="51"/>
  <c r="V3" i="51"/>
  <c r="W3" i="51" s="1"/>
  <c r="U3" i="51"/>
  <c r="T3" i="51"/>
  <c r="S3" i="51"/>
  <c r="R3" i="51"/>
  <c r="Y35" i="51" l="1"/>
  <c r="Y18" i="51"/>
  <c r="I13" i="52"/>
  <c r="L13" i="52" s="1"/>
  <c r="I8" i="52"/>
  <c r="L8" i="52" s="1"/>
  <c r="I12" i="52"/>
  <c r="L12" i="52" s="1"/>
  <c r="I7" i="52"/>
  <c r="L7" i="52" s="1"/>
  <c r="I15" i="52"/>
  <c r="L15" i="52" s="1"/>
  <c r="I23" i="52"/>
  <c r="L23" i="52" s="1"/>
  <c r="I28" i="52"/>
  <c r="L28" i="52" s="1"/>
  <c r="I29" i="52"/>
  <c r="L29" i="52" s="1"/>
  <c r="Z18" i="51"/>
  <c r="Z35" i="51"/>
  <c r="I17" i="52"/>
  <c r="L17" i="52" s="1"/>
  <c r="I24" i="52"/>
  <c r="L24" i="52" s="1"/>
  <c r="AA18" i="51"/>
  <c r="AA35" i="51"/>
  <c r="I3" i="52"/>
  <c r="L3" i="52" s="1"/>
  <c r="I2" i="52"/>
  <c r="L2" i="52" s="1"/>
  <c r="I5" i="52"/>
  <c r="L5" i="52" s="1"/>
  <c r="I6" i="52"/>
  <c r="L6" i="52" s="1"/>
  <c r="I10" i="52"/>
  <c r="L10" i="52" s="1"/>
  <c r="I14" i="52"/>
  <c r="L14" i="52" s="1"/>
  <c r="I18" i="52"/>
  <c r="L18" i="52" s="1"/>
  <c r="I20" i="52"/>
  <c r="L20" i="52" s="1"/>
  <c r="I22" i="52"/>
  <c r="L22" i="52" s="1"/>
  <c r="I27" i="52"/>
  <c r="L27" i="52" s="1"/>
  <c r="M2" i="52" l="1"/>
  <c r="M24" i="52"/>
  <c r="M16" i="52"/>
  <c r="M28" i="52"/>
  <c r="M11" i="52"/>
  <c r="M5" i="52"/>
  <c r="H39" i="50"/>
  <c r="F39" i="50"/>
  <c r="E39" i="50"/>
  <c r="D39" i="50"/>
  <c r="H38" i="50"/>
  <c r="F38" i="50"/>
  <c r="E38" i="50"/>
  <c r="D38" i="50"/>
  <c r="H37" i="50"/>
  <c r="F37" i="50"/>
  <c r="E37" i="50"/>
  <c r="D37" i="50"/>
  <c r="H36" i="50"/>
  <c r="F36" i="50"/>
  <c r="E36" i="50"/>
  <c r="D36" i="50"/>
  <c r="H35" i="50"/>
  <c r="F35" i="50"/>
  <c r="E35" i="50"/>
  <c r="D35" i="50"/>
  <c r="H34" i="50"/>
  <c r="F34" i="50"/>
  <c r="E34" i="50"/>
  <c r="D34" i="50"/>
  <c r="H33" i="50"/>
  <c r="F33" i="50"/>
  <c r="E33" i="50"/>
  <c r="D33" i="50"/>
  <c r="H32" i="50"/>
  <c r="F32" i="50"/>
  <c r="E32" i="50"/>
  <c r="D32" i="50"/>
  <c r="H31" i="50"/>
  <c r="F31" i="50"/>
  <c r="E31" i="50"/>
  <c r="D31" i="50"/>
  <c r="H30" i="50"/>
  <c r="F30" i="50"/>
  <c r="E30" i="50"/>
  <c r="D30" i="50"/>
  <c r="H29" i="50"/>
  <c r="F29" i="50"/>
  <c r="E29" i="50"/>
  <c r="D29" i="50"/>
  <c r="H28" i="50"/>
  <c r="F28" i="50"/>
  <c r="E28" i="50"/>
  <c r="D28" i="50"/>
  <c r="H27" i="50"/>
  <c r="F27" i="50"/>
  <c r="E27" i="50"/>
  <c r="D27" i="50"/>
  <c r="H26" i="50"/>
  <c r="F26" i="50"/>
  <c r="E26" i="50"/>
  <c r="D26" i="50"/>
  <c r="H25" i="50"/>
  <c r="F25" i="50"/>
  <c r="E25" i="50"/>
  <c r="D25" i="50"/>
  <c r="H24" i="50"/>
  <c r="F24" i="50"/>
  <c r="E24" i="50"/>
  <c r="D24" i="50"/>
  <c r="H23" i="50"/>
  <c r="F23" i="50"/>
  <c r="E23" i="50"/>
  <c r="D23" i="50"/>
  <c r="H22" i="50"/>
  <c r="F22" i="50"/>
  <c r="D22" i="50"/>
  <c r="H21" i="50"/>
  <c r="F21" i="50"/>
  <c r="D21" i="50"/>
  <c r="H20" i="50"/>
  <c r="F20" i="50"/>
  <c r="D20" i="50"/>
  <c r="H19" i="50"/>
  <c r="F19" i="50"/>
  <c r="E19" i="50"/>
  <c r="D19" i="50"/>
  <c r="H18" i="50"/>
  <c r="F18" i="50"/>
  <c r="E18" i="50"/>
  <c r="D18" i="50"/>
  <c r="H17" i="50"/>
  <c r="F17" i="50"/>
  <c r="E17" i="50"/>
  <c r="D17" i="50"/>
  <c r="H16" i="50"/>
  <c r="F16" i="50"/>
  <c r="E16" i="50"/>
  <c r="D16" i="50"/>
  <c r="H15" i="50"/>
  <c r="F15" i="50"/>
  <c r="E15" i="50"/>
  <c r="D15" i="50"/>
  <c r="H14" i="50"/>
  <c r="F14" i="50"/>
  <c r="E14" i="50"/>
  <c r="D14" i="50"/>
  <c r="H13" i="50"/>
  <c r="F13" i="50"/>
  <c r="E13" i="50"/>
  <c r="D13" i="50"/>
  <c r="H12" i="50"/>
  <c r="F12" i="50"/>
  <c r="E12" i="50"/>
  <c r="D12" i="50"/>
  <c r="H11" i="50"/>
  <c r="F11" i="50"/>
  <c r="D11" i="50"/>
  <c r="H10" i="50"/>
  <c r="F10" i="50"/>
  <c r="E10" i="50"/>
  <c r="D10" i="50"/>
  <c r="H9" i="50"/>
  <c r="F9" i="50"/>
  <c r="E9" i="50"/>
  <c r="D9" i="50"/>
  <c r="H8" i="50"/>
  <c r="F8" i="50"/>
  <c r="E8" i="50"/>
  <c r="D8" i="50"/>
  <c r="H7" i="50"/>
  <c r="F7" i="50"/>
  <c r="E7" i="50"/>
  <c r="D7" i="50"/>
  <c r="H6" i="50"/>
  <c r="F6" i="50"/>
  <c r="E6" i="50"/>
  <c r="D6" i="50"/>
  <c r="H5" i="50"/>
  <c r="F5" i="50"/>
  <c r="D5" i="50"/>
  <c r="H4" i="50"/>
  <c r="F4" i="50"/>
  <c r="D4" i="50"/>
  <c r="H3" i="50"/>
  <c r="F3" i="50"/>
  <c r="D3" i="50"/>
  <c r="H2" i="50"/>
  <c r="F2" i="50"/>
  <c r="D2" i="50"/>
  <c r="L24" i="50"/>
  <c r="L22" i="50"/>
  <c r="L21" i="50"/>
  <c r="L20" i="50"/>
  <c r="L18" i="50"/>
  <c r="L11" i="50"/>
  <c r="L4" i="50"/>
  <c r="L3" i="50"/>
  <c r="L2" i="50"/>
  <c r="M2" i="50" s="1"/>
  <c r="Z111" i="49"/>
  <c r="G39" i="50" s="1"/>
  <c r="I39" i="50" s="1"/>
  <c r="L39" i="50" s="1"/>
  <c r="Y111" i="49"/>
  <c r="Z110" i="49"/>
  <c r="G38" i="50" s="1"/>
  <c r="Y110" i="49"/>
  <c r="X110" i="49"/>
  <c r="Q110" i="49"/>
  <c r="P110" i="49"/>
  <c r="Z109" i="49"/>
  <c r="Y109" i="49"/>
  <c r="Z108" i="49"/>
  <c r="G37" i="50" s="1"/>
  <c r="Y108" i="49"/>
  <c r="Z107" i="49"/>
  <c r="Y107" i="49"/>
  <c r="Z106" i="49"/>
  <c r="G36" i="50" s="1"/>
  <c r="Y106" i="49"/>
  <c r="X106" i="49"/>
  <c r="Q106" i="49"/>
  <c r="P106" i="49"/>
  <c r="Z105" i="49"/>
  <c r="Y105" i="49"/>
  <c r="Z104" i="49"/>
  <c r="Y104" i="49"/>
  <c r="Z103" i="49"/>
  <c r="G35" i="50" s="1"/>
  <c r="I35" i="50" s="1"/>
  <c r="L35" i="50" s="1"/>
  <c r="Y103" i="49"/>
  <c r="X103" i="49"/>
  <c r="Q103" i="49"/>
  <c r="P103" i="49"/>
  <c r="Z102" i="49"/>
  <c r="Y102" i="49"/>
  <c r="Z101" i="49"/>
  <c r="G34" i="50" s="1"/>
  <c r="I34" i="50" s="1"/>
  <c r="L34" i="50" s="1"/>
  <c r="Y101" i="49"/>
  <c r="X101" i="49"/>
  <c r="Q101" i="49"/>
  <c r="P101" i="49"/>
  <c r="Z100" i="49"/>
  <c r="Y100" i="49"/>
  <c r="Z99" i="49"/>
  <c r="Y99" i="49"/>
  <c r="Z98" i="49"/>
  <c r="G33" i="50" s="1"/>
  <c r="Y98" i="49"/>
  <c r="X98" i="49"/>
  <c r="Z97" i="49"/>
  <c r="Y97" i="49"/>
  <c r="Z96" i="49"/>
  <c r="Y96" i="49"/>
  <c r="Z95" i="49"/>
  <c r="Y95" i="49"/>
  <c r="Z94" i="49"/>
  <c r="Y94" i="49"/>
  <c r="Z93" i="49"/>
  <c r="Y93" i="49"/>
  <c r="Z92" i="49"/>
  <c r="Y92" i="49"/>
  <c r="Z91" i="49"/>
  <c r="G32" i="50" s="1"/>
  <c r="Y91" i="49"/>
  <c r="Z90" i="49"/>
  <c r="G31" i="50" s="1"/>
  <c r="Y90" i="49"/>
  <c r="Z89" i="49"/>
  <c r="G30" i="50" s="1"/>
  <c r="I30" i="50" s="1"/>
  <c r="L30" i="50" s="1"/>
  <c r="Y89" i="49"/>
  <c r="Z88" i="49"/>
  <c r="G29" i="50" s="1"/>
  <c r="Y88" i="49"/>
  <c r="Z87" i="49"/>
  <c r="G28" i="50" s="1"/>
  <c r="Y87" i="49"/>
  <c r="X87" i="49"/>
  <c r="P87" i="49"/>
  <c r="Z86" i="49"/>
  <c r="Y86" i="49"/>
  <c r="Z85" i="49"/>
  <c r="Y85" i="49"/>
  <c r="Z84" i="49"/>
  <c r="Y84" i="49"/>
  <c r="Z83" i="49"/>
  <c r="Y83" i="49"/>
  <c r="Z82" i="49"/>
  <c r="Y82" i="49"/>
  <c r="Z81" i="49"/>
  <c r="G27" i="50" s="1"/>
  <c r="Y81" i="49"/>
  <c r="Q81" i="49"/>
  <c r="P81" i="49"/>
  <c r="Z80" i="49"/>
  <c r="Y80" i="49"/>
  <c r="Z79" i="49"/>
  <c r="Y79" i="49"/>
  <c r="Z78" i="49"/>
  <c r="G26" i="50" s="1"/>
  <c r="Y78" i="49"/>
  <c r="X78" i="49"/>
  <c r="Q78" i="49"/>
  <c r="P78" i="49"/>
  <c r="Z77" i="49"/>
  <c r="Y77" i="49"/>
  <c r="Z76" i="49"/>
  <c r="Y76" i="49"/>
  <c r="Z75" i="49"/>
  <c r="G25" i="50" s="1"/>
  <c r="I25" i="50" s="1"/>
  <c r="L25" i="50" s="1"/>
  <c r="Y75" i="49"/>
  <c r="X75" i="49"/>
  <c r="Z74" i="49"/>
  <c r="Y74" i="49"/>
  <c r="Z73" i="49"/>
  <c r="Y73" i="49"/>
  <c r="Z72" i="49"/>
  <c r="Y72" i="49"/>
  <c r="Z71" i="49"/>
  <c r="Y71" i="49"/>
  <c r="Z70" i="49"/>
  <c r="G23" i="50" s="1"/>
  <c r="Y70" i="49"/>
  <c r="X70" i="49"/>
  <c r="Q70" i="49"/>
  <c r="P70" i="49"/>
  <c r="Z69" i="49"/>
  <c r="Y69" i="49"/>
  <c r="Z68" i="49"/>
  <c r="Y68" i="49"/>
  <c r="Z67" i="49"/>
  <c r="Y67" i="49"/>
  <c r="Z66" i="49"/>
  <c r="Y66" i="49"/>
  <c r="X66" i="49"/>
  <c r="Q66" i="49"/>
  <c r="P66" i="49"/>
  <c r="Z65" i="49"/>
  <c r="Y65" i="49"/>
  <c r="Z64" i="49"/>
  <c r="Y64" i="49"/>
  <c r="Z63" i="49"/>
  <c r="Y63" i="49"/>
  <c r="X63" i="49"/>
  <c r="Q63" i="49"/>
  <c r="P63" i="49"/>
  <c r="Z62" i="49"/>
  <c r="Y62" i="49"/>
  <c r="Z61" i="49"/>
  <c r="Y61" i="49"/>
  <c r="Z60" i="49"/>
  <c r="Y60" i="49"/>
  <c r="X60" i="49"/>
  <c r="Q60" i="49"/>
  <c r="P60" i="49"/>
  <c r="Z59" i="49"/>
  <c r="Y59" i="49"/>
  <c r="Z58" i="49"/>
  <c r="G19" i="50" s="1"/>
  <c r="Y58" i="49"/>
  <c r="X58" i="49"/>
  <c r="Q58" i="49"/>
  <c r="P58" i="49"/>
  <c r="Z57" i="49"/>
  <c r="Y57" i="49"/>
  <c r="Z56" i="49"/>
  <c r="Y56" i="49"/>
  <c r="Z55" i="49"/>
  <c r="Y55" i="49"/>
  <c r="Z54" i="49"/>
  <c r="Y54" i="49"/>
  <c r="Z53" i="49"/>
  <c r="Y53" i="49"/>
  <c r="Z52" i="49"/>
  <c r="G17" i="50" s="1"/>
  <c r="I17" i="50" s="1"/>
  <c r="L17" i="50" s="1"/>
  <c r="Y52" i="49"/>
  <c r="Z51" i="49"/>
  <c r="G16" i="50" s="1"/>
  <c r="I16" i="50" s="1"/>
  <c r="L16" i="50" s="1"/>
  <c r="Y51" i="49"/>
  <c r="X51" i="49"/>
  <c r="Q51" i="49"/>
  <c r="P51" i="49"/>
  <c r="Z50" i="49"/>
  <c r="Y50" i="49"/>
  <c r="Z49" i="49"/>
  <c r="Y49" i="49"/>
  <c r="Z48" i="49"/>
  <c r="Y48" i="49"/>
  <c r="Z47" i="49"/>
  <c r="G15" i="50" s="1"/>
  <c r="Y47" i="49"/>
  <c r="X47" i="49"/>
  <c r="Z46" i="49"/>
  <c r="Y46" i="49"/>
  <c r="Z45" i="49"/>
  <c r="Y45" i="49"/>
  <c r="Z44" i="49"/>
  <c r="Y44" i="49"/>
  <c r="Z43" i="49"/>
  <c r="Y43" i="49"/>
  <c r="Z42" i="49"/>
  <c r="G14" i="50" s="1"/>
  <c r="Y42" i="49"/>
  <c r="Z41" i="49"/>
  <c r="G13" i="50" s="1"/>
  <c r="Y41" i="49"/>
  <c r="Z40" i="49"/>
  <c r="G12" i="50" s="1"/>
  <c r="I12" i="50" s="1"/>
  <c r="L12" i="50" s="1"/>
  <c r="Y40" i="49"/>
  <c r="Z39" i="49"/>
  <c r="Y39" i="49"/>
  <c r="Z38" i="49"/>
  <c r="Y38" i="49"/>
  <c r="Z37" i="49"/>
  <c r="Y37" i="49"/>
  <c r="X37" i="49"/>
  <c r="Q37" i="49"/>
  <c r="P37" i="49"/>
  <c r="Z36" i="49"/>
  <c r="Y36" i="49"/>
  <c r="Z35" i="49"/>
  <c r="Y35" i="49"/>
  <c r="Z34" i="49"/>
  <c r="G10" i="50" s="1"/>
  <c r="I10" i="50" s="1"/>
  <c r="L10" i="50" s="1"/>
  <c r="Y34" i="49"/>
  <c r="X34" i="49"/>
  <c r="Q34" i="49"/>
  <c r="P34" i="49"/>
  <c r="Z33" i="49"/>
  <c r="Y33" i="49"/>
  <c r="Z32" i="49"/>
  <c r="Y32" i="49"/>
  <c r="Z31" i="49"/>
  <c r="Y31" i="49"/>
  <c r="Z30" i="49"/>
  <c r="Y30" i="49"/>
  <c r="Z29" i="49"/>
  <c r="Y29" i="49"/>
  <c r="Z28" i="49"/>
  <c r="Y28" i="49"/>
  <c r="Z27" i="49"/>
  <c r="Y27" i="49"/>
  <c r="Z26" i="49"/>
  <c r="Y26" i="49"/>
  <c r="Z25" i="49"/>
  <c r="Y25" i="49"/>
  <c r="Z24" i="49"/>
  <c r="Y24" i="49"/>
  <c r="Z23" i="49"/>
  <c r="Y23" i="49"/>
  <c r="Z22" i="49"/>
  <c r="G9" i="50" s="1"/>
  <c r="I9" i="50" s="1"/>
  <c r="L9" i="50" s="1"/>
  <c r="Y22" i="49"/>
  <c r="X22" i="49"/>
  <c r="Q22" i="49"/>
  <c r="P22" i="49"/>
  <c r="Z21" i="49"/>
  <c r="Y21" i="49"/>
  <c r="Z20" i="49"/>
  <c r="G8" i="50" s="1"/>
  <c r="Y20" i="49"/>
  <c r="X20" i="49"/>
  <c r="Q20" i="49"/>
  <c r="P20" i="49"/>
  <c r="Z19" i="49"/>
  <c r="Y19" i="49"/>
  <c r="Z18" i="49"/>
  <c r="G7" i="50" s="1"/>
  <c r="Y18" i="49"/>
  <c r="X18" i="49"/>
  <c r="Q18" i="49"/>
  <c r="P18" i="49"/>
  <c r="Z17" i="49"/>
  <c r="Y17" i="49"/>
  <c r="Z16" i="49"/>
  <c r="Y16" i="49"/>
  <c r="Z15" i="49"/>
  <c r="Y15" i="49"/>
  <c r="Z14" i="49"/>
  <c r="Y14" i="49"/>
  <c r="Z13" i="49"/>
  <c r="G6" i="50" s="1"/>
  <c r="Y13" i="49"/>
  <c r="X13" i="49"/>
  <c r="Q13" i="49"/>
  <c r="P13" i="49"/>
  <c r="Z12" i="49"/>
  <c r="Y12" i="49"/>
  <c r="Z11" i="49"/>
  <c r="G5" i="50" s="1"/>
  <c r="I5" i="50" s="1"/>
  <c r="L5" i="50" s="1"/>
  <c r="Y11" i="49"/>
  <c r="X11" i="49"/>
  <c r="Q11" i="49"/>
  <c r="P11" i="49"/>
  <c r="Z10" i="49"/>
  <c r="Y10" i="49"/>
  <c r="Z9" i="49"/>
  <c r="Y9" i="49"/>
  <c r="Z8" i="49"/>
  <c r="Y8" i="49"/>
  <c r="X8" i="49"/>
  <c r="Q8" i="49"/>
  <c r="P8" i="49"/>
  <c r="Z7" i="49"/>
  <c r="Y7" i="49"/>
  <c r="Z6" i="49"/>
  <c r="Y6" i="49"/>
  <c r="Z5" i="49"/>
  <c r="Y5" i="49"/>
  <c r="X5" i="49"/>
  <c r="Q5" i="49"/>
  <c r="P5" i="49"/>
  <c r="Z4" i="49"/>
  <c r="Y4" i="49"/>
  <c r="Z3" i="49"/>
  <c r="G2" i="50" s="1"/>
  <c r="Y3" i="49"/>
  <c r="G12" i="69" l="1"/>
  <c r="L5" i="69"/>
  <c r="I28" i="50"/>
  <c r="L28" i="50" s="1"/>
  <c r="I33" i="50"/>
  <c r="L33" i="50" s="1"/>
  <c r="I38" i="50"/>
  <c r="L38" i="50" s="1"/>
  <c r="I6" i="50"/>
  <c r="L6" i="50" s="1"/>
  <c r="I8" i="50"/>
  <c r="L8" i="50" s="1"/>
  <c r="I14" i="50"/>
  <c r="L14" i="50" s="1"/>
  <c r="I32" i="50"/>
  <c r="L32" i="50" s="1"/>
  <c r="I37" i="50"/>
  <c r="L37" i="50" s="1"/>
  <c r="I19" i="50"/>
  <c r="L19" i="50" s="1"/>
  <c r="I29" i="50"/>
  <c r="L29" i="50" s="1"/>
  <c r="I15" i="50"/>
  <c r="L15" i="50" s="1"/>
  <c r="I27" i="50"/>
  <c r="L27" i="50" s="1"/>
  <c r="I7" i="50"/>
  <c r="L7" i="50" s="1"/>
  <c r="I13" i="50"/>
  <c r="L13" i="50" s="1"/>
  <c r="I23" i="50"/>
  <c r="L23" i="50" s="1"/>
  <c r="I26" i="50"/>
  <c r="L26" i="50" s="1"/>
  <c r="I31" i="50"/>
  <c r="L31" i="50" s="1"/>
  <c r="I36" i="50"/>
  <c r="L36" i="50" s="1"/>
  <c r="M5" i="50" l="1"/>
  <c r="M24" i="50"/>
  <c r="M16" i="50"/>
  <c r="M34" i="50"/>
  <c r="L11" i="69" s="1"/>
  <c r="M11" i="50"/>
  <c r="M29" i="50"/>
  <c r="E12" i="69" l="1"/>
  <c r="H30" i="48"/>
  <c r="E30" i="48"/>
  <c r="H29" i="48"/>
  <c r="E29" i="48"/>
  <c r="H28" i="48"/>
  <c r="E28" i="48"/>
  <c r="H27" i="48"/>
  <c r="E27" i="48"/>
  <c r="H26" i="48"/>
  <c r="E26" i="48"/>
  <c r="H25" i="48"/>
  <c r="E25" i="48"/>
  <c r="H24" i="48"/>
  <c r="E24" i="48"/>
  <c r="H23" i="48"/>
  <c r="E23" i="48"/>
  <c r="H22" i="48"/>
  <c r="E22" i="48"/>
  <c r="H21" i="48"/>
  <c r="E21" i="48"/>
  <c r="H20" i="48"/>
  <c r="E20" i="48"/>
  <c r="H19" i="48"/>
  <c r="E19" i="48"/>
  <c r="H18" i="48"/>
  <c r="E18" i="48"/>
  <c r="H17" i="48"/>
  <c r="E17" i="48"/>
  <c r="H16" i="48"/>
  <c r="E16" i="48"/>
  <c r="H15" i="48"/>
  <c r="E15" i="48"/>
  <c r="H14" i="48"/>
  <c r="E14" i="48"/>
  <c r="H13" i="48"/>
  <c r="E13" i="48"/>
  <c r="H12" i="48"/>
  <c r="E12" i="48"/>
  <c r="H11" i="48"/>
  <c r="E11" i="48"/>
  <c r="H10" i="48"/>
  <c r="E10" i="48"/>
  <c r="H9" i="48"/>
  <c r="E9" i="48"/>
  <c r="H8" i="48"/>
  <c r="E8" i="48"/>
  <c r="H7" i="48"/>
  <c r="E7" i="48"/>
  <c r="H6" i="48"/>
  <c r="E6" i="48"/>
  <c r="H5" i="48"/>
  <c r="H4" i="48"/>
  <c r="H2" i="48"/>
  <c r="L21" i="48"/>
  <c r="L20" i="48"/>
  <c r="L19" i="48"/>
  <c r="L18" i="48"/>
  <c r="L17" i="48"/>
  <c r="I11" i="48"/>
  <c r="L11" i="48" s="1"/>
  <c r="K10" i="48"/>
  <c r="K9" i="48"/>
  <c r="K8" i="48"/>
  <c r="K7" i="48"/>
  <c r="K6" i="48"/>
  <c r="K5" i="48"/>
  <c r="L4" i="48"/>
  <c r="L3" i="48"/>
  <c r="M2" i="48"/>
  <c r="L2" i="48"/>
  <c r="Y108" i="47"/>
  <c r="Y107" i="47"/>
  <c r="X107" i="47"/>
  <c r="Q107" i="47"/>
  <c r="P107" i="47"/>
  <c r="Y106" i="47"/>
  <c r="Y105" i="47"/>
  <c r="Y104" i="47"/>
  <c r="Y103" i="47"/>
  <c r="X103" i="47"/>
  <c r="Q103" i="47"/>
  <c r="P103" i="47"/>
  <c r="Y102" i="47"/>
  <c r="Y101" i="47"/>
  <c r="Y100" i="47"/>
  <c r="X100" i="47"/>
  <c r="Q100" i="47"/>
  <c r="P100" i="47"/>
  <c r="Y99" i="47"/>
  <c r="Y98" i="47"/>
  <c r="X98" i="47"/>
  <c r="Q98" i="47"/>
  <c r="P98" i="47"/>
  <c r="Y97" i="47"/>
  <c r="Y96" i="47"/>
  <c r="Y95" i="47"/>
  <c r="X95" i="47"/>
  <c r="Y94" i="47"/>
  <c r="Y93" i="47"/>
  <c r="Y92" i="47"/>
  <c r="Y91" i="47"/>
  <c r="Y90" i="47"/>
  <c r="Y89" i="47"/>
  <c r="Y88" i="47"/>
  <c r="G30" i="48" s="1"/>
  <c r="I30" i="48" s="1"/>
  <c r="L30" i="48" s="1"/>
  <c r="Y87" i="47"/>
  <c r="G29" i="48" s="1"/>
  <c r="Y86" i="47"/>
  <c r="G28" i="48" s="1"/>
  <c r="S86" i="47"/>
  <c r="T86" i="47" s="1"/>
  <c r="U86" i="47" s="1"/>
  <c r="Y85" i="47"/>
  <c r="G27" i="48" s="1"/>
  <c r="I27" i="48" s="1"/>
  <c r="L27" i="48" s="1"/>
  <c r="W85" i="47"/>
  <c r="V85" i="47" s="1"/>
  <c r="Y84" i="47"/>
  <c r="G26" i="48" s="1"/>
  <c r="X84" i="47"/>
  <c r="W84" i="47"/>
  <c r="V84" i="47" s="1"/>
  <c r="T84" i="47"/>
  <c r="R84" i="47"/>
  <c r="P84" i="47"/>
  <c r="S84" i="47" s="1"/>
  <c r="Y83" i="47"/>
  <c r="Y82" i="47"/>
  <c r="Y81" i="47"/>
  <c r="Y80" i="47"/>
  <c r="Y79" i="47"/>
  <c r="Y78" i="47"/>
  <c r="G25" i="48" s="1"/>
  <c r="W78" i="47"/>
  <c r="V78" i="47"/>
  <c r="T78" i="47" s="1"/>
  <c r="R78" i="47"/>
  <c r="S78" i="47" s="1"/>
  <c r="Q78" i="47"/>
  <c r="P78" i="47"/>
  <c r="Y77" i="47"/>
  <c r="Y76" i="47"/>
  <c r="Y75" i="47"/>
  <c r="X75" i="47"/>
  <c r="Q75" i="47"/>
  <c r="P75" i="47"/>
  <c r="Y74" i="47"/>
  <c r="Y73" i="47"/>
  <c r="Y72" i="47"/>
  <c r="G24" i="48" s="1"/>
  <c r="X72" i="47"/>
  <c r="W72" i="47"/>
  <c r="V72" i="47" s="1"/>
  <c r="Y71" i="47"/>
  <c r="Y70" i="47"/>
  <c r="Y69" i="47"/>
  <c r="Y68" i="47"/>
  <c r="G23" i="48" s="1"/>
  <c r="V68" i="47"/>
  <c r="T68" i="47" s="1"/>
  <c r="R68" i="47"/>
  <c r="S68" i="47" s="1"/>
  <c r="Y67" i="47"/>
  <c r="G22" i="48" s="1"/>
  <c r="X67" i="47"/>
  <c r="V67" i="47"/>
  <c r="U67" i="47"/>
  <c r="T67" i="47"/>
  <c r="S67" i="47"/>
  <c r="R67" i="47"/>
  <c r="Q67" i="47"/>
  <c r="P67" i="47"/>
  <c r="Y66" i="47"/>
  <c r="Y65" i="47"/>
  <c r="Y64" i="47"/>
  <c r="Y63" i="47"/>
  <c r="G21" i="48" s="1"/>
  <c r="X63" i="47"/>
  <c r="Q63" i="47"/>
  <c r="P63" i="47"/>
  <c r="Y62" i="47"/>
  <c r="Y61" i="47"/>
  <c r="Y60" i="47"/>
  <c r="G20" i="48" s="1"/>
  <c r="X60" i="47"/>
  <c r="Q60" i="47"/>
  <c r="P60" i="47"/>
  <c r="Y59" i="47"/>
  <c r="Y58" i="47"/>
  <c r="Y57" i="47"/>
  <c r="G19" i="48" s="1"/>
  <c r="X57" i="47"/>
  <c r="Q57" i="47"/>
  <c r="P57" i="47"/>
  <c r="Y56" i="47"/>
  <c r="Y55" i="47"/>
  <c r="G18" i="48" s="1"/>
  <c r="X55" i="47"/>
  <c r="Q55" i="47"/>
  <c r="P55" i="47"/>
  <c r="Y54" i="47"/>
  <c r="Y53" i="47"/>
  <c r="Y52" i="47"/>
  <c r="G17" i="48" s="1"/>
  <c r="Y51" i="47"/>
  <c r="Y50" i="47"/>
  <c r="Y49" i="47"/>
  <c r="G16" i="48" s="1"/>
  <c r="Y48" i="47"/>
  <c r="G15" i="48" s="1"/>
  <c r="X48" i="47"/>
  <c r="Q48" i="47"/>
  <c r="P48" i="47"/>
  <c r="Y47" i="47"/>
  <c r="Y46" i="47"/>
  <c r="Y45" i="47"/>
  <c r="Y44" i="47"/>
  <c r="G14" i="48" s="1"/>
  <c r="X44" i="47"/>
  <c r="U44" i="47"/>
  <c r="T44" i="47"/>
  <c r="S44" i="47"/>
  <c r="R44" i="47"/>
  <c r="Y43" i="47"/>
  <c r="Y42" i="47"/>
  <c r="Y41" i="47"/>
  <c r="Y40" i="47"/>
  <c r="Y39" i="47"/>
  <c r="G13" i="48" s="1"/>
  <c r="T39" i="47"/>
  <c r="R39" i="47"/>
  <c r="U39" i="47" s="1"/>
  <c r="Y38" i="47"/>
  <c r="G12" i="48" s="1"/>
  <c r="I12" i="48" s="1"/>
  <c r="L12" i="48" s="1"/>
  <c r="T38" i="47"/>
  <c r="R38" i="47"/>
  <c r="U38" i="47" s="1"/>
  <c r="Y37" i="47"/>
  <c r="X37" i="47"/>
  <c r="Q37" i="47"/>
  <c r="P37" i="47"/>
  <c r="Y36" i="47"/>
  <c r="Y35" i="47"/>
  <c r="Y34" i="47"/>
  <c r="G10" i="48" s="1"/>
  <c r="X34" i="47"/>
  <c r="Q34" i="47"/>
  <c r="T34" i="47" s="1"/>
  <c r="P34" i="47"/>
  <c r="S34" i="47" s="1"/>
  <c r="Y33" i="47"/>
  <c r="Y32" i="47"/>
  <c r="Y31" i="47"/>
  <c r="Y30" i="47"/>
  <c r="Y29" i="47"/>
  <c r="Y28" i="47"/>
  <c r="Y27" i="47"/>
  <c r="Y26" i="47"/>
  <c r="Y25" i="47"/>
  <c r="Y24" i="47"/>
  <c r="Y23" i="47"/>
  <c r="Y22" i="47"/>
  <c r="G9" i="48" s="1"/>
  <c r="X22" i="47"/>
  <c r="U22" i="47"/>
  <c r="Q22" i="47"/>
  <c r="T22" i="47" s="1"/>
  <c r="P22" i="47"/>
  <c r="S22" i="47" s="1"/>
  <c r="Y21" i="47"/>
  <c r="Y20" i="47"/>
  <c r="G8" i="48" s="1"/>
  <c r="I8" i="48" s="1"/>
  <c r="L8" i="48" s="1"/>
  <c r="X20" i="47"/>
  <c r="T20" i="47"/>
  <c r="Q20" i="47"/>
  <c r="W20" i="47" s="1"/>
  <c r="V20" i="47" s="1"/>
  <c r="P20" i="47"/>
  <c r="S20" i="47" s="1"/>
  <c r="Y19" i="47"/>
  <c r="Y18" i="47"/>
  <c r="G7" i="48" s="1"/>
  <c r="W18" i="47"/>
  <c r="V18" i="47"/>
  <c r="U18" i="47"/>
  <c r="S18" i="47"/>
  <c r="R18" i="47"/>
  <c r="Q18" i="47"/>
  <c r="T18" i="47" s="1"/>
  <c r="P18" i="47"/>
  <c r="Y17" i="47"/>
  <c r="Y16" i="47"/>
  <c r="Y15" i="47"/>
  <c r="Y14" i="47"/>
  <c r="Y13" i="47"/>
  <c r="G6" i="48" s="1"/>
  <c r="X13" i="47"/>
  <c r="Q13" i="47"/>
  <c r="T13" i="47" s="1"/>
  <c r="P13" i="47"/>
  <c r="S13" i="47" s="1"/>
  <c r="Y12" i="47"/>
  <c r="Y11" i="47"/>
  <c r="G5" i="48" s="1"/>
  <c r="I5" i="48" s="1"/>
  <c r="L5" i="48" s="1"/>
  <c r="X11" i="47"/>
  <c r="S11" i="47"/>
  <c r="T11" i="47" s="1"/>
  <c r="U11" i="47" s="1"/>
  <c r="V11" i="47" s="1"/>
  <c r="W11" i="47" s="1"/>
  <c r="R11" i="47"/>
  <c r="Q11" i="47"/>
  <c r="P11" i="47"/>
  <c r="Y10" i="47"/>
  <c r="Y9" i="47"/>
  <c r="Y8" i="47"/>
  <c r="X8" i="47"/>
  <c r="Q8" i="47"/>
  <c r="P8" i="47"/>
  <c r="Y7" i="47"/>
  <c r="Y6" i="47"/>
  <c r="Y5" i="47"/>
  <c r="X5" i="47"/>
  <c r="Q5" i="47"/>
  <c r="P5" i="47"/>
  <c r="Y4" i="47"/>
  <c r="Y3" i="47"/>
  <c r="I6" i="48" l="1"/>
  <c r="L6" i="48" s="1"/>
  <c r="I10" i="48"/>
  <c r="L10" i="48" s="1"/>
  <c r="I13" i="48"/>
  <c r="L13" i="48" s="1"/>
  <c r="I16" i="48"/>
  <c r="L16" i="48" s="1"/>
  <c r="I24" i="48"/>
  <c r="L24" i="48" s="1"/>
  <c r="I22" i="48"/>
  <c r="L22" i="48" s="1"/>
  <c r="I25" i="48"/>
  <c r="L25" i="48" s="1"/>
  <c r="I28" i="48"/>
  <c r="L28" i="48" s="1"/>
  <c r="I14" i="48"/>
  <c r="L14" i="48" s="1"/>
  <c r="I7" i="48"/>
  <c r="L7" i="48" s="1"/>
  <c r="I9" i="48"/>
  <c r="L9" i="48" s="1"/>
  <c r="I15" i="48"/>
  <c r="L15" i="48" s="1"/>
  <c r="I23" i="48"/>
  <c r="L23" i="48" s="1"/>
  <c r="I26" i="48"/>
  <c r="L26" i="48" s="1"/>
  <c r="I29" i="48"/>
  <c r="L29" i="48" s="1"/>
  <c r="R72" i="47"/>
  <c r="T72" i="47"/>
  <c r="R85" i="47"/>
  <c r="T85" i="47"/>
  <c r="U13" i="47"/>
  <c r="U20" i="47"/>
  <c r="R22" i="47"/>
  <c r="U34" i="47"/>
  <c r="S38" i="47"/>
  <c r="U68" i="47"/>
  <c r="U78" i="47"/>
  <c r="R13" i="47"/>
  <c r="R20" i="47"/>
  <c r="W22" i="47"/>
  <c r="V22" i="47" s="1"/>
  <c r="R34" i="47"/>
  <c r="S39" i="47"/>
  <c r="U84" i="47"/>
  <c r="W13" i="47"/>
  <c r="V13" i="47" s="1"/>
  <c r="W34" i="47"/>
  <c r="V34" i="47" s="1"/>
  <c r="W68" i="47"/>
  <c r="M15" i="48" l="1"/>
  <c r="L8" i="69" s="1"/>
  <c r="M27" i="48"/>
  <c r="L10" i="69" s="1"/>
  <c r="M11" i="48"/>
  <c r="L7" i="69" s="1"/>
  <c r="M5" i="48"/>
  <c r="M23" i="48"/>
  <c r="L9" i="69" s="1"/>
  <c r="S85" i="47"/>
  <c r="U85" i="47"/>
  <c r="U72" i="47"/>
  <c r="S72" i="47"/>
  <c r="L6" i="69" l="1"/>
  <c r="C12" i="69"/>
  <c r="B15" i="69" s="1"/>
  <c r="K11" i="57"/>
  <c r="I11" i="57"/>
  <c r="E11" i="57"/>
  <c r="K10" i="57"/>
  <c r="I10" i="57"/>
  <c r="G10" i="57"/>
  <c r="E10" i="57"/>
  <c r="C10" i="57"/>
  <c r="K9" i="57"/>
  <c r="I9" i="57"/>
  <c r="G9" i="57"/>
  <c r="E9" i="57"/>
  <c r="C9" i="57"/>
  <c r="K8" i="57"/>
  <c r="I8" i="57"/>
  <c r="G8" i="57"/>
  <c r="E8" i="57"/>
  <c r="C8" i="57"/>
  <c r="K7" i="57"/>
  <c r="I7" i="57"/>
  <c r="G7" i="57"/>
  <c r="E7" i="57"/>
  <c r="C7" i="57"/>
  <c r="K6" i="57"/>
  <c r="I6" i="57"/>
  <c r="G6" i="57"/>
  <c r="E6" i="57"/>
  <c r="C6" i="57"/>
  <c r="K5" i="57"/>
  <c r="I5" i="57"/>
  <c r="G5" i="57"/>
  <c r="E5" i="57"/>
  <c r="C5" i="57"/>
  <c r="H39" i="45"/>
  <c r="F39" i="45"/>
  <c r="D39" i="45"/>
  <c r="H38" i="45"/>
  <c r="F38" i="45"/>
  <c r="D38" i="45"/>
  <c r="H37" i="45"/>
  <c r="F37" i="45"/>
  <c r="D37" i="45"/>
  <c r="H36" i="45"/>
  <c r="F36" i="45"/>
  <c r="D36" i="45"/>
  <c r="H35" i="45"/>
  <c r="F35" i="45"/>
  <c r="D35" i="45"/>
  <c r="H34" i="45"/>
  <c r="F34" i="45"/>
  <c r="D34" i="45"/>
  <c r="H33" i="45"/>
  <c r="F33" i="45"/>
  <c r="D33" i="45"/>
  <c r="H32" i="45"/>
  <c r="F32" i="45"/>
  <c r="D32" i="45"/>
  <c r="H31" i="45"/>
  <c r="F31" i="45"/>
  <c r="D31" i="45"/>
  <c r="H30" i="45"/>
  <c r="F30" i="45"/>
  <c r="D30" i="45"/>
  <c r="H29" i="45"/>
  <c r="F29" i="45"/>
  <c r="D29" i="45"/>
  <c r="F28" i="45"/>
  <c r="D28" i="45"/>
  <c r="H27" i="45"/>
  <c r="F27" i="45"/>
  <c r="D27" i="45"/>
  <c r="H26" i="45"/>
  <c r="F26" i="45"/>
  <c r="D26" i="45"/>
  <c r="H25" i="45"/>
  <c r="F25" i="45"/>
  <c r="D25" i="45"/>
  <c r="F24" i="45"/>
  <c r="D24" i="45"/>
  <c r="H23" i="45"/>
  <c r="F23" i="45"/>
  <c r="D23" i="45"/>
  <c r="H22" i="45"/>
  <c r="F22" i="45"/>
  <c r="D22" i="45"/>
  <c r="H21" i="45"/>
  <c r="F21" i="45"/>
  <c r="D21" i="45"/>
  <c r="H20" i="45"/>
  <c r="F20" i="45"/>
  <c r="D20" i="45"/>
  <c r="H19" i="45"/>
  <c r="F19" i="45"/>
  <c r="D19" i="45"/>
  <c r="H18" i="45"/>
  <c r="F18" i="45"/>
  <c r="D18" i="45"/>
  <c r="H17" i="45"/>
  <c r="F17" i="45"/>
  <c r="D17" i="45"/>
  <c r="H16" i="45"/>
  <c r="F16" i="45"/>
  <c r="D16" i="45"/>
  <c r="H15" i="45"/>
  <c r="F15" i="45"/>
  <c r="D15" i="45"/>
  <c r="H14" i="45"/>
  <c r="F14" i="45"/>
  <c r="D14" i="45"/>
  <c r="H13" i="45"/>
  <c r="F13" i="45"/>
  <c r="D13" i="45"/>
  <c r="H12" i="45"/>
  <c r="F12" i="45"/>
  <c r="D12" i="45"/>
  <c r="H11" i="45"/>
  <c r="F11" i="45"/>
  <c r="D11" i="45"/>
  <c r="F10" i="45"/>
  <c r="D10" i="45"/>
  <c r="F9" i="45"/>
  <c r="D9" i="45"/>
  <c r="F8" i="45"/>
  <c r="D8" i="45"/>
  <c r="F7" i="45"/>
  <c r="D7" i="45"/>
  <c r="F6" i="45"/>
  <c r="D6" i="45"/>
  <c r="H5" i="45"/>
  <c r="F5" i="45"/>
  <c r="D5" i="45"/>
  <c r="H4" i="45"/>
  <c r="F4" i="45"/>
  <c r="D4" i="45"/>
  <c r="H3" i="45"/>
  <c r="F3" i="45"/>
  <c r="D3" i="45"/>
  <c r="H2" i="45"/>
  <c r="F2" i="45"/>
  <c r="D2" i="45"/>
  <c r="AE113" i="44"/>
  <c r="G39" i="45" s="1"/>
  <c r="I39" i="45" s="1"/>
  <c r="L39" i="45" s="1"/>
  <c r="AD113" i="44"/>
  <c r="AC113" i="44"/>
  <c r="AB113" i="44"/>
  <c r="AA113" i="44"/>
  <c r="Z113" i="44"/>
  <c r="S113" i="44"/>
  <c r="E39" i="45" s="1"/>
  <c r="AE112" i="44"/>
  <c r="G38" i="45" s="1"/>
  <c r="AD112" i="44"/>
  <c r="AC112" i="44"/>
  <c r="AB112" i="44"/>
  <c r="AA112" i="44"/>
  <c r="Z112" i="44"/>
  <c r="X112" i="44"/>
  <c r="S112" i="44"/>
  <c r="E38" i="45" s="1"/>
  <c r="R112" i="44"/>
  <c r="Q112" i="44"/>
  <c r="AE111" i="44"/>
  <c r="AD111" i="44"/>
  <c r="AC111" i="44"/>
  <c r="AB111" i="44"/>
  <c r="AA111" i="44"/>
  <c r="Z111" i="44"/>
  <c r="S111" i="44"/>
  <c r="AE110" i="44"/>
  <c r="G37" i="45" s="1"/>
  <c r="AD110" i="44"/>
  <c r="AC110" i="44"/>
  <c r="AB110" i="44"/>
  <c r="AA110" i="44"/>
  <c r="Z110" i="44"/>
  <c r="X110" i="44"/>
  <c r="S110" i="44"/>
  <c r="E37" i="45" s="1"/>
  <c r="AE109" i="44"/>
  <c r="AD109" i="44"/>
  <c r="AC109" i="44"/>
  <c r="AB109" i="44"/>
  <c r="AA109" i="44"/>
  <c r="Z109" i="44"/>
  <c r="S109" i="44"/>
  <c r="AE108" i="44"/>
  <c r="G36" i="45" s="1"/>
  <c r="AD108" i="44"/>
  <c r="AC108" i="44"/>
  <c r="AB108" i="44"/>
  <c r="AA108" i="44"/>
  <c r="Z108" i="44"/>
  <c r="X108" i="44"/>
  <c r="S108" i="44"/>
  <c r="E36" i="45" s="1"/>
  <c r="R108" i="44"/>
  <c r="Q108" i="44"/>
  <c r="AE107" i="44"/>
  <c r="AD107" i="44"/>
  <c r="AC107" i="44"/>
  <c r="AB107" i="44"/>
  <c r="AA107" i="44"/>
  <c r="Z107" i="44"/>
  <c r="S107" i="44"/>
  <c r="AE106" i="44"/>
  <c r="AD106" i="44"/>
  <c r="AC106" i="44"/>
  <c r="AB106" i="44"/>
  <c r="AA106" i="44"/>
  <c r="Z106" i="44"/>
  <c r="S106" i="44"/>
  <c r="AE105" i="44"/>
  <c r="G35" i="45" s="1"/>
  <c r="AD105" i="44"/>
  <c r="AC105" i="44"/>
  <c r="AB105" i="44"/>
  <c r="AA105" i="44"/>
  <c r="Z105" i="44"/>
  <c r="X105" i="44"/>
  <c r="S105" i="44"/>
  <c r="E35" i="45" s="1"/>
  <c r="R105" i="44"/>
  <c r="Q105" i="44"/>
  <c r="AE104" i="44"/>
  <c r="AD104" i="44"/>
  <c r="AC104" i="44"/>
  <c r="AB104" i="44"/>
  <c r="AA104" i="44"/>
  <c r="Z104" i="44"/>
  <c r="S104" i="44"/>
  <c r="AE103" i="44"/>
  <c r="G34" i="45" s="1"/>
  <c r="I34" i="45" s="1"/>
  <c r="L34" i="45" s="1"/>
  <c r="AD103" i="44"/>
  <c r="AC103" i="44"/>
  <c r="AB103" i="44"/>
  <c r="AA103" i="44"/>
  <c r="Z103" i="44"/>
  <c r="X103" i="44"/>
  <c r="S103" i="44"/>
  <c r="E34" i="45" s="1"/>
  <c r="R103" i="44"/>
  <c r="Q103" i="44"/>
  <c r="AE102" i="44"/>
  <c r="AD102" i="44"/>
  <c r="AC102" i="44"/>
  <c r="AB102" i="44"/>
  <c r="AA102" i="44"/>
  <c r="Z102" i="44"/>
  <c r="S102" i="44"/>
  <c r="AE101" i="44"/>
  <c r="AD101" i="44"/>
  <c r="AC101" i="44"/>
  <c r="AB101" i="44"/>
  <c r="AA101" i="44"/>
  <c r="Z101" i="44"/>
  <c r="S101" i="44"/>
  <c r="AE100" i="44"/>
  <c r="G33" i="45" s="1"/>
  <c r="I33" i="45" s="1"/>
  <c r="L33" i="45" s="1"/>
  <c r="AD100" i="44"/>
  <c r="AC100" i="44"/>
  <c r="AB100" i="44"/>
  <c r="AA100" i="44"/>
  <c r="Z100" i="44"/>
  <c r="S100" i="44"/>
  <c r="E33" i="45" s="1"/>
  <c r="AE99" i="44"/>
  <c r="AD99" i="44"/>
  <c r="AC99" i="44"/>
  <c r="AB99" i="44"/>
  <c r="AA99" i="44"/>
  <c r="Z99" i="44"/>
  <c r="S99" i="44"/>
  <c r="AE98" i="44"/>
  <c r="AD98" i="44"/>
  <c r="AC98" i="44"/>
  <c r="AB98" i="44"/>
  <c r="AA98" i="44"/>
  <c r="Z98" i="44"/>
  <c r="S98" i="44"/>
  <c r="AE97" i="44"/>
  <c r="AD97" i="44"/>
  <c r="AC97" i="44"/>
  <c r="AB97" i="44"/>
  <c r="AA97" i="44"/>
  <c r="Z97" i="44"/>
  <c r="S97" i="44"/>
  <c r="AE96" i="44"/>
  <c r="AD96" i="44"/>
  <c r="AC96" i="44"/>
  <c r="AB96" i="44"/>
  <c r="AA96" i="44"/>
  <c r="Z96" i="44"/>
  <c r="S96" i="44"/>
  <c r="AE95" i="44"/>
  <c r="AD95" i="44"/>
  <c r="AC95" i="44"/>
  <c r="AB95" i="44"/>
  <c r="AA95" i="44"/>
  <c r="Z95" i="44"/>
  <c r="S95" i="44"/>
  <c r="AE94" i="44"/>
  <c r="AD94" i="44"/>
  <c r="AC94" i="44"/>
  <c r="AB94" i="44"/>
  <c r="AA94" i="44"/>
  <c r="Z94" i="44"/>
  <c r="S94" i="44"/>
  <c r="AE93" i="44"/>
  <c r="G32" i="45" s="1"/>
  <c r="AD93" i="44"/>
  <c r="AC93" i="44"/>
  <c r="AB93" i="44"/>
  <c r="AA93" i="44"/>
  <c r="Z93" i="44"/>
  <c r="S93" i="44"/>
  <c r="E32" i="45" s="1"/>
  <c r="AE92" i="44"/>
  <c r="G31" i="45" s="1"/>
  <c r="AD92" i="44"/>
  <c r="AC92" i="44"/>
  <c r="AB92" i="44"/>
  <c r="AA92" i="44"/>
  <c r="Z92" i="44"/>
  <c r="S92" i="44"/>
  <c r="E31" i="45" s="1"/>
  <c r="AE91" i="44"/>
  <c r="G30" i="45" s="1"/>
  <c r="AD91" i="44"/>
  <c r="AC91" i="44"/>
  <c r="AB91" i="44"/>
  <c r="AA91" i="44"/>
  <c r="Z91" i="44"/>
  <c r="S91" i="44"/>
  <c r="E30" i="45" s="1"/>
  <c r="AE90" i="44"/>
  <c r="G29" i="45" s="1"/>
  <c r="I29" i="45" s="1"/>
  <c r="L29" i="45" s="1"/>
  <c r="AD90" i="44"/>
  <c r="AC90" i="44"/>
  <c r="AB90" i="44"/>
  <c r="AA90" i="44"/>
  <c r="Z90" i="44"/>
  <c r="S90" i="44"/>
  <c r="E29" i="45" s="1"/>
  <c r="AE89" i="44"/>
  <c r="G28" i="45" s="1"/>
  <c r="AD89" i="44"/>
  <c r="AC89" i="44"/>
  <c r="AB89" i="44"/>
  <c r="AA89" i="44"/>
  <c r="Z89" i="44"/>
  <c r="W89" i="44"/>
  <c r="V89" i="44"/>
  <c r="U89" i="44"/>
  <c r="T89" i="44"/>
  <c r="S89" i="44"/>
  <c r="X89" i="44" s="1"/>
  <c r="H28" i="45" s="1"/>
  <c r="AE88" i="44"/>
  <c r="AD88" i="44"/>
  <c r="AC88" i="44"/>
  <c r="AB88" i="44"/>
  <c r="AA88" i="44"/>
  <c r="Z88" i="44"/>
  <c r="S88" i="44"/>
  <c r="AE87" i="44"/>
  <c r="AD87" i="44"/>
  <c r="AC87" i="44"/>
  <c r="AB87" i="44"/>
  <c r="AA87" i="44"/>
  <c r="Z87" i="44"/>
  <c r="S87" i="44"/>
  <c r="AE86" i="44"/>
  <c r="AD86" i="44"/>
  <c r="AC86" i="44"/>
  <c r="AB86" i="44"/>
  <c r="AA86" i="44"/>
  <c r="Z86" i="44"/>
  <c r="S86" i="44"/>
  <c r="AE85" i="44"/>
  <c r="AD85" i="44"/>
  <c r="AC85" i="44"/>
  <c r="AB85" i="44"/>
  <c r="AA85" i="44"/>
  <c r="Z85" i="44"/>
  <c r="S85" i="44"/>
  <c r="AE84" i="44"/>
  <c r="AD84" i="44"/>
  <c r="AC84" i="44"/>
  <c r="AB84" i="44"/>
  <c r="AA84" i="44"/>
  <c r="Z84" i="44"/>
  <c r="S84" i="44"/>
  <c r="AE83" i="44"/>
  <c r="G27" i="45" s="1"/>
  <c r="AD83" i="44"/>
  <c r="AC83" i="44"/>
  <c r="AB83" i="44"/>
  <c r="AA83" i="44"/>
  <c r="Z83" i="44"/>
  <c r="X83" i="44"/>
  <c r="S83" i="44"/>
  <c r="E27" i="45" s="1"/>
  <c r="R83" i="44"/>
  <c r="Q83" i="44"/>
  <c r="AE82" i="44"/>
  <c r="AD82" i="44"/>
  <c r="AC82" i="44"/>
  <c r="AB82" i="44"/>
  <c r="AA82" i="44"/>
  <c r="Z82" i="44"/>
  <c r="S82" i="44"/>
  <c r="AE81" i="44"/>
  <c r="AD81" i="44"/>
  <c r="AC81" i="44"/>
  <c r="AB81" i="44"/>
  <c r="AA81" i="44"/>
  <c r="Z81" i="44"/>
  <c r="S81" i="44"/>
  <c r="AE80" i="44"/>
  <c r="G26" i="45" s="1"/>
  <c r="AD80" i="44"/>
  <c r="AC80" i="44"/>
  <c r="AB80" i="44"/>
  <c r="AA80" i="44"/>
  <c r="Z80" i="44"/>
  <c r="X80" i="44"/>
  <c r="S80" i="44"/>
  <c r="E26" i="45" s="1"/>
  <c r="R80" i="44"/>
  <c r="Q80" i="44"/>
  <c r="AE79" i="44"/>
  <c r="AD79" i="44"/>
  <c r="AC79" i="44"/>
  <c r="AB79" i="44"/>
  <c r="AA79" i="44"/>
  <c r="Z79" i="44"/>
  <c r="S79" i="44"/>
  <c r="AE78" i="44"/>
  <c r="AD78" i="44"/>
  <c r="AC78" i="44"/>
  <c r="AB78" i="44"/>
  <c r="AA78" i="44"/>
  <c r="Z78" i="44"/>
  <c r="S78" i="44"/>
  <c r="AE77" i="44"/>
  <c r="G25" i="45" s="1"/>
  <c r="AD77" i="44"/>
  <c r="AC77" i="44"/>
  <c r="AB77" i="44"/>
  <c r="AA77" i="44"/>
  <c r="Z77" i="44"/>
  <c r="X77" i="44"/>
  <c r="S77" i="44"/>
  <c r="E25" i="45" s="1"/>
  <c r="AE76" i="44"/>
  <c r="AD76" i="44"/>
  <c r="AC76" i="44"/>
  <c r="AB76" i="44"/>
  <c r="AA76" i="44"/>
  <c r="Z76" i="44"/>
  <c r="S76" i="44"/>
  <c r="AE75" i="44"/>
  <c r="AD75" i="44"/>
  <c r="AC75" i="44"/>
  <c r="AB75" i="44"/>
  <c r="AA75" i="44"/>
  <c r="Z75" i="44"/>
  <c r="S75" i="44"/>
  <c r="AE74" i="44"/>
  <c r="AD74" i="44"/>
  <c r="AC74" i="44"/>
  <c r="AB74" i="44"/>
  <c r="AA74" i="44"/>
  <c r="Z74" i="44"/>
  <c r="S74" i="44"/>
  <c r="AE73" i="44"/>
  <c r="G24" i="45" s="1"/>
  <c r="AD73" i="44"/>
  <c r="X73" i="44" s="1"/>
  <c r="H24" i="45" s="1"/>
  <c r="AC73" i="44"/>
  <c r="AB73" i="44"/>
  <c r="AA73" i="44"/>
  <c r="Z73" i="44"/>
  <c r="S73" i="44"/>
  <c r="E24" i="45" s="1"/>
  <c r="AE72" i="44"/>
  <c r="G23" i="45" s="1"/>
  <c r="AD72" i="44"/>
  <c r="AC72" i="44"/>
  <c r="AB72" i="44"/>
  <c r="AA72" i="44"/>
  <c r="Z72" i="44"/>
  <c r="S72" i="44"/>
  <c r="E23" i="45" s="1"/>
  <c r="AE71" i="44"/>
  <c r="AD71" i="44"/>
  <c r="AC71" i="44"/>
  <c r="AB71" i="44"/>
  <c r="AA71" i="44"/>
  <c r="Z71" i="44"/>
  <c r="S71" i="44"/>
  <c r="AE70" i="44"/>
  <c r="AD70" i="44"/>
  <c r="AC70" i="44"/>
  <c r="AB70" i="44"/>
  <c r="AA70" i="44"/>
  <c r="Z70" i="44"/>
  <c r="S70" i="44"/>
  <c r="AE69" i="44"/>
  <c r="AD69" i="44"/>
  <c r="AC69" i="44"/>
  <c r="AB69" i="44"/>
  <c r="AA69" i="44"/>
  <c r="Z69" i="44"/>
  <c r="S69" i="44"/>
  <c r="AE68" i="44"/>
  <c r="G22" i="45" s="1"/>
  <c r="AD68" i="44"/>
  <c r="AC68" i="44"/>
  <c r="AB68" i="44"/>
  <c r="AA68" i="44"/>
  <c r="Z68" i="44"/>
  <c r="S68" i="44"/>
  <c r="E22" i="45" s="1"/>
  <c r="R68" i="44"/>
  <c r="Q68" i="44"/>
  <c r="AE67" i="44"/>
  <c r="AD67" i="44"/>
  <c r="AC67" i="44"/>
  <c r="AB67" i="44"/>
  <c r="AA67" i="44"/>
  <c r="Z67" i="44"/>
  <c r="S67" i="44"/>
  <c r="AE66" i="44"/>
  <c r="AD66" i="44"/>
  <c r="AC66" i="44"/>
  <c r="AB66" i="44"/>
  <c r="AA66" i="44"/>
  <c r="Z66" i="44"/>
  <c r="S66" i="44"/>
  <c r="AE65" i="44"/>
  <c r="G21" i="45" s="1"/>
  <c r="AD65" i="44"/>
  <c r="AC65" i="44"/>
  <c r="AB65" i="44"/>
  <c r="AA65" i="44"/>
  <c r="Z65" i="44"/>
  <c r="S65" i="44"/>
  <c r="E21" i="45" s="1"/>
  <c r="R65" i="44"/>
  <c r="Q65" i="44"/>
  <c r="AE64" i="44"/>
  <c r="AD64" i="44"/>
  <c r="AC64" i="44"/>
  <c r="AB64" i="44"/>
  <c r="AA64" i="44"/>
  <c r="Z64" i="44"/>
  <c r="S64" i="44"/>
  <c r="AE63" i="44"/>
  <c r="AD63" i="44"/>
  <c r="AC63" i="44"/>
  <c r="AB63" i="44"/>
  <c r="AA63" i="44"/>
  <c r="Z63" i="44"/>
  <c r="S63" i="44"/>
  <c r="AE62" i="44"/>
  <c r="G20" i="45" s="1"/>
  <c r="I20" i="45" s="1"/>
  <c r="L20" i="45" s="1"/>
  <c r="AD62" i="44"/>
  <c r="AC62" i="44"/>
  <c r="AB62" i="44"/>
  <c r="AA62" i="44"/>
  <c r="Z62" i="44"/>
  <c r="S62" i="44"/>
  <c r="E20" i="45" s="1"/>
  <c r="R62" i="44"/>
  <c r="Q62" i="44"/>
  <c r="AE61" i="44"/>
  <c r="AD61" i="44"/>
  <c r="AC61" i="44"/>
  <c r="AB61" i="44"/>
  <c r="AA61" i="44"/>
  <c r="Z61" i="44"/>
  <c r="S61" i="44"/>
  <c r="AE60" i="44"/>
  <c r="G19" i="45" s="1"/>
  <c r="I19" i="45" s="1"/>
  <c r="L19" i="45" s="1"/>
  <c r="AD60" i="44"/>
  <c r="AC60" i="44"/>
  <c r="AB60" i="44"/>
  <c r="AA60" i="44"/>
  <c r="Z60" i="44"/>
  <c r="S60" i="44"/>
  <c r="E19" i="45" s="1"/>
  <c r="R60" i="44"/>
  <c r="Q60" i="44"/>
  <c r="AE59" i="44"/>
  <c r="AD59" i="44"/>
  <c r="AC59" i="44"/>
  <c r="AB59" i="44"/>
  <c r="AA59" i="44"/>
  <c r="Z59" i="44"/>
  <c r="S59" i="44"/>
  <c r="AE58" i="44"/>
  <c r="AD58" i="44"/>
  <c r="AC58" i="44"/>
  <c r="AB58" i="44"/>
  <c r="AA58" i="44"/>
  <c r="Z58" i="44"/>
  <c r="S58" i="44"/>
  <c r="AE57" i="44"/>
  <c r="G18" i="45" s="1"/>
  <c r="AD57" i="44"/>
  <c r="AC57" i="44"/>
  <c r="AB57" i="44"/>
  <c r="AA57" i="44"/>
  <c r="Z57" i="44"/>
  <c r="S57" i="44"/>
  <c r="E18" i="45" s="1"/>
  <c r="R57" i="44"/>
  <c r="Q57" i="44"/>
  <c r="AE56" i="44"/>
  <c r="AD56" i="44"/>
  <c r="AC56" i="44"/>
  <c r="AB56" i="44"/>
  <c r="AA56" i="44"/>
  <c r="Z56" i="44"/>
  <c r="S56" i="44"/>
  <c r="AE55" i="44"/>
  <c r="AD55" i="44"/>
  <c r="AC55" i="44"/>
  <c r="AB55" i="44"/>
  <c r="AA55" i="44"/>
  <c r="Z55" i="44"/>
  <c r="S55" i="44"/>
  <c r="AE54" i="44"/>
  <c r="G17" i="45" s="1"/>
  <c r="AD54" i="44"/>
  <c r="AC54" i="44"/>
  <c r="AB54" i="44"/>
  <c r="AA54" i="44"/>
  <c r="Z54" i="44"/>
  <c r="S54" i="44"/>
  <c r="E17" i="45" s="1"/>
  <c r="AE53" i="44"/>
  <c r="G16" i="45" s="1"/>
  <c r="AD53" i="44"/>
  <c r="AC53" i="44"/>
  <c r="AB53" i="44"/>
  <c r="AA53" i="44"/>
  <c r="Z53" i="44"/>
  <c r="S53" i="44"/>
  <c r="E16" i="45" s="1"/>
  <c r="R53" i="44"/>
  <c r="Q53" i="44"/>
  <c r="AE52" i="44"/>
  <c r="AD52" i="44"/>
  <c r="AC52" i="44"/>
  <c r="AB52" i="44"/>
  <c r="AA52" i="44"/>
  <c r="Z52" i="44"/>
  <c r="S52" i="44"/>
  <c r="AE51" i="44"/>
  <c r="AD51" i="44"/>
  <c r="AC51" i="44"/>
  <c r="AB51" i="44"/>
  <c r="AA51" i="44"/>
  <c r="Z51" i="44"/>
  <c r="S51" i="44"/>
  <c r="AE50" i="44"/>
  <c r="AD50" i="44"/>
  <c r="AC50" i="44"/>
  <c r="AB50" i="44"/>
  <c r="AA50" i="44"/>
  <c r="Z50" i="44"/>
  <c r="S50" i="44"/>
  <c r="AE49" i="44"/>
  <c r="G15" i="45" s="1"/>
  <c r="I15" i="45" s="1"/>
  <c r="L15" i="45" s="1"/>
  <c r="AD49" i="44"/>
  <c r="AC49" i="44"/>
  <c r="AB49" i="44"/>
  <c r="AA49" i="44"/>
  <c r="Z49" i="44"/>
  <c r="V49" i="44"/>
  <c r="W49" i="44" s="1"/>
  <c r="X49" i="44" s="1"/>
  <c r="S49" i="44"/>
  <c r="E15" i="45" s="1"/>
  <c r="R49" i="44"/>
  <c r="Q49" i="44"/>
  <c r="AE48" i="44"/>
  <c r="AD48" i="44"/>
  <c r="AC48" i="44"/>
  <c r="AB48" i="44"/>
  <c r="AA48" i="44"/>
  <c r="Z48" i="44"/>
  <c r="S48" i="44"/>
  <c r="AE47" i="44"/>
  <c r="AD47" i="44"/>
  <c r="AC47" i="44"/>
  <c r="AB47" i="44"/>
  <c r="AA47" i="44"/>
  <c r="Z47" i="44"/>
  <c r="S47" i="44"/>
  <c r="AE46" i="44"/>
  <c r="AD46" i="44"/>
  <c r="AC46" i="44"/>
  <c r="AB46" i="44"/>
  <c r="AA46" i="44"/>
  <c r="Z46" i="44"/>
  <c r="S46" i="44"/>
  <c r="AE45" i="44"/>
  <c r="AD45" i="44"/>
  <c r="AC45" i="44"/>
  <c r="AB45" i="44"/>
  <c r="AA45" i="44"/>
  <c r="Z45" i="44"/>
  <c r="S45" i="44"/>
  <c r="AE44" i="44"/>
  <c r="G14" i="45" s="1"/>
  <c r="I14" i="45" s="1"/>
  <c r="L14" i="45" s="1"/>
  <c r="AD44" i="44"/>
  <c r="AC44" i="44"/>
  <c r="AB44" i="44"/>
  <c r="AA44" i="44"/>
  <c r="Z44" i="44"/>
  <c r="S44" i="44"/>
  <c r="E14" i="45" s="1"/>
  <c r="AE43" i="44"/>
  <c r="G13" i="45" s="1"/>
  <c r="AD43" i="44"/>
  <c r="AC43" i="44"/>
  <c r="AB43" i="44"/>
  <c r="AA43" i="44"/>
  <c r="Z43" i="44"/>
  <c r="S43" i="44"/>
  <c r="E13" i="45" s="1"/>
  <c r="AE42" i="44"/>
  <c r="G12" i="45" s="1"/>
  <c r="AD42" i="44"/>
  <c r="AC42" i="44"/>
  <c r="AB42" i="44"/>
  <c r="AA42" i="44"/>
  <c r="Z42" i="44"/>
  <c r="X42" i="44"/>
  <c r="S42" i="44"/>
  <c r="E12" i="45" s="1"/>
  <c r="AE41" i="44"/>
  <c r="AD41" i="44"/>
  <c r="AC41" i="44"/>
  <c r="AB41" i="44"/>
  <c r="AA41" i="44"/>
  <c r="Z41" i="44"/>
  <c r="S41" i="44"/>
  <c r="AE40" i="44"/>
  <c r="AD40" i="44"/>
  <c r="AC40" i="44"/>
  <c r="AB40" i="44"/>
  <c r="AA40" i="44"/>
  <c r="Z40" i="44"/>
  <c r="S40" i="44"/>
  <c r="AE39" i="44"/>
  <c r="G11" i="45" s="1"/>
  <c r="AD39" i="44"/>
  <c r="AC39" i="44"/>
  <c r="AB39" i="44"/>
  <c r="AA39" i="44"/>
  <c r="Z39" i="44"/>
  <c r="X39" i="44"/>
  <c r="S39" i="44"/>
  <c r="E11" i="45" s="1"/>
  <c r="R39" i="44"/>
  <c r="Q39" i="44"/>
  <c r="AE38" i="44"/>
  <c r="AD38" i="44"/>
  <c r="AC38" i="44"/>
  <c r="AB38" i="44"/>
  <c r="AA38" i="44"/>
  <c r="Z38" i="44"/>
  <c r="S38" i="44"/>
  <c r="AE37" i="44"/>
  <c r="AD37" i="44"/>
  <c r="AC37" i="44"/>
  <c r="AB37" i="44"/>
  <c r="AA37" i="44"/>
  <c r="Z37" i="44"/>
  <c r="S37" i="44"/>
  <c r="AE36" i="44"/>
  <c r="G10" i="45" s="1"/>
  <c r="AD36" i="44"/>
  <c r="AC36" i="44"/>
  <c r="AB36" i="44"/>
  <c r="AA36" i="44"/>
  <c r="Z36" i="44"/>
  <c r="S36" i="44"/>
  <c r="E10" i="45" s="1"/>
  <c r="R36" i="44"/>
  <c r="Y36" i="44" s="1"/>
  <c r="Q36" i="44"/>
  <c r="U36" i="44" s="1"/>
  <c r="AE35" i="44"/>
  <c r="AD35" i="44"/>
  <c r="AC35" i="44"/>
  <c r="AB35" i="44"/>
  <c r="AA35" i="44"/>
  <c r="Z35" i="44"/>
  <c r="S35" i="44"/>
  <c r="R35" i="44"/>
  <c r="Q35" i="44"/>
  <c r="AE34" i="44"/>
  <c r="AD34" i="44"/>
  <c r="AC34" i="44"/>
  <c r="AB34" i="44"/>
  <c r="AA34" i="44"/>
  <c r="Z34" i="44"/>
  <c r="S34" i="44"/>
  <c r="AE33" i="44"/>
  <c r="AD33" i="44"/>
  <c r="AC33" i="44"/>
  <c r="AB33" i="44"/>
  <c r="AA33" i="44"/>
  <c r="Z33" i="44"/>
  <c r="S33" i="44"/>
  <c r="AE32" i="44"/>
  <c r="AD32" i="44"/>
  <c r="AC32" i="44"/>
  <c r="AB32" i="44"/>
  <c r="AA32" i="44"/>
  <c r="Z32" i="44"/>
  <c r="S32" i="44"/>
  <c r="AE31" i="44"/>
  <c r="AD31" i="44"/>
  <c r="AC31" i="44"/>
  <c r="AB31" i="44"/>
  <c r="AA31" i="44"/>
  <c r="Z31" i="44"/>
  <c r="S31" i="44"/>
  <c r="AE30" i="44"/>
  <c r="AD30" i="44"/>
  <c r="AC30" i="44"/>
  <c r="AB30" i="44"/>
  <c r="AA30" i="44"/>
  <c r="Z30" i="44"/>
  <c r="S30" i="44"/>
  <c r="AE29" i="44"/>
  <c r="AD29" i="44"/>
  <c r="AC29" i="44"/>
  <c r="AB29" i="44"/>
  <c r="AA29" i="44"/>
  <c r="Z29" i="44"/>
  <c r="S29" i="44"/>
  <c r="AE28" i="44"/>
  <c r="AD28" i="44"/>
  <c r="AC28" i="44"/>
  <c r="AB28" i="44"/>
  <c r="AA28" i="44"/>
  <c r="Z28" i="44"/>
  <c r="S28" i="44"/>
  <c r="AE27" i="44"/>
  <c r="AD27" i="44"/>
  <c r="AC27" i="44"/>
  <c r="AB27" i="44"/>
  <c r="AA27" i="44"/>
  <c r="Z27" i="44"/>
  <c r="S27" i="44"/>
  <c r="AE26" i="44"/>
  <c r="AD26" i="44"/>
  <c r="AC26" i="44"/>
  <c r="AB26" i="44"/>
  <c r="AA26" i="44"/>
  <c r="Z26" i="44"/>
  <c r="S26" i="44"/>
  <c r="AE25" i="44"/>
  <c r="AD25" i="44"/>
  <c r="AC25" i="44"/>
  <c r="AB25" i="44"/>
  <c r="AA25" i="44"/>
  <c r="Z25" i="44"/>
  <c r="S25" i="44"/>
  <c r="AE24" i="44"/>
  <c r="AD24" i="44"/>
  <c r="AC24" i="44"/>
  <c r="AB24" i="44"/>
  <c r="AA24" i="44"/>
  <c r="Z24" i="44"/>
  <c r="S24" i="44"/>
  <c r="AE23" i="44"/>
  <c r="G9" i="45" s="1"/>
  <c r="AD23" i="44"/>
  <c r="AC23" i="44"/>
  <c r="AB23" i="44"/>
  <c r="AA23" i="44"/>
  <c r="Z23" i="44"/>
  <c r="W23" i="44"/>
  <c r="S23" i="44"/>
  <c r="E9" i="45" s="1"/>
  <c r="R23" i="44"/>
  <c r="V23" i="44" s="1"/>
  <c r="Q23" i="44"/>
  <c r="U23" i="44" s="1"/>
  <c r="AE22" i="44"/>
  <c r="AD22" i="44"/>
  <c r="AC22" i="44"/>
  <c r="AB22" i="44"/>
  <c r="AA22" i="44"/>
  <c r="Z22" i="44"/>
  <c r="S22" i="44"/>
  <c r="AE21" i="44"/>
  <c r="G8" i="45" s="1"/>
  <c r="AD21" i="44"/>
  <c r="AC21" i="44"/>
  <c r="AB21" i="44"/>
  <c r="AA21" i="44"/>
  <c r="Z21" i="44"/>
  <c r="Y21" i="44"/>
  <c r="T21" i="44"/>
  <c r="S21" i="44"/>
  <c r="E8" i="45" s="1"/>
  <c r="R21" i="44"/>
  <c r="V21" i="44" s="1"/>
  <c r="Q21" i="44"/>
  <c r="W21" i="44" s="1"/>
  <c r="AE20" i="44"/>
  <c r="AD20" i="44"/>
  <c r="AC20" i="44"/>
  <c r="AB20" i="44"/>
  <c r="AA20" i="44"/>
  <c r="Z20" i="44"/>
  <c r="S20" i="44"/>
  <c r="AE19" i="44"/>
  <c r="G7" i="45" s="1"/>
  <c r="AD19" i="44"/>
  <c r="AC19" i="44"/>
  <c r="AB19" i="44"/>
  <c r="AA19" i="44"/>
  <c r="Z19" i="44"/>
  <c r="W19" i="44"/>
  <c r="S19" i="44"/>
  <c r="E7" i="45" s="1"/>
  <c r="R19" i="44"/>
  <c r="V19" i="44" s="1"/>
  <c r="Q19" i="44"/>
  <c r="U19" i="44" s="1"/>
  <c r="AE18" i="44"/>
  <c r="AD18" i="44"/>
  <c r="AC18" i="44"/>
  <c r="AB18" i="44"/>
  <c r="AA18" i="44"/>
  <c r="Z18" i="44"/>
  <c r="S18" i="44"/>
  <c r="R18" i="44"/>
  <c r="Q18" i="44"/>
  <c r="E18" i="44"/>
  <c r="AE17" i="44"/>
  <c r="AD17" i="44"/>
  <c r="AC17" i="44"/>
  <c r="AB17" i="44"/>
  <c r="AA17" i="44"/>
  <c r="Z17" i="44"/>
  <c r="S17" i="44"/>
  <c r="AE16" i="44"/>
  <c r="AD16" i="44"/>
  <c r="AC16" i="44"/>
  <c r="AB16" i="44"/>
  <c r="AA16" i="44"/>
  <c r="Z16" i="44"/>
  <c r="S16" i="44"/>
  <c r="AE15" i="44"/>
  <c r="AD15" i="44"/>
  <c r="AC15" i="44"/>
  <c r="AB15" i="44"/>
  <c r="AA15" i="44"/>
  <c r="Z15" i="44"/>
  <c r="S15" i="44"/>
  <c r="AE14" i="44"/>
  <c r="AD14" i="44"/>
  <c r="AC14" i="44"/>
  <c r="AB14" i="44"/>
  <c r="AA14" i="44"/>
  <c r="Z14" i="44"/>
  <c r="S14" i="44"/>
  <c r="AE13" i="44"/>
  <c r="G6" i="45" s="1"/>
  <c r="AD13" i="44"/>
  <c r="AC13" i="44"/>
  <c r="AB13" i="44"/>
  <c r="AA13" i="44"/>
  <c r="Z13" i="44"/>
  <c r="S13" i="44"/>
  <c r="E6" i="45" s="1"/>
  <c r="R13" i="44"/>
  <c r="Y13" i="44" s="1"/>
  <c r="Q13" i="44"/>
  <c r="AE12" i="44"/>
  <c r="AD12" i="44"/>
  <c r="AC12" i="44"/>
  <c r="AB12" i="44"/>
  <c r="AA12" i="44"/>
  <c r="Z12" i="44"/>
  <c r="S12" i="44"/>
  <c r="AE11" i="44"/>
  <c r="G5" i="45" s="1"/>
  <c r="I5" i="45" s="1"/>
  <c r="L5" i="45" s="1"/>
  <c r="AD11" i="44"/>
  <c r="AC11" i="44"/>
  <c r="AB11" i="44"/>
  <c r="AA11" i="44"/>
  <c r="Z11" i="44"/>
  <c r="X11" i="44"/>
  <c r="S11" i="44"/>
  <c r="E5" i="45" s="1"/>
  <c r="R11" i="44"/>
  <c r="Q11" i="44"/>
  <c r="AE10" i="44"/>
  <c r="AD10" i="44"/>
  <c r="AC10" i="44"/>
  <c r="AB10" i="44"/>
  <c r="AA10" i="44"/>
  <c r="Z10" i="44"/>
  <c r="S10" i="44"/>
  <c r="AE9" i="44"/>
  <c r="AD9" i="44"/>
  <c r="AC9" i="44"/>
  <c r="AB9" i="44"/>
  <c r="AA9" i="44"/>
  <c r="Z9" i="44"/>
  <c r="S9" i="44"/>
  <c r="AE8" i="44"/>
  <c r="G4" i="45" s="1"/>
  <c r="I4" i="45" s="1"/>
  <c r="L4" i="45" s="1"/>
  <c r="AD8" i="44"/>
  <c r="AC8" i="44"/>
  <c r="AB8" i="44"/>
  <c r="AA8" i="44"/>
  <c r="Z8" i="44"/>
  <c r="X8" i="44"/>
  <c r="S8" i="44"/>
  <c r="E4" i="45" s="1"/>
  <c r="R8" i="44"/>
  <c r="Q8" i="44"/>
  <c r="AE7" i="44"/>
  <c r="AD7" i="44"/>
  <c r="AC7" i="44"/>
  <c r="AB7" i="44"/>
  <c r="AA7" i="44"/>
  <c r="Z7" i="44"/>
  <c r="S7" i="44"/>
  <c r="AE6" i="44"/>
  <c r="AD6" i="44"/>
  <c r="AC6" i="44"/>
  <c r="AB6" i="44"/>
  <c r="AA6" i="44"/>
  <c r="Z6" i="44"/>
  <c r="S6" i="44"/>
  <c r="AE5" i="44"/>
  <c r="G3" i="45" s="1"/>
  <c r="AD5" i="44"/>
  <c r="AC5" i="44"/>
  <c r="AB5" i="44"/>
  <c r="AA5" i="44"/>
  <c r="Z5" i="44"/>
  <c r="S5" i="44"/>
  <c r="E3" i="45" s="1"/>
  <c r="R5" i="44"/>
  <c r="Q5" i="44"/>
  <c r="AE4" i="44"/>
  <c r="AD4" i="44"/>
  <c r="AC4" i="44"/>
  <c r="AB4" i="44"/>
  <c r="AA4" i="44"/>
  <c r="Z4" i="44"/>
  <c r="S4" i="44"/>
  <c r="AE3" i="44"/>
  <c r="G2" i="45" s="1"/>
  <c r="AD3" i="44"/>
  <c r="AC3" i="44"/>
  <c r="AB3" i="44"/>
  <c r="AA3" i="44"/>
  <c r="Z3" i="44"/>
  <c r="X3" i="44"/>
  <c r="S3" i="44"/>
  <c r="E2" i="45" s="1"/>
  <c r="I12" i="57" l="1"/>
  <c r="I24" i="45"/>
  <c r="L24" i="45" s="1"/>
  <c r="X13" i="44"/>
  <c r="H6" i="45" s="1"/>
  <c r="X21" i="44"/>
  <c r="H8" i="45" s="1"/>
  <c r="X36" i="44"/>
  <c r="H10" i="45" s="1"/>
  <c r="I10" i="45" s="1"/>
  <c r="L10" i="45" s="1"/>
  <c r="E28" i="45"/>
  <c r="I23" i="45"/>
  <c r="L23" i="45" s="1"/>
  <c r="I2" i="45"/>
  <c r="L2" i="45" s="1"/>
  <c r="I3" i="45"/>
  <c r="L3" i="45" s="1"/>
  <c r="I13" i="45"/>
  <c r="L13" i="45" s="1"/>
  <c r="I18" i="45"/>
  <c r="L18" i="45" s="1"/>
  <c r="I22" i="45"/>
  <c r="L22" i="45" s="1"/>
  <c r="I27" i="45"/>
  <c r="L27" i="45" s="1"/>
  <c r="I32" i="45"/>
  <c r="L32" i="45" s="1"/>
  <c r="I37" i="45"/>
  <c r="L37" i="45" s="1"/>
  <c r="I25" i="45"/>
  <c r="L25" i="45" s="1"/>
  <c r="I30" i="45"/>
  <c r="L30" i="45" s="1"/>
  <c r="I35" i="45"/>
  <c r="L35" i="45" s="1"/>
  <c r="I38" i="45"/>
  <c r="L38" i="45" s="1"/>
  <c r="I11" i="45"/>
  <c r="L11" i="45" s="1"/>
  <c r="I12" i="45"/>
  <c r="L12" i="45" s="1"/>
  <c r="I16" i="45"/>
  <c r="L16" i="45" s="1"/>
  <c r="I17" i="45"/>
  <c r="L17" i="45" s="1"/>
  <c r="I21" i="45"/>
  <c r="L21" i="45" s="1"/>
  <c r="I26" i="45"/>
  <c r="L26" i="45" s="1"/>
  <c r="I31" i="45"/>
  <c r="L31" i="45" s="1"/>
  <c r="I36" i="45"/>
  <c r="L36" i="45" s="1"/>
  <c r="U21" i="44"/>
  <c r="V36" i="44"/>
  <c r="T19" i="44"/>
  <c r="T23" i="44"/>
  <c r="W36" i="44"/>
  <c r="Y19" i="44"/>
  <c r="X19" i="44" s="1"/>
  <c r="H7" i="45" s="1"/>
  <c r="Y23" i="44"/>
  <c r="X23" i="44" s="1"/>
  <c r="H9" i="45" s="1"/>
  <c r="T36" i="44"/>
  <c r="M2" i="45" l="1"/>
  <c r="M29" i="45"/>
  <c r="M34" i="45"/>
  <c r="I6" i="45"/>
  <c r="L6" i="45" s="1"/>
  <c r="I28" i="45"/>
  <c r="L28" i="45" s="1"/>
  <c r="M24" i="45" s="1"/>
  <c r="I9" i="45"/>
  <c r="L9" i="45" s="1"/>
  <c r="I8" i="45"/>
  <c r="L8" i="45" s="1"/>
  <c r="M11" i="45"/>
  <c r="I7" i="45"/>
  <c r="L7" i="45" s="1"/>
  <c r="M16" i="45"/>
  <c r="M5" i="45" l="1"/>
  <c r="K12" i="57" s="1"/>
  <c r="H2" i="43"/>
  <c r="G2" i="43"/>
  <c r="F2" i="43"/>
  <c r="E2" i="43"/>
  <c r="D2" i="43"/>
  <c r="H39" i="43"/>
  <c r="G39" i="43"/>
  <c r="F39" i="43"/>
  <c r="E39" i="43"/>
  <c r="D39" i="43"/>
  <c r="H38" i="43"/>
  <c r="G38" i="43"/>
  <c r="F38" i="43"/>
  <c r="E38" i="43"/>
  <c r="D38" i="43"/>
  <c r="H37" i="43"/>
  <c r="G37" i="43"/>
  <c r="F37" i="43"/>
  <c r="E37" i="43"/>
  <c r="D37" i="43"/>
  <c r="H36" i="43"/>
  <c r="G36" i="43"/>
  <c r="F36" i="43"/>
  <c r="E36" i="43"/>
  <c r="D36" i="43"/>
  <c r="H35" i="43"/>
  <c r="G35" i="43"/>
  <c r="F35" i="43"/>
  <c r="E35" i="43"/>
  <c r="D35" i="43"/>
  <c r="H34" i="43"/>
  <c r="G34" i="43"/>
  <c r="F34" i="43"/>
  <c r="E34" i="43"/>
  <c r="D34" i="43"/>
  <c r="H33" i="43"/>
  <c r="G33" i="43"/>
  <c r="F33" i="43"/>
  <c r="E33" i="43"/>
  <c r="D33" i="43"/>
  <c r="H32" i="43"/>
  <c r="G32" i="43"/>
  <c r="F32" i="43"/>
  <c r="E32" i="43"/>
  <c r="D32" i="43"/>
  <c r="H31" i="43"/>
  <c r="G31" i="43"/>
  <c r="F31" i="43"/>
  <c r="E31" i="43"/>
  <c r="D31" i="43"/>
  <c r="H30" i="43"/>
  <c r="G30" i="43"/>
  <c r="F30" i="43"/>
  <c r="E30" i="43"/>
  <c r="D30" i="43"/>
  <c r="H29" i="43"/>
  <c r="G29" i="43"/>
  <c r="F29" i="43"/>
  <c r="E29" i="43"/>
  <c r="D29" i="43"/>
  <c r="H28" i="43"/>
  <c r="G28" i="43"/>
  <c r="F28" i="43"/>
  <c r="E28" i="43"/>
  <c r="D28" i="43"/>
  <c r="H27" i="43"/>
  <c r="G27" i="43"/>
  <c r="F27" i="43"/>
  <c r="E27" i="43"/>
  <c r="D27" i="43"/>
  <c r="H26" i="43"/>
  <c r="G26" i="43"/>
  <c r="F26" i="43"/>
  <c r="E26" i="43"/>
  <c r="D26" i="43"/>
  <c r="H25" i="43"/>
  <c r="G25" i="43"/>
  <c r="F25" i="43"/>
  <c r="E25" i="43"/>
  <c r="D25" i="43"/>
  <c r="H24" i="43"/>
  <c r="G24" i="43"/>
  <c r="F24" i="43"/>
  <c r="E24" i="43"/>
  <c r="D24" i="43"/>
  <c r="H23" i="43"/>
  <c r="G23" i="43"/>
  <c r="F23" i="43"/>
  <c r="E23" i="43"/>
  <c r="D23" i="43"/>
  <c r="H22" i="43"/>
  <c r="G22" i="43"/>
  <c r="F22" i="43"/>
  <c r="E22" i="43"/>
  <c r="D22" i="43"/>
  <c r="H21" i="43"/>
  <c r="G21" i="43"/>
  <c r="F21" i="43"/>
  <c r="E21" i="43"/>
  <c r="D21" i="43"/>
  <c r="H20" i="43"/>
  <c r="G20" i="43"/>
  <c r="F20" i="43"/>
  <c r="E20" i="43"/>
  <c r="D20" i="43"/>
  <c r="H19" i="43"/>
  <c r="G19" i="43"/>
  <c r="F19" i="43"/>
  <c r="E19" i="43"/>
  <c r="D19" i="43"/>
  <c r="H18" i="43"/>
  <c r="G18" i="43"/>
  <c r="F18" i="43"/>
  <c r="E18" i="43"/>
  <c r="D18" i="43"/>
  <c r="H17" i="43"/>
  <c r="G17" i="43"/>
  <c r="F17" i="43"/>
  <c r="E17" i="43"/>
  <c r="D17" i="43"/>
  <c r="H16" i="43"/>
  <c r="G16" i="43"/>
  <c r="F16" i="43"/>
  <c r="E16" i="43"/>
  <c r="D16" i="43"/>
  <c r="H15" i="43"/>
  <c r="G15" i="43"/>
  <c r="F15" i="43"/>
  <c r="E15" i="43"/>
  <c r="D15" i="43"/>
  <c r="H14" i="43"/>
  <c r="G14" i="43"/>
  <c r="F14" i="43"/>
  <c r="E14" i="43"/>
  <c r="D14" i="43"/>
  <c r="H13" i="43"/>
  <c r="G13" i="43"/>
  <c r="F13" i="43"/>
  <c r="E13" i="43"/>
  <c r="D13" i="43"/>
  <c r="H12" i="43"/>
  <c r="G12" i="43"/>
  <c r="F12" i="43"/>
  <c r="E12" i="43"/>
  <c r="D12" i="43"/>
  <c r="H11" i="43"/>
  <c r="G11" i="43"/>
  <c r="F11" i="43"/>
  <c r="E11" i="43"/>
  <c r="D11" i="43"/>
  <c r="H10" i="43"/>
  <c r="G10" i="43"/>
  <c r="F10" i="43"/>
  <c r="E10" i="43"/>
  <c r="D10" i="43"/>
  <c r="H9" i="43"/>
  <c r="G9" i="43"/>
  <c r="F9" i="43"/>
  <c r="E9" i="43"/>
  <c r="D9" i="43"/>
  <c r="H8" i="43"/>
  <c r="G8" i="43"/>
  <c r="F8" i="43"/>
  <c r="E8" i="43"/>
  <c r="D8" i="43"/>
  <c r="H7" i="43"/>
  <c r="G7" i="43"/>
  <c r="F7" i="43"/>
  <c r="E7" i="43"/>
  <c r="D7" i="43"/>
  <c r="H6" i="43"/>
  <c r="G6" i="43"/>
  <c r="F6" i="43"/>
  <c r="E6" i="43"/>
  <c r="D6" i="43"/>
  <c r="H5" i="43"/>
  <c r="G5" i="43"/>
  <c r="F5" i="43"/>
  <c r="E5" i="43"/>
  <c r="D5" i="43"/>
  <c r="H4" i="43"/>
  <c r="G4" i="43"/>
  <c r="F4" i="43"/>
  <c r="E4" i="43"/>
  <c r="D4" i="43"/>
  <c r="H3" i="43"/>
  <c r="G3" i="43"/>
  <c r="F3" i="43"/>
  <c r="E3" i="43"/>
  <c r="D3" i="43"/>
  <c r="I5" i="43" l="1"/>
  <c r="L5" i="43" s="1"/>
  <c r="I6" i="43"/>
  <c r="L6" i="43" s="1"/>
  <c r="I10" i="43"/>
  <c r="L10" i="43" s="1"/>
  <c r="I15" i="43"/>
  <c r="L15" i="43" s="1"/>
  <c r="I20" i="43"/>
  <c r="L20" i="43" s="1"/>
  <c r="I24" i="43"/>
  <c r="L24" i="43" s="1"/>
  <c r="I25" i="43"/>
  <c r="L25" i="43" s="1"/>
  <c r="I29" i="43"/>
  <c r="L29" i="43" s="1"/>
  <c r="I30" i="43"/>
  <c r="L30" i="43" s="1"/>
  <c r="I34" i="43"/>
  <c r="L34" i="43" s="1"/>
  <c r="I35" i="43"/>
  <c r="L35" i="43" s="1"/>
  <c r="I39" i="43"/>
  <c r="L39" i="43" s="1"/>
  <c r="I4" i="43"/>
  <c r="L4" i="43" s="1"/>
  <c r="I9" i="43"/>
  <c r="L9" i="43" s="1"/>
  <c r="I14" i="43"/>
  <c r="L14" i="43" s="1"/>
  <c r="I19" i="43"/>
  <c r="L19" i="43" s="1"/>
  <c r="I23" i="43"/>
  <c r="L23" i="43" s="1"/>
  <c r="I28" i="43"/>
  <c r="L28" i="43" s="1"/>
  <c r="I33" i="43"/>
  <c r="L33" i="43" s="1"/>
  <c r="I38" i="43"/>
  <c r="L38" i="43" s="1"/>
  <c r="I2" i="43"/>
  <c r="L2" i="43" s="1"/>
  <c r="I3" i="43"/>
  <c r="L3" i="43" s="1"/>
  <c r="I8" i="43"/>
  <c r="L8" i="43" s="1"/>
  <c r="I13" i="43"/>
  <c r="L13" i="43" s="1"/>
  <c r="I18" i="43"/>
  <c r="L18" i="43" s="1"/>
  <c r="I22" i="43"/>
  <c r="L22" i="43" s="1"/>
  <c r="I27" i="43"/>
  <c r="L27" i="43" s="1"/>
  <c r="I32" i="43"/>
  <c r="L32" i="43" s="1"/>
  <c r="I37" i="43"/>
  <c r="L37" i="43" s="1"/>
  <c r="I7" i="43"/>
  <c r="L7" i="43" s="1"/>
  <c r="I11" i="43"/>
  <c r="L11" i="43" s="1"/>
  <c r="I12" i="43"/>
  <c r="L12" i="43" s="1"/>
  <c r="I16" i="43"/>
  <c r="L16" i="43" s="1"/>
  <c r="I17" i="43"/>
  <c r="L17" i="43" s="1"/>
  <c r="I21" i="43"/>
  <c r="L21" i="43" s="1"/>
  <c r="I26" i="43"/>
  <c r="L26" i="43" s="1"/>
  <c r="I31" i="43"/>
  <c r="L31" i="43" s="1"/>
  <c r="I36" i="43"/>
  <c r="L36" i="43" s="1"/>
  <c r="M11" i="43" l="1"/>
  <c r="M34" i="43"/>
  <c r="M24" i="43"/>
  <c r="M16" i="43"/>
  <c r="M2" i="43"/>
  <c r="M5" i="43"/>
  <c r="M29" i="43"/>
  <c r="H31" i="41"/>
  <c r="F31" i="41"/>
  <c r="E31" i="41"/>
  <c r="D31" i="41"/>
  <c r="H30" i="41"/>
  <c r="F30" i="41"/>
  <c r="E30" i="41"/>
  <c r="D30" i="41"/>
  <c r="H29" i="41"/>
  <c r="F29" i="41"/>
  <c r="E29" i="41"/>
  <c r="D29" i="41"/>
  <c r="H28" i="41"/>
  <c r="F28" i="41"/>
  <c r="E28" i="41"/>
  <c r="D28" i="41"/>
  <c r="H27" i="41"/>
  <c r="F27" i="41"/>
  <c r="E27" i="41"/>
  <c r="D27" i="41"/>
  <c r="H26" i="41"/>
  <c r="F26" i="41"/>
  <c r="E26" i="41"/>
  <c r="D26" i="41"/>
  <c r="H25" i="41"/>
  <c r="F25" i="41"/>
  <c r="E25" i="41"/>
  <c r="D25" i="41"/>
  <c r="H24" i="41"/>
  <c r="F24" i="41"/>
  <c r="E24" i="41"/>
  <c r="D24" i="41"/>
  <c r="H23" i="41"/>
  <c r="F23" i="41"/>
  <c r="E23" i="41"/>
  <c r="D23" i="41"/>
  <c r="H22" i="41"/>
  <c r="F22" i="41"/>
  <c r="E22" i="41"/>
  <c r="D22" i="41"/>
  <c r="H21" i="41"/>
  <c r="F21" i="41"/>
  <c r="E21" i="41"/>
  <c r="D21" i="41"/>
  <c r="H20" i="41"/>
  <c r="F20" i="41"/>
  <c r="E20" i="41"/>
  <c r="D20" i="41"/>
  <c r="H19" i="41"/>
  <c r="F19" i="41"/>
  <c r="E19" i="41"/>
  <c r="D19" i="41"/>
  <c r="H18" i="41"/>
  <c r="F18" i="41"/>
  <c r="E18" i="41"/>
  <c r="D18" i="41"/>
  <c r="H17" i="41"/>
  <c r="F17" i="41"/>
  <c r="E17" i="41"/>
  <c r="D17" i="41"/>
  <c r="H16" i="41"/>
  <c r="F16" i="41"/>
  <c r="E16" i="41"/>
  <c r="D16" i="41"/>
  <c r="H15" i="41"/>
  <c r="F15" i="41"/>
  <c r="E15" i="41"/>
  <c r="D15" i="41"/>
  <c r="H14" i="41"/>
  <c r="F14" i="41"/>
  <c r="E14" i="41"/>
  <c r="D14" i="41"/>
  <c r="H13" i="41"/>
  <c r="F13" i="41"/>
  <c r="E13" i="41"/>
  <c r="D13" i="41"/>
  <c r="H12" i="41"/>
  <c r="F12" i="41"/>
  <c r="E12" i="41"/>
  <c r="D12" i="41"/>
  <c r="H11" i="41"/>
  <c r="F11" i="41"/>
  <c r="E11" i="41"/>
  <c r="D11" i="41"/>
  <c r="H10" i="41"/>
  <c r="F10" i="41"/>
  <c r="E10" i="41"/>
  <c r="D10" i="41"/>
  <c r="H9" i="41"/>
  <c r="F9" i="41"/>
  <c r="E9" i="41"/>
  <c r="D9" i="41"/>
  <c r="H8" i="41"/>
  <c r="F8" i="41"/>
  <c r="E8" i="41"/>
  <c r="D8" i="41"/>
  <c r="H7" i="41"/>
  <c r="F7" i="41"/>
  <c r="E7" i="41"/>
  <c r="D7" i="41"/>
  <c r="H6" i="41"/>
  <c r="F6" i="41"/>
  <c r="E6" i="41"/>
  <c r="D6" i="41"/>
  <c r="H5" i="41"/>
  <c r="F5" i="41"/>
  <c r="E5" i="41"/>
  <c r="D5" i="41"/>
  <c r="H4" i="41"/>
  <c r="F4" i="41"/>
  <c r="E4" i="41"/>
  <c r="D4" i="41"/>
  <c r="H3" i="41"/>
  <c r="F3" i="41"/>
  <c r="E3" i="41"/>
  <c r="D3" i="41"/>
  <c r="H2" i="41"/>
  <c r="F2" i="41"/>
  <c r="E2" i="41"/>
  <c r="D2" i="41"/>
  <c r="AA113" i="40"/>
  <c r="Z113" i="40"/>
  <c r="Y113" i="40"/>
  <c r="AA112" i="40"/>
  <c r="Z112" i="40"/>
  <c r="Y112" i="40"/>
  <c r="X112" i="40"/>
  <c r="Q112" i="40"/>
  <c r="P112" i="40"/>
  <c r="AA111" i="40"/>
  <c r="Z111" i="40"/>
  <c r="Y111" i="40"/>
  <c r="AA110" i="40"/>
  <c r="Z110" i="40"/>
  <c r="Y110" i="40"/>
  <c r="AA109" i="40"/>
  <c r="Z109" i="40"/>
  <c r="Y109" i="40"/>
  <c r="AA108" i="40"/>
  <c r="Z108" i="40"/>
  <c r="Y108" i="40"/>
  <c r="X108" i="40"/>
  <c r="Q108" i="40"/>
  <c r="P108" i="40"/>
  <c r="AA107" i="40"/>
  <c r="Z107" i="40"/>
  <c r="Y107" i="40"/>
  <c r="AA106" i="40"/>
  <c r="Z106" i="40"/>
  <c r="Y106" i="40"/>
  <c r="AA105" i="40"/>
  <c r="Z105" i="40"/>
  <c r="Y105" i="40"/>
  <c r="X105" i="40"/>
  <c r="Q105" i="40"/>
  <c r="P105" i="40"/>
  <c r="AA104" i="40"/>
  <c r="Z104" i="40"/>
  <c r="Y104" i="40"/>
  <c r="AA103" i="40"/>
  <c r="Z103" i="40"/>
  <c r="Y103" i="40"/>
  <c r="X103" i="40"/>
  <c r="Q103" i="40"/>
  <c r="P103" i="40"/>
  <c r="AA102" i="40"/>
  <c r="Z102" i="40"/>
  <c r="Y102" i="40"/>
  <c r="AA101" i="40"/>
  <c r="Z101" i="40"/>
  <c r="Y101" i="40"/>
  <c r="AA100" i="40"/>
  <c r="Z100" i="40"/>
  <c r="Y100" i="40"/>
  <c r="X100" i="40"/>
  <c r="AA99" i="40"/>
  <c r="Z99" i="40"/>
  <c r="Y99" i="40"/>
  <c r="AA98" i="40"/>
  <c r="Z98" i="40"/>
  <c r="Y98" i="40"/>
  <c r="AA97" i="40"/>
  <c r="Z97" i="40"/>
  <c r="Y97" i="40"/>
  <c r="AA96" i="40"/>
  <c r="Z96" i="40"/>
  <c r="Y96" i="40"/>
  <c r="AA95" i="40"/>
  <c r="Z95" i="40"/>
  <c r="Y95" i="40"/>
  <c r="AA94" i="40"/>
  <c r="Z94" i="40"/>
  <c r="Y94" i="40"/>
  <c r="AA93" i="40"/>
  <c r="G31" i="41" s="1"/>
  <c r="Z93" i="40"/>
  <c r="Y93" i="40"/>
  <c r="AA92" i="40"/>
  <c r="G30" i="41" s="1"/>
  <c r="Z92" i="40"/>
  <c r="Y92" i="40"/>
  <c r="AA91" i="40"/>
  <c r="G29" i="41" s="1"/>
  <c r="Z91" i="40"/>
  <c r="Y91" i="40"/>
  <c r="AA90" i="40"/>
  <c r="G28" i="41" s="1"/>
  <c r="Z90" i="40"/>
  <c r="Y90" i="40"/>
  <c r="AA89" i="40"/>
  <c r="G27" i="41" s="1"/>
  <c r="Z89" i="40"/>
  <c r="Y89" i="40"/>
  <c r="V89" i="40"/>
  <c r="U89" i="40"/>
  <c r="T89" i="40"/>
  <c r="S89" i="40"/>
  <c r="R89" i="40"/>
  <c r="W89" i="40" s="1"/>
  <c r="AA88" i="40"/>
  <c r="Z88" i="40"/>
  <c r="Y88" i="40"/>
  <c r="AA87" i="40"/>
  <c r="Z87" i="40"/>
  <c r="Y87" i="40"/>
  <c r="AA86" i="40"/>
  <c r="Z86" i="40"/>
  <c r="Y86" i="40"/>
  <c r="AA85" i="40"/>
  <c r="Z85" i="40"/>
  <c r="Y85" i="40"/>
  <c r="AA84" i="40"/>
  <c r="Z84" i="40"/>
  <c r="Y84" i="40"/>
  <c r="AA83" i="40"/>
  <c r="G26" i="41" s="1"/>
  <c r="Z83" i="40"/>
  <c r="Y83" i="40"/>
  <c r="X83" i="40"/>
  <c r="Q83" i="40"/>
  <c r="P83" i="40"/>
  <c r="AA82" i="40"/>
  <c r="Z82" i="40"/>
  <c r="Y82" i="40"/>
  <c r="AA81" i="40"/>
  <c r="Z81" i="40"/>
  <c r="Y81" i="40"/>
  <c r="AA80" i="40"/>
  <c r="Z80" i="40"/>
  <c r="Y80" i="40"/>
  <c r="X80" i="40"/>
  <c r="Q80" i="40"/>
  <c r="P80" i="40"/>
  <c r="AA79" i="40"/>
  <c r="Z79" i="40"/>
  <c r="Y79" i="40"/>
  <c r="AA78" i="40"/>
  <c r="Z78" i="40"/>
  <c r="Y78" i="40"/>
  <c r="AA77" i="40"/>
  <c r="G25" i="41" s="1"/>
  <c r="Z77" i="40"/>
  <c r="Y77" i="40"/>
  <c r="AA76" i="40"/>
  <c r="Z76" i="40"/>
  <c r="Y76" i="40"/>
  <c r="AA75" i="40"/>
  <c r="Z75" i="40"/>
  <c r="Y75" i="40"/>
  <c r="AA74" i="40"/>
  <c r="Z74" i="40"/>
  <c r="Y74" i="40"/>
  <c r="AA73" i="40"/>
  <c r="G24" i="41" s="1"/>
  <c r="Z73" i="40"/>
  <c r="Y73" i="40"/>
  <c r="AA72" i="40"/>
  <c r="G23" i="41" s="1"/>
  <c r="Z72" i="40"/>
  <c r="Y72" i="40"/>
  <c r="AA71" i="40"/>
  <c r="Z71" i="40"/>
  <c r="Y71" i="40"/>
  <c r="AA70" i="40"/>
  <c r="Z70" i="40"/>
  <c r="Y70" i="40"/>
  <c r="AA69" i="40"/>
  <c r="Z69" i="40"/>
  <c r="Y69" i="40"/>
  <c r="AA68" i="40"/>
  <c r="G22" i="41" s="1"/>
  <c r="Z68" i="40"/>
  <c r="Y68" i="40"/>
  <c r="X68" i="40"/>
  <c r="Q68" i="40"/>
  <c r="P68" i="40"/>
  <c r="AA67" i="40"/>
  <c r="Z67" i="40"/>
  <c r="Y67" i="40"/>
  <c r="AA66" i="40"/>
  <c r="Z66" i="40"/>
  <c r="Y66" i="40"/>
  <c r="AA65" i="40"/>
  <c r="G21" i="41" s="1"/>
  <c r="Z65" i="40"/>
  <c r="Y65" i="40"/>
  <c r="X65" i="40"/>
  <c r="Q65" i="40"/>
  <c r="P65" i="40"/>
  <c r="AA64" i="40"/>
  <c r="Z64" i="40"/>
  <c r="Y64" i="40"/>
  <c r="AA63" i="40"/>
  <c r="Z63" i="40"/>
  <c r="Y63" i="40"/>
  <c r="AA62" i="40"/>
  <c r="G20" i="41" s="1"/>
  <c r="Z62" i="40"/>
  <c r="Y62" i="40"/>
  <c r="X62" i="40"/>
  <c r="Q62" i="40"/>
  <c r="P62" i="40"/>
  <c r="AA61" i="40"/>
  <c r="Z61" i="40"/>
  <c r="Y61" i="40"/>
  <c r="AA60" i="40"/>
  <c r="G19" i="41" s="1"/>
  <c r="Z60" i="40"/>
  <c r="Y60" i="40"/>
  <c r="X60" i="40"/>
  <c r="Q60" i="40"/>
  <c r="P60" i="40"/>
  <c r="AA59" i="40"/>
  <c r="Z59" i="40"/>
  <c r="Y59" i="40"/>
  <c r="AA58" i="40"/>
  <c r="Z58" i="40"/>
  <c r="Y58" i="40"/>
  <c r="AA57" i="40"/>
  <c r="G18" i="41" s="1"/>
  <c r="Z57" i="40"/>
  <c r="Y57" i="40"/>
  <c r="X57" i="40"/>
  <c r="Q57" i="40"/>
  <c r="P57" i="40"/>
  <c r="AA56" i="40"/>
  <c r="Z56" i="40"/>
  <c r="Y56" i="40"/>
  <c r="AA55" i="40"/>
  <c r="Z55" i="40"/>
  <c r="Y55" i="40"/>
  <c r="AA54" i="40"/>
  <c r="G17" i="41" s="1"/>
  <c r="Z54" i="40"/>
  <c r="Y54" i="40"/>
  <c r="AA53" i="40"/>
  <c r="G16" i="41" s="1"/>
  <c r="Z53" i="40"/>
  <c r="Y53" i="40"/>
  <c r="X53" i="40"/>
  <c r="Q53" i="40"/>
  <c r="P53" i="40"/>
  <c r="AA52" i="40"/>
  <c r="Z52" i="40"/>
  <c r="Y52" i="40"/>
  <c r="AA51" i="40"/>
  <c r="Z51" i="40"/>
  <c r="Y51" i="40"/>
  <c r="AA50" i="40"/>
  <c r="Z50" i="40"/>
  <c r="Y50" i="40"/>
  <c r="AA49" i="40"/>
  <c r="G15" i="41" s="1"/>
  <c r="Z49" i="40"/>
  <c r="Y49" i="40"/>
  <c r="X49" i="40"/>
  <c r="T49" i="40"/>
  <c r="U49" i="40" s="1"/>
  <c r="V49" i="40" s="1"/>
  <c r="Q49" i="40"/>
  <c r="P49" i="40"/>
  <c r="AA48" i="40"/>
  <c r="Z48" i="40"/>
  <c r="Y48" i="40"/>
  <c r="AA47" i="40"/>
  <c r="Z47" i="40"/>
  <c r="Y47" i="40"/>
  <c r="AA46" i="40"/>
  <c r="Z46" i="40"/>
  <c r="Y46" i="40"/>
  <c r="AA45" i="40"/>
  <c r="Z45" i="40"/>
  <c r="Y45" i="40"/>
  <c r="AA44" i="40"/>
  <c r="G14" i="41" s="1"/>
  <c r="Z44" i="40"/>
  <c r="Y44" i="40"/>
  <c r="AA43" i="40"/>
  <c r="G13" i="41" s="1"/>
  <c r="Z43" i="40"/>
  <c r="Y43" i="40"/>
  <c r="AA42" i="40"/>
  <c r="G12" i="41" s="1"/>
  <c r="Z42" i="40"/>
  <c r="Y42" i="40"/>
  <c r="AA41" i="40"/>
  <c r="Z41" i="40"/>
  <c r="Y41" i="40"/>
  <c r="AA40" i="40"/>
  <c r="Z40" i="40"/>
  <c r="Y40" i="40"/>
  <c r="AA39" i="40"/>
  <c r="G11" i="41" s="1"/>
  <c r="Z39" i="40"/>
  <c r="Y39" i="40"/>
  <c r="X39" i="40"/>
  <c r="Q39" i="40"/>
  <c r="P39" i="40"/>
  <c r="AA38" i="40"/>
  <c r="Z38" i="40"/>
  <c r="Y38" i="40"/>
  <c r="AA37" i="40"/>
  <c r="Z37" i="40"/>
  <c r="Y37" i="40"/>
  <c r="AA36" i="40"/>
  <c r="G10" i="41" s="1"/>
  <c r="Z36" i="40"/>
  <c r="Y36" i="40"/>
  <c r="X36" i="40"/>
  <c r="T36" i="40"/>
  <c r="S36" i="40"/>
  <c r="Q36" i="40"/>
  <c r="V36" i="40" s="1"/>
  <c r="P36" i="40"/>
  <c r="U36" i="40" s="1"/>
  <c r="X35" i="40"/>
  <c r="Q35" i="40"/>
  <c r="P35" i="40"/>
  <c r="AA34" i="40"/>
  <c r="Z34" i="40"/>
  <c r="Y34" i="40"/>
  <c r="AA33" i="40"/>
  <c r="Z33" i="40"/>
  <c r="Y33" i="40"/>
  <c r="AA32" i="40"/>
  <c r="Z32" i="40"/>
  <c r="Y32" i="40"/>
  <c r="AA31" i="40"/>
  <c r="Z31" i="40"/>
  <c r="Y31" i="40"/>
  <c r="AA30" i="40"/>
  <c r="Z30" i="40"/>
  <c r="Y30" i="40"/>
  <c r="AA29" i="40"/>
  <c r="Z29" i="40"/>
  <c r="Y29" i="40"/>
  <c r="AA28" i="40"/>
  <c r="Z28" i="40"/>
  <c r="Y28" i="40"/>
  <c r="AA27" i="40"/>
  <c r="Z27" i="40"/>
  <c r="Y27" i="40"/>
  <c r="AA26" i="40"/>
  <c r="Z26" i="40"/>
  <c r="Y26" i="40"/>
  <c r="AA25" i="40"/>
  <c r="Z25" i="40"/>
  <c r="Y25" i="40"/>
  <c r="AA24" i="40"/>
  <c r="Z24" i="40"/>
  <c r="Y24" i="40"/>
  <c r="AA23" i="40"/>
  <c r="G9" i="41" s="1"/>
  <c r="Z23" i="40"/>
  <c r="Y23" i="40"/>
  <c r="X23" i="40"/>
  <c r="V23" i="40"/>
  <c r="S23" i="40"/>
  <c r="R23" i="40"/>
  <c r="W23" i="40" s="1"/>
  <c r="Q23" i="40"/>
  <c r="T23" i="40" s="1"/>
  <c r="P23" i="40"/>
  <c r="U23" i="40" s="1"/>
  <c r="AA22" i="40"/>
  <c r="Z22" i="40"/>
  <c r="Y22" i="40"/>
  <c r="AA21" i="40"/>
  <c r="G8" i="41" s="1"/>
  <c r="Z21" i="40"/>
  <c r="Y21" i="40"/>
  <c r="X21" i="40"/>
  <c r="U21" i="40"/>
  <c r="Q21" i="40"/>
  <c r="T21" i="40" s="1"/>
  <c r="P21" i="40"/>
  <c r="S21" i="40" s="1"/>
  <c r="AA20" i="40"/>
  <c r="Z20" i="40"/>
  <c r="Y20" i="40"/>
  <c r="AA19" i="40"/>
  <c r="G7" i="41" s="1"/>
  <c r="Z19" i="40"/>
  <c r="Y19" i="40"/>
  <c r="X19" i="40"/>
  <c r="T19" i="40"/>
  <c r="Q19" i="40"/>
  <c r="V19" i="40" s="1"/>
  <c r="P19" i="40"/>
  <c r="S19" i="40" s="1"/>
  <c r="X18" i="40"/>
  <c r="Q18" i="40"/>
  <c r="P18" i="40"/>
  <c r="E18" i="40"/>
  <c r="AA17" i="40"/>
  <c r="Z17" i="40"/>
  <c r="Y17" i="40"/>
  <c r="AA16" i="40"/>
  <c r="Z16" i="40"/>
  <c r="Y16" i="40"/>
  <c r="AA15" i="40"/>
  <c r="Z15" i="40"/>
  <c r="Y15" i="40"/>
  <c r="AA14" i="40"/>
  <c r="Z14" i="40"/>
  <c r="Y14" i="40"/>
  <c r="AA13" i="40"/>
  <c r="G6" i="41" s="1"/>
  <c r="Z13" i="40"/>
  <c r="Y13" i="40"/>
  <c r="X13" i="40"/>
  <c r="Q13" i="40"/>
  <c r="P13" i="40"/>
  <c r="AA12" i="40"/>
  <c r="Z12" i="40"/>
  <c r="Y12" i="40"/>
  <c r="AA11" i="40"/>
  <c r="G5" i="41" s="1"/>
  <c r="Z11" i="40"/>
  <c r="Y11" i="40"/>
  <c r="X11" i="40"/>
  <c r="Q11" i="40"/>
  <c r="P11" i="40"/>
  <c r="AA10" i="40"/>
  <c r="Z10" i="40"/>
  <c r="Y10" i="40"/>
  <c r="AA9" i="40"/>
  <c r="Z9" i="40"/>
  <c r="Y9" i="40"/>
  <c r="AA8" i="40"/>
  <c r="G4" i="41" s="1"/>
  <c r="Z8" i="40"/>
  <c r="Y8" i="40"/>
  <c r="X8" i="40"/>
  <c r="Q8" i="40"/>
  <c r="P8" i="40"/>
  <c r="AA7" i="40"/>
  <c r="Z7" i="40"/>
  <c r="Y7" i="40"/>
  <c r="AA6" i="40"/>
  <c r="Z6" i="40"/>
  <c r="Y6" i="40"/>
  <c r="AA5" i="40"/>
  <c r="G3" i="41" s="1"/>
  <c r="Z5" i="40"/>
  <c r="Y5" i="40"/>
  <c r="X5" i="40"/>
  <c r="Q5" i="40"/>
  <c r="P5" i="40"/>
  <c r="AA4" i="40"/>
  <c r="Z4" i="40"/>
  <c r="Y4" i="40"/>
  <c r="AA3" i="40"/>
  <c r="G2" i="41" s="1"/>
  <c r="Z3" i="40"/>
  <c r="Y3" i="40"/>
  <c r="AA18" i="40" l="1"/>
  <c r="Z35" i="40"/>
  <c r="Z18" i="40"/>
  <c r="Y35" i="40"/>
  <c r="I7" i="41"/>
  <c r="L7" i="41" s="1"/>
  <c r="I11" i="41"/>
  <c r="L11" i="41" s="1"/>
  <c r="I12" i="41"/>
  <c r="L12" i="41" s="1"/>
  <c r="I16" i="41"/>
  <c r="L16" i="41" s="1"/>
  <c r="I17" i="41"/>
  <c r="L17" i="41" s="1"/>
  <c r="I21" i="41"/>
  <c r="L21" i="41" s="1"/>
  <c r="I26" i="41"/>
  <c r="L26" i="41" s="1"/>
  <c r="I31" i="41"/>
  <c r="L31" i="41" s="1"/>
  <c r="I5" i="41"/>
  <c r="L5" i="41" s="1"/>
  <c r="I6" i="41"/>
  <c r="L6" i="41" s="1"/>
  <c r="I10" i="41"/>
  <c r="L10" i="41" s="1"/>
  <c r="I15" i="41"/>
  <c r="L15" i="41" s="1"/>
  <c r="I20" i="41"/>
  <c r="L20" i="41" s="1"/>
  <c r="I24" i="41"/>
  <c r="L24" i="41" s="1"/>
  <c r="I25" i="41"/>
  <c r="L25" i="41" s="1"/>
  <c r="I30" i="41"/>
  <c r="L30" i="41" s="1"/>
  <c r="AA35" i="40"/>
  <c r="I4" i="41"/>
  <c r="L4" i="41" s="1"/>
  <c r="I9" i="41"/>
  <c r="L9" i="41" s="1"/>
  <c r="I14" i="41"/>
  <c r="L14" i="41" s="1"/>
  <c r="I19" i="41"/>
  <c r="L19" i="41" s="1"/>
  <c r="I23" i="41"/>
  <c r="L23" i="41" s="1"/>
  <c r="I28" i="41"/>
  <c r="L28" i="41" s="1"/>
  <c r="I29" i="41"/>
  <c r="L29" i="41" s="1"/>
  <c r="Y18" i="40"/>
  <c r="I2" i="41"/>
  <c r="L2" i="41" s="1"/>
  <c r="I3" i="41"/>
  <c r="L3" i="41" s="1"/>
  <c r="I8" i="41"/>
  <c r="L8" i="41" s="1"/>
  <c r="I13" i="41"/>
  <c r="L13" i="41" s="1"/>
  <c r="I18" i="41"/>
  <c r="L18" i="41" s="1"/>
  <c r="I22" i="41"/>
  <c r="L22" i="41" s="1"/>
  <c r="I27" i="41"/>
  <c r="L27" i="41" s="1"/>
  <c r="R21" i="40"/>
  <c r="W21" i="40" s="1"/>
  <c r="V21" i="40"/>
  <c r="R19" i="40"/>
  <c r="W19" i="40" s="1"/>
  <c r="U19" i="40"/>
  <c r="R36" i="40"/>
  <c r="W36" i="40" s="1"/>
  <c r="M24" i="41" l="1"/>
  <c r="M11" i="41"/>
  <c r="M28" i="41"/>
  <c r="M2" i="41"/>
  <c r="G12" i="57" s="1"/>
  <c r="M5" i="41"/>
  <c r="M16" i="41"/>
  <c r="H39" i="39"/>
  <c r="F39" i="39"/>
  <c r="E39" i="39"/>
  <c r="D39" i="39"/>
  <c r="H38" i="39"/>
  <c r="F38" i="39"/>
  <c r="E38" i="39"/>
  <c r="D38" i="39"/>
  <c r="H37" i="39"/>
  <c r="F37" i="39"/>
  <c r="E37" i="39"/>
  <c r="D37" i="39"/>
  <c r="H36" i="39"/>
  <c r="F36" i="39"/>
  <c r="E36" i="39"/>
  <c r="D36" i="39"/>
  <c r="H35" i="39"/>
  <c r="F35" i="39"/>
  <c r="E35" i="39"/>
  <c r="D35" i="39"/>
  <c r="H34" i="39"/>
  <c r="F34" i="39"/>
  <c r="E34" i="39"/>
  <c r="D34" i="39"/>
  <c r="H33" i="39"/>
  <c r="F33" i="39"/>
  <c r="E33" i="39"/>
  <c r="D33" i="39"/>
  <c r="H32" i="39"/>
  <c r="F32" i="39"/>
  <c r="E32" i="39"/>
  <c r="D32" i="39"/>
  <c r="H31" i="39"/>
  <c r="F31" i="39"/>
  <c r="E31" i="39"/>
  <c r="D31" i="39"/>
  <c r="H30" i="39"/>
  <c r="F30" i="39"/>
  <c r="E30" i="39"/>
  <c r="D30" i="39"/>
  <c r="H29" i="39"/>
  <c r="F29" i="39"/>
  <c r="E29" i="39"/>
  <c r="D29" i="39"/>
  <c r="H28" i="39"/>
  <c r="F28" i="39"/>
  <c r="E28" i="39"/>
  <c r="D28" i="39"/>
  <c r="H27" i="39"/>
  <c r="F27" i="39"/>
  <c r="E27" i="39"/>
  <c r="D27" i="39"/>
  <c r="H26" i="39"/>
  <c r="F26" i="39"/>
  <c r="E26" i="39"/>
  <c r="D26" i="39"/>
  <c r="H25" i="39"/>
  <c r="F25" i="39"/>
  <c r="E25" i="39"/>
  <c r="D25" i="39"/>
  <c r="H24" i="39"/>
  <c r="F24" i="39"/>
  <c r="E24" i="39"/>
  <c r="D24" i="39"/>
  <c r="H23" i="39"/>
  <c r="F23" i="39"/>
  <c r="E23" i="39"/>
  <c r="D23" i="39"/>
  <c r="H22" i="39"/>
  <c r="F22" i="39"/>
  <c r="E22" i="39"/>
  <c r="D22" i="39"/>
  <c r="H21" i="39"/>
  <c r="F21" i="39"/>
  <c r="E21" i="39"/>
  <c r="D21" i="39"/>
  <c r="H20" i="39"/>
  <c r="F20" i="39"/>
  <c r="E20" i="39"/>
  <c r="D20" i="39"/>
  <c r="H19" i="39"/>
  <c r="F19" i="39"/>
  <c r="E19" i="39"/>
  <c r="D19" i="39"/>
  <c r="H18" i="39"/>
  <c r="F18" i="39"/>
  <c r="E18" i="39"/>
  <c r="D18" i="39"/>
  <c r="H17" i="39"/>
  <c r="F17" i="39"/>
  <c r="E17" i="39"/>
  <c r="D17" i="39"/>
  <c r="H16" i="39"/>
  <c r="F16" i="39"/>
  <c r="E16" i="39"/>
  <c r="D16" i="39"/>
  <c r="H15" i="39"/>
  <c r="F15" i="39"/>
  <c r="E15" i="39"/>
  <c r="D15" i="39"/>
  <c r="H14" i="39"/>
  <c r="F14" i="39"/>
  <c r="E14" i="39"/>
  <c r="D14" i="39"/>
  <c r="H13" i="39"/>
  <c r="F13" i="39"/>
  <c r="E13" i="39"/>
  <c r="D13" i="39"/>
  <c r="H12" i="39"/>
  <c r="F12" i="39"/>
  <c r="E12" i="39"/>
  <c r="D12" i="39"/>
  <c r="H11" i="39"/>
  <c r="F11" i="39"/>
  <c r="E11" i="39"/>
  <c r="D11" i="39"/>
  <c r="H10" i="39"/>
  <c r="F10" i="39"/>
  <c r="E10" i="39"/>
  <c r="D10" i="39"/>
  <c r="H9" i="39"/>
  <c r="F9" i="39"/>
  <c r="E9" i="39"/>
  <c r="D9" i="39"/>
  <c r="H8" i="39"/>
  <c r="F8" i="39"/>
  <c r="E8" i="39"/>
  <c r="D8" i="39"/>
  <c r="H7" i="39"/>
  <c r="F7" i="39"/>
  <c r="E7" i="39"/>
  <c r="D7" i="39"/>
  <c r="H6" i="39"/>
  <c r="F6" i="39"/>
  <c r="E6" i="39"/>
  <c r="D6" i="39"/>
  <c r="H5" i="39"/>
  <c r="F5" i="39"/>
  <c r="E5" i="39"/>
  <c r="D5" i="39"/>
  <c r="H4" i="39"/>
  <c r="F4" i="39"/>
  <c r="E4" i="39"/>
  <c r="D4" i="39"/>
  <c r="H3" i="39"/>
  <c r="F3" i="39"/>
  <c r="E3" i="39"/>
  <c r="D3" i="39"/>
  <c r="H2" i="39"/>
  <c r="F2" i="39"/>
  <c r="E2" i="39"/>
  <c r="D2" i="39"/>
  <c r="Z111" i="38"/>
  <c r="G39" i="39" s="1"/>
  <c r="Y111" i="38"/>
  <c r="Z110" i="38"/>
  <c r="G38" i="39" s="1"/>
  <c r="I38" i="39" s="1"/>
  <c r="L38" i="39" s="1"/>
  <c r="Y110" i="38"/>
  <c r="X110" i="38"/>
  <c r="Q110" i="38"/>
  <c r="P110" i="38"/>
  <c r="Z109" i="38"/>
  <c r="Y109" i="38"/>
  <c r="Z108" i="38"/>
  <c r="G37" i="39" s="1"/>
  <c r="Y108" i="38"/>
  <c r="Z107" i="38"/>
  <c r="Y107" i="38"/>
  <c r="Z106" i="38"/>
  <c r="G36" i="39" s="1"/>
  <c r="Y106" i="38"/>
  <c r="X106" i="38"/>
  <c r="Q106" i="38"/>
  <c r="P106" i="38"/>
  <c r="Z105" i="38"/>
  <c r="Y105" i="38"/>
  <c r="Z104" i="38"/>
  <c r="Y104" i="38"/>
  <c r="Z103" i="38"/>
  <c r="G35" i="39" s="1"/>
  <c r="I35" i="39" s="1"/>
  <c r="L35" i="39" s="1"/>
  <c r="Y103" i="38"/>
  <c r="X103" i="38"/>
  <c r="Q103" i="38"/>
  <c r="P103" i="38"/>
  <c r="Z102" i="38"/>
  <c r="Y102" i="38"/>
  <c r="Z101" i="38"/>
  <c r="G34" i="39" s="1"/>
  <c r="I34" i="39" s="1"/>
  <c r="L34" i="39" s="1"/>
  <c r="Y101" i="38"/>
  <c r="X101" i="38"/>
  <c r="Q101" i="38"/>
  <c r="P101" i="38"/>
  <c r="Z100" i="38"/>
  <c r="Y100" i="38"/>
  <c r="Z99" i="38"/>
  <c r="Y99" i="38"/>
  <c r="Z98" i="38"/>
  <c r="G33" i="39" s="1"/>
  <c r="I33" i="39" s="1"/>
  <c r="L33" i="39" s="1"/>
  <c r="Y98" i="38"/>
  <c r="X98" i="38"/>
  <c r="Z97" i="38"/>
  <c r="Y97" i="38"/>
  <c r="Z96" i="38"/>
  <c r="Y96" i="38"/>
  <c r="Z95" i="38"/>
  <c r="Y95" i="38"/>
  <c r="Z94" i="38"/>
  <c r="Y94" i="38"/>
  <c r="Z93" i="38"/>
  <c r="Y93" i="38"/>
  <c r="Z92" i="38"/>
  <c r="Y92" i="38"/>
  <c r="Z91" i="38"/>
  <c r="G32" i="39" s="1"/>
  <c r="Y91" i="38"/>
  <c r="Z90" i="38"/>
  <c r="G31" i="39" s="1"/>
  <c r="Y90" i="38"/>
  <c r="Z89" i="38"/>
  <c r="G30" i="39" s="1"/>
  <c r="I30" i="39" s="1"/>
  <c r="L30" i="39" s="1"/>
  <c r="Y89" i="38"/>
  <c r="Z88" i="38"/>
  <c r="G29" i="39" s="1"/>
  <c r="I29" i="39" s="1"/>
  <c r="L29" i="39" s="1"/>
  <c r="Y88" i="38"/>
  <c r="Z87" i="38"/>
  <c r="G28" i="39" s="1"/>
  <c r="I28" i="39" s="1"/>
  <c r="L28" i="39" s="1"/>
  <c r="Y87" i="38"/>
  <c r="V87" i="38"/>
  <c r="U87" i="38"/>
  <c r="T87" i="38"/>
  <c r="S87" i="38"/>
  <c r="R87" i="38"/>
  <c r="W87" i="38" s="1"/>
  <c r="Z86" i="38"/>
  <c r="Y86" i="38"/>
  <c r="Z85" i="38"/>
  <c r="Y85" i="38"/>
  <c r="Z84" i="38"/>
  <c r="Y84" i="38"/>
  <c r="Z83" i="38"/>
  <c r="Y83" i="38"/>
  <c r="Z82" i="38"/>
  <c r="Y82" i="38"/>
  <c r="Z81" i="38"/>
  <c r="G27" i="39" s="1"/>
  <c r="Y81" i="38"/>
  <c r="X81" i="38"/>
  <c r="Q81" i="38"/>
  <c r="P81" i="38"/>
  <c r="Z80" i="38"/>
  <c r="Y80" i="38"/>
  <c r="Z79" i="38"/>
  <c r="Y79" i="38"/>
  <c r="Z78" i="38"/>
  <c r="G26" i="39" s="1"/>
  <c r="Y78" i="38"/>
  <c r="X78" i="38"/>
  <c r="Q78" i="38"/>
  <c r="P78" i="38"/>
  <c r="Z77" i="38"/>
  <c r="Y77" i="38"/>
  <c r="Z76" i="38"/>
  <c r="Y76" i="38"/>
  <c r="Z75" i="38"/>
  <c r="G25" i="39" s="1"/>
  <c r="Y75" i="38"/>
  <c r="Z74" i="38"/>
  <c r="Y74" i="38"/>
  <c r="Z73" i="38"/>
  <c r="Y73" i="38"/>
  <c r="Z72" i="38"/>
  <c r="Y72" i="38"/>
  <c r="Z71" i="38"/>
  <c r="G24" i="39" s="1"/>
  <c r="Y71" i="38"/>
  <c r="Z70" i="38"/>
  <c r="G23" i="39" s="1"/>
  <c r="I23" i="39" s="1"/>
  <c r="L23" i="39" s="1"/>
  <c r="Y70" i="38"/>
  <c r="Z69" i="38"/>
  <c r="Y69" i="38"/>
  <c r="Z68" i="38"/>
  <c r="Y68" i="38"/>
  <c r="Z67" i="38"/>
  <c r="Y67" i="38"/>
  <c r="Z66" i="38"/>
  <c r="G22" i="39" s="1"/>
  <c r="Y66" i="38"/>
  <c r="X66" i="38"/>
  <c r="Q66" i="38"/>
  <c r="P66" i="38"/>
  <c r="Z65" i="38"/>
  <c r="Y65" i="38"/>
  <c r="Z64" i="38"/>
  <c r="Y64" i="38"/>
  <c r="Z63" i="38"/>
  <c r="G21" i="39" s="1"/>
  <c r="Y63" i="38"/>
  <c r="X63" i="38"/>
  <c r="Q63" i="38"/>
  <c r="P63" i="38"/>
  <c r="Z62" i="38"/>
  <c r="Y62" i="38"/>
  <c r="Z61" i="38"/>
  <c r="Y61" i="38"/>
  <c r="Z60" i="38"/>
  <c r="G20" i="39" s="1"/>
  <c r="Y60" i="38"/>
  <c r="X60" i="38"/>
  <c r="Q60" i="38"/>
  <c r="P60" i="38"/>
  <c r="Z59" i="38"/>
  <c r="Y59" i="38"/>
  <c r="Z58" i="38"/>
  <c r="G19" i="39" s="1"/>
  <c r="Y58" i="38"/>
  <c r="X58" i="38"/>
  <c r="Q58" i="38"/>
  <c r="P58" i="38"/>
  <c r="Z57" i="38"/>
  <c r="Y57" i="38"/>
  <c r="Z56" i="38"/>
  <c r="Y56" i="38"/>
  <c r="Z55" i="38"/>
  <c r="G18" i="39" s="1"/>
  <c r="Y55" i="38"/>
  <c r="X55" i="38"/>
  <c r="Q55" i="38"/>
  <c r="P55" i="38"/>
  <c r="Z54" i="38"/>
  <c r="Y54" i="38"/>
  <c r="Z53" i="38"/>
  <c r="Y53" i="38"/>
  <c r="Z52" i="38"/>
  <c r="G17" i="39" s="1"/>
  <c r="Y52" i="38"/>
  <c r="Z51" i="38"/>
  <c r="G16" i="39" s="1"/>
  <c r="Y51" i="38"/>
  <c r="X51" i="38"/>
  <c r="Q51" i="38"/>
  <c r="P51" i="38"/>
  <c r="Z50" i="38"/>
  <c r="Y50" i="38"/>
  <c r="Z49" i="38"/>
  <c r="Y49" i="38"/>
  <c r="Z48" i="38"/>
  <c r="Y48" i="38"/>
  <c r="Z47" i="38"/>
  <c r="G15" i="39" s="1"/>
  <c r="I15" i="39" s="1"/>
  <c r="L15" i="39" s="1"/>
  <c r="Y47" i="38"/>
  <c r="X47" i="38"/>
  <c r="T47" i="38"/>
  <c r="U47" i="38" s="1"/>
  <c r="V47" i="38" s="1"/>
  <c r="Q47" i="38"/>
  <c r="P47" i="38"/>
  <c r="Z46" i="38"/>
  <c r="Y46" i="38"/>
  <c r="Z45" i="38"/>
  <c r="Y45" i="38"/>
  <c r="Z44" i="38"/>
  <c r="Y44" i="38"/>
  <c r="Z43" i="38"/>
  <c r="Y43" i="38"/>
  <c r="Z42" i="38"/>
  <c r="G14" i="39" s="1"/>
  <c r="Y42" i="38"/>
  <c r="Z41" i="38"/>
  <c r="G13" i="39" s="1"/>
  <c r="Y41" i="38"/>
  <c r="Z40" i="38"/>
  <c r="G12" i="39" s="1"/>
  <c r="Z39" i="38"/>
  <c r="Z38" i="38"/>
  <c r="Z37" i="38"/>
  <c r="G11" i="39" s="1"/>
  <c r="Y37" i="38"/>
  <c r="X37" i="38"/>
  <c r="Q37" i="38"/>
  <c r="P37" i="38"/>
  <c r="Z36" i="38"/>
  <c r="Y36" i="38"/>
  <c r="Z35" i="38"/>
  <c r="Y35" i="38"/>
  <c r="Z34" i="38"/>
  <c r="G10" i="39" s="1"/>
  <c r="Y34" i="38"/>
  <c r="X34" i="38"/>
  <c r="U34" i="38"/>
  <c r="S34" i="38"/>
  <c r="Q34" i="38"/>
  <c r="T34" i="38" s="1"/>
  <c r="P34" i="38"/>
  <c r="Z33" i="38"/>
  <c r="Y33" i="38"/>
  <c r="Z32" i="38"/>
  <c r="Y32" i="38"/>
  <c r="Z31" i="38"/>
  <c r="Y31" i="38"/>
  <c r="Z30" i="38"/>
  <c r="Y30" i="38"/>
  <c r="Z29" i="38"/>
  <c r="Y29" i="38"/>
  <c r="Z28" i="38"/>
  <c r="Y28" i="38"/>
  <c r="Z27" i="38"/>
  <c r="Y27" i="38"/>
  <c r="Z26" i="38"/>
  <c r="Y26" i="38"/>
  <c r="Z25" i="38"/>
  <c r="Y25" i="38"/>
  <c r="Z24" i="38"/>
  <c r="Y24" i="38"/>
  <c r="Z23" i="38"/>
  <c r="Y23" i="38"/>
  <c r="Z22" i="38"/>
  <c r="G9" i="39" s="1"/>
  <c r="Y22" i="38"/>
  <c r="X22" i="38"/>
  <c r="V22" i="38"/>
  <c r="T22" i="38"/>
  <c r="R22" i="38"/>
  <c r="W22" i="38" s="1"/>
  <c r="Q22" i="38"/>
  <c r="P22" i="38"/>
  <c r="U22" i="38" s="1"/>
  <c r="Z21" i="38"/>
  <c r="Y21" i="38"/>
  <c r="Z20" i="38"/>
  <c r="G8" i="39" s="1"/>
  <c r="Y20" i="38"/>
  <c r="X20" i="38"/>
  <c r="U20" i="38"/>
  <c r="Q20" i="38"/>
  <c r="V20" i="38" s="1"/>
  <c r="P20" i="38"/>
  <c r="S20" i="38" s="1"/>
  <c r="Z19" i="38"/>
  <c r="Y19" i="38"/>
  <c r="Z18" i="38"/>
  <c r="G7" i="39" s="1"/>
  <c r="Y18" i="38"/>
  <c r="X18" i="38"/>
  <c r="Q18" i="38"/>
  <c r="T18" i="38" s="1"/>
  <c r="P18" i="38"/>
  <c r="S18" i="38" s="1"/>
  <c r="Z17" i="38"/>
  <c r="Y17" i="38"/>
  <c r="Z16" i="38"/>
  <c r="Y16" i="38"/>
  <c r="Z15" i="38"/>
  <c r="Y15" i="38"/>
  <c r="Z14" i="38"/>
  <c r="Y14" i="38"/>
  <c r="Z13" i="38"/>
  <c r="G6" i="39" s="1"/>
  <c r="I6" i="39" s="1"/>
  <c r="L6" i="39" s="1"/>
  <c r="Y13" i="38"/>
  <c r="X13" i="38"/>
  <c r="Q13" i="38"/>
  <c r="P13" i="38"/>
  <c r="Z12" i="38"/>
  <c r="Y12" i="38"/>
  <c r="Z11" i="38"/>
  <c r="G5" i="39" s="1"/>
  <c r="I5" i="39" s="1"/>
  <c r="L5" i="39" s="1"/>
  <c r="Y11" i="38"/>
  <c r="X11" i="38"/>
  <c r="Q11" i="38"/>
  <c r="P11" i="38"/>
  <c r="Z10" i="38"/>
  <c r="Y10" i="38"/>
  <c r="Z9" i="38"/>
  <c r="Y9" i="38"/>
  <c r="Z8" i="38"/>
  <c r="G4" i="39" s="1"/>
  <c r="I4" i="39" s="1"/>
  <c r="L4" i="39" s="1"/>
  <c r="Y8" i="38"/>
  <c r="X8" i="38"/>
  <c r="Q8" i="38"/>
  <c r="P8" i="38"/>
  <c r="Z7" i="38"/>
  <c r="Y7" i="38"/>
  <c r="Z6" i="38"/>
  <c r="Y6" i="38"/>
  <c r="Z5" i="38"/>
  <c r="G3" i="39" s="1"/>
  <c r="Y5" i="38"/>
  <c r="X5" i="38"/>
  <c r="Q5" i="38"/>
  <c r="P5" i="38"/>
  <c r="Z4" i="38"/>
  <c r="Y4" i="38"/>
  <c r="Z3" i="38"/>
  <c r="G2" i="39" s="1"/>
  <c r="Y3" i="38"/>
  <c r="I10" i="39" l="1"/>
  <c r="L10" i="39" s="1"/>
  <c r="I25" i="39"/>
  <c r="L25" i="39" s="1"/>
  <c r="I2" i="39"/>
  <c r="L2" i="39" s="1"/>
  <c r="I3" i="39"/>
  <c r="L3" i="39" s="1"/>
  <c r="I8" i="39"/>
  <c r="L8" i="39" s="1"/>
  <c r="I13" i="39"/>
  <c r="L13" i="39" s="1"/>
  <c r="I18" i="39"/>
  <c r="L18" i="39" s="1"/>
  <c r="I22" i="39"/>
  <c r="L22" i="39" s="1"/>
  <c r="I27" i="39"/>
  <c r="L27" i="39" s="1"/>
  <c r="I32" i="39"/>
  <c r="L32" i="39" s="1"/>
  <c r="I37" i="39"/>
  <c r="L37" i="39" s="1"/>
  <c r="I20" i="39"/>
  <c r="L20" i="39" s="1"/>
  <c r="I24" i="39"/>
  <c r="L24" i="39" s="1"/>
  <c r="I39" i="39"/>
  <c r="L39" i="39" s="1"/>
  <c r="I9" i="39"/>
  <c r="L9" i="39" s="1"/>
  <c r="I14" i="39"/>
  <c r="L14" i="39" s="1"/>
  <c r="I19" i="39"/>
  <c r="L19" i="39" s="1"/>
  <c r="I7" i="39"/>
  <c r="L7" i="39" s="1"/>
  <c r="I11" i="39"/>
  <c r="L11" i="39" s="1"/>
  <c r="I12" i="39"/>
  <c r="L12" i="39" s="1"/>
  <c r="I16" i="39"/>
  <c r="L16" i="39" s="1"/>
  <c r="I17" i="39"/>
  <c r="L17" i="39" s="1"/>
  <c r="I21" i="39"/>
  <c r="L21" i="39" s="1"/>
  <c r="I26" i="39"/>
  <c r="L26" i="39" s="1"/>
  <c r="I31" i="39"/>
  <c r="L31" i="39" s="1"/>
  <c r="I36" i="39"/>
  <c r="L36" i="39" s="1"/>
  <c r="U18" i="38"/>
  <c r="T20" i="38"/>
  <c r="S22" i="38"/>
  <c r="R34" i="38"/>
  <c r="W34" i="38" s="1"/>
  <c r="V34" i="38"/>
  <c r="R18" i="38"/>
  <c r="W18" i="38" s="1"/>
  <c r="V18" i="38"/>
  <c r="R20" i="38"/>
  <c r="W20" i="38" s="1"/>
  <c r="M34" i="39" l="1"/>
  <c r="L11" i="57" s="1"/>
  <c r="M29" i="39"/>
  <c r="M11" i="39"/>
  <c r="M2" i="39"/>
  <c r="M5" i="39"/>
  <c r="M16" i="39"/>
  <c r="M24" i="39"/>
  <c r="H30" i="37"/>
  <c r="E30" i="37"/>
  <c r="H29" i="37"/>
  <c r="E29" i="37"/>
  <c r="H28" i="37"/>
  <c r="E28" i="37"/>
  <c r="H27" i="37"/>
  <c r="E27" i="37"/>
  <c r="H26" i="37"/>
  <c r="E26" i="37"/>
  <c r="H25" i="37"/>
  <c r="E25" i="37"/>
  <c r="H24" i="37"/>
  <c r="E24" i="37"/>
  <c r="H23" i="37"/>
  <c r="E23" i="37"/>
  <c r="H22" i="37"/>
  <c r="E22" i="37"/>
  <c r="H21" i="37"/>
  <c r="E21" i="37"/>
  <c r="H20" i="37"/>
  <c r="E20" i="37"/>
  <c r="H19" i="37"/>
  <c r="E19" i="37"/>
  <c r="H18" i="37"/>
  <c r="E18" i="37"/>
  <c r="H17" i="37"/>
  <c r="E17" i="37"/>
  <c r="H16" i="37"/>
  <c r="E16" i="37"/>
  <c r="H15" i="37"/>
  <c r="E15" i="37"/>
  <c r="H14" i="37"/>
  <c r="E14" i="37"/>
  <c r="H13" i="37"/>
  <c r="E13" i="37"/>
  <c r="H12" i="37"/>
  <c r="E12" i="37"/>
  <c r="H11" i="37"/>
  <c r="E11" i="37"/>
  <c r="H10" i="37"/>
  <c r="E10" i="37"/>
  <c r="H9" i="37"/>
  <c r="E9" i="37"/>
  <c r="H8" i="37"/>
  <c r="E8" i="37"/>
  <c r="H7" i="37"/>
  <c r="E7" i="37"/>
  <c r="H6" i="37"/>
  <c r="E6" i="37"/>
  <c r="H5" i="37"/>
  <c r="E5" i="37"/>
  <c r="H4" i="37"/>
  <c r="E4" i="37"/>
  <c r="H3" i="37"/>
  <c r="E3" i="37"/>
  <c r="H2" i="37"/>
  <c r="E2" i="37"/>
  <c r="K10" i="37"/>
  <c r="K9" i="37"/>
  <c r="K8" i="37"/>
  <c r="K7" i="37"/>
  <c r="K6" i="37"/>
  <c r="K5" i="37"/>
  <c r="Y108" i="36"/>
  <c r="Y107" i="36"/>
  <c r="X107" i="36"/>
  <c r="Q107" i="36"/>
  <c r="P107" i="36"/>
  <c r="Y106" i="36"/>
  <c r="Y105" i="36"/>
  <c r="Y104" i="36"/>
  <c r="Y103" i="36"/>
  <c r="X103" i="36"/>
  <c r="Q103" i="36"/>
  <c r="P103" i="36"/>
  <c r="Y102" i="36"/>
  <c r="Y101" i="36"/>
  <c r="Y100" i="36"/>
  <c r="X100" i="36"/>
  <c r="Q100" i="36"/>
  <c r="P100" i="36"/>
  <c r="Y99" i="36"/>
  <c r="Y98" i="36"/>
  <c r="X98" i="36"/>
  <c r="Q98" i="36"/>
  <c r="P98" i="36"/>
  <c r="Y97" i="36"/>
  <c r="Y96" i="36"/>
  <c r="Y95" i="36"/>
  <c r="X95" i="36"/>
  <c r="Y94" i="36"/>
  <c r="Y93" i="36"/>
  <c r="Y92" i="36"/>
  <c r="Y91" i="36"/>
  <c r="Y90" i="36"/>
  <c r="Y89" i="36"/>
  <c r="Y88" i="36"/>
  <c r="G30" i="37" s="1"/>
  <c r="I30" i="37" s="1"/>
  <c r="L30" i="37" s="1"/>
  <c r="Y87" i="36"/>
  <c r="G29" i="37" s="1"/>
  <c r="Y86" i="36"/>
  <c r="G28" i="37" s="1"/>
  <c r="Y85" i="36"/>
  <c r="G27" i="37" s="1"/>
  <c r="I27" i="37" s="1"/>
  <c r="L27" i="37" s="1"/>
  <c r="Y84" i="36"/>
  <c r="G26" i="37" s="1"/>
  <c r="W84" i="36"/>
  <c r="V84" i="36"/>
  <c r="U84" i="36"/>
  <c r="T84" i="36"/>
  <c r="S84" i="36"/>
  <c r="R84" i="36"/>
  <c r="Y83" i="36"/>
  <c r="Y82" i="36"/>
  <c r="Y81" i="36"/>
  <c r="Y80" i="36"/>
  <c r="Y79" i="36"/>
  <c r="Y78" i="36"/>
  <c r="G25" i="37" s="1"/>
  <c r="X78" i="36"/>
  <c r="Q78" i="36"/>
  <c r="P78" i="36"/>
  <c r="Y77" i="36"/>
  <c r="Y76" i="36"/>
  <c r="Y75" i="36"/>
  <c r="X75" i="36"/>
  <c r="Q75" i="36"/>
  <c r="P75" i="36"/>
  <c r="Y74" i="36"/>
  <c r="Y73" i="36"/>
  <c r="Y72" i="36"/>
  <c r="G24" i="37" s="1"/>
  <c r="Y71" i="36"/>
  <c r="Y70" i="36"/>
  <c r="Y69" i="36"/>
  <c r="Y68" i="36"/>
  <c r="G23" i="37" s="1"/>
  <c r="Y67" i="36"/>
  <c r="G22" i="37" s="1"/>
  <c r="Y66" i="36"/>
  <c r="Y65" i="36"/>
  <c r="Y64" i="36"/>
  <c r="Y63" i="36"/>
  <c r="G21" i="37" s="1"/>
  <c r="X63" i="36"/>
  <c r="Q63" i="36"/>
  <c r="P63" i="36"/>
  <c r="Y62" i="36"/>
  <c r="Y61" i="36"/>
  <c r="Y60" i="36"/>
  <c r="G20" i="37" s="1"/>
  <c r="I20" i="37" s="1"/>
  <c r="L20" i="37" s="1"/>
  <c r="X60" i="36"/>
  <c r="Q60" i="36"/>
  <c r="P60" i="36"/>
  <c r="Y59" i="36"/>
  <c r="Y58" i="36"/>
  <c r="Y57" i="36"/>
  <c r="G19" i="37" s="1"/>
  <c r="X57" i="36"/>
  <c r="Q57" i="36"/>
  <c r="P57" i="36"/>
  <c r="Y56" i="36"/>
  <c r="Y55" i="36"/>
  <c r="G18" i="37" s="1"/>
  <c r="X55" i="36"/>
  <c r="Q55" i="36"/>
  <c r="P55" i="36"/>
  <c r="Y54" i="36"/>
  <c r="Y53" i="36"/>
  <c r="Y52" i="36"/>
  <c r="G17" i="37" s="1"/>
  <c r="X52" i="36"/>
  <c r="Q52" i="36"/>
  <c r="P52" i="36"/>
  <c r="Y51" i="36"/>
  <c r="Y50" i="36"/>
  <c r="Y49" i="36"/>
  <c r="G16" i="37" s="1"/>
  <c r="I16" i="37" s="1"/>
  <c r="L16" i="37" s="1"/>
  <c r="Y48" i="36"/>
  <c r="G15" i="37" s="1"/>
  <c r="X48" i="36"/>
  <c r="Q48" i="36"/>
  <c r="P48" i="36"/>
  <c r="Y47" i="36"/>
  <c r="Y46" i="36"/>
  <c r="Y45" i="36"/>
  <c r="Y44" i="36"/>
  <c r="G14" i="37" s="1"/>
  <c r="X44" i="36"/>
  <c r="Q44" i="36"/>
  <c r="P44" i="36"/>
  <c r="Y43" i="36"/>
  <c r="Y42" i="36"/>
  <c r="Y41" i="36"/>
  <c r="Y40" i="36"/>
  <c r="Y39" i="36"/>
  <c r="G13" i="37" s="1"/>
  <c r="I13" i="37" s="1"/>
  <c r="L13" i="37" s="1"/>
  <c r="Y38" i="36"/>
  <c r="G12" i="37" s="1"/>
  <c r="Y37" i="36"/>
  <c r="G11" i="37" s="1"/>
  <c r="X37" i="36"/>
  <c r="Q37" i="36"/>
  <c r="P37" i="36"/>
  <c r="Y36" i="36"/>
  <c r="Y35" i="36"/>
  <c r="Y34" i="36"/>
  <c r="G10" i="37" s="1"/>
  <c r="X34" i="36"/>
  <c r="U34" i="36"/>
  <c r="S34" i="36"/>
  <c r="R34" i="36"/>
  <c r="W34" i="36" s="1"/>
  <c r="Q34" i="36"/>
  <c r="T34" i="36" s="1"/>
  <c r="P34" i="36"/>
  <c r="Y33" i="36"/>
  <c r="Y32" i="36"/>
  <c r="Y31" i="36"/>
  <c r="Y30" i="36"/>
  <c r="Y29" i="36"/>
  <c r="Y28" i="36"/>
  <c r="Y27" i="36"/>
  <c r="Y26" i="36"/>
  <c r="Y25" i="36"/>
  <c r="Y24" i="36"/>
  <c r="Y23" i="36"/>
  <c r="Y22" i="36"/>
  <c r="G9" i="37" s="1"/>
  <c r="X22" i="36"/>
  <c r="W22" i="36"/>
  <c r="V22" i="36"/>
  <c r="T22" i="36"/>
  <c r="R22" i="36"/>
  <c r="Q22" i="36"/>
  <c r="P22" i="36"/>
  <c r="U22" i="36" s="1"/>
  <c r="Y21" i="36"/>
  <c r="Y20" i="36"/>
  <c r="G8" i="37" s="1"/>
  <c r="X20" i="36"/>
  <c r="V20" i="36"/>
  <c r="U20" i="36"/>
  <c r="S20" i="36"/>
  <c r="R20" i="36"/>
  <c r="W20" i="36" s="1"/>
  <c r="Q20" i="36"/>
  <c r="T20" i="36" s="1"/>
  <c r="P20" i="36"/>
  <c r="Y19" i="36"/>
  <c r="Y18" i="36"/>
  <c r="G7" i="37" s="1"/>
  <c r="X18" i="36"/>
  <c r="Q18" i="36"/>
  <c r="V18" i="36" s="1"/>
  <c r="P18" i="36"/>
  <c r="S18" i="36" s="1"/>
  <c r="Y17" i="36"/>
  <c r="Y16" i="36"/>
  <c r="Y15" i="36"/>
  <c r="Y14" i="36"/>
  <c r="Y13" i="36"/>
  <c r="G6" i="37" s="1"/>
  <c r="X13" i="36"/>
  <c r="Q13" i="36"/>
  <c r="P13" i="36"/>
  <c r="Y12" i="36"/>
  <c r="Y11" i="36"/>
  <c r="G5" i="37" s="1"/>
  <c r="I5" i="37" s="1"/>
  <c r="L5" i="37" s="1"/>
  <c r="X11" i="36"/>
  <c r="Q11" i="36"/>
  <c r="P11" i="36"/>
  <c r="Y10" i="36"/>
  <c r="Y9" i="36"/>
  <c r="Y8" i="36"/>
  <c r="G4" i="37" s="1"/>
  <c r="X8" i="36"/>
  <c r="Q8" i="36"/>
  <c r="P8" i="36"/>
  <c r="Y7" i="36"/>
  <c r="Y6" i="36"/>
  <c r="Y5" i="36"/>
  <c r="G3" i="37" s="1"/>
  <c r="X5" i="36"/>
  <c r="Q5" i="36"/>
  <c r="P5" i="36"/>
  <c r="Y4" i="36"/>
  <c r="Y3" i="36"/>
  <c r="G2" i="37" s="1"/>
  <c r="I2" i="37" s="1"/>
  <c r="L2" i="37" s="1"/>
  <c r="E12" i="57" l="1"/>
  <c r="I7" i="37"/>
  <c r="L7" i="37" s="1"/>
  <c r="I9" i="37"/>
  <c r="L9" i="37" s="1"/>
  <c r="I11" i="37"/>
  <c r="L11" i="37" s="1"/>
  <c r="I14" i="37"/>
  <c r="L14" i="37" s="1"/>
  <c r="I17" i="37"/>
  <c r="L17" i="37" s="1"/>
  <c r="I21" i="37"/>
  <c r="L21" i="37" s="1"/>
  <c r="I24" i="37"/>
  <c r="L24" i="37" s="1"/>
  <c r="I3" i="37"/>
  <c r="L3" i="37" s="1"/>
  <c r="I15" i="37"/>
  <c r="L15" i="37" s="1"/>
  <c r="I18" i="37"/>
  <c r="L18" i="37" s="1"/>
  <c r="I22" i="37"/>
  <c r="L22" i="37" s="1"/>
  <c r="I25" i="37"/>
  <c r="L25" i="37" s="1"/>
  <c r="I28" i="37"/>
  <c r="L28" i="37" s="1"/>
  <c r="I4" i="37"/>
  <c r="L4" i="37" s="1"/>
  <c r="I6" i="37"/>
  <c r="L6" i="37" s="1"/>
  <c r="I8" i="37"/>
  <c r="L8" i="37" s="1"/>
  <c r="I10" i="37"/>
  <c r="L10" i="37" s="1"/>
  <c r="I12" i="37"/>
  <c r="L12" i="37" s="1"/>
  <c r="I19" i="37"/>
  <c r="L19" i="37" s="1"/>
  <c r="I23" i="37"/>
  <c r="L23" i="37" s="1"/>
  <c r="I26" i="37"/>
  <c r="L26" i="37" s="1"/>
  <c r="I29" i="37"/>
  <c r="L29" i="37" s="1"/>
  <c r="T18" i="36"/>
  <c r="U18" i="36"/>
  <c r="S22" i="36"/>
  <c r="V34" i="36"/>
  <c r="R18" i="36"/>
  <c r="W18" i="36" s="1"/>
  <c r="M2" i="37" l="1"/>
  <c r="M27" i="37"/>
  <c r="L10" i="57" s="1"/>
  <c r="M5" i="37"/>
  <c r="M15" i="37"/>
  <c r="M23" i="37"/>
  <c r="M11" i="37"/>
  <c r="K11" i="46"/>
  <c r="I11" i="46"/>
  <c r="E11" i="46"/>
  <c r="K10" i="46"/>
  <c r="I10" i="46"/>
  <c r="G10" i="46"/>
  <c r="E10" i="46"/>
  <c r="C10" i="46"/>
  <c r="K9" i="46"/>
  <c r="I9" i="46"/>
  <c r="G9" i="46"/>
  <c r="E9" i="46"/>
  <c r="K8" i="46"/>
  <c r="I8" i="46"/>
  <c r="G8" i="46"/>
  <c r="E8" i="46"/>
  <c r="K7" i="46"/>
  <c r="I7" i="46"/>
  <c r="G7" i="46"/>
  <c r="E7" i="46"/>
  <c r="K6" i="46"/>
  <c r="I6" i="46"/>
  <c r="G6" i="46"/>
  <c r="E6" i="46"/>
  <c r="K5" i="46"/>
  <c r="I5" i="46"/>
  <c r="G5" i="46"/>
  <c r="E5" i="46"/>
  <c r="H39" i="34"/>
  <c r="F39" i="34"/>
  <c r="D39" i="34"/>
  <c r="H38" i="34"/>
  <c r="F38" i="34"/>
  <c r="D38" i="34"/>
  <c r="H37" i="34"/>
  <c r="F37" i="34"/>
  <c r="D37" i="34"/>
  <c r="H36" i="34"/>
  <c r="F36" i="34"/>
  <c r="D36" i="34"/>
  <c r="H35" i="34"/>
  <c r="F35" i="34"/>
  <c r="D35" i="34"/>
  <c r="H34" i="34"/>
  <c r="F34" i="34"/>
  <c r="D34" i="34"/>
  <c r="H33" i="34"/>
  <c r="F33" i="34"/>
  <c r="D33" i="34"/>
  <c r="H32" i="34"/>
  <c r="F32" i="34"/>
  <c r="D32" i="34"/>
  <c r="H31" i="34"/>
  <c r="F31" i="34"/>
  <c r="D31" i="34"/>
  <c r="H30" i="34"/>
  <c r="F30" i="34"/>
  <c r="D30" i="34"/>
  <c r="H29" i="34"/>
  <c r="F29" i="34"/>
  <c r="D29" i="34"/>
  <c r="F28" i="34"/>
  <c r="D28" i="34"/>
  <c r="H27" i="34"/>
  <c r="F27" i="34"/>
  <c r="D27" i="34"/>
  <c r="H26" i="34"/>
  <c r="F26" i="34"/>
  <c r="D26" i="34"/>
  <c r="H25" i="34"/>
  <c r="F25" i="34"/>
  <c r="D25" i="34"/>
  <c r="H24" i="34"/>
  <c r="F24" i="34"/>
  <c r="D24" i="34"/>
  <c r="H23" i="34"/>
  <c r="F23" i="34"/>
  <c r="D23" i="34"/>
  <c r="H22" i="34"/>
  <c r="F22" i="34"/>
  <c r="D22" i="34"/>
  <c r="H21" i="34"/>
  <c r="F21" i="34"/>
  <c r="D21" i="34"/>
  <c r="H20" i="34"/>
  <c r="F20" i="34"/>
  <c r="D20" i="34"/>
  <c r="H19" i="34"/>
  <c r="F19" i="34"/>
  <c r="D19" i="34"/>
  <c r="H18" i="34"/>
  <c r="F18" i="34"/>
  <c r="D18" i="34"/>
  <c r="H17" i="34"/>
  <c r="F17" i="34"/>
  <c r="D17" i="34"/>
  <c r="H16" i="34"/>
  <c r="F16" i="34"/>
  <c r="D16" i="34"/>
  <c r="H15" i="34"/>
  <c r="F15" i="34"/>
  <c r="D15" i="34"/>
  <c r="H14" i="34"/>
  <c r="F14" i="34"/>
  <c r="D14" i="34"/>
  <c r="H13" i="34"/>
  <c r="F13" i="34"/>
  <c r="D13" i="34"/>
  <c r="H12" i="34"/>
  <c r="F12" i="34"/>
  <c r="D12" i="34"/>
  <c r="H11" i="34"/>
  <c r="F11" i="34"/>
  <c r="D11" i="34"/>
  <c r="F10" i="34"/>
  <c r="D10" i="34"/>
  <c r="F9" i="34"/>
  <c r="D9" i="34"/>
  <c r="F8" i="34"/>
  <c r="D8" i="34"/>
  <c r="F7" i="34"/>
  <c r="D7" i="34"/>
  <c r="F6" i="34"/>
  <c r="D6" i="34"/>
  <c r="H5" i="34"/>
  <c r="F5" i="34"/>
  <c r="D5" i="34"/>
  <c r="H4" i="34"/>
  <c r="F4" i="34"/>
  <c r="D4" i="34"/>
  <c r="H3" i="34"/>
  <c r="F3" i="34"/>
  <c r="D3" i="34"/>
  <c r="H2" i="34"/>
  <c r="F2" i="34"/>
  <c r="D2" i="34"/>
  <c r="L24" i="34"/>
  <c r="L20" i="34"/>
  <c r="L18" i="34"/>
  <c r="L12" i="34"/>
  <c r="L11" i="34"/>
  <c r="AE113" i="33"/>
  <c r="G39" i="34" s="1"/>
  <c r="I39" i="34" s="1"/>
  <c r="L39" i="34" s="1"/>
  <c r="AD113" i="33"/>
  <c r="AC113" i="33"/>
  <c r="AB113" i="33"/>
  <c r="AA113" i="33"/>
  <c r="Z113" i="33"/>
  <c r="S113" i="33"/>
  <c r="E39" i="34" s="1"/>
  <c r="AE112" i="33"/>
  <c r="G38" i="34" s="1"/>
  <c r="AD112" i="33"/>
  <c r="AC112" i="33"/>
  <c r="AB112" i="33"/>
  <c r="AA112" i="33"/>
  <c r="Z112" i="33"/>
  <c r="X112" i="33"/>
  <c r="S112" i="33"/>
  <c r="E38" i="34" s="1"/>
  <c r="R112" i="33"/>
  <c r="Q112" i="33"/>
  <c r="AE111" i="33"/>
  <c r="AD111" i="33"/>
  <c r="AC111" i="33"/>
  <c r="AB111" i="33"/>
  <c r="AA111" i="33"/>
  <c r="Z111" i="33"/>
  <c r="S111" i="33"/>
  <c r="AE110" i="33"/>
  <c r="G37" i="34" s="1"/>
  <c r="AD110" i="33"/>
  <c r="AC110" i="33"/>
  <c r="AB110" i="33"/>
  <c r="AA110" i="33"/>
  <c r="Z110" i="33"/>
  <c r="X110" i="33"/>
  <c r="S110" i="33"/>
  <c r="E37" i="34" s="1"/>
  <c r="AE109" i="33"/>
  <c r="AD109" i="33"/>
  <c r="AC109" i="33"/>
  <c r="AB109" i="33"/>
  <c r="AA109" i="33"/>
  <c r="Z109" i="33"/>
  <c r="S109" i="33"/>
  <c r="AE108" i="33"/>
  <c r="G36" i="34" s="1"/>
  <c r="AD108" i="33"/>
  <c r="AC108" i="33"/>
  <c r="AB108" i="33"/>
  <c r="AA108" i="33"/>
  <c r="Z108" i="33"/>
  <c r="X108" i="33"/>
  <c r="S108" i="33"/>
  <c r="E36" i="34" s="1"/>
  <c r="R108" i="33"/>
  <c r="Q108" i="33"/>
  <c r="AE107" i="33"/>
  <c r="AD107" i="33"/>
  <c r="AC107" i="33"/>
  <c r="AB107" i="33"/>
  <c r="AA107" i="33"/>
  <c r="Z107" i="33"/>
  <c r="S107" i="33"/>
  <c r="AE106" i="33"/>
  <c r="AD106" i="33"/>
  <c r="AC106" i="33"/>
  <c r="AB106" i="33"/>
  <c r="AA106" i="33"/>
  <c r="Z106" i="33"/>
  <c r="S106" i="33"/>
  <c r="AE105" i="33"/>
  <c r="G35" i="34" s="1"/>
  <c r="AD105" i="33"/>
  <c r="AC105" i="33"/>
  <c r="AB105" i="33"/>
  <c r="AA105" i="33"/>
  <c r="Z105" i="33"/>
  <c r="X105" i="33"/>
  <c r="S105" i="33"/>
  <c r="E35" i="34" s="1"/>
  <c r="R105" i="33"/>
  <c r="Q105" i="33"/>
  <c r="AE104" i="33"/>
  <c r="AD104" i="33"/>
  <c r="AC104" i="33"/>
  <c r="AB104" i="33"/>
  <c r="AA104" i="33"/>
  <c r="Z104" i="33"/>
  <c r="S104" i="33"/>
  <c r="AE103" i="33"/>
  <c r="G34" i="34" s="1"/>
  <c r="I34" i="34" s="1"/>
  <c r="L34" i="34" s="1"/>
  <c r="AD103" i="33"/>
  <c r="AC103" i="33"/>
  <c r="AB103" i="33"/>
  <c r="AA103" i="33"/>
  <c r="Z103" i="33"/>
  <c r="X103" i="33"/>
  <c r="S103" i="33"/>
  <c r="E34" i="34" s="1"/>
  <c r="R103" i="33"/>
  <c r="Q103" i="33"/>
  <c r="AE102" i="33"/>
  <c r="AD102" i="33"/>
  <c r="AC102" i="33"/>
  <c r="AB102" i="33"/>
  <c r="AA102" i="33"/>
  <c r="Z102" i="33"/>
  <c r="S102" i="33"/>
  <c r="AE101" i="33"/>
  <c r="AD101" i="33"/>
  <c r="AC101" i="33"/>
  <c r="AB101" i="33"/>
  <c r="AA101" i="33"/>
  <c r="Z101" i="33"/>
  <c r="S101" i="33"/>
  <c r="AE100" i="33"/>
  <c r="G33" i="34" s="1"/>
  <c r="AD100" i="33"/>
  <c r="AC100" i="33"/>
  <c r="AB100" i="33"/>
  <c r="AA100" i="33"/>
  <c r="Z100" i="33"/>
  <c r="S100" i="33"/>
  <c r="E33" i="34" s="1"/>
  <c r="AE99" i="33"/>
  <c r="AD99" i="33"/>
  <c r="AC99" i="33"/>
  <c r="AB99" i="33"/>
  <c r="AA99" i="33"/>
  <c r="Z99" i="33"/>
  <c r="S99" i="33"/>
  <c r="AE98" i="33"/>
  <c r="AD98" i="33"/>
  <c r="AC98" i="33"/>
  <c r="AB98" i="33"/>
  <c r="AA98" i="33"/>
  <c r="Z98" i="33"/>
  <c r="S98" i="33"/>
  <c r="AE97" i="33"/>
  <c r="AD97" i="33"/>
  <c r="AC97" i="33"/>
  <c r="AB97" i="33"/>
  <c r="AA97" i="33"/>
  <c r="Z97" i="33"/>
  <c r="S97" i="33"/>
  <c r="AE96" i="33"/>
  <c r="AD96" i="33"/>
  <c r="AC96" i="33"/>
  <c r="AB96" i="33"/>
  <c r="AA96" i="33"/>
  <c r="Z96" i="33"/>
  <c r="S96" i="33"/>
  <c r="AE95" i="33"/>
  <c r="AD95" i="33"/>
  <c r="AC95" i="33"/>
  <c r="AB95" i="33"/>
  <c r="AA95" i="33"/>
  <c r="Z95" i="33"/>
  <c r="S95" i="33"/>
  <c r="AE94" i="33"/>
  <c r="AD94" i="33"/>
  <c r="AC94" i="33"/>
  <c r="AB94" i="33"/>
  <c r="AA94" i="33"/>
  <c r="Z94" i="33"/>
  <c r="S94" i="33"/>
  <c r="AE93" i="33"/>
  <c r="G32" i="34" s="1"/>
  <c r="AD93" i="33"/>
  <c r="AC93" i="33"/>
  <c r="AB93" i="33"/>
  <c r="AA93" i="33"/>
  <c r="Z93" i="33"/>
  <c r="S93" i="33"/>
  <c r="E32" i="34" s="1"/>
  <c r="AE92" i="33"/>
  <c r="G31" i="34" s="1"/>
  <c r="AD92" i="33"/>
  <c r="AC92" i="33"/>
  <c r="AB92" i="33"/>
  <c r="AA92" i="33"/>
  <c r="Z92" i="33"/>
  <c r="S92" i="33"/>
  <c r="E31" i="34" s="1"/>
  <c r="AE91" i="33"/>
  <c r="G30" i="34" s="1"/>
  <c r="AD91" i="33"/>
  <c r="AC91" i="33"/>
  <c r="AB91" i="33"/>
  <c r="AA91" i="33"/>
  <c r="Z91" i="33"/>
  <c r="S91" i="33"/>
  <c r="E30" i="34" s="1"/>
  <c r="AE90" i="33"/>
  <c r="G29" i="34" s="1"/>
  <c r="I29" i="34" s="1"/>
  <c r="L29" i="34" s="1"/>
  <c r="AD90" i="33"/>
  <c r="AC90" i="33"/>
  <c r="AB90" i="33"/>
  <c r="AA90" i="33"/>
  <c r="Z90" i="33"/>
  <c r="X90" i="33"/>
  <c r="S90" i="33"/>
  <c r="E29" i="34" s="1"/>
  <c r="AE89" i="33"/>
  <c r="G28" i="34" s="1"/>
  <c r="AD89" i="33"/>
  <c r="AC89" i="33"/>
  <c r="AB89" i="33"/>
  <c r="AA89" i="33"/>
  <c r="Z89" i="33"/>
  <c r="S89" i="33"/>
  <c r="X89" i="33" s="1"/>
  <c r="H28" i="34" s="1"/>
  <c r="AE88" i="33"/>
  <c r="AD88" i="33"/>
  <c r="AC88" i="33"/>
  <c r="AB88" i="33"/>
  <c r="AA88" i="33"/>
  <c r="Z88" i="33"/>
  <c r="S88" i="33"/>
  <c r="AE87" i="33"/>
  <c r="AD87" i="33"/>
  <c r="AC87" i="33"/>
  <c r="AB87" i="33"/>
  <c r="AA87" i="33"/>
  <c r="Z87" i="33"/>
  <c r="S87" i="33"/>
  <c r="AE86" i="33"/>
  <c r="AD86" i="33"/>
  <c r="AC86" i="33"/>
  <c r="AB86" i="33"/>
  <c r="AA86" i="33"/>
  <c r="Z86" i="33"/>
  <c r="S86" i="33"/>
  <c r="AE85" i="33"/>
  <c r="AD85" i="33"/>
  <c r="AC85" i="33"/>
  <c r="AB85" i="33"/>
  <c r="AA85" i="33"/>
  <c r="Z85" i="33"/>
  <c r="S85" i="33"/>
  <c r="AE84" i="33"/>
  <c r="AD84" i="33"/>
  <c r="AC84" i="33"/>
  <c r="AB84" i="33"/>
  <c r="AA84" i="33"/>
  <c r="Z84" i="33"/>
  <c r="S84" i="33"/>
  <c r="AE83" i="33"/>
  <c r="G27" i="34" s="1"/>
  <c r="AD83" i="33"/>
  <c r="AC83" i="33"/>
  <c r="AB83" i="33"/>
  <c r="AA83" i="33"/>
  <c r="Z83" i="33"/>
  <c r="Y83" i="33"/>
  <c r="S83" i="33"/>
  <c r="E27" i="34" s="1"/>
  <c r="R83" i="33"/>
  <c r="Q83" i="33"/>
  <c r="AE82" i="33"/>
  <c r="AD82" i="33"/>
  <c r="AC82" i="33"/>
  <c r="AB82" i="33"/>
  <c r="AA82" i="33"/>
  <c r="Z82" i="33"/>
  <c r="S82" i="33"/>
  <c r="AE81" i="33"/>
  <c r="AD81" i="33"/>
  <c r="AC81" i="33"/>
  <c r="AB81" i="33"/>
  <c r="AA81" i="33"/>
  <c r="Z81" i="33"/>
  <c r="S81" i="33"/>
  <c r="AE80" i="33"/>
  <c r="G26" i="34" s="1"/>
  <c r="AD80" i="33"/>
  <c r="AC80" i="33"/>
  <c r="AB80" i="33"/>
  <c r="AA80" i="33"/>
  <c r="Z80" i="33"/>
  <c r="X80" i="33"/>
  <c r="S80" i="33"/>
  <c r="E26" i="34" s="1"/>
  <c r="R80" i="33"/>
  <c r="Q80" i="33"/>
  <c r="AE79" i="33"/>
  <c r="AD79" i="33"/>
  <c r="AC79" i="33"/>
  <c r="AB79" i="33"/>
  <c r="AA79" i="33"/>
  <c r="Z79" i="33"/>
  <c r="S79" i="33"/>
  <c r="AE78" i="33"/>
  <c r="AD78" i="33"/>
  <c r="AC78" i="33"/>
  <c r="AB78" i="33"/>
  <c r="AA78" i="33"/>
  <c r="Z78" i="33"/>
  <c r="S78" i="33"/>
  <c r="AE77" i="33"/>
  <c r="G25" i="34" s="1"/>
  <c r="I25" i="34" s="1"/>
  <c r="L25" i="34" s="1"/>
  <c r="AD77" i="33"/>
  <c r="AC77" i="33"/>
  <c r="AB77" i="33"/>
  <c r="AA77" i="33"/>
  <c r="Z77" i="33"/>
  <c r="Y77" i="33"/>
  <c r="X77" i="33"/>
  <c r="S77" i="33"/>
  <c r="E25" i="34" s="1"/>
  <c r="AE76" i="33"/>
  <c r="AD76" i="33"/>
  <c r="AC76" i="33"/>
  <c r="AB76" i="33"/>
  <c r="AA76" i="33"/>
  <c r="Z76" i="33"/>
  <c r="S76" i="33"/>
  <c r="AE75" i="33"/>
  <c r="AD75" i="33"/>
  <c r="AC75" i="33"/>
  <c r="AB75" i="33"/>
  <c r="AA75" i="33"/>
  <c r="Z75" i="33"/>
  <c r="S75" i="33"/>
  <c r="AE74" i="33"/>
  <c r="AD74" i="33"/>
  <c r="AC74" i="33"/>
  <c r="AB74" i="33"/>
  <c r="AA74" i="33"/>
  <c r="Z74" i="33"/>
  <c r="S74" i="33"/>
  <c r="AE73" i="33"/>
  <c r="G24" i="34" s="1"/>
  <c r="AD73" i="33"/>
  <c r="AC73" i="33"/>
  <c r="AB73" i="33"/>
  <c r="AA73" i="33"/>
  <c r="Z73" i="33"/>
  <c r="S73" i="33"/>
  <c r="E24" i="34" s="1"/>
  <c r="AE72" i="33"/>
  <c r="G23" i="34" s="1"/>
  <c r="AD72" i="33"/>
  <c r="AC72" i="33"/>
  <c r="AB72" i="33"/>
  <c r="AA72" i="33"/>
  <c r="Z72" i="33"/>
  <c r="S72" i="33"/>
  <c r="E23" i="34" s="1"/>
  <c r="R72" i="33"/>
  <c r="Q72" i="33"/>
  <c r="AE71" i="33"/>
  <c r="AD71" i="33"/>
  <c r="AC71" i="33"/>
  <c r="AB71" i="33"/>
  <c r="AA71" i="33"/>
  <c r="Z71" i="33"/>
  <c r="S71" i="33"/>
  <c r="AE70" i="33"/>
  <c r="AD70" i="33"/>
  <c r="AC70" i="33"/>
  <c r="AB70" i="33"/>
  <c r="AA70" i="33"/>
  <c r="Z70" i="33"/>
  <c r="S70" i="33"/>
  <c r="AE69" i="33"/>
  <c r="AD69" i="33"/>
  <c r="AC69" i="33"/>
  <c r="AB69" i="33"/>
  <c r="AA69" i="33"/>
  <c r="Z69" i="33"/>
  <c r="S69" i="33"/>
  <c r="AE68" i="33"/>
  <c r="G22" i="34" s="1"/>
  <c r="AD68" i="33"/>
  <c r="AC68" i="33"/>
  <c r="AB68" i="33"/>
  <c r="AA68" i="33"/>
  <c r="Z68" i="33"/>
  <c r="S68" i="33"/>
  <c r="E22" i="34" s="1"/>
  <c r="R68" i="33"/>
  <c r="Q68" i="33"/>
  <c r="AE67" i="33"/>
  <c r="AD67" i="33"/>
  <c r="AC67" i="33"/>
  <c r="AB67" i="33"/>
  <c r="AA67" i="33"/>
  <c r="Z67" i="33"/>
  <c r="S67" i="33"/>
  <c r="AE66" i="33"/>
  <c r="AD66" i="33"/>
  <c r="AC66" i="33"/>
  <c r="AB66" i="33"/>
  <c r="AA66" i="33"/>
  <c r="Z66" i="33"/>
  <c r="S66" i="33"/>
  <c r="AE65" i="33"/>
  <c r="G21" i="34" s="1"/>
  <c r="I21" i="34" s="1"/>
  <c r="L21" i="34" s="1"/>
  <c r="AD65" i="33"/>
  <c r="AC65" i="33"/>
  <c r="AB65" i="33"/>
  <c r="AA65" i="33"/>
  <c r="Z65" i="33"/>
  <c r="S65" i="33"/>
  <c r="E21" i="34" s="1"/>
  <c r="R65" i="33"/>
  <c r="Q65" i="33"/>
  <c r="AE64" i="33"/>
  <c r="AD64" i="33"/>
  <c r="AC64" i="33"/>
  <c r="AB64" i="33"/>
  <c r="AA64" i="33"/>
  <c r="Z64" i="33"/>
  <c r="S64" i="33"/>
  <c r="AE63" i="33"/>
  <c r="AD63" i="33"/>
  <c r="AC63" i="33"/>
  <c r="AB63" i="33"/>
  <c r="AA63" i="33"/>
  <c r="Z63" i="33"/>
  <c r="S63" i="33"/>
  <c r="AE62" i="33"/>
  <c r="G20" i="34" s="1"/>
  <c r="AD62" i="33"/>
  <c r="AC62" i="33"/>
  <c r="AB62" i="33"/>
  <c r="AA62" i="33"/>
  <c r="Z62" i="33"/>
  <c r="S62" i="33"/>
  <c r="E20" i="34" s="1"/>
  <c r="R62" i="33"/>
  <c r="Q62" i="33"/>
  <c r="AE61" i="33"/>
  <c r="AD61" i="33"/>
  <c r="AC61" i="33"/>
  <c r="AB61" i="33"/>
  <c r="AA61" i="33"/>
  <c r="Z61" i="33"/>
  <c r="S61" i="33"/>
  <c r="AE60" i="33"/>
  <c r="G19" i="34" s="1"/>
  <c r="AD60" i="33"/>
  <c r="AC60" i="33"/>
  <c r="AB60" i="33"/>
  <c r="AA60" i="33"/>
  <c r="Z60" i="33"/>
  <c r="S60" i="33"/>
  <c r="E19" i="34" s="1"/>
  <c r="R60" i="33"/>
  <c r="Q60" i="33"/>
  <c r="AE59" i="33"/>
  <c r="AD59" i="33"/>
  <c r="AC59" i="33"/>
  <c r="AB59" i="33"/>
  <c r="AA59" i="33"/>
  <c r="Z59" i="33"/>
  <c r="S59" i="33"/>
  <c r="AE58" i="33"/>
  <c r="AD58" i="33"/>
  <c r="AC58" i="33"/>
  <c r="AB58" i="33"/>
  <c r="AA58" i="33"/>
  <c r="Z58" i="33"/>
  <c r="S58" i="33"/>
  <c r="AE57" i="33"/>
  <c r="G18" i="34" s="1"/>
  <c r="AD57" i="33"/>
  <c r="AC57" i="33"/>
  <c r="AB57" i="33"/>
  <c r="AA57" i="33"/>
  <c r="Z57" i="33"/>
  <c r="S57" i="33"/>
  <c r="E18" i="34" s="1"/>
  <c r="AE56" i="33"/>
  <c r="AD56" i="33"/>
  <c r="AC56" i="33"/>
  <c r="AB56" i="33"/>
  <c r="AA56" i="33"/>
  <c r="Z56" i="33"/>
  <c r="S56" i="33"/>
  <c r="AE55" i="33"/>
  <c r="AD55" i="33"/>
  <c r="AC55" i="33"/>
  <c r="AB55" i="33"/>
  <c r="AA55" i="33"/>
  <c r="Z55" i="33"/>
  <c r="S55" i="33"/>
  <c r="AE54" i="33"/>
  <c r="G17" i="34" s="1"/>
  <c r="AD54" i="33"/>
  <c r="AC54" i="33"/>
  <c r="AB54" i="33"/>
  <c r="AA54" i="33"/>
  <c r="Z54" i="33"/>
  <c r="S54" i="33"/>
  <c r="E17" i="34" s="1"/>
  <c r="AE53" i="33"/>
  <c r="G16" i="34" s="1"/>
  <c r="AD53" i="33"/>
  <c r="AC53" i="33"/>
  <c r="AB53" i="33"/>
  <c r="AA53" i="33"/>
  <c r="Z53" i="33"/>
  <c r="S53" i="33"/>
  <c r="E16" i="34" s="1"/>
  <c r="R53" i="33"/>
  <c r="Q53" i="33"/>
  <c r="AE52" i="33"/>
  <c r="AD52" i="33"/>
  <c r="AC52" i="33"/>
  <c r="AB52" i="33"/>
  <c r="AA52" i="33"/>
  <c r="Z52" i="33"/>
  <c r="S52" i="33"/>
  <c r="AE51" i="33"/>
  <c r="AD51" i="33"/>
  <c r="AC51" i="33"/>
  <c r="AB51" i="33"/>
  <c r="AA51" i="33"/>
  <c r="Z51" i="33"/>
  <c r="S51" i="33"/>
  <c r="AE50" i="33"/>
  <c r="AD50" i="33"/>
  <c r="AC50" i="33"/>
  <c r="AB50" i="33"/>
  <c r="AA50" i="33"/>
  <c r="Z50" i="33"/>
  <c r="S50" i="33"/>
  <c r="AE49" i="33"/>
  <c r="G15" i="34" s="1"/>
  <c r="AD49" i="33"/>
  <c r="AC49" i="33"/>
  <c r="AB49" i="33"/>
  <c r="AA49" i="33"/>
  <c r="Z49" i="33"/>
  <c r="U49" i="33"/>
  <c r="V49" i="33" s="1"/>
  <c r="W49" i="33" s="1"/>
  <c r="X49" i="33" s="1"/>
  <c r="S49" i="33"/>
  <c r="E15" i="34" s="1"/>
  <c r="R49" i="33"/>
  <c r="Q49" i="33"/>
  <c r="AE48" i="33"/>
  <c r="AD48" i="33"/>
  <c r="AC48" i="33"/>
  <c r="AB48" i="33"/>
  <c r="AA48" i="33"/>
  <c r="Z48" i="33"/>
  <c r="S48" i="33"/>
  <c r="AE47" i="33"/>
  <c r="AD47" i="33"/>
  <c r="AC47" i="33"/>
  <c r="AB47" i="33"/>
  <c r="AA47" i="33"/>
  <c r="Z47" i="33"/>
  <c r="S47" i="33"/>
  <c r="AE46" i="33"/>
  <c r="AD46" i="33"/>
  <c r="AC46" i="33"/>
  <c r="AB46" i="33"/>
  <c r="AA46" i="33"/>
  <c r="Z46" i="33"/>
  <c r="S46" i="33"/>
  <c r="AE45" i="33"/>
  <c r="AD45" i="33"/>
  <c r="AC45" i="33"/>
  <c r="AB45" i="33"/>
  <c r="AA45" i="33"/>
  <c r="Z45" i="33"/>
  <c r="S45" i="33"/>
  <c r="AE44" i="33"/>
  <c r="G14" i="34" s="1"/>
  <c r="I14" i="34" s="1"/>
  <c r="L14" i="34" s="1"/>
  <c r="AD44" i="33"/>
  <c r="AC44" i="33"/>
  <c r="AB44" i="33"/>
  <c r="AA44" i="33"/>
  <c r="Z44" i="33"/>
  <c r="U44" i="33"/>
  <c r="V44" i="33" s="1"/>
  <c r="W44" i="33" s="1"/>
  <c r="X44" i="33" s="1"/>
  <c r="S44" i="33"/>
  <c r="E14" i="34" s="1"/>
  <c r="AE43" i="33"/>
  <c r="G13" i="34" s="1"/>
  <c r="AD43" i="33"/>
  <c r="AC43" i="33"/>
  <c r="AB43" i="33"/>
  <c r="AA43" i="33"/>
  <c r="Z43" i="33"/>
  <c r="S43" i="33"/>
  <c r="E13" i="34" s="1"/>
  <c r="AE42" i="33"/>
  <c r="G12" i="34" s="1"/>
  <c r="AD42" i="33"/>
  <c r="AC42" i="33"/>
  <c r="AB42" i="33"/>
  <c r="AA42" i="33"/>
  <c r="Z42" i="33"/>
  <c r="S42" i="33"/>
  <c r="E12" i="34" s="1"/>
  <c r="AE41" i="33"/>
  <c r="AD41" i="33"/>
  <c r="AC41" i="33"/>
  <c r="AB41" i="33"/>
  <c r="AA41" i="33"/>
  <c r="Z41" i="33"/>
  <c r="S41" i="33"/>
  <c r="AE40" i="33"/>
  <c r="AD40" i="33"/>
  <c r="AC40" i="33"/>
  <c r="AB40" i="33"/>
  <c r="AA40" i="33"/>
  <c r="Z40" i="33"/>
  <c r="S40" i="33"/>
  <c r="AE39" i="33"/>
  <c r="G11" i="34" s="1"/>
  <c r="AD39" i="33"/>
  <c r="AC39" i="33"/>
  <c r="AB39" i="33"/>
  <c r="AA39" i="33"/>
  <c r="Z39" i="33"/>
  <c r="S39" i="33"/>
  <c r="E11" i="34" s="1"/>
  <c r="R39" i="33"/>
  <c r="Q39" i="33"/>
  <c r="AE38" i="33"/>
  <c r="AD38" i="33"/>
  <c r="AC38" i="33"/>
  <c r="AB38" i="33"/>
  <c r="AA38" i="33"/>
  <c r="Z38" i="33"/>
  <c r="S38" i="33"/>
  <c r="AE37" i="33"/>
  <c r="AD37" i="33"/>
  <c r="AC37" i="33"/>
  <c r="AB37" i="33"/>
  <c r="AA37" i="33"/>
  <c r="Z37" i="33"/>
  <c r="S37" i="33"/>
  <c r="AE36" i="33"/>
  <c r="G10" i="34" s="1"/>
  <c r="AD36" i="33"/>
  <c r="AC36" i="33"/>
  <c r="AB36" i="33"/>
  <c r="AA36" i="33"/>
  <c r="Z36" i="33"/>
  <c r="S36" i="33"/>
  <c r="X36" i="33" s="1"/>
  <c r="H10" i="34" s="1"/>
  <c r="R36" i="33"/>
  <c r="Q36" i="33"/>
  <c r="AE35" i="33"/>
  <c r="AD35" i="33"/>
  <c r="AC35" i="33"/>
  <c r="AB35" i="33"/>
  <c r="AA35" i="33"/>
  <c r="Z35" i="33"/>
  <c r="S35" i="33"/>
  <c r="R35" i="33"/>
  <c r="Q35" i="33"/>
  <c r="AE34" i="33"/>
  <c r="AD34" i="33"/>
  <c r="AC34" i="33"/>
  <c r="AB34" i="33"/>
  <c r="AA34" i="33"/>
  <c r="Z34" i="33"/>
  <c r="S34" i="33"/>
  <c r="AE33" i="33"/>
  <c r="AD33" i="33"/>
  <c r="AC33" i="33"/>
  <c r="AB33" i="33"/>
  <c r="AA33" i="33"/>
  <c r="Z33" i="33"/>
  <c r="S33" i="33"/>
  <c r="AE32" i="33"/>
  <c r="AD32" i="33"/>
  <c r="AC32" i="33"/>
  <c r="AB32" i="33"/>
  <c r="AA32" i="33"/>
  <c r="Z32" i="33"/>
  <c r="S32" i="33"/>
  <c r="AE31" i="33"/>
  <c r="AD31" i="33"/>
  <c r="AC31" i="33"/>
  <c r="AB31" i="33"/>
  <c r="AA31" i="33"/>
  <c r="Z31" i="33"/>
  <c r="S31" i="33"/>
  <c r="AE30" i="33"/>
  <c r="AD30" i="33"/>
  <c r="AC30" i="33"/>
  <c r="AB30" i="33"/>
  <c r="AA30" i="33"/>
  <c r="Z30" i="33"/>
  <c r="S30" i="33"/>
  <c r="AE29" i="33"/>
  <c r="AD29" i="33"/>
  <c r="AC29" i="33"/>
  <c r="AB29" i="33"/>
  <c r="AA29" i="33"/>
  <c r="Z29" i="33"/>
  <c r="S29" i="33"/>
  <c r="AE28" i="33"/>
  <c r="AD28" i="33"/>
  <c r="AC28" i="33"/>
  <c r="AB28" i="33"/>
  <c r="AA28" i="33"/>
  <c r="Z28" i="33"/>
  <c r="S28" i="33"/>
  <c r="AE27" i="33"/>
  <c r="AD27" i="33"/>
  <c r="AC27" i="33"/>
  <c r="AB27" i="33"/>
  <c r="AA27" i="33"/>
  <c r="Z27" i="33"/>
  <c r="S27" i="33"/>
  <c r="AE26" i="33"/>
  <c r="AD26" i="33"/>
  <c r="AC26" i="33"/>
  <c r="AB26" i="33"/>
  <c r="AA26" i="33"/>
  <c r="Z26" i="33"/>
  <c r="S26" i="33"/>
  <c r="AE25" i="33"/>
  <c r="AD25" i="33"/>
  <c r="AC25" i="33"/>
  <c r="AB25" i="33"/>
  <c r="AA25" i="33"/>
  <c r="Z25" i="33"/>
  <c r="S25" i="33"/>
  <c r="AE24" i="33"/>
  <c r="AD24" i="33"/>
  <c r="AC24" i="33"/>
  <c r="AB24" i="33"/>
  <c r="AA24" i="33"/>
  <c r="Z24" i="33"/>
  <c r="S24" i="33"/>
  <c r="AE23" i="33"/>
  <c r="G9" i="34" s="1"/>
  <c r="AD23" i="33"/>
  <c r="AC23" i="33"/>
  <c r="AB23" i="33"/>
  <c r="AA23" i="33"/>
  <c r="Z23" i="33"/>
  <c r="S23" i="33"/>
  <c r="X23" i="33" s="1"/>
  <c r="H9" i="34" s="1"/>
  <c r="R23" i="33"/>
  <c r="Q23" i="33"/>
  <c r="AE22" i="33"/>
  <c r="AD22" i="33"/>
  <c r="AC22" i="33"/>
  <c r="AB22" i="33"/>
  <c r="AA22" i="33"/>
  <c r="Z22" i="33"/>
  <c r="S22" i="33"/>
  <c r="AE21" i="33"/>
  <c r="G8" i="34" s="1"/>
  <c r="AD21" i="33"/>
  <c r="AC21" i="33"/>
  <c r="AB21" i="33"/>
  <c r="AA21" i="33"/>
  <c r="Z21" i="33"/>
  <c r="S21" i="33"/>
  <c r="X21" i="33" s="1"/>
  <c r="H8" i="34" s="1"/>
  <c r="R21" i="33"/>
  <c r="Q21" i="33"/>
  <c r="AE20" i="33"/>
  <c r="AD20" i="33"/>
  <c r="AC20" i="33"/>
  <c r="AB20" i="33"/>
  <c r="AA20" i="33"/>
  <c r="Z20" i="33"/>
  <c r="S20" i="33"/>
  <c r="AE19" i="33"/>
  <c r="G7" i="34" s="1"/>
  <c r="AD19" i="33"/>
  <c r="AC19" i="33"/>
  <c r="AB19" i="33"/>
  <c r="AA19" i="33"/>
  <c r="Z19" i="33"/>
  <c r="S19" i="33"/>
  <c r="X19" i="33" s="1"/>
  <c r="H7" i="34" s="1"/>
  <c r="R19" i="33"/>
  <c r="Q19" i="33"/>
  <c r="AE18" i="33"/>
  <c r="AD18" i="33"/>
  <c r="AC18" i="33"/>
  <c r="AB18" i="33"/>
  <c r="AA18" i="33"/>
  <c r="Z18" i="33"/>
  <c r="S18" i="33"/>
  <c r="R18" i="33"/>
  <c r="Q18" i="33"/>
  <c r="E18" i="33"/>
  <c r="AE17" i="33"/>
  <c r="AD17" i="33"/>
  <c r="AC17" i="33"/>
  <c r="AB17" i="33"/>
  <c r="AA17" i="33"/>
  <c r="Z17" i="33"/>
  <c r="S17" i="33"/>
  <c r="AE16" i="33"/>
  <c r="AD16" i="33"/>
  <c r="AC16" i="33"/>
  <c r="AB16" i="33"/>
  <c r="AA16" i="33"/>
  <c r="Z16" i="33"/>
  <c r="S16" i="33"/>
  <c r="AE15" i="33"/>
  <c r="AD15" i="33"/>
  <c r="AC15" i="33"/>
  <c r="AB15" i="33"/>
  <c r="AA15" i="33"/>
  <c r="Z15" i="33"/>
  <c r="S15" i="33"/>
  <c r="AE14" i="33"/>
  <c r="AD14" i="33"/>
  <c r="AC14" i="33"/>
  <c r="AB14" i="33"/>
  <c r="AA14" i="33"/>
  <c r="Z14" i="33"/>
  <c r="S14" i="33"/>
  <c r="AE13" i="33"/>
  <c r="G6" i="34" s="1"/>
  <c r="AD13" i="33"/>
  <c r="AC13" i="33"/>
  <c r="AB13" i="33"/>
  <c r="AA13" i="33"/>
  <c r="Z13" i="33"/>
  <c r="S13" i="33"/>
  <c r="X13" i="33" s="1"/>
  <c r="H6" i="34" s="1"/>
  <c r="R13" i="33"/>
  <c r="Q13" i="33"/>
  <c r="AE12" i="33"/>
  <c r="AD12" i="33"/>
  <c r="AC12" i="33"/>
  <c r="AB12" i="33"/>
  <c r="AA12" i="33"/>
  <c r="Z12" i="33"/>
  <c r="S12" i="33"/>
  <c r="AE11" i="33"/>
  <c r="G5" i="34" s="1"/>
  <c r="AD11" i="33"/>
  <c r="AC11" i="33"/>
  <c r="AB11" i="33"/>
  <c r="AA11" i="33"/>
  <c r="Z11" i="33"/>
  <c r="T11" i="33"/>
  <c r="U11" i="33" s="1"/>
  <c r="V11" i="33" s="1"/>
  <c r="W11" i="33" s="1"/>
  <c r="X11" i="33" s="1"/>
  <c r="S11" i="33"/>
  <c r="E5" i="34" s="1"/>
  <c r="R11" i="33"/>
  <c r="Q11" i="33"/>
  <c r="AE10" i="33"/>
  <c r="AD10" i="33"/>
  <c r="AC10" i="33"/>
  <c r="AB10" i="33"/>
  <c r="AA10" i="33"/>
  <c r="Z10" i="33"/>
  <c r="S10" i="33"/>
  <c r="AE9" i="33"/>
  <c r="AD9" i="33"/>
  <c r="AC9" i="33"/>
  <c r="AB9" i="33"/>
  <c r="AA9" i="33"/>
  <c r="Z9" i="33"/>
  <c r="S9" i="33"/>
  <c r="AE8" i="33"/>
  <c r="G4" i="34" s="1"/>
  <c r="AD8" i="33"/>
  <c r="AC8" i="33"/>
  <c r="AB8" i="33"/>
  <c r="AA8" i="33"/>
  <c r="Z8" i="33"/>
  <c r="S8" i="33"/>
  <c r="E4" i="34" s="1"/>
  <c r="R8" i="33"/>
  <c r="Q8" i="33"/>
  <c r="AE7" i="33"/>
  <c r="AD7" i="33"/>
  <c r="AC7" i="33"/>
  <c r="AB7" i="33"/>
  <c r="AA7" i="33"/>
  <c r="Z7" i="33"/>
  <c r="S7" i="33"/>
  <c r="AE6" i="33"/>
  <c r="AD6" i="33"/>
  <c r="AC6" i="33"/>
  <c r="AB6" i="33"/>
  <c r="AA6" i="33"/>
  <c r="Z6" i="33"/>
  <c r="S6" i="33"/>
  <c r="AE5" i="33"/>
  <c r="G3" i="34" s="1"/>
  <c r="AD5" i="33"/>
  <c r="AC5" i="33"/>
  <c r="AB5" i="33"/>
  <c r="AA5" i="33"/>
  <c r="Z5" i="33"/>
  <c r="S5" i="33"/>
  <c r="E3" i="34" s="1"/>
  <c r="R5" i="33"/>
  <c r="Q5" i="33"/>
  <c r="AE4" i="33"/>
  <c r="AD4" i="33"/>
  <c r="AC4" i="33"/>
  <c r="AB4" i="33"/>
  <c r="AA4" i="33"/>
  <c r="Z4" i="33"/>
  <c r="S4" i="33"/>
  <c r="AE3" i="33"/>
  <c r="G2" i="34" s="1"/>
  <c r="AD3" i="33"/>
  <c r="AC3" i="33"/>
  <c r="AB3" i="33"/>
  <c r="AA3" i="33"/>
  <c r="Z3" i="33"/>
  <c r="X3" i="33"/>
  <c r="S3" i="33"/>
  <c r="E2" i="34" s="1"/>
  <c r="C8" i="46" l="1"/>
  <c r="L8" i="57"/>
  <c r="C6" i="46"/>
  <c r="L6" i="57"/>
  <c r="C7" i="46"/>
  <c r="L7" i="57"/>
  <c r="C9" i="46"/>
  <c r="L9" i="57"/>
  <c r="C5" i="46"/>
  <c r="I12" i="46"/>
  <c r="E28" i="34"/>
  <c r="E8" i="34"/>
  <c r="I8" i="34" s="1"/>
  <c r="L8" i="34" s="1"/>
  <c r="E7" i="34"/>
  <c r="E9" i="34"/>
  <c r="I9" i="34" s="1"/>
  <c r="L9" i="34" s="1"/>
  <c r="E6" i="34"/>
  <c r="E10" i="34"/>
  <c r="I10" i="34" s="1"/>
  <c r="L10" i="34" s="1"/>
  <c r="I5" i="34"/>
  <c r="L5" i="34" s="1"/>
  <c r="I13" i="34"/>
  <c r="L13" i="34" s="1"/>
  <c r="I33" i="34"/>
  <c r="L33" i="34" s="1"/>
  <c r="I38" i="34"/>
  <c r="L38" i="34" s="1"/>
  <c r="I35" i="34"/>
  <c r="L35" i="34" s="1"/>
  <c r="I4" i="34"/>
  <c r="L4" i="34" s="1"/>
  <c r="I16" i="34"/>
  <c r="L16" i="34" s="1"/>
  <c r="I17" i="34"/>
  <c r="L17" i="34" s="1"/>
  <c r="I23" i="34"/>
  <c r="L23" i="34" s="1"/>
  <c r="I27" i="34"/>
  <c r="L27" i="34" s="1"/>
  <c r="I32" i="34"/>
  <c r="L32" i="34" s="1"/>
  <c r="I37" i="34"/>
  <c r="L37" i="34" s="1"/>
  <c r="I30" i="34"/>
  <c r="L30" i="34" s="1"/>
  <c r="I2" i="34"/>
  <c r="L2" i="34" s="1"/>
  <c r="I3" i="34"/>
  <c r="L3" i="34" s="1"/>
  <c r="I15" i="34"/>
  <c r="L15" i="34" s="1"/>
  <c r="I19" i="34"/>
  <c r="L19" i="34" s="1"/>
  <c r="I22" i="34"/>
  <c r="L22" i="34" s="1"/>
  <c r="I26" i="34"/>
  <c r="L26" i="34" s="1"/>
  <c r="I31" i="34"/>
  <c r="L31" i="34" s="1"/>
  <c r="I36" i="34"/>
  <c r="L36" i="34" s="1"/>
  <c r="L5" i="57" l="1"/>
  <c r="C12" i="57"/>
  <c r="B15" i="57" s="1"/>
  <c r="M34" i="34"/>
  <c r="M29" i="34"/>
  <c r="M11" i="34"/>
  <c r="M16" i="34"/>
  <c r="I6" i="34"/>
  <c r="L6" i="34" s="1"/>
  <c r="I28" i="34"/>
  <c r="L28" i="34" s="1"/>
  <c r="M24" i="34" s="1"/>
  <c r="M2" i="34"/>
  <c r="I7" i="34"/>
  <c r="L7" i="34" s="1"/>
  <c r="H2" i="32"/>
  <c r="G2" i="32"/>
  <c r="E2" i="32"/>
  <c r="D2" i="32"/>
  <c r="H39" i="32"/>
  <c r="G39" i="32"/>
  <c r="E39" i="32"/>
  <c r="D39" i="32"/>
  <c r="H38" i="32"/>
  <c r="G38" i="32"/>
  <c r="E38" i="32"/>
  <c r="D38" i="32"/>
  <c r="H37" i="32"/>
  <c r="G37" i="32"/>
  <c r="E37" i="32"/>
  <c r="D37" i="32"/>
  <c r="H36" i="32"/>
  <c r="G36" i="32"/>
  <c r="E36" i="32"/>
  <c r="D36" i="32"/>
  <c r="H35" i="32"/>
  <c r="G35" i="32"/>
  <c r="E35" i="32"/>
  <c r="D35" i="32"/>
  <c r="H34" i="32"/>
  <c r="G34" i="32"/>
  <c r="E34" i="32"/>
  <c r="D34" i="32"/>
  <c r="H33" i="32"/>
  <c r="G33" i="32"/>
  <c r="E33" i="32"/>
  <c r="D33" i="32"/>
  <c r="H32" i="32"/>
  <c r="G32" i="32"/>
  <c r="E32" i="32"/>
  <c r="D32" i="32"/>
  <c r="H31" i="32"/>
  <c r="G31" i="32"/>
  <c r="E31" i="32"/>
  <c r="D31" i="32"/>
  <c r="H30" i="32"/>
  <c r="G30" i="32"/>
  <c r="E30" i="32"/>
  <c r="D30" i="32"/>
  <c r="H29" i="32"/>
  <c r="G29" i="32"/>
  <c r="E29" i="32"/>
  <c r="D29" i="32"/>
  <c r="H28" i="32"/>
  <c r="G28" i="32"/>
  <c r="E28" i="32"/>
  <c r="D28" i="32"/>
  <c r="H27" i="32"/>
  <c r="G27" i="32"/>
  <c r="E27" i="32"/>
  <c r="D27" i="32"/>
  <c r="H26" i="32"/>
  <c r="G26" i="32"/>
  <c r="E26" i="32"/>
  <c r="D26" i="32"/>
  <c r="H25" i="32"/>
  <c r="G25" i="32"/>
  <c r="E25" i="32"/>
  <c r="D25" i="32"/>
  <c r="H24" i="32"/>
  <c r="G24" i="32"/>
  <c r="E24" i="32"/>
  <c r="D24" i="32"/>
  <c r="H23" i="32"/>
  <c r="G23" i="32"/>
  <c r="E23" i="32"/>
  <c r="D23" i="32"/>
  <c r="H22" i="32"/>
  <c r="G22" i="32"/>
  <c r="E22" i="32"/>
  <c r="D22" i="32"/>
  <c r="H21" i="32"/>
  <c r="G21" i="32"/>
  <c r="E21" i="32"/>
  <c r="D21" i="32"/>
  <c r="H20" i="32"/>
  <c r="G20" i="32"/>
  <c r="E20" i="32"/>
  <c r="D20" i="32"/>
  <c r="H19" i="32"/>
  <c r="G19" i="32"/>
  <c r="E19" i="32"/>
  <c r="D19" i="32"/>
  <c r="H18" i="32"/>
  <c r="G18" i="32"/>
  <c r="E18" i="32"/>
  <c r="D18" i="32"/>
  <c r="H17" i="32"/>
  <c r="G17" i="32"/>
  <c r="E17" i="32"/>
  <c r="D17" i="32"/>
  <c r="H16" i="32"/>
  <c r="G16" i="32"/>
  <c r="E16" i="32"/>
  <c r="D16" i="32"/>
  <c r="H15" i="32"/>
  <c r="G15" i="32"/>
  <c r="E15" i="32"/>
  <c r="D15" i="32"/>
  <c r="H14" i="32"/>
  <c r="G14" i="32"/>
  <c r="E14" i="32"/>
  <c r="D14" i="32"/>
  <c r="H13" i="32"/>
  <c r="G13" i="32"/>
  <c r="E13" i="32"/>
  <c r="D13" i="32"/>
  <c r="H12" i="32"/>
  <c r="G12" i="32"/>
  <c r="E12" i="32"/>
  <c r="D12" i="32"/>
  <c r="H11" i="32"/>
  <c r="G11" i="32"/>
  <c r="E11" i="32"/>
  <c r="D11" i="32"/>
  <c r="H10" i="32"/>
  <c r="G10" i="32"/>
  <c r="E10" i="32"/>
  <c r="D10" i="32"/>
  <c r="H9" i="32"/>
  <c r="G9" i="32"/>
  <c r="E9" i="32"/>
  <c r="D9" i="32"/>
  <c r="H8" i="32"/>
  <c r="G8" i="32"/>
  <c r="E8" i="32"/>
  <c r="D8" i="32"/>
  <c r="H7" i="32"/>
  <c r="G7" i="32"/>
  <c r="E7" i="32"/>
  <c r="D7" i="32"/>
  <c r="H6" i="32"/>
  <c r="G6" i="32"/>
  <c r="E6" i="32"/>
  <c r="D6" i="32"/>
  <c r="H5" i="32"/>
  <c r="G5" i="32"/>
  <c r="E5" i="32"/>
  <c r="D5" i="32"/>
  <c r="H4" i="32"/>
  <c r="G4" i="32"/>
  <c r="E4" i="32"/>
  <c r="D4" i="32"/>
  <c r="H3" i="32"/>
  <c r="G3" i="32"/>
  <c r="E3" i="32"/>
  <c r="D3" i="32"/>
  <c r="I28" i="32"/>
  <c r="L28" i="32" s="1"/>
  <c r="L24" i="32"/>
  <c r="L20" i="32"/>
  <c r="L18" i="32"/>
  <c r="L12" i="32"/>
  <c r="L11" i="32"/>
  <c r="M5" i="34" l="1"/>
  <c r="K12" i="46" s="1"/>
  <c r="I37" i="32"/>
  <c r="L37" i="32" s="1"/>
  <c r="I9" i="32"/>
  <c r="L9" i="32" s="1"/>
  <c r="I17" i="32"/>
  <c r="L17" i="32" s="1"/>
  <c r="I26" i="32"/>
  <c r="L26" i="32" s="1"/>
  <c r="I2" i="32"/>
  <c r="L2" i="32" s="1"/>
  <c r="I7" i="32"/>
  <c r="L7" i="32" s="1"/>
  <c r="I22" i="32"/>
  <c r="L22" i="32" s="1"/>
  <c r="I35" i="32"/>
  <c r="L35" i="32" s="1"/>
  <c r="I39" i="32"/>
  <c r="L39" i="32" s="1"/>
  <c r="I4" i="32"/>
  <c r="L4" i="32" s="1"/>
  <c r="I14" i="32"/>
  <c r="L14" i="32" s="1"/>
  <c r="I16" i="32"/>
  <c r="L16" i="32" s="1"/>
  <c r="I30" i="32"/>
  <c r="L30" i="32" s="1"/>
  <c r="I32" i="32"/>
  <c r="L32" i="32" s="1"/>
  <c r="I34" i="32"/>
  <c r="L34" i="32" s="1"/>
  <c r="I6" i="32"/>
  <c r="L6" i="32" s="1"/>
  <c r="I8" i="32"/>
  <c r="L8" i="32" s="1"/>
  <c r="I10" i="32"/>
  <c r="L10" i="32" s="1"/>
  <c r="I21" i="32"/>
  <c r="L21" i="32" s="1"/>
  <c r="I23" i="32"/>
  <c r="L23" i="32" s="1"/>
  <c r="I25" i="32"/>
  <c r="L25" i="32" s="1"/>
  <c r="I27" i="32"/>
  <c r="L27" i="32" s="1"/>
  <c r="I29" i="32"/>
  <c r="L29" i="32" s="1"/>
  <c r="I36" i="32"/>
  <c r="L36" i="32" s="1"/>
  <c r="I38" i="32"/>
  <c r="L38" i="32" s="1"/>
  <c r="I3" i="32"/>
  <c r="L3" i="32" s="1"/>
  <c r="I5" i="32"/>
  <c r="L5" i="32" s="1"/>
  <c r="I13" i="32"/>
  <c r="L13" i="32" s="1"/>
  <c r="I15" i="32"/>
  <c r="L15" i="32" s="1"/>
  <c r="I19" i="32"/>
  <c r="L19" i="32" s="1"/>
  <c r="I31" i="32"/>
  <c r="L31" i="32" s="1"/>
  <c r="I33" i="32"/>
  <c r="L33" i="32" s="1"/>
  <c r="M5" i="32" l="1"/>
  <c r="M24" i="32"/>
  <c r="M11" i="32"/>
  <c r="M2" i="32"/>
  <c r="M29" i="32"/>
  <c r="M34" i="32"/>
  <c r="M16" i="32"/>
  <c r="H31" i="30"/>
  <c r="F31" i="30"/>
  <c r="E31" i="30"/>
  <c r="D31" i="30"/>
  <c r="H30" i="30"/>
  <c r="F30" i="30"/>
  <c r="E30" i="30"/>
  <c r="D30" i="30"/>
  <c r="H29" i="30"/>
  <c r="F29" i="30"/>
  <c r="E29" i="30"/>
  <c r="D29" i="30"/>
  <c r="H28" i="30"/>
  <c r="F28" i="30"/>
  <c r="E28" i="30"/>
  <c r="D28" i="30"/>
  <c r="H27" i="30"/>
  <c r="F27" i="30"/>
  <c r="E27" i="30"/>
  <c r="D27" i="30"/>
  <c r="H26" i="30"/>
  <c r="F26" i="30"/>
  <c r="E26" i="30"/>
  <c r="D26" i="30"/>
  <c r="H25" i="30"/>
  <c r="F25" i="30"/>
  <c r="E25" i="30"/>
  <c r="D25" i="30"/>
  <c r="H24" i="30"/>
  <c r="I24" i="30" s="1"/>
  <c r="L24" i="30" s="1"/>
  <c r="F24" i="30"/>
  <c r="E24" i="30"/>
  <c r="D24" i="30"/>
  <c r="H23" i="30"/>
  <c r="F23" i="30"/>
  <c r="E23" i="30"/>
  <c r="D23" i="30"/>
  <c r="H22" i="30"/>
  <c r="F22" i="30"/>
  <c r="E22" i="30"/>
  <c r="D22" i="30"/>
  <c r="H21" i="30"/>
  <c r="F21" i="30"/>
  <c r="E21" i="30"/>
  <c r="D21" i="30"/>
  <c r="H20" i="30"/>
  <c r="F20" i="30"/>
  <c r="E20" i="30"/>
  <c r="D20" i="30"/>
  <c r="H19" i="30"/>
  <c r="F19" i="30"/>
  <c r="E19" i="30"/>
  <c r="D19" i="30"/>
  <c r="H18" i="30"/>
  <c r="F18" i="30"/>
  <c r="E18" i="30"/>
  <c r="D18" i="30"/>
  <c r="H17" i="30"/>
  <c r="F17" i="30"/>
  <c r="E17" i="30"/>
  <c r="D17" i="30"/>
  <c r="H16" i="30"/>
  <c r="F16" i="30"/>
  <c r="E16" i="30"/>
  <c r="D16" i="30"/>
  <c r="H15" i="30"/>
  <c r="F15" i="30"/>
  <c r="E15" i="30"/>
  <c r="D15" i="30"/>
  <c r="H14" i="30"/>
  <c r="F14" i="30"/>
  <c r="E14" i="30"/>
  <c r="D14" i="30"/>
  <c r="H13" i="30"/>
  <c r="F13" i="30"/>
  <c r="E13" i="30"/>
  <c r="D13" i="30"/>
  <c r="H12" i="30"/>
  <c r="F12" i="30"/>
  <c r="E12" i="30"/>
  <c r="D12" i="30"/>
  <c r="H11" i="30"/>
  <c r="F11" i="30"/>
  <c r="E11" i="30"/>
  <c r="D11" i="30"/>
  <c r="H10" i="30"/>
  <c r="F10" i="30"/>
  <c r="E10" i="30"/>
  <c r="D10" i="30"/>
  <c r="H9" i="30"/>
  <c r="F9" i="30"/>
  <c r="E9" i="30"/>
  <c r="D9" i="30"/>
  <c r="H8" i="30"/>
  <c r="F8" i="30"/>
  <c r="E8" i="30"/>
  <c r="D8" i="30"/>
  <c r="H7" i="30"/>
  <c r="F7" i="30"/>
  <c r="E7" i="30"/>
  <c r="D7" i="30"/>
  <c r="H6" i="30"/>
  <c r="F6" i="30"/>
  <c r="E6" i="30"/>
  <c r="D6" i="30"/>
  <c r="H5" i="30"/>
  <c r="F5" i="30"/>
  <c r="E5" i="30"/>
  <c r="D5" i="30"/>
  <c r="H4" i="30"/>
  <c r="F4" i="30"/>
  <c r="E4" i="30"/>
  <c r="D4" i="30"/>
  <c r="H3" i="30"/>
  <c r="F3" i="30"/>
  <c r="E3" i="30"/>
  <c r="D3" i="30"/>
  <c r="H2" i="30"/>
  <c r="F2" i="30"/>
  <c r="E2" i="30"/>
  <c r="D2" i="30"/>
  <c r="I12" i="30"/>
  <c r="L12" i="30" s="1"/>
  <c r="I11" i="30"/>
  <c r="L11" i="30" s="1"/>
  <c r="AA113" i="29"/>
  <c r="Z113" i="29"/>
  <c r="Y113" i="29"/>
  <c r="AA112" i="29"/>
  <c r="Z112" i="29"/>
  <c r="Y112" i="29"/>
  <c r="X112" i="29"/>
  <c r="Q112" i="29"/>
  <c r="P112" i="29"/>
  <c r="AA111" i="29"/>
  <c r="Z111" i="29"/>
  <c r="Y111" i="29"/>
  <c r="AA110" i="29"/>
  <c r="Z110" i="29"/>
  <c r="Y110" i="29"/>
  <c r="AA109" i="29"/>
  <c r="Z109" i="29"/>
  <c r="Y109" i="29"/>
  <c r="AA108" i="29"/>
  <c r="Z108" i="29"/>
  <c r="Y108" i="29"/>
  <c r="X108" i="29"/>
  <c r="Q108" i="29"/>
  <c r="P108" i="29"/>
  <c r="AA107" i="29"/>
  <c r="Z107" i="29"/>
  <c r="Y107" i="29"/>
  <c r="AA106" i="29"/>
  <c r="Z106" i="29"/>
  <c r="Y106" i="29"/>
  <c r="AA105" i="29"/>
  <c r="Z105" i="29"/>
  <c r="Y105" i="29"/>
  <c r="X105" i="29"/>
  <c r="Q105" i="29"/>
  <c r="P105" i="29"/>
  <c r="AA104" i="29"/>
  <c r="Z104" i="29"/>
  <c r="Y104" i="29"/>
  <c r="AA103" i="29"/>
  <c r="Z103" i="29"/>
  <c r="Y103" i="29"/>
  <c r="X103" i="29"/>
  <c r="Q103" i="29"/>
  <c r="P103" i="29"/>
  <c r="AA102" i="29"/>
  <c r="Z102" i="29"/>
  <c r="Y102" i="29"/>
  <c r="AA101" i="29"/>
  <c r="Z101" i="29"/>
  <c r="Y101" i="29"/>
  <c r="AA100" i="29"/>
  <c r="Z100" i="29"/>
  <c r="Y100" i="29"/>
  <c r="X100" i="29"/>
  <c r="AA99" i="29"/>
  <c r="Z99" i="29"/>
  <c r="Y99" i="29"/>
  <c r="AA98" i="29"/>
  <c r="Z98" i="29"/>
  <c r="Y98" i="29"/>
  <c r="AA97" i="29"/>
  <c r="Z97" i="29"/>
  <c r="Y97" i="29"/>
  <c r="AA96" i="29"/>
  <c r="Z96" i="29"/>
  <c r="Y96" i="29"/>
  <c r="AA95" i="29"/>
  <c r="Z95" i="29"/>
  <c r="Y95" i="29"/>
  <c r="AA94" i="29"/>
  <c r="Z94" i="29"/>
  <c r="Y94" i="29"/>
  <c r="AA93" i="29"/>
  <c r="G31" i="30" s="1"/>
  <c r="Z93" i="29"/>
  <c r="Y93" i="29"/>
  <c r="AA92" i="29"/>
  <c r="G30" i="30" s="1"/>
  <c r="Z92" i="29"/>
  <c r="Y92" i="29"/>
  <c r="AA91" i="29"/>
  <c r="G29" i="30" s="1"/>
  <c r="Z91" i="29"/>
  <c r="Y91" i="29"/>
  <c r="AA90" i="29"/>
  <c r="G28" i="30" s="1"/>
  <c r="Z90" i="29"/>
  <c r="Y90" i="29"/>
  <c r="AA89" i="29"/>
  <c r="G27" i="30" s="1"/>
  <c r="Z89" i="29"/>
  <c r="Y89" i="29"/>
  <c r="AA88" i="29"/>
  <c r="Z88" i="29"/>
  <c r="Y88" i="29"/>
  <c r="AA87" i="29"/>
  <c r="Z87" i="29"/>
  <c r="Y87" i="29"/>
  <c r="AA86" i="29"/>
  <c r="Z86" i="29"/>
  <c r="Y86" i="29"/>
  <c r="AA85" i="29"/>
  <c r="Z85" i="29"/>
  <c r="Y85" i="29"/>
  <c r="AA84" i="29"/>
  <c r="Z84" i="29"/>
  <c r="Y84" i="29"/>
  <c r="AA83" i="29"/>
  <c r="G26" i="30" s="1"/>
  <c r="Z83" i="29"/>
  <c r="Y83" i="29"/>
  <c r="X83" i="29"/>
  <c r="W83" i="29"/>
  <c r="Q83" i="29"/>
  <c r="P83" i="29"/>
  <c r="AA82" i="29"/>
  <c r="Z82" i="29"/>
  <c r="Y82" i="29"/>
  <c r="AA81" i="29"/>
  <c r="Z81" i="29"/>
  <c r="Y81" i="29"/>
  <c r="AA80" i="29"/>
  <c r="Z80" i="29"/>
  <c r="Y80" i="29"/>
  <c r="X80" i="29"/>
  <c r="Q80" i="29"/>
  <c r="P80" i="29"/>
  <c r="AA79" i="29"/>
  <c r="Z79" i="29"/>
  <c r="Y79" i="29"/>
  <c r="AA78" i="29"/>
  <c r="Z78" i="29"/>
  <c r="Y78" i="29"/>
  <c r="AA77" i="29"/>
  <c r="G25" i="30" s="1"/>
  <c r="Z77" i="29"/>
  <c r="Y77" i="29"/>
  <c r="X77" i="29"/>
  <c r="W77" i="29"/>
  <c r="AA76" i="29"/>
  <c r="Z76" i="29"/>
  <c r="Y76" i="29"/>
  <c r="AA75" i="29"/>
  <c r="Z75" i="29"/>
  <c r="Y75" i="29"/>
  <c r="AA74" i="29"/>
  <c r="Z74" i="29"/>
  <c r="Y74" i="29"/>
  <c r="AA73" i="29"/>
  <c r="G24" i="30" s="1"/>
  <c r="Z73" i="29"/>
  <c r="Y73" i="29"/>
  <c r="AA72" i="29"/>
  <c r="G23" i="30" s="1"/>
  <c r="Z72" i="29"/>
  <c r="Y72" i="29"/>
  <c r="X72" i="29"/>
  <c r="Q72" i="29"/>
  <c r="P72" i="29"/>
  <c r="AA71" i="29"/>
  <c r="Z71" i="29"/>
  <c r="Y71" i="29"/>
  <c r="AA70" i="29"/>
  <c r="Z70" i="29"/>
  <c r="Y70" i="29"/>
  <c r="AA69" i="29"/>
  <c r="Z69" i="29"/>
  <c r="Y69" i="29"/>
  <c r="AA68" i="29"/>
  <c r="G22" i="30" s="1"/>
  <c r="Z68" i="29"/>
  <c r="Y68" i="29"/>
  <c r="X68" i="29"/>
  <c r="Q68" i="29"/>
  <c r="P68" i="29"/>
  <c r="AA67" i="29"/>
  <c r="Z67" i="29"/>
  <c r="Y67" i="29"/>
  <c r="AA66" i="29"/>
  <c r="Z66" i="29"/>
  <c r="Y66" i="29"/>
  <c r="AA65" i="29"/>
  <c r="G21" i="30" s="1"/>
  <c r="Z65" i="29"/>
  <c r="Y65" i="29"/>
  <c r="X65" i="29"/>
  <c r="Q65" i="29"/>
  <c r="P65" i="29"/>
  <c r="AA64" i="29"/>
  <c r="Z64" i="29"/>
  <c r="Y64" i="29"/>
  <c r="AA63" i="29"/>
  <c r="Z63" i="29"/>
  <c r="Y63" i="29"/>
  <c r="AA62" i="29"/>
  <c r="G20" i="30" s="1"/>
  <c r="Z62" i="29"/>
  <c r="Y62" i="29"/>
  <c r="X62" i="29"/>
  <c r="Q62" i="29"/>
  <c r="P62" i="29"/>
  <c r="AA61" i="29"/>
  <c r="Z61" i="29"/>
  <c r="Y61" i="29"/>
  <c r="AA60" i="29"/>
  <c r="G19" i="30" s="1"/>
  <c r="Z60" i="29"/>
  <c r="Y60" i="29"/>
  <c r="X60" i="29"/>
  <c r="Q60" i="29"/>
  <c r="P60" i="29"/>
  <c r="AA59" i="29"/>
  <c r="Z59" i="29"/>
  <c r="Y59" i="29"/>
  <c r="AA58" i="29"/>
  <c r="Z58" i="29"/>
  <c r="Y58" i="29"/>
  <c r="AA57" i="29"/>
  <c r="G18" i="30" s="1"/>
  <c r="Z57" i="29"/>
  <c r="Y57" i="29"/>
  <c r="AA56" i="29"/>
  <c r="Z56" i="29"/>
  <c r="Y56" i="29"/>
  <c r="AA55" i="29"/>
  <c r="Z55" i="29"/>
  <c r="Y55" i="29"/>
  <c r="AA54" i="29"/>
  <c r="G17" i="30" s="1"/>
  <c r="Z54" i="29"/>
  <c r="Y54" i="29"/>
  <c r="AA53" i="29"/>
  <c r="G16" i="30" s="1"/>
  <c r="Z53" i="29"/>
  <c r="Y53" i="29"/>
  <c r="X53" i="29"/>
  <c r="Q53" i="29"/>
  <c r="P53" i="29"/>
  <c r="AA52" i="29"/>
  <c r="Z52" i="29"/>
  <c r="Y52" i="29"/>
  <c r="AA51" i="29"/>
  <c r="Z51" i="29"/>
  <c r="Y51" i="29"/>
  <c r="AA50" i="29"/>
  <c r="Z50" i="29"/>
  <c r="Y50" i="29"/>
  <c r="AA49" i="29"/>
  <c r="G15" i="30" s="1"/>
  <c r="Z49" i="29"/>
  <c r="Y49" i="29"/>
  <c r="X49" i="29"/>
  <c r="S49" i="29"/>
  <c r="T49" i="29" s="1"/>
  <c r="U49" i="29" s="1"/>
  <c r="V49" i="29" s="1"/>
  <c r="Q49" i="29"/>
  <c r="P49" i="29"/>
  <c r="AA48" i="29"/>
  <c r="Z48" i="29"/>
  <c r="Y48" i="29"/>
  <c r="AA47" i="29"/>
  <c r="Z47" i="29"/>
  <c r="Y47" i="29"/>
  <c r="AA46" i="29"/>
  <c r="Z46" i="29"/>
  <c r="Y46" i="29"/>
  <c r="AA45" i="29"/>
  <c r="Z45" i="29"/>
  <c r="Y45" i="29"/>
  <c r="AA44" i="29"/>
  <c r="G14" i="30" s="1"/>
  <c r="Z44" i="29"/>
  <c r="Y44" i="29"/>
  <c r="T44" i="29"/>
  <c r="U44" i="29" s="1"/>
  <c r="V44" i="29" s="1"/>
  <c r="S44" i="29"/>
  <c r="AA43" i="29"/>
  <c r="G13" i="30" s="1"/>
  <c r="Z43" i="29"/>
  <c r="Y43" i="29"/>
  <c r="AA42" i="29"/>
  <c r="G12" i="30" s="1"/>
  <c r="Z42" i="29"/>
  <c r="Y42" i="29"/>
  <c r="AA41" i="29"/>
  <c r="Z41" i="29"/>
  <c r="Y41" i="29"/>
  <c r="AA40" i="29"/>
  <c r="Z40" i="29"/>
  <c r="Y40" i="29"/>
  <c r="AA39" i="29"/>
  <c r="G11" i="30" s="1"/>
  <c r="Z39" i="29"/>
  <c r="Y39" i="29"/>
  <c r="X39" i="29"/>
  <c r="Q39" i="29"/>
  <c r="P39" i="29"/>
  <c r="AA38" i="29"/>
  <c r="Z38" i="29"/>
  <c r="Y38" i="29"/>
  <c r="AA37" i="29"/>
  <c r="Z37" i="29"/>
  <c r="Y37" i="29"/>
  <c r="AA36" i="29"/>
  <c r="G10" i="30" s="1"/>
  <c r="Z36" i="29"/>
  <c r="Y36" i="29"/>
  <c r="X36" i="29"/>
  <c r="Q36" i="29"/>
  <c r="P36" i="29"/>
  <c r="X35" i="29"/>
  <c r="Q35" i="29"/>
  <c r="P35" i="29"/>
  <c r="AA34" i="29"/>
  <c r="Z34" i="29"/>
  <c r="Y34" i="29"/>
  <c r="AA33" i="29"/>
  <c r="Z33" i="29"/>
  <c r="Y33" i="29"/>
  <c r="AA32" i="29"/>
  <c r="Z32" i="29"/>
  <c r="Y32" i="29"/>
  <c r="AA31" i="29"/>
  <c r="Z31" i="29"/>
  <c r="Y31" i="29"/>
  <c r="AA30" i="29"/>
  <c r="Z30" i="29"/>
  <c r="Y30" i="29"/>
  <c r="AA29" i="29"/>
  <c r="Z29" i="29"/>
  <c r="Y29" i="29"/>
  <c r="AA28" i="29"/>
  <c r="Z28" i="29"/>
  <c r="Y28" i="29"/>
  <c r="AA27" i="29"/>
  <c r="Z27" i="29"/>
  <c r="Y27" i="29"/>
  <c r="AA26" i="29"/>
  <c r="Z26" i="29"/>
  <c r="Y26" i="29"/>
  <c r="AA25" i="29"/>
  <c r="Z25" i="29"/>
  <c r="Y25" i="29"/>
  <c r="AA24" i="29"/>
  <c r="Z24" i="29"/>
  <c r="Y24" i="29"/>
  <c r="AA23" i="29"/>
  <c r="G9" i="30" s="1"/>
  <c r="Z23" i="29"/>
  <c r="Y23" i="29"/>
  <c r="X23" i="29"/>
  <c r="Q23" i="29"/>
  <c r="P23" i="29"/>
  <c r="AA22" i="29"/>
  <c r="Z22" i="29"/>
  <c r="Y22" i="29"/>
  <c r="AA21" i="29"/>
  <c r="G8" i="30" s="1"/>
  <c r="Z21" i="29"/>
  <c r="Y21" i="29"/>
  <c r="X21" i="29"/>
  <c r="Q21" i="29"/>
  <c r="P21" i="29"/>
  <c r="AA20" i="29"/>
  <c r="Z20" i="29"/>
  <c r="Y20" i="29"/>
  <c r="AA19" i="29"/>
  <c r="G7" i="30" s="1"/>
  <c r="Z19" i="29"/>
  <c r="Y19" i="29"/>
  <c r="X19" i="29"/>
  <c r="Q19" i="29"/>
  <c r="P19" i="29"/>
  <c r="AA18" i="29"/>
  <c r="Z18" i="29"/>
  <c r="Y18" i="29"/>
  <c r="X18" i="29"/>
  <c r="Q18" i="29"/>
  <c r="P18" i="29"/>
  <c r="E18" i="29"/>
  <c r="AA17" i="29"/>
  <c r="Z17" i="29"/>
  <c r="Y17" i="29"/>
  <c r="AA16" i="29"/>
  <c r="Z16" i="29"/>
  <c r="Y16" i="29"/>
  <c r="AA15" i="29"/>
  <c r="Z15" i="29"/>
  <c r="Y15" i="29"/>
  <c r="AA14" i="29"/>
  <c r="Z14" i="29"/>
  <c r="Y14" i="29"/>
  <c r="AA13" i="29"/>
  <c r="G6" i="30" s="1"/>
  <c r="Z13" i="29"/>
  <c r="Y13" i="29"/>
  <c r="X13" i="29"/>
  <c r="Q13" i="29"/>
  <c r="P13" i="29"/>
  <c r="AA12" i="29"/>
  <c r="Z12" i="29"/>
  <c r="Y12" i="29"/>
  <c r="AA11" i="29"/>
  <c r="G5" i="30" s="1"/>
  <c r="Z11" i="29"/>
  <c r="Y11" i="29"/>
  <c r="X11" i="29"/>
  <c r="R11" i="29"/>
  <c r="S11" i="29" s="1"/>
  <c r="T11" i="29" s="1"/>
  <c r="U11" i="29" s="1"/>
  <c r="V11" i="29" s="1"/>
  <c r="Q11" i="29"/>
  <c r="P11" i="29"/>
  <c r="AA10" i="29"/>
  <c r="Z10" i="29"/>
  <c r="Y10" i="29"/>
  <c r="AA9" i="29"/>
  <c r="Z9" i="29"/>
  <c r="Y9" i="29"/>
  <c r="AA8" i="29"/>
  <c r="G4" i="30" s="1"/>
  <c r="Z8" i="29"/>
  <c r="Y8" i="29"/>
  <c r="X8" i="29"/>
  <c r="Q8" i="29"/>
  <c r="P8" i="29"/>
  <c r="AA7" i="29"/>
  <c r="Z7" i="29"/>
  <c r="Y7" i="29"/>
  <c r="AA6" i="29"/>
  <c r="Z6" i="29"/>
  <c r="Y6" i="29"/>
  <c r="AA5" i="29"/>
  <c r="G3" i="30" s="1"/>
  <c r="Z5" i="29"/>
  <c r="Y5" i="29"/>
  <c r="X5" i="29"/>
  <c r="Q5" i="29"/>
  <c r="P5" i="29"/>
  <c r="AA4" i="29"/>
  <c r="Z4" i="29"/>
  <c r="Y4" i="29"/>
  <c r="AA3" i="29"/>
  <c r="G2" i="30" s="1"/>
  <c r="Z3" i="29"/>
  <c r="Y3" i="29"/>
  <c r="AA35" i="29" l="1"/>
  <c r="I7" i="30"/>
  <c r="L7" i="30" s="1"/>
  <c r="I16" i="30"/>
  <c r="L16" i="30" s="1"/>
  <c r="I17" i="30"/>
  <c r="L17" i="30" s="1"/>
  <c r="I21" i="30"/>
  <c r="L21" i="30" s="1"/>
  <c r="I26" i="30"/>
  <c r="L26" i="30" s="1"/>
  <c r="I31" i="30"/>
  <c r="L31" i="30" s="1"/>
  <c r="I5" i="30"/>
  <c r="L5" i="30" s="1"/>
  <c r="I6" i="30"/>
  <c r="L6" i="30" s="1"/>
  <c r="I10" i="30"/>
  <c r="L10" i="30" s="1"/>
  <c r="I15" i="30"/>
  <c r="L15" i="30" s="1"/>
  <c r="I20" i="30"/>
  <c r="L20" i="30" s="1"/>
  <c r="I25" i="30"/>
  <c r="L25" i="30" s="1"/>
  <c r="I30" i="30"/>
  <c r="L30" i="30" s="1"/>
  <c r="Y35" i="29"/>
  <c r="I4" i="30"/>
  <c r="L4" i="30" s="1"/>
  <c r="I9" i="30"/>
  <c r="L9" i="30" s="1"/>
  <c r="I14" i="30"/>
  <c r="L14" i="30" s="1"/>
  <c r="I19" i="30"/>
  <c r="L19" i="30" s="1"/>
  <c r="I23" i="30"/>
  <c r="L23" i="30" s="1"/>
  <c r="I28" i="30"/>
  <c r="L28" i="30" s="1"/>
  <c r="I29" i="30"/>
  <c r="L29" i="30" s="1"/>
  <c r="Z35" i="29"/>
  <c r="I2" i="30"/>
  <c r="L2" i="30" s="1"/>
  <c r="I3" i="30"/>
  <c r="L3" i="30" s="1"/>
  <c r="I8" i="30"/>
  <c r="L8" i="30" s="1"/>
  <c r="I13" i="30"/>
  <c r="L13" i="30" s="1"/>
  <c r="I18" i="30"/>
  <c r="L18" i="30" s="1"/>
  <c r="I22" i="30"/>
  <c r="L22" i="30" s="1"/>
  <c r="I27" i="30"/>
  <c r="L27" i="30" s="1"/>
  <c r="M11" i="30" l="1"/>
  <c r="M24" i="30"/>
  <c r="M5" i="30"/>
  <c r="M16" i="30"/>
  <c r="M28" i="30"/>
  <c r="M2" i="30"/>
  <c r="H39" i="28"/>
  <c r="F39" i="28"/>
  <c r="E39" i="28"/>
  <c r="D39" i="28"/>
  <c r="H38" i="28"/>
  <c r="F38" i="28"/>
  <c r="E38" i="28"/>
  <c r="D38" i="28"/>
  <c r="H37" i="28"/>
  <c r="F37" i="28"/>
  <c r="E37" i="28"/>
  <c r="D37" i="28"/>
  <c r="H36" i="28"/>
  <c r="F36" i="28"/>
  <c r="E36" i="28"/>
  <c r="D36" i="28"/>
  <c r="H35" i="28"/>
  <c r="F35" i="28"/>
  <c r="E35" i="28"/>
  <c r="D35" i="28"/>
  <c r="H34" i="28"/>
  <c r="F34" i="28"/>
  <c r="E34" i="28"/>
  <c r="D34" i="28"/>
  <c r="H33" i="28"/>
  <c r="F33" i="28"/>
  <c r="E33" i="28"/>
  <c r="D33" i="28"/>
  <c r="H32" i="28"/>
  <c r="F32" i="28"/>
  <c r="E32" i="28"/>
  <c r="D32" i="28"/>
  <c r="H31" i="28"/>
  <c r="F31" i="28"/>
  <c r="E31" i="28"/>
  <c r="D31" i="28"/>
  <c r="H30" i="28"/>
  <c r="F30" i="28"/>
  <c r="E30" i="28"/>
  <c r="D30" i="28"/>
  <c r="H29" i="28"/>
  <c r="F29" i="28"/>
  <c r="E29" i="28"/>
  <c r="D29" i="28"/>
  <c r="H28" i="28"/>
  <c r="F28" i="28"/>
  <c r="E28" i="28"/>
  <c r="D28" i="28"/>
  <c r="H27" i="28"/>
  <c r="F27" i="28"/>
  <c r="E27" i="28"/>
  <c r="D27" i="28"/>
  <c r="H26" i="28"/>
  <c r="F26" i="28"/>
  <c r="E26" i="28"/>
  <c r="D26" i="28"/>
  <c r="H25" i="28"/>
  <c r="F25" i="28"/>
  <c r="E25" i="28"/>
  <c r="D25" i="28"/>
  <c r="H24" i="28"/>
  <c r="F24" i="28"/>
  <c r="E24" i="28"/>
  <c r="D24" i="28"/>
  <c r="H23" i="28"/>
  <c r="F23" i="28"/>
  <c r="E23" i="28"/>
  <c r="D23" i="28"/>
  <c r="H22" i="28"/>
  <c r="F22" i="28"/>
  <c r="E22" i="28"/>
  <c r="D22" i="28"/>
  <c r="H21" i="28"/>
  <c r="F21" i="28"/>
  <c r="E21" i="28"/>
  <c r="D21" i="28"/>
  <c r="H20" i="28"/>
  <c r="F20" i="28"/>
  <c r="E20" i="28"/>
  <c r="D20" i="28"/>
  <c r="H19" i="28"/>
  <c r="F19" i="28"/>
  <c r="E19" i="28"/>
  <c r="D19" i="28"/>
  <c r="H18" i="28"/>
  <c r="F18" i="28"/>
  <c r="E18" i="28"/>
  <c r="D18" i="28"/>
  <c r="H17" i="28"/>
  <c r="F17" i="28"/>
  <c r="E17" i="28"/>
  <c r="D17" i="28"/>
  <c r="H16" i="28"/>
  <c r="F16" i="28"/>
  <c r="E16" i="28"/>
  <c r="D16" i="28"/>
  <c r="H15" i="28"/>
  <c r="F15" i="28"/>
  <c r="E15" i="28"/>
  <c r="D15" i="28"/>
  <c r="H14" i="28"/>
  <c r="F14" i="28"/>
  <c r="E14" i="28"/>
  <c r="D14" i="28"/>
  <c r="H13" i="28"/>
  <c r="F13" i="28"/>
  <c r="E13" i="28"/>
  <c r="D13" i="28"/>
  <c r="H12" i="28"/>
  <c r="F12" i="28"/>
  <c r="E12" i="28"/>
  <c r="D12" i="28"/>
  <c r="H11" i="28"/>
  <c r="F11" i="28"/>
  <c r="E11" i="28"/>
  <c r="D11" i="28"/>
  <c r="H10" i="28"/>
  <c r="F10" i="28"/>
  <c r="E10" i="28"/>
  <c r="D10" i="28"/>
  <c r="H9" i="28"/>
  <c r="F9" i="28"/>
  <c r="E9" i="28"/>
  <c r="D9" i="28"/>
  <c r="H8" i="28"/>
  <c r="F8" i="28"/>
  <c r="E8" i="28"/>
  <c r="D8" i="28"/>
  <c r="H7" i="28"/>
  <c r="F7" i="28"/>
  <c r="E7" i="28"/>
  <c r="D7" i="28"/>
  <c r="H6" i="28"/>
  <c r="F6" i="28"/>
  <c r="E6" i="28"/>
  <c r="D6" i="28"/>
  <c r="H5" i="28"/>
  <c r="F5" i="28"/>
  <c r="E5" i="28"/>
  <c r="D5" i="28"/>
  <c r="H4" i="28"/>
  <c r="F4" i="28"/>
  <c r="E4" i="28"/>
  <c r="D4" i="28"/>
  <c r="H3" i="28"/>
  <c r="F3" i="28"/>
  <c r="E3" i="28"/>
  <c r="D3" i="28"/>
  <c r="H2" i="28"/>
  <c r="F2" i="28"/>
  <c r="E2" i="28"/>
  <c r="D2" i="28"/>
  <c r="L24" i="28"/>
  <c r="L20" i="28"/>
  <c r="L12" i="28"/>
  <c r="L11" i="28"/>
  <c r="Z111" i="27"/>
  <c r="G39" i="28" s="1"/>
  <c r="Y111" i="27"/>
  <c r="Z110" i="27"/>
  <c r="G38" i="28" s="1"/>
  <c r="Y110" i="27"/>
  <c r="X110" i="27"/>
  <c r="Q110" i="27"/>
  <c r="P110" i="27"/>
  <c r="Z109" i="27"/>
  <c r="Y109" i="27"/>
  <c r="Z108" i="27"/>
  <c r="G37" i="28" s="1"/>
  <c r="Y108" i="27"/>
  <c r="Z107" i="27"/>
  <c r="Y107" i="27"/>
  <c r="Z106" i="27"/>
  <c r="G36" i="28" s="1"/>
  <c r="Y106" i="27"/>
  <c r="X106" i="27"/>
  <c r="Q106" i="27"/>
  <c r="P106" i="27"/>
  <c r="Z105" i="27"/>
  <c r="Y105" i="27"/>
  <c r="Z104" i="27"/>
  <c r="Y104" i="27"/>
  <c r="Z103" i="27"/>
  <c r="G35" i="28" s="1"/>
  <c r="I35" i="28" s="1"/>
  <c r="L35" i="28" s="1"/>
  <c r="Y103" i="27"/>
  <c r="X103" i="27"/>
  <c r="Q103" i="27"/>
  <c r="P103" i="27"/>
  <c r="Z102" i="27"/>
  <c r="Y102" i="27"/>
  <c r="Z101" i="27"/>
  <c r="G34" i="28" s="1"/>
  <c r="Y101" i="27"/>
  <c r="X101" i="27"/>
  <c r="Q101" i="27"/>
  <c r="P101" i="27"/>
  <c r="Z100" i="27"/>
  <c r="Y100" i="27"/>
  <c r="Z99" i="27"/>
  <c r="Y99" i="27"/>
  <c r="Z98" i="27"/>
  <c r="G33" i="28" s="1"/>
  <c r="Y98" i="27"/>
  <c r="X98" i="27"/>
  <c r="Z97" i="27"/>
  <c r="Y97" i="27"/>
  <c r="Z96" i="27"/>
  <c r="Y96" i="27"/>
  <c r="Z95" i="27"/>
  <c r="Y95" i="27"/>
  <c r="Z94" i="27"/>
  <c r="Y94" i="27"/>
  <c r="Z93" i="27"/>
  <c r="Y93" i="27"/>
  <c r="Z92" i="27"/>
  <c r="Y92" i="27"/>
  <c r="Z91" i="27"/>
  <c r="G32" i="28" s="1"/>
  <c r="Y91" i="27"/>
  <c r="Z90" i="27"/>
  <c r="G31" i="28" s="1"/>
  <c r="Y90" i="27"/>
  <c r="Z89" i="27"/>
  <c r="G30" i="28" s="1"/>
  <c r="Y89" i="27"/>
  <c r="Z88" i="27"/>
  <c r="G29" i="28" s="1"/>
  <c r="I29" i="28" s="1"/>
  <c r="L29" i="28" s="1"/>
  <c r="Y88" i="27"/>
  <c r="Z87" i="27"/>
  <c r="G28" i="28" s="1"/>
  <c r="Y87" i="27"/>
  <c r="Z86" i="27"/>
  <c r="Y86" i="27"/>
  <c r="Z85" i="27"/>
  <c r="Y85" i="27"/>
  <c r="Z84" i="27"/>
  <c r="Y84" i="27"/>
  <c r="Z83" i="27"/>
  <c r="Y83" i="27"/>
  <c r="Z82" i="27"/>
  <c r="Y82" i="27"/>
  <c r="Z81" i="27"/>
  <c r="G27" i="28" s="1"/>
  <c r="Y81" i="27"/>
  <c r="X81" i="27"/>
  <c r="W81" i="27"/>
  <c r="Q81" i="27"/>
  <c r="P81" i="27"/>
  <c r="Z80" i="27"/>
  <c r="Y80" i="27"/>
  <c r="Z79" i="27"/>
  <c r="Y79" i="27"/>
  <c r="Z78" i="27"/>
  <c r="G26" i="28" s="1"/>
  <c r="Y78" i="27"/>
  <c r="X78" i="27"/>
  <c r="Q78" i="27"/>
  <c r="P78" i="27"/>
  <c r="Z77" i="27"/>
  <c r="Y77" i="27"/>
  <c r="Z76" i="27"/>
  <c r="Y76" i="27"/>
  <c r="Z75" i="27"/>
  <c r="G25" i="28" s="1"/>
  <c r="I25" i="28" s="1"/>
  <c r="L25" i="28" s="1"/>
  <c r="Y75" i="27"/>
  <c r="X75" i="27"/>
  <c r="W75" i="27"/>
  <c r="Z74" i="27"/>
  <c r="Y74" i="27"/>
  <c r="Z73" i="27"/>
  <c r="Y73" i="27"/>
  <c r="Z72" i="27"/>
  <c r="Y72" i="27"/>
  <c r="Z71" i="27"/>
  <c r="G24" i="28" s="1"/>
  <c r="Y71" i="27"/>
  <c r="Z70" i="27"/>
  <c r="G23" i="28" s="1"/>
  <c r="Y70" i="27"/>
  <c r="X70" i="27"/>
  <c r="Q70" i="27"/>
  <c r="P70" i="27"/>
  <c r="Z69" i="27"/>
  <c r="Y69" i="27"/>
  <c r="Z68" i="27"/>
  <c r="Y68" i="27"/>
  <c r="Z67" i="27"/>
  <c r="Y67" i="27"/>
  <c r="Z66" i="27"/>
  <c r="G22" i="28" s="1"/>
  <c r="Y66" i="27"/>
  <c r="X66" i="27"/>
  <c r="Q66" i="27"/>
  <c r="P66" i="27"/>
  <c r="Z65" i="27"/>
  <c r="Y65" i="27"/>
  <c r="Z64" i="27"/>
  <c r="Y64" i="27"/>
  <c r="Z63" i="27"/>
  <c r="G21" i="28" s="1"/>
  <c r="I21" i="28" s="1"/>
  <c r="L21" i="28" s="1"/>
  <c r="Y63" i="27"/>
  <c r="X63" i="27"/>
  <c r="Q63" i="27"/>
  <c r="P63" i="27"/>
  <c r="Z62" i="27"/>
  <c r="Y62" i="27"/>
  <c r="Z61" i="27"/>
  <c r="Y61" i="27"/>
  <c r="Z60" i="27"/>
  <c r="G20" i="28" s="1"/>
  <c r="Y60" i="27"/>
  <c r="X60" i="27"/>
  <c r="Q60" i="27"/>
  <c r="P60" i="27"/>
  <c r="Z59" i="27"/>
  <c r="Y59" i="27"/>
  <c r="Z58" i="27"/>
  <c r="G19" i="28" s="1"/>
  <c r="Y58" i="27"/>
  <c r="X58" i="27"/>
  <c r="Q58" i="27"/>
  <c r="P58" i="27"/>
  <c r="Z57" i="27"/>
  <c r="Y57" i="27"/>
  <c r="Z56" i="27"/>
  <c r="Y56" i="27"/>
  <c r="Z55" i="27"/>
  <c r="G18" i="28" s="1"/>
  <c r="Y55" i="27"/>
  <c r="Z54" i="27"/>
  <c r="Y54" i="27"/>
  <c r="Z53" i="27"/>
  <c r="Y53" i="27"/>
  <c r="Z52" i="27"/>
  <c r="G17" i="28" s="1"/>
  <c r="Y52" i="27"/>
  <c r="Z51" i="27"/>
  <c r="G16" i="28" s="1"/>
  <c r="Y51" i="27"/>
  <c r="X51" i="27"/>
  <c r="Q51" i="27"/>
  <c r="P51" i="27"/>
  <c r="Z50" i="27"/>
  <c r="Y50" i="27"/>
  <c r="Z49" i="27"/>
  <c r="Y49" i="27"/>
  <c r="Z48" i="27"/>
  <c r="Y48" i="27"/>
  <c r="Z47" i="27"/>
  <c r="G15" i="28" s="1"/>
  <c r="Y47" i="27"/>
  <c r="X47" i="27"/>
  <c r="T47" i="27"/>
  <c r="U47" i="27" s="1"/>
  <c r="V47" i="27" s="1"/>
  <c r="S47" i="27"/>
  <c r="Q47" i="27"/>
  <c r="P47" i="27"/>
  <c r="Z46" i="27"/>
  <c r="Y46" i="27"/>
  <c r="Z45" i="27"/>
  <c r="Y45" i="27"/>
  <c r="Z44" i="27"/>
  <c r="Y44" i="27"/>
  <c r="Z43" i="27"/>
  <c r="Y43" i="27"/>
  <c r="Z42" i="27"/>
  <c r="G14" i="28" s="1"/>
  <c r="Y42" i="27"/>
  <c r="T42" i="27"/>
  <c r="U42" i="27" s="1"/>
  <c r="V42" i="27" s="1"/>
  <c r="S42" i="27"/>
  <c r="Z41" i="27"/>
  <c r="G13" i="28" s="1"/>
  <c r="I13" i="28" s="1"/>
  <c r="L13" i="28" s="1"/>
  <c r="Y41" i="27"/>
  <c r="Z40" i="27"/>
  <c r="G12" i="28" s="1"/>
  <c r="Z39" i="27"/>
  <c r="Z38" i="27"/>
  <c r="Z37" i="27"/>
  <c r="G11" i="28" s="1"/>
  <c r="Y37" i="27"/>
  <c r="X37" i="27"/>
  <c r="Q37" i="27"/>
  <c r="P37" i="27"/>
  <c r="Z36" i="27"/>
  <c r="Y36" i="27"/>
  <c r="Z35" i="27"/>
  <c r="Y35" i="27"/>
  <c r="Z34" i="27"/>
  <c r="G10" i="28" s="1"/>
  <c r="Y34" i="27"/>
  <c r="X34" i="27"/>
  <c r="Q34" i="27"/>
  <c r="P34" i="27"/>
  <c r="Z33" i="27"/>
  <c r="Y33" i="27"/>
  <c r="Z32" i="27"/>
  <c r="Y32" i="27"/>
  <c r="Z31" i="27"/>
  <c r="Y31" i="27"/>
  <c r="Z30" i="27"/>
  <c r="Y30" i="27"/>
  <c r="Z29" i="27"/>
  <c r="Y29" i="27"/>
  <c r="Z28" i="27"/>
  <c r="Y28" i="27"/>
  <c r="Z27" i="27"/>
  <c r="Y27" i="27"/>
  <c r="Z26" i="27"/>
  <c r="Y26" i="27"/>
  <c r="Z25" i="27"/>
  <c r="Y25" i="27"/>
  <c r="Z24" i="27"/>
  <c r="Y24" i="27"/>
  <c r="Z23" i="27"/>
  <c r="Y23" i="27"/>
  <c r="Z22" i="27"/>
  <c r="G9" i="28" s="1"/>
  <c r="Y22" i="27"/>
  <c r="X22" i="27"/>
  <c r="Q22" i="27"/>
  <c r="P22" i="27"/>
  <c r="Z21" i="27"/>
  <c r="Y21" i="27"/>
  <c r="Z20" i="27"/>
  <c r="G8" i="28" s="1"/>
  <c r="Y20" i="27"/>
  <c r="X20" i="27"/>
  <c r="Q20" i="27"/>
  <c r="P20" i="27"/>
  <c r="Z19" i="27"/>
  <c r="Y19" i="27"/>
  <c r="Z18" i="27"/>
  <c r="G7" i="28" s="1"/>
  <c r="Y18" i="27"/>
  <c r="X18" i="27"/>
  <c r="Q18" i="27"/>
  <c r="P18" i="27"/>
  <c r="Z17" i="27"/>
  <c r="Y17" i="27"/>
  <c r="Z16" i="27"/>
  <c r="Y16" i="27"/>
  <c r="Z15" i="27"/>
  <c r="Y15" i="27"/>
  <c r="Z14" i="27"/>
  <c r="Y14" i="27"/>
  <c r="Z13" i="27"/>
  <c r="G6" i="28" s="1"/>
  <c r="I6" i="28" s="1"/>
  <c r="L6" i="28" s="1"/>
  <c r="Y13" i="27"/>
  <c r="X13" i="27"/>
  <c r="Q13" i="27"/>
  <c r="P13" i="27"/>
  <c r="Z12" i="27"/>
  <c r="Y12" i="27"/>
  <c r="Z11" i="27"/>
  <c r="G5" i="28" s="1"/>
  <c r="I5" i="28" s="1"/>
  <c r="L5" i="28" s="1"/>
  <c r="Y11" i="27"/>
  <c r="X11" i="27"/>
  <c r="R11" i="27"/>
  <c r="S11" i="27" s="1"/>
  <c r="T11" i="27" s="1"/>
  <c r="U11" i="27" s="1"/>
  <c r="V11" i="27" s="1"/>
  <c r="Q11" i="27"/>
  <c r="P11" i="27"/>
  <c r="Z10" i="27"/>
  <c r="Y10" i="27"/>
  <c r="Z9" i="27"/>
  <c r="Y9" i="27"/>
  <c r="Z8" i="27"/>
  <c r="G4" i="28" s="1"/>
  <c r="Y8" i="27"/>
  <c r="X8" i="27"/>
  <c r="Q8" i="27"/>
  <c r="P8" i="27"/>
  <c r="Z7" i="27"/>
  <c r="Y7" i="27"/>
  <c r="Z6" i="27"/>
  <c r="Y6" i="27"/>
  <c r="Z5" i="27"/>
  <c r="G3" i="28" s="1"/>
  <c r="Y5" i="27"/>
  <c r="X5" i="27"/>
  <c r="Q5" i="27"/>
  <c r="P5" i="27"/>
  <c r="Z4" i="27"/>
  <c r="Y4" i="27"/>
  <c r="Z3" i="27"/>
  <c r="G2" i="28" s="1"/>
  <c r="Y3" i="27"/>
  <c r="G12" i="46" l="1"/>
  <c r="I18" i="28"/>
  <c r="L18" i="28" s="1"/>
  <c r="I30" i="28"/>
  <c r="L30" i="28" s="1"/>
  <c r="I34" i="28"/>
  <c r="L34" i="28" s="1"/>
  <c r="I39" i="28"/>
  <c r="L39" i="28" s="1"/>
  <c r="I4" i="28"/>
  <c r="L4" i="28" s="1"/>
  <c r="I9" i="28"/>
  <c r="L9" i="28" s="1"/>
  <c r="I16" i="28"/>
  <c r="L16" i="28" s="1"/>
  <c r="I17" i="28"/>
  <c r="L17" i="28" s="1"/>
  <c r="I28" i="28"/>
  <c r="L28" i="28" s="1"/>
  <c r="I33" i="28"/>
  <c r="L33" i="28" s="1"/>
  <c r="I38" i="28"/>
  <c r="L38" i="28" s="1"/>
  <c r="I10" i="28"/>
  <c r="L10" i="28" s="1"/>
  <c r="I2" i="28"/>
  <c r="L2" i="28" s="1"/>
  <c r="I3" i="28"/>
  <c r="L3" i="28" s="1"/>
  <c r="I8" i="28"/>
  <c r="L8" i="28" s="1"/>
  <c r="I15" i="28"/>
  <c r="L15" i="28" s="1"/>
  <c r="I23" i="28"/>
  <c r="L23" i="28" s="1"/>
  <c r="I27" i="28"/>
  <c r="L27" i="28" s="1"/>
  <c r="I32" i="28"/>
  <c r="L32" i="28" s="1"/>
  <c r="I37" i="28"/>
  <c r="L37" i="28" s="1"/>
  <c r="I7" i="28"/>
  <c r="L7" i="28" s="1"/>
  <c r="I14" i="28"/>
  <c r="L14" i="28" s="1"/>
  <c r="I19" i="28"/>
  <c r="L19" i="28" s="1"/>
  <c r="I22" i="28"/>
  <c r="L22" i="28" s="1"/>
  <c r="I26" i="28"/>
  <c r="L26" i="28" s="1"/>
  <c r="I31" i="28"/>
  <c r="L31" i="28" s="1"/>
  <c r="I36" i="28"/>
  <c r="L36" i="28" s="1"/>
  <c r="M11" i="28" l="1"/>
  <c r="M29" i="28"/>
  <c r="M24" i="28"/>
  <c r="M5" i="28"/>
  <c r="M16" i="28"/>
  <c r="M34" i="28"/>
  <c r="L11" i="46" s="1"/>
  <c r="M2" i="28"/>
  <c r="H30" i="26"/>
  <c r="E30" i="26"/>
  <c r="H29" i="26"/>
  <c r="E29" i="26"/>
  <c r="H28" i="26"/>
  <c r="E28" i="26"/>
  <c r="H27" i="26"/>
  <c r="E27" i="26"/>
  <c r="H26" i="26"/>
  <c r="E26" i="26"/>
  <c r="H25" i="26"/>
  <c r="E25" i="26"/>
  <c r="H24" i="26"/>
  <c r="E24" i="26"/>
  <c r="H23" i="26"/>
  <c r="E23" i="26"/>
  <c r="H22" i="26"/>
  <c r="E22" i="26"/>
  <c r="H21" i="26"/>
  <c r="E21" i="26"/>
  <c r="H20" i="26"/>
  <c r="E20" i="26"/>
  <c r="H19" i="26"/>
  <c r="E19" i="26"/>
  <c r="H18" i="26"/>
  <c r="E18" i="26"/>
  <c r="H17" i="26"/>
  <c r="E17" i="26"/>
  <c r="H16" i="26"/>
  <c r="E16" i="26"/>
  <c r="H15" i="26"/>
  <c r="E15" i="26"/>
  <c r="H14" i="26"/>
  <c r="E14" i="26"/>
  <c r="H13" i="26"/>
  <c r="E13" i="26"/>
  <c r="H12" i="26"/>
  <c r="E12" i="26"/>
  <c r="H11" i="26"/>
  <c r="E11" i="26"/>
  <c r="H10" i="26"/>
  <c r="E10" i="26"/>
  <c r="H9" i="26"/>
  <c r="E9" i="26"/>
  <c r="H8" i="26"/>
  <c r="E8" i="26"/>
  <c r="H7" i="26"/>
  <c r="E7" i="26"/>
  <c r="H6" i="26"/>
  <c r="E6" i="26"/>
  <c r="H5" i="26"/>
  <c r="E5" i="26"/>
  <c r="H4" i="26"/>
  <c r="E4" i="26"/>
  <c r="H3" i="26"/>
  <c r="E3" i="26"/>
  <c r="H2" i="26"/>
  <c r="E2" i="26"/>
  <c r="I19" i="26"/>
  <c r="L19" i="26" s="1"/>
  <c r="L17" i="26"/>
  <c r="K14" i="26"/>
  <c r="K13" i="26"/>
  <c r="K12" i="26"/>
  <c r="K10" i="26"/>
  <c r="K9" i="26"/>
  <c r="K8" i="26"/>
  <c r="K7" i="26"/>
  <c r="K6" i="26"/>
  <c r="K5" i="26"/>
  <c r="Y108" i="25"/>
  <c r="Y107" i="25"/>
  <c r="X107" i="25"/>
  <c r="Q107" i="25"/>
  <c r="P107" i="25"/>
  <c r="Y106" i="25"/>
  <c r="Y105" i="25"/>
  <c r="Y104" i="25"/>
  <c r="Y103" i="25"/>
  <c r="X103" i="25"/>
  <c r="Q103" i="25"/>
  <c r="P103" i="25"/>
  <c r="Y102" i="25"/>
  <c r="Y101" i="25"/>
  <c r="Y100" i="25"/>
  <c r="X100" i="25"/>
  <c r="Q100" i="25"/>
  <c r="P100" i="25"/>
  <c r="Y99" i="25"/>
  <c r="Y98" i="25"/>
  <c r="X98" i="25"/>
  <c r="Q98" i="25"/>
  <c r="P98" i="25"/>
  <c r="Y97" i="25"/>
  <c r="Y96" i="25"/>
  <c r="Y95" i="25"/>
  <c r="X95" i="25"/>
  <c r="Y94" i="25"/>
  <c r="Y93" i="25"/>
  <c r="Y92" i="25"/>
  <c r="Y91" i="25"/>
  <c r="Y90" i="25"/>
  <c r="Y89" i="25"/>
  <c r="Y88" i="25"/>
  <c r="G30" i="26" s="1"/>
  <c r="I30" i="26" s="1"/>
  <c r="L30" i="26" s="1"/>
  <c r="Y87" i="25"/>
  <c r="G29" i="26" s="1"/>
  <c r="Y86" i="25"/>
  <c r="G28" i="26" s="1"/>
  <c r="Y85" i="25"/>
  <c r="G27" i="26" s="1"/>
  <c r="Y84" i="25"/>
  <c r="G26" i="26" s="1"/>
  <c r="Y83" i="25"/>
  <c r="Y82" i="25"/>
  <c r="Y81" i="25"/>
  <c r="Y80" i="25"/>
  <c r="Y79" i="25"/>
  <c r="Y78" i="25"/>
  <c r="G25" i="26" s="1"/>
  <c r="X78" i="25"/>
  <c r="W78" i="25"/>
  <c r="Q78" i="25"/>
  <c r="P78" i="25"/>
  <c r="Y77" i="25"/>
  <c r="Y76" i="25"/>
  <c r="Y75" i="25"/>
  <c r="X75" i="25"/>
  <c r="Q75" i="25"/>
  <c r="P75" i="25"/>
  <c r="Y74" i="25"/>
  <c r="Y73" i="25"/>
  <c r="Y72" i="25"/>
  <c r="G24" i="26" s="1"/>
  <c r="X72" i="25"/>
  <c r="W72" i="25"/>
  <c r="Y71" i="25"/>
  <c r="Y70" i="25"/>
  <c r="Y69" i="25"/>
  <c r="Y68" i="25"/>
  <c r="G23" i="26" s="1"/>
  <c r="Y67" i="25"/>
  <c r="G22" i="26" s="1"/>
  <c r="X67" i="25"/>
  <c r="Q67" i="25"/>
  <c r="P67" i="25"/>
  <c r="Y66" i="25"/>
  <c r="Y65" i="25"/>
  <c r="Y64" i="25"/>
  <c r="Y63" i="25"/>
  <c r="G21" i="26" s="1"/>
  <c r="X63" i="25"/>
  <c r="Q63" i="25"/>
  <c r="P63" i="25"/>
  <c r="Y62" i="25"/>
  <c r="Y61" i="25"/>
  <c r="Y60" i="25"/>
  <c r="G20" i="26" s="1"/>
  <c r="X60" i="25"/>
  <c r="Q60" i="25"/>
  <c r="P60" i="25"/>
  <c r="Y59" i="25"/>
  <c r="Y58" i="25"/>
  <c r="Y57" i="25"/>
  <c r="X57" i="25"/>
  <c r="Q57" i="25"/>
  <c r="P57" i="25"/>
  <c r="Y56" i="25"/>
  <c r="Y55" i="25"/>
  <c r="G18" i="26" s="1"/>
  <c r="X55" i="25"/>
  <c r="Q55" i="25"/>
  <c r="P55" i="25"/>
  <c r="Y54" i="25"/>
  <c r="Y53" i="25"/>
  <c r="Y52" i="25"/>
  <c r="G17" i="26" s="1"/>
  <c r="Y51" i="25"/>
  <c r="Y50" i="25"/>
  <c r="Y49" i="25"/>
  <c r="G16" i="26" s="1"/>
  <c r="Y48" i="25"/>
  <c r="G15" i="26" s="1"/>
  <c r="I15" i="26" s="1"/>
  <c r="L15" i="26" s="1"/>
  <c r="X48" i="25"/>
  <c r="Q48" i="25"/>
  <c r="P48" i="25"/>
  <c r="Y47" i="25"/>
  <c r="Y46" i="25"/>
  <c r="Y45" i="25"/>
  <c r="Y44" i="25"/>
  <c r="G14" i="26" s="1"/>
  <c r="X44" i="25"/>
  <c r="Q44" i="25"/>
  <c r="P44" i="25"/>
  <c r="Y43" i="25"/>
  <c r="Y42" i="25"/>
  <c r="Y41" i="25"/>
  <c r="Y40" i="25"/>
  <c r="Y39" i="25"/>
  <c r="G13" i="26" s="1"/>
  <c r="Y38" i="25"/>
  <c r="G12" i="26" s="1"/>
  <c r="Y37" i="25"/>
  <c r="G11" i="26" s="1"/>
  <c r="X37" i="25"/>
  <c r="Q37" i="25"/>
  <c r="P37" i="25"/>
  <c r="Y36" i="25"/>
  <c r="Y35" i="25"/>
  <c r="Y34" i="25"/>
  <c r="G10" i="26" s="1"/>
  <c r="X34" i="25"/>
  <c r="Q34" i="25"/>
  <c r="P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G9" i="26" s="1"/>
  <c r="X22" i="25"/>
  <c r="Q22" i="25"/>
  <c r="P22" i="25"/>
  <c r="Y21" i="25"/>
  <c r="Y20" i="25"/>
  <c r="G8" i="26" s="1"/>
  <c r="X20" i="25"/>
  <c r="Q20" i="25"/>
  <c r="P20" i="25"/>
  <c r="Y19" i="25"/>
  <c r="Y18" i="25"/>
  <c r="G7" i="26" s="1"/>
  <c r="X18" i="25"/>
  <c r="Q18" i="25"/>
  <c r="P18" i="25"/>
  <c r="Y17" i="25"/>
  <c r="Y16" i="25"/>
  <c r="Y15" i="25"/>
  <c r="Y14" i="25"/>
  <c r="Y13" i="25"/>
  <c r="G6" i="26" s="1"/>
  <c r="X13" i="25"/>
  <c r="Q13" i="25"/>
  <c r="P13" i="25"/>
  <c r="Y12" i="25"/>
  <c r="Y11" i="25"/>
  <c r="G5" i="26" s="1"/>
  <c r="I5" i="26" s="1"/>
  <c r="L5" i="26" s="1"/>
  <c r="X11" i="25"/>
  <c r="S11" i="25"/>
  <c r="T11" i="25" s="1"/>
  <c r="U11" i="25" s="1"/>
  <c r="V11" i="25" s="1"/>
  <c r="R11" i="25"/>
  <c r="Q11" i="25"/>
  <c r="P11" i="25"/>
  <c r="Y10" i="25"/>
  <c r="Y9" i="25"/>
  <c r="Y8" i="25"/>
  <c r="G4" i="26" s="1"/>
  <c r="X8" i="25"/>
  <c r="Q8" i="25"/>
  <c r="P8" i="25"/>
  <c r="Y7" i="25"/>
  <c r="Y6" i="25"/>
  <c r="Y5" i="25"/>
  <c r="G3" i="26" s="1"/>
  <c r="X5" i="25"/>
  <c r="Q5" i="25"/>
  <c r="P5" i="25"/>
  <c r="Y4" i="25"/>
  <c r="Y3" i="25"/>
  <c r="G2" i="26" s="1"/>
  <c r="I2" i="26" s="1"/>
  <c r="L2" i="26" s="1"/>
  <c r="E12" i="46" l="1"/>
  <c r="I7" i="26"/>
  <c r="L7" i="26" s="1"/>
  <c r="I9" i="26"/>
  <c r="L9" i="26" s="1"/>
  <c r="I11" i="26"/>
  <c r="I21" i="26"/>
  <c r="L21" i="26" s="1"/>
  <c r="I24" i="26"/>
  <c r="L24" i="26" s="1"/>
  <c r="I13" i="26"/>
  <c r="L13" i="26" s="1"/>
  <c r="I27" i="26"/>
  <c r="L27" i="26" s="1"/>
  <c r="I3" i="26"/>
  <c r="L3" i="26" s="1"/>
  <c r="I12" i="26"/>
  <c r="L12" i="26" s="1"/>
  <c r="I14" i="26"/>
  <c r="L14" i="26" s="1"/>
  <c r="I16" i="26"/>
  <c r="L16" i="26" s="1"/>
  <c r="I22" i="26"/>
  <c r="L22" i="26" s="1"/>
  <c r="I25" i="26"/>
  <c r="L25" i="26" s="1"/>
  <c r="I28" i="26"/>
  <c r="L28" i="26" s="1"/>
  <c r="I20" i="26"/>
  <c r="L20" i="26" s="1"/>
  <c r="I4" i="26"/>
  <c r="L4" i="26" s="1"/>
  <c r="I6" i="26"/>
  <c r="L6" i="26" s="1"/>
  <c r="I8" i="26"/>
  <c r="L8" i="26" s="1"/>
  <c r="I10" i="26"/>
  <c r="L10" i="26" s="1"/>
  <c r="I18" i="26"/>
  <c r="L18" i="26" s="1"/>
  <c r="I23" i="26"/>
  <c r="L23" i="26" s="1"/>
  <c r="I26" i="26"/>
  <c r="L26" i="26" s="1"/>
  <c r="I29" i="26"/>
  <c r="L29" i="26" s="1"/>
  <c r="M11" i="26" l="1"/>
  <c r="M2" i="26"/>
  <c r="M15" i="26"/>
  <c r="M5" i="26"/>
  <c r="M27" i="26"/>
  <c r="M23" i="26"/>
  <c r="K11" i="35"/>
  <c r="I11" i="35"/>
  <c r="E11" i="35"/>
  <c r="K10" i="35"/>
  <c r="I10" i="35"/>
  <c r="G10" i="35"/>
  <c r="E10" i="35"/>
  <c r="K9" i="35"/>
  <c r="I9" i="35"/>
  <c r="G9" i="35"/>
  <c r="E9" i="35"/>
  <c r="K8" i="35"/>
  <c r="I8" i="35"/>
  <c r="G8" i="35"/>
  <c r="E8" i="35"/>
  <c r="K7" i="35"/>
  <c r="I7" i="35"/>
  <c r="G7" i="35"/>
  <c r="E7" i="35"/>
  <c r="K6" i="35"/>
  <c r="I6" i="35"/>
  <c r="G6" i="35"/>
  <c r="E6" i="35"/>
  <c r="K5" i="35"/>
  <c r="I5" i="35"/>
  <c r="G5" i="35"/>
  <c r="E5" i="35"/>
  <c r="H39" i="23"/>
  <c r="F39" i="23"/>
  <c r="D39" i="23"/>
  <c r="H38" i="23"/>
  <c r="F38" i="23"/>
  <c r="D38" i="23"/>
  <c r="H37" i="23"/>
  <c r="F37" i="23"/>
  <c r="D37" i="23"/>
  <c r="H36" i="23"/>
  <c r="F36" i="23"/>
  <c r="D36" i="23"/>
  <c r="H35" i="23"/>
  <c r="F35" i="23"/>
  <c r="D35" i="23"/>
  <c r="H34" i="23"/>
  <c r="F34" i="23"/>
  <c r="D34" i="23"/>
  <c r="H33" i="23"/>
  <c r="F33" i="23"/>
  <c r="D33" i="23"/>
  <c r="H32" i="23"/>
  <c r="F32" i="23"/>
  <c r="D32" i="23"/>
  <c r="H31" i="23"/>
  <c r="F31" i="23"/>
  <c r="D31" i="23"/>
  <c r="H30" i="23"/>
  <c r="F30" i="23"/>
  <c r="D30" i="23"/>
  <c r="H29" i="23"/>
  <c r="F29" i="23"/>
  <c r="D29" i="23"/>
  <c r="F28" i="23"/>
  <c r="D28" i="23"/>
  <c r="H27" i="23"/>
  <c r="F27" i="23"/>
  <c r="D27" i="23"/>
  <c r="H26" i="23"/>
  <c r="F26" i="23"/>
  <c r="D26" i="23"/>
  <c r="H25" i="23"/>
  <c r="F25" i="23"/>
  <c r="D25" i="23"/>
  <c r="H24" i="23"/>
  <c r="F24" i="23"/>
  <c r="D24" i="23"/>
  <c r="H23" i="23"/>
  <c r="F23" i="23"/>
  <c r="D23" i="23"/>
  <c r="H22" i="23"/>
  <c r="F22" i="23"/>
  <c r="D22" i="23"/>
  <c r="H21" i="23"/>
  <c r="F21" i="23"/>
  <c r="D21" i="23"/>
  <c r="H20" i="23"/>
  <c r="F20" i="23"/>
  <c r="D20" i="23"/>
  <c r="H19" i="23"/>
  <c r="F19" i="23"/>
  <c r="D19" i="23"/>
  <c r="H18" i="23"/>
  <c r="F18" i="23"/>
  <c r="D18" i="23"/>
  <c r="H17" i="23"/>
  <c r="F17" i="23"/>
  <c r="D17" i="23"/>
  <c r="H16" i="23"/>
  <c r="F16" i="23"/>
  <c r="D16" i="23"/>
  <c r="H15" i="23"/>
  <c r="F15" i="23"/>
  <c r="D15" i="23"/>
  <c r="H14" i="23"/>
  <c r="F14" i="23"/>
  <c r="D14" i="23"/>
  <c r="H13" i="23"/>
  <c r="F13" i="23"/>
  <c r="D13" i="23"/>
  <c r="H12" i="23"/>
  <c r="F12" i="23"/>
  <c r="D12" i="23"/>
  <c r="H11" i="23"/>
  <c r="F11" i="23"/>
  <c r="D11" i="23"/>
  <c r="F10" i="23"/>
  <c r="D10" i="23"/>
  <c r="F9" i="23"/>
  <c r="D9" i="23"/>
  <c r="F8" i="23"/>
  <c r="D8" i="23"/>
  <c r="F7" i="23"/>
  <c r="D7" i="23"/>
  <c r="F6" i="23"/>
  <c r="D6" i="23"/>
  <c r="H5" i="23"/>
  <c r="F5" i="23"/>
  <c r="D5" i="23"/>
  <c r="H4" i="23"/>
  <c r="F4" i="23"/>
  <c r="D4" i="23"/>
  <c r="H3" i="23"/>
  <c r="F3" i="23"/>
  <c r="D3" i="23"/>
  <c r="H2" i="23"/>
  <c r="F2" i="23"/>
  <c r="D2" i="23"/>
  <c r="L11" i="23"/>
  <c r="AE113" i="22"/>
  <c r="G39" i="23" s="1"/>
  <c r="AD113" i="22"/>
  <c r="AC113" i="22"/>
  <c r="AB113" i="22"/>
  <c r="AA113" i="22"/>
  <c r="Z113" i="22"/>
  <c r="S113" i="22"/>
  <c r="E39" i="23" s="1"/>
  <c r="AE112" i="22"/>
  <c r="G38" i="23" s="1"/>
  <c r="AD112" i="22"/>
  <c r="AC112" i="22"/>
  <c r="AB112" i="22"/>
  <c r="AA112" i="22"/>
  <c r="Z112" i="22"/>
  <c r="X112" i="22"/>
  <c r="S112" i="22"/>
  <c r="E38" i="23" s="1"/>
  <c r="R112" i="22"/>
  <c r="Q112" i="22"/>
  <c r="AE111" i="22"/>
  <c r="AD111" i="22"/>
  <c r="AC111" i="22"/>
  <c r="AB111" i="22"/>
  <c r="AA111" i="22"/>
  <c r="Z111" i="22"/>
  <c r="S111" i="22"/>
  <c r="AE110" i="22"/>
  <c r="G37" i="23" s="1"/>
  <c r="AD110" i="22"/>
  <c r="AC110" i="22"/>
  <c r="AB110" i="22"/>
  <c r="AA110" i="22"/>
  <c r="Z110" i="22"/>
  <c r="X110" i="22"/>
  <c r="S110" i="22"/>
  <c r="E37" i="23" s="1"/>
  <c r="AE109" i="22"/>
  <c r="AD109" i="22"/>
  <c r="AC109" i="22"/>
  <c r="AB109" i="22"/>
  <c r="AA109" i="22"/>
  <c r="Z109" i="22"/>
  <c r="S109" i="22"/>
  <c r="AE108" i="22"/>
  <c r="G36" i="23" s="1"/>
  <c r="AD108" i="22"/>
  <c r="AC108" i="22"/>
  <c r="AB108" i="22"/>
  <c r="AA108" i="22"/>
  <c r="Z108" i="22"/>
  <c r="X108" i="22"/>
  <c r="S108" i="22"/>
  <c r="E36" i="23" s="1"/>
  <c r="R108" i="22"/>
  <c r="Q108" i="22"/>
  <c r="AE107" i="22"/>
  <c r="AD107" i="22"/>
  <c r="AC107" i="22"/>
  <c r="AB107" i="22"/>
  <c r="AA107" i="22"/>
  <c r="Z107" i="22"/>
  <c r="S107" i="22"/>
  <c r="AE106" i="22"/>
  <c r="AD106" i="22"/>
  <c r="AC106" i="22"/>
  <c r="AB106" i="22"/>
  <c r="AA106" i="22"/>
  <c r="Z106" i="22"/>
  <c r="S106" i="22"/>
  <c r="AE105" i="22"/>
  <c r="G35" i="23" s="1"/>
  <c r="AD105" i="22"/>
  <c r="AC105" i="22"/>
  <c r="AB105" i="22"/>
  <c r="AA105" i="22"/>
  <c r="Z105" i="22"/>
  <c r="X105" i="22"/>
  <c r="S105" i="22"/>
  <c r="E35" i="23" s="1"/>
  <c r="R105" i="22"/>
  <c r="Q105" i="22"/>
  <c r="AE104" i="22"/>
  <c r="AD104" i="22"/>
  <c r="AC104" i="22"/>
  <c r="AB104" i="22"/>
  <c r="AA104" i="22"/>
  <c r="Z104" i="22"/>
  <c r="S104" i="22"/>
  <c r="AE103" i="22"/>
  <c r="G34" i="23" s="1"/>
  <c r="AD103" i="22"/>
  <c r="AC103" i="22"/>
  <c r="AB103" i="22"/>
  <c r="AA103" i="22"/>
  <c r="Z103" i="22"/>
  <c r="X103" i="22"/>
  <c r="S103" i="22"/>
  <c r="E34" i="23" s="1"/>
  <c r="R103" i="22"/>
  <c r="Q103" i="22"/>
  <c r="AE102" i="22"/>
  <c r="AD102" i="22"/>
  <c r="AC102" i="22"/>
  <c r="AB102" i="22"/>
  <c r="AA102" i="22"/>
  <c r="Z102" i="22"/>
  <c r="S102" i="22"/>
  <c r="AE101" i="22"/>
  <c r="AD101" i="22"/>
  <c r="AC101" i="22"/>
  <c r="AB101" i="22"/>
  <c r="AA101" i="22"/>
  <c r="Z101" i="22"/>
  <c r="S101" i="22"/>
  <c r="AE100" i="22"/>
  <c r="G33" i="23" s="1"/>
  <c r="AD100" i="22"/>
  <c r="AC100" i="22"/>
  <c r="AB100" i="22"/>
  <c r="AA100" i="22"/>
  <c r="Z100" i="22"/>
  <c r="S100" i="22"/>
  <c r="E33" i="23" s="1"/>
  <c r="AE99" i="22"/>
  <c r="AD99" i="22"/>
  <c r="AC99" i="22"/>
  <c r="AB99" i="22"/>
  <c r="AA99" i="22"/>
  <c r="Z99" i="22"/>
  <c r="S99" i="22"/>
  <c r="AE98" i="22"/>
  <c r="AD98" i="22"/>
  <c r="AC98" i="22"/>
  <c r="AB98" i="22"/>
  <c r="AA98" i="22"/>
  <c r="Z98" i="22"/>
  <c r="S98" i="22"/>
  <c r="AE97" i="22"/>
  <c r="AD97" i="22"/>
  <c r="AC97" i="22"/>
  <c r="AB97" i="22"/>
  <c r="AA97" i="22"/>
  <c r="Z97" i="22"/>
  <c r="S97" i="22"/>
  <c r="AE96" i="22"/>
  <c r="AD96" i="22"/>
  <c r="AC96" i="22"/>
  <c r="AB96" i="22"/>
  <c r="AA96" i="22"/>
  <c r="Z96" i="22"/>
  <c r="S96" i="22"/>
  <c r="AE95" i="22"/>
  <c r="AD95" i="22"/>
  <c r="AC95" i="22"/>
  <c r="AB95" i="22"/>
  <c r="AA95" i="22"/>
  <c r="Z95" i="22"/>
  <c r="S95" i="22"/>
  <c r="AE94" i="22"/>
  <c r="AD94" i="22"/>
  <c r="AC94" i="22"/>
  <c r="AB94" i="22"/>
  <c r="AA94" i="22"/>
  <c r="Z94" i="22"/>
  <c r="S94" i="22"/>
  <c r="AE93" i="22"/>
  <c r="G32" i="23" s="1"/>
  <c r="AD93" i="22"/>
  <c r="AC93" i="22"/>
  <c r="AB93" i="22"/>
  <c r="AA93" i="22"/>
  <c r="Z93" i="22"/>
  <c r="S93" i="22"/>
  <c r="E32" i="23" s="1"/>
  <c r="AE92" i="22"/>
  <c r="G31" i="23" s="1"/>
  <c r="AD92" i="22"/>
  <c r="AC92" i="22"/>
  <c r="AB92" i="22"/>
  <c r="AA92" i="22"/>
  <c r="Z92" i="22"/>
  <c r="S92" i="22"/>
  <c r="E31" i="23" s="1"/>
  <c r="AE91" i="22"/>
  <c r="G30" i="23" s="1"/>
  <c r="AD91" i="22"/>
  <c r="AC91" i="22"/>
  <c r="AB91" i="22"/>
  <c r="AA91" i="22"/>
  <c r="Z91" i="22"/>
  <c r="X91" i="22"/>
  <c r="S91" i="22"/>
  <c r="E30" i="23" s="1"/>
  <c r="AE90" i="22"/>
  <c r="G29" i="23" s="1"/>
  <c r="AD90" i="22"/>
  <c r="AC90" i="22"/>
  <c r="AB90" i="22"/>
  <c r="AA90" i="22"/>
  <c r="Z90" i="22"/>
  <c r="S90" i="22"/>
  <c r="E29" i="23" s="1"/>
  <c r="AE89" i="22"/>
  <c r="G28" i="23" s="1"/>
  <c r="AD89" i="22"/>
  <c r="AC89" i="22"/>
  <c r="AB89" i="22"/>
  <c r="AA89" i="22"/>
  <c r="Z89" i="22"/>
  <c r="S89" i="22"/>
  <c r="X89" i="22" s="1"/>
  <c r="H28" i="23" s="1"/>
  <c r="R89" i="22"/>
  <c r="Q89" i="22"/>
  <c r="AE88" i="22"/>
  <c r="AD88" i="22"/>
  <c r="AC88" i="22"/>
  <c r="AB88" i="22"/>
  <c r="AA88" i="22"/>
  <c r="Z88" i="22"/>
  <c r="S88" i="22"/>
  <c r="AE87" i="22"/>
  <c r="AD87" i="22"/>
  <c r="AC87" i="22"/>
  <c r="AB87" i="22"/>
  <c r="AA87" i="22"/>
  <c r="Z87" i="22"/>
  <c r="S87" i="22"/>
  <c r="AE86" i="22"/>
  <c r="AD86" i="22"/>
  <c r="AC86" i="22"/>
  <c r="AB86" i="22"/>
  <c r="AA86" i="22"/>
  <c r="Z86" i="22"/>
  <c r="S86" i="22"/>
  <c r="AE85" i="22"/>
  <c r="AD85" i="22"/>
  <c r="AC85" i="22"/>
  <c r="AB85" i="22"/>
  <c r="AA85" i="22"/>
  <c r="Z85" i="22"/>
  <c r="S85" i="22"/>
  <c r="AE84" i="22"/>
  <c r="AD84" i="22"/>
  <c r="AC84" i="22"/>
  <c r="AB84" i="22"/>
  <c r="AA84" i="22"/>
  <c r="Z84" i="22"/>
  <c r="S84" i="22"/>
  <c r="AE83" i="22"/>
  <c r="G27" i="23" s="1"/>
  <c r="AD83" i="22"/>
  <c r="AC83" i="22"/>
  <c r="AB83" i="22"/>
  <c r="AA83" i="22"/>
  <c r="Z83" i="22"/>
  <c r="X83" i="22"/>
  <c r="S83" i="22"/>
  <c r="E27" i="23" s="1"/>
  <c r="AE82" i="22"/>
  <c r="AD82" i="22"/>
  <c r="AC82" i="22"/>
  <c r="AB82" i="22"/>
  <c r="AA82" i="22"/>
  <c r="Z82" i="22"/>
  <c r="S82" i="22"/>
  <c r="AE81" i="22"/>
  <c r="AD81" i="22"/>
  <c r="AC81" i="22"/>
  <c r="AB81" i="22"/>
  <c r="AA81" i="22"/>
  <c r="Z81" i="22"/>
  <c r="S81" i="22"/>
  <c r="AE80" i="22"/>
  <c r="G26" i="23" s="1"/>
  <c r="AD80" i="22"/>
  <c r="AC80" i="22"/>
  <c r="AB80" i="22"/>
  <c r="AA80" i="22"/>
  <c r="Z80" i="22"/>
  <c r="S80" i="22"/>
  <c r="E26" i="23" s="1"/>
  <c r="R80" i="22"/>
  <c r="Q80" i="22"/>
  <c r="AE79" i="22"/>
  <c r="AD79" i="22"/>
  <c r="AC79" i="22"/>
  <c r="AB79" i="22"/>
  <c r="AA79" i="22"/>
  <c r="Z79" i="22"/>
  <c r="S79" i="22"/>
  <c r="AE78" i="22"/>
  <c r="AD78" i="22"/>
  <c r="AC78" i="22"/>
  <c r="AB78" i="22"/>
  <c r="AA78" i="22"/>
  <c r="Z78" i="22"/>
  <c r="S78" i="22"/>
  <c r="AE77" i="22"/>
  <c r="G25" i="23" s="1"/>
  <c r="AD77" i="22"/>
  <c r="AC77" i="22"/>
  <c r="AB77" i="22"/>
  <c r="AA77" i="22"/>
  <c r="Z77" i="22"/>
  <c r="X77" i="22"/>
  <c r="S77" i="22"/>
  <c r="E25" i="23" s="1"/>
  <c r="AE76" i="22"/>
  <c r="AD76" i="22"/>
  <c r="AC76" i="22"/>
  <c r="AB76" i="22"/>
  <c r="AA76" i="22"/>
  <c r="Z76" i="22"/>
  <c r="S76" i="22"/>
  <c r="AE75" i="22"/>
  <c r="AD75" i="22"/>
  <c r="AC75" i="22"/>
  <c r="AB75" i="22"/>
  <c r="AA75" i="22"/>
  <c r="Z75" i="22"/>
  <c r="S75" i="22"/>
  <c r="AE74" i="22"/>
  <c r="AD74" i="22"/>
  <c r="AC74" i="22"/>
  <c r="AB74" i="22"/>
  <c r="AA74" i="22"/>
  <c r="Z74" i="22"/>
  <c r="S74" i="22"/>
  <c r="AE73" i="22"/>
  <c r="G24" i="23" s="1"/>
  <c r="AD73" i="22"/>
  <c r="AC73" i="22"/>
  <c r="AB73" i="22"/>
  <c r="AA73" i="22"/>
  <c r="Z73" i="22"/>
  <c r="X73" i="22"/>
  <c r="S73" i="22"/>
  <c r="E24" i="23" s="1"/>
  <c r="AE72" i="22"/>
  <c r="G23" i="23" s="1"/>
  <c r="AD72" i="22"/>
  <c r="AC72" i="22"/>
  <c r="AB72" i="22"/>
  <c r="AA72" i="22"/>
  <c r="Z72" i="22"/>
  <c r="X72" i="22"/>
  <c r="S72" i="22"/>
  <c r="E23" i="23" s="1"/>
  <c r="Q72" i="22"/>
  <c r="AE71" i="22"/>
  <c r="AD71" i="22"/>
  <c r="AC71" i="22"/>
  <c r="AB71" i="22"/>
  <c r="AA71" i="22"/>
  <c r="Z71" i="22"/>
  <c r="S71" i="22"/>
  <c r="AE70" i="22"/>
  <c r="AD70" i="22"/>
  <c r="AC70" i="22"/>
  <c r="AB70" i="22"/>
  <c r="AA70" i="22"/>
  <c r="Z70" i="22"/>
  <c r="S70" i="22"/>
  <c r="AE69" i="22"/>
  <c r="AD69" i="22"/>
  <c r="AC69" i="22"/>
  <c r="AB69" i="22"/>
  <c r="AA69" i="22"/>
  <c r="Z69" i="22"/>
  <c r="S69" i="22"/>
  <c r="AE68" i="22"/>
  <c r="G22" i="23" s="1"/>
  <c r="AD68" i="22"/>
  <c r="AC68" i="22"/>
  <c r="AB68" i="22"/>
  <c r="AA68" i="22"/>
  <c r="Z68" i="22"/>
  <c r="S68" i="22"/>
  <c r="E22" i="23" s="1"/>
  <c r="R68" i="22"/>
  <c r="Q68" i="22"/>
  <c r="AE67" i="22"/>
  <c r="AD67" i="22"/>
  <c r="AC67" i="22"/>
  <c r="AB67" i="22"/>
  <c r="AA67" i="22"/>
  <c r="Z67" i="22"/>
  <c r="S67" i="22"/>
  <c r="AE66" i="22"/>
  <c r="AD66" i="22"/>
  <c r="AC66" i="22"/>
  <c r="AB66" i="22"/>
  <c r="AA66" i="22"/>
  <c r="Z66" i="22"/>
  <c r="S66" i="22"/>
  <c r="AE65" i="22"/>
  <c r="G21" i="23" s="1"/>
  <c r="AD65" i="22"/>
  <c r="AC65" i="22"/>
  <c r="AB65" i="22"/>
  <c r="AA65" i="22"/>
  <c r="Z65" i="22"/>
  <c r="S65" i="22"/>
  <c r="E21" i="23" s="1"/>
  <c r="R65" i="22"/>
  <c r="Q65" i="22"/>
  <c r="AE64" i="22"/>
  <c r="AD64" i="22"/>
  <c r="AC64" i="22"/>
  <c r="AB64" i="22"/>
  <c r="AA64" i="22"/>
  <c r="Z64" i="22"/>
  <c r="S64" i="22"/>
  <c r="AE63" i="22"/>
  <c r="AD63" i="22"/>
  <c r="AC63" i="22"/>
  <c r="AB63" i="22"/>
  <c r="AA63" i="22"/>
  <c r="Z63" i="22"/>
  <c r="S63" i="22"/>
  <c r="AE62" i="22"/>
  <c r="G20" i="23" s="1"/>
  <c r="AD62" i="22"/>
  <c r="AC62" i="22"/>
  <c r="AB62" i="22"/>
  <c r="AA62" i="22"/>
  <c r="Z62" i="22"/>
  <c r="S62" i="22"/>
  <c r="E20" i="23" s="1"/>
  <c r="R62" i="22"/>
  <c r="Q62" i="22"/>
  <c r="AE61" i="22"/>
  <c r="AD61" i="22"/>
  <c r="AC61" i="22"/>
  <c r="AB61" i="22"/>
  <c r="AA61" i="22"/>
  <c r="Z61" i="22"/>
  <c r="S61" i="22"/>
  <c r="AE60" i="22"/>
  <c r="G19" i="23" s="1"/>
  <c r="AD60" i="22"/>
  <c r="AC60" i="22"/>
  <c r="AB60" i="22"/>
  <c r="AA60" i="22"/>
  <c r="Z60" i="22"/>
  <c r="S60" i="22"/>
  <c r="E19" i="23" s="1"/>
  <c r="R60" i="22"/>
  <c r="Q60" i="22"/>
  <c r="AE59" i="22"/>
  <c r="AD59" i="22"/>
  <c r="AC59" i="22"/>
  <c r="AB59" i="22"/>
  <c r="AA59" i="22"/>
  <c r="Z59" i="22"/>
  <c r="S59" i="22"/>
  <c r="AE58" i="22"/>
  <c r="AD58" i="22"/>
  <c r="AC58" i="22"/>
  <c r="AB58" i="22"/>
  <c r="AA58" i="22"/>
  <c r="Z58" i="22"/>
  <c r="S58" i="22"/>
  <c r="AE57" i="22"/>
  <c r="G18" i="23" s="1"/>
  <c r="AD57" i="22"/>
  <c r="AC57" i="22"/>
  <c r="AB57" i="22"/>
  <c r="AA57" i="22"/>
  <c r="Z57" i="22"/>
  <c r="S57" i="22"/>
  <c r="E18" i="23" s="1"/>
  <c r="R57" i="22"/>
  <c r="Q57" i="22"/>
  <c r="AE56" i="22"/>
  <c r="AD56" i="22"/>
  <c r="AC56" i="22"/>
  <c r="AB56" i="22"/>
  <c r="AA56" i="22"/>
  <c r="Z56" i="22"/>
  <c r="S56" i="22"/>
  <c r="AE55" i="22"/>
  <c r="AD55" i="22"/>
  <c r="AC55" i="22"/>
  <c r="AB55" i="22"/>
  <c r="AA55" i="22"/>
  <c r="Z55" i="22"/>
  <c r="S55" i="22"/>
  <c r="AE54" i="22"/>
  <c r="G17" i="23" s="1"/>
  <c r="AD54" i="22"/>
  <c r="AC54" i="22"/>
  <c r="AB54" i="22"/>
  <c r="AA54" i="22"/>
  <c r="Z54" i="22"/>
  <c r="S54" i="22"/>
  <c r="E17" i="23" s="1"/>
  <c r="AE53" i="22"/>
  <c r="G16" i="23" s="1"/>
  <c r="AD53" i="22"/>
  <c r="AC53" i="22"/>
  <c r="AB53" i="22"/>
  <c r="AA53" i="22"/>
  <c r="Z53" i="22"/>
  <c r="S53" i="22"/>
  <c r="E16" i="23" s="1"/>
  <c r="R53" i="22"/>
  <c r="Q53" i="22"/>
  <c r="AE52" i="22"/>
  <c r="AD52" i="22"/>
  <c r="AC52" i="22"/>
  <c r="AB52" i="22"/>
  <c r="AA52" i="22"/>
  <c r="Z52" i="22"/>
  <c r="S52" i="22"/>
  <c r="AE51" i="22"/>
  <c r="AD51" i="22"/>
  <c r="AC51" i="22"/>
  <c r="AB51" i="22"/>
  <c r="AA51" i="22"/>
  <c r="Z51" i="22"/>
  <c r="S51" i="22"/>
  <c r="AE50" i="22"/>
  <c r="AD50" i="22"/>
  <c r="AC50" i="22"/>
  <c r="AB50" i="22"/>
  <c r="AA50" i="22"/>
  <c r="Z50" i="22"/>
  <c r="S50" i="22"/>
  <c r="AE49" i="22"/>
  <c r="G15" i="23" s="1"/>
  <c r="AD49" i="22"/>
  <c r="AC49" i="22"/>
  <c r="AB49" i="22"/>
  <c r="AA49" i="22"/>
  <c r="Z49" i="22"/>
  <c r="X49" i="22"/>
  <c r="S49" i="22"/>
  <c r="E15" i="23" s="1"/>
  <c r="AE48" i="22"/>
  <c r="AD48" i="22"/>
  <c r="AC48" i="22"/>
  <c r="AB48" i="22"/>
  <c r="AA48" i="22"/>
  <c r="Z48" i="22"/>
  <c r="S48" i="22"/>
  <c r="AE47" i="22"/>
  <c r="AD47" i="22"/>
  <c r="AC47" i="22"/>
  <c r="AB47" i="22"/>
  <c r="AA47" i="22"/>
  <c r="Z47" i="22"/>
  <c r="S47" i="22"/>
  <c r="AE46" i="22"/>
  <c r="AD46" i="22"/>
  <c r="AC46" i="22"/>
  <c r="AB46" i="22"/>
  <c r="AA46" i="22"/>
  <c r="Z46" i="22"/>
  <c r="S46" i="22"/>
  <c r="AE45" i="22"/>
  <c r="AD45" i="22"/>
  <c r="AC45" i="22"/>
  <c r="AB45" i="22"/>
  <c r="AA45" i="22"/>
  <c r="Z45" i="22"/>
  <c r="S45" i="22"/>
  <c r="AE44" i="22"/>
  <c r="G14" i="23" s="1"/>
  <c r="AD44" i="22"/>
  <c r="AC44" i="22"/>
  <c r="AB44" i="22"/>
  <c r="AA44" i="22"/>
  <c r="Z44" i="22"/>
  <c r="U44" i="22"/>
  <c r="V44" i="22" s="1"/>
  <c r="W44" i="22" s="1"/>
  <c r="X44" i="22" s="1"/>
  <c r="S44" i="22"/>
  <c r="E14" i="23" s="1"/>
  <c r="AE43" i="22"/>
  <c r="G13" i="23" s="1"/>
  <c r="AD43" i="22"/>
  <c r="AC43" i="22"/>
  <c r="AB43" i="22"/>
  <c r="AA43" i="22"/>
  <c r="Z43" i="22"/>
  <c r="S43" i="22"/>
  <c r="E13" i="23" s="1"/>
  <c r="AE42" i="22"/>
  <c r="G12" i="23" s="1"/>
  <c r="AD42" i="22"/>
  <c r="AC42" i="22"/>
  <c r="AB42" i="22"/>
  <c r="AA42" i="22"/>
  <c r="Z42" i="22"/>
  <c r="X42" i="22"/>
  <c r="S42" i="22"/>
  <c r="E12" i="23" s="1"/>
  <c r="AE41" i="22"/>
  <c r="AD41" i="22"/>
  <c r="AC41" i="22"/>
  <c r="AB41" i="22"/>
  <c r="AA41" i="22"/>
  <c r="Z41" i="22"/>
  <c r="S41" i="22"/>
  <c r="AE40" i="22"/>
  <c r="AD40" i="22"/>
  <c r="AC40" i="22"/>
  <c r="AB40" i="22"/>
  <c r="AA40" i="22"/>
  <c r="Z40" i="22"/>
  <c r="S40" i="22"/>
  <c r="AE39" i="22"/>
  <c r="G11" i="23" s="1"/>
  <c r="AD39" i="22"/>
  <c r="AC39" i="22"/>
  <c r="AB39" i="22"/>
  <c r="AA39" i="22"/>
  <c r="Z39" i="22"/>
  <c r="S39" i="22"/>
  <c r="E11" i="23" s="1"/>
  <c r="R39" i="22"/>
  <c r="Q39" i="22"/>
  <c r="AE38" i="22"/>
  <c r="AD38" i="22"/>
  <c r="AC38" i="22"/>
  <c r="AB38" i="22"/>
  <c r="AA38" i="22"/>
  <c r="Z38" i="22"/>
  <c r="S38" i="22"/>
  <c r="AE37" i="22"/>
  <c r="AD37" i="22"/>
  <c r="AC37" i="22"/>
  <c r="AB37" i="22"/>
  <c r="AA37" i="22"/>
  <c r="Z37" i="22"/>
  <c r="S37" i="22"/>
  <c r="AE36" i="22"/>
  <c r="G10" i="23" s="1"/>
  <c r="AD36" i="22"/>
  <c r="AC36" i="22"/>
  <c r="AB36" i="22"/>
  <c r="AA36" i="22"/>
  <c r="Z36" i="22"/>
  <c r="S36" i="22"/>
  <c r="X36" i="22" s="1"/>
  <c r="H10" i="23" s="1"/>
  <c r="R36" i="22"/>
  <c r="Q36" i="22"/>
  <c r="AE35" i="22"/>
  <c r="AD35" i="22"/>
  <c r="AC35" i="22"/>
  <c r="AB35" i="22"/>
  <c r="AA35" i="22"/>
  <c r="Z35" i="22"/>
  <c r="S35" i="22"/>
  <c r="R35" i="22"/>
  <c r="Q35" i="22"/>
  <c r="AE34" i="22"/>
  <c r="AD34" i="22"/>
  <c r="AC34" i="22"/>
  <c r="AB34" i="22"/>
  <c r="AA34" i="22"/>
  <c r="Z34" i="22"/>
  <c r="S34" i="22"/>
  <c r="AE33" i="22"/>
  <c r="AD33" i="22"/>
  <c r="AC33" i="22"/>
  <c r="AB33" i="22"/>
  <c r="AA33" i="22"/>
  <c r="Z33" i="22"/>
  <c r="S33" i="22"/>
  <c r="AE32" i="22"/>
  <c r="AD32" i="22"/>
  <c r="AC32" i="22"/>
  <c r="AB32" i="22"/>
  <c r="AA32" i="22"/>
  <c r="Z32" i="22"/>
  <c r="S32" i="22"/>
  <c r="AE31" i="22"/>
  <c r="AD31" i="22"/>
  <c r="AC31" i="22"/>
  <c r="AB31" i="22"/>
  <c r="AA31" i="22"/>
  <c r="Z31" i="22"/>
  <c r="S31" i="22"/>
  <c r="AE30" i="22"/>
  <c r="AD30" i="22"/>
  <c r="AC30" i="22"/>
  <c r="AB30" i="22"/>
  <c r="AA30" i="22"/>
  <c r="Z30" i="22"/>
  <c r="S30" i="22"/>
  <c r="AE29" i="22"/>
  <c r="AD29" i="22"/>
  <c r="AC29" i="22"/>
  <c r="AB29" i="22"/>
  <c r="AA29" i="22"/>
  <c r="Z29" i="22"/>
  <c r="S29" i="22"/>
  <c r="AE28" i="22"/>
  <c r="AD28" i="22"/>
  <c r="AC28" i="22"/>
  <c r="AB28" i="22"/>
  <c r="AA28" i="22"/>
  <c r="Z28" i="22"/>
  <c r="S28" i="22"/>
  <c r="AE27" i="22"/>
  <c r="AD27" i="22"/>
  <c r="AC27" i="22"/>
  <c r="AB27" i="22"/>
  <c r="AA27" i="22"/>
  <c r="Z27" i="22"/>
  <c r="S27" i="22"/>
  <c r="AE26" i="22"/>
  <c r="AD26" i="22"/>
  <c r="AC26" i="22"/>
  <c r="AB26" i="22"/>
  <c r="AA26" i="22"/>
  <c r="Z26" i="22"/>
  <c r="S26" i="22"/>
  <c r="AE25" i="22"/>
  <c r="AD25" i="22"/>
  <c r="AC25" i="22"/>
  <c r="AB25" i="22"/>
  <c r="AA25" i="22"/>
  <c r="Z25" i="22"/>
  <c r="S25" i="22"/>
  <c r="AE24" i="22"/>
  <c r="AD24" i="22"/>
  <c r="AC24" i="22"/>
  <c r="AB24" i="22"/>
  <c r="AA24" i="22"/>
  <c r="Z24" i="22"/>
  <c r="S24" i="22"/>
  <c r="AE23" i="22"/>
  <c r="G9" i="23" s="1"/>
  <c r="AD23" i="22"/>
  <c r="AC23" i="22"/>
  <c r="AB23" i="22"/>
  <c r="AA23" i="22"/>
  <c r="Z23" i="22"/>
  <c r="S23" i="22"/>
  <c r="X23" i="22" s="1"/>
  <c r="H9" i="23" s="1"/>
  <c r="R23" i="22"/>
  <c r="Q23" i="22"/>
  <c r="AE22" i="22"/>
  <c r="AD22" i="22"/>
  <c r="AC22" i="22"/>
  <c r="AB22" i="22"/>
  <c r="AA22" i="22"/>
  <c r="Z22" i="22"/>
  <c r="S22" i="22"/>
  <c r="AE21" i="22"/>
  <c r="G8" i="23" s="1"/>
  <c r="AD21" i="22"/>
  <c r="AC21" i="22"/>
  <c r="AB21" i="22"/>
  <c r="AA21" i="22"/>
  <c r="Z21" i="22"/>
  <c r="S21" i="22"/>
  <c r="X21" i="22" s="1"/>
  <c r="H8" i="23" s="1"/>
  <c r="R21" i="22"/>
  <c r="Q21" i="22"/>
  <c r="AE20" i="22"/>
  <c r="AD20" i="22"/>
  <c r="AC20" i="22"/>
  <c r="AB20" i="22"/>
  <c r="AA20" i="22"/>
  <c r="Z20" i="22"/>
  <c r="S20" i="22"/>
  <c r="AE19" i="22"/>
  <c r="G7" i="23" s="1"/>
  <c r="AD19" i="22"/>
  <c r="AC19" i="22"/>
  <c r="AB19" i="22"/>
  <c r="AA19" i="22"/>
  <c r="Z19" i="22"/>
  <c r="S19" i="22"/>
  <c r="X19" i="22" s="1"/>
  <c r="H7" i="23" s="1"/>
  <c r="R19" i="22"/>
  <c r="Q19" i="22"/>
  <c r="AE18" i="22"/>
  <c r="AD18" i="22"/>
  <c r="AC18" i="22"/>
  <c r="AB18" i="22"/>
  <c r="AA18" i="22"/>
  <c r="Z18" i="22"/>
  <c r="S18" i="22"/>
  <c r="R18" i="22"/>
  <c r="Q18" i="22"/>
  <c r="E18" i="22"/>
  <c r="AE17" i="22"/>
  <c r="AD17" i="22"/>
  <c r="AC17" i="22"/>
  <c r="AB17" i="22"/>
  <c r="AA17" i="22"/>
  <c r="Z17" i="22"/>
  <c r="S17" i="22"/>
  <c r="AE16" i="22"/>
  <c r="AD16" i="22"/>
  <c r="AC16" i="22"/>
  <c r="AB16" i="22"/>
  <c r="AA16" i="22"/>
  <c r="Z16" i="22"/>
  <c r="S16" i="22"/>
  <c r="AE15" i="22"/>
  <c r="AD15" i="22"/>
  <c r="AC15" i="22"/>
  <c r="AB15" i="22"/>
  <c r="AA15" i="22"/>
  <c r="Z15" i="22"/>
  <c r="S15" i="22"/>
  <c r="AE14" i="22"/>
  <c r="AD14" i="22"/>
  <c r="AC14" i="22"/>
  <c r="AB14" i="22"/>
  <c r="AA14" i="22"/>
  <c r="Z14" i="22"/>
  <c r="S14" i="22"/>
  <c r="AE13" i="22"/>
  <c r="G6" i="23" s="1"/>
  <c r="AD13" i="22"/>
  <c r="AC13" i="22"/>
  <c r="AB13" i="22"/>
  <c r="AA13" i="22"/>
  <c r="Z13" i="22"/>
  <c r="S13" i="22"/>
  <c r="X13" i="22" s="1"/>
  <c r="H6" i="23" s="1"/>
  <c r="R13" i="22"/>
  <c r="Q13" i="22"/>
  <c r="AE12" i="22"/>
  <c r="AD12" i="22"/>
  <c r="AC12" i="22"/>
  <c r="AB12" i="22"/>
  <c r="AA12" i="22"/>
  <c r="Z12" i="22"/>
  <c r="S12" i="22"/>
  <c r="AE11" i="22"/>
  <c r="G5" i="23" s="1"/>
  <c r="AD11" i="22"/>
  <c r="AC11" i="22"/>
  <c r="AB11" i="22"/>
  <c r="AA11" i="22"/>
  <c r="Z11" i="22"/>
  <c r="X11" i="22"/>
  <c r="S11" i="22"/>
  <c r="E5" i="23" s="1"/>
  <c r="R11" i="22"/>
  <c r="Q11" i="22"/>
  <c r="AE10" i="22"/>
  <c r="AD10" i="22"/>
  <c r="AC10" i="22"/>
  <c r="AB10" i="22"/>
  <c r="AA10" i="22"/>
  <c r="Z10" i="22"/>
  <c r="S10" i="22"/>
  <c r="AE9" i="22"/>
  <c r="AD9" i="22"/>
  <c r="AC9" i="22"/>
  <c r="AB9" i="22"/>
  <c r="AA9" i="22"/>
  <c r="Z9" i="22"/>
  <c r="S9" i="22"/>
  <c r="AE8" i="22"/>
  <c r="G4" i="23" s="1"/>
  <c r="AD8" i="22"/>
  <c r="AC8" i="22"/>
  <c r="AB8" i="22"/>
  <c r="AA8" i="22"/>
  <c r="Z8" i="22"/>
  <c r="X8" i="22"/>
  <c r="S8" i="22"/>
  <c r="E4" i="23" s="1"/>
  <c r="R8" i="22"/>
  <c r="Q8" i="22"/>
  <c r="AE7" i="22"/>
  <c r="AD7" i="22"/>
  <c r="AC7" i="22"/>
  <c r="AB7" i="22"/>
  <c r="AA7" i="22"/>
  <c r="Z7" i="22"/>
  <c r="U7" i="22"/>
  <c r="S7" i="22"/>
  <c r="AE6" i="22"/>
  <c r="AD6" i="22"/>
  <c r="AC6" i="22"/>
  <c r="AB6" i="22"/>
  <c r="AA6" i="22"/>
  <c r="Z6" i="22"/>
  <c r="S6" i="22"/>
  <c r="AE5" i="22"/>
  <c r="G3" i="23" s="1"/>
  <c r="AD5" i="22"/>
  <c r="AC5" i="22"/>
  <c r="AB5" i="22"/>
  <c r="AA5" i="22"/>
  <c r="Z5" i="22"/>
  <c r="S5" i="22"/>
  <c r="E3" i="23" s="1"/>
  <c r="R5" i="22"/>
  <c r="Q5" i="22"/>
  <c r="AE4" i="22"/>
  <c r="AD4" i="22"/>
  <c r="AC4" i="22"/>
  <c r="AB4" i="22"/>
  <c r="AA4" i="22"/>
  <c r="Z4" i="22"/>
  <c r="S4" i="22"/>
  <c r="AE3" i="22"/>
  <c r="G2" i="23" s="1"/>
  <c r="AD3" i="22"/>
  <c r="AC3" i="22"/>
  <c r="AB3" i="22"/>
  <c r="AA3" i="22"/>
  <c r="Z3" i="22"/>
  <c r="X3" i="22"/>
  <c r="S3" i="22"/>
  <c r="E2" i="23" s="1"/>
  <c r="C6" i="35" l="1"/>
  <c r="L6" i="46"/>
  <c r="C8" i="35"/>
  <c r="L8" i="46"/>
  <c r="C9" i="35"/>
  <c r="L9" i="46"/>
  <c r="C5" i="35"/>
  <c r="C10" i="35"/>
  <c r="L10" i="46"/>
  <c r="C7" i="35"/>
  <c r="L7" i="46"/>
  <c r="I12" i="35"/>
  <c r="E7" i="23"/>
  <c r="E8" i="23"/>
  <c r="I8" i="23" s="1"/>
  <c r="L8" i="23" s="1"/>
  <c r="E28" i="23"/>
  <c r="E9" i="23"/>
  <c r="E6" i="23"/>
  <c r="E10" i="23"/>
  <c r="I15" i="23"/>
  <c r="L15" i="23" s="1"/>
  <c r="I20" i="23"/>
  <c r="L20" i="23" s="1"/>
  <c r="I24" i="23"/>
  <c r="L24" i="23" s="1"/>
  <c r="I25" i="23"/>
  <c r="L25" i="23" s="1"/>
  <c r="I29" i="23"/>
  <c r="L29" i="23" s="1"/>
  <c r="I30" i="23"/>
  <c r="L30" i="23" s="1"/>
  <c r="I34" i="23"/>
  <c r="L34" i="23" s="1"/>
  <c r="I35" i="23"/>
  <c r="L35" i="23" s="1"/>
  <c r="I39" i="23"/>
  <c r="L39" i="23" s="1"/>
  <c r="I5" i="23"/>
  <c r="L5" i="23" s="1"/>
  <c r="I14" i="23"/>
  <c r="L14" i="23" s="1"/>
  <c r="I19" i="23"/>
  <c r="L19" i="23" s="1"/>
  <c r="I23" i="23"/>
  <c r="L23" i="23" s="1"/>
  <c r="I33" i="23"/>
  <c r="L33" i="23" s="1"/>
  <c r="I38" i="23"/>
  <c r="L38" i="23" s="1"/>
  <c r="I4" i="23"/>
  <c r="L4" i="23" s="1"/>
  <c r="I13" i="23"/>
  <c r="L13" i="23" s="1"/>
  <c r="I18" i="23"/>
  <c r="L18" i="23" s="1"/>
  <c r="I22" i="23"/>
  <c r="L22" i="23" s="1"/>
  <c r="I27" i="23"/>
  <c r="L27" i="23" s="1"/>
  <c r="I32" i="23"/>
  <c r="L32" i="23" s="1"/>
  <c r="I37" i="23"/>
  <c r="L37" i="23" s="1"/>
  <c r="I2" i="23"/>
  <c r="L2" i="23" s="1"/>
  <c r="I3" i="23"/>
  <c r="L3" i="23" s="1"/>
  <c r="I12" i="23"/>
  <c r="L12" i="23" s="1"/>
  <c r="I16" i="23"/>
  <c r="L16" i="23" s="1"/>
  <c r="I17" i="23"/>
  <c r="L17" i="23" s="1"/>
  <c r="I21" i="23"/>
  <c r="L21" i="23" s="1"/>
  <c r="I26" i="23"/>
  <c r="L26" i="23" s="1"/>
  <c r="I31" i="23"/>
  <c r="L31" i="23" s="1"/>
  <c r="I36" i="23"/>
  <c r="L36" i="23" s="1"/>
  <c r="L5" i="46" l="1"/>
  <c r="C12" i="46"/>
  <c r="B15" i="46" s="1"/>
  <c r="M11" i="23"/>
  <c r="M2" i="23"/>
  <c r="M16" i="23"/>
  <c r="M29" i="23"/>
  <c r="I7" i="23"/>
  <c r="L7" i="23" s="1"/>
  <c r="I10" i="23"/>
  <c r="L10" i="23" s="1"/>
  <c r="M34" i="23"/>
  <c r="I28" i="23"/>
  <c r="L28" i="23" s="1"/>
  <c r="M24" i="23" s="1"/>
  <c r="I6" i="23"/>
  <c r="L6" i="23" s="1"/>
  <c r="I9" i="23"/>
  <c r="L9" i="23" s="1"/>
  <c r="H2" i="21"/>
  <c r="G2" i="21"/>
  <c r="F2" i="21"/>
  <c r="E2" i="21"/>
  <c r="D2" i="21"/>
  <c r="H39" i="21"/>
  <c r="G39" i="21"/>
  <c r="F39" i="21"/>
  <c r="E39" i="21"/>
  <c r="D39" i="21"/>
  <c r="H38" i="21"/>
  <c r="G38" i="21"/>
  <c r="F38" i="21"/>
  <c r="E38" i="21"/>
  <c r="D38" i="21"/>
  <c r="H37" i="21"/>
  <c r="G37" i="21"/>
  <c r="F37" i="21"/>
  <c r="E37" i="21"/>
  <c r="D37" i="21"/>
  <c r="H36" i="21"/>
  <c r="G36" i="21"/>
  <c r="F36" i="21"/>
  <c r="E36" i="21"/>
  <c r="D36" i="21"/>
  <c r="H35" i="21"/>
  <c r="G35" i="21"/>
  <c r="F35" i="21"/>
  <c r="E35" i="21"/>
  <c r="D35" i="21"/>
  <c r="H34" i="21"/>
  <c r="G34" i="21"/>
  <c r="F34" i="21"/>
  <c r="E34" i="21"/>
  <c r="D34" i="21"/>
  <c r="H33" i="21"/>
  <c r="G33" i="21"/>
  <c r="F33" i="21"/>
  <c r="E33" i="21"/>
  <c r="D33" i="21"/>
  <c r="H32" i="21"/>
  <c r="G32" i="21"/>
  <c r="F32" i="21"/>
  <c r="E32" i="21"/>
  <c r="D32" i="21"/>
  <c r="H31" i="21"/>
  <c r="G31" i="21"/>
  <c r="F31" i="21"/>
  <c r="E31" i="21"/>
  <c r="D31" i="21"/>
  <c r="H30" i="21"/>
  <c r="G30" i="21"/>
  <c r="F30" i="21"/>
  <c r="E30" i="21"/>
  <c r="D30" i="21"/>
  <c r="H29" i="21"/>
  <c r="G29" i="21"/>
  <c r="F29" i="21"/>
  <c r="E29" i="21"/>
  <c r="D29" i="21"/>
  <c r="H28" i="21"/>
  <c r="G28" i="21"/>
  <c r="F28" i="21"/>
  <c r="E28" i="21"/>
  <c r="D28" i="21"/>
  <c r="H27" i="21"/>
  <c r="G27" i="21"/>
  <c r="F27" i="21"/>
  <c r="E27" i="21"/>
  <c r="D27" i="21"/>
  <c r="H26" i="21"/>
  <c r="G26" i="21"/>
  <c r="F26" i="21"/>
  <c r="E26" i="21"/>
  <c r="D26" i="21"/>
  <c r="H25" i="21"/>
  <c r="G25" i="21"/>
  <c r="F25" i="21"/>
  <c r="E25" i="21"/>
  <c r="D25" i="21"/>
  <c r="H24" i="21"/>
  <c r="G24" i="21"/>
  <c r="F24" i="21"/>
  <c r="E24" i="21"/>
  <c r="D24" i="21"/>
  <c r="H23" i="21"/>
  <c r="G23" i="21"/>
  <c r="F23" i="21"/>
  <c r="E23" i="21"/>
  <c r="D23" i="21"/>
  <c r="H22" i="21"/>
  <c r="G22" i="21"/>
  <c r="F22" i="21"/>
  <c r="E22" i="21"/>
  <c r="D22" i="21"/>
  <c r="H21" i="21"/>
  <c r="G21" i="21"/>
  <c r="F21" i="21"/>
  <c r="E21" i="21"/>
  <c r="D21" i="21"/>
  <c r="H20" i="21"/>
  <c r="G20" i="21"/>
  <c r="F20" i="21"/>
  <c r="E20" i="21"/>
  <c r="D20" i="21"/>
  <c r="H19" i="21"/>
  <c r="G19" i="21"/>
  <c r="F19" i="21"/>
  <c r="E19" i="21"/>
  <c r="D19" i="21"/>
  <c r="H18" i="21"/>
  <c r="G18" i="21"/>
  <c r="F18" i="21"/>
  <c r="E18" i="21"/>
  <c r="D18" i="21"/>
  <c r="H17" i="21"/>
  <c r="G17" i="21"/>
  <c r="F17" i="21"/>
  <c r="E17" i="21"/>
  <c r="D17" i="21"/>
  <c r="H16" i="21"/>
  <c r="G16" i="21"/>
  <c r="F16" i="21"/>
  <c r="E16" i="21"/>
  <c r="D16" i="21"/>
  <c r="H15" i="21"/>
  <c r="G15" i="21"/>
  <c r="F15" i="21"/>
  <c r="E15" i="21"/>
  <c r="D15" i="21"/>
  <c r="H14" i="21"/>
  <c r="G14" i="21"/>
  <c r="F14" i="21"/>
  <c r="E14" i="21"/>
  <c r="D14" i="21"/>
  <c r="H13" i="21"/>
  <c r="G13" i="21"/>
  <c r="F13" i="21"/>
  <c r="E13" i="21"/>
  <c r="D13" i="21"/>
  <c r="H12" i="21"/>
  <c r="G12" i="21"/>
  <c r="F12" i="21"/>
  <c r="E12" i="21"/>
  <c r="D12" i="21"/>
  <c r="G11" i="21"/>
  <c r="F11" i="21"/>
  <c r="E11" i="21"/>
  <c r="D11" i="21"/>
  <c r="H10" i="21"/>
  <c r="G10" i="21"/>
  <c r="F10" i="21"/>
  <c r="E10" i="21"/>
  <c r="D10" i="21"/>
  <c r="H9" i="21"/>
  <c r="G9" i="21"/>
  <c r="F9" i="21"/>
  <c r="E9" i="21"/>
  <c r="D9" i="21"/>
  <c r="H8" i="21"/>
  <c r="G8" i="21"/>
  <c r="F8" i="21"/>
  <c r="E8" i="21"/>
  <c r="D8" i="21"/>
  <c r="H7" i="21"/>
  <c r="G7" i="21"/>
  <c r="F7" i="21"/>
  <c r="E7" i="21"/>
  <c r="D7" i="21"/>
  <c r="H6" i="21"/>
  <c r="G6" i="21"/>
  <c r="F6" i="21"/>
  <c r="E6" i="21"/>
  <c r="D6" i="21"/>
  <c r="H5" i="21"/>
  <c r="G5" i="21"/>
  <c r="F5" i="21"/>
  <c r="E5" i="21"/>
  <c r="D5" i="21"/>
  <c r="H4" i="21"/>
  <c r="G4" i="21"/>
  <c r="F4" i="21"/>
  <c r="E4" i="21"/>
  <c r="D4" i="21"/>
  <c r="H3" i="21"/>
  <c r="G3" i="21"/>
  <c r="F3" i="21"/>
  <c r="E3" i="21"/>
  <c r="D3" i="21"/>
  <c r="L11" i="21"/>
  <c r="M5" i="23" l="1"/>
  <c r="K12" i="35" s="1"/>
  <c r="I2" i="21"/>
  <c r="L2" i="21" s="1"/>
  <c r="I3" i="21"/>
  <c r="L3" i="21" s="1"/>
  <c r="I8" i="21"/>
  <c r="L8" i="21" s="1"/>
  <c r="I15" i="21"/>
  <c r="L15" i="21" s="1"/>
  <c r="I20" i="21"/>
  <c r="L20" i="21" s="1"/>
  <c r="I24" i="21"/>
  <c r="L24" i="21" s="1"/>
  <c r="I25" i="21"/>
  <c r="L25" i="21" s="1"/>
  <c r="I29" i="21"/>
  <c r="L29" i="21" s="1"/>
  <c r="I30" i="21"/>
  <c r="L30" i="21" s="1"/>
  <c r="I34" i="21"/>
  <c r="L34" i="21" s="1"/>
  <c r="I35" i="21"/>
  <c r="L35" i="21" s="1"/>
  <c r="I39" i="21"/>
  <c r="L39" i="21" s="1"/>
  <c r="I7" i="21"/>
  <c r="L7" i="21" s="1"/>
  <c r="I14" i="21"/>
  <c r="L14" i="21" s="1"/>
  <c r="I19" i="21"/>
  <c r="L19" i="21" s="1"/>
  <c r="I23" i="21"/>
  <c r="L23" i="21" s="1"/>
  <c r="I28" i="21"/>
  <c r="L28" i="21" s="1"/>
  <c r="I33" i="21"/>
  <c r="L33" i="21" s="1"/>
  <c r="I38" i="21"/>
  <c r="L38" i="21" s="1"/>
  <c r="I5" i="21"/>
  <c r="L5" i="21" s="1"/>
  <c r="I6" i="21"/>
  <c r="L6" i="21" s="1"/>
  <c r="I10" i="21"/>
  <c r="L10" i="21" s="1"/>
  <c r="I13" i="21"/>
  <c r="L13" i="21" s="1"/>
  <c r="I18" i="21"/>
  <c r="L18" i="21" s="1"/>
  <c r="I22" i="21"/>
  <c r="L22" i="21" s="1"/>
  <c r="I27" i="21"/>
  <c r="L27" i="21" s="1"/>
  <c r="I32" i="21"/>
  <c r="L32" i="21" s="1"/>
  <c r="I37" i="21"/>
  <c r="L37" i="21" s="1"/>
  <c r="I4" i="21"/>
  <c r="L4" i="21" s="1"/>
  <c r="I9" i="21"/>
  <c r="L9" i="21" s="1"/>
  <c r="I12" i="21"/>
  <c r="L12" i="21" s="1"/>
  <c r="I16" i="21"/>
  <c r="L16" i="21" s="1"/>
  <c r="I17" i="21"/>
  <c r="L17" i="21" s="1"/>
  <c r="I21" i="21"/>
  <c r="L21" i="21" s="1"/>
  <c r="I26" i="21"/>
  <c r="L26" i="21" s="1"/>
  <c r="I31" i="21"/>
  <c r="L31" i="21" s="1"/>
  <c r="I36" i="21"/>
  <c r="L36" i="21" s="1"/>
  <c r="M11" i="21" l="1"/>
  <c r="M5" i="21"/>
  <c r="M2" i="21"/>
  <c r="M24" i="21"/>
  <c r="M29" i="21"/>
  <c r="M34" i="21"/>
  <c r="M16" i="21"/>
  <c r="H31" i="19"/>
  <c r="F31" i="19"/>
  <c r="E31" i="19"/>
  <c r="D31" i="19"/>
  <c r="H30" i="19"/>
  <c r="F30" i="19"/>
  <c r="E30" i="19"/>
  <c r="D30" i="19"/>
  <c r="H29" i="19"/>
  <c r="F29" i="19"/>
  <c r="E29" i="19"/>
  <c r="D29" i="19"/>
  <c r="H28" i="19"/>
  <c r="F28" i="19"/>
  <c r="E28" i="19"/>
  <c r="D28" i="19"/>
  <c r="H27" i="19"/>
  <c r="F27" i="19"/>
  <c r="E27" i="19"/>
  <c r="D27" i="19"/>
  <c r="H26" i="19"/>
  <c r="F26" i="19"/>
  <c r="E26" i="19"/>
  <c r="D26" i="19"/>
  <c r="H25" i="19"/>
  <c r="F25" i="19"/>
  <c r="E25" i="19"/>
  <c r="D25" i="19"/>
  <c r="H24" i="19"/>
  <c r="F24" i="19"/>
  <c r="E24" i="19"/>
  <c r="D24" i="19"/>
  <c r="H23" i="19"/>
  <c r="F23" i="19"/>
  <c r="E23" i="19"/>
  <c r="D23" i="19"/>
  <c r="H22" i="19"/>
  <c r="F22" i="19"/>
  <c r="E22" i="19"/>
  <c r="D22" i="19"/>
  <c r="H21" i="19"/>
  <c r="F21" i="19"/>
  <c r="E21" i="19"/>
  <c r="D21" i="19"/>
  <c r="H20" i="19"/>
  <c r="F20" i="19"/>
  <c r="E20" i="19"/>
  <c r="D20" i="19"/>
  <c r="H19" i="19"/>
  <c r="F19" i="19"/>
  <c r="E19" i="19"/>
  <c r="D19" i="19"/>
  <c r="H18" i="19"/>
  <c r="F18" i="19"/>
  <c r="E18" i="19"/>
  <c r="D18" i="19"/>
  <c r="H17" i="19"/>
  <c r="F17" i="19"/>
  <c r="E17" i="19"/>
  <c r="D17" i="19"/>
  <c r="H16" i="19"/>
  <c r="F16" i="19"/>
  <c r="E16" i="19"/>
  <c r="D16" i="19"/>
  <c r="H15" i="19"/>
  <c r="F15" i="19"/>
  <c r="E15" i="19"/>
  <c r="D15" i="19"/>
  <c r="H14" i="19"/>
  <c r="F14" i="19"/>
  <c r="E14" i="19"/>
  <c r="D14" i="19"/>
  <c r="H13" i="19"/>
  <c r="F13" i="19"/>
  <c r="E13" i="19"/>
  <c r="D13" i="19"/>
  <c r="H12" i="19"/>
  <c r="F12" i="19"/>
  <c r="E12" i="19"/>
  <c r="D12" i="19"/>
  <c r="F11" i="19"/>
  <c r="E11" i="19"/>
  <c r="D11" i="19"/>
  <c r="H10" i="19"/>
  <c r="F10" i="19"/>
  <c r="E10" i="19"/>
  <c r="D10" i="19"/>
  <c r="H9" i="19"/>
  <c r="F9" i="19"/>
  <c r="E9" i="19"/>
  <c r="D9" i="19"/>
  <c r="H8" i="19"/>
  <c r="F8" i="19"/>
  <c r="E8" i="19"/>
  <c r="D8" i="19"/>
  <c r="H7" i="19"/>
  <c r="F7" i="19"/>
  <c r="E7" i="19"/>
  <c r="D7" i="19"/>
  <c r="H6" i="19"/>
  <c r="F6" i="19"/>
  <c r="E6" i="19"/>
  <c r="D6" i="19"/>
  <c r="H5" i="19"/>
  <c r="F5" i="19"/>
  <c r="E5" i="19"/>
  <c r="D5" i="19"/>
  <c r="H4" i="19"/>
  <c r="F4" i="19"/>
  <c r="E4" i="19"/>
  <c r="D4" i="19"/>
  <c r="H3" i="19"/>
  <c r="F3" i="19"/>
  <c r="E3" i="19"/>
  <c r="D3" i="19"/>
  <c r="H2" i="19"/>
  <c r="F2" i="19"/>
  <c r="E2" i="19"/>
  <c r="D2" i="19"/>
  <c r="I11" i="19"/>
  <c r="L11" i="19" s="1"/>
  <c r="AA113" i="18"/>
  <c r="Z113" i="18"/>
  <c r="Y113" i="18"/>
  <c r="AA112" i="18"/>
  <c r="Z112" i="18"/>
  <c r="Y112" i="18"/>
  <c r="X112" i="18"/>
  <c r="Q112" i="18"/>
  <c r="P112" i="18"/>
  <c r="AA111" i="18"/>
  <c r="Z111" i="18"/>
  <c r="Y111" i="18"/>
  <c r="AA110" i="18"/>
  <c r="Z110" i="18"/>
  <c r="Y110" i="18"/>
  <c r="AA109" i="18"/>
  <c r="Z109" i="18"/>
  <c r="Y109" i="18"/>
  <c r="AA108" i="18"/>
  <c r="Z108" i="18"/>
  <c r="Y108" i="18"/>
  <c r="X108" i="18"/>
  <c r="Q108" i="18"/>
  <c r="P108" i="18"/>
  <c r="AA107" i="18"/>
  <c r="Z107" i="18"/>
  <c r="Y107" i="18"/>
  <c r="AA106" i="18"/>
  <c r="Z106" i="18"/>
  <c r="Y106" i="18"/>
  <c r="AA105" i="18"/>
  <c r="Z105" i="18"/>
  <c r="Y105" i="18"/>
  <c r="X105" i="18"/>
  <c r="Q105" i="18"/>
  <c r="P105" i="18"/>
  <c r="AA104" i="18"/>
  <c r="Z104" i="18"/>
  <c r="Y104" i="18"/>
  <c r="AA103" i="18"/>
  <c r="Z103" i="18"/>
  <c r="Y103" i="18"/>
  <c r="X103" i="18"/>
  <c r="Q103" i="18"/>
  <c r="P103" i="18"/>
  <c r="AA102" i="18"/>
  <c r="Z102" i="18"/>
  <c r="Y102" i="18"/>
  <c r="AA101" i="18"/>
  <c r="Z101" i="18"/>
  <c r="Y101" i="18"/>
  <c r="AA100" i="18"/>
  <c r="Z100" i="18"/>
  <c r="Y100" i="18"/>
  <c r="X100" i="18"/>
  <c r="AA99" i="18"/>
  <c r="Z99" i="18"/>
  <c r="Y99" i="18"/>
  <c r="AA98" i="18"/>
  <c r="Z98" i="18"/>
  <c r="Y98" i="18"/>
  <c r="AA97" i="18"/>
  <c r="Z97" i="18"/>
  <c r="Y97" i="18"/>
  <c r="AA96" i="18"/>
  <c r="Z96" i="18"/>
  <c r="Y96" i="18"/>
  <c r="AA95" i="18"/>
  <c r="Z95" i="18"/>
  <c r="Y95" i="18"/>
  <c r="AA94" i="18"/>
  <c r="Z94" i="18"/>
  <c r="Y94" i="18"/>
  <c r="AA93" i="18"/>
  <c r="G31" i="19" s="1"/>
  <c r="Z93" i="18"/>
  <c r="Y93" i="18"/>
  <c r="AA92" i="18"/>
  <c r="G30" i="19" s="1"/>
  <c r="Z92" i="18"/>
  <c r="Y92" i="18"/>
  <c r="AA91" i="18"/>
  <c r="G29" i="19" s="1"/>
  <c r="Z91" i="18"/>
  <c r="Y91" i="18"/>
  <c r="AA90" i="18"/>
  <c r="G28" i="19" s="1"/>
  <c r="Z90" i="18"/>
  <c r="Y90" i="18"/>
  <c r="AA89" i="18"/>
  <c r="G27" i="19" s="1"/>
  <c r="Z89" i="18"/>
  <c r="Y89" i="18"/>
  <c r="X89" i="18"/>
  <c r="Q89" i="18"/>
  <c r="P89" i="18"/>
  <c r="AA88" i="18"/>
  <c r="Z88" i="18"/>
  <c r="Y88" i="18"/>
  <c r="AA87" i="18"/>
  <c r="Z87" i="18"/>
  <c r="Y87" i="18"/>
  <c r="AA86" i="18"/>
  <c r="Z86" i="18"/>
  <c r="Y86" i="18"/>
  <c r="AA85" i="18"/>
  <c r="Z85" i="18"/>
  <c r="Y85" i="18"/>
  <c r="AA84" i="18"/>
  <c r="Z84" i="18"/>
  <c r="Y84" i="18"/>
  <c r="AA83" i="18"/>
  <c r="G26" i="19" s="1"/>
  <c r="Z83" i="18"/>
  <c r="Y83" i="18"/>
  <c r="AA82" i="18"/>
  <c r="Z82" i="18"/>
  <c r="Y82" i="18"/>
  <c r="AA81" i="18"/>
  <c r="Z81" i="18"/>
  <c r="Y81" i="18"/>
  <c r="AA80" i="18"/>
  <c r="Z80" i="18"/>
  <c r="Y80" i="18"/>
  <c r="X80" i="18"/>
  <c r="Q80" i="18"/>
  <c r="P80" i="18"/>
  <c r="AA79" i="18"/>
  <c r="Z79" i="18"/>
  <c r="Y79" i="18"/>
  <c r="AA78" i="18"/>
  <c r="Z78" i="18"/>
  <c r="Y78" i="18"/>
  <c r="AA77" i="18"/>
  <c r="G25" i="19" s="1"/>
  <c r="Z77" i="18"/>
  <c r="Y77" i="18"/>
  <c r="AA76" i="18"/>
  <c r="Z76" i="18"/>
  <c r="Y76" i="18"/>
  <c r="AA75" i="18"/>
  <c r="Z75" i="18"/>
  <c r="Y75" i="18"/>
  <c r="AA74" i="18"/>
  <c r="Z74" i="18"/>
  <c r="Y74" i="18"/>
  <c r="AA73" i="18"/>
  <c r="G24" i="19" s="1"/>
  <c r="Z73" i="18"/>
  <c r="Y73" i="18"/>
  <c r="AA72" i="18"/>
  <c r="G23" i="19" s="1"/>
  <c r="Z72" i="18"/>
  <c r="Y72" i="18"/>
  <c r="P72" i="18"/>
  <c r="AA71" i="18"/>
  <c r="Z71" i="18"/>
  <c r="Y71" i="18"/>
  <c r="AA70" i="18"/>
  <c r="Z70" i="18"/>
  <c r="Y70" i="18"/>
  <c r="AA69" i="18"/>
  <c r="Z69" i="18"/>
  <c r="Y69" i="18"/>
  <c r="AA68" i="18"/>
  <c r="G22" i="19" s="1"/>
  <c r="Z68" i="18"/>
  <c r="Y68" i="18"/>
  <c r="X68" i="18"/>
  <c r="Q68" i="18"/>
  <c r="P68" i="18"/>
  <c r="AA67" i="18"/>
  <c r="Z67" i="18"/>
  <c r="Y67" i="18"/>
  <c r="AA66" i="18"/>
  <c r="Z66" i="18"/>
  <c r="Y66" i="18"/>
  <c r="AA65" i="18"/>
  <c r="G21" i="19" s="1"/>
  <c r="Z65" i="18"/>
  <c r="Y65" i="18"/>
  <c r="X65" i="18"/>
  <c r="Q65" i="18"/>
  <c r="P65" i="18"/>
  <c r="AA64" i="18"/>
  <c r="Z64" i="18"/>
  <c r="Y64" i="18"/>
  <c r="AA63" i="18"/>
  <c r="Z63" i="18"/>
  <c r="Y63" i="18"/>
  <c r="AA62" i="18"/>
  <c r="G20" i="19" s="1"/>
  <c r="Z62" i="18"/>
  <c r="Y62" i="18"/>
  <c r="X62" i="18"/>
  <c r="Q62" i="18"/>
  <c r="P62" i="18"/>
  <c r="AA61" i="18"/>
  <c r="Z61" i="18"/>
  <c r="Y61" i="18"/>
  <c r="AA60" i="18"/>
  <c r="G19" i="19" s="1"/>
  <c r="Z60" i="18"/>
  <c r="Y60" i="18"/>
  <c r="X60" i="18"/>
  <c r="Q60" i="18"/>
  <c r="P60" i="18"/>
  <c r="AA59" i="18"/>
  <c r="Z59" i="18"/>
  <c r="Y59" i="18"/>
  <c r="AA58" i="18"/>
  <c r="Z58" i="18"/>
  <c r="Y58" i="18"/>
  <c r="AA57" i="18"/>
  <c r="G18" i="19" s="1"/>
  <c r="Z57" i="18"/>
  <c r="Y57" i="18"/>
  <c r="X57" i="18"/>
  <c r="Q57" i="18"/>
  <c r="P57" i="18"/>
  <c r="AA56" i="18"/>
  <c r="Z56" i="18"/>
  <c r="Y56" i="18"/>
  <c r="AA55" i="18"/>
  <c r="Z55" i="18"/>
  <c r="Y55" i="18"/>
  <c r="AA54" i="18"/>
  <c r="G17" i="19" s="1"/>
  <c r="Z54" i="18"/>
  <c r="Y54" i="18"/>
  <c r="AA53" i="18"/>
  <c r="G16" i="19" s="1"/>
  <c r="Z53" i="18"/>
  <c r="Y53" i="18"/>
  <c r="X53" i="18"/>
  <c r="Q53" i="18"/>
  <c r="P53" i="18"/>
  <c r="AA52" i="18"/>
  <c r="Z52" i="18"/>
  <c r="Y52" i="18"/>
  <c r="AA51" i="18"/>
  <c r="Z51" i="18"/>
  <c r="Y51" i="18"/>
  <c r="AA50" i="18"/>
  <c r="Z50" i="18"/>
  <c r="Y50" i="18"/>
  <c r="AA49" i="18"/>
  <c r="G15" i="19" s="1"/>
  <c r="Z49" i="18"/>
  <c r="Y49" i="18"/>
  <c r="AA48" i="18"/>
  <c r="Z48" i="18"/>
  <c r="Y48" i="18"/>
  <c r="AA47" i="18"/>
  <c r="Z47" i="18"/>
  <c r="Y47" i="18"/>
  <c r="AA46" i="18"/>
  <c r="Z46" i="18"/>
  <c r="Y46" i="18"/>
  <c r="AA45" i="18"/>
  <c r="Z45" i="18"/>
  <c r="Y45" i="18"/>
  <c r="AA44" i="18"/>
  <c r="G14" i="19" s="1"/>
  <c r="Z44" i="18"/>
  <c r="Y44" i="18"/>
  <c r="S44" i="18"/>
  <c r="T44" i="18" s="1"/>
  <c r="U44" i="18" s="1"/>
  <c r="V44" i="18" s="1"/>
  <c r="AA43" i="18"/>
  <c r="G13" i="19" s="1"/>
  <c r="Z43" i="18"/>
  <c r="Y43" i="18"/>
  <c r="AA42" i="18"/>
  <c r="G12" i="19" s="1"/>
  <c r="Z42" i="18"/>
  <c r="Y42" i="18"/>
  <c r="W42" i="18"/>
  <c r="AA41" i="18"/>
  <c r="Z41" i="18"/>
  <c r="Y41" i="18"/>
  <c r="AA40" i="18"/>
  <c r="Z40" i="18"/>
  <c r="Y40" i="18"/>
  <c r="AA39" i="18"/>
  <c r="G11" i="19" s="1"/>
  <c r="Z39" i="18"/>
  <c r="Y39" i="18"/>
  <c r="X39" i="18"/>
  <c r="Q39" i="18"/>
  <c r="P39" i="18"/>
  <c r="AA38" i="18"/>
  <c r="Z38" i="18"/>
  <c r="Y38" i="18"/>
  <c r="AA37" i="18"/>
  <c r="Z37" i="18"/>
  <c r="Y37" i="18"/>
  <c r="AA36" i="18"/>
  <c r="G10" i="19" s="1"/>
  <c r="Z36" i="18"/>
  <c r="Y36" i="18"/>
  <c r="X36" i="18"/>
  <c r="Q36" i="18"/>
  <c r="P36" i="18"/>
  <c r="AA35" i="18"/>
  <c r="Z35" i="18"/>
  <c r="Y35" i="18"/>
  <c r="X35" i="18"/>
  <c r="Q35" i="18"/>
  <c r="P35" i="18"/>
  <c r="AA34" i="18"/>
  <c r="Z34" i="18"/>
  <c r="Y34" i="18"/>
  <c r="AA33" i="18"/>
  <c r="Z33" i="18"/>
  <c r="Y33" i="18"/>
  <c r="AA32" i="18"/>
  <c r="Z32" i="18"/>
  <c r="Y32" i="18"/>
  <c r="AA31" i="18"/>
  <c r="Z31" i="18"/>
  <c r="Y31" i="18"/>
  <c r="AA30" i="18"/>
  <c r="Z30" i="18"/>
  <c r="Y30" i="18"/>
  <c r="AA29" i="18"/>
  <c r="Z29" i="18"/>
  <c r="Y29" i="18"/>
  <c r="AA28" i="18"/>
  <c r="Z28" i="18"/>
  <c r="Y28" i="18"/>
  <c r="AA27" i="18"/>
  <c r="Z27" i="18"/>
  <c r="Y27" i="18"/>
  <c r="AA26" i="18"/>
  <c r="Z26" i="18"/>
  <c r="Y26" i="18"/>
  <c r="AA25" i="18"/>
  <c r="Z25" i="18"/>
  <c r="Y25" i="18"/>
  <c r="AA24" i="18"/>
  <c r="Z24" i="18"/>
  <c r="Y24" i="18"/>
  <c r="AA23" i="18"/>
  <c r="G9" i="19" s="1"/>
  <c r="Z23" i="18"/>
  <c r="Y23" i="18"/>
  <c r="X23" i="18"/>
  <c r="Q23" i="18"/>
  <c r="P23" i="18"/>
  <c r="AA22" i="18"/>
  <c r="Z22" i="18"/>
  <c r="Y22" i="18"/>
  <c r="AA21" i="18"/>
  <c r="G8" i="19" s="1"/>
  <c r="Z21" i="18"/>
  <c r="Y21" i="18"/>
  <c r="X21" i="18"/>
  <c r="Q21" i="18"/>
  <c r="P21" i="18"/>
  <c r="AA20" i="18"/>
  <c r="Z20" i="18"/>
  <c r="Y20" i="18"/>
  <c r="AA19" i="18"/>
  <c r="G7" i="19" s="1"/>
  <c r="Z19" i="18"/>
  <c r="Y19" i="18"/>
  <c r="X19" i="18"/>
  <c r="Q19" i="18"/>
  <c r="P19" i="18"/>
  <c r="AA18" i="18"/>
  <c r="Z18" i="18"/>
  <c r="Y18" i="18"/>
  <c r="X18" i="18"/>
  <c r="Q18" i="18"/>
  <c r="P18" i="18"/>
  <c r="E18" i="18"/>
  <c r="AA17" i="18"/>
  <c r="Z17" i="18"/>
  <c r="Y17" i="18"/>
  <c r="AA16" i="18"/>
  <c r="Z16" i="18"/>
  <c r="Y16" i="18"/>
  <c r="AA15" i="18"/>
  <c r="Z15" i="18"/>
  <c r="Y15" i="18"/>
  <c r="AA14" i="18"/>
  <c r="Z14" i="18"/>
  <c r="Y14" i="18"/>
  <c r="AA13" i="18"/>
  <c r="G6" i="19" s="1"/>
  <c r="Z13" i="18"/>
  <c r="Y13" i="18"/>
  <c r="X13" i="18"/>
  <c r="Q13" i="18"/>
  <c r="P13" i="18"/>
  <c r="AA12" i="18"/>
  <c r="Z12" i="18"/>
  <c r="Y12" i="18"/>
  <c r="AA11" i="18"/>
  <c r="G5" i="19" s="1"/>
  <c r="Z11" i="18"/>
  <c r="Y11" i="18"/>
  <c r="X11" i="18"/>
  <c r="Q11" i="18"/>
  <c r="P11" i="18"/>
  <c r="AA10" i="18"/>
  <c r="Z10" i="18"/>
  <c r="Y10" i="18"/>
  <c r="AA9" i="18"/>
  <c r="Z9" i="18"/>
  <c r="Y9" i="18"/>
  <c r="AA8" i="18"/>
  <c r="G4" i="19" s="1"/>
  <c r="Z8" i="18"/>
  <c r="Y8" i="18"/>
  <c r="X8" i="18"/>
  <c r="Q8" i="18"/>
  <c r="P8" i="18"/>
  <c r="AA7" i="18"/>
  <c r="Z7" i="18"/>
  <c r="Y7" i="18"/>
  <c r="S7" i="18"/>
  <c r="AA6" i="18"/>
  <c r="Z6" i="18"/>
  <c r="Y6" i="18"/>
  <c r="AA5" i="18"/>
  <c r="G3" i="19" s="1"/>
  <c r="I3" i="19" s="1"/>
  <c r="L3" i="19" s="1"/>
  <c r="Z5" i="18"/>
  <c r="Y5" i="18"/>
  <c r="X5" i="18"/>
  <c r="Q5" i="18"/>
  <c r="P5" i="18"/>
  <c r="AA4" i="18"/>
  <c r="Z4" i="18"/>
  <c r="Y4" i="18"/>
  <c r="AA3" i="18"/>
  <c r="G2" i="19" s="1"/>
  <c r="Z3" i="18"/>
  <c r="Y3" i="18"/>
  <c r="I21" i="19" l="1"/>
  <c r="L21" i="19" s="1"/>
  <c r="I5" i="19"/>
  <c r="L5" i="19" s="1"/>
  <c r="I12" i="19"/>
  <c r="L12" i="19" s="1"/>
  <c r="I14" i="19"/>
  <c r="L14" i="19" s="1"/>
  <c r="I26" i="19"/>
  <c r="L26" i="19" s="1"/>
  <c r="I31" i="19"/>
  <c r="L31" i="19" s="1"/>
  <c r="I2" i="19"/>
  <c r="L2" i="19" s="1"/>
  <c r="I8" i="19"/>
  <c r="L8" i="19" s="1"/>
  <c r="I16" i="19"/>
  <c r="L16" i="19" s="1"/>
  <c r="I17" i="19"/>
  <c r="L17" i="19" s="1"/>
  <c r="I7" i="19"/>
  <c r="L7" i="19" s="1"/>
  <c r="I15" i="19"/>
  <c r="L15" i="19" s="1"/>
  <c r="I20" i="19"/>
  <c r="L20" i="19" s="1"/>
  <c r="I24" i="19"/>
  <c r="L24" i="19" s="1"/>
  <c r="I25" i="19"/>
  <c r="L25" i="19" s="1"/>
  <c r="I30" i="19"/>
  <c r="L30" i="19" s="1"/>
  <c r="I19" i="19"/>
  <c r="L19" i="19" s="1"/>
  <c r="I23" i="19"/>
  <c r="L23" i="19" s="1"/>
  <c r="I28" i="19"/>
  <c r="L28" i="19" s="1"/>
  <c r="I29" i="19"/>
  <c r="L29" i="19" s="1"/>
  <c r="I6" i="19"/>
  <c r="L6" i="19" s="1"/>
  <c r="I10" i="19"/>
  <c r="L10" i="19" s="1"/>
  <c r="I4" i="19"/>
  <c r="L4" i="19" s="1"/>
  <c r="I9" i="19"/>
  <c r="L9" i="19" s="1"/>
  <c r="I13" i="19"/>
  <c r="L13" i="19" s="1"/>
  <c r="I18" i="19"/>
  <c r="L18" i="19" s="1"/>
  <c r="I22" i="19"/>
  <c r="L22" i="19" s="1"/>
  <c r="I27" i="19"/>
  <c r="L27" i="19" s="1"/>
  <c r="H39" i="17"/>
  <c r="F39" i="17"/>
  <c r="E39" i="17"/>
  <c r="D39" i="17"/>
  <c r="H38" i="17"/>
  <c r="F38" i="17"/>
  <c r="E38" i="17"/>
  <c r="D38" i="17"/>
  <c r="H37" i="17"/>
  <c r="F37" i="17"/>
  <c r="E37" i="17"/>
  <c r="D37" i="17"/>
  <c r="H36" i="17"/>
  <c r="F36" i="17"/>
  <c r="E36" i="17"/>
  <c r="D36" i="17"/>
  <c r="H35" i="17"/>
  <c r="F35" i="17"/>
  <c r="E35" i="17"/>
  <c r="D35" i="17"/>
  <c r="H34" i="17"/>
  <c r="F34" i="17"/>
  <c r="E34" i="17"/>
  <c r="D34" i="17"/>
  <c r="H33" i="17"/>
  <c r="F33" i="17"/>
  <c r="E33" i="17"/>
  <c r="D33" i="17"/>
  <c r="H32" i="17"/>
  <c r="F32" i="17"/>
  <c r="E32" i="17"/>
  <c r="D32" i="17"/>
  <c r="H31" i="17"/>
  <c r="F31" i="17"/>
  <c r="E31" i="17"/>
  <c r="D31" i="17"/>
  <c r="H30" i="17"/>
  <c r="F30" i="17"/>
  <c r="E30" i="17"/>
  <c r="D30" i="17"/>
  <c r="H29" i="17"/>
  <c r="F29" i="17"/>
  <c r="E29" i="17"/>
  <c r="D29" i="17"/>
  <c r="H28" i="17"/>
  <c r="F28" i="17"/>
  <c r="E28" i="17"/>
  <c r="D28" i="17"/>
  <c r="H27" i="17"/>
  <c r="F27" i="17"/>
  <c r="E27" i="17"/>
  <c r="D27" i="17"/>
  <c r="H26" i="17"/>
  <c r="F26" i="17"/>
  <c r="E26" i="17"/>
  <c r="D26" i="17"/>
  <c r="H25" i="17"/>
  <c r="F25" i="17"/>
  <c r="E25" i="17"/>
  <c r="D25" i="17"/>
  <c r="H24" i="17"/>
  <c r="F24" i="17"/>
  <c r="E24" i="17"/>
  <c r="D24" i="17"/>
  <c r="H23" i="17"/>
  <c r="F23" i="17"/>
  <c r="E23" i="17"/>
  <c r="D23" i="17"/>
  <c r="H22" i="17"/>
  <c r="F22" i="17"/>
  <c r="E22" i="17"/>
  <c r="D22" i="17"/>
  <c r="H21" i="17"/>
  <c r="F21" i="17"/>
  <c r="E21" i="17"/>
  <c r="D21" i="17"/>
  <c r="H20" i="17"/>
  <c r="F20" i="17"/>
  <c r="E20" i="17"/>
  <c r="D20" i="17"/>
  <c r="H19" i="17"/>
  <c r="F19" i="17"/>
  <c r="E19" i="17"/>
  <c r="D19" i="17"/>
  <c r="H18" i="17"/>
  <c r="F18" i="17"/>
  <c r="E18" i="17"/>
  <c r="D18" i="17"/>
  <c r="H17" i="17"/>
  <c r="F17" i="17"/>
  <c r="E17" i="17"/>
  <c r="D17" i="17"/>
  <c r="H16" i="17"/>
  <c r="F16" i="17"/>
  <c r="E16" i="17"/>
  <c r="D16" i="17"/>
  <c r="H15" i="17"/>
  <c r="F15" i="17"/>
  <c r="E15" i="17"/>
  <c r="D15" i="17"/>
  <c r="H14" i="17"/>
  <c r="F14" i="17"/>
  <c r="E14" i="17"/>
  <c r="D14" i="17"/>
  <c r="H13" i="17"/>
  <c r="F13" i="17"/>
  <c r="E13" i="17"/>
  <c r="D13" i="17"/>
  <c r="H12" i="17"/>
  <c r="F12" i="17"/>
  <c r="E12" i="17"/>
  <c r="D12" i="17"/>
  <c r="F11" i="17"/>
  <c r="E11" i="17"/>
  <c r="D11" i="17"/>
  <c r="H10" i="17"/>
  <c r="F10" i="17"/>
  <c r="E10" i="17"/>
  <c r="D10" i="17"/>
  <c r="H9" i="17"/>
  <c r="F9" i="17"/>
  <c r="E9" i="17"/>
  <c r="D9" i="17"/>
  <c r="H8" i="17"/>
  <c r="F8" i="17"/>
  <c r="E8" i="17"/>
  <c r="D8" i="17"/>
  <c r="H7" i="17"/>
  <c r="F7" i="17"/>
  <c r="E7" i="17"/>
  <c r="D7" i="17"/>
  <c r="H6" i="17"/>
  <c r="F6" i="17"/>
  <c r="E6" i="17"/>
  <c r="D6" i="17"/>
  <c r="H5" i="17"/>
  <c r="F5" i="17"/>
  <c r="E5" i="17"/>
  <c r="D5" i="17"/>
  <c r="H4" i="17"/>
  <c r="F4" i="17"/>
  <c r="E4" i="17"/>
  <c r="D4" i="17"/>
  <c r="H3" i="17"/>
  <c r="F3" i="17"/>
  <c r="E3" i="17"/>
  <c r="D3" i="17"/>
  <c r="H2" i="17"/>
  <c r="F2" i="17"/>
  <c r="E2" i="17"/>
  <c r="D2" i="17"/>
  <c r="L11" i="17"/>
  <c r="Z111" i="16"/>
  <c r="G39" i="17" s="1"/>
  <c r="Y111" i="16"/>
  <c r="Z110" i="16"/>
  <c r="G38" i="17" s="1"/>
  <c r="Y110" i="16"/>
  <c r="X110" i="16"/>
  <c r="Q110" i="16"/>
  <c r="P110" i="16"/>
  <c r="Z109" i="16"/>
  <c r="Y109" i="16"/>
  <c r="Z108" i="16"/>
  <c r="G37" i="17" s="1"/>
  <c r="Y108" i="16"/>
  <c r="Z107" i="16"/>
  <c r="Y107" i="16"/>
  <c r="Z106" i="16"/>
  <c r="G36" i="17" s="1"/>
  <c r="Y106" i="16"/>
  <c r="X106" i="16"/>
  <c r="Q106" i="16"/>
  <c r="P106" i="16"/>
  <c r="Z105" i="16"/>
  <c r="Y105" i="16"/>
  <c r="Z104" i="16"/>
  <c r="Y104" i="16"/>
  <c r="Z103" i="16"/>
  <c r="G35" i="17" s="1"/>
  <c r="Y103" i="16"/>
  <c r="X103" i="16"/>
  <c r="Q103" i="16"/>
  <c r="P103" i="16"/>
  <c r="Z102" i="16"/>
  <c r="Y102" i="16"/>
  <c r="Z101" i="16"/>
  <c r="G34" i="17" s="1"/>
  <c r="Y101" i="16"/>
  <c r="X101" i="16"/>
  <c r="Q101" i="16"/>
  <c r="P101" i="16"/>
  <c r="Z100" i="16"/>
  <c r="Y100" i="16"/>
  <c r="Z99" i="16"/>
  <c r="Y99" i="16"/>
  <c r="Z98" i="16"/>
  <c r="G33" i="17" s="1"/>
  <c r="Y98" i="16"/>
  <c r="X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G32" i="17" s="1"/>
  <c r="Y91" i="16"/>
  <c r="Z90" i="16"/>
  <c r="G31" i="17" s="1"/>
  <c r="Y90" i="16"/>
  <c r="Z89" i="16"/>
  <c r="G30" i="17" s="1"/>
  <c r="Y89" i="16"/>
  <c r="Z88" i="16"/>
  <c r="G29" i="17" s="1"/>
  <c r="Y88" i="16"/>
  <c r="Z87" i="16"/>
  <c r="G28" i="17" s="1"/>
  <c r="Y87" i="16"/>
  <c r="X87" i="16"/>
  <c r="Q87" i="16"/>
  <c r="P87" i="16"/>
  <c r="Z86" i="16"/>
  <c r="Y86" i="16"/>
  <c r="Z85" i="16"/>
  <c r="Y85" i="16"/>
  <c r="Z84" i="16"/>
  <c r="Y84" i="16"/>
  <c r="Z83" i="16"/>
  <c r="Y83" i="16"/>
  <c r="Z82" i="16"/>
  <c r="Y82" i="16"/>
  <c r="Z81" i="16"/>
  <c r="G27" i="17" s="1"/>
  <c r="Y81" i="16"/>
  <c r="Z80" i="16"/>
  <c r="Y80" i="16"/>
  <c r="Z79" i="16"/>
  <c r="Y79" i="16"/>
  <c r="Z78" i="16"/>
  <c r="G26" i="17" s="1"/>
  <c r="Y78" i="16"/>
  <c r="X78" i="16"/>
  <c r="Q78" i="16"/>
  <c r="P78" i="16"/>
  <c r="Z77" i="16"/>
  <c r="Y77" i="16"/>
  <c r="Z76" i="16"/>
  <c r="Y76" i="16"/>
  <c r="Z75" i="16"/>
  <c r="G25" i="17" s="1"/>
  <c r="Y75" i="16"/>
  <c r="Z74" i="16"/>
  <c r="Y74" i="16"/>
  <c r="Z73" i="16"/>
  <c r="Y73" i="16"/>
  <c r="Z72" i="16"/>
  <c r="Y72" i="16"/>
  <c r="Z71" i="16"/>
  <c r="G24" i="17" s="1"/>
  <c r="Y71" i="16"/>
  <c r="Z70" i="16"/>
  <c r="G23" i="17" s="1"/>
  <c r="Y70" i="16"/>
  <c r="P70" i="16"/>
  <c r="Z69" i="16"/>
  <c r="Y69" i="16"/>
  <c r="Z68" i="16"/>
  <c r="Y68" i="16"/>
  <c r="Z67" i="16"/>
  <c r="Y67" i="16"/>
  <c r="Z66" i="16"/>
  <c r="G22" i="17" s="1"/>
  <c r="X66" i="16"/>
  <c r="Q66" i="16"/>
  <c r="P66" i="16"/>
  <c r="Z65" i="16"/>
  <c r="Y65" i="16"/>
  <c r="Z64" i="16"/>
  <c r="Y64" i="16"/>
  <c r="Z63" i="16"/>
  <c r="G21" i="17" s="1"/>
  <c r="Y63" i="16"/>
  <c r="X63" i="16"/>
  <c r="Q63" i="16"/>
  <c r="P63" i="16"/>
  <c r="Z62" i="16"/>
  <c r="Y62" i="16"/>
  <c r="Z61" i="16"/>
  <c r="Y61" i="16"/>
  <c r="Z60" i="16"/>
  <c r="G20" i="17" s="1"/>
  <c r="X60" i="16"/>
  <c r="Q60" i="16"/>
  <c r="P60" i="16"/>
  <c r="Z59" i="16"/>
  <c r="Y59" i="16"/>
  <c r="Z58" i="16"/>
  <c r="G19" i="17" s="1"/>
  <c r="X58" i="16"/>
  <c r="Q58" i="16"/>
  <c r="P58" i="16"/>
  <c r="Z57" i="16"/>
  <c r="Y57" i="16"/>
  <c r="Z56" i="16"/>
  <c r="Y56" i="16"/>
  <c r="Z55" i="16"/>
  <c r="G18" i="17" s="1"/>
  <c r="Y55" i="16"/>
  <c r="X55" i="16"/>
  <c r="Q55" i="16"/>
  <c r="P55" i="16"/>
  <c r="Z54" i="16"/>
  <c r="Y54" i="16"/>
  <c r="Z53" i="16"/>
  <c r="Y53" i="16"/>
  <c r="Z52" i="16"/>
  <c r="G17" i="17" s="1"/>
  <c r="Y52" i="16"/>
  <c r="Z51" i="16"/>
  <c r="G16" i="17" s="1"/>
  <c r="Y51" i="16"/>
  <c r="X51" i="16"/>
  <c r="Q51" i="16"/>
  <c r="P51" i="16"/>
  <c r="Z50" i="16"/>
  <c r="Y50" i="16"/>
  <c r="Z49" i="16"/>
  <c r="Y49" i="16"/>
  <c r="Z48" i="16"/>
  <c r="Y48" i="16"/>
  <c r="Z47" i="16"/>
  <c r="G15" i="17" s="1"/>
  <c r="Y47" i="16"/>
  <c r="Z46" i="16"/>
  <c r="Y46" i="16"/>
  <c r="Z45" i="16"/>
  <c r="Y45" i="16"/>
  <c r="Z44" i="16"/>
  <c r="Y44" i="16"/>
  <c r="Z43" i="16"/>
  <c r="Y43" i="16"/>
  <c r="Z42" i="16"/>
  <c r="G14" i="17" s="1"/>
  <c r="Y42" i="16"/>
  <c r="S42" i="16"/>
  <c r="T42" i="16" s="1"/>
  <c r="U42" i="16" s="1"/>
  <c r="V42" i="16" s="1"/>
  <c r="Z41" i="16"/>
  <c r="G13" i="17" s="1"/>
  <c r="Y41" i="16"/>
  <c r="Z40" i="16"/>
  <c r="G12" i="17" s="1"/>
  <c r="W40" i="16"/>
  <c r="Z39" i="16"/>
  <c r="Z38" i="16"/>
  <c r="Z37" i="16"/>
  <c r="G11" i="17" s="1"/>
  <c r="Y37" i="16"/>
  <c r="X37" i="16"/>
  <c r="Q37" i="16"/>
  <c r="P37" i="16"/>
  <c r="Z36" i="16"/>
  <c r="Y36" i="16"/>
  <c r="Z35" i="16"/>
  <c r="Y35" i="16"/>
  <c r="Z34" i="16"/>
  <c r="G10" i="17" s="1"/>
  <c r="Y34" i="16"/>
  <c r="X34" i="16"/>
  <c r="Q34" i="16"/>
  <c r="P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G9" i="17" s="1"/>
  <c r="Y22" i="16"/>
  <c r="X22" i="16"/>
  <c r="Q22" i="16"/>
  <c r="P22" i="16"/>
  <c r="Z21" i="16"/>
  <c r="Y21" i="16"/>
  <c r="Z20" i="16"/>
  <c r="G8" i="17" s="1"/>
  <c r="Y20" i="16"/>
  <c r="X20" i="16"/>
  <c r="Q20" i="16"/>
  <c r="P20" i="16"/>
  <c r="Z19" i="16"/>
  <c r="Y19" i="16"/>
  <c r="Z18" i="16"/>
  <c r="G7" i="17" s="1"/>
  <c r="Y18" i="16"/>
  <c r="X18" i="16"/>
  <c r="Q18" i="16"/>
  <c r="P18" i="16"/>
  <c r="Z17" i="16"/>
  <c r="Y17" i="16"/>
  <c r="Z16" i="16"/>
  <c r="Y16" i="16"/>
  <c r="Z15" i="16"/>
  <c r="Y15" i="16"/>
  <c r="Z14" i="16"/>
  <c r="Y14" i="16"/>
  <c r="Z13" i="16"/>
  <c r="G6" i="17" s="1"/>
  <c r="Y13" i="16"/>
  <c r="X13" i="16"/>
  <c r="Q13" i="16"/>
  <c r="P13" i="16"/>
  <c r="Z12" i="16"/>
  <c r="Y12" i="16"/>
  <c r="Z11" i="16"/>
  <c r="G5" i="17" s="1"/>
  <c r="Y11" i="16"/>
  <c r="X11" i="16"/>
  <c r="Q11" i="16"/>
  <c r="P11" i="16"/>
  <c r="Z10" i="16"/>
  <c r="Y10" i="16"/>
  <c r="Z9" i="16"/>
  <c r="Y9" i="16"/>
  <c r="Z8" i="16"/>
  <c r="G4" i="17" s="1"/>
  <c r="Y8" i="16"/>
  <c r="X8" i="16"/>
  <c r="Q8" i="16"/>
  <c r="P8" i="16"/>
  <c r="Z7" i="16"/>
  <c r="Y7" i="16"/>
  <c r="S7" i="16"/>
  <c r="Z6" i="16"/>
  <c r="Y6" i="16"/>
  <c r="Z5" i="16"/>
  <c r="G3" i="17" s="1"/>
  <c r="Y5" i="16"/>
  <c r="X5" i="16"/>
  <c r="Q5" i="16"/>
  <c r="P5" i="16"/>
  <c r="Z4" i="16"/>
  <c r="Y4" i="16"/>
  <c r="Z3" i="16"/>
  <c r="G2" i="17" s="1"/>
  <c r="Y3" i="16"/>
  <c r="M2" i="19" l="1"/>
  <c r="M24" i="19"/>
  <c r="M11" i="19"/>
  <c r="M5" i="19"/>
  <c r="M16" i="19"/>
  <c r="M28" i="19"/>
  <c r="Y66" i="16"/>
  <c r="I2" i="17"/>
  <c r="L2" i="17" s="1"/>
  <c r="I3" i="17"/>
  <c r="L3" i="17" s="1"/>
  <c r="I8" i="17"/>
  <c r="L8" i="17" s="1"/>
  <c r="I15" i="17"/>
  <c r="L15" i="17" s="1"/>
  <c r="I20" i="17"/>
  <c r="L20" i="17" s="1"/>
  <c r="I24" i="17"/>
  <c r="L24" i="17" s="1"/>
  <c r="I25" i="17"/>
  <c r="L25" i="17" s="1"/>
  <c r="I29" i="17"/>
  <c r="L29" i="17" s="1"/>
  <c r="I30" i="17"/>
  <c r="L30" i="17" s="1"/>
  <c r="I34" i="17"/>
  <c r="L34" i="17" s="1"/>
  <c r="I35" i="17"/>
  <c r="L35" i="17" s="1"/>
  <c r="I39" i="17"/>
  <c r="L39" i="17" s="1"/>
  <c r="I7" i="17"/>
  <c r="L7" i="17" s="1"/>
  <c r="I14" i="17"/>
  <c r="L14" i="17" s="1"/>
  <c r="I19" i="17"/>
  <c r="L19" i="17" s="1"/>
  <c r="I23" i="17"/>
  <c r="L23" i="17" s="1"/>
  <c r="I28" i="17"/>
  <c r="L28" i="17" s="1"/>
  <c r="I33" i="17"/>
  <c r="L33" i="17" s="1"/>
  <c r="I38" i="17"/>
  <c r="L38" i="17" s="1"/>
  <c r="I5" i="17"/>
  <c r="L5" i="17" s="1"/>
  <c r="I6" i="17"/>
  <c r="L6" i="17" s="1"/>
  <c r="I10" i="17"/>
  <c r="L10" i="17" s="1"/>
  <c r="I13" i="17"/>
  <c r="L13" i="17" s="1"/>
  <c r="I18" i="17"/>
  <c r="L18" i="17" s="1"/>
  <c r="I22" i="17"/>
  <c r="L22" i="17" s="1"/>
  <c r="I27" i="17"/>
  <c r="L27" i="17" s="1"/>
  <c r="I32" i="17"/>
  <c r="L32" i="17" s="1"/>
  <c r="I37" i="17"/>
  <c r="L37" i="17" s="1"/>
  <c r="Y58" i="16"/>
  <c r="Y60" i="16"/>
  <c r="I4" i="17"/>
  <c r="L4" i="17" s="1"/>
  <c r="I9" i="17"/>
  <c r="L9" i="17" s="1"/>
  <c r="I12" i="17"/>
  <c r="L12" i="17" s="1"/>
  <c r="I16" i="17"/>
  <c r="L16" i="17" s="1"/>
  <c r="I17" i="17"/>
  <c r="L17" i="17" s="1"/>
  <c r="I21" i="17"/>
  <c r="L21" i="17" s="1"/>
  <c r="I26" i="17"/>
  <c r="L26" i="17" s="1"/>
  <c r="I31" i="17"/>
  <c r="L31" i="17" s="1"/>
  <c r="I36" i="17"/>
  <c r="L36" i="17" s="1"/>
  <c r="G12" i="35" l="1"/>
  <c r="M11" i="17"/>
  <c r="M34" i="17"/>
  <c r="L11" i="35" s="1"/>
  <c r="M24" i="17"/>
  <c r="M5" i="17"/>
  <c r="M2" i="17"/>
  <c r="M29" i="17"/>
  <c r="M16" i="17"/>
  <c r="K11" i="24"/>
  <c r="I11" i="24"/>
  <c r="E11" i="24"/>
  <c r="K10" i="24"/>
  <c r="I10" i="24"/>
  <c r="G10" i="24"/>
  <c r="E10" i="24"/>
  <c r="K9" i="24"/>
  <c r="I9" i="24"/>
  <c r="G9" i="24"/>
  <c r="K8" i="24"/>
  <c r="I8" i="24"/>
  <c r="G8" i="24"/>
  <c r="K7" i="24"/>
  <c r="I7" i="24"/>
  <c r="G7" i="24"/>
  <c r="K6" i="24"/>
  <c r="I6" i="24"/>
  <c r="G6" i="24"/>
  <c r="K5" i="24"/>
  <c r="I5" i="24"/>
  <c r="G5" i="24"/>
  <c r="H30" i="15"/>
  <c r="E30" i="15"/>
  <c r="H29" i="15"/>
  <c r="E29" i="15"/>
  <c r="H28" i="15"/>
  <c r="E28" i="15"/>
  <c r="H27" i="15"/>
  <c r="E27" i="15"/>
  <c r="H26" i="15"/>
  <c r="E26" i="15"/>
  <c r="H25" i="15"/>
  <c r="E25" i="15"/>
  <c r="H24" i="15"/>
  <c r="E24" i="15"/>
  <c r="H23" i="15"/>
  <c r="E23" i="15"/>
  <c r="H22" i="15"/>
  <c r="E22" i="15"/>
  <c r="H21" i="15"/>
  <c r="E21" i="15"/>
  <c r="H20" i="15"/>
  <c r="E20" i="15"/>
  <c r="H19" i="15"/>
  <c r="E19" i="15"/>
  <c r="H18" i="15"/>
  <c r="E18" i="15"/>
  <c r="H17" i="15"/>
  <c r="E17" i="15"/>
  <c r="H16" i="15"/>
  <c r="E16" i="15"/>
  <c r="H15" i="15"/>
  <c r="E15" i="15"/>
  <c r="H14" i="15"/>
  <c r="E14" i="15"/>
  <c r="H13" i="15"/>
  <c r="E13" i="15"/>
  <c r="H12" i="15"/>
  <c r="E12" i="15"/>
  <c r="H11" i="15"/>
  <c r="E11" i="15"/>
  <c r="H10" i="15"/>
  <c r="E10" i="15"/>
  <c r="H9" i="15"/>
  <c r="E9" i="15"/>
  <c r="H8" i="15"/>
  <c r="E8" i="15"/>
  <c r="H7" i="15"/>
  <c r="E7" i="15"/>
  <c r="H6" i="15"/>
  <c r="E6" i="15"/>
  <c r="H5" i="15"/>
  <c r="E5" i="15"/>
  <c r="H4" i="15"/>
  <c r="E4" i="15"/>
  <c r="H3" i="15"/>
  <c r="E3" i="15"/>
  <c r="H2" i="15"/>
  <c r="E2" i="15"/>
  <c r="K14" i="15"/>
  <c r="K13" i="15"/>
  <c r="K12" i="15"/>
  <c r="K10" i="15"/>
  <c r="K9" i="15"/>
  <c r="K8" i="15"/>
  <c r="K7" i="15"/>
  <c r="K6" i="15"/>
  <c r="K5" i="15"/>
  <c r="Y108" i="14"/>
  <c r="Y107" i="14"/>
  <c r="X107" i="14"/>
  <c r="Q107" i="14"/>
  <c r="P107" i="14"/>
  <c r="Y106" i="14"/>
  <c r="Y105" i="14"/>
  <c r="Y104" i="14"/>
  <c r="Y103" i="14"/>
  <c r="X103" i="14"/>
  <c r="Q103" i="14"/>
  <c r="P103" i="14"/>
  <c r="Y102" i="14"/>
  <c r="Y101" i="14"/>
  <c r="Y100" i="14"/>
  <c r="X100" i="14"/>
  <c r="Q100" i="14"/>
  <c r="P100" i="14"/>
  <c r="Y99" i="14"/>
  <c r="Y98" i="14"/>
  <c r="X98" i="14"/>
  <c r="Q98" i="14"/>
  <c r="P98" i="14"/>
  <c r="Y97" i="14"/>
  <c r="Y96" i="14"/>
  <c r="Y95" i="14"/>
  <c r="X95" i="14"/>
  <c r="Y94" i="14"/>
  <c r="Y93" i="14"/>
  <c r="Y92" i="14"/>
  <c r="Y91" i="14"/>
  <c r="Y90" i="14"/>
  <c r="Y89" i="14"/>
  <c r="Y88" i="14"/>
  <c r="G30" i="15" s="1"/>
  <c r="Y87" i="14"/>
  <c r="G29" i="15" s="1"/>
  <c r="Y86" i="14"/>
  <c r="G28" i="15" s="1"/>
  <c r="Y85" i="14"/>
  <c r="G27" i="15" s="1"/>
  <c r="Y84" i="14"/>
  <c r="G26" i="15" s="1"/>
  <c r="X84" i="14"/>
  <c r="Q84" i="14"/>
  <c r="P84" i="14"/>
  <c r="Y83" i="14"/>
  <c r="Y82" i="14"/>
  <c r="Y81" i="14"/>
  <c r="Y80" i="14"/>
  <c r="Y79" i="14"/>
  <c r="Y78" i="14"/>
  <c r="G25" i="15" s="1"/>
  <c r="Y77" i="14"/>
  <c r="Y76" i="14"/>
  <c r="Y75" i="14"/>
  <c r="X75" i="14"/>
  <c r="Q75" i="14"/>
  <c r="P75" i="14"/>
  <c r="Y74" i="14"/>
  <c r="Y73" i="14"/>
  <c r="Y72" i="14"/>
  <c r="G24" i="15" s="1"/>
  <c r="Y71" i="14"/>
  <c r="Y70" i="14"/>
  <c r="Y69" i="14"/>
  <c r="Y68" i="14"/>
  <c r="G23" i="15" s="1"/>
  <c r="Y67" i="14"/>
  <c r="G22" i="15" s="1"/>
  <c r="P67" i="14"/>
  <c r="Y66" i="14"/>
  <c r="Y65" i="14"/>
  <c r="Y64" i="14"/>
  <c r="Y63" i="14"/>
  <c r="G21" i="15" s="1"/>
  <c r="X63" i="14"/>
  <c r="Q63" i="14"/>
  <c r="P63" i="14"/>
  <c r="Y62" i="14"/>
  <c r="Y61" i="14"/>
  <c r="Y60" i="14"/>
  <c r="G20" i="15" s="1"/>
  <c r="X60" i="14"/>
  <c r="Q60" i="14"/>
  <c r="P60" i="14"/>
  <c r="Y59" i="14"/>
  <c r="Y58" i="14"/>
  <c r="Y57" i="14"/>
  <c r="G19" i="15" s="1"/>
  <c r="X57" i="14"/>
  <c r="Q57" i="14"/>
  <c r="P57" i="14"/>
  <c r="Y56" i="14"/>
  <c r="Y55" i="14"/>
  <c r="G18" i="15" s="1"/>
  <c r="X55" i="14"/>
  <c r="Q55" i="14"/>
  <c r="P55" i="14"/>
  <c r="Y54" i="14"/>
  <c r="Y53" i="14"/>
  <c r="Y52" i="14"/>
  <c r="G17" i="15" s="1"/>
  <c r="X52" i="14"/>
  <c r="Q52" i="14"/>
  <c r="P52" i="14"/>
  <c r="Y51" i="14"/>
  <c r="Y50" i="14"/>
  <c r="Y49" i="14"/>
  <c r="G16" i="15" s="1"/>
  <c r="Y48" i="14"/>
  <c r="G15" i="15" s="1"/>
  <c r="X48" i="14"/>
  <c r="Q48" i="14"/>
  <c r="P48" i="14"/>
  <c r="Y47" i="14"/>
  <c r="Y46" i="14"/>
  <c r="Y45" i="14"/>
  <c r="Y44" i="14"/>
  <c r="G14" i="15" s="1"/>
  <c r="Y43" i="14"/>
  <c r="Y42" i="14"/>
  <c r="Y41" i="14"/>
  <c r="Y40" i="14"/>
  <c r="Y39" i="14"/>
  <c r="G13" i="15" s="1"/>
  <c r="Y38" i="14"/>
  <c r="G12" i="15" s="1"/>
  <c r="Y37" i="14"/>
  <c r="G11" i="15" s="1"/>
  <c r="X37" i="14"/>
  <c r="Q37" i="14"/>
  <c r="P37" i="14"/>
  <c r="Y36" i="14"/>
  <c r="Y35" i="14"/>
  <c r="Y34" i="14"/>
  <c r="G10" i="15" s="1"/>
  <c r="X34" i="14"/>
  <c r="Q34" i="14"/>
  <c r="P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G9" i="15" s="1"/>
  <c r="X22" i="14"/>
  <c r="Q22" i="14"/>
  <c r="P22" i="14"/>
  <c r="Y21" i="14"/>
  <c r="Y20" i="14"/>
  <c r="G8" i="15" s="1"/>
  <c r="X20" i="14"/>
  <c r="Q20" i="14"/>
  <c r="P20" i="14"/>
  <c r="Y19" i="14"/>
  <c r="Y18" i="14"/>
  <c r="G7" i="15" s="1"/>
  <c r="X18" i="14"/>
  <c r="Q18" i="14"/>
  <c r="P18" i="14"/>
  <c r="Y17" i="14"/>
  <c r="Y16" i="14"/>
  <c r="Y15" i="14"/>
  <c r="Y14" i="14"/>
  <c r="Y13" i="14"/>
  <c r="G6" i="15" s="1"/>
  <c r="X13" i="14"/>
  <c r="Q13" i="14"/>
  <c r="P13" i="14"/>
  <c r="Y12" i="14"/>
  <c r="Y11" i="14"/>
  <c r="G5" i="15" s="1"/>
  <c r="X11" i="14"/>
  <c r="Q11" i="14"/>
  <c r="P11" i="14"/>
  <c r="Y10" i="14"/>
  <c r="Y9" i="14"/>
  <c r="Y8" i="14"/>
  <c r="G4" i="15" s="1"/>
  <c r="X8" i="14"/>
  <c r="Q8" i="14"/>
  <c r="P8" i="14"/>
  <c r="Y7" i="14"/>
  <c r="Y6" i="14"/>
  <c r="Y5" i="14"/>
  <c r="G3" i="15" s="1"/>
  <c r="X5" i="14"/>
  <c r="Q5" i="14"/>
  <c r="P5" i="14"/>
  <c r="Y4" i="14"/>
  <c r="Y3" i="14"/>
  <c r="G2" i="15" s="1"/>
  <c r="E6" i="24" l="1"/>
  <c r="E8" i="24"/>
  <c r="E9" i="24"/>
  <c r="E5" i="24"/>
  <c r="E7" i="24"/>
  <c r="I3" i="15"/>
  <c r="L3" i="15" s="1"/>
  <c r="I12" i="15"/>
  <c r="L12" i="15" s="1"/>
  <c r="I14" i="15"/>
  <c r="L14" i="15" s="1"/>
  <c r="I16" i="15"/>
  <c r="L16" i="15" s="1"/>
  <c r="I20" i="15"/>
  <c r="L20" i="15" s="1"/>
  <c r="I27" i="15"/>
  <c r="L27" i="15" s="1"/>
  <c r="I30" i="15"/>
  <c r="L30" i="15" s="1"/>
  <c r="I4" i="15"/>
  <c r="L4" i="15" s="1"/>
  <c r="I6" i="15"/>
  <c r="L6" i="15" s="1"/>
  <c r="I8" i="15"/>
  <c r="L8" i="15" s="1"/>
  <c r="I10" i="15"/>
  <c r="L10" i="15" s="1"/>
  <c r="I17" i="15"/>
  <c r="L17" i="15" s="1"/>
  <c r="I21" i="15"/>
  <c r="L21" i="15" s="1"/>
  <c r="I24" i="15"/>
  <c r="L24" i="15" s="1"/>
  <c r="I2" i="15"/>
  <c r="L2" i="15" s="1"/>
  <c r="I5" i="15"/>
  <c r="L5" i="15" s="1"/>
  <c r="I13" i="15"/>
  <c r="L13" i="15" s="1"/>
  <c r="I15" i="15"/>
  <c r="L15" i="15" s="1"/>
  <c r="I18" i="15"/>
  <c r="L18" i="15" s="1"/>
  <c r="I22" i="15"/>
  <c r="L22" i="15" s="1"/>
  <c r="I25" i="15"/>
  <c r="L25" i="15" s="1"/>
  <c r="I28" i="15"/>
  <c r="L28" i="15" s="1"/>
  <c r="I7" i="15"/>
  <c r="L7" i="15" s="1"/>
  <c r="I9" i="15"/>
  <c r="L9" i="15" s="1"/>
  <c r="I11" i="15"/>
  <c r="I19" i="15"/>
  <c r="L19" i="15" s="1"/>
  <c r="I23" i="15"/>
  <c r="L23" i="15" s="1"/>
  <c r="I26" i="15"/>
  <c r="L26" i="15" s="1"/>
  <c r="I29" i="15"/>
  <c r="L29" i="15" s="1"/>
  <c r="E12" i="35" l="1"/>
  <c r="M5" i="15"/>
  <c r="M23" i="15"/>
  <c r="M2" i="15"/>
  <c r="M15" i="15"/>
  <c r="M27" i="15"/>
  <c r="M11" i="15"/>
  <c r="C5" i="24" l="1"/>
  <c r="C9" i="24"/>
  <c r="L9" i="35"/>
  <c r="C8" i="24"/>
  <c r="L8" i="35"/>
  <c r="C7" i="24"/>
  <c r="L7" i="35"/>
  <c r="C10" i="24"/>
  <c r="L10" i="35"/>
  <c r="C6" i="24"/>
  <c r="L6" i="35"/>
  <c r="H39" i="12"/>
  <c r="F39" i="12"/>
  <c r="D39" i="12"/>
  <c r="H38" i="12"/>
  <c r="F38" i="12"/>
  <c r="D38" i="12"/>
  <c r="H37" i="12"/>
  <c r="F37" i="12"/>
  <c r="D37" i="12"/>
  <c r="H36" i="12"/>
  <c r="F36" i="12"/>
  <c r="D36" i="12"/>
  <c r="H35" i="12"/>
  <c r="F35" i="12"/>
  <c r="E35" i="12"/>
  <c r="D35" i="12"/>
  <c r="H34" i="12"/>
  <c r="F34" i="12"/>
  <c r="D34" i="12"/>
  <c r="H33" i="12"/>
  <c r="F33" i="12"/>
  <c r="D33" i="12"/>
  <c r="H32" i="12"/>
  <c r="F32" i="12"/>
  <c r="D32" i="12"/>
  <c r="H31" i="12"/>
  <c r="F31" i="12"/>
  <c r="D31" i="12"/>
  <c r="H30" i="12"/>
  <c r="F30" i="12"/>
  <c r="D30" i="12"/>
  <c r="H29" i="12"/>
  <c r="F29" i="12"/>
  <c r="D29" i="12"/>
  <c r="F28" i="12"/>
  <c r="D28" i="12"/>
  <c r="H27" i="12"/>
  <c r="F27" i="12"/>
  <c r="D27" i="12"/>
  <c r="H26" i="12"/>
  <c r="F26" i="12"/>
  <c r="D26" i="12"/>
  <c r="H25" i="12"/>
  <c r="F25" i="12"/>
  <c r="D25" i="12"/>
  <c r="H24" i="12"/>
  <c r="F24" i="12"/>
  <c r="D24" i="12"/>
  <c r="H23" i="12"/>
  <c r="F23" i="12"/>
  <c r="D23" i="12"/>
  <c r="H22" i="12"/>
  <c r="F22" i="12"/>
  <c r="D22" i="12"/>
  <c r="H21" i="12"/>
  <c r="F21" i="12"/>
  <c r="D21" i="12"/>
  <c r="H20" i="12"/>
  <c r="F20" i="12"/>
  <c r="D20" i="12"/>
  <c r="H19" i="12"/>
  <c r="F19" i="12"/>
  <c r="D19" i="12"/>
  <c r="H18" i="12"/>
  <c r="F18" i="12"/>
  <c r="D18" i="12"/>
  <c r="H17" i="12"/>
  <c r="F17" i="12"/>
  <c r="D17" i="12"/>
  <c r="H16" i="12"/>
  <c r="F16" i="12"/>
  <c r="D16" i="12"/>
  <c r="H15" i="12"/>
  <c r="F15" i="12"/>
  <c r="D15" i="12"/>
  <c r="H14" i="12"/>
  <c r="F14" i="12"/>
  <c r="D14" i="12"/>
  <c r="H13" i="12"/>
  <c r="F13" i="12"/>
  <c r="D13" i="12"/>
  <c r="F12" i="12"/>
  <c r="D12" i="12"/>
  <c r="H11" i="12"/>
  <c r="F11" i="12"/>
  <c r="D11" i="12"/>
  <c r="F10" i="12"/>
  <c r="D10" i="12"/>
  <c r="F9" i="12"/>
  <c r="D9" i="12"/>
  <c r="F8" i="12"/>
  <c r="D8" i="12"/>
  <c r="F7" i="12"/>
  <c r="D7" i="12"/>
  <c r="F6" i="12"/>
  <c r="D6" i="12"/>
  <c r="H5" i="12"/>
  <c r="F5" i="12"/>
  <c r="D5" i="12"/>
  <c r="H4" i="12"/>
  <c r="F4" i="12"/>
  <c r="D4" i="12"/>
  <c r="H3" i="12"/>
  <c r="F3" i="12"/>
  <c r="D3" i="12"/>
  <c r="H2" i="12"/>
  <c r="F2" i="12"/>
  <c r="D2" i="12"/>
  <c r="AE113" i="11"/>
  <c r="G39" i="12" s="1"/>
  <c r="AD113" i="11"/>
  <c r="AC113" i="11"/>
  <c r="AB113" i="11"/>
  <c r="AA113" i="11"/>
  <c r="Z113" i="11"/>
  <c r="S113" i="11"/>
  <c r="E39" i="12" s="1"/>
  <c r="AE112" i="11"/>
  <c r="G38" i="12" s="1"/>
  <c r="AD112" i="11"/>
  <c r="AC112" i="11"/>
  <c r="AB112" i="11"/>
  <c r="AA112" i="11"/>
  <c r="Z112" i="11"/>
  <c r="S112" i="11"/>
  <c r="E38" i="12" s="1"/>
  <c r="R112" i="11"/>
  <c r="Q112" i="11"/>
  <c r="AE111" i="11"/>
  <c r="AD111" i="11"/>
  <c r="AC111" i="11"/>
  <c r="AB111" i="11"/>
  <c r="AA111" i="11"/>
  <c r="Z111" i="11"/>
  <c r="S111" i="11"/>
  <c r="AE110" i="11"/>
  <c r="G37" i="12" s="1"/>
  <c r="AD110" i="11"/>
  <c r="AC110" i="11"/>
  <c r="AB110" i="11"/>
  <c r="AA110" i="11"/>
  <c r="Z110" i="11"/>
  <c r="X110" i="11"/>
  <c r="S110" i="11"/>
  <c r="E37" i="12" s="1"/>
  <c r="AE109" i="11"/>
  <c r="AD109" i="11"/>
  <c r="AC109" i="11"/>
  <c r="AB109" i="11"/>
  <c r="AA109" i="11"/>
  <c r="Z109" i="11"/>
  <c r="S109" i="11"/>
  <c r="AE108" i="11"/>
  <c r="G36" i="12" s="1"/>
  <c r="AD108" i="11"/>
  <c r="AC108" i="11"/>
  <c r="AB108" i="11"/>
  <c r="AA108" i="11"/>
  <c r="Z108" i="11"/>
  <c r="X108" i="11"/>
  <c r="S108" i="11"/>
  <c r="E36" i="12" s="1"/>
  <c r="R108" i="11"/>
  <c r="Q108" i="11"/>
  <c r="AE107" i="11"/>
  <c r="AD107" i="11"/>
  <c r="AC107" i="11"/>
  <c r="AB107" i="11"/>
  <c r="AA107" i="11"/>
  <c r="Z107" i="11"/>
  <c r="S107" i="11"/>
  <c r="AE106" i="11"/>
  <c r="AD106" i="11"/>
  <c r="AC106" i="11"/>
  <c r="AB106" i="11"/>
  <c r="AA106" i="11"/>
  <c r="Z106" i="11"/>
  <c r="S106" i="11"/>
  <c r="AE105" i="11"/>
  <c r="G35" i="12" s="1"/>
  <c r="AD105" i="11"/>
  <c r="AC105" i="11"/>
  <c r="AB105" i="11"/>
  <c r="AA105" i="11"/>
  <c r="Z105" i="11"/>
  <c r="X105" i="11"/>
  <c r="S105" i="11"/>
  <c r="R105" i="11"/>
  <c r="Q105" i="11"/>
  <c r="AE104" i="11"/>
  <c r="AD104" i="11"/>
  <c r="AC104" i="11"/>
  <c r="AB104" i="11"/>
  <c r="AA104" i="11"/>
  <c r="Z104" i="11"/>
  <c r="S104" i="11"/>
  <c r="AE103" i="11"/>
  <c r="G34" i="12" s="1"/>
  <c r="AD103" i="11"/>
  <c r="AC103" i="11"/>
  <c r="AB103" i="11"/>
  <c r="AA103" i="11"/>
  <c r="Z103" i="11"/>
  <c r="S103" i="11"/>
  <c r="E34" i="12" s="1"/>
  <c r="R103" i="11"/>
  <c r="Q103" i="11"/>
  <c r="U103" i="11" s="1"/>
  <c r="W103" i="11" s="1"/>
  <c r="X103" i="11" s="1"/>
  <c r="AE102" i="11"/>
  <c r="AD102" i="11"/>
  <c r="AC102" i="11"/>
  <c r="AB102" i="11"/>
  <c r="AA102" i="11"/>
  <c r="Z102" i="11"/>
  <c r="S102" i="11"/>
  <c r="AE101" i="11"/>
  <c r="AD101" i="11"/>
  <c r="AC101" i="11"/>
  <c r="AB101" i="11"/>
  <c r="AA101" i="11"/>
  <c r="Z101" i="11"/>
  <c r="S101" i="11"/>
  <c r="AE100" i="11"/>
  <c r="G33" i="12" s="1"/>
  <c r="AD100" i="11"/>
  <c r="AC100" i="11"/>
  <c r="AB100" i="11"/>
  <c r="AA100" i="11"/>
  <c r="Z100" i="11"/>
  <c r="S100" i="11"/>
  <c r="E33" i="12" s="1"/>
  <c r="AE99" i="11"/>
  <c r="AD99" i="11"/>
  <c r="AC99" i="11"/>
  <c r="AB99" i="11"/>
  <c r="AA99" i="11"/>
  <c r="Z99" i="11"/>
  <c r="S99" i="11"/>
  <c r="AE98" i="11"/>
  <c r="AD98" i="11"/>
  <c r="AC98" i="11"/>
  <c r="AB98" i="11"/>
  <c r="AA98" i="11"/>
  <c r="Z98" i="11"/>
  <c r="S98" i="11"/>
  <c r="AE97" i="11"/>
  <c r="AD97" i="11"/>
  <c r="AC97" i="11"/>
  <c r="AB97" i="11"/>
  <c r="AA97" i="11"/>
  <c r="Z97" i="11"/>
  <c r="S97" i="11"/>
  <c r="AE96" i="11"/>
  <c r="AD96" i="11"/>
  <c r="AC96" i="11"/>
  <c r="AB96" i="11"/>
  <c r="AA96" i="11"/>
  <c r="Z96" i="11"/>
  <c r="S96" i="11"/>
  <c r="AE95" i="11"/>
  <c r="AD95" i="11"/>
  <c r="AC95" i="11"/>
  <c r="AB95" i="11"/>
  <c r="AA95" i="11"/>
  <c r="Z95" i="11"/>
  <c r="S95" i="11"/>
  <c r="AE94" i="11"/>
  <c r="AD94" i="11"/>
  <c r="AC94" i="11"/>
  <c r="AB94" i="11"/>
  <c r="AA94" i="11"/>
  <c r="Z94" i="11"/>
  <c r="S94" i="11"/>
  <c r="AE93" i="11"/>
  <c r="G32" i="12" s="1"/>
  <c r="AD93" i="11"/>
  <c r="AC93" i="11"/>
  <c r="AB93" i="11"/>
  <c r="AA93" i="11"/>
  <c r="Z93" i="11"/>
  <c r="S93" i="11"/>
  <c r="E32" i="12" s="1"/>
  <c r="AE92" i="11"/>
  <c r="G31" i="12" s="1"/>
  <c r="AD92" i="11"/>
  <c r="AC92" i="11"/>
  <c r="AB92" i="11"/>
  <c r="AA92" i="11"/>
  <c r="Z92" i="11"/>
  <c r="S92" i="11"/>
  <c r="E31" i="12" s="1"/>
  <c r="AE91" i="11"/>
  <c r="G30" i="12" s="1"/>
  <c r="AD91" i="11"/>
  <c r="AC91" i="11"/>
  <c r="AB91" i="11"/>
  <c r="AA91" i="11"/>
  <c r="Z91" i="11"/>
  <c r="S91" i="11"/>
  <c r="E30" i="12" s="1"/>
  <c r="AE90" i="11"/>
  <c r="G29" i="12" s="1"/>
  <c r="AD90" i="11"/>
  <c r="AC90" i="11"/>
  <c r="AB90" i="11"/>
  <c r="AA90" i="11"/>
  <c r="Z90" i="11"/>
  <c r="X90" i="11"/>
  <c r="S90" i="11"/>
  <c r="E29" i="12" s="1"/>
  <c r="AE89" i="11"/>
  <c r="G28" i="12" s="1"/>
  <c r="AD89" i="11"/>
  <c r="AC89" i="11"/>
  <c r="AB89" i="11"/>
  <c r="AA89" i="11"/>
  <c r="Z89" i="11"/>
  <c r="S89" i="11"/>
  <c r="X89" i="11" s="1"/>
  <c r="H28" i="12" s="1"/>
  <c r="R89" i="11"/>
  <c r="Q89" i="11"/>
  <c r="AE88" i="11"/>
  <c r="AD88" i="11"/>
  <c r="AC88" i="11"/>
  <c r="AB88" i="11"/>
  <c r="AA88" i="11"/>
  <c r="Z88" i="11"/>
  <c r="S88" i="11"/>
  <c r="AE87" i="11"/>
  <c r="AD87" i="11"/>
  <c r="AC87" i="11"/>
  <c r="AB87" i="11"/>
  <c r="AA87" i="11"/>
  <c r="Z87" i="11"/>
  <c r="S87" i="11"/>
  <c r="AE86" i="11"/>
  <c r="AD86" i="11"/>
  <c r="AC86" i="11"/>
  <c r="AB86" i="11"/>
  <c r="AA86" i="11"/>
  <c r="Z86" i="11"/>
  <c r="S86" i="11"/>
  <c r="AE85" i="11"/>
  <c r="AD85" i="11"/>
  <c r="AC85" i="11"/>
  <c r="AB85" i="11"/>
  <c r="AA85" i="11"/>
  <c r="Z85" i="11"/>
  <c r="S85" i="11"/>
  <c r="AE84" i="11"/>
  <c r="AD84" i="11"/>
  <c r="AC84" i="11"/>
  <c r="AB84" i="11"/>
  <c r="AA84" i="11"/>
  <c r="Z84" i="11"/>
  <c r="S84" i="11"/>
  <c r="AE83" i="11"/>
  <c r="G27" i="12" s="1"/>
  <c r="AD83" i="11"/>
  <c r="AC83" i="11"/>
  <c r="AB83" i="11"/>
  <c r="AA83" i="11"/>
  <c r="Z83" i="11"/>
  <c r="S83" i="11"/>
  <c r="E27" i="12" s="1"/>
  <c r="R83" i="11"/>
  <c r="Q83" i="11"/>
  <c r="AE82" i="11"/>
  <c r="AD82" i="11"/>
  <c r="AC82" i="11"/>
  <c r="AB82" i="11"/>
  <c r="AA82" i="11"/>
  <c r="Z82" i="11"/>
  <c r="S82" i="11"/>
  <c r="AE81" i="11"/>
  <c r="AD81" i="11"/>
  <c r="AC81" i="11"/>
  <c r="AB81" i="11"/>
  <c r="AA81" i="11"/>
  <c r="Z81" i="11"/>
  <c r="S81" i="11"/>
  <c r="AE80" i="11"/>
  <c r="G26" i="12" s="1"/>
  <c r="AD80" i="11"/>
  <c r="AC80" i="11"/>
  <c r="AB80" i="11"/>
  <c r="AA80" i="11"/>
  <c r="Z80" i="11"/>
  <c r="X80" i="11"/>
  <c r="S80" i="11"/>
  <c r="E26" i="12" s="1"/>
  <c r="R80" i="11"/>
  <c r="Q80" i="11"/>
  <c r="AE79" i="11"/>
  <c r="AD79" i="11"/>
  <c r="AC79" i="11"/>
  <c r="AB79" i="11"/>
  <c r="AA79" i="11"/>
  <c r="Z79" i="11"/>
  <c r="S79" i="11"/>
  <c r="AE78" i="11"/>
  <c r="AD78" i="11"/>
  <c r="AC78" i="11"/>
  <c r="AB78" i="11"/>
  <c r="AA78" i="11"/>
  <c r="Z78" i="11"/>
  <c r="S78" i="11"/>
  <c r="AE77" i="11"/>
  <c r="G25" i="12" s="1"/>
  <c r="AD77" i="11"/>
  <c r="AC77" i="11"/>
  <c r="AB77" i="11"/>
  <c r="AA77" i="11"/>
  <c r="Z77" i="11"/>
  <c r="W77" i="11"/>
  <c r="X77" i="11" s="1"/>
  <c r="V77" i="11"/>
  <c r="U77" i="11" s="1"/>
  <c r="T77" i="11"/>
  <c r="S77" i="11"/>
  <c r="E25" i="12" s="1"/>
  <c r="AE76" i="11"/>
  <c r="AD76" i="11"/>
  <c r="AC76" i="11"/>
  <c r="AB76" i="11"/>
  <c r="AA76" i="11"/>
  <c r="Z76" i="11"/>
  <c r="S76" i="11"/>
  <c r="AE75" i="11"/>
  <c r="AD75" i="11"/>
  <c r="AC75" i="11"/>
  <c r="AB75" i="11"/>
  <c r="AA75" i="11"/>
  <c r="Z75" i="11"/>
  <c r="S75" i="11"/>
  <c r="AE74" i="11"/>
  <c r="AD74" i="11"/>
  <c r="AC74" i="11"/>
  <c r="AB74" i="11"/>
  <c r="AA74" i="11"/>
  <c r="Z74" i="11"/>
  <c r="S74" i="11"/>
  <c r="AE73" i="11"/>
  <c r="G24" i="12" s="1"/>
  <c r="AD73" i="11"/>
  <c r="AC73" i="11"/>
  <c r="AB73" i="11"/>
  <c r="AA73" i="11"/>
  <c r="Z73" i="11"/>
  <c r="V73" i="11"/>
  <c r="W73" i="11" s="1"/>
  <c r="U73" i="11"/>
  <c r="T73" i="11"/>
  <c r="S73" i="11"/>
  <c r="E24" i="12" s="1"/>
  <c r="AE72" i="11"/>
  <c r="G23" i="12" s="1"/>
  <c r="AD72" i="11"/>
  <c r="AC72" i="11"/>
  <c r="AB72" i="11"/>
  <c r="AA72" i="11"/>
  <c r="Z72" i="11"/>
  <c r="V72" i="11"/>
  <c r="U72" i="11" s="1"/>
  <c r="W72" i="11" s="1"/>
  <c r="X72" i="11" s="1"/>
  <c r="T72" i="11"/>
  <c r="S72" i="11"/>
  <c r="E23" i="12" s="1"/>
  <c r="AE71" i="11"/>
  <c r="AD71" i="11"/>
  <c r="AC71" i="11"/>
  <c r="AB71" i="11"/>
  <c r="AA71" i="11"/>
  <c r="Z71" i="11"/>
  <c r="S71" i="11"/>
  <c r="AE70" i="11"/>
  <c r="AD70" i="11"/>
  <c r="AC70" i="11"/>
  <c r="AB70" i="11"/>
  <c r="AA70" i="11"/>
  <c r="Z70" i="11"/>
  <c r="S70" i="11"/>
  <c r="AE69" i="11"/>
  <c r="AD69" i="11"/>
  <c r="AC69" i="11"/>
  <c r="AB69" i="11"/>
  <c r="AA69" i="11"/>
  <c r="Z69" i="11"/>
  <c r="S69" i="11"/>
  <c r="AE68" i="11"/>
  <c r="G22" i="12" s="1"/>
  <c r="AD68" i="11"/>
  <c r="AC68" i="11"/>
  <c r="AB68" i="11"/>
  <c r="AA68" i="11"/>
  <c r="Z68" i="11"/>
  <c r="S68" i="11"/>
  <c r="E22" i="12" s="1"/>
  <c r="R68" i="11"/>
  <c r="Q68" i="11"/>
  <c r="AE67" i="11"/>
  <c r="AD67" i="11"/>
  <c r="AC67" i="11"/>
  <c r="AB67" i="11"/>
  <c r="AA67" i="11"/>
  <c r="Z67" i="11"/>
  <c r="S67" i="11"/>
  <c r="AE66" i="11"/>
  <c r="AD66" i="11"/>
  <c r="AC66" i="11"/>
  <c r="AB66" i="11"/>
  <c r="AA66" i="11"/>
  <c r="Z66" i="11"/>
  <c r="S66" i="11"/>
  <c r="AE65" i="11"/>
  <c r="G21" i="12" s="1"/>
  <c r="AD65" i="11"/>
  <c r="AC65" i="11"/>
  <c r="AB65" i="11"/>
  <c r="AA65" i="11"/>
  <c r="Z65" i="11"/>
  <c r="S65" i="11"/>
  <c r="E21" i="12" s="1"/>
  <c r="R65" i="11"/>
  <c r="Q65" i="11"/>
  <c r="AE64" i="11"/>
  <c r="AD64" i="11"/>
  <c r="AC64" i="11"/>
  <c r="AB64" i="11"/>
  <c r="AA64" i="11"/>
  <c r="Z64" i="11"/>
  <c r="S64" i="11"/>
  <c r="AE63" i="11"/>
  <c r="AD63" i="11"/>
  <c r="AC63" i="11"/>
  <c r="AB63" i="11"/>
  <c r="AA63" i="11"/>
  <c r="Z63" i="11"/>
  <c r="S63" i="11"/>
  <c r="AE62" i="11"/>
  <c r="G20" i="12" s="1"/>
  <c r="AD62" i="11"/>
  <c r="AC62" i="11"/>
  <c r="AB62" i="11"/>
  <c r="AA62" i="11"/>
  <c r="Z62" i="11"/>
  <c r="S62" i="11"/>
  <c r="E20" i="12" s="1"/>
  <c r="R62" i="11"/>
  <c r="Q62" i="11"/>
  <c r="AE61" i="11"/>
  <c r="AD61" i="11"/>
  <c r="AC61" i="11"/>
  <c r="AB61" i="11"/>
  <c r="AA61" i="11"/>
  <c r="Z61" i="11"/>
  <c r="S61" i="11"/>
  <c r="AE60" i="11"/>
  <c r="G19" i="12" s="1"/>
  <c r="AD60" i="11"/>
  <c r="AC60" i="11"/>
  <c r="AB60" i="11"/>
  <c r="AA60" i="11"/>
  <c r="Z60" i="11"/>
  <c r="S60" i="11"/>
  <c r="E19" i="12" s="1"/>
  <c r="R60" i="11"/>
  <c r="Q60" i="11"/>
  <c r="AE59" i="11"/>
  <c r="AD59" i="11"/>
  <c r="AC59" i="11"/>
  <c r="AB59" i="11"/>
  <c r="AA59" i="11"/>
  <c r="Z59" i="11"/>
  <c r="S59" i="11"/>
  <c r="AE58" i="11"/>
  <c r="AD58" i="11"/>
  <c r="AC58" i="11"/>
  <c r="AB58" i="11"/>
  <c r="AA58" i="11"/>
  <c r="Z58" i="11"/>
  <c r="S58" i="11"/>
  <c r="AE57" i="11"/>
  <c r="G18" i="12" s="1"/>
  <c r="AD57" i="11"/>
  <c r="AC57" i="11"/>
  <c r="AB57" i="11"/>
  <c r="AA57" i="11"/>
  <c r="Z57" i="11"/>
  <c r="S57" i="11"/>
  <c r="E18" i="12" s="1"/>
  <c r="R57" i="11"/>
  <c r="Q57" i="11"/>
  <c r="AE56" i="11"/>
  <c r="AD56" i="11"/>
  <c r="AC56" i="11"/>
  <c r="AB56" i="11"/>
  <c r="AA56" i="11"/>
  <c r="Z56" i="11"/>
  <c r="S56" i="11"/>
  <c r="AE55" i="11"/>
  <c r="AD55" i="11"/>
  <c r="AC55" i="11"/>
  <c r="AB55" i="11"/>
  <c r="AA55" i="11"/>
  <c r="Z55" i="11"/>
  <c r="S55" i="11"/>
  <c r="AE54" i="11"/>
  <c r="G17" i="12" s="1"/>
  <c r="AD54" i="11"/>
  <c r="AC54" i="11"/>
  <c r="AB54" i="11"/>
  <c r="AA54" i="11"/>
  <c r="Z54" i="11"/>
  <c r="S54" i="11"/>
  <c r="E17" i="12" s="1"/>
  <c r="AE53" i="11"/>
  <c r="G16" i="12" s="1"/>
  <c r="AD53" i="11"/>
  <c r="AC53" i="11"/>
  <c r="AB53" i="11"/>
  <c r="AA53" i="11"/>
  <c r="Z53" i="11"/>
  <c r="S53" i="11"/>
  <c r="E16" i="12" s="1"/>
  <c r="R53" i="11"/>
  <c r="Q53" i="11"/>
  <c r="AE52" i="11"/>
  <c r="AD52" i="11"/>
  <c r="AC52" i="11"/>
  <c r="AB52" i="11"/>
  <c r="AA52" i="11"/>
  <c r="Z52" i="11"/>
  <c r="S52" i="11"/>
  <c r="AE51" i="11"/>
  <c r="AD51" i="11"/>
  <c r="AC51" i="11"/>
  <c r="AB51" i="11"/>
  <c r="AA51" i="11"/>
  <c r="Z51" i="11"/>
  <c r="S51" i="11"/>
  <c r="AE50" i="11"/>
  <c r="AD50" i="11"/>
  <c r="AC50" i="11"/>
  <c r="AB50" i="11"/>
  <c r="AA50" i="11"/>
  <c r="Z50" i="11"/>
  <c r="S50" i="11"/>
  <c r="AE49" i="11"/>
  <c r="G15" i="12" s="1"/>
  <c r="AD49" i="11"/>
  <c r="AC49" i="11"/>
  <c r="AB49" i="11"/>
  <c r="AA49" i="11"/>
  <c r="Z49" i="11"/>
  <c r="U49" i="11"/>
  <c r="V49" i="11" s="1"/>
  <c r="W49" i="11" s="1"/>
  <c r="X49" i="11" s="1"/>
  <c r="S49" i="11"/>
  <c r="E15" i="12" s="1"/>
  <c r="R49" i="11"/>
  <c r="Q49" i="11"/>
  <c r="AE48" i="11"/>
  <c r="AD48" i="11"/>
  <c r="AC48" i="11"/>
  <c r="AB48" i="11"/>
  <c r="AA48" i="11"/>
  <c r="Z48" i="11"/>
  <c r="S48" i="11"/>
  <c r="AE47" i="11"/>
  <c r="AD47" i="11"/>
  <c r="AC47" i="11"/>
  <c r="AB47" i="11"/>
  <c r="AA47" i="11"/>
  <c r="Z47" i="11"/>
  <c r="S47" i="11"/>
  <c r="AE46" i="11"/>
  <c r="AD46" i="11"/>
  <c r="AC46" i="11"/>
  <c r="AB46" i="11"/>
  <c r="AA46" i="11"/>
  <c r="Z46" i="11"/>
  <c r="S46" i="11"/>
  <c r="AE45" i="11"/>
  <c r="AD45" i="11"/>
  <c r="AC45" i="11"/>
  <c r="AB45" i="11"/>
  <c r="AA45" i="11"/>
  <c r="Z45" i="11"/>
  <c r="S45" i="11"/>
  <c r="AE44" i="11"/>
  <c r="G14" i="12" s="1"/>
  <c r="AD44" i="11"/>
  <c r="AC44" i="11"/>
  <c r="AB44" i="11"/>
  <c r="AA44" i="11"/>
  <c r="Z44" i="11"/>
  <c r="X44" i="11"/>
  <c r="S44" i="11"/>
  <c r="E14" i="12" s="1"/>
  <c r="AE43" i="11"/>
  <c r="G13" i="12" s="1"/>
  <c r="AD43" i="11"/>
  <c r="AC43" i="11"/>
  <c r="AB43" i="11"/>
  <c r="AA43" i="11"/>
  <c r="Z43" i="11"/>
  <c r="S43" i="11"/>
  <c r="E13" i="12" s="1"/>
  <c r="AE42" i="11"/>
  <c r="G12" i="12" s="1"/>
  <c r="AD42" i="11"/>
  <c r="AC42" i="11"/>
  <c r="AB42" i="11"/>
  <c r="AA42" i="11"/>
  <c r="Z42" i="11"/>
  <c r="V42" i="11"/>
  <c r="S42" i="11"/>
  <c r="E12" i="12" s="1"/>
  <c r="AE41" i="11"/>
  <c r="AD41" i="11"/>
  <c r="AC41" i="11"/>
  <c r="AB41" i="11"/>
  <c r="AA41" i="11"/>
  <c r="Z41" i="11"/>
  <c r="Y41" i="11"/>
  <c r="Y42" i="11" s="1"/>
  <c r="X41" i="11"/>
  <c r="X42" i="11" s="1"/>
  <c r="H12" i="12" s="1"/>
  <c r="W41" i="11"/>
  <c r="W42" i="11" s="1"/>
  <c r="V41" i="11"/>
  <c r="S41" i="11"/>
  <c r="AE40" i="11"/>
  <c r="AD40" i="11"/>
  <c r="AC40" i="11"/>
  <c r="AB40" i="11"/>
  <c r="AA40" i="11"/>
  <c r="Z40" i="11"/>
  <c r="S40" i="11"/>
  <c r="AE39" i="11"/>
  <c r="G11" i="12" s="1"/>
  <c r="AD39" i="11"/>
  <c r="AC39" i="11"/>
  <c r="AB39" i="11"/>
  <c r="AA39" i="11"/>
  <c r="Z39" i="11"/>
  <c r="X39" i="11"/>
  <c r="S39" i="11"/>
  <c r="E11" i="12" s="1"/>
  <c r="R39" i="11"/>
  <c r="Q39" i="11"/>
  <c r="AE38" i="11"/>
  <c r="AD38" i="11"/>
  <c r="AC38" i="11"/>
  <c r="AB38" i="11"/>
  <c r="AA38" i="11"/>
  <c r="Z38" i="11"/>
  <c r="S38" i="11"/>
  <c r="AE37" i="11"/>
  <c r="AD37" i="11"/>
  <c r="AC37" i="11"/>
  <c r="AB37" i="11"/>
  <c r="AA37" i="11"/>
  <c r="Z37" i="11"/>
  <c r="S37" i="11"/>
  <c r="AE36" i="11"/>
  <c r="G10" i="12" s="1"/>
  <c r="AD36" i="11"/>
  <c r="AC36" i="11"/>
  <c r="AB36" i="11"/>
  <c r="AA36" i="11"/>
  <c r="Z36" i="11"/>
  <c r="S36" i="11"/>
  <c r="X36" i="11" s="1"/>
  <c r="H10" i="12" s="1"/>
  <c r="R36" i="11"/>
  <c r="Q36" i="11"/>
  <c r="AE35" i="11"/>
  <c r="AD35" i="11"/>
  <c r="AC35" i="11"/>
  <c r="AB35" i="11"/>
  <c r="AA35" i="11"/>
  <c r="Z35" i="11"/>
  <c r="S35" i="11"/>
  <c r="R35" i="11"/>
  <c r="Q35" i="11"/>
  <c r="AE34" i="11"/>
  <c r="AD34" i="11"/>
  <c r="AC34" i="11"/>
  <c r="AB34" i="11"/>
  <c r="AA34" i="11"/>
  <c r="Z34" i="11"/>
  <c r="S34" i="11"/>
  <c r="AE33" i="11"/>
  <c r="AD33" i="11"/>
  <c r="AC33" i="11"/>
  <c r="AB33" i="11"/>
  <c r="AA33" i="11"/>
  <c r="Z33" i="11"/>
  <c r="S33" i="11"/>
  <c r="AE32" i="11"/>
  <c r="AD32" i="11"/>
  <c r="AC32" i="11"/>
  <c r="AB32" i="11"/>
  <c r="AA32" i="11"/>
  <c r="Z32" i="11"/>
  <c r="S32" i="11"/>
  <c r="AE31" i="11"/>
  <c r="AD31" i="11"/>
  <c r="AC31" i="11"/>
  <c r="AB31" i="11"/>
  <c r="AA31" i="11"/>
  <c r="Z31" i="11"/>
  <c r="S31" i="11"/>
  <c r="AE30" i="11"/>
  <c r="AD30" i="11"/>
  <c r="AC30" i="11"/>
  <c r="AB30" i="11"/>
  <c r="AA30" i="11"/>
  <c r="Z30" i="11"/>
  <c r="S30" i="11"/>
  <c r="AE29" i="11"/>
  <c r="AD29" i="11"/>
  <c r="AC29" i="11"/>
  <c r="AB29" i="11"/>
  <c r="AA29" i="11"/>
  <c r="Z29" i="11"/>
  <c r="S29" i="11"/>
  <c r="AE28" i="11"/>
  <c r="AD28" i="11"/>
  <c r="AC28" i="11"/>
  <c r="AB28" i="11"/>
  <c r="AA28" i="11"/>
  <c r="Z28" i="11"/>
  <c r="S28" i="11"/>
  <c r="AE27" i="11"/>
  <c r="AD27" i="11"/>
  <c r="AC27" i="11"/>
  <c r="AB27" i="11"/>
  <c r="AA27" i="11"/>
  <c r="Z27" i="11"/>
  <c r="S27" i="11"/>
  <c r="AE26" i="11"/>
  <c r="AD26" i="11"/>
  <c r="AC26" i="11"/>
  <c r="AB26" i="11"/>
  <c r="AA26" i="11"/>
  <c r="Z26" i="11"/>
  <c r="S26" i="11"/>
  <c r="AE25" i="11"/>
  <c r="AD25" i="11"/>
  <c r="AC25" i="11"/>
  <c r="AB25" i="11"/>
  <c r="AA25" i="11"/>
  <c r="Z25" i="11"/>
  <c r="S25" i="11"/>
  <c r="AE24" i="11"/>
  <c r="AD24" i="11"/>
  <c r="AC24" i="11"/>
  <c r="AB24" i="11"/>
  <c r="AA24" i="11"/>
  <c r="Z24" i="11"/>
  <c r="S24" i="11"/>
  <c r="AE23" i="11"/>
  <c r="G9" i="12" s="1"/>
  <c r="AD23" i="11"/>
  <c r="AC23" i="11"/>
  <c r="AB23" i="11"/>
  <c r="AA23" i="11"/>
  <c r="Z23" i="11"/>
  <c r="S23" i="11"/>
  <c r="X23" i="11" s="1"/>
  <c r="H9" i="12" s="1"/>
  <c r="R23" i="11"/>
  <c r="Q23" i="11"/>
  <c r="AE22" i="11"/>
  <c r="AD22" i="11"/>
  <c r="AC22" i="11"/>
  <c r="AB22" i="11"/>
  <c r="AA22" i="11"/>
  <c r="Z22" i="11"/>
  <c r="S22" i="11"/>
  <c r="AE21" i="11"/>
  <c r="G8" i="12" s="1"/>
  <c r="AD21" i="11"/>
  <c r="AC21" i="11"/>
  <c r="AB21" i="11"/>
  <c r="AA21" i="11"/>
  <c r="Z21" i="11"/>
  <c r="S21" i="11"/>
  <c r="X21" i="11" s="1"/>
  <c r="H8" i="12" s="1"/>
  <c r="R21" i="11"/>
  <c r="Q21" i="11"/>
  <c r="AE20" i="11"/>
  <c r="AD20" i="11"/>
  <c r="AC20" i="11"/>
  <c r="AB20" i="11"/>
  <c r="AA20" i="11"/>
  <c r="Z20" i="11"/>
  <c r="S20" i="11"/>
  <c r="AE19" i="11"/>
  <c r="G7" i="12" s="1"/>
  <c r="AD19" i="11"/>
  <c r="AC19" i="11"/>
  <c r="AB19" i="11"/>
  <c r="AA19" i="11"/>
  <c r="Z19" i="11"/>
  <c r="S19" i="11"/>
  <c r="X19" i="11" s="1"/>
  <c r="H7" i="12" s="1"/>
  <c r="R19" i="11"/>
  <c r="Q19" i="11"/>
  <c r="AE18" i="11"/>
  <c r="AD18" i="11"/>
  <c r="AC18" i="11"/>
  <c r="AB18" i="11"/>
  <c r="AA18" i="11"/>
  <c r="Z18" i="11"/>
  <c r="S18" i="11"/>
  <c r="R18" i="11"/>
  <c r="Q18" i="11"/>
  <c r="E18" i="11"/>
  <c r="AE17" i="11"/>
  <c r="AD17" i="11"/>
  <c r="AC17" i="11"/>
  <c r="AB17" i="11"/>
  <c r="AA17" i="11"/>
  <c r="Z17" i="11"/>
  <c r="S17" i="11"/>
  <c r="AE16" i="11"/>
  <c r="AD16" i="11"/>
  <c r="AC16" i="11"/>
  <c r="AB16" i="11"/>
  <c r="AA16" i="11"/>
  <c r="Z16" i="11"/>
  <c r="S16" i="11"/>
  <c r="AE15" i="11"/>
  <c r="AD15" i="11"/>
  <c r="AC15" i="11"/>
  <c r="AB15" i="11"/>
  <c r="AA15" i="11"/>
  <c r="Z15" i="11"/>
  <c r="S15" i="11"/>
  <c r="AE14" i="11"/>
  <c r="AD14" i="11"/>
  <c r="AC14" i="11"/>
  <c r="AB14" i="11"/>
  <c r="AA14" i="11"/>
  <c r="Z14" i="11"/>
  <c r="S14" i="11"/>
  <c r="AE13" i="11"/>
  <c r="G6" i="12" s="1"/>
  <c r="AD13" i="11"/>
  <c r="AC13" i="11"/>
  <c r="AB13" i="11"/>
  <c r="AA13" i="11"/>
  <c r="Z13" i="11"/>
  <c r="S13" i="11"/>
  <c r="X13" i="11" s="1"/>
  <c r="H6" i="12" s="1"/>
  <c r="R13" i="11"/>
  <c r="Q13" i="11"/>
  <c r="AE12" i="11"/>
  <c r="AD12" i="11"/>
  <c r="AC12" i="11"/>
  <c r="AB12" i="11"/>
  <c r="AA12" i="11"/>
  <c r="Z12" i="11"/>
  <c r="S12" i="11"/>
  <c r="AE11" i="11"/>
  <c r="G5" i="12" s="1"/>
  <c r="AD11" i="11"/>
  <c r="AC11" i="11"/>
  <c r="AB11" i="11"/>
  <c r="AA11" i="11"/>
  <c r="Z11" i="11"/>
  <c r="X11" i="11"/>
  <c r="S11" i="11"/>
  <c r="E5" i="12" s="1"/>
  <c r="R11" i="11"/>
  <c r="Q11" i="11"/>
  <c r="AE10" i="11"/>
  <c r="AD10" i="11"/>
  <c r="AC10" i="11"/>
  <c r="AB10" i="11"/>
  <c r="AA10" i="11"/>
  <c r="Z10" i="11"/>
  <c r="S10" i="11"/>
  <c r="AE9" i="11"/>
  <c r="AD9" i="11"/>
  <c r="AC9" i="11"/>
  <c r="AB9" i="11"/>
  <c r="AA9" i="11"/>
  <c r="Z9" i="11"/>
  <c r="S9" i="11"/>
  <c r="AE8" i="11"/>
  <c r="G4" i="12" s="1"/>
  <c r="AD8" i="11"/>
  <c r="AC8" i="11"/>
  <c r="AB8" i="11"/>
  <c r="AA8" i="11"/>
  <c r="Z8" i="11"/>
  <c r="X8" i="11"/>
  <c r="S8" i="11"/>
  <c r="E4" i="12" s="1"/>
  <c r="R8" i="11"/>
  <c r="Q8" i="11"/>
  <c r="AE7" i="11"/>
  <c r="AD7" i="11"/>
  <c r="AC7" i="11"/>
  <c r="AB7" i="11"/>
  <c r="AA7" i="11"/>
  <c r="Z7" i="11"/>
  <c r="S7" i="11"/>
  <c r="AE6" i="11"/>
  <c r="AD6" i="11"/>
  <c r="AC6" i="11"/>
  <c r="AB6" i="11"/>
  <c r="AA6" i="11"/>
  <c r="Z6" i="11"/>
  <c r="S6" i="11"/>
  <c r="AE5" i="11"/>
  <c r="G3" i="12" s="1"/>
  <c r="AD5" i="11"/>
  <c r="AC5" i="11"/>
  <c r="AB5" i="11"/>
  <c r="AA5" i="11"/>
  <c r="Z5" i="11"/>
  <c r="S5" i="11"/>
  <c r="E3" i="12" s="1"/>
  <c r="R5" i="11"/>
  <c r="Q5" i="11"/>
  <c r="AE4" i="11"/>
  <c r="AD4" i="11"/>
  <c r="AC4" i="11"/>
  <c r="AB4" i="11"/>
  <c r="AA4" i="11"/>
  <c r="Z4" i="11"/>
  <c r="S4" i="11"/>
  <c r="AE3" i="11"/>
  <c r="G2" i="12" s="1"/>
  <c r="AD3" i="11"/>
  <c r="AC3" i="11"/>
  <c r="AB3" i="11"/>
  <c r="AA3" i="11"/>
  <c r="E2" i="12" s="1"/>
  <c r="Z3" i="11"/>
  <c r="X3" i="11"/>
  <c r="S3" i="11"/>
  <c r="L5" i="35" l="1"/>
  <c r="C12" i="35"/>
  <c r="B15" i="35" s="1"/>
  <c r="E7" i="12"/>
  <c r="E8" i="12"/>
  <c r="E28" i="12"/>
  <c r="E9" i="12"/>
  <c r="E6" i="12"/>
  <c r="E10" i="12"/>
  <c r="I5" i="12"/>
  <c r="L5" i="12" s="1"/>
  <c r="I15" i="12"/>
  <c r="L15" i="12" s="1"/>
  <c r="I20" i="12"/>
  <c r="L20" i="12" s="1"/>
  <c r="I24" i="12"/>
  <c r="L24" i="12" s="1"/>
  <c r="I25" i="12"/>
  <c r="L25" i="12" s="1"/>
  <c r="I29" i="12"/>
  <c r="L29" i="12" s="1"/>
  <c r="I30" i="12"/>
  <c r="L30" i="12" s="1"/>
  <c r="I34" i="12"/>
  <c r="L34" i="12" s="1"/>
  <c r="I35" i="12"/>
  <c r="L35" i="12" s="1"/>
  <c r="I39" i="12"/>
  <c r="L39" i="12" s="1"/>
  <c r="I4" i="12"/>
  <c r="L4" i="12" s="1"/>
  <c r="I14" i="12"/>
  <c r="L14" i="12" s="1"/>
  <c r="I19" i="12"/>
  <c r="L19" i="12" s="1"/>
  <c r="I23" i="12"/>
  <c r="L23" i="12" s="1"/>
  <c r="I33" i="12"/>
  <c r="L33" i="12" s="1"/>
  <c r="I38" i="12"/>
  <c r="L38" i="12" s="1"/>
  <c r="I2" i="12"/>
  <c r="L2" i="12" s="1"/>
  <c r="I3" i="12"/>
  <c r="L3" i="12" s="1"/>
  <c r="I13" i="12"/>
  <c r="L13" i="12" s="1"/>
  <c r="I18" i="12"/>
  <c r="L18" i="12" s="1"/>
  <c r="I22" i="12"/>
  <c r="L22" i="12" s="1"/>
  <c r="I27" i="12"/>
  <c r="L27" i="12" s="1"/>
  <c r="I32" i="12"/>
  <c r="L32" i="12" s="1"/>
  <c r="I37" i="12"/>
  <c r="L37" i="12" s="1"/>
  <c r="I11" i="12"/>
  <c r="L11" i="12" s="1"/>
  <c r="I12" i="12"/>
  <c r="L12" i="12" s="1"/>
  <c r="I16" i="12"/>
  <c r="L16" i="12" s="1"/>
  <c r="I17" i="12"/>
  <c r="L17" i="12" s="1"/>
  <c r="I21" i="12"/>
  <c r="L21" i="12" s="1"/>
  <c r="I26" i="12"/>
  <c r="L26" i="12" s="1"/>
  <c r="I31" i="12"/>
  <c r="L31" i="12" s="1"/>
  <c r="I36" i="12"/>
  <c r="L36" i="12" s="1"/>
  <c r="M11" i="12" l="1"/>
  <c r="M34" i="12"/>
  <c r="M16" i="12"/>
  <c r="I28" i="12"/>
  <c r="L28" i="12" s="1"/>
  <c r="M24" i="12" s="1"/>
  <c r="I10" i="12"/>
  <c r="L10" i="12" s="1"/>
  <c r="I8" i="12"/>
  <c r="L8" i="12" s="1"/>
  <c r="I9" i="12"/>
  <c r="L9" i="12" s="1"/>
  <c r="I7" i="12"/>
  <c r="L7" i="12" s="1"/>
  <c r="M2" i="12"/>
  <c r="M29" i="12"/>
  <c r="I6" i="12"/>
  <c r="L6" i="12" s="1"/>
  <c r="K11" i="13" l="1"/>
  <c r="K9" i="13"/>
  <c r="K8" i="13"/>
  <c r="K10" i="13"/>
  <c r="K5" i="13"/>
  <c r="K12" i="24"/>
  <c r="K7" i="13"/>
  <c r="M5" i="12"/>
  <c r="H39" i="10"/>
  <c r="F39" i="10"/>
  <c r="E39" i="10"/>
  <c r="D39" i="10"/>
  <c r="H38" i="10"/>
  <c r="F38" i="10"/>
  <c r="E38" i="10"/>
  <c r="D38" i="10"/>
  <c r="H37" i="10"/>
  <c r="F37" i="10"/>
  <c r="E37" i="10"/>
  <c r="D37" i="10"/>
  <c r="H36" i="10"/>
  <c r="F36" i="10"/>
  <c r="E36" i="10"/>
  <c r="D36" i="10"/>
  <c r="H35" i="10"/>
  <c r="F35" i="10"/>
  <c r="E35" i="10"/>
  <c r="D35" i="10"/>
  <c r="H34" i="10"/>
  <c r="F34" i="10"/>
  <c r="E34" i="10"/>
  <c r="D34" i="10"/>
  <c r="H33" i="10"/>
  <c r="F33" i="10"/>
  <c r="E33" i="10"/>
  <c r="D33" i="10"/>
  <c r="H32" i="10"/>
  <c r="F32" i="10"/>
  <c r="E32" i="10"/>
  <c r="D32" i="10"/>
  <c r="H31" i="10"/>
  <c r="F31" i="10"/>
  <c r="E31" i="10"/>
  <c r="D31" i="10"/>
  <c r="H30" i="10"/>
  <c r="F30" i="10"/>
  <c r="E30" i="10"/>
  <c r="D30" i="10"/>
  <c r="H29" i="10"/>
  <c r="F29" i="10"/>
  <c r="E29" i="10"/>
  <c r="D29" i="10"/>
  <c r="H28" i="10"/>
  <c r="F28" i="10"/>
  <c r="E28" i="10"/>
  <c r="D28" i="10"/>
  <c r="H27" i="10"/>
  <c r="F27" i="10"/>
  <c r="E27" i="10"/>
  <c r="D27" i="10"/>
  <c r="H26" i="10"/>
  <c r="F26" i="10"/>
  <c r="E26" i="10"/>
  <c r="D26" i="10"/>
  <c r="H25" i="10"/>
  <c r="F25" i="10"/>
  <c r="E25" i="10"/>
  <c r="D25" i="10"/>
  <c r="H24" i="10"/>
  <c r="F24" i="10"/>
  <c r="E24" i="10"/>
  <c r="D24" i="10"/>
  <c r="H23" i="10"/>
  <c r="F23" i="10"/>
  <c r="E23" i="10"/>
  <c r="D23" i="10"/>
  <c r="H22" i="10"/>
  <c r="F22" i="10"/>
  <c r="E22" i="10"/>
  <c r="D22" i="10"/>
  <c r="H21" i="10"/>
  <c r="F21" i="10"/>
  <c r="E21" i="10"/>
  <c r="D21" i="10"/>
  <c r="H20" i="10"/>
  <c r="F20" i="10"/>
  <c r="E20" i="10"/>
  <c r="D20" i="10"/>
  <c r="H19" i="10"/>
  <c r="F19" i="10"/>
  <c r="E19" i="10"/>
  <c r="D19" i="10"/>
  <c r="H18" i="10"/>
  <c r="F18" i="10"/>
  <c r="E18" i="10"/>
  <c r="D18" i="10"/>
  <c r="H17" i="10"/>
  <c r="F17" i="10"/>
  <c r="E17" i="10"/>
  <c r="D17" i="10"/>
  <c r="H16" i="10"/>
  <c r="F16" i="10"/>
  <c r="E16" i="10"/>
  <c r="D16" i="10"/>
  <c r="H15" i="10"/>
  <c r="F15" i="10"/>
  <c r="E15" i="10"/>
  <c r="D15" i="10"/>
  <c r="H14" i="10"/>
  <c r="F14" i="10"/>
  <c r="E14" i="10"/>
  <c r="D14" i="10"/>
  <c r="H13" i="10"/>
  <c r="F13" i="10"/>
  <c r="E13" i="10"/>
  <c r="D13" i="10"/>
  <c r="F12" i="10"/>
  <c r="E12" i="10"/>
  <c r="D12" i="10"/>
  <c r="H11" i="10"/>
  <c r="F11" i="10"/>
  <c r="E11" i="10"/>
  <c r="D11" i="10"/>
  <c r="H10" i="10"/>
  <c r="F10" i="10"/>
  <c r="E10" i="10"/>
  <c r="D10" i="10"/>
  <c r="H9" i="10"/>
  <c r="F9" i="10"/>
  <c r="E9" i="10"/>
  <c r="D9" i="10"/>
  <c r="H8" i="10"/>
  <c r="F8" i="10"/>
  <c r="E8" i="10"/>
  <c r="D8" i="10"/>
  <c r="H7" i="10"/>
  <c r="F7" i="10"/>
  <c r="E7" i="10"/>
  <c r="D7" i="10"/>
  <c r="H6" i="10"/>
  <c r="F6" i="10"/>
  <c r="E6" i="10"/>
  <c r="D6" i="10"/>
  <c r="H5" i="10"/>
  <c r="F5" i="10"/>
  <c r="E5" i="10"/>
  <c r="D5" i="10"/>
  <c r="H4" i="10"/>
  <c r="F4" i="10"/>
  <c r="E4" i="10"/>
  <c r="D4" i="10"/>
  <c r="H3" i="10"/>
  <c r="F3" i="10"/>
  <c r="E3" i="10"/>
  <c r="D3" i="10"/>
  <c r="H2" i="10"/>
  <c r="F2" i="10"/>
  <c r="D2" i="10"/>
  <c r="AB113" i="9"/>
  <c r="G39" i="10" s="1"/>
  <c r="AA113" i="9"/>
  <c r="Z113" i="9"/>
  <c r="Y113" i="9"/>
  <c r="AB112" i="9"/>
  <c r="G38" i="10" s="1"/>
  <c r="AA112" i="9"/>
  <c r="Z112" i="9"/>
  <c r="Y112" i="9"/>
  <c r="X112" i="9"/>
  <c r="Q112" i="9"/>
  <c r="P112" i="9"/>
  <c r="AB111" i="9"/>
  <c r="AA111" i="9"/>
  <c r="Z111" i="9"/>
  <c r="Y111" i="9"/>
  <c r="AB110" i="9"/>
  <c r="G37" i="10" s="1"/>
  <c r="AA110" i="9"/>
  <c r="Z110" i="9"/>
  <c r="Y110" i="9"/>
  <c r="AB109" i="9"/>
  <c r="AA109" i="9"/>
  <c r="Z109" i="9"/>
  <c r="Y109" i="9"/>
  <c r="AB108" i="9"/>
  <c r="G36" i="10" s="1"/>
  <c r="AA108" i="9"/>
  <c r="Z108" i="9"/>
  <c r="Y108" i="9"/>
  <c r="X108" i="9"/>
  <c r="Q108" i="9"/>
  <c r="P108" i="9"/>
  <c r="AB107" i="9"/>
  <c r="AA107" i="9"/>
  <c r="Z107" i="9"/>
  <c r="Y107" i="9"/>
  <c r="AB106" i="9"/>
  <c r="AA106" i="9"/>
  <c r="Z106" i="9"/>
  <c r="Y106" i="9"/>
  <c r="AB105" i="9"/>
  <c r="G35" i="10" s="1"/>
  <c r="AA105" i="9"/>
  <c r="Z105" i="9"/>
  <c r="Y105" i="9"/>
  <c r="X105" i="9"/>
  <c r="W105" i="9"/>
  <c r="Q105" i="9"/>
  <c r="P105" i="9"/>
  <c r="AB104" i="9"/>
  <c r="AA104" i="9"/>
  <c r="Z104" i="9"/>
  <c r="Y104" i="9"/>
  <c r="AB103" i="9"/>
  <c r="G34" i="10" s="1"/>
  <c r="AA103" i="9"/>
  <c r="Z103" i="9"/>
  <c r="Y103" i="9"/>
  <c r="X103" i="9"/>
  <c r="Q103" i="9"/>
  <c r="P103" i="9"/>
  <c r="S103" i="9" s="1"/>
  <c r="U103" i="9" s="1"/>
  <c r="AB102" i="9"/>
  <c r="AA102" i="9"/>
  <c r="Z102" i="9"/>
  <c r="Y102" i="9"/>
  <c r="AB101" i="9"/>
  <c r="AA101" i="9"/>
  <c r="Z101" i="9"/>
  <c r="Y101" i="9"/>
  <c r="AB100" i="9"/>
  <c r="G33" i="10" s="1"/>
  <c r="I33" i="10" s="1"/>
  <c r="L33" i="10" s="1"/>
  <c r="AA100" i="9"/>
  <c r="Z100" i="9"/>
  <c r="Y100" i="9"/>
  <c r="X100" i="9"/>
  <c r="AB99" i="9"/>
  <c r="AA99" i="9"/>
  <c r="Z99" i="9"/>
  <c r="Y99" i="9"/>
  <c r="AB98" i="9"/>
  <c r="AA98" i="9"/>
  <c r="Z98" i="9"/>
  <c r="Y98" i="9"/>
  <c r="AB97" i="9"/>
  <c r="AA97" i="9"/>
  <c r="Z97" i="9"/>
  <c r="Y97" i="9"/>
  <c r="AB96" i="9"/>
  <c r="AA96" i="9"/>
  <c r="Z96" i="9"/>
  <c r="Y96" i="9"/>
  <c r="AB95" i="9"/>
  <c r="AA95" i="9"/>
  <c r="Z95" i="9"/>
  <c r="Y95" i="9"/>
  <c r="AB94" i="9"/>
  <c r="AA94" i="9"/>
  <c r="Z94" i="9"/>
  <c r="Y94" i="9"/>
  <c r="AB93" i="9"/>
  <c r="G32" i="10" s="1"/>
  <c r="AA93" i="9"/>
  <c r="Z93" i="9"/>
  <c r="Y93" i="9"/>
  <c r="AB92" i="9"/>
  <c r="G31" i="10" s="1"/>
  <c r="AA92" i="9"/>
  <c r="Z92" i="9"/>
  <c r="Y92" i="9"/>
  <c r="AB91" i="9"/>
  <c r="G30" i="10" s="1"/>
  <c r="AA91" i="9"/>
  <c r="Z91" i="9"/>
  <c r="Y91" i="9"/>
  <c r="AB90" i="9"/>
  <c r="G29" i="10" s="1"/>
  <c r="AA90" i="9"/>
  <c r="Z90" i="9"/>
  <c r="Y90" i="9"/>
  <c r="AB89" i="9"/>
  <c r="G28" i="10" s="1"/>
  <c r="AA89" i="9"/>
  <c r="Z89" i="9"/>
  <c r="Y89" i="9"/>
  <c r="X89" i="9"/>
  <c r="Q89" i="9"/>
  <c r="P89" i="9"/>
  <c r="AB88" i="9"/>
  <c r="AA88" i="9"/>
  <c r="Z88" i="9"/>
  <c r="Y88" i="9"/>
  <c r="AB87" i="9"/>
  <c r="AA87" i="9"/>
  <c r="Z87" i="9"/>
  <c r="Y87" i="9"/>
  <c r="AB86" i="9"/>
  <c r="AA86" i="9"/>
  <c r="Z86" i="9"/>
  <c r="Y86" i="9"/>
  <c r="AB85" i="9"/>
  <c r="AA85" i="9"/>
  <c r="Z85" i="9"/>
  <c r="Y85" i="9"/>
  <c r="AB84" i="9"/>
  <c r="AA84" i="9"/>
  <c r="Z84" i="9"/>
  <c r="Y84" i="9"/>
  <c r="AB83" i="9"/>
  <c r="G27" i="10" s="1"/>
  <c r="AA83" i="9"/>
  <c r="Z83" i="9"/>
  <c r="Y83" i="9"/>
  <c r="X83" i="9"/>
  <c r="Q83" i="9"/>
  <c r="P83" i="9"/>
  <c r="AB82" i="9"/>
  <c r="AA82" i="9"/>
  <c r="Z82" i="9"/>
  <c r="Y82" i="9"/>
  <c r="AB81" i="9"/>
  <c r="AA81" i="9"/>
  <c r="Z81" i="9"/>
  <c r="Y81" i="9"/>
  <c r="AB80" i="9"/>
  <c r="G26" i="10" s="1"/>
  <c r="AA80" i="9"/>
  <c r="Z80" i="9"/>
  <c r="Y80" i="9"/>
  <c r="X80" i="9"/>
  <c r="Q80" i="9"/>
  <c r="P80" i="9"/>
  <c r="AB79" i="9"/>
  <c r="AA79" i="9"/>
  <c r="Z79" i="9"/>
  <c r="Y79" i="9"/>
  <c r="AB78" i="9"/>
  <c r="AA78" i="9"/>
  <c r="Z78" i="9"/>
  <c r="Y78" i="9"/>
  <c r="AB77" i="9"/>
  <c r="G25" i="10" s="1"/>
  <c r="AA77" i="9"/>
  <c r="Z77" i="9"/>
  <c r="Y77" i="9"/>
  <c r="X77" i="9"/>
  <c r="V77" i="9"/>
  <c r="U77" i="9"/>
  <c r="T77" i="9"/>
  <c r="S77" i="9"/>
  <c r="R77" i="9"/>
  <c r="AB76" i="9"/>
  <c r="AA76" i="9"/>
  <c r="Z76" i="9"/>
  <c r="Y76" i="9"/>
  <c r="AB75" i="9"/>
  <c r="AA75" i="9"/>
  <c r="Z75" i="9"/>
  <c r="Y75" i="9"/>
  <c r="AB74" i="9"/>
  <c r="AA74" i="9"/>
  <c r="Z74" i="9"/>
  <c r="Y74" i="9"/>
  <c r="AB73" i="9"/>
  <c r="G24" i="10" s="1"/>
  <c r="AA73" i="9"/>
  <c r="Z73" i="9"/>
  <c r="Y73" i="9"/>
  <c r="S73" i="9"/>
  <c r="T73" i="9" s="1"/>
  <c r="U73" i="9" s="1"/>
  <c r="V73" i="9" s="1"/>
  <c r="W73" i="9" s="1"/>
  <c r="R73" i="9"/>
  <c r="AB72" i="9"/>
  <c r="G23" i="10" s="1"/>
  <c r="I23" i="10" s="1"/>
  <c r="L23" i="10" s="1"/>
  <c r="AA72" i="9"/>
  <c r="Z72" i="9"/>
  <c r="Y72" i="9"/>
  <c r="V72" i="9"/>
  <c r="U72" i="9" s="1"/>
  <c r="T72" i="9"/>
  <c r="S72" i="9" s="1"/>
  <c r="R72" i="9"/>
  <c r="AB71" i="9"/>
  <c r="AA71" i="9"/>
  <c r="Z71" i="9"/>
  <c r="Y71" i="9"/>
  <c r="AB70" i="9"/>
  <c r="AA70" i="9"/>
  <c r="Z70" i="9"/>
  <c r="Y70" i="9"/>
  <c r="AB69" i="9"/>
  <c r="AA69" i="9"/>
  <c r="Z69" i="9"/>
  <c r="Y69" i="9"/>
  <c r="AB68" i="9"/>
  <c r="G22" i="10" s="1"/>
  <c r="AA68" i="9"/>
  <c r="Z68" i="9"/>
  <c r="Y68" i="9"/>
  <c r="X68" i="9"/>
  <c r="Q68" i="9"/>
  <c r="P68" i="9"/>
  <c r="AB67" i="9"/>
  <c r="AA67" i="9"/>
  <c r="Z67" i="9"/>
  <c r="Y67" i="9"/>
  <c r="AB66" i="9"/>
  <c r="AA66" i="9"/>
  <c r="Z66" i="9"/>
  <c r="Y66" i="9"/>
  <c r="AB65" i="9"/>
  <c r="G21" i="10" s="1"/>
  <c r="AA65" i="9"/>
  <c r="Z65" i="9"/>
  <c r="Y65" i="9"/>
  <c r="X65" i="9"/>
  <c r="Q65" i="9"/>
  <c r="P65" i="9"/>
  <c r="AB64" i="9"/>
  <c r="AA64" i="9"/>
  <c r="Z64" i="9"/>
  <c r="Y64" i="9"/>
  <c r="AB63" i="9"/>
  <c r="AA63" i="9"/>
  <c r="Z63" i="9"/>
  <c r="Y63" i="9"/>
  <c r="AB62" i="9"/>
  <c r="G20" i="10" s="1"/>
  <c r="AA62" i="9"/>
  <c r="Z62" i="9"/>
  <c r="Y62" i="9"/>
  <c r="X62" i="9"/>
  <c r="Q62" i="9"/>
  <c r="P62" i="9"/>
  <c r="AB61" i="9"/>
  <c r="AA61" i="9"/>
  <c r="Z61" i="9"/>
  <c r="Y61" i="9"/>
  <c r="AB60" i="9"/>
  <c r="G19" i="10" s="1"/>
  <c r="I19" i="10" s="1"/>
  <c r="L19" i="10" s="1"/>
  <c r="AA60" i="9"/>
  <c r="Z60" i="9"/>
  <c r="Y60" i="9"/>
  <c r="X60" i="9"/>
  <c r="Q60" i="9"/>
  <c r="P60" i="9"/>
  <c r="AB59" i="9"/>
  <c r="AA59" i="9"/>
  <c r="Z59" i="9"/>
  <c r="Y59" i="9"/>
  <c r="AB58" i="9"/>
  <c r="AA58" i="9"/>
  <c r="Z58" i="9"/>
  <c r="Y58" i="9"/>
  <c r="AB57" i="9"/>
  <c r="G18" i="10" s="1"/>
  <c r="AA57" i="9"/>
  <c r="Z57" i="9"/>
  <c r="Y57" i="9"/>
  <c r="X57" i="9"/>
  <c r="Q57" i="9"/>
  <c r="P57" i="9"/>
  <c r="AB56" i="9"/>
  <c r="AA56" i="9"/>
  <c r="Z56" i="9"/>
  <c r="Y56" i="9"/>
  <c r="AB55" i="9"/>
  <c r="AA55" i="9"/>
  <c r="Z55" i="9"/>
  <c r="Y55" i="9"/>
  <c r="AB54" i="9"/>
  <c r="G17" i="10" s="1"/>
  <c r="AA54" i="9"/>
  <c r="Z54" i="9"/>
  <c r="Y54" i="9"/>
  <c r="AB53" i="9"/>
  <c r="G16" i="10" s="1"/>
  <c r="AA53" i="9"/>
  <c r="Z53" i="9"/>
  <c r="Y53" i="9"/>
  <c r="X53" i="9"/>
  <c r="Q53" i="9"/>
  <c r="P53" i="9"/>
  <c r="AB52" i="9"/>
  <c r="AA52" i="9"/>
  <c r="Z52" i="9"/>
  <c r="Y52" i="9"/>
  <c r="AB51" i="9"/>
  <c r="AA51" i="9"/>
  <c r="Z51" i="9"/>
  <c r="Y51" i="9"/>
  <c r="AB50" i="9"/>
  <c r="AA50" i="9"/>
  <c r="Z50" i="9"/>
  <c r="Y50" i="9"/>
  <c r="AB49" i="9"/>
  <c r="G15" i="10" s="1"/>
  <c r="AA49" i="9"/>
  <c r="Z49" i="9"/>
  <c r="Y49" i="9"/>
  <c r="X49" i="9"/>
  <c r="T49" i="9"/>
  <c r="U49" i="9" s="1"/>
  <c r="V49" i="9" s="1"/>
  <c r="S49" i="9"/>
  <c r="Q49" i="9"/>
  <c r="P49" i="9"/>
  <c r="AB48" i="9"/>
  <c r="AA48" i="9"/>
  <c r="Z48" i="9"/>
  <c r="Y48" i="9"/>
  <c r="AB47" i="9"/>
  <c r="AA47" i="9"/>
  <c r="Z47" i="9"/>
  <c r="Y47" i="9"/>
  <c r="AB46" i="9"/>
  <c r="AA46" i="9"/>
  <c r="Z46" i="9"/>
  <c r="Y46" i="9"/>
  <c r="AB45" i="9"/>
  <c r="AA45" i="9"/>
  <c r="Z45" i="9"/>
  <c r="Y45" i="9"/>
  <c r="AB44" i="9"/>
  <c r="G14" i="10" s="1"/>
  <c r="AA44" i="9"/>
  <c r="Z44" i="9"/>
  <c r="Y44" i="9"/>
  <c r="AB43" i="9"/>
  <c r="G13" i="10" s="1"/>
  <c r="AA43" i="9"/>
  <c r="Z43" i="9"/>
  <c r="Y43" i="9"/>
  <c r="AB42" i="9"/>
  <c r="G12" i="10" s="1"/>
  <c r="AA42" i="9"/>
  <c r="Z42" i="9"/>
  <c r="Y42" i="9"/>
  <c r="T42" i="9"/>
  <c r="AB41" i="9"/>
  <c r="AA41" i="9"/>
  <c r="Z41" i="9"/>
  <c r="Y41" i="9"/>
  <c r="W41" i="9"/>
  <c r="W42" i="9" s="1"/>
  <c r="V41" i="9"/>
  <c r="V42" i="9" s="1"/>
  <c r="U41" i="9"/>
  <c r="U42" i="9" s="1"/>
  <c r="H12" i="10" s="1"/>
  <c r="T41" i="9"/>
  <c r="AB40" i="9"/>
  <c r="AA40" i="9"/>
  <c r="Z40" i="9"/>
  <c r="Y40" i="9"/>
  <c r="AB39" i="9"/>
  <c r="G11" i="10" s="1"/>
  <c r="AA39" i="9"/>
  <c r="Z39" i="9"/>
  <c r="Y39" i="9"/>
  <c r="X39" i="9"/>
  <c r="Q39" i="9"/>
  <c r="P39" i="9"/>
  <c r="AB38" i="9"/>
  <c r="AA38" i="9"/>
  <c r="Z38" i="9"/>
  <c r="Y38" i="9"/>
  <c r="AB37" i="9"/>
  <c r="AA37" i="9"/>
  <c r="Z37" i="9"/>
  <c r="Y37" i="9"/>
  <c r="AB36" i="9"/>
  <c r="G10" i="10" s="1"/>
  <c r="AA36" i="9"/>
  <c r="Z36" i="9"/>
  <c r="Y36" i="9"/>
  <c r="X36" i="9"/>
  <c r="Q36" i="9"/>
  <c r="P36" i="9"/>
  <c r="AB35" i="9"/>
  <c r="AA35" i="9"/>
  <c r="Z35" i="9"/>
  <c r="Y35" i="9"/>
  <c r="X35" i="9"/>
  <c r="Q35" i="9"/>
  <c r="P35" i="9"/>
  <c r="AB34" i="9"/>
  <c r="AA34" i="9"/>
  <c r="Z34" i="9"/>
  <c r="Y34" i="9"/>
  <c r="AB33" i="9"/>
  <c r="AA33" i="9"/>
  <c r="Z33" i="9"/>
  <c r="Y33" i="9"/>
  <c r="AB32" i="9"/>
  <c r="AA32" i="9"/>
  <c r="Z32" i="9"/>
  <c r="Y32" i="9"/>
  <c r="AB31" i="9"/>
  <c r="AA31" i="9"/>
  <c r="Z31" i="9"/>
  <c r="Y31" i="9"/>
  <c r="AB30" i="9"/>
  <c r="AA30" i="9"/>
  <c r="Z30" i="9"/>
  <c r="Y30" i="9"/>
  <c r="AB29" i="9"/>
  <c r="AA29" i="9"/>
  <c r="Z29" i="9"/>
  <c r="Y29" i="9"/>
  <c r="AB28" i="9"/>
  <c r="AA28" i="9"/>
  <c r="Z28" i="9"/>
  <c r="Y28" i="9"/>
  <c r="AB27" i="9"/>
  <c r="AA27" i="9"/>
  <c r="Z27" i="9"/>
  <c r="Y27" i="9"/>
  <c r="AB26" i="9"/>
  <c r="AA26" i="9"/>
  <c r="Z26" i="9"/>
  <c r="Y26" i="9"/>
  <c r="AB25" i="9"/>
  <c r="AA25" i="9"/>
  <c r="Z25" i="9"/>
  <c r="Y25" i="9"/>
  <c r="AB24" i="9"/>
  <c r="AA24" i="9"/>
  <c r="Z24" i="9"/>
  <c r="Y24" i="9"/>
  <c r="AB23" i="9"/>
  <c r="G9" i="10" s="1"/>
  <c r="I9" i="10" s="1"/>
  <c r="L9" i="10" s="1"/>
  <c r="AA23" i="9"/>
  <c r="Z23" i="9"/>
  <c r="Y23" i="9"/>
  <c r="X23" i="9"/>
  <c r="Q23" i="9"/>
  <c r="P23" i="9"/>
  <c r="AB22" i="9"/>
  <c r="AA22" i="9"/>
  <c r="Z22" i="9"/>
  <c r="Y22" i="9"/>
  <c r="AB21" i="9"/>
  <c r="G8" i="10" s="1"/>
  <c r="AA21" i="9"/>
  <c r="Z21" i="9"/>
  <c r="Y21" i="9"/>
  <c r="X21" i="9"/>
  <c r="Q21" i="9"/>
  <c r="P21" i="9"/>
  <c r="AB20" i="9"/>
  <c r="AA20" i="9"/>
  <c r="Z20" i="9"/>
  <c r="Y20" i="9"/>
  <c r="AB19" i="9"/>
  <c r="G7" i="10" s="1"/>
  <c r="AA19" i="9"/>
  <c r="Z19" i="9"/>
  <c r="Y19" i="9"/>
  <c r="X19" i="9"/>
  <c r="Q19" i="9"/>
  <c r="P19" i="9"/>
  <c r="AB18" i="9"/>
  <c r="AA18" i="9"/>
  <c r="Z18" i="9"/>
  <c r="Y18" i="9"/>
  <c r="X18" i="9"/>
  <c r="Q18" i="9"/>
  <c r="P18" i="9"/>
  <c r="E18" i="9"/>
  <c r="AB17" i="9"/>
  <c r="AA17" i="9"/>
  <c r="Z17" i="9"/>
  <c r="Y17" i="9"/>
  <c r="AB16" i="9"/>
  <c r="AA16" i="9"/>
  <c r="Z16" i="9"/>
  <c r="Y16" i="9"/>
  <c r="AB15" i="9"/>
  <c r="AA15" i="9"/>
  <c r="Z15" i="9"/>
  <c r="Y15" i="9"/>
  <c r="AB14" i="9"/>
  <c r="AA14" i="9"/>
  <c r="Z14" i="9"/>
  <c r="Y14" i="9"/>
  <c r="AB13" i="9"/>
  <c r="G6" i="10" s="1"/>
  <c r="I6" i="10" s="1"/>
  <c r="L6" i="10" s="1"/>
  <c r="AA13" i="9"/>
  <c r="Z13" i="9"/>
  <c r="Y13" i="9"/>
  <c r="X13" i="9"/>
  <c r="Q13" i="9"/>
  <c r="P13" i="9"/>
  <c r="AB12" i="9"/>
  <c r="AA12" i="9"/>
  <c r="Z12" i="9"/>
  <c r="Y12" i="9"/>
  <c r="AB11" i="9"/>
  <c r="G5" i="10" s="1"/>
  <c r="I5" i="10" s="1"/>
  <c r="L5" i="10" s="1"/>
  <c r="AA11" i="9"/>
  <c r="Z11" i="9"/>
  <c r="Y11" i="9"/>
  <c r="X11" i="9"/>
  <c r="Q11" i="9"/>
  <c r="P11" i="9"/>
  <c r="AB10" i="9"/>
  <c r="AA10" i="9"/>
  <c r="Z10" i="9"/>
  <c r="Y10" i="9"/>
  <c r="AB9" i="9"/>
  <c r="AA9" i="9"/>
  <c r="Z9" i="9"/>
  <c r="Y9" i="9"/>
  <c r="AB8" i="9"/>
  <c r="G4" i="10" s="1"/>
  <c r="AA8" i="9"/>
  <c r="Z8" i="9"/>
  <c r="Y8" i="9"/>
  <c r="X8" i="9"/>
  <c r="Q8" i="9"/>
  <c r="P8" i="9"/>
  <c r="AB7" i="9"/>
  <c r="AA7" i="9"/>
  <c r="Z7" i="9"/>
  <c r="Y7" i="9"/>
  <c r="AB6" i="9"/>
  <c r="AA6" i="9"/>
  <c r="Z6" i="9"/>
  <c r="Y6" i="9"/>
  <c r="AB5" i="9"/>
  <c r="G3" i="10" s="1"/>
  <c r="AA5" i="9"/>
  <c r="Z5" i="9"/>
  <c r="Y5" i="9"/>
  <c r="X5" i="9"/>
  <c r="Q5" i="9"/>
  <c r="P5" i="9"/>
  <c r="AB4" i="9"/>
  <c r="AA4" i="9"/>
  <c r="Z4" i="9"/>
  <c r="Y4" i="9"/>
  <c r="AB3" i="9"/>
  <c r="G2" i="10" s="1"/>
  <c r="AA3" i="9"/>
  <c r="Z3" i="9"/>
  <c r="Y3" i="9"/>
  <c r="E2" i="10" s="1"/>
  <c r="K6" i="13" l="1"/>
  <c r="K12" i="13" s="1"/>
  <c r="I10" i="10"/>
  <c r="L10" i="10" s="1"/>
  <c r="I15" i="10"/>
  <c r="L15" i="10" s="1"/>
  <c r="I20" i="10"/>
  <c r="L20" i="10" s="1"/>
  <c r="I24" i="10"/>
  <c r="L24" i="10" s="1"/>
  <c r="I25" i="10"/>
  <c r="L25" i="10" s="1"/>
  <c r="I29" i="10"/>
  <c r="L29" i="10" s="1"/>
  <c r="I30" i="10"/>
  <c r="L30" i="10" s="1"/>
  <c r="I34" i="10"/>
  <c r="L34" i="10" s="1"/>
  <c r="I35" i="10"/>
  <c r="L35" i="10" s="1"/>
  <c r="I39" i="10"/>
  <c r="L39" i="10" s="1"/>
  <c r="I28" i="10"/>
  <c r="L28" i="10" s="1"/>
  <c r="I38" i="10"/>
  <c r="L38" i="10" s="1"/>
  <c r="I2" i="10"/>
  <c r="L2" i="10" s="1"/>
  <c r="I3" i="10"/>
  <c r="L3" i="10" s="1"/>
  <c r="I8" i="10"/>
  <c r="L8" i="10" s="1"/>
  <c r="I13" i="10"/>
  <c r="L13" i="10" s="1"/>
  <c r="I18" i="10"/>
  <c r="L18" i="10" s="1"/>
  <c r="I22" i="10"/>
  <c r="L22" i="10" s="1"/>
  <c r="I27" i="10"/>
  <c r="L27" i="10" s="1"/>
  <c r="I32" i="10"/>
  <c r="L32" i="10" s="1"/>
  <c r="I37" i="10"/>
  <c r="L37" i="10" s="1"/>
  <c r="I4" i="10"/>
  <c r="L4" i="10" s="1"/>
  <c r="I14" i="10"/>
  <c r="L14" i="10" s="1"/>
  <c r="I7" i="10"/>
  <c r="L7" i="10" s="1"/>
  <c r="I11" i="10"/>
  <c r="L11" i="10" s="1"/>
  <c r="I12" i="10"/>
  <c r="L12" i="10" s="1"/>
  <c r="I16" i="10"/>
  <c r="L16" i="10" s="1"/>
  <c r="I17" i="10"/>
  <c r="L17" i="10" s="1"/>
  <c r="I21" i="10"/>
  <c r="L21" i="10" s="1"/>
  <c r="I26" i="10"/>
  <c r="L26" i="10" s="1"/>
  <c r="I31" i="10"/>
  <c r="L31" i="10" s="1"/>
  <c r="I36" i="10"/>
  <c r="L36" i="10" s="1"/>
  <c r="M5" i="10" l="1"/>
  <c r="M29" i="10"/>
  <c r="M11" i="10"/>
  <c r="M2" i="10"/>
  <c r="M34" i="10"/>
  <c r="M24" i="10"/>
  <c r="M16" i="10"/>
  <c r="H31" i="8"/>
  <c r="F31" i="8"/>
  <c r="E31" i="8"/>
  <c r="D31" i="8"/>
  <c r="H30" i="8"/>
  <c r="F30" i="8"/>
  <c r="E30" i="8"/>
  <c r="D30" i="8"/>
  <c r="H29" i="8"/>
  <c r="F29" i="8"/>
  <c r="E29" i="8"/>
  <c r="D29" i="8"/>
  <c r="H28" i="8"/>
  <c r="F28" i="8"/>
  <c r="E28" i="8"/>
  <c r="D28" i="8"/>
  <c r="H27" i="8"/>
  <c r="F27" i="8"/>
  <c r="E27" i="8"/>
  <c r="D27" i="8"/>
  <c r="H26" i="8"/>
  <c r="F26" i="8"/>
  <c r="E26" i="8"/>
  <c r="D26" i="8"/>
  <c r="H25" i="8"/>
  <c r="F25" i="8"/>
  <c r="E25" i="8"/>
  <c r="D25" i="8"/>
  <c r="H24" i="8"/>
  <c r="F24" i="8"/>
  <c r="E24" i="8"/>
  <c r="D24" i="8"/>
  <c r="H23" i="8"/>
  <c r="F23" i="8"/>
  <c r="E23" i="8"/>
  <c r="D23" i="8"/>
  <c r="H22" i="8"/>
  <c r="F22" i="8"/>
  <c r="E22" i="8"/>
  <c r="D22" i="8"/>
  <c r="H21" i="8"/>
  <c r="F21" i="8"/>
  <c r="E21" i="8"/>
  <c r="D21" i="8"/>
  <c r="H20" i="8"/>
  <c r="F20" i="8"/>
  <c r="E20" i="8"/>
  <c r="D20" i="8"/>
  <c r="H19" i="8"/>
  <c r="F19" i="8"/>
  <c r="E19" i="8"/>
  <c r="D19" i="8"/>
  <c r="H18" i="8"/>
  <c r="F18" i="8"/>
  <c r="E18" i="8"/>
  <c r="D18" i="8"/>
  <c r="H17" i="8"/>
  <c r="F17" i="8"/>
  <c r="E17" i="8"/>
  <c r="D17" i="8"/>
  <c r="H16" i="8"/>
  <c r="F16" i="8"/>
  <c r="E16" i="8"/>
  <c r="D16" i="8"/>
  <c r="H15" i="8"/>
  <c r="F15" i="8"/>
  <c r="E15" i="8"/>
  <c r="D15" i="8"/>
  <c r="H14" i="8"/>
  <c r="F14" i="8"/>
  <c r="E14" i="8"/>
  <c r="D14" i="8"/>
  <c r="H13" i="8"/>
  <c r="F13" i="8"/>
  <c r="E13" i="8"/>
  <c r="D13" i="8"/>
  <c r="H12" i="8"/>
  <c r="F12" i="8"/>
  <c r="E12" i="8"/>
  <c r="D12" i="8"/>
  <c r="H11" i="8"/>
  <c r="F11" i="8"/>
  <c r="E11" i="8"/>
  <c r="D11" i="8"/>
  <c r="H10" i="8"/>
  <c r="F10" i="8"/>
  <c r="E10" i="8"/>
  <c r="D10" i="8"/>
  <c r="H9" i="8"/>
  <c r="F9" i="8"/>
  <c r="E9" i="8"/>
  <c r="D9" i="8"/>
  <c r="H8" i="8"/>
  <c r="F8" i="8"/>
  <c r="E8" i="8"/>
  <c r="D8" i="8"/>
  <c r="H7" i="8"/>
  <c r="F7" i="8"/>
  <c r="E7" i="8"/>
  <c r="D7" i="8"/>
  <c r="H6" i="8"/>
  <c r="F6" i="8"/>
  <c r="E6" i="8"/>
  <c r="D6" i="8"/>
  <c r="H5" i="8"/>
  <c r="F5" i="8"/>
  <c r="E5" i="8"/>
  <c r="D5" i="8"/>
  <c r="H4" i="8"/>
  <c r="F4" i="8"/>
  <c r="E4" i="8"/>
  <c r="D4" i="8"/>
  <c r="H3" i="8"/>
  <c r="F3" i="8"/>
  <c r="E3" i="8"/>
  <c r="D3" i="8"/>
  <c r="H2" i="8"/>
  <c r="F2" i="8"/>
  <c r="D2" i="8"/>
  <c r="AA113" i="7"/>
  <c r="Z113" i="7"/>
  <c r="Y113" i="7"/>
  <c r="AA112" i="7"/>
  <c r="Z112" i="7"/>
  <c r="Y112" i="7"/>
  <c r="X112" i="7"/>
  <c r="Q112" i="7"/>
  <c r="P112" i="7"/>
  <c r="AA111" i="7"/>
  <c r="Z111" i="7"/>
  <c r="Y111" i="7"/>
  <c r="AA110" i="7"/>
  <c r="Z110" i="7"/>
  <c r="Y110" i="7"/>
  <c r="AA109" i="7"/>
  <c r="Z109" i="7"/>
  <c r="Y109" i="7"/>
  <c r="AA108" i="7"/>
  <c r="Z108" i="7"/>
  <c r="Y108" i="7"/>
  <c r="X108" i="7"/>
  <c r="Q108" i="7"/>
  <c r="P108" i="7"/>
  <c r="AA107" i="7"/>
  <c r="Z107" i="7"/>
  <c r="Y107" i="7"/>
  <c r="AA106" i="7"/>
  <c r="Z106" i="7"/>
  <c r="Y106" i="7"/>
  <c r="AA105" i="7"/>
  <c r="Z105" i="7"/>
  <c r="Y105" i="7"/>
  <c r="X105" i="7"/>
  <c r="W105" i="7"/>
  <c r="Q105" i="7"/>
  <c r="P105" i="7"/>
  <c r="AA104" i="7"/>
  <c r="Z104" i="7"/>
  <c r="Y104" i="7"/>
  <c r="AA103" i="7"/>
  <c r="Z103" i="7"/>
  <c r="Y103" i="7"/>
  <c r="X103" i="7"/>
  <c r="Q103" i="7"/>
  <c r="P103" i="7"/>
  <c r="S103" i="7" s="1"/>
  <c r="U103" i="7" s="1"/>
  <c r="AA102" i="7"/>
  <c r="Z102" i="7"/>
  <c r="Y102" i="7"/>
  <c r="AA101" i="7"/>
  <c r="Z101" i="7"/>
  <c r="Y101" i="7"/>
  <c r="AA100" i="7"/>
  <c r="Z100" i="7"/>
  <c r="Y100" i="7"/>
  <c r="X100" i="7"/>
  <c r="AA99" i="7"/>
  <c r="Z99" i="7"/>
  <c r="Y99" i="7"/>
  <c r="AA98" i="7"/>
  <c r="Z98" i="7"/>
  <c r="Y98" i="7"/>
  <c r="AA97" i="7"/>
  <c r="Z97" i="7"/>
  <c r="Y97" i="7"/>
  <c r="AA96" i="7"/>
  <c r="Z96" i="7"/>
  <c r="Y96" i="7"/>
  <c r="AA95" i="7"/>
  <c r="Z95" i="7"/>
  <c r="Y95" i="7"/>
  <c r="AA94" i="7"/>
  <c r="Z94" i="7"/>
  <c r="Y94" i="7"/>
  <c r="AA93" i="7"/>
  <c r="G31" i="8" s="1"/>
  <c r="Z93" i="7"/>
  <c r="Y93" i="7"/>
  <c r="AA92" i="7"/>
  <c r="G30" i="8" s="1"/>
  <c r="Z92" i="7"/>
  <c r="Y92" i="7"/>
  <c r="AA91" i="7"/>
  <c r="G29" i="8" s="1"/>
  <c r="Z91" i="7"/>
  <c r="Y91" i="7"/>
  <c r="AA90" i="7"/>
  <c r="G28" i="8" s="1"/>
  <c r="Z90" i="7"/>
  <c r="Y90" i="7"/>
  <c r="AA89" i="7"/>
  <c r="G27" i="8" s="1"/>
  <c r="Z89" i="7"/>
  <c r="Y89" i="7"/>
  <c r="X89" i="7"/>
  <c r="Q89" i="7"/>
  <c r="P89" i="7"/>
  <c r="AA88" i="7"/>
  <c r="Z88" i="7"/>
  <c r="Y88" i="7"/>
  <c r="AA87" i="7"/>
  <c r="Z87" i="7"/>
  <c r="Y87" i="7"/>
  <c r="AA86" i="7"/>
  <c r="Z86" i="7"/>
  <c r="Y86" i="7"/>
  <c r="AA85" i="7"/>
  <c r="Z85" i="7"/>
  <c r="Y85" i="7"/>
  <c r="AA84" i="7"/>
  <c r="Z84" i="7"/>
  <c r="Y84" i="7"/>
  <c r="AA83" i="7"/>
  <c r="G26" i="8" s="1"/>
  <c r="Z83" i="7"/>
  <c r="Y83" i="7"/>
  <c r="X83" i="7"/>
  <c r="Q83" i="7"/>
  <c r="P83" i="7"/>
  <c r="AA82" i="7"/>
  <c r="Z82" i="7"/>
  <c r="Y82" i="7"/>
  <c r="AA81" i="7"/>
  <c r="Z81" i="7"/>
  <c r="Y81" i="7"/>
  <c r="AA80" i="7"/>
  <c r="Z80" i="7"/>
  <c r="Y80" i="7"/>
  <c r="X80" i="7"/>
  <c r="Q80" i="7"/>
  <c r="P80" i="7"/>
  <c r="AA79" i="7"/>
  <c r="Z79" i="7"/>
  <c r="Y79" i="7"/>
  <c r="AA78" i="7"/>
  <c r="Z78" i="7"/>
  <c r="Y78" i="7"/>
  <c r="AA77" i="7"/>
  <c r="G25" i="8" s="1"/>
  <c r="Z77" i="7"/>
  <c r="Y77" i="7"/>
  <c r="X77" i="7"/>
  <c r="V77" i="7"/>
  <c r="U77" i="7"/>
  <c r="T77" i="7"/>
  <c r="S77" i="7" s="1"/>
  <c r="R77" i="7"/>
  <c r="AA76" i="7"/>
  <c r="Z76" i="7"/>
  <c r="Y76" i="7"/>
  <c r="AA75" i="7"/>
  <c r="Z75" i="7"/>
  <c r="Y75" i="7"/>
  <c r="AA74" i="7"/>
  <c r="Z74" i="7"/>
  <c r="Y74" i="7"/>
  <c r="AA73" i="7"/>
  <c r="G24" i="8" s="1"/>
  <c r="Z73" i="7"/>
  <c r="Y73" i="7"/>
  <c r="R73" i="7"/>
  <c r="S73" i="7" s="1"/>
  <c r="T73" i="7" s="1"/>
  <c r="U73" i="7" s="1"/>
  <c r="V73" i="7" s="1"/>
  <c r="W73" i="7" s="1"/>
  <c r="AA72" i="7"/>
  <c r="G23" i="8" s="1"/>
  <c r="Z72" i="7"/>
  <c r="Y72" i="7"/>
  <c r="V72" i="7"/>
  <c r="U72" i="7" s="1"/>
  <c r="T72" i="7"/>
  <c r="S72" i="7"/>
  <c r="R72" i="7"/>
  <c r="AA71" i="7"/>
  <c r="Z71" i="7"/>
  <c r="Y71" i="7"/>
  <c r="AA70" i="7"/>
  <c r="Z70" i="7"/>
  <c r="Y70" i="7"/>
  <c r="AA69" i="7"/>
  <c r="Z69" i="7"/>
  <c r="Y69" i="7"/>
  <c r="AA68" i="7"/>
  <c r="G22" i="8" s="1"/>
  <c r="Z68" i="7"/>
  <c r="Y68" i="7"/>
  <c r="X68" i="7"/>
  <c r="Q68" i="7"/>
  <c r="P68" i="7"/>
  <c r="AA67" i="7"/>
  <c r="Z67" i="7"/>
  <c r="Y67" i="7"/>
  <c r="AA66" i="7"/>
  <c r="Z66" i="7"/>
  <c r="Y66" i="7"/>
  <c r="AA65" i="7"/>
  <c r="G21" i="8" s="1"/>
  <c r="Z65" i="7"/>
  <c r="Y65" i="7"/>
  <c r="X65" i="7"/>
  <c r="Q65" i="7"/>
  <c r="P65" i="7"/>
  <c r="AA64" i="7"/>
  <c r="Z64" i="7"/>
  <c r="Y64" i="7"/>
  <c r="AA63" i="7"/>
  <c r="Z63" i="7"/>
  <c r="Y63" i="7"/>
  <c r="AA62" i="7"/>
  <c r="G20" i="8" s="1"/>
  <c r="Z62" i="7"/>
  <c r="Y62" i="7"/>
  <c r="X62" i="7"/>
  <c r="Q62" i="7"/>
  <c r="P62" i="7"/>
  <c r="AA61" i="7"/>
  <c r="Z61" i="7"/>
  <c r="Y61" i="7"/>
  <c r="AA60" i="7"/>
  <c r="G19" i="8" s="1"/>
  <c r="Z60" i="7"/>
  <c r="Y60" i="7"/>
  <c r="X60" i="7"/>
  <c r="Q60" i="7"/>
  <c r="P60" i="7"/>
  <c r="AA59" i="7"/>
  <c r="Z59" i="7"/>
  <c r="Y59" i="7"/>
  <c r="AA58" i="7"/>
  <c r="Z58" i="7"/>
  <c r="Y58" i="7"/>
  <c r="AA57" i="7"/>
  <c r="G18" i="8" s="1"/>
  <c r="Z57" i="7"/>
  <c r="Y57" i="7"/>
  <c r="X57" i="7"/>
  <c r="Q57" i="7"/>
  <c r="P57" i="7"/>
  <c r="AA56" i="7"/>
  <c r="Z56" i="7"/>
  <c r="Y56" i="7"/>
  <c r="AA55" i="7"/>
  <c r="Z55" i="7"/>
  <c r="Y55" i="7"/>
  <c r="AA54" i="7"/>
  <c r="G17" i="8" s="1"/>
  <c r="Z54" i="7"/>
  <c r="Y54" i="7"/>
  <c r="AA53" i="7"/>
  <c r="G16" i="8" s="1"/>
  <c r="Z53" i="7"/>
  <c r="Y53" i="7"/>
  <c r="X53" i="7"/>
  <c r="Q53" i="7"/>
  <c r="P53" i="7"/>
  <c r="AA52" i="7"/>
  <c r="Z52" i="7"/>
  <c r="Y52" i="7"/>
  <c r="AA51" i="7"/>
  <c r="Z51" i="7"/>
  <c r="Y51" i="7"/>
  <c r="AA50" i="7"/>
  <c r="Z50" i="7"/>
  <c r="Y50" i="7"/>
  <c r="AA49" i="7"/>
  <c r="G15" i="8" s="1"/>
  <c r="Z49" i="7"/>
  <c r="Y49" i="7"/>
  <c r="X49" i="7"/>
  <c r="T49" i="7"/>
  <c r="U49" i="7" s="1"/>
  <c r="V49" i="7" s="1"/>
  <c r="S49" i="7"/>
  <c r="Q49" i="7"/>
  <c r="P49" i="7"/>
  <c r="AA48" i="7"/>
  <c r="Z48" i="7"/>
  <c r="Y48" i="7"/>
  <c r="AA47" i="7"/>
  <c r="Z47" i="7"/>
  <c r="Y47" i="7"/>
  <c r="AA46" i="7"/>
  <c r="Z46" i="7"/>
  <c r="Y46" i="7"/>
  <c r="AA45" i="7"/>
  <c r="Z45" i="7"/>
  <c r="Y45" i="7"/>
  <c r="AA44" i="7"/>
  <c r="G14" i="8" s="1"/>
  <c r="Z44" i="7"/>
  <c r="Y44" i="7"/>
  <c r="AA43" i="7"/>
  <c r="G13" i="8" s="1"/>
  <c r="Z43" i="7"/>
  <c r="Y43" i="7"/>
  <c r="AA42" i="7"/>
  <c r="G12" i="8" s="1"/>
  <c r="Z42" i="7"/>
  <c r="Y42" i="7"/>
  <c r="T42" i="7"/>
  <c r="AA41" i="7"/>
  <c r="Z41" i="7"/>
  <c r="Y41" i="7"/>
  <c r="W41" i="7"/>
  <c r="W42" i="7" s="1"/>
  <c r="V41" i="7"/>
  <c r="V42" i="7" s="1"/>
  <c r="U41" i="7"/>
  <c r="U42" i="7" s="1"/>
  <c r="T41" i="7"/>
  <c r="AA40" i="7"/>
  <c r="Z40" i="7"/>
  <c r="Y40" i="7"/>
  <c r="AA39" i="7"/>
  <c r="G11" i="8" s="1"/>
  <c r="Z39" i="7"/>
  <c r="Y39" i="7"/>
  <c r="X39" i="7"/>
  <c r="Q39" i="7"/>
  <c r="P39" i="7"/>
  <c r="AA38" i="7"/>
  <c r="Z38" i="7"/>
  <c r="Y38" i="7"/>
  <c r="AA37" i="7"/>
  <c r="Z37" i="7"/>
  <c r="Y37" i="7"/>
  <c r="AA36" i="7"/>
  <c r="G10" i="8" s="1"/>
  <c r="Z36" i="7"/>
  <c r="Y36" i="7"/>
  <c r="X36" i="7"/>
  <c r="Q36" i="7"/>
  <c r="P36" i="7"/>
  <c r="AA35" i="7"/>
  <c r="Z35" i="7"/>
  <c r="Y35" i="7"/>
  <c r="X35" i="7"/>
  <c r="Q35" i="7"/>
  <c r="P35" i="7"/>
  <c r="AA34" i="7"/>
  <c r="Z34" i="7"/>
  <c r="Y34" i="7"/>
  <c r="AA33" i="7"/>
  <c r="Z33" i="7"/>
  <c r="Y33" i="7"/>
  <c r="AA32" i="7"/>
  <c r="Z32" i="7"/>
  <c r="Y32" i="7"/>
  <c r="AA31" i="7"/>
  <c r="Z31" i="7"/>
  <c r="Y31" i="7"/>
  <c r="AA30" i="7"/>
  <c r="Z30" i="7"/>
  <c r="Y30" i="7"/>
  <c r="AA29" i="7"/>
  <c r="Z29" i="7"/>
  <c r="Y29" i="7"/>
  <c r="AA28" i="7"/>
  <c r="Z28" i="7"/>
  <c r="Y28" i="7"/>
  <c r="AA27" i="7"/>
  <c r="Z27" i="7"/>
  <c r="Y27" i="7"/>
  <c r="AA26" i="7"/>
  <c r="Z26" i="7"/>
  <c r="Y26" i="7"/>
  <c r="AA25" i="7"/>
  <c r="Z25" i="7"/>
  <c r="Y25" i="7"/>
  <c r="AA24" i="7"/>
  <c r="Z24" i="7"/>
  <c r="Y24" i="7"/>
  <c r="AA23" i="7"/>
  <c r="G9" i="8" s="1"/>
  <c r="Z23" i="7"/>
  <c r="Y23" i="7"/>
  <c r="X23" i="7"/>
  <c r="Q23" i="7"/>
  <c r="P23" i="7"/>
  <c r="AA22" i="7"/>
  <c r="Z22" i="7"/>
  <c r="Y22" i="7"/>
  <c r="AA21" i="7"/>
  <c r="G8" i="8" s="1"/>
  <c r="Z21" i="7"/>
  <c r="Y21" i="7"/>
  <c r="X21" i="7"/>
  <c r="Q21" i="7"/>
  <c r="P21" i="7"/>
  <c r="AA20" i="7"/>
  <c r="Z20" i="7"/>
  <c r="Y20" i="7"/>
  <c r="AA19" i="7"/>
  <c r="G7" i="8" s="1"/>
  <c r="Z19" i="7"/>
  <c r="Y19" i="7"/>
  <c r="X19" i="7"/>
  <c r="Q19" i="7"/>
  <c r="P19" i="7"/>
  <c r="AA18" i="7"/>
  <c r="Z18" i="7"/>
  <c r="Y18" i="7"/>
  <c r="X18" i="7"/>
  <c r="Q18" i="7"/>
  <c r="P18" i="7"/>
  <c r="E18" i="7"/>
  <c r="AA17" i="7"/>
  <c r="Z17" i="7"/>
  <c r="Y17" i="7"/>
  <c r="AA16" i="7"/>
  <c r="Z16" i="7"/>
  <c r="Y16" i="7"/>
  <c r="AA15" i="7"/>
  <c r="Z15" i="7"/>
  <c r="Y15" i="7"/>
  <c r="AA14" i="7"/>
  <c r="Z14" i="7"/>
  <c r="Y14" i="7"/>
  <c r="AA13" i="7"/>
  <c r="G6" i="8" s="1"/>
  <c r="Z13" i="7"/>
  <c r="Y13" i="7"/>
  <c r="X13" i="7"/>
  <c r="Q13" i="7"/>
  <c r="P13" i="7"/>
  <c r="AA12" i="7"/>
  <c r="Z12" i="7"/>
  <c r="Y12" i="7"/>
  <c r="AA11" i="7"/>
  <c r="G5" i="8" s="1"/>
  <c r="Z11" i="7"/>
  <c r="Y11" i="7"/>
  <c r="X11" i="7"/>
  <c r="Q11" i="7"/>
  <c r="P11" i="7"/>
  <c r="AA10" i="7"/>
  <c r="Z10" i="7"/>
  <c r="Y10" i="7"/>
  <c r="AA9" i="7"/>
  <c r="Z9" i="7"/>
  <c r="Y9" i="7"/>
  <c r="AA8" i="7"/>
  <c r="G4" i="8" s="1"/>
  <c r="Z8" i="7"/>
  <c r="Y8" i="7"/>
  <c r="X8" i="7"/>
  <c r="Q8" i="7"/>
  <c r="P8" i="7"/>
  <c r="AA7" i="7"/>
  <c r="Z7" i="7"/>
  <c r="Y7" i="7"/>
  <c r="AA6" i="7"/>
  <c r="Z6" i="7"/>
  <c r="Y6" i="7"/>
  <c r="AA5" i="7"/>
  <c r="G3" i="8" s="1"/>
  <c r="Z5" i="7"/>
  <c r="Y5" i="7"/>
  <c r="X5" i="7"/>
  <c r="Q5" i="7"/>
  <c r="P5" i="7"/>
  <c r="AA4" i="7"/>
  <c r="Z4" i="7"/>
  <c r="Y4" i="7"/>
  <c r="AA3" i="7"/>
  <c r="G2" i="8" s="1"/>
  <c r="Z3" i="7"/>
  <c r="Y3" i="7"/>
  <c r="E2" i="8" s="1"/>
  <c r="I8" i="13" l="1"/>
  <c r="I7" i="13"/>
  <c r="I12" i="24"/>
  <c r="I9" i="13"/>
  <c r="I10" i="13"/>
  <c r="I11" i="13"/>
  <c r="I5" i="13"/>
  <c r="I6" i="13"/>
  <c r="I7" i="8"/>
  <c r="L7" i="8" s="1"/>
  <c r="I11" i="8"/>
  <c r="L11" i="8" s="1"/>
  <c r="I12" i="8"/>
  <c r="L12" i="8" s="1"/>
  <c r="I16" i="8"/>
  <c r="L16" i="8" s="1"/>
  <c r="I17" i="8"/>
  <c r="L17" i="8" s="1"/>
  <c r="I21" i="8"/>
  <c r="L21" i="8" s="1"/>
  <c r="I26" i="8"/>
  <c r="L26" i="8" s="1"/>
  <c r="I31" i="8"/>
  <c r="L31" i="8" s="1"/>
  <c r="I5" i="8"/>
  <c r="L5" i="8" s="1"/>
  <c r="I6" i="8"/>
  <c r="L6" i="8" s="1"/>
  <c r="I10" i="8"/>
  <c r="L10" i="8" s="1"/>
  <c r="I15" i="8"/>
  <c r="L15" i="8" s="1"/>
  <c r="I20" i="8"/>
  <c r="L20" i="8" s="1"/>
  <c r="I24" i="8"/>
  <c r="L24" i="8" s="1"/>
  <c r="I25" i="8"/>
  <c r="L25" i="8" s="1"/>
  <c r="I30" i="8"/>
  <c r="L30" i="8" s="1"/>
  <c r="I4" i="8"/>
  <c r="L4" i="8" s="1"/>
  <c r="I9" i="8"/>
  <c r="L9" i="8" s="1"/>
  <c r="I14" i="8"/>
  <c r="L14" i="8" s="1"/>
  <c r="I19" i="8"/>
  <c r="L19" i="8" s="1"/>
  <c r="I23" i="8"/>
  <c r="L23" i="8" s="1"/>
  <c r="I28" i="8"/>
  <c r="L28" i="8" s="1"/>
  <c r="I29" i="8"/>
  <c r="L29" i="8" s="1"/>
  <c r="I2" i="8"/>
  <c r="L2" i="8" s="1"/>
  <c r="I3" i="8"/>
  <c r="L3" i="8" s="1"/>
  <c r="I8" i="8"/>
  <c r="L8" i="8" s="1"/>
  <c r="I13" i="8"/>
  <c r="L13" i="8" s="1"/>
  <c r="I18" i="8"/>
  <c r="L18" i="8" s="1"/>
  <c r="I22" i="8"/>
  <c r="L22" i="8" s="1"/>
  <c r="I27" i="8"/>
  <c r="L27" i="8" s="1"/>
  <c r="I12" i="13" l="1"/>
  <c r="M2" i="8"/>
  <c r="M16" i="8"/>
  <c r="M28" i="8"/>
  <c r="M24" i="8"/>
  <c r="M5" i="8"/>
  <c r="M11" i="8"/>
  <c r="G5" i="13" l="1"/>
  <c r="G9" i="13"/>
  <c r="G10" i="13"/>
  <c r="G7" i="13"/>
  <c r="G8" i="13"/>
  <c r="G6" i="13"/>
  <c r="H39" i="6"/>
  <c r="F39" i="6"/>
  <c r="E39" i="6"/>
  <c r="D39" i="6"/>
  <c r="H38" i="6"/>
  <c r="F38" i="6"/>
  <c r="E38" i="6"/>
  <c r="D38" i="6"/>
  <c r="H37" i="6"/>
  <c r="F37" i="6"/>
  <c r="E37" i="6"/>
  <c r="D37" i="6"/>
  <c r="H36" i="6"/>
  <c r="F36" i="6"/>
  <c r="E36" i="6"/>
  <c r="D36" i="6"/>
  <c r="H35" i="6"/>
  <c r="F35" i="6"/>
  <c r="E35" i="6"/>
  <c r="D35" i="6"/>
  <c r="H34" i="6"/>
  <c r="F34" i="6"/>
  <c r="E34" i="6"/>
  <c r="D34" i="6"/>
  <c r="H33" i="6"/>
  <c r="F33" i="6"/>
  <c r="E33" i="6"/>
  <c r="D33" i="6"/>
  <c r="H32" i="6"/>
  <c r="F32" i="6"/>
  <c r="E32" i="6"/>
  <c r="D32" i="6"/>
  <c r="H31" i="6"/>
  <c r="F31" i="6"/>
  <c r="E31" i="6"/>
  <c r="D31" i="6"/>
  <c r="H30" i="6"/>
  <c r="F30" i="6"/>
  <c r="E30" i="6"/>
  <c r="D30" i="6"/>
  <c r="H29" i="6"/>
  <c r="F29" i="6"/>
  <c r="E29" i="6"/>
  <c r="D29" i="6"/>
  <c r="H28" i="6"/>
  <c r="F28" i="6"/>
  <c r="E28" i="6"/>
  <c r="D28" i="6"/>
  <c r="H27" i="6"/>
  <c r="F27" i="6"/>
  <c r="E27" i="6"/>
  <c r="D27" i="6"/>
  <c r="H26" i="6"/>
  <c r="F26" i="6"/>
  <c r="E26" i="6"/>
  <c r="D26" i="6"/>
  <c r="H25" i="6"/>
  <c r="F25" i="6"/>
  <c r="E25" i="6"/>
  <c r="D25" i="6"/>
  <c r="H24" i="6"/>
  <c r="F24" i="6"/>
  <c r="E24" i="6"/>
  <c r="D24" i="6"/>
  <c r="H23" i="6"/>
  <c r="F23" i="6"/>
  <c r="E23" i="6"/>
  <c r="D23" i="6"/>
  <c r="H22" i="6"/>
  <c r="F22" i="6"/>
  <c r="E22" i="6"/>
  <c r="D22" i="6"/>
  <c r="H21" i="6"/>
  <c r="F21" i="6"/>
  <c r="E21" i="6"/>
  <c r="D21" i="6"/>
  <c r="H20" i="6"/>
  <c r="F20" i="6"/>
  <c r="E20" i="6"/>
  <c r="D20" i="6"/>
  <c r="H19" i="6"/>
  <c r="F19" i="6"/>
  <c r="E19" i="6"/>
  <c r="D19" i="6"/>
  <c r="H18" i="6"/>
  <c r="F18" i="6"/>
  <c r="E18" i="6"/>
  <c r="D18" i="6"/>
  <c r="H17" i="6"/>
  <c r="F17" i="6"/>
  <c r="E17" i="6"/>
  <c r="D17" i="6"/>
  <c r="H16" i="6"/>
  <c r="F16" i="6"/>
  <c r="E16" i="6"/>
  <c r="D16" i="6"/>
  <c r="H15" i="6"/>
  <c r="F15" i="6"/>
  <c r="E15" i="6"/>
  <c r="D15" i="6"/>
  <c r="H14" i="6"/>
  <c r="F14" i="6"/>
  <c r="E14" i="6"/>
  <c r="D14" i="6"/>
  <c r="H13" i="6"/>
  <c r="F13" i="6"/>
  <c r="E13" i="6"/>
  <c r="D13" i="6"/>
  <c r="H12" i="6"/>
  <c r="F12" i="6"/>
  <c r="E12" i="6"/>
  <c r="D12" i="6"/>
  <c r="H11" i="6"/>
  <c r="F11" i="6"/>
  <c r="E11" i="6"/>
  <c r="D11" i="6"/>
  <c r="H10" i="6"/>
  <c r="F10" i="6"/>
  <c r="E10" i="6"/>
  <c r="D10" i="6"/>
  <c r="H9" i="6"/>
  <c r="F9" i="6"/>
  <c r="E9" i="6"/>
  <c r="D9" i="6"/>
  <c r="H8" i="6"/>
  <c r="F8" i="6"/>
  <c r="E8" i="6"/>
  <c r="D8" i="6"/>
  <c r="H7" i="6"/>
  <c r="F7" i="6"/>
  <c r="E7" i="6"/>
  <c r="D7" i="6"/>
  <c r="H6" i="6"/>
  <c r="F6" i="6"/>
  <c r="E6" i="6"/>
  <c r="D6" i="6"/>
  <c r="H5" i="6"/>
  <c r="F5" i="6"/>
  <c r="E5" i="6"/>
  <c r="D5" i="6"/>
  <c r="H4" i="6"/>
  <c r="F4" i="6"/>
  <c r="E4" i="6"/>
  <c r="D4" i="6"/>
  <c r="H3" i="6"/>
  <c r="F3" i="6"/>
  <c r="E3" i="6"/>
  <c r="D3" i="6"/>
  <c r="H2" i="6"/>
  <c r="F2" i="6"/>
  <c r="D2" i="6"/>
  <c r="G12" i="13" l="1"/>
  <c r="G12" i="24"/>
  <c r="Z111" i="5"/>
  <c r="G39" i="6" s="1"/>
  <c r="Y111" i="5"/>
  <c r="Z110" i="5"/>
  <c r="G38" i="6" s="1"/>
  <c r="Y110" i="5"/>
  <c r="X110" i="5"/>
  <c r="Q110" i="5"/>
  <c r="P110" i="5"/>
  <c r="Z109" i="5"/>
  <c r="Y109" i="5"/>
  <c r="Z108" i="5"/>
  <c r="G37" i="6" s="1"/>
  <c r="Y108" i="5"/>
  <c r="Z107" i="5"/>
  <c r="Y107" i="5"/>
  <c r="Z106" i="5"/>
  <c r="G36" i="6" s="1"/>
  <c r="Y106" i="5"/>
  <c r="X106" i="5"/>
  <c r="Q106" i="5"/>
  <c r="P106" i="5"/>
  <c r="Z105" i="5"/>
  <c r="Y105" i="5"/>
  <c r="Z104" i="5"/>
  <c r="Y104" i="5"/>
  <c r="Z103" i="5"/>
  <c r="G35" i="6" s="1"/>
  <c r="Y103" i="5"/>
  <c r="X103" i="5"/>
  <c r="W103" i="5"/>
  <c r="Q103" i="5"/>
  <c r="P103" i="5"/>
  <c r="Z102" i="5"/>
  <c r="Y102" i="5"/>
  <c r="Z101" i="5"/>
  <c r="G34" i="6" s="1"/>
  <c r="Y101" i="5"/>
  <c r="X101" i="5"/>
  <c r="S101" i="5"/>
  <c r="U101" i="5" s="1"/>
  <c r="Q101" i="5"/>
  <c r="P101" i="5"/>
  <c r="Z100" i="5"/>
  <c r="Y100" i="5"/>
  <c r="Z99" i="5"/>
  <c r="Y99" i="5"/>
  <c r="Z98" i="5"/>
  <c r="G33" i="6" s="1"/>
  <c r="Y98" i="5"/>
  <c r="X98" i="5"/>
  <c r="Z97" i="5"/>
  <c r="Y97" i="5"/>
  <c r="Z96" i="5"/>
  <c r="Y96" i="5"/>
  <c r="Z95" i="5"/>
  <c r="Y95" i="5"/>
  <c r="Z94" i="5"/>
  <c r="Y94" i="5"/>
  <c r="Z93" i="5"/>
  <c r="Y93" i="5"/>
  <c r="Z92" i="5"/>
  <c r="Y92" i="5"/>
  <c r="Z91" i="5"/>
  <c r="G32" i="6" s="1"/>
  <c r="Y91" i="5"/>
  <c r="Z90" i="5"/>
  <c r="G31" i="6" s="1"/>
  <c r="Y90" i="5"/>
  <c r="Z89" i="5"/>
  <c r="G30" i="6" s="1"/>
  <c r="Y89" i="5"/>
  <c r="Z88" i="5"/>
  <c r="G29" i="6" s="1"/>
  <c r="Y88" i="5"/>
  <c r="Z87" i="5"/>
  <c r="G28" i="6" s="1"/>
  <c r="Y87" i="5"/>
  <c r="X87" i="5"/>
  <c r="Q87" i="5"/>
  <c r="P87" i="5"/>
  <c r="Z86" i="5"/>
  <c r="Y86" i="5"/>
  <c r="Z85" i="5"/>
  <c r="Y85" i="5"/>
  <c r="Z84" i="5"/>
  <c r="Y84" i="5"/>
  <c r="Z83" i="5"/>
  <c r="Y83" i="5"/>
  <c r="Z82" i="5"/>
  <c r="Y82" i="5"/>
  <c r="Z81" i="5"/>
  <c r="G27" i="6" s="1"/>
  <c r="Y81" i="5"/>
  <c r="X81" i="5"/>
  <c r="Q81" i="5"/>
  <c r="P81" i="5"/>
  <c r="Z80" i="5"/>
  <c r="Y80" i="5"/>
  <c r="Z79" i="5"/>
  <c r="Y79" i="5"/>
  <c r="Z78" i="5"/>
  <c r="G26" i="6" s="1"/>
  <c r="Y78" i="5"/>
  <c r="X78" i="5"/>
  <c r="Q78" i="5"/>
  <c r="P78" i="5"/>
  <c r="Z77" i="5"/>
  <c r="Y77" i="5"/>
  <c r="Z76" i="5"/>
  <c r="Y76" i="5"/>
  <c r="Z75" i="5"/>
  <c r="G25" i="6" s="1"/>
  <c r="Y75" i="5"/>
  <c r="X75" i="5"/>
  <c r="V75" i="5"/>
  <c r="U75" i="5" s="1"/>
  <c r="T75" i="5"/>
  <c r="S75" i="5"/>
  <c r="R75" i="5"/>
  <c r="Z74" i="5"/>
  <c r="Y74" i="5"/>
  <c r="Z73" i="5"/>
  <c r="Y73" i="5"/>
  <c r="Z72" i="5"/>
  <c r="Y72" i="5"/>
  <c r="Z71" i="5"/>
  <c r="G24" i="6" s="1"/>
  <c r="Y71" i="5"/>
  <c r="R71" i="5"/>
  <c r="S71" i="5" s="1"/>
  <c r="T71" i="5" s="1"/>
  <c r="U71" i="5" s="1"/>
  <c r="V71" i="5" s="1"/>
  <c r="W71" i="5" s="1"/>
  <c r="Z70" i="5"/>
  <c r="G23" i="6" s="1"/>
  <c r="Y70" i="5"/>
  <c r="V70" i="5"/>
  <c r="U70" i="5"/>
  <c r="T70" i="5"/>
  <c r="S70" i="5" s="1"/>
  <c r="R70" i="5"/>
  <c r="Z69" i="5"/>
  <c r="Y69" i="5"/>
  <c r="Z68" i="5"/>
  <c r="Y68" i="5"/>
  <c r="Z67" i="5"/>
  <c r="Y67" i="5"/>
  <c r="Z66" i="5"/>
  <c r="G22" i="6" s="1"/>
  <c r="Y66" i="5"/>
  <c r="X66" i="5"/>
  <c r="Q66" i="5"/>
  <c r="P66" i="5"/>
  <c r="Z65" i="5"/>
  <c r="Y65" i="5"/>
  <c r="Z64" i="5"/>
  <c r="Y64" i="5"/>
  <c r="Z63" i="5"/>
  <c r="G21" i="6" s="1"/>
  <c r="Y63" i="5"/>
  <c r="X63" i="5"/>
  <c r="Q63" i="5"/>
  <c r="P63" i="5"/>
  <c r="Z62" i="5"/>
  <c r="Y62" i="5"/>
  <c r="Z61" i="5"/>
  <c r="Y61" i="5"/>
  <c r="Z60" i="5"/>
  <c r="G20" i="6" s="1"/>
  <c r="Y60" i="5"/>
  <c r="X60" i="5"/>
  <c r="Q60" i="5"/>
  <c r="P60" i="5"/>
  <c r="Z59" i="5"/>
  <c r="Y59" i="5"/>
  <c r="Z58" i="5"/>
  <c r="G19" i="6" s="1"/>
  <c r="Y58" i="5"/>
  <c r="X58" i="5"/>
  <c r="Q58" i="5"/>
  <c r="P58" i="5"/>
  <c r="Z57" i="5"/>
  <c r="Y57" i="5"/>
  <c r="Z56" i="5"/>
  <c r="Y56" i="5"/>
  <c r="Z55" i="5"/>
  <c r="G18" i="6" s="1"/>
  <c r="Y55" i="5"/>
  <c r="X55" i="5"/>
  <c r="Q55" i="5"/>
  <c r="P55" i="5"/>
  <c r="Z54" i="5"/>
  <c r="Y54" i="5"/>
  <c r="Z53" i="5"/>
  <c r="Y53" i="5"/>
  <c r="Z52" i="5"/>
  <c r="G17" i="6" s="1"/>
  <c r="Y52" i="5"/>
  <c r="Z51" i="5"/>
  <c r="G16" i="6" s="1"/>
  <c r="Y51" i="5"/>
  <c r="X51" i="5"/>
  <c r="Q51" i="5"/>
  <c r="P51" i="5"/>
  <c r="Z50" i="5"/>
  <c r="Y50" i="5"/>
  <c r="Z49" i="5"/>
  <c r="Y49" i="5"/>
  <c r="Z48" i="5"/>
  <c r="Y48" i="5"/>
  <c r="Z47" i="5"/>
  <c r="G15" i="6" s="1"/>
  <c r="Y47" i="5"/>
  <c r="X47" i="5"/>
  <c r="T47" i="5"/>
  <c r="U47" i="5" s="1"/>
  <c r="V47" i="5" s="1"/>
  <c r="S47" i="5"/>
  <c r="Q47" i="5"/>
  <c r="P47" i="5"/>
  <c r="Z46" i="5"/>
  <c r="Y46" i="5"/>
  <c r="Z45" i="5"/>
  <c r="Y45" i="5"/>
  <c r="Z44" i="5"/>
  <c r="Y44" i="5"/>
  <c r="Z43" i="5"/>
  <c r="Y43" i="5"/>
  <c r="Z42" i="5"/>
  <c r="G14" i="6" s="1"/>
  <c r="Y42" i="5"/>
  <c r="Z41" i="5"/>
  <c r="G13" i="6" s="1"/>
  <c r="Y41" i="5"/>
  <c r="Z40" i="5"/>
  <c r="G12" i="6" s="1"/>
  <c r="Z39" i="5"/>
  <c r="Z38" i="5"/>
  <c r="Z37" i="5"/>
  <c r="G11" i="6" s="1"/>
  <c r="Y37" i="5"/>
  <c r="X37" i="5"/>
  <c r="Q37" i="5"/>
  <c r="P37" i="5"/>
  <c r="Z36" i="5"/>
  <c r="Y36" i="5"/>
  <c r="Z35" i="5"/>
  <c r="Y35" i="5"/>
  <c r="Z34" i="5"/>
  <c r="G10" i="6" s="1"/>
  <c r="Y34" i="5"/>
  <c r="X34" i="5"/>
  <c r="Q34" i="5"/>
  <c r="P34" i="5"/>
  <c r="Z33" i="5"/>
  <c r="Y33" i="5"/>
  <c r="Z32" i="5"/>
  <c r="Y32" i="5"/>
  <c r="Z31" i="5"/>
  <c r="Y31" i="5"/>
  <c r="Z30" i="5"/>
  <c r="Y30" i="5"/>
  <c r="Z29" i="5"/>
  <c r="Y29" i="5"/>
  <c r="Z28" i="5"/>
  <c r="Y28" i="5"/>
  <c r="Z27" i="5"/>
  <c r="Y27" i="5"/>
  <c r="Z26" i="5"/>
  <c r="Y26" i="5"/>
  <c r="Z25" i="5"/>
  <c r="Y25" i="5"/>
  <c r="Z24" i="5"/>
  <c r="Y24" i="5"/>
  <c r="Z23" i="5"/>
  <c r="Y23" i="5"/>
  <c r="Z22" i="5"/>
  <c r="G9" i="6" s="1"/>
  <c r="Y22" i="5"/>
  <c r="X22" i="5"/>
  <c r="Q22" i="5"/>
  <c r="P22" i="5"/>
  <c r="Z21" i="5"/>
  <c r="Y21" i="5"/>
  <c r="Z20" i="5"/>
  <c r="G8" i="6" s="1"/>
  <c r="Y20" i="5"/>
  <c r="X20" i="5"/>
  <c r="Q20" i="5"/>
  <c r="P20" i="5"/>
  <c r="Z19" i="5"/>
  <c r="Y19" i="5"/>
  <c r="Z18" i="5"/>
  <c r="G7" i="6" s="1"/>
  <c r="Y18" i="5"/>
  <c r="X18" i="5"/>
  <c r="Q18" i="5"/>
  <c r="P18" i="5"/>
  <c r="Z17" i="5"/>
  <c r="Y17" i="5"/>
  <c r="Z16" i="5"/>
  <c r="Y16" i="5"/>
  <c r="Z15" i="5"/>
  <c r="Y15" i="5"/>
  <c r="Z14" i="5"/>
  <c r="Y14" i="5"/>
  <c r="Z13" i="5"/>
  <c r="G6" i="6" s="1"/>
  <c r="Y13" i="5"/>
  <c r="X13" i="5"/>
  <c r="Q13" i="5"/>
  <c r="P13" i="5"/>
  <c r="Z12" i="5"/>
  <c r="Y12" i="5"/>
  <c r="Z11" i="5"/>
  <c r="G5" i="6" s="1"/>
  <c r="Y11" i="5"/>
  <c r="X11" i="5"/>
  <c r="Q11" i="5"/>
  <c r="P11" i="5"/>
  <c r="Z10" i="5"/>
  <c r="Y10" i="5"/>
  <c r="Z9" i="5"/>
  <c r="Y9" i="5"/>
  <c r="Z8" i="5"/>
  <c r="G4" i="6" s="1"/>
  <c r="Y8" i="5"/>
  <c r="X8" i="5"/>
  <c r="Q8" i="5"/>
  <c r="P8" i="5"/>
  <c r="Z7" i="5"/>
  <c r="Y7" i="5"/>
  <c r="Z6" i="5"/>
  <c r="Y6" i="5"/>
  <c r="Z5" i="5"/>
  <c r="G3" i="6" s="1"/>
  <c r="Y5" i="5"/>
  <c r="X5" i="5"/>
  <c r="Q5" i="5"/>
  <c r="P5" i="5"/>
  <c r="Z4" i="5"/>
  <c r="Y4" i="5"/>
  <c r="Z3" i="5"/>
  <c r="G2" i="6" s="1"/>
  <c r="Y3" i="5"/>
  <c r="E2" i="6" s="1"/>
  <c r="I4" i="6" l="1"/>
  <c r="L4" i="6" s="1"/>
  <c r="I6" i="6"/>
  <c r="L6" i="6" s="1"/>
  <c r="I8" i="6"/>
  <c r="L8" i="6" s="1"/>
  <c r="I13" i="6"/>
  <c r="L13" i="6" s="1"/>
  <c r="I15" i="6"/>
  <c r="L15" i="6" s="1"/>
  <c r="I22" i="6"/>
  <c r="L22" i="6" s="1"/>
  <c r="I23" i="6"/>
  <c r="L23" i="6" s="1"/>
  <c r="I26" i="6"/>
  <c r="L26" i="6" s="1"/>
  <c r="I28" i="6"/>
  <c r="L28" i="6" s="1"/>
  <c r="I30" i="6"/>
  <c r="L30" i="6" s="1"/>
  <c r="I32" i="6"/>
  <c r="L32" i="6" s="1"/>
  <c r="I5" i="6"/>
  <c r="L5" i="6" s="1"/>
  <c r="I7" i="6"/>
  <c r="L7" i="6" s="1"/>
  <c r="I17" i="6"/>
  <c r="L17" i="6" s="1"/>
  <c r="I27" i="6"/>
  <c r="L27" i="6" s="1"/>
  <c r="I34" i="6"/>
  <c r="L34" i="6" s="1"/>
  <c r="I35" i="6"/>
  <c r="L35" i="6" s="1"/>
  <c r="I38" i="6"/>
  <c r="L38" i="6" s="1"/>
  <c r="I10" i="6"/>
  <c r="L10" i="6" s="1"/>
  <c r="I12" i="6"/>
  <c r="L12" i="6" s="1"/>
  <c r="I14" i="6"/>
  <c r="L14" i="6" s="1"/>
  <c r="I18" i="6"/>
  <c r="L18" i="6" s="1"/>
  <c r="I20" i="6"/>
  <c r="L20" i="6" s="1"/>
  <c r="I29" i="6"/>
  <c r="L29" i="6" s="1"/>
  <c r="I31" i="6"/>
  <c r="L31" i="6" s="1"/>
  <c r="I36" i="6"/>
  <c r="L36" i="6" s="1"/>
  <c r="I37" i="6"/>
  <c r="L37" i="6" s="1"/>
  <c r="I3" i="6"/>
  <c r="L3" i="6" s="1"/>
  <c r="I9" i="6"/>
  <c r="L9" i="6" s="1"/>
  <c r="I11" i="6"/>
  <c r="L11" i="6" s="1"/>
  <c r="I16" i="6"/>
  <c r="L16" i="6" s="1"/>
  <c r="I19" i="6"/>
  <c r="L19" i="6" s="1"/>
  <c r="I21" i="6"/>
  <c r="L21" i="6" s="1"/>
  <c r="I24" i="6"/>
  <c r="L24" i="6" s="1"/>
  <c r="I25" i="6"/>
  <c r="L25" i="6" s="1"/>
  <c r="I33" i="6"/>
  <c r="L33" i="6" s="1"/>
  <c r="I39" i="6"/>
  <c r="L39" i="6" s="1"/>
  <c r="M11" i="6" l="1"/>
  <c r="M24" i="6"/>
  <c r="M16" i="6"/>
  <c r="M29" i="6"/>
  <c r="M34" i="6"/>
  <c r="M5" i="6"/>
  <c r="I2" i="6"/>
  <c r="L2" i="6" s="1"/>
  <c r="M2" i="6" s="1"/>
  <c r="E10" i="13" l="1"/>
  <c r="E8" i="13"/>
  <c r="E5" i="13"/>
  <c r="E9" i="13"/>
  <c r="E11" i="13"/>
  <c r="L11" i="13" s="1"/>
  <c r="L11" i="24"/>
  <c r="E7" i="13"/>
  <c r="E6" i="1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2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" i="3"/>
  <c r="K14" i="3"/>
  <c r="K13" i="3"/>
  <c r="K12" i="3"/>
  <c r="K10" i="3"/>
  <c r="K9" i="3"/>
  <c r="K8" i="3"/>
  <c r="K7" i="3"/>
  <c r="K6" i="3"/>
  <c r="K5" i="3"/>
  <c r="Y108" i="2"/>
  <c r="Y107" i="2"/>
  <c r="X107" i="2"/>
  <c r="Q107" i="2"/>
  <c r="P107" i="2"/>
  <c r="Y106" i="2"/>
  <c r="Y105" i="2"/>
  <c r="Y104" i="2"/>
  <c r="Y103" i="2"/>
  <c r="X103" i="2"/>
  <c r="Q103" i="2"/>
  <c r="P103" i="2"/>
  <c r="Y102" i="2"/>
  <c r="Y101" i="2"/>
  <c r="Y100" i="2"/>
  <c r="X100" i="2"/>
  <c r="W100" i="2"/>
  <c r="Q100" i="2"/>
  <c r="P100" i="2"/>
  <c r="Y99" i="2"/>
  <c r="Y98" i="2"/>
  <c r="X98" i="2"/>
  <c r="S98" i="2"/>
  <c r="U98" i="2" s="1"/>
  <c r="Q98" i="2"/>
  <c r="P98" i="2"/>
  <c r="Y97" i="2"/>
  <c r="Y96" i="2"/>
  <c r="Y95" i="2"/>
  <c r="X95" i="2"/>
  <c r="Y94" i="2"/>
  <c r="Y93" i="2"/>
  <c r="Y92" i="2"/>
  <c r="Y91" i="2"/>
  <c r="Y90" i="2"/>
  <c r="Y89" i="2"/>
  <c r="Y88" i="2"/>
  <c r="G30" i="3" s="1"/>
  <c r="Y87" i="2"/>
  <c r="G29" i="3" s="1"/>
  <c r="Y86" i="2"/>
  <c r="G28" i="3" s="1"/>
  <c r="Y85" i="2"/>
  <c r="G27" i="3" s="1"/>
  <c r="Y84" i="2"/>
  <c r="G26" i="3" s="1"/>
  <c r="X84" i="2"/>
  <c r="Q84" i="2"/>
  <c r="P84" i="2"/>
  <c r="Y83" i="2"/>
  <c r="Y82" i="2"/>
  <c r="Y81" i="2"/>
  <c r="Y80" i="2"/>
  <c r="Y79" i="2"/>
  <c r="Y78" i="2"/>
  <c r="G25" i="3" s="1"/>
  <c r="X78" i="2"/>
  <c r="Q78" i="2"/>
  <c r="P78" i="2"/>
  <c r="Y77" i="2"/>
  <c r="Y76" i="2"/>
  <c r="Y75" i="2"/>
  <c r="X75" i="2"/>
  <c r="Q75" i="2"/>
  <c r="P75" i="2"/>
  <c r="Y74" i="2"/>
  <c r="Y73" i="2"/>
  <c r="Y72" i="2"/>
  <c r="G24" i="3" s="1"/>
  <c r="X72" i="2"/>
  <c r="V72" i="2"/>
  <c r="U72" i="2" s="1"/>
  <c r="T72" i="2"/>
  <c r="S72" i="2"/>
  <c r="R72" i="2"/>
  <c r="Y71" i="2"/>
  <c r="Y70" i="2"/>
  <c r="Y69" i="2"/>
  <c r="Y68" i="2"/>
  <c r="G23" i="3" s="1"/>
  <c r="R68" i="2"/>
  <c r="S68" i="2" s="1"/>
  <c r="T68" i="2" s="1"/>
  <c r="U68" i="2" s="1"/>
  <c r="V68" i="2" s="1"/>
  <c r="W68" i="2" s="1"/>
  <c r="Y67" i="2"/>
  <c r="G22" i="3" s="1"/>
  <c r="V67" i="2"/>
  <c r="U67" i="2" s="1"/>
  <c r="T67" i="2"/>
  <c r="S67" i="2"/>
  <c r="R67" i="2"/>
  <c r="Y66" i="2"/>
  <c r="Y65" i="2"/>
  <c r="Y64" i="2"/>
  <c r="Y63" i="2"/>
  <c r="G21" i="3" s="1"/>
  <c r="X63" i="2"/>
  <c r="Q63" i="2"/>
  <c r="P63" i="2"/>
  <c r="Y62" i="2"/>
  <c r="Y61" i="2"/>
  <c r="Y60" i="2"/>
  <c r="G20" i="3" s="1"/>
  <c r="X60" i="2"/>
  <c r="Q60" i="2"/>
  <c r="P60" i="2"/>
  <c r="Y59" i="2"/>
  <c r="Y58" i="2"/>
  <c r="Y57" i="2"/>
  <c r="G19" i="3" s="1"/>
  <c r="X57" i="2"/>
  <c r="Q57" i="2"/>
  <c r="P57" i="2"/>
  <c r="Y56" i="2"/>
  <c r="Y55" i="2"/>
  <c r="G18" i="3" s="1"/>
  <c r="X55" i="2"/>
  <c r="Q55" i="2"/>
  <c r="P55" i="2"/>
  <c r="Y54" i="2"/>
  <c r="Y53" i="2"/>
  <c r="Y52" i="2"/>
  <c r="G17" i="3" s="1"/>
  <c r="X52" i="2"/>
  <c r="Q52" i="2"/>
  <c r="P52" i="2"/>
  <c r="Y51" i="2"/>
  <c r="Y50" i="2"/>
  <c r="Y49" i="2"/>
  <c r="G16" i="3" s="1"/>
  <c r="Y48" i="2"/>
  <c r="G15" i="3" s="1"/>
  <c r="X48" i="2"/>
  <c r="Q48" i="2"/>
  <c r="P48" i="2"/>
  <c r="Y47" i="2"/>
  <c r="Y46" i="2"/>
  <c r="Y45" i="2"/>
  <c r="Y44" i="2"/>
  <c r="G14" i="3" s="1"/>
  <c r="X44" i="2"/>
  <c r="Q44" i="2"/>
  <c r="P44" i="2"/>
  <c r="Y43" i="2"/>
  <c r="Y42" i="2"/>
  <c r="Y41" i="2"/>
  <c r="Y40" i="2"/>
  <c r="Y39" i="2"/>
  <c r="G13" i="3" s="1"/>
  <c r="Y38" i="2"/>
  <c r="G12" i="3" s="1"/>
  <c r="Y37" i="2"/>
  <c r="G11" i="3" s="1"/>
  <c r="X37" i="2"/>
  <c r="Q37" i="2"/>
  <c r="P37" i="2"/>
  <c r="Y36" i="2"/>
  <c r="Y35" i="2"/>
  <c r="Y34" i="2"/>
  <c r="G10" i="3" s="1"/>
  <c r="X34" i="2"/>
  <c r="Q34" i="2"/>
  <c r="P34" i="2"/>
  <c r="Y33" i="2"/>
  <c r="Y32" i="2"/>
  <c r="Y31" i="2"/>
  <c r="Y30" i="2"/>
  <c r="Y29" i="2"/>
  <c r="Y28" i="2"/>
  <c r="Y27" i="2"/>
  <c r="Y26" i="2"/>
  <c r="Y25" i="2"/>
  <c r="Y24" i="2"/>
  <c r="Y23" i="2"/>
  <c r="Y22" i="2"/>
  <c r="G9" i="3" s="1"/>
  <c r="X22" i="2"/>
  <c r="Q22" i="2"/>
  <c r="P22" i="2"/>
  <c r="Y21" i="2"/>
  <c r="Y20" i="2"/>
  <c r="G8" i="3" s="1"/>
  <c r="X20" i="2"/>
  <c r="Q20" i="2"/>
  <c r="P20" i="2"/>
  <c r="Y19" i="2"/>
  <c r="Y18" i="2"/>
  <c r="G7" i="3" s="1"/>
  <c r="X18" i="2"/>
  <c r="Q18" i="2"/>
  <c r="P18" i="2"/>
  <c r="Y17" i="2"/>
  <c r="Y16" i="2"/>
  <c r="Y15" i="2"/>
  <c r="Y14" i="2"/>
  <c r="Y13" i="2"/>
  <c r="G6" i="3" s="1"/>
  <c r="X13" i="2"/>
  <c r="Q13" i="2"/>
  <c r="P13" i="2"/>
  <c r="Y12" i="2"/>
  <c r="Y11" i="2"/>
  <c r="G5" i="3" s="1"/>
  <c r="X11" i="2"/>
  <c r="Q11" i="2"/>
  <c r="P11" i="2"/>
  <c r="Y10" i="2"/>
  <c r="Y9" i="2"/>
  <c r="Y8" i="2"/>
  <c r="G4" i="3" s="1"/>
  <c r="X8" i="2"/>
  <c r="Q8" i="2"/>
  <c r="P8" i="2"/>
  <c r="Y7" i="2"/>
  <c r="Y6" i="2"/>
  <c r="Y5" i="2"/>
  <c r="G3" i="3" s="1"/>
  <c r="X5" i="2"/>
  <c r="Q5" i="2"/>
  <c r="P5" i="2"/>
  <c r="Y4" i="2"/>
  <c r="Y3" i="2"/>
  <c r="E2" i="3" s="1"/>
  <c r="E12" i="24" l="1"/>
  <c r="E12" i="13"/>
  <c r="I29" i="3"/>
  <c r="L29" i="3" s="1"/>
  <c r="I6" i="3"/>
  <c r="L6" i="3" s="1"/>
  <c r="I21" i="3"/>
  <c r="L21" i="3" s="1"/>
  <c r="I7" i="3"/>
  <c r="L7" i="3" s="1"/>
  <c r="I28" i="3"/>
  <c r="L28" i="3" s="1"/>
  <c r="I4" i="3"/>
  <c r="L4" i="3" s="1"/>
  <c r="I10" i="3"/>
  <c r="L10" i="3" s="1"/>
  <c r="I16" i="3"/>
  <c r="L16" i="3" s="1"/>
  <c r="I20" i="3"/>
  <c r="L20" i="3" s="1"/>
  <c r="I18" i="3"/>
  <c r="L18" i="3" s="1"/>
  <c r="I25" i="3"/>
  <c r="L25" i="3" s="1"/>
  <c r="I22" i="3"/>
  <c r="L22" i="3" s="1"/>
  <c r="I26" i="3"/>
  <c r="L26" i="3" s="1"/>
  <c r="I12" i="3"/>
  <c r="L12" i="3" s="1"/>
  <c r="I15" i="3"/>
  <c r="L15" i="3" s="1"/>
  <c r="I23" i="3"/>
  <c r="L23" i="3" s="1"/>
  <c r="I8" i="3"/>
  <c r="L8" i="3" s="1"/>
  <c r="I13" i="3"/>
  <c r="L13" i="3" s="1"/>
  <c r="I14" i="3"/>
  <c r="L14" i="3" s="1"/>
  <c r="I24" i="3"/>
  <c r="L24" i="3" s="1"/>
  <c r="I9" i="3"/>
  <c r="L9" i="3" s="1"/>
  <c r="I19" i="3"/>
  <c r="L19" i="3" s="1"/>
  <c r="I30" i="3"/>
  <c r="L30" i="3" s="1"/>
  <c r="I3" i="3"/>
  <c r="L3" i="3" s="1"/>
  <c r="I5" i="3"/>
  <c r="L5" i="3" s="1"/>
  <c r="I11" i="3"/>
  <c r="I17" i="3"/>
  <c r="L17" i="3" s="1"/>
  <c r="I27" i="3"/>
  <c r="L27" i="3" s="1"/>
  <c r="G2" i="3"/>
  <c r="I2" i="3" s="1"/>
  <c r="L2" i="3" s="1"/>
  <c r="M23" i="3" l="1"/>
  <c r="M2" i="3"/>
  <c r="M27" i="3"/>
  <c r="M11" i="3"/>
  <c r="M15" i="3"/>
  <c r="M5" i="3"/>
  <c r="C7" i="13" l="1"/>
  <c r="L7" i="13" s="1"/>
  <c r="L7" i="24"/>
  <c r="C10" i="13"/>
  <c r="L10" i="13" s="1"/>
  <c r="L10" i="24"/>
  <c r="C6" i="13"/>
  <c r="L6" i="13" s="1"/>
  <c r="L6" i="24"/>
  <c r="C5" i="13"/>
  <c r="L5" i="13" s="1"/>
  <c r="C8" i="13"/>
  <c r="L8" i="13" s="1"/>
  <c r="L8" i="24"/>
  <c r="C9" i="13"/>
  <c r="L9" i="13" s="1"/>
  <c r="L9" i="24"/>
  <c r="L5" i="24" l="1"/>
  <c r="C12" i="24"/>
  <c r="B15" i="24" s="1"/>
  <c r="C12" i="13"/>
  <c r="B1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P3" authorId="0" shapeId="0" xr:uid="{95D9D709-E1DE-1E46-BBA0-2842CC61E035}">
      <text>
        <r>
          <rPr>
            <sz val="10"/>
            <color rgb="FF000000"/>
            <rFont val="Aptos Narrow"/>
            <family val="2"/>
            <scheme val="minor"/>
          </rPr>
          <t>@daniela@comovamosnl.org Dani fijate que estos dos datos están diferentes al vaciado
_Assigned to Daniela Montemayor_
	-Jimena Escalante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P3" authorId="0" shapeId="0" xr:uid="{B0D98A18-CC32-4542-A9DC-8B366F833932}">
      <text>
        <r>
          <rPr>
            <sz val="10"/>
            <color rgb="FF000000"/>
            <rFont val="Aptos Narrow"/>
            <family val="2"/>
            <scheme val="minor"/>
          </rPr>
          <t>el dato de la eva 0 de mayo es 542 en vaciado @daniela@comovamosnl.org
_Assigned to Daniela Montemayor_
	-Jimena Escalante</t>
        </r>
      </text>
    </comment>
    <comment ref="Q3" authorId="0" shapeId="0" xr:uid="{CDA09D37-FC45-8342-B116-1D599C0B3BEE}">
      <text>
        <r>
          <rPr>
            <sz val="10"/>
            <color rgb="FF000000"/>
            <rFont val="Aptos Narrow"/>
            <family val="2"/>
            <scheme val="minor"/>
          </rPr>
          <t>@daniela@comovamosnl.org Este dato está diferente en vaciado, en: 536
_Assigned to Daniela Montemayor_
	-Jimena Escalante</t>
        </r>
      </text>
    </comment>
  </commentList>
</comments>
</file>

<file path=xl/sharedStrings.xml><?xml version="1.0" encoding="utf-8"?>
<sst xmlns="http://schemas.openxmlformats.org/spreadsheetml/2006/main" count="65382" uniqueCount="451">
  <si>
    <t>Eje</t>
  </si>
  <si>
    <t>Tema</t>
  </si>
  <si>
    <t>Tipo de dato</t>
  </si>
  <si>
    <t>Nombre del componente/indicador</t>
  </si>
  <si>
    <t>Fuente</t>
  </si>
  <si>
    <t>Cálculo</t>
  </si>
  <si>
    <t>Fecha Base
Evaluaciones de Mayo</t>
  </si>
  <si>
    <t>Fecha Base
Evaluaciones de Noviembre</t>
  </si>
  <si>
    <t>Fecha Evaluación 0
(Mayo 22)</t>
  </si>
  <si>
    <t>Fecha Evaluación 1
(Noviembre 22)</t>
  </si>
  <si>
    <t>Fecha Evaluación 2
(Mayo 23)</t>
  </si>
  <si>
    <t>Fecha Evaluación 3
(Noviembre 23)</t>
  </si>
  <si>
    <t>Fecha Evaluación 4
(Mayo 24)</t>
  </si>
  <si>
    <t>Fecha Evaluación 5
(Noviembre 24)</t>
  </si>
  <si>
    <t>Fecha Meta final del trienio</t>
  </si>
  <si>
    <t>Dato base
Evaluaciones de Mayo</t>
  </si>
  <si>
    <t>Dato base
Evaluaciones de Noviembre</t>
  </si>
  <si>
    <t>Meta 
Evaluación 1
a Septiembre 22</t>
  </si>
  <si>
    <t>Meta 
Evaluación 2
a Mayo 23</t>
  </si>
  <si>
    <t>Meta 
Evaluación 3
a Septiembre 23</t>
  </si>
  <si>
    <t>Meta 
Evaluación 4
a Mayo 24</t>
  </si>
  <si>
    <t>Meta 
Evaluación 3
a Septiembre 24</t>
  </si>
  <si>
    <t>Meta al final del trienio</t>
  </si>
  <si>
    <t>Dato Evaluación 0
(Mayo 22)</t>
  </si>
  <si>
    <t>Dato 
Evaluación 1
(Septiembre 22)</t>
  </si>
  <si>
    <t>Dato Evaluación 2
(Mayo 23)</t>
  </si>
  <si>
    <t>Dato 
Evaluación 3
(Septiembre 23)</t>
  </si>
  <si>
    <t>Dato Evaluación 4
(Mayo 24)</t>
  </si>
  <si>
    <t>Dato 
Evaluación 5
(Septiembre 24)</t>
  </si>
  <si>
    <t>General</t>
  </si>
  <si>
    <t>Componente</t>
  </si>
  <si>
    <t>Total de habitantes por municipios</t>
  </si>
  <si>
    <t>CONAPO</t>
  </si>
  <si>
    <t>HAB</t>
  </si>
  <si>
    <t>Policía</t>
  </si>
  <si>
    <t>Elementos</t>
  </si>
  <si>
    <t>Indicador</t>
  </si>
  <si>
    <t>Total de policías operativos laborando en la corporación municipal</t>
  </si>
  <si>
    <t>Municipio</t>
  </si>
  <si>
    <t>E</t>
  </si>
  <si>
    <t>Capacitación</t>
  </si>
  <si>
    <t>Total de policía operativos en la corporación municipal que cuentan con Certificado Unico Policial</t>
  </si>
  <si>
    <t>CUP</t>
  </si>
  <si>
    <t>Porcentaje de policías operativos con CUP</t>
  </si>
  <si>
    <t>CUP/E</t>
  </si>
  <si>
    <t>Investigación</t>
  </si>
  <si>
    <t xml:space="preserve">Total de policías municipales que han recibido capacitación para realizar investigación y/o procesamiento de evidencias por parte de la Fiscalía General del Estado de Nuevo León. </t>
  </si>
  <si>
    <t>ECI</t>
  </si>
  <si>
    <t xml:space="preserve">Total de policías municipales que han recibido capacitación para realizar investigación y/o procesamiento de evidencias por parte otras Instituciones. </t>
  </si>
  <si>
    <t>ECIO</t>
  </si>
  <si>
    <t>Porcentaje de policías que están capacitados en investigación y proceso de evidencias, del total de policías</t>
  </si>
  <si>
    <t>(ECI+ECIO)/E</t>
  </si>
  <si>
    <t>Seguridad</t>
  </si>
  <si>
    <t xml:space="preserve">Prevención Del Delito </t>
  </si>
  <si>
    <t>Total de faltas administrativas resueltas bajo métodos alternativos de solución de controversia u otras alternativas de su portafolio de prevención de la violencia y justicia cívica que no correspondan a multa o arresto adminitrativo.</t>
  </si>
  <si>
    <t>FAMA</t>
  </si>
  <si>
    <t>octubre 20 - mar 21</t>
  </si>
  <si>
    <t>octubre 20 - septiembre 21</t>
  </si>
  <si>
    <t>octubre 21- mar 22</t>
  </si>
  <si>
    <t>octubre 21 - septiembre 22</t>
  </si>
  <si>
    <t>octubre 22- mar 23</t>
  </si>
  <si>
    <t>octubre 22 - septiembre 23</t>
  </si>
  <si>
    <t>octubre 23- mar 24</t>
  </si>
  <si>
    <t>octubre 23 - septiembre 24</t>
  </si>
  <si>
    <t>Total de faltas administrativas</t>
  </si>
  <si>
    <t>FA</t>
  </si>
  <si>
    <t>Porcentaje de faltas administrativas resueltas bajo métodos alternativos de solución de controversia.</t>
  </si>
  <si>
    <t>FAMA/FA</t>
  </si>
  <si>
    <t>Incidencia</t>
  </si>
  <si>
    <t>Denuncias por homicidios dolosos</t>
  </si>
  <si>
    <t>Secretariado Ejecutivo del Sistema Nacional de Seguridad Pública</t>
  </si>
  <si>
    <t>HD</t>
  </si>
  <si>
    <t>Tasa de denuncias por homicidios doloso</t>
  </si>
  <si>
    <t>Secretariado Ejecutivo del Sistema Nacional de Seguridad Pública, CONAPO</t>
  </si>
  <si>
    <t>(HD/HAB)*100,000</t>
  </si>
  <si>
    <t>Eventos generados por llamadas al 911 por robo a casa habitación con y sin violencia</t>
  </si>
  <si>
    <t>Secretaría de Seguridad Pública del Estado, CONAPO</t>
  </si>
  <si>
    <t>RC</t>
  </si>
  <si>
    <t>Eventos generados por llamadas al 911 por robo a negocio con y sin violencia</t>
  </si>
  <si>
    <t>RN</t>
  </si>
  <si>
    <t>Eventos generados por llamadas al 911 por robo a vehículo con y sin violencia</t>
  </si>
  <si>
    <t>RV</t>
  </si>
  <si>
    <t>Eventos generados por llamadas al 911 por robo a transeúnte con y sin violencia</t>
  </si>
  <si>
    <t>RT</t>
  </si>
  <si>
    <t>Tasa de eventos generados por llamadas al 911 por robos</t>
  </si>
  <si>
    <t>((RC+RN+RV+RT)/HAB)*100,000</t>
  </si>
  <si>
    <t>Violencia De Género</t>
  </si>
  <si>
    <t>Eventos generados por llamadas al 911 por violencia familiar</t>
  </si>
  <si>
    <t>VF</t>
  </si>
  <si>
    <t>Tasa de eventos generados por llamadas al 911 por violencia familiar</t>
  </si>
  <si>
    <t>(VF/HAB)*100,000</t>
  </si>
  <si>
    <t>Eventos generados al 911 por violencia de pareja</t>
  </si>
  <si>
    <t>VP</t>
  </si>
  <si>
    <t>Tasa de eventos generados por llamadas al 911 por violencia de pareja</t>
  </si>
  <si>
    <t>(VP/HAB)* 100,000</t>
  </si>
  <si>
    <t>Eventos generados al 911 por actos relacionados con la libertad y seguridad sexual: Abuso sexual</t>
  </si>
  <si>
    <t>AS</t>
  </si>
  <si>
    <t>Eventos generados al 911 por actos relacionados con la libertad y seguridad sexual: Acoso u hostigamiento sexual</t>
  </si>
  <si>
    <t>AHS</t>
  </si>
  <si>
    <t>Eventos generados al 911 por actos relacionados con la libertad y seguridad sexual: Ataques al pudor</t>
  </si>
  <si>
    <t>AP</t>
  </si>
  <si>
    <t xml:space="preserve">Eventos generados al 911 por actos relacionados con la libertad y seguridad sexual: Estupro </t>
  </si>
  <si>
    <t>ES</t>
  </si>
  <si>
    <t>Eventos generados al 911 por actos relacionados con la libertad y seguridad sexual: Explotación de menores</t>
  </si>
  <si>
    <t>EM</t>
  </si>
  <si>
    <t xml:space="preserve">Eventos generados al 911 por actos relacionados con la libertad y seguridad sexual: Trata de menores </t>
  </si>
  <si>
    <t>TM</t>
  </si>
  <si>
    <t>Eventos generados al 911 por actos relacionados con la libertad y seguridad sexual: Violación</t>
  </si>
  <si>
    <t>V</t>
  </si>
  <si>
    <t>Eventos generados al 911 por actos relacionados con la libertad y seguridad sexual: Otros actos relacionados con la libertad y la seguridad sexual</t>
  </si>
  <si>
    <t>LSS</t>
  </si>
  <si>
    <t>Eventos generados al 911 por actos relacionados con la libertad y seguridad sexual: Trata de personas</t>
  </si>
  <si>
    <t>TP</t>
  </si>
  <si>
    <t>Eventos generados al 911 por actos relacionados con la libertad y seguridad sexual: Tráfico de personas/ indocumentadas</t>
  </si>
  <si>
    <t>TPI</t>
  </si>
  <si>
    <t>Eventos generados al 911 por actos relacionados con la libertad y seguridad sexual: Corrupción de menores</t>
  </si>
  <si>
    <t>CM</t>
  </si>
  <si>
    <t>Tasa de eventos generados por llamadas al 911 por actos relacionados con la libertad y seguridad sexual</t>
  </si>
  <si>
    <t>((AS+AHS+AP+ES+EM+TM+V+LSS+TP+TPI+CM)/HAB)*100,000</t>
  </si>
  <si>
    <t>Medio Ambiente</t>
  </si>
  <si>
    <t>Residuos</t>
  </si>
  <si>
    <t xml:space="preserve">Número total de viviendas en el municipio </t>
  </si>
  <si>
    <t>PVH</t>
  </si>
  <si>
    <t>Total de viviendas a las que se les brinda el servicio a su domicilio de recolección segregada de residuos.</t>
  </si>
  <si>
    <t>PSRS</t>
  </si>
  <si>
    <t>Porcentaje de predios con servicio de recolección segregada de residuos</t>
  </si>
  <si>
    <t>PSRS/PVH</t>
  </si>
  <si>
    <t>Agua</t>
  </si>
  <si>
    <t>Número total de proyectos realizados para captación de agua pluvial.</t>
  </si>
  <si>
    <t>PA</t>
  </si>
  <si>
    <t>octubre 22 - mar 23</t>
  </si>
  <si>
    <t>octubre 23 - mar 24</t>
  </si>
  <si>
    <t>octubre 21 - septiembre 24</t>
  </si>
  <si>
    <t>Área Verde</t>
  </si>
  <si>
    <t xml:space="preserve">Total de arboles nativos plantados por el municipio. </t>
  </si>
  <si>
    <t>AN</t>
  </si>
  <si>
    <t>Espacios Públicos</t>
  </si>
  <si>
    <t>Total de parques públicos construídos (nuevos) por el municipio</t>
  </si>
  <si>
    <t>PNPU</t>
  </si>
  <si>
    <t>Total de parques en colonias privadas y/o fraccionamientos construidos (nuevos) por el municipio</t>
  </si>
  <si>
    <t>PNPR</t>
  </si>
  <si>
    <t>Total de parques públicos rehabilitados en el municipio</t>
  </si>
  <si>
    <t>PRPU</t>
  </si>
  <si>
    <t>Total de parques en colonias privadas y/o fraccionamientos rehabilitados por el municipio</t>
  </si>
  <si>
    <t>PRPR</t>
  </si>
  <si>
    <t>Total de parques nuevos y rehabilitados en el municipio</t>
  </si>
  <si>
    <t>PNPU+PNPR+PRPU+PRPR</t>
  </si>
  <si>
    <t xml:space="preserve">Desarrollo Urbano </t>
  </si>
  <si>
    <t xml:space="preserve">Ordenamiento </t>
  </si>
  <si>
    <t>Plan municipal de ordenamiento territorial y desarrollo urbano</t>
  </si>
  <si>
    <t>No</t>
  </si>
  <si>
    <t>Actualizado después del 27 noviembre del 2017</t>
  </si>
  <si>
    <t>Reglamento de zonificación</t>
  </si>
  <si>
    <t>Sí</t>
  </si>
  <si>
    <t>Reglamento de banquetas</t>
  </si>
  <si>
    <t>Actualizado después de octubre 2019</t>
  </si>
  <si>
    <t>Contar con reglamentación básica, actualizada y pública ( Plan Municipal de Ordenamiento Territorial y Desarrollo Urbano, Reglamento de Zonificación, Reglamento de Banquetas)</t>
  </si>
  <si>
    <t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t>
  </si>
  <si>
    <t>Atlás de Riesgo actualizado y publicado</t>
  </si>
  <si>
    <t>Actualizado al 2017</t>
  </si>
  <si>
    <t>Actualizado al 2018</t>
  </si>
  <si>
    <t>Actualizado al 2019</t>
  </si>
  <si>
    <t>Total de casas de apuesta o casinos existentes en el municipio operando</t>
  </si>
  <si>
    <t>CO</t>
  </si>
  <si>
    <t>Total de casas de apuesta o casinos existentes en el municipio operando como casinos con permiso municipal de casa de apuesta vigente</t>
  </si>
  <si>
    <t>COPM</t>
  </si>
  <si>
    <t>Porcentaje de casinos que operan con permiso municipal de casa de apuesta vigente</t>
  </si>
  <si>
    <t>COPM/CO</t>
  </si>
  <si>
    <t>Servicios Públicos</t>
  </si>
  <si>
    <t xml:space="preserve">Número de luminarias existentes en el municipio </t>
  </si>
  <si>
    <t>LE</t>
  </si>
  <si>
    <t xml:space="preserve">Número de luminarias requeridas de alumbrado público para cubrir el 100% del municipio </t>
  </si>
  <si>
    <t>LR</t>
  </si>
  <si>
    <t>Porcentaje del municipio que cuenta con alumbrado público</t>
  </si>
  <si>
    <t>LE/LR</t>
  </si>
  <si>
    <t>Número total de viviendas en el municipio con servicio de recolección de residuos</t>
  </si>
  <si>
    <t>RR</t>
  </si>
  <si>
    <t>Porcentaje de viviendas del municipio que cuentan con el servicio de recolección de residuos</t>
  </si>
  <si>
    <t>RR/PVH</t>
  </si>
  <si>
    <t xml:space="preserve">Metros cuadrados de calles pavimentadas existentes en el municipio </t>
  </si>
  <si>
    <t>CPE</t>
  </si>
  <si>
    <t>Metros cuadrados de calles pavimentadas requeridas para cubrir al 100% del municipio</t>
  </si>
  <si>
    <t>CPR</t>
  </si>
  <si>
    <t>Porcentaje de vialidades del municipio que cuentan con pavimentación</t>
  </si>
  <si>
    <t>CPE/CPR</t>
  </si>
  <si>
    <t>Metros lineales de drenaje pluvial existentes en el municipio</t>
  </si>
  <si>
    <t>DPE</t>
  </si>
  <si>
    <t>Metros lineales de drenaje pluvial requeridos para cubrir 100% del municipio</t>
  </si>
  <si>
    <t>DPR</t>
  </si>
  <si>
    <t>Porcentaje del municipio que cuenta con drenaje pluvial</t>
  </si>
  <si>
    <t>DPE/DPR</t>
  </si>
  <si>
    <t>Número de kilómetros de drenaje pluvial con mantenimiento preventivo</t>
  </si>
  <si>
    <t>DPMP</t>
  </si>
  <si>
    <t>Número de kilómetros de drenaje pluvial con mantenimiento correctivo</t>
  </si>
  <si>
    <t>DPMC</t>
  </si>
  <si>
    <t>Documento y/o liga del plan de mantenimiento de drenaje pluvial</t>
  </si>
  <si>
    <t>PMDP</t>
  </si>
  <si>
    <t>Número de kilómetros de drenaje pluvial con mantenimiento (preventivo y/o correctivo) de acuerdo al plan de mantenimiento de drenaje pluvial</t>
  </si>
  <si>
    <t>(DPMP+DPMC)</t>
  </si>
  <si>
    <t>Movilidad</t>
  </si>
  <si>
    <t>Movilidad No Motorizada</t>
  </si>
  <si>
    <t>Kilometros de infraestructura ciclista con base en la Estrategia de Movilidad en Bicicleta establecida en la Ley de Movilidad</t>
  </si>
  <si>
    <t>ICE</t>
  </si>
  <si>
    <t>Metros cuadrados de banquetas construidas (nuevas)</t>
  </si>
  <si>
    <t>BC</t>
  </si>
  <si>
    <t>Metros cuadrados de banquetas rehabilitadas (ya construidas pero reparadas)</t>
  </si>
  <si>
    <t>BR</t>
  </si>
  <si>
    <t>Metros cuadrados de banquetas liberadas de obstáculos fijos</t>
  </si>
  <si>
    <t>BLO</t>
  </si>
  <si>
    <t>Metros cuadrados de banquetas construidos y/o rehabilitadas y/o liberadas de obstáculos</t>
  </si>
  <si>
    <t>(BC+BR+BLO)</t>
  </si>
  <si>
    <t xml:space="preserve">Gasto total en movilidad </t>
  </si>
  <si>
    <t>GTM</t>
  </si>
  <si>
    <t>enero - diciembre 2021</t>
  </si>
  <si>
    <t>Fecha base solo para noviembre 2024: 
enero - septiembre 2021</t>
  </si>
  <si>
    <t>enero- diciembre 2021</t>
  </si>
  <si>
    <t>enero- diciembre 2022</t>
  </si>
  <si>
    <t>enero- diciembre 2023</t>
  </si>
  <si>
    <t>enero- septiembre 2024</t>
  </si>
  <si>
    <t xml:space="preserve">Gasto total en movilidad no motorizada </t>
  </si>
  <si>
    <t>GTMNM</t>
  </si>
  <si>
    <t>Porcentaje del gasto en movilidad no motorizada relativo al gasto total en movilidad</t>
  </si>
  <si>
    <t>GTMNM/GTM</t>
  </si>
  <si>
    <t>Total de cruces peatonales seguros a nivel de calle habilitados (nuevos)</t>
  </si>
  <si>
    <t>CPH</t>
  </si>
  <si>
    <t xml:space="preserve">Total de cruces peatonales seguros a nivel de calle rehabilitados </t>
  </si>
  <si>
    <t xml:space="preserve">Cruces peatonales seguros a nivel de calle habilitados y rehabilitados </t>
  </si>
  <si>
    <t>CPH+CPR</t>
  </si>
  <si>
    <t>Seguridad Vial</t>
  </si>
  <si>
    <t>Cantidad de hechos de tránsito por tipo de colisión: colisión con peatón</t>
  </si>
  <si>
    <t>HTP</t>
  </si>
  <si>
    <t>octubre 2018 - marzo 2019</t>
  </si>
  <si>
    <t>octubre 2018 - septiembre 2019</t>
  </si>
  <si>
    <t>Cantidad de hechos de tránsito por tipo de colisión: colisión con ciclista</t>
  </si>
  <si>
    <t>HTC</t>
  </si>
  <si>
    <t>Cantidad de hechos de tránsito por tipo de colisión: colisión con vehículo</t>
  </si>
  <si>
    <t>HTV</t>
  </si>
  <si>
    <t>Cantidad de hechos de tránsito por tipo de colisión: colisión con motociclista</t>
  </si>
  <si>
    <t>HTM</t>
  </si>
  <si>
    <t>Cantidad de hechos de tránsito por tipo de colisión: otro</t>
  </si>
  <si>
    <t>HTO</t>
  </si>
  <si>
    <t>Cantidad total de hechos de tránsito</t>
  </si>
  <si>
    <t>(HTP+HTC+HTV+HTM+HTO)</t>
  </si>
  <si>
    <t>Gobierno</t>
  </si>
  <si>
    <t>Participación Ciudadana</t>
  </si>
  <si>
    <t>Número de instrumentos de participación ciudadana realizados en el municipio. (Con base la Ley de Participación Ciudadana para el Estado de Nuevo León)</t>
  </si>
  <si>
    <t>PC</t>
  </si>
  <si>
    <t>Gobierno Eficaz</t>
  </si>
  <si>
    <t>Cantidad de trámites y servicios 100% digitalizados</t>
  </si>
  <si>
    <t>TSD</t>
  </si>
  <si>
    <t>Transparencia</t>
  </si>
  <si>
    <t>Calificación en transparencia y acceso a la información pública</t>
  </si>
  <si>
    <t>Comisión de Transparencia y Acceso a la Información del Estado de Nuevo León</t>
  </si>
  <si>
    <t>CT</t>
  </si>
  <si>
    <t>Dic 2021</t>
  </si>
  <si>
    <t>Dic 2022</t>
  </si>
  <si>
    <t>Dic 2023</t>
  </si>
  <si>
    <t>Datos Abiertos</t>
  </si>
  <si>
    <t>Número de bases de datos publicadas en formatos abiertos al menos 4: 
Permisos de construcción
Ciclovías creadas o rehabilitadas
Banquetas creadas o rehabilitadas
Calles pavimentadas creadas o rehabilitadas</t>
  </si>
  <si>
    <t>BD</t>
  </si>
  <si>
    <t>Perspectiva De Género</t>
  </si>
  <si>
    <t>Cantidad de titulares mujeres de secretarías</t>
  </si>
  <si>
    <t>TSM</t>
  </si>
  <si>
    <t>Cantidad de titulares de secretarías totales</t>
  </si>
  <si>
    <t>TST</t>
  </si>
  <si>
    <t>Cantidad de titulares mujeres de subsecrecretarías</t>
  </si>
  <si>
    <t>TSSM</t>
  </si>
  <si>
    <t>Cantidad de titulares de subsecrecretarías totales</t>
  </si>
  <si>
    <t>TSST</t>
  </si>
  <si>
    <t>Cantidad de titulares mujeres de direcciones</t>
  </si>
  <si>
    <t>TDM</t>
  </si>
  <si>
    <t>Cantidad de titulares de direcciones totales</t>
  </si>
  <si>
    <t>TDT</t>
  </si>
  <si>
    <t>Porcentaje de titulares mujeres en las dependencias de gobierno</t>
  </si>
  <si>
    <t>(TSM+TSSM+TDM)/(TST+TSST+TDT)</t>
  </si>
  <si>
    <t>Finanzas Públicas</t>
  </si>
  <si>
    <t>Ingresos</t>
  </si>
  <si>
    <t>Ingresos propios</t>
  </si>
  <si>
    <t>Cuenta pública del municipio</t>
  </si>
  <si>
    <t>IP</t>
  </si>
  <si>
    <t>Ingresos totales</t>
  </si>
  <si>
    <t>IT</t>
  </si>
  <si>
    <t>Ingresos propios como porcentaje de los ingresos totales</t>
  </si>
  <si>
    <t>IP/IT</t>
  </si>
  <si>
    <t>Ingresos/Gasto</t>
  </si>
  <si>
    <t xml:space="preserve">Gasto corriente </t>
  </si>
  <si>
    <t>GC</t>
  </si>
  <si>
    <t xml:space="preserve">Proporción de los ingresos propios para cubrir el gasto corriente del municipio </t>
  </si>
  <si>
    <t>IP/GC</t>
  </si>
  <si>
    <t>Total de predios en el municipio</t>
  </si>
  <si>
    <t>Total de predios que pagaron impuesto predial en el municipio</t>
  </si>
  <si>
    <t>TPIP</t>
  </si>
  <si>
    <t>Porcentaje de predios municipales que pagan impuesto predial</t>
  </si>
  <si>
    <t>TPIP/TP</t>
  </si>
  <si>
    <t>Recaudación monetaria por concepto de predial sin accesorios</t>
  </si>
  <si>
    <t>MPSA</t>
  </si>
  <si>
    <t>Recaudación monetaria por concepto de predial con accesorios</t>
  </si>
  <si>
    <t>MPCA</t>
  </si>
  <si>
    <t>Gasto</t>
  </si>
  <si>
    <t>Gasto total</t>
  </si>
  <si>
    <t>GT</t>
  </si>
  <si>
    <t>Gasto corriente como porcentaje del gasto total</t>
  </si>
  <si>
    <t>GC/GT</t>
  </si>
  <si>
    <t>Deuda</t>
  </si>
  <si>
    <t>Nivel de endeudamiento de acuerdo con calificación de SHCP</t>
  </si>
  <si>
    <t>SHCP, Disciplina Financiera de Entidades Federativas y Municipios</t>
  </si>
  <si>
    <t>SHCP</t>
  </si>
  <si>
    <t>Dic 2020</t>
  </si>
  <si>
    <t>Verde</t>
  </si>
  <si>
    <t>Nombre del indicador</t>
  </si>
  <si>
    <t>Dato 
Evaluación 1
a Septiembre 22</t>
  </si>
  <si>
    <t>Cálculo
Avance</t>
  </si>
  <si>
    <t>Fórmula 
Avance</t>
  </si>
  <si>
    <t>Puntos máximos</t>
  </si>
  <si>
    <t>Puntos obtenidos</t>
  </si>
  <si>
    <t>Calificación por eje</t>
  </si>
  <si>
    <t>Actual / Meta
(si el valor actual es menor al dato base, se considera sin avance)</t>
  </si>
  <si>
    <t>97% - 100%</t>
  </si>
  <si>
    <t>Actual / Meta</t>
  </si>
  <si>
    <t>(Actual - Base) / (Meta - Base)</t>
  </si>
  <si>
    <t>NA</t>
  </si>
  <si>
    <t>Meta 
Evaluación 1
a Noviembre 22</t>
  </si>
  <si>
    <t>Meta 
Evaluación 3
a Noviembre 23</t>
  </si>
  <si>
    <t>Meta 
Evaluación 5
a Noviembre 24</t>
  </si>
  <si>
    <t>Dato 
Evaluación 1
(Noviembre 22)</t>
  </si>
  <si>
    <t>Dato 
Evaluación 3
(Noviembre 23)</t>
  </si>
  <si>
    <t>Dato 
Evaluación 5
(Noviembre 24)</t>
  </si>
  <si>
    <t>&gt;=97%</t>
  </si>
  <si>
    <t>Total de policías municipales que cuenten en dicho periodo con capacitación para realizar investigación y/o procesamiento de evidencias por parte de la Fiscalía General del Estado de Nuevo León.</t>
  </si>
  <si>
    <t>Total de policías municipales que cuenten en dicho periodo con capacitación para realizar investigación y/o procesamiento de evidencias por parte otras Instituciones.</t>
  </si>
  <si>
    <t>Total de toneladas de residuos que fueron recicladas</t>
  </si>
  <si>
    <t>Total de toneladas de residuos que fueron recolectadas</t>
  </si>
  <si>
    <t>RRec</t>
  </si>
  <si>
    <t>Porcentaje de residuos reciclados del total de residuos recolectados</t>
  </si>
  <si>
    <t>RR/RRec</t>
  </si>
  <si>
    <t>octubre 21 - mar 23</t>
  </si>
  <si>
    <t>octubre 21 - septiembre 23</t>
  </si>
  <si>
    <t>octubre 21 - mar 24</t>
  </si>
  <si>
    <t>Número de instrumentos de participación ciudadana existentes en el municipio. (Con base la Ley de Participación Ciudadana para el Estado de Nuevo León)</t>
  </si>
  <si>
    <t>Dato 
Evaluación  Evaluación 2
(Mayo 23)</t>
  </si>
  <si>
    <t>Meta 
Evaluación  Evaluación 2
(Mayo 23)</t>
  </si>
  <si>
    <t>Meta / Actual</t>
  </si>
  <si>
    <t>Eventos generados por llamadas al 911 por robos</t>
  </si>
  <si>
    <t>octubre 20 - mar 22</t>
  </si>
  <si>
    <t>octubre 20 - septiembre 22</t>
  </si>
  <si>
    <t>octubre 21- mar 23</t>
  </si>
  <si>
    <t>octubre 22- mar 24</t>
  </si>
  <si>
    <t>octubre 22 - septiembre 24</t>
  </si>
  <si>
    <t>octubre 23- mar 25</t>
  </si>
  <si>
    <t>octubre 23 - septiembre 25</t>
  </si>
  <si>
    <t>Eventos generados al 911 por actos relacionados con la libertad y seguridad sexual</t>
  </si>
  <si>
    <t>Atlas de Riesgo actualizado y publicado</t>
  </si>
  <si>
    <t>Dato 
Evaluación  Evaluación 3
(Noviembre 23)</t>
  </si>
  <si>
    <t>Meta 
Evaluación  Evaluación 3
(Noviembre 23)</t>
  </si>
  <si>
    <t>Dato 
Evaluación  Evaluación 4
(Mayo 24)</t>
  </si>
  <si>
    <t>Meta 
Evaluación  Evaluación 4
(Mayo 24)</t>
  </si>
  <si>
    <t>fecha base eva 5</t>
  </si>
  <si>
    <t>Fecha Evaluación 5
(Octubre 24)</t>
  </si>
  <si>
    <t>dato base eva 5</t>
  </si>
  <si>
    <t>Meta 
Evaluación 5
a Octubre 24</t>
  </si>
  <si>
    <t>Dato 
Evaluación 5
(Octubre 24)</t>
  </si>
  <si>
    <t>Ago 2024</t>
  </si>
  <si>
    <t>octubre 20 - agosto 21</t>
  </si>
  <si>
    <t>octubre 23 - agosto 24</t>
  </si>
  <si>
    <t>octubre 21 - agosto 24</t>
  </si>
  <si>
    <t>enero - agosto 2021</t>
  </si>
  <si>
    <t>enero- agosto 2024</t>
  </si>
  <si>
    <t>octubre 18 - agosto 19</t>
  </si>
  <si>
    <t>enero - junio 2021</t>
  </si>
  <si>
    <t>enero- junio 2024</t>
  </si>
  <si>
    <t>Ago 2021</t>
  </si>
  <si>
    <t>Fecha Base Evaluación 5</t>
  </si>
  <si>
    <t>Dato base
Evaluación 5</t>
  </si>
  <si>
    <t>Fecha Evaluación 5
(Oct 24)</t>
  </si>
  <si>
    <t>Dato 
Evaluación  Evaluación 5
(Oct 24)</t>
  </si>
  <si>
    <t>Meta 
Evaluación  Evaluación 5
(Oct 24)</t>
  </si>
  <si>
    <t>Alcalde, Cómo Vamos</t>
  </si>
  <si>
    <t>Apodaca</t>
  </si>
  <si>
    <t>Desarrollo Urbano</t>
  </si>
  <si>
    <t>Finanzas</t>
  </si>
  <si>
    <t>Ponderación EVA 1</t>
  </si>
  <si>
    <t>EVA 1       Nov 2022</t>
  </si>
  <si>
    <t>Ponderación EVA 2</t>
  </si>
  <si>
    <t>Ponderación EVA 3</t>
  </si>
  <si>
    <t>Ponderación EVA 4</t>
  </si>
  <si>
    <t>Ponderación EVA 5</t>
  </si>
  <si>
    <t>EVA 2       May 2023</t>
  </si>
  <si>
    <t>EVA 3       Nov 2023</t>
  </si>
  <si>
    <t>EVA 4       May 2024</t>
  </si>
  <si>
    <t>EVA 5       Oct 2024</t>
  </si>
  <si>
    <t>Calificación total promedio:</t>
  </si>
  <si>
    <t>Promedio Eje</t>
  </si>
  <si>
    <t>Calificación general por evaluación</t>
  </si>
  <si>
    <t>Resultados Evaluación de Alcalde, Cómo Vamos 2021-2024</t>
  </si>
  <si>
    <t>Bases de datos:</t>
  </si>
  <si>
    <t>Evaluaciones por eje:</t>
  </si>
  <si>
    <t>APODACA</t>
  </si>
  <si>
    <t>Evaluación histórica:</t>
  </si>
  <si>
    <t>BD Evaluación Nov 2022</t>
  </si>
  <si>
    <t>BD Evaluación Nov 2023</t>
  </si>
  <si>
    <t>BD Evaluación Mayo 2023</t>
  </si>
  <si>
    <t>BD Evaluación Mayo 2024</t>
  </si>
  <si>
    <t>BD Evaluación Oct 2024</t>
  </si>
  <si>
    <t>Evaluación Nov 2022 por eje</t>
  </si>
  <si>
    <t>Evaluación Mayo 2023 por eje</t>
  </si>
  <si>
    <t>Evaluación Nov 2023 por eje</t>
  </si>
  <si>
    <t>Evaluación Mayo 2024 por eje</t>
  </si>
  <si>
    <t>Evaluación Oct 2024 por eje</t>
  </si>
  <si>
    <t>Evaluación general histórica 2021-2024</t>
  </si>
  <si>
    <t>ESCOBEDO</t>
  </si>
  <si>
    <t>GARCÍA</t>
  </si>
  <si>
    <t>GUADALUPE</t>
  </si>
  <si>
    <t>JUÁREZ</t>
  </si>
  <si>
    <t>MONTERREY</t>
  </si>
  <si>
    <t>SAN NICOLÁS DE LOS GARZA</t>
  </si>
  <si>
    <t>SAN PEDRO GARZA GARCÍA</t>
  </si>
  <si>
    <t>SANTA CATARINA</t>
  </si>
  <si>
    <t>*</t>
  </si>
  <si>
    <t>sí</t>
  </si>
  <si>
    <t>Sin meta</t>
  </si>
  <si>
    <t/>
  </si>
  <si>
    <t>Fecha Base EVA 5</t>
  </si>
  <si>
    <t>Dato base EVA 5</t>
  </si>
  <si>
    <t>Meta 
Evaluación 5
 Octubre 24</t>
  </si>
  <si>
    <t>Escobedo</t>
  </si>
  <si>
    <t>García</t>
  </si>
  <si>
    <t>sin meta</t>
  </si>
  <si>
    <t>Dato 
Evaluación 0
(Mayo 22)</t>
  </si>
  <si>
    <t>Prevención Del Delito</t>
  </si>
  <si>
    <t>Sin dato</t>
  </si>
  <si>
    <t>Meta 
Evaluación 5
Octubre 24</t>
  </si>
  <si>
    <t>Dato 
Evaluación 5
Octubre 24)</t>
  </si>
  <si>
    <t>Guadalupe</t>
  </si>
  <si>
    <t>Amarillo</t>
  </si>
  <si>
    <t>Juárez</t>
  </si>
  <si>
    <t xml:space="preserve">Sin información </t>
  </si>
  <si>
    <t>n/a</t>
  </si>
  <si>
    <t>Sin info</t>
  </si>
  <si>
    <t>verde</t>
  </si>
  <si>
    <t>n/A</t>
  </si>
  <si>
    <t>Reservada</t>
  </si>
  <si>
    <t>#VALUE!</t>
  </si>
  <si>
    <t>Dato Base EVA 5</t>
  </si>
  <si>
    <t>Monterrey</t>
  </si>
  <si>
    <t>Semáforo delictivo</t>
  </si>
  <si>
    <t>San Nicolás de los Garza</t>
  </si>
  <si>
    <t>San Pedro Garza García</t>
  </si>
  <si>
    <t>N/A</t>
  </si>
  <si>
    <t xml:space="preserve"> </t>
  </si>
  <si>
    <t>Santa Catarina</t>
  </si>
  <si>
    <t>Dato Evaluación 1 (Noviembre 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</si>
</sst>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mmm\ yyyy"/>
    <numFmt numFmtId="165" formatCode="0.0%"/>
    <numFmt numFmtId="166" formatCode="#,##0.0"/>
    <numFmt numFmtId="167" formatCode="0.0"/>
    <numFmt numFmtId="168" formatCode="#,##0.000"/>
    <numFmt numFmtId="169" formatCode="&quot;$&quot;#,##0.00"/>
    <numFmt numFmtId="170" formatCode="&quot;$&quot;#,##0.0"/>
    <numFmt numFmtId="175" formatCode="0.000%"/>
    <numFmt numFmtId="176" formatCode="#,##0.0000"/>
    <numFmt numFmtId="184" formatCode="&quot;$&quot;#,##0"/>
  </numFmts>
  <fonts count="46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rgb="FFFFFFFF"/>
      <name val="Raleway"/>
    </font>
    <font>
      <sz val="10"/>
      <color theme="1"/>
      <name val="Raleway"/>
    </font>
    <font>
      <sz val="10"/>
      <color rgb="FF000000"/>
      <name val="Raleway"/>
    </font>
    <font>
      <sz val="10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rgb="FF000000"/>
      <name val="Aptos Narrow"/>
      <family val="2"/>
      <scheme val="minor"/>
    </font>
    <font>
      <sz val="10"/>
      <name val="Arial"/>
      <family val="2"/>
    </font>
    <font>
      <b/>
      <sz val="10"/>
      <color theme="1"/>
      <name val="Raleway"/>
    </font>
    <font>
      <b/>
      <sz val="10"/>
      <name val="Arial"/>
      <family val="2"/>
    </font>
    <font>
      <sz val="10"/>
      <color rgb="FFFFFFFF"/>
      <name val="Raleway"/>
    </font>
    <font>
      <u/>
      <sz val="10"/>
      <color rgb="FF0000FF"/>
      <name val="Raleway"/>
    </font>
    <font>
      <b/>
      <sz val="10"/>
      <name val="Raleway"/>
    </font>
    <font>
      <u/>
      <sz val="10"/>
      <color theme="1"/>
      <name val="Raleway"/>
    </font>
    <font>
      <b/>
      <sz val="18"/>
      <color rgb="FF7E33C3"/>
      <name val="Raleway"/>
    </font>
    <font>
      <b/>
      <sz val="11"/>
      <color rgb="FFED7D31"/>
      <name val="Raleway"/>
    </font>
    <font>
      <b/>
      <sz val="12"/>
      <color rgb="FFED7D31"/>
      <name val="Raleway"/>
    </font>
    <font>
      <sz val="8"/>
      <name val="Aptos Narrow"/>
      <family val="2"/>
      <scheme val="minor"/>
    </font>
    <font>
      <sz val="11"/>
      <color theme="1"/>
      <name val="Raleway"/>
    </font>
    <font>
      <b/>
      <sz val="12"/>
      <color rgb="FF7E33C3"/>
      <name val="Raleway"/>
    </font>
    <font>
      <b/>
      <sz val="12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Raleway Regular"/>
    </font>
    <font>
      <b/>
      <sz val="11"/>
      <color theme="1"/>
      <name val="Raleway Regular"/>
    </font>
    <font>
      <b/>
      <sz val="12"/>
      <color rgb="FF7E32C3"/>
      <name val="Raleway Regular"/>
    </font>
    <font>
      <u/>
      <sz val="12"/>
      <color theme="10"/>
      <name val="Aptos Narrow"/>
      <family val="2"/>
      <scheme val="minor"/>
    </font>
    <font>
      <b/>
      <sz val="16"/>
      <color theme="1"/>
      <name val="Laca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</font>
    <font>
      <b/>
      <sz val="12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rgb="FF7E32C3"/>
      <name val="Calibri"/>
      <family val="2"/>
    </font>
    <font>
      <u/>
      <sz val="12"/>
      <color rgb="FF467886"/>
      <name val="Calibri"/>
      <family val="2"/>
    </font>
    <font>
      <sz val="12"/>
      <color rgb="FF000000"/>
      <name val="Aptos Narrow"/>
      <family val="2"/>
      <scheme val="minor"/>
    </font>
    <font>
      <sz val="10"/>
      <color theme="6"/>
      <name val="Raleway"/>
    </font>
    <font>
      <u/>
      <sz val="10"/>
      <color rgb="FF1155CC"/>
      <name val="Raleway"/>
    </font>
    <font>
      <b/>
      <sz val="11"/>
      <color rgb="FFFFFFFF"/>
      <name val="Raleway"/>
    </font>
    <font>
      <sz val="11"/>
      <color rgb="FF000000"/>
      <name val="Raleway"/>
    </font>
    <font>
      <sz val="11"/>
      <color rgb="FF000000"/>
      <name val="Inconsolata"/>
    </font>
    <font>
      <sz val="10"/>
      <color rgb="FF434343"/>
      <name val="Raleway"/>
    </font>
    <font>
      <sz val="11"/>
      <color rgb="FF434343"/>
      <name val="Raleway"/>
    </font>
    <font>
      <sz val="9"/>
      <color theme="1"/>
      <name val="Raleway"/>
    </font>
    <font>
      <u/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7E33C3"/>
        <bgColor rgb="FF7E33C3"/>
      </patternFill>
    </fill>
    <fill>
      <patternFill patternType="solid">
        <fgColor rgb="FFED7D31"/>
        <bgColor rgb="FFED7D31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3F3F3"/>
        <bgColor rgb="FFF3F3F3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B7B7B7"/>
        <bgColor rgb="FFB7B7B7"/>
      </patternFill>
    </fill>
    <fill>
      <patternFill patternType="solid">
        <fgColor rgb="FFE06666"/>
        <bgColor rgb="FFE06666"/>
      </patternFill>
    </fill>
    <fill>
      <patternFill patternType="solid">
        <fgColor theme="0"/>
        <bgColor theme="0"/>
      </patternFill>
    </fill>
    <fill>
      <patternFill patternType="solid">
        <fgColor theme="6"/>
        <bgColor rgb="FFFF0000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rgb="FFFFC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FBBC04"/>
        <bgColor rgb="FFFBBC04"/>
      </patternFill>
    </fill>
    <fill>
      <patternFill patternType="solid">
        <fgColor rgb="FFD8D8D8"/>
        <bgColor rgb="FFD8D8D8"/>
      </patternFill>
    </fill>
    <fill>
      <patternFill patternType="solid">
        <fgColor theme="5"/>
        <bgColor theme="5"/>
      </patternFill>
    </fill>
    <fill>
      <patternFill patternType="solid">
        <fgColor rgb="FFFFC000"/>
        <bgColor theme="5"/>
      </patternFill>
    </fill>
    <fill>
      <patternFill patternType="solid">
        <fgColor rgb="FF999999"/>
        <bgColor rgb="FF999999"/>
      </patternFill>
    </fill>
    <fill>
      <patternFill patternType="solid">
        <fgColor rgb="FFB6D7A8"/>
        <bgColor rgb="FFB6D7A8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52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center" vertical="center"/>
    </xf>
    <xf numFmtId="164" fontId="4" fillId="5" borderId="0" xfId="0" applyNumberFormat="1" applyFont="1" applyFill="1" applyAlignment="1">
      <alignment horizontal="center"/>
    </xf>
    <xf numFmtId="164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vertical="center"/>
    </xf>
    <xf numFmtId="9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5" borderId="0" xfId="0" applyFont="1" applyFill="1"/>
    <xf numFmtId="3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0" fontId="4" fillId="0" borderId="0" xfId="0" applyNumberFormat="1" applyFont="1" applyAlignment="1">
      <alignment vertical="center"/>
    </xf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 vertical="center"/>
    </xf>
    <xf numFmtId="0" fontId="6" fillId="0" borderId="0" xfId="0" applyFont="1"/>
    <xf numFmtId="0" fontId="4" fillId="7" borderId="0" xfId="0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9" fontId="4" fillId="0" borderId="0" xfId="0" applyNumberFormat="1" applyFont="1" applyAlignment="1">
      <alignment vertical="center"/>
    </xf>
    <xf numFmtId="10" fontId="4" fillId="4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4" fillId="8" borderId="0" xfId="0" applyFont="1" applyFill="1" applyAlignment="1">
      <alignment horizontal="right"/>
    </xf>
    <xf numFmtId="10" fontId="7" fillId="4" borderId="0" xfId="0" applyNumberFormat="1" applyFont="1" applyFill="1"/>
    <xf numFmtId="164" fontId="7" fillId="4" borderId="0" xfId="0" applyNumberFormat="1" applyFont="1" applyFill="1"/>
    <xf numFmtId="0" fontId="7" fillId="4" borderId="0" xfId="0" applyFont="1" applyFill="1"/>
    <xf numFmtId="9" fontId="4" fillId="4" borderId="0" xfId="0" applyNumberFormat="1" applyFont="1" applyFill="1" applyAlignment="1">
      <alignment vertical="center"/>
    </xf>
    <xf numFmtId="164" fontId="4" fillId="5" borderId="0" xfId="0" applyNumberFormat="1" applyFont="1" applyFill="1"/>
    <xf numFmtId="0" fontId="4" fillId="9" borderId="0" xfId="0" applyFont="1" applyFill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10" fontId="4" fillId="9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169" fontId="4" fillId="9" borderId="0" xfId="0" applyNumberFormat="1" applyFont="1" applyFill="1" applyAlignment="1">
      <alignment horizontal="center" vertical="center"/>
    </xf>
    <xf numFmtId="10" fontId="7" fillId="9" borderId="0" xfId="0" applyNumberFormat="1" applyFont="1" applyFill="1"/>
    <xf numFmtId="10" fontId="4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7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9" fontId="4" fillId="4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3" fontId="3" fillId="2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164" fontId="4" fillId="5" borderId="2" xfId="0" applyNumberFormat="1" applyFont="1" applyFill="1" applyBorder="1" applyAlignment="1">
      <alignment horizontal="center" wrapText="1"/>
    </xf>
    <xf numFmtId="164" fontId="4" fillId="5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wrapText="1"/>
    </xf>
    <xf numFmtId="10" fontId="4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169" fontId="4" fillId="0" borderId="2" xfId="0" applyNumberFormat="1" applyFont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0" fontId="4" fillId="9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70" fontId="4" fillId="0" borderId="2" xfId="0" applyNumberFormat="1" applyFont="1" applyBorder="1" applyAlignment="1">
      <alignment horizontal="center" vertical="center" wrapText="1"/>
    </xf>
    <xf numFmtId="166" fontId="5" fillId="5" borderId="0" xfId="0" applyNumberFormat="1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9" fontId="5" fillId="5" borderId="2" xfId="0" applyNumberFormat="1" applyFont="1" applyFill="1" applyBorder="1" applyAlignment="1">
      <alignment horizontal="center" vertical="center"/>
    </xf>
    <xf numFmtId="165" fontId="5" fillId="5" borderId="2" xfId="0" applyNumberFormat="1" applyFont="1" applyFill="1" applyBorder="1" applyAlignment="1">
      <alignment horizontal="center" vertical="center"/>
    </xf>
    <xf numFmtId="10" fontId="5" fillId="5" borderId="2" xfId="0" applyNumberFormat="1" applyFont="1" applyFill="1" applyBorder="1" applyAlignment="1">
      <alignment horizontal="center" vertical="center"/>
    </xf>
    <xf numFmtId="9" fontId="4" fillId="0" borderId="2" xfId="0" applyNumberFormat="1" applyFont="1" applyBorder="1" applyAlignment="1">
      <alignment horizontal="center" vertical="center"/>
    </xf>
    <xf numFmtId="167" fontId="5" fillId="5" borderId="2" xfId="0" applyNumberFormat="1" applyFont="1" applyFill="1" applyBorder="1" applyAlignment="1">
      <alignment horizontal="center" vertical="center"/>
    </xf>
    <xf numFmtId="166" fontId="5" fillId="5" borderId="2" xfId="0" applyNumberFormat="1" applyFont="1" applyFill="1" applyBorder="1" applyAlignment="1">
      <alignment horizontal="center" vertical="center"/>
    </xf>
    <xf numFmtId="2" fontId="5" fillId="5" borderId="2" xfId="0" applyNumberFormat="1" applyFont="1" applyFill="1" applyBorder="1" applyAlignment="1">
      <alignment horizontal="center" vertical="center"/>
    </xf>
    <xf numFmtId="164" fontId="4" fillId="9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10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10" fillId="0" borderId="2" xfId="0" applyNumberFormat="1" applyFont="1" applyBorder="1" applyAlignment="1">
      <alignment horizontal="center" vertical="center"/>
    </xf>
    <xf numFmtId="0" fontId="11" fillId="0" borderId="2" xfId="0" applyFont="1" applyBorder="1"/>
    <xf numFmtId="167" fontId="10" fillId="0" borderId="2" xfId="0" applyNumberFormat="1" applyFont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2" fillId="0" borderId="0" xfId="0" applyFont="1"/>
    <xf numFmtId="0" fontId="3" fillId="2" borderId="0" xfId="0" applyFont="1" applyFill="1" applyAlignment="1">
      <alignment vertical="center" wrapText="1"/>
    </xf>
    <xf numFmtId="0" fontId="0" fillId="0" borderId="0" xfId="0" applyAlignment="1">
      <alignment horizontal="center" wrapText="1"/>
    </xf>
    <xf numFmtId="0" fontId="10" fillId="5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166" fontId="10" fillId="0" borderId="2" xfId="0" applyNumberFormat="1" applyFont="1" applyBorder="1" applyAlignment="1">
      <alignment horizontal="center" vertical="center" wrapText="1"/>
    </xf>
    <xf numFmtId="9" fontId="5" fillId="5" borderId="2" xfId="0" applyNumberFormat="1" applyFont="1" applyFill="1" applyBorder="1" applyAlignment="1">
      <alignment horizontal="center" vertical="center" wrapText="1"/>
    </xf>
    <xf numFmtId="165" fontId="5" fillId="5" borderId="2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wrapText="1"/>
    </xf>
    <xf numFmtId="10" fontId="5" fillId="5" borderId="2" xfId="0" applyNumberFormat="1" applyFont="1" applyFill="1" applyBorder="1" applyAlignment="1">
      <alignment horizontal="center" vertical="center" wrapText="1"/>
    </xf>
    <xf numFmtId="167" fontId="5" fillId="5" borderId="2" xfId="0" applyNumberFormat="1" applyFont="1" applyFill="1" applyBorder="1" applyAlignment="1">
      <alignment horizontal="center" vertical="center" wrapText="1"/>
    </xf>
    <xf numFmtId="167" fontId="10" fillId="0" borderId="2" xfId="0" applyNumberFormat="1" applyFont="1" applyBorder="1" applyAlignment="1">
      <alignment horizontal="center" vertical="center" wrapText="1"/>
    </xf>
    <xf numFmtId="166" fontId="5" fillId="5" borderId="2" xfId="0" applyNumberFormat="1" applyFont="1" applyFill="1" applyBorder="1" applyAlignment="1">
      <alignment horizontal="center" vertical="center" wrapText="1"/>
    </xf>
    <xf numFmtId="2" fontId="5" fillId="5" borderId="2" xfId="0" applyNumberFormat="1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 vertical="center" wrapText="1"/>
    </xf>
    <xf numFmtId="10" fontId="5" fillId="9" borderId="2" xfId="0" applyNumberFormat="1" applyFont="1" applyFill="1" applyBorder="1" applyAlignment="1">
      <alignment horizontal="center" vertical="center" wrapText="1"/>
    </xf>
    <xf numFmtId="9" fontId="4" fillId="9" borderId="2" xfId="0" applyNumberFormat="1" applyFont="1" applyFill="1" applyBorder="1" applyAlignment="1">
      <alignment horizontal="center" vertical="center" wrapText="1"/>
    </xf>
    <xf numFmtId="167" fontId="5" fillId="9" borderId="2" xfId="0" applyNumberFormat="1" applyFont="1" applyFill="1" applyBorder="1" applyAlignment="1">
      <alignment horizontal="center" vertical="center" wrapText="1"/>
    </xf>
    <xf numFmtId="3" fontId="5" fillId="5" borderId="2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4" fontId="5" fillId="5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0" fontId="10" fillId="5" borderId="2" xfId="0" applyFont="1" applyFill="1" applyBorder="1" applyAlignment="1">
      <alignment vertical="center" wrapText="1"/>
    </xf>
    <xf numFmtId="0" fontId="4" fillId="5" borderId="2" xfId="0" applyFont="1" applyFill="1" applyBorder="1" applyAlignment="1">
      <alignment vertical="center" wrapText="1"/>
    </xf>
    <xf numFmtId="164" fontId="4" fillId="5" borderId="2" xfId="0" applyNumberFormat="1" applyFont="1" applyFill="1" applyBorder="1" applyAlignment="1">
      <alignment vertical="center" wrapText="1"/>
    </xf>
    <xf numFmtId="9" fontId="4" fillId="9" borderId="2" xfId="0" applyNumberFormat="1" applyFont="1" applyFill="1" applyBorder="1" applyAlignment="1">
      <alignment horizontal="center" wrapText="1"/>
    </xf>
    <xf numFmtId="164" fontId="4" fillId="9" borderId="2" xfId="0" applyNumberFormat="1" applyFont="1" applyFill="1" applyBorder="1" applyAlignment="1">
      <alignment horizontal="center" wrapText="1"/>
    </xf>
    <xf numFmtId="0" fontId="4" fillId="9" borderId="2" xfId="0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4" fillId="5" borderId="0" xfId="0" applyFont="1" applyFill="1" applyAlignment="1">
      <alignment horizontal="left"/>
    </xf>
    <xf numFmtId="175" fontId="4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6" fillId="0" borderId="0" xfId="0" applyFont="1" applyAlignment="1"/>
    <xf numFmtId="0" fontId="4" fillId="5" borderId="0" xfId="0" applyFont="1" applyFill="1" applyAlignment="1"/>
    <xf numFmtId="0" fontId="4" fillId="0" borderId="0" xfId="0" applyFont="1" applyAlignment="1"/>
    <xf numFmtId="164" fontId="7" fillId="4" borderId="0" xfId="0" applyNumberFormat="1" applyFont="1" applyFill="1" applyAlignment="1"/>
    <xf numFmtId="0" fontId="7" fillId="4" borderId="0" xfId="0" applyFont="1" applyFill="1" applyAlignment="1"/>
    <xf numFmtId="164" fontId="4" fillId="5" borderId="0" xfId="0" applyNumberFormat="1" applyFont="1" applyFill="1" applyAlignment="1"/>
    <xf numFmtId="2" fontId="4" fillId="0" borderId="0" xfId="0" applyNumberFormat="1" applyFont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70" fontId="4" fillId="0" borderId="2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wrapText="1"/>
    </xf>
    <xf numFmtId="167" fontId="4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wrapText="1"/>
    </xf>
    <xf numFmtId="3" fontId="4" fillId="0" borderId="2" xfId="0" applyNumberFormat="1" applyFont="1" applyBorder="1" applyAlignment="1">
      <alignment horizontal="center" wrapText="1"/>
    </xf>
    <xf numFmtId="167" fontId="10" fillId="0" borderId="4" xfId="0" applyNumberFormat="1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175" fontId="4" fillId="10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4" fontId="7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164" fontId="4" fillId="5" borderId="0" xfId="0" applyNumberFormat="1" applyFont="1" applyFill="1" applyAlignment="1">
      <alignment vertical="center"/>
    </xf>
    <xf numFmtId="170" fontId="4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5" fillId="11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7" fillId="0" borderId="0" xfId="0" applyFont="1"/>
    <xf numFmtId="165" fontId="4" fillId="5" borderId="0" xfId="0" applyNumberFormat="1" applyFont="1" applyFill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167" fontId="4" fillId="5" borderId="0" xfId="0" applyNumberFormat="1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76" fontId="3" fillId="3" borderId="2" xfId="0" applyNumberFormat="1" applyFont="1" applyFill="1" applyBorder="1" applyAlignment="1">
      <alignment horizontal="center" vertical="center" wrapText="1"/>
    </xf>
    <xf numFmtId="165" fontId="4" fillId="5" borderId="2" xfId="0" applyNumberFormat="1" applyFont="1" applyFill="1" applyBorder="1" applyAlignment="1">
      <alignment horizontal="center" vertical="center"/>
    </xf>
    <xf numFmtId="166" fontId="4" fillId="5" borderId="2" xfId="0" applyNumberFormat="1" applyFont="1" applyFill="1" applyBorder="1" applyAlignment="1">
      <alignment horizontal="center" vertical="center"/>
    </xf>
    <xf numFmtId="167" fontId="4" fillId="5" borderId="2" xfId="0" applyNumberFormat="1" applyFont="1" applyFill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10" fontId="4" fillId="5" borderId="2" xfId="0" applyNumberFormat="1" applyFont="1" applyFill="1" applyBorder="1" applyAlignment="1">
      <alignment horizontal="center" vertical="center"/>
    </xf>
    <xf numFmtId="2" fontId="4" fillId="5" borderId="2" xfId="0" applyNumberFormat="1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center" vertical="center"/>
    </xf>
    <xf numFmtId="9" fontId="4" fillId="5" borderId="2" xfId="0" applyNumberFormat="1" applyFont="1" applyFill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/>
    </xf>
    <xf numFmtId="165" fontId="4" fillId="5" borderId="2" xfId="0" applyNumberFormat="1" applyFont="1" applyFill="1" applyBorder="1" applyAlignment="1">
      <alignment horizontal="center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167" fontId="4" fillId="5" borderId="2" xfId="0" applyNumberFormat="1" applyFont="1" applyFill="1" applyBorder="1" applyAlignment="1">
      <alignment horizontal="center" vertical="center" wrapText="1"/>
    </xf>
    <xf numFmtId="10" fontId="4" fillId="5" borderId="2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4" fontId="4" fillId="5" borderId="2" xfId="0" applyNumberFormat="1" applyFont="1" applyFill="1" applyBorder="1" applyAlignment="1">
      <alignment horizontal="center" vertical="center" wrapText="1"/>
    </xf>
    <xf numFmtId="9" fontId="4" fillId="5" borderId="2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3" fillId="12" borderId="0" xfId="0" applyFont="1" applyFill="1" applyAlignment="1">
      <alignment horizontal="center" vertical="center" wrapText="1"/>
    </xf>
    <xf numFmtId="1" fontId="4" fillId="4" borderId="0" xfId="0" applyNumberFormat="1" applyFont="1" applyFill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65" fontId="4" fillId="9" borderId="2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8" fillId="0" borderId="0" xfId="0" applyFont="1"/>
    <xf numFmtId="0" fontId="20" fillId="0" borderId="0" xfId="0" applyFont="1"/>
    <xf numFmtId="0" fontId="21" fillId="0" borderId="0" xfId="0" applyFont="1"/>
    <xf numFmtId="0" fontId="17" fillId="0" borderId="0" xfId="0" applyFont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0" fontId="23" fillId="0" borderId="0" xfId="0" applyFont="1"/>
    <xf numFmtId="9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67" fontId="0" fillId="0" borderId="0" xfId="0" applyNumberFormat="1" applyFont="1"/>
    <xf numFmtId="0" fontId="28" fillId="0" borderId="0" xfId="0" applyFont="1"/>
    <xf numFmtId="0" fontId="29" fillId="0" borderId="0" xfId="0" applyFont="1"/>
    <xf numFmtId="0" fontId="27" fillId="0" borderId="0" xfId="2"/>
    <xf numFmtId="0" fontId="30" fillId="0" borderId="0" xfId="2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3" fontId="7" fillId="4" borderId="0" xfId="0" applyNumberFormat="1" applyFont="1" applyFill="1" applyAlignment="1">
      <alignment vertical="center"/>
    </xf>
    <xf numFmtId="0" fontId="7" fillId="0" borderId="0" xfId="0" applyFont="1" applyAlignment="1">
      <alignment vertical="center"/>
    </xf>
    <xf numFmtId="10" fontId="7" fillId="7" borderId="0" xfId="0" applyNumberFormat="1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4" fillId="4" borderId="0" xfId="0" applyFont="1" applyFill="1" applyAlignment="1">
      <alignment horizontal="right" vertical="center"/>
    </xf>
    <xf numFmtId="0" fontId="4" fillId="13" borderId="0" xfId="0" applyFont="1" applyFill="1" applyAlignment="1">
      <alignment horizontal="center" vertical="center"/>
    </xf>
    <xf numFmtId="0" fontId="4" fillId="0" borderId="0" xfId="0" applyFont="1" applyAlignment="1">
      <alignment horizontal="right" vertical="center"/>
    </xf>
    <xf numFmtId="9" fontId="7" fillId="4" borderId="0" xfId="0" applyNumberFormat="1" applyFont="1" applyFill="1" applyAlignment="1">
      <alignment vertical="center"/>
    </xf>
    <xf numFmtId="164" fontId="4" fillId="0" borderId="0" xfId="0" applyNumberFormat="1" applyFont="1" applyAlignment="1">
      <alignment horizontal="right" vertical="center"/>
    </xf>
    <xf numFmtId="165" fontId="4" fillId="5" borderId="0" xfId="0" applyNumberFormat="1" applyFont="1" applyFill="1" applyAlignment="1">
      <alignment vertical="center"/>
    </xf>
    <xf numFmtId="3" fontId="4" fillId="0" borderId="0" xfId="0" applyNumberFormat="1" applyFont="1" applyAlignment="1">
      <alignment horizontal="center"/>
    </xf>
    <xf numFmtId="0" fontId="7" fillId="0" borderId="0" xfId="0" applyFont="1" applyAlignment="1"/>
    <xf numFmtId="9" fontId="4" fillId="0" borderId="0" xfId="0" applyNumberFormat="1" applyFont="1" applyAlignment="1"/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166" fontId="4" fillId="0" borderId="0" xfId="0" applyNumberFormat="1" applyFont="1" applyAlignment="1"/>
    <xf numFmtId="0" fontId="4" fillId="6" borderId="0" xfId="0" applyFont="1" applyFill="1" applyAlignment="1">
      <alignment horizontal="center"/>
    </xf>
    <xf numFmtId="169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right"/>
    </xf>
    <xf numFmtId="3" fontId="4" fillId="4" borderId="0" xfId="0" applyNumberFormat="1" applyFont="1" applyFill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3" xfId="0" applyFont="1" applyBorder="1" applyAlignment="1">
      <alignment horizontal="center" vertical="center"/>
    </xf>
    <xf numFmtId="165" fontId="4" fillId="9" borderId="2" xfId="0" applyNumberFormat="1" applyFont="1" applyFill="1" applyBorder="1" applyAlignment="1">
      <alignment horizontal="center" wrapText="1"/>
    </xf>
    <xf numFmtId="10" fontId="4" fillId="9" borderId="2" xfId="0" applyNumberFormat="1" applyFont="1" applyFill="1" applyBorder="1" applyAlignment="1">
      <alignment horizontal="center" wrapText="1"/>
    </xf>
    <xf numFmtId="167" fontId="7" fillId="9" borderId="2" xfId="0" applyNumberFormat="1" applyFont="1" applyFill="1" applyBorder="1" applyAlignment="1">
      <alignment wrapText="1"/>
    </xf>
    <xf numFmtId="167" fontId="4" fillId="5" borderId="2" xfId="0" applyNumberFormat="1" applyFont="1" applyFill="1" applyBorder="1" applyAlignment="1">
      <alignment horizontal="center" wrapText="1"/>
    </xf>
    <xf numFmtId="3" fontId="4" fillId="5" borderId="2" xfId="0" applyNumberFormat="1" applyFont="1" applyFill="1" applyBorder="1" applyAlignment="1">
      <alignment horizontal="center" wrapText="1"/>
    </xf>
    <xf numFmtId="1" fontId="4" fillId="5" borderId="2" xfId="0" applyNumberFormat="1" applyFont="1" applyFill="1" applyBorder="1" applyAlignment="1">
      <alignment horizontal="center" wrapText="1"/>
    </xf>
    <xf numFmtId="167" fontId="7" fillId="9" borderId="2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0" fontId="37" fillId="1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/>
    </xf>
    <xf numFmtId="3" fontId="4" fillId="9" borderId="0" xfId="0" applyNumberFormat="1" applyFont="1" applyFill="1" applyAlignment="1">
      <alignment horizontal="center" vertical="center"/>
    </xf>
    <xf numFmtId="0" fontId="4" fillId="4" borderId="0" xfId="0" applyFont="1" applyFill="1" applyAlignment="1"/>
    <xf numFmtId="0" fontId="4" fillId="11" borderId="2" xfId="0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vertical="center" wrapText="1"/>
    </xf>
    <xf numFmtId="165" fontId="4" fillId="5" borderId="2" xfId="0" applyNumberFormat="1" applyFont="1" applyFill="1" applyBorder="1" applyAlignment="1">
      <alignment horizontal="center" wrapText="1"/>
    </xf>
    <xf numFmtId="0" fontId="7" fillId="5" borderId="0" xfId="0" applyFont="1" applyFill="1" applyAlignment="1"/>
    <xf numFmtId="3" fontId="7" fillId="0" borderId="0" xfId="0" applyNumberFormat="1" applyFont="1" applyAlignment="1"/>
    <xf numFmtId="167" fontId="7" fillId="0" borderId="0" xfId="0" applyNumberFormat="1" applyFont="1" applyAlignment="1"/>
    <xf numFmtId="10" fontId="4" fillId="7" borderId="0" xfId="0" applyNumberFormat="1" applyFont="1" applyFill="1" applyAlignment="1">
      <alignment horizontal="center" vertical="center"/>
    </xf>
    <xf numFmtId="2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170" fontId="7" fillId="4" borderId="0" xfId="0" applyNumberFormat="1" applyFont="1" applyFill="1" applyAlignment="1">
      <alignment vertical="center"/>
    </xf>
    <xf numFmtId="10" fontId="7" fillId="4" borderId="0" xfId="0" applyNumberFormat="1" applyFont="1" applyFill="1" applyAlignment="1">
      <alignment vertical="center"/>
    </xf>
    <xf numFmtId="169" fontId="7" fillId="9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10" fontId="7" fillId="9" borderId="0" xfId="0" applyNumberFormat="1" applyFont="1" applyFill="1" applyAlignment="1">
      <alignment vertical="center"/>
    </xf>
    <xf numFmtId="3" fontId="7" fillId="9" borderId="0" xfId="0" applyNumberFormat="1" applyFont="1" applyFill="1" applyAlignment="1">
      <alignment vertical="center"/>
    </xf>
    <xf numFmtId="0" fontId="7" fillId="9" borderId="0" xfId="0" applyFont="1" applyFill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 wrapText="1"/>
    </xf>
    <xf numFmtId="10" fontId="7" fillId="5" borderId="2" xfId="0" applyNumberFormat="1" applyFont="1" applyFill="1" applyBorder="1" applyAlignment="1">
      <alignment horizontal="center" vertical="center" wrapText="1"/>
    </xf>
    <xf numFmtId="3" fontId="7" fillId="5" borderId="2" xfId="0" applyNumberFormat="1" applyFont="1" applyFill="1" applyBorder="1" applyAlignment="1">
      <alignment horizontal="center" vertical="center" wrapText="1"/>
    </xf>
    <xf numFmtId="165" fontId="7" fillId="5" borderId="2" xfId="0" applyNumberFormat="1" applyFont="1" applyFill="1" applyBorder="1" applyAlignment="1">
      <alignment horizontal="center" vertical="center" wrapText="1"/>
    </xf>
    <xf numFmtId="0" fontId="7" fillId="5" borderId="0" xfId="0" applyFont="1" applyFill="1"/>
    <xf numFmtId="167" fontId="7" fillId="0" borderId="0" xfId="0" applyNumberFormat="1" applyFont="1"/>
    <xf numFmtId="3" fontId="15" fillId="0" borderId="0" xfId="0" applyNumberFormat="1" applyFont="1" applyAlignment="1">
      <alignment horizontal="center" vertical="center"/>
    </xf>
    <xf numFmtId="3" fontId="4" fillId="4" borderId="0" xfId="0" applyNumberFormat="1" applyFont="1" applyFill="1" applyAlignment="1">
      <alignment vertical="center"/>
    </xf>
    <xf numFmtId="165" fontId="4" fillId="15" borderId="0" xfId="0" applyNumberFormat="1" applyFont="1" applyFill="1" applyAlignment="1">
      <alignment horizontal="center" vertical="center"/>
    </xf>
    <xf numFmtId="166" fontId="4" fillId="13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vertical="center"/>
    </xf>
    <xf numFmtId="167" fontId="4" fillId="4" borderId="0" xfId="0" applyNumberFormat="1" applyFont="1" applyFill="1" applyAlignment="1">
      <alignment horizontal="center" vertical="center"/>
    </xf>
    <xf numFmtId="9" fontId="4" fillId="16" borderId="0" xfId="0" applyNumberFormat="1" applyFont="1" applyFill="1" applyAlignment="1">
      <alignment horizontal="center" vertical="center"/>
    </xf>
    <xf numFmtId="10" fontId="4" fillId="16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right"/>
    </xf>
    <xf numFmtId="164" fontId="4" fillId="4" borderId="0" xfId="0" applyNumberFormat="1" applyFont="1" applyFill="1" applyAlignment="1"/>
    <xf numFmtId="10" fontId="7" fillId="9" borderId="2" xfId="0" applyNumberFormat="1" applyFont="1" applyFill="1" applyBorder="1" applyAlignment="1">
      <alignment wrapText="1"/>
    </xf>
    <xf numFmtId="9" fontId="7" fillId="9" borderId="2" xfId="0" applyNumberFormat="1" applyFont="1" applyFill="1" applyBorder="1" applyAlignment="1">
      <alignment wrapText="1"/>
    </xf>
    <xf numFmtId="10" fontId="4" fillId="17" borderId="0" xfId="0" applyNumberFormat="1" applyFont="1" applyFill="1" applyAlignment="1">
      <alignment horizontal="center" vertical="center"/>
    </xf>
    <xf numFmtId="9" fontId="4" fillId="6" borderId="0" xfId="0" applyNumberFormat="1" applyFont="1" applyFill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169" fontId="4" fillId="4" borderId="0" xfId="0" applyNumberFormat="1" applyFont="1" applyFill="1" applyAlignment="1">
      <alignment vertical="center"/>
    </xf>
    <xf numFmtId="0" fontId="4" fillId="9" borderId="0" xfId="0" applyFont="1" applyFill="1" applyAlignment="1">
      <alignment vertical="center"/>
    </xf>
    <xf numFmtId="165" fontId="4" fillId="11" borderId="2" xfId="0" applyNumberFormat="1" applyFont="1" applyFill="1" applyBorder="1" applyAlignment="1">
      <alignment horizontal="center" vertical="center" wrapText="1"/>
    </xf>
    <xf numFmtId="2" fontId="4" fillId="11" borderId="2" xfId="0" applyNumberFormat="1" applyFont="1" applyFill="1" applyBorder="1" applyAlignment="1">
      <alignment horizontal="center" vertical="center" wrapText="1"/>
    </xf>
    <xf numFmtId="165" fontId="4" fillId="11" borderId="2" xfId="0" applyNumberFormat="1" applyFont="1" applyFill="1" applyBorder="1" applyAlignment="1">
      <alignment horizontal="center" vertical="center"/>
    </xf>
    <xf numFmtId="10" fontId="4" fillId="5" borderId="2" xfId="0" applyNumberFormat="1" applyFont="1" applyFill="1" applyBorder="1" applyAlignment="1">
      <alignment vertical="center" wrapText="1"/>
    </xf>
    <xf numFmtId="169" fontId="7" fillId="4" borderId="0" xfId="0" applyNumberFormat="1" applyFont="1" applyFill="1" applyAlignment="1">
      <alignment vertical="center"/>
    </xf>
    <xf numFmtId="10" fontId="7" fillId="5" borderId="2" xfId="0" applyNumberFormat="1" applyFont="1" applyFill="1" applyBorder="1" applyAlignment="1">
      <alignment vertical="center" wrapText="1"/>
    </xf>
    <xf numFmtId="165" fontId="4" fillId="18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3" fontId="7" fillId="5" borderId="2" xfId="0" applyNumberFormat="1" applyFont="1" applyFill="1" applyBorder="1" applyAlignment="1">
      <alignment vertical="center" wrapText="1"/>
    </xf>
    <xf numFmtId="165" fontId="7" fillId="5" borderId="2" xfId="0" applyNumberFormat="1" applyFont="1" applyFill="1" applyBorder="1" applyAlignment="1">
      <alignment vertical="center" wrapText="1"/>
    </xf>
    <xf numFmtId="166" fontId="10" fillId="0" borderId="5" xfId="0" applyNumberFormat="1" applyFont="1" applyBorder="1" applyAlignment="1">
      <alignment horizontal="center" vertical="center" wrapText="1"/>
    </xf>
    <xf numFmtId="166" fontId="10" fillId="0" borderId="6" xfId="0" applyNumberFormat="1" applyFont="1" applyBorder="1" applyAlignment="1">
      <alignment horizontal="center" vertical="center" wrapText="1"/>
    </xf>
    <xf numFmtId="166" fontId="10" fillId="0" borderId="4" xfId="0" applyNumberFormat="1" applyFont="1" applyBorder="1" applyAlignment="1">
      <alignment horizontal="center" vertical="center" wrapText="1"/>
    </xf>
    <xf numFmtId="167" fontId="10" fillId="0" borderId="5" xfId="0" applyNumberFormat="1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0" fontId="10" fillId="5" borderId="2" xfId="0" applyFont="1" applyFill="1" applyBorder="1" applyAlignment="1">
      <alignment vertical="center"/>
    </xf>
    <xf numFmtId="164" fontId="4" fillId="0" borderId="0" xfId="0" applyNumberFormat="1" applyFont="1" applyAlignment="1">
      <alignment vertical="center"/>
    </xf>
    <xf numFmtId="184" fontId="4" fillId="0" borderId="0" xfId="0" applyNumberFormat="1" applyFont="1" applyAlignment="1">
      <alignment horizontal="center" vertical="center"/>
    </xf>
    <xf numFmtId="184" fontId="4" fillId="4" borderId="0" xfId="0" applyNumberFormat="1" applyFont="1" applyFill="1" applyAlignment="1">
      <alignment horizontal="center" vertical="center"/>
    </xf>
    <xf numFmtId="168" fontId="5" fillId="5" borderId="2" xfId="0" applyNumberFormat="1" applyFont="1" applyFill="1" applyBorder="1" applyAlignment="1">
      <alignment horizontal="center" vertical="center"/>
    </xf>
    <xf numFmtId="10" fontId="4" fillId="4" borderId="0" xfId="0" applyNumberFormat="1" applyFont="1" applyFill="1" applyAlignment="1">
      <alignment vertical="center"/>
    </xf>
    <xf numFmtId="184" fontId="7" fillId="9" borderId="0" xfId="0" applyNumberFormat="1" applyFont="1" applyFill="1" applyAlignment="1">
      <alignment vertical="center"/>
    </xf>
    <xf numFmtId="10" fontId="4" fillId="9" borderId="0" xfId="0" applyNumberFormat="1" applyFont="1" applyFill="1" applyAlignment="1">
      <alignment vertical="center"/>
    </xf>
    <xf numFmtId="169" fontId="4" fillId="9" borderId="0" xfId="0" applyNumberFormat="1" applyFont="1" applyFill="1" applyAlignment="1">
      <alignment vertical="center"/>
    </xf>
    <xf numFmtId="3" fontId="38" fillId="0" borderId="0" xfId="0" applyNumberFormat="1" applyFont="1" applyAlignment="1">
      <alignment horizontal="center" vertical="center"/>
    </xf>
    <xf numFmtId="167" fontId="4" fillId="4" borderId="0" xfId="0" applyNumberFormat="1" applyFont="1" applyFill="1" applyAlignment="1"/>
    <xf numFmtId="3" fontId="4" fillId="0" borderId="0" xfId="0" applyNumberFormat="1" applyFont="1" applyAlignment="1"/>
    <xf numFmtId="167" fontId="4" fillId="0" borderId="0" xfId="0" applyNumberFormat="1" applyFont="1" applyAlignment="1"/>
    <xf numFmtId="167" fontId="7" fillId="4" borderId="0" xfId="0" applyNumberFormat="1" applyFont="1" applyFill="1"/>
    <xf numFmtId="184" fontId="4" fillId="4" borderId="0" xfId="0" applyNumberFormat="1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3" fontId="4" fillId="19" borderId="0" xfId="0" applyNumberFormat="1" applyFont="1" applyFill="1" applyAlignment="1">
      <alignment horizontal="center"/>
    </xf>
    <xf numFmtId="0" fontId="4" fillId="19" borderId="0" xfId="0" applyFont="1" applyFill="1" applyAlignment="1">
      <alignment horizontal="center"/>
    </xf>
    <xf numFmtId="165" fontId="4" fillId="19" borderId="0" xfId="0" applyNumberFormat="1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167" fontId="40" fillId="0" borderId="0" xfId="0" applyNumberFormat="1" applyFont="1" applyAlignment="1">
      <alignment horizontal="center"/>
    </xf>
    <xf numFmtId="10" fontId="41" fillId="5" borderId="0" xfId="0" applyNumberFormat="1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0" fontId="4" fillId="19" borderId="0" xfId="0" applyNumberFormat="1" applyFont="1" applyFill="1" applyAlignment="1">
      <alignment horizontal="center"/>
    </xf>
    <xf numFmtId="166" fontId="4" fillId="4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184" fontId="4" fillId="0" borderId="0" xfId="0" applyNumberFormat="1" applyFont="1" applyAlignment="1">
      <alignment horizontal="center"/>
    </xf>
    <xf numFmtId="0" fontId="20" fillId="0" borderId="0" xfId="0" applyFont="1" applyAlignment="1"/>
    <xf numFmtId="3" fontId="4" fillId="4" borderId="0" xfId="0" applyNumberFormat="1" applyFont="1" applyFill="1" applyAlignment="1"/>
    <xf numFmtId="3" fontId="4" fillId="6" borderId="0" xfId="0" applyNumberFormat="1" applyFont="1" applyFill="1" applyAlignment="1"/>
    <xf numFmtId="0" fontId="4" fillId="6" borderId="0" xfId="0" applyFont="1" applyFill="1" applyAlignment="1"/>
    <xf numFmtId="165" fontId="4" fillId="0" borderId="0" xfId="0" applyNumberFormat="1" applyFont="1" applyAlignment="1"/>
    <xf numFmtId="167" fontId="40" fillId="5" borderId="0" xfId="0" applyNumberFormat="1" applyFont="1" applyFill="1" applyAlignment="1"/>
    <xf numFmtId="10" fontId="7" fillId="0" borderId="0" xfId="0" applyNumberFormat="1" applyFont="1" applyAlignment="1"/>
    <xf numFmtId="0" fontId="4" fillId="19" borderId="0" xfId="0" applyFont="1" applyFill="1" applyAlignment="1"/>
    <xf numFmtId="10" fontId="4" fillId="0" borderId="0" xfId="0" applyNumberFormat="1" applyFont="1" applyAlignment="1"/>
    <xf numFmtId="1" fontId="4" fillId="0" borderId="0" xfId="0" applyNumberFormat="1" applyFont="1" applyAlignment="1"/>
    <xf numFmtId="0" fontId="4" fillId="15" borderId="0" xfId="0" applyFont="1" applyFill="1" applyAlignment="1"/>
    <xf numFmtId="4" fontId="4" fillId="4" borderId="0" xfId="0" applyNumberFormat="1" applyFont="1" applyFill="1" applyAlignment="1"/>
    <xf numFmtId="169" fontId="4" fillId="4" borderId="0" xfId="0" applyNumberFormat="1" applyFont="1" applyFill="1" applyAlignment="1"/>
    <xf numFmtId="9" fontId="7" fillId="0" borderId="0" xfId="0" applyNumberFormat="1" applyFont="1" applyAlignment="1"/>
    <xf numFmtId="165" fontId="4" fillId="4" borderId="0" xfId="0" applyNumberFormat="1" applyFont="1" applyFill="1" applyAlignment="1"/>
    <xf numFmtId="164" fontId="4" fillId="0" borderId="0" xfId="0" applyNumberFormat="1" applyFont="1" applyAlignment="1"/>
    <xf numFmtId="184" fontId="4" fillId="4" borderId="0" xfId="0" applyNumberFormat="1" applyFont="1" applyFill="1" applyAlignment="1"/>
    <xf numFmtId="169" fontId="4" fillId="0" borderId="0" xfId="0" applyNumberFormat="1" applyFont="1" applyAlignment="1"/>
    <xf numFmtId="0" fontId="20" fillId="0" borderId="0" xfId="0" applyFont="1" applyAlignment="1">
      <alignment horizontal="center" vertical="center"/>
    </xf>
    <xf numFmtId="0" fontId="39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/>
    </xf>
    <xf numFmtId="9" fontId="42" fillId="0" borderId="0" xfId="0" applyNumberFormat="1" applyFont="1" applyAlignment="1">
      <alignment horizontal="center"/>
    </xf>
    <xf numFmtId="165" fontId="42" fillId="0" borderId="0" xfId="0" applyNumberFormat="1" applyFont="1" applyAlignment="1">
      <alignment horizontal="center"/>
    </xf>
    <xf numFmtId="167" fontId="42" fillId="5" borderId="0" xfId="0" applyNumberFormat="1" applyFont="1" applyFill="1" applyAlignment="1">
      <alignment horizontal="center"/>
    </xf>
    <xf numFmtId="10" fontId="5" fillId="5" borderId="0" xfId="0" applyNumberFormat="1" applyFont="1" applyFill="1" applyAlignment="1">
      <alignment horizontal="center"/>
    </xf>
    <xf numFmtId="167" fontId="42" fillId="0" borderId="0" xfId="0" applyNumberFormat="1" applyFont="1" applyAlignment="1">
      <alignment horizontal="center"/>
    </xf>
    <xf numFmtId="3" fontId="4" fillId="6" borderId="0" xfId="0" applyNumberFormat="1" applyFont="1" applyFill="1" applyAlignment="1">
      <alignment horizontal="center"/>
    </xf>
    <xf numFmtId="10" fontId="42" fillId="0" borderId="0" xfId="0" applyNumberFormat="1" applyFont="1" applyAlignment="1">
      <alignment horizontal="center"/>
    </xf>
    <xf numFmtId="1" fontId="42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4" fillId="0" borderId="3" xfId="0" applyFont="1" applyBorder="1" applyAlignment="1">
      <alignment horizontal="center"/>
    </xf>
    <xf numFmtId="10" fontId="4" fillId="6" borderId="0" xfId="0" applyNumberFormat="1" applyFont="1" applyFill="1" applyAlignment="1">
      <alignment horizontal="center"/>
    </xf>
    <xf numFmtId="166" fontId="42" fillId="0" borderId="0" xfId="0" applyNumberFormat="1" applyFont="1" applyAlignment="1">
      <alignment horizontal="center"/>
    </xf>
    <xf numFmtId="166" fontId="42" fillId="4" borderId="0" xfId="0" applyNumberFormat="1" applyFont="1" applyFill="1" applyAlignment="1">
      <alignment horizontal="center"/>
    </xf>
    <xf numFmtId="3" fontId="42" fillId="4" borderId="0" xfId="0" applyNumberFormat="1" applyFont="1" applyFill="1" applyAlignment="1">
      <alignment horizontal="center"/>
    </xf>
    <xf numFmtId="0" fontId="42" fillId="4" borderId="0" xfId="0" applyFont="1" applyFill="1" applyAlignment="1">
      <alignment horizontal="center"/>
    </xf>
    <xf numFmtId="9" fontId="42" fillId="4" borderId="0" xfId="0" applyNumberFormat="1" applyFont="1" applyFill="1" applyAlignment="1">
      <alignment horizontal="center"/>
    </xf>
    <xf numFmtId="165" fontId="42" fillId="5" borderId="0" xfId="0" applyNumberFormat="1" applyFont="1" applyFill="1" applyAlignment="1">
      <alignment horizontal="center"/>
    </xf>
    <xf numFmtId="169" fontId="42" fillId="0" borderId="0" xfId="0" applyNumberFormat="1" applyFont="1" applyAlignment="1">
      <alignment horizontal="center"/>
    </xf>
    <xf numFmtId="10" fontId="42" fillId="5" borderId="0" xfId="0" applyNumberFormat="1" applyFont="1" applyFill="1" applyAlignment="1">
      <alignment horizontal="center"/>
    </xf>
    <xf numFmtId="167" fontId="7" fillId="5" borderId="2" xfId="0" applyNumberFormat="1" applyFont="1" applyFill="1" applyBorder="1" applyAlignment="1">
      <alignment vertical="center" wrapText="1"/>
    </xf>
    <xf numFmtId="0" fontId="4" fillId="19" borderId="0" xfId="0" applyFont="1" applyFill="1" applyAlignment="1">
      <alignment horizontal="center" vertical="center"/>
    </xf>
    <xf numFmtId="1" fontId="42" fillId="4" borderId="0" xfId="0" applyNumberFormat="1" applyFont="1" applyFill="1" applyAlignment="1">
      <alignment horizontal="center" vertical="center"/>
    </xf>
    <xf numFmtId="165" fontId="4" fillId="19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4" fillId="6" borderId="0" xfId="0" applyNumberFormat="1" applyFont="1" applyFill="1" applyAlignment="1">
      <alignment vertical="center"/>
    </xf>
    <xf numFmtId="0" fontId="4" fillId="6" borderId="0" xfId="0" applyFont="1" applyFill="1" applyAlignment="1">
      <alignment vertical="center"/>
    </xf>
    <xf numFmtId="9" fontId="42" fillId="0" borderId="0" xfId="0" applyNumberFormat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5" fontId="42" fillId="0" borderId="0" xfId="0" applyNumberFormat="1" applyFont="1" applyAlignment="1">
      <alignment horizontal="center" vertical="center"/>
    </xf>
    <xf numFmtId="167" fontId="43" fillId="5" borderId="0" xfId="0" applyNumberFormat="1" applyFont="1" applyFill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167" fontId="42" fillId="0" borderId="0" xfId="0" applyNumberFormat="1" applyFont="1" applyAlignment="1">
      <alignment horizontal="center" vertical="center"/>
    </xf>
    <xf numFmtId="3" fontId="4" fillId="19" borderId="0" xfId="0" applyNumberFormat="1" applyFont="1" applyFill="1" applyAlignment="1">
      <alignment horizontal="center" vertical="center"/>
    </xf>
    <xf numFmtId="10" fontId="4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vertical="center"/>
    </xf>
    <xf numFmtId="1" fontId="42" fillId="0" borderId="0" xfId="0" applyNumberFormat="1" applyFont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10" fontId="4" fillId="6" borderId="0" xfId="0" applyNumberFormat="1" applyFont="1" applyFill="1" applyAlignment="1">
      <alignment horizontal="center" vertical="center"/>
    </xf>
    <xf numFmtId="10" fontId="4" fillId="19" borderId="0" xfId="0" applyNumberFormat="1" applyFont="1" applyFill="1" applyAlignment="1">
      <alignment horizontal="center" vertical="center"/>
    </xf>
    <xf numFmtId="166" fontId="42" fillId="0" borderId="0" xfId="0" applyNumberFormat="1" applyFont="1" applyAlignment="1">
      <alignment horizontal="center" vertical="center"/>
    </xf>
    <xf numFmtId="4" fontId="4" fillId="4" borderId="0" xfId="0" applyNumberFormat="1" applyFont="1" applyFill="1" applyAlignment="1">
      <alignment vertical="center"/>
    </xf>
    <xf numFmtId="166" fontId="42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vertical="center"/>
    </xf>
    <xf numFmtId="3" fontId="42" fillId="4" borderId="0" xfId="0" applyNumberFormat="1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9" fontId="42" fillId="4" borderId="0" xfId="0" applyNumberFormat="1" applyFont="1" applyFill="1" applyAlignment="1">
      <alignment horizontal="center" vertical="center"/>
    </xf>
    <xf numFmtId="165" fontId="42" fillId="5" borderId="0" xfId="0" applyNumberFormat="1" applyFont="1" applyFill="1" applyAlignment="1">
      <alignment horizontal="center" vertical="center"/>
    </xf>
    <xf numFmtId="169" fontId="42" fillId="0" borderId="0" xfId="0" applyNumberFormat="1" applyFont="1" applyAlignment="1">
      <alignment horizontal="center" vertical="center"/>
    </xf>
    <xf numFmtId="10" fontId="42" fillId="5" borderId="0" xfId="0" applyNumberFormat="1" applyFont="1" applyFill="1" applyAlignment="1">
      <alignment horizontal="center" vertical="center"/>
    </xf>
    <xf numFmtId="0" fontId="4" fillId="19" borderId="0" xfId="0" applyFont="1" applyFill="1" applyAlignment="1">
      <alignment vertical="center"/>
    </xf>
    <xf numFmtId="0" fontId="4" fillId="15" borderId="0" xfId="0" applyFont="1" applyFill="1" applyAlignment="1">
      <alignment vertical="center"/>
    </xf>
    <xf numFmtId="0" fontId="14" fillId="0" borderId="2" xfId="0" applyFont="1" applyBorder="1" applyAlignment="1">
      <alignment wrapText="1"/>
    </xf>
    <xf numFmtId="165" fontId="7" fillId="4" borderId="0" xfId="0" applyNumberFormat="1" applyFont="1" applyFill="1" applyAlignment="1">
      <alignment vertical="center"/>
    </xf>
    <xf numFmtId="165" fontId="44" fillId="0" borderId="0" xfId="0" applyNumberFormat="1" applyFont="1" applyAlignment="1">
      <alignment horizontal="center" vertical="center"/>
    </xf>
    <xf numFmtId="1" fontId="4" fillId="4" borderId="0" xfId="0" applyNumberFormat="1" applyFont="1" applyFill="1" applyAlignment="1">
      <alignment horizontal="center"/>
    </xf>
    <xf numFmtId="184" fontId="7" fillId="4" borderId="0" xfId="0" applyNumberFormat="1" applyFont="1" applyFill="1" applyAlignment="1">
      <alignment vertical="center"/>
    </xf>
    <xf numFmtId="0" fontId="4" fillId="13" borderId="0" xfId="0" applyFont="1" applyFill="1" applyAlignment="1">
      <alignment horizontal="left" vertical="center"/>
    </xf>
    <xf numFmtId="164" fontId="4" fillId="13" borderId="0" xfId="0" applyNumberFormat="1" applyFont="1" applyFill="1" applyAlignment="1">
      <alignment horizontal="center" vertical="center"/>
    </xf>
    <xf numFmtId="3" fontId="4" fillId="13" borderId="0" xfId="0" applyNumberFormat="1" applyFont="1" applyFill="1" applyAlignment="1">
      <alignment horizontal="center" vertical="center"/>
    </xf>
    <xf numFmtId="10" fontId="4" fillId="13" borderId="0" xfId="0" applyNumberFormat="1" applyFont="1" applyFill="1" applyAlignment="1">
      <alignment horizontal="center" vertical="center"/>
    </xf>
    <xf numFmtId="3" fontId="4" fillId="16" borderId="0" xfId="0" applyNumberFormat="1" applyFont="1" applyFill="1" applyAlignment="1">
      <alignment horizontal="center" vertical="center"/>
    </xf>
    <xf numFmtId="0" fontId="4" fillId="16" borderId="0" xfId="0" applyFont="1" applyFill="1" applyAlignment="1">
      <alignment horizontal="center" vertical="center"/>
    </xf>
    <xf numFmtId="4" fontId="4" fillId="16" borderId="0" xfId="0" applyNumberFormat="1" applyFont="1" applyFill="1" applyAlignment="1">
      <alignment horizontal="center" vertical="center"/>
    </xf>
    <xf numFmtId="166" fontId="4" fillId="16" borderId="0" xfId="0" applyNumberFormat="1" applyFont="1" applyFill="1" applyAlignment="1">
      <alignment horizontal="center" vertical="center"/>
    </xf>
    <xf numFmtId="165" fontId="4" fillId="16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/>
    </xf>
    <xf numFmtId="164" fontId="4" fillId="13" borderId="0" xfId="0" applyNumberFormat="1" applyFont="1" applyFill="1" applyAlignment="1">
      <alignment horizontal="center"/>
    </xf>
    <xf numFmtId="10" fontId="4" fillId="20" borderId="0" xfId="0" applyNumberFormat="1" applyFont="1" applyFill="1" applyAlignment="1"/>
    <xf numFmtId="165" fontId="4" fillId="5" borderId="0" xfId="0" applyNumberFormat="1" applyFont="1" applyFill="1" applyAlignment="1">
      <alignment horizontal="center"/>
    </xf>
    <xf numFmtId="165" fontId="4" fillId="13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vertical="center"/>
    </xf>
    <xf numFmtId="10" fontId="4" fillId="20" borderId="0" xfId="0" applyNumberFormat="1" applyFont="1" applyFill="1" applyAlignment="1">
      <alignment vertical="center"/>
    </xf>
    <xf numFmtId="164" fontId="4" fillId="4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0" fontId="7" fillId="5" borderId="0" xfId="0" applyFont="1" applyFill="1" applyAlignment="1">
      <alignment horizontal="center"/>
    </xf>
    <xf numFmtId="167" fontId="7" fillId="4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vertical="center"/>
    </xf>
    <xf numFmtId="166" fontId="7" fillId="4" borderId="0" xfId="0" applyNumberFormat="1" applyFont="1" applyFill="1" applyAlignment="1">
      <alignment vertical="center"/>
    </xf>
    <xf numFmtId="167" fontId="7" fillId="4" borderId="0" xfId="0" applyNumberFormat="1" applyFon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0" fontId="4" fillId="21" borderId="0" xfId="0" applyFont="1" applyFill="1" applyAlignment="1">
      <alignment horizontal="center" vertical="center"/>
    </xf>
    <xf numFmtId="0" fontId="4" fillId="22" borderId="0" xfId="0" applyFont="1" applyFill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3" fontId="4" fillId="11" borderId="2" xfId="0" applyNumberFormat="1" applyFont="1" applyFill="1" applyBorder="1" applyAlignment="1">
      <alignment horizontal="center" vertical="center"/>
    </xf>
    <xf numFmtId="167" fontId="7" fillId="4" borderId="0" xfId="0" applyNumberFormat="1" applyFont="1" applyFill="1" applyAlignment="1"/>
    <xf numFmtId="4" fontId="7" fillId="4" borderId="0" xfId="0" applyNumberFormat="1" applyFont="1" applyFill="1" applyAlignment="1">
      <alignment vertical="center"/>
    </xf>
    <xf numFmtId="3" fontId="4" fillId="23" borderId="2" xfId="0" applyNumberFormat="1" applyFont="1" applyFill="1" applyBorder="1" applyAlignment="1">
      <alignment horizontal="center" vertical="center" wrapText="1"/>
    </xf>
    <xf numFmtId="3" fontId="45" fillId="0" borderId="0" xfId="0" applyNumberFormat="1" applyFont="1" applyAlignment="1">
      <alignment vertical="center"/>
    </xf>
    <xf numFmtId="3" fontId="4" fillId="11" borderId="2" xfId="0" applyNumberFormat="1" applyFont="1" applyFill="1" applyBorder="1" applyAlignment="1">
      <alignment horizontal="center" vertical="center" wrapText="1"/>
    </xf>
    <xf numFmtId="169" fontId="7" fillId="0" borderId="0" xfId="0" applyNumberFormat="1" applyFont="1" applyAlignment="1">
      <alignment vertical="center"/>
    </xf>
    <xf numFmtId="0" fontId="4" fillId="15" borderId="0" xfId="0" applyFont="1" applyFill="1" applyAlignment="1">
      <alignment horizontal="center" vertical="center"/>
    </xf>
    <xf numFmtId="3" fontId="4" fillId="24" borderId="0" xfId="0" applyNumberFormat="1" applyFont="1" applyFill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69" fontId="5" fillId="4" borderId="0" xfId="0" applyNumberFormat="1" applyFont="1" applyFill="1" applyAlignment="1">
      <alignment horizontal="center" vertical="center"/>
    </xf>
    <xf numFmtId="9" fontId="4" fillId="15" borderId="0" xfId="0" applyNumberFormat="1" applyFont="1" applyFill="1" applyAlignment="1">
      <alignment vertical="center"/>
    </xf>
    <xf numFmtId="9" fontId="4" fillId="16" borderId="0" xfId="0" applyNumberFormat="1" applyFont="1" applyFill="1" applyAlignment="1">
      <alignment vertical="center"/>
    </xf>
    <xf numFmtId="3" fontId="5" fillId="4" borderId="0" xfId="0" applyNumberFormat="1" applyFont="1" applyFill="1" applyAlignment="1">
      <alignment horizontal="center" vertical="center"/>
    </xf>
    <xf numFmtId="169" fontId="4" fillId="16" borderId="0" xfId="0" applyNumberFormat="1" applyFont="1" applyFill="1" applyAlignment="1">
      <alignment vertical="center"/>
    </xf>
    <xf numFmtId="169" fontId="4" fillId="24" borderId="0" xfId="0" applyNumberFormat="1" applyFont="1" applyFill="1" applyAlignment="1">
      <alignment horizontal="center" vertical="center"/>
    </xf>
    <xf numFmtId="165" fontId="5" fillId="23" borderId="2" xfId="0" applyNumberFormat="1" applyFont="1" applyFill="1" applyBorder="1" applyAlignment="1">
      <alignment horizontal="center" vertical="center" wrapText="1"/>
    </xf>
    <xf numFmtId="10" fontId="5" fillId="23" borderId="2" xfId="0" applyNumberFormat="1" applyFont="1" applyFill="1" applyBorder="1" applyAlignment="1">
      <alignment horizontal="center" vertical="center" wrapText="1"/>
    </xf>
    <xf numFmtId="9" fontId="4" fillId="23" borderId="2" xfId="0" applyNumberFormat="1" applyFont="1" applyFill="1" applyBorder="1" applyAlignment="1">
      <alignment horizontal="center" vertical="center" wrapText="1"/>
    </xf>
    <xf numFmtId="167" fontId="5" fillId="23" borderId="2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/>
    </xf>
    <xf numFmtId="3" fontId="4" fillId="15" borderId="0" xfId="0" applyNumberFormat="1" applyFont="1" applyFill="1" applyAlignment="1">
      <alignment horizontal="center" vertical="center"/>
    </xf>
    <xf numFmtId="4" fontId="4" fillId="15" borderId="0" xfId="0" applyNumberFormat="1" applyFont="1" applyFill="1" applyAlignment="1">
      <alignment horizontal="center" vertical="center"/>
    </xf>
    <xf numFmtId="4" fontId="4" fillId="0" borderId="0" xfId="0" applyNumberFormat="1" applyFont="1" applyAlignment="1">
      <alignment vertical="center"/>
    </xf>
    <xf numFmtId="167" fontId="7" fillId="5" borderId="2" xfId="0" applyNumberFormat="1" applyFont="1" applyFill="1" applyBorder="1" applyAlignment="1">
      <alignment horizontal="center" vertical="center" wrapText="1"/>
    </xf>
    <xf numFmtId="0" fontId="3" fillId="18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167" fontId="7" fillId="0" borderId="0" xfId="0" applyNumberFormat="1" applyFont="1" applyAlignment="1">
      <alignment vertical="center"/>
    </xf>
    <xf numFmtId="10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vertical="center"/>
    </xf>
    <xf numFmtId="164" fontId="7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/>
    <xf numFmtId="1" fontId="7" fillId="0" borderId="0" xfId="0" applyNumberFormat="1" applyFont="1" applyAlignment="1"/>
    <xf numFmtId="166" fontId="7" fillId="4" borderId="0" xfId="0" applyNumberFormat="1" applyFont="1" applyFill="1" applyAlignment="1"/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7E3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233679</xdr:colOff>
      <xdr:row>0</xdr:row>
      <xdr:rowOff>101599</xdr:rowOff>
    </xdr:from>
    <xdr:to>
      <xdr:col>11</xdr:col>
      <xdr:colOff>558800</xdr:colOff>
      <xdr:row>4</xdr:row>
      <xdr:rowOff>88900</xdr:rowOff>
    </xdr:to>
    <xdr:pic>
      <xdr:nvPicPr>
        <xdr:cNvPr id="2" name="Imagen 1" descr="Concreto Móvil">
          <a:extLst>
            <a:ext uri="{FF2B5EF4-FFF2-40B4-BE49-F238E27FC236}">
              <a16:creationId xmlns:a16="http://schemas.microsoft.com/office/drawing/2014/main" id="{F602D96E-A4CF-8645-B046-2881D5884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8679" y="101599"/>
          <a:ext cx="1150621" cy="86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0</xdr:row>
      <xdr:rowOff>88900</xdr:rowOff>
    </xdr:from>
    <xdr:to>
      <xdr:col>2</xdr:col>
      <xdr:colOff>749300</xdr:colOff>
      <xdr:row>4</xdr:row>
      <xdr:rowOff>22166</xdr:rowOff>
    </xdr:to>
    <xdr:pic>
      <xdr:nvPicPr>
        <xdr:cNvPr id="3" name="Imagen 2" descr="Alcalde Como Vamos">
          <a:extLst>
            <a:ext uri="{FF2B5EF4-FFF2-40B4-BE49-F238E27FC236}">
              <a16:creationId xmlns:a16="http://schemas.microsoft.com/office/drawing/2014/main" id="{66F003C1-2989-4649-A7A6-A03BB256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1" y="88900"/>
          <a:ext cx="1346199" cy="80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444B0-FF41-614D-8777-1C077C5EBD87}">
  <dimension ref="A2:L77"/>
  <sheetViews>
    <sheetView tabSelected="1" workbookViewId="0">
      <selection activeCell="H25" sqref="H25"/>
    </sheetView>
  </sheetViews>
  <sheetFormatPr baseColWidth="10" defaultRowHeight="16"/>
  <sheetData>
    <row r="2" spans="1:12" ht="21">
      <c r="D2" s="239" t="s">
        <v>393</v>
      </c>
    </row>
    <row r="5" spans="1:12">
      <c r="A5" s="240"/>
      <c r="B5" s="240"/>
      <c r="C5" s="240"/>
      <c r="D5" s="240"/>
      <c r="E5" s="240"/>
      <c r="F5" s="240"/>
      <c r="G5" s="240"/>
      <c r="H5" s="240"/>
      <c r="I5" s="240"/>
    </row>
    <row r="6" spans="1:12">
      <c r="A6" s="240"/>
      <c r="C6" s="242"/>
      <c r="D6" s="240"/>
      <c r="E6" s="240"/>
      <c r="F6" s="240"/>
      <c r="G6" s="240"/>
      <c r="H6" s="240"/>
      <c r="I6" s="240"/>
    </row>
    <row r="7" spans="1:12">
      <c r="A7" s="240"/>
      <c r="B7" s="246" t="s">
        <v>396</v>
      </c>
      <c r="C7" s="242"/>
      <c r="D7" s="240"/>
      <c r="E7" s="240"/>
      <c r="F7" s="240"/>
      <c r="G7" s="240"/>
      <c r="H7" s="240"/>
      <c r="I7" s="240"/>
    </row>
    <row r="8" spans="1:12">
      <c r="A8" s="240"/>
      <c r="B8" s="243" t="s">
        <v>394</v>
      </c>
      <c r="C8" s="242"/>
      <c r="E8" s="245" t="s">
        <v>395</v>
      </c>
      <c r="F8" s="240"/>
      <c r="H8" s="245" t="s">
        <v>397</v>
      </c>
      <c r="I8" s="240"/>
    </row>
    <row r="9" spans="1:12">
      <c r="A9" s="240"/>
      <c r="B9" s="241" t="s">
        <v>398</v>
      </c>
      <c r="C9" s="240"/>
      <c r="D9" s="240"/>
      <c r="E9" s="241" t="s">
        <v>403</v>
      </c>
      <c r="F9" s="240"/>
      <c r="G9" s="240"/>
      <c r="H9" s="241" t="s">
        <v>408</v>
      </c>
      <c r="I9" s="240"/>
    </row>
    <row r="10" spans="1:12">
      <c r="A10" s="240"/>
      <c r="B10" s="241" t="s">
        <v>400</v>
      </c>
      <c r="C10" s="242"/>
      <c r="D10" s="240"/>
      <c r="E10" s="241" t="s">
        <v>404</v>
      </c>
      <c r="F10" s="240"/>
      <c r="G10" s="240"/>
      <c r="H10" s="240"/>
      <c r="I10" s="240"/>
    </row>
    <row r="11" spans="1:12">
      <c r="A11" s="240"/>
      <c r="B11" s="241" t="s">
        <v>399</v>
      </c>
      <c r="C11" s="242"/>
      <c r="D11" s="240"/>
      <c r="E11" s="241" t="s">
        <v>405</v>
      </c>
      <c r="F11" s="240"/>
      <c r="G11" s="240"/>
      <c r="H11" s="240"/>
      <c r="I11" s="240"/>
    </row>
    <row r="12" spans="1:12">
      <c r="A12" s="240"/>
      <c r="B12" s="241" t="s">
        <v>401</v>
      </c>
      <c r="C12" s="242"/>
      <c r="D12" s="240"/>
      <c r="E12" s="241" t="s">
        <v>406</v>
      </c>
      <c r="F12" s="240"/>
      <c r="G12" s="240"/>
      <c r="H12" s="240"/>
      <c r="I12" s="240"/>
    </row>
    <row r="13" spans="1:12">
      <c r="A13" s="240"/>
      <c r="B13" s="241" t="s">
        <v>402</v>
      </c>
      <c r="C13" s="240"/>
      <c r="D13" s="240"/>
      <c r="E13" s="241" t="s">
        <v>407</v>
      </c>
      <c r="F13" s="240"/>
      <c r="G13" s="240"/>
      <c r="H13" s="240"/>
      <c r="I13" s="240"/>
    </row>
    <row r="14" spans="1:12">
      <c r="A14" s="240"/>
      <c r="B14" s="242"/>
      <c r="C14" s="242"/>
      <c r="D14" s="240"/>
      <c r="E14" s="240"/>
      <c r="F14" s="240"/>
      <c r="G14" s="240"/>
      <c r="H14" s="240"/>
      <c r="I14" s="240"/>
    </row>
    <row r="15" spans="1:12">
      <c r="A15" s="240"/>
      <c r="B15" s="246" t="s">
        <v>409</v>
      </c>
      <c r="C15" s="242"/>
      <c r="D15" s="240"/>
      <c r="E15" s="240"/>
      <c r="F15" s="240"/>
      <c r="G15" s="240"/>
      <c r="H15" s="240"/>
      <c r="I15" s="240"/>
    </row>
    <row r="16" spans="1:12">
      <c r="A16" s="240"/>
      <c r="B16" s="243" t="s">
        <v>394</v>
      </c>
      <c r="C16" s="242"/>
      <c r="E16" s="245" t="s">
        <v>395</v>
      </c>
      <c r="F16" s="240"/>
      <c r="H16" s="245" t="s">
        <v>397</v>
      </c>
      <c r="I16" s="240"/>
      <c r="K16" s="243"/>
      <c r="L16" s="240"/>
    </row>
    <row r="17" spans="1:12">
      <c r="A17" s="240"/>
      <c r="B17" s="241" t="s">
        <v>398</v>
      </c>
      <c r="C17" s="240"/>
      <c r="D17" s="240"/>
      <c r="E17" s="241" t="s">
        <v>403</v>
      </c>
      <c r="F17" s="240"/>
      <c r="G17" s="240"/>
      <c r="H17" s="241" t="s">
        <v>408</v>
      </c>
      <c r="I17" s="240"/>
      <c r="K17" s="244"/>
      <c r="L17" s="244"/>
    </row>
    <row r="18" spans="1:12">
      <c r="A18" s="240"/>
      <c r="B18" s="241" t="s">
        <v>400</v>
      </c>
      <c r="C18" s="242"/>
      <c r="D18" s="240"/>
      <c r="E18" s="241" t="s">
        <v>404</v>
      </c>
      <c r="F18" s="240"/>
      <c r="G18" s="240"/>
      <c r="H18" s="240"/>
      <c r="I18" s="240"/>
      <c r="K18" s="242"/>
      <c r="L18" s="242"/>
    </row>
    <row r="19" spans="1:12">
      <c r="A19" s="240"/>
      <c r="B19" s="241" t="s">
        <v>399</v>
      </c>
      <c r="C19" s="242"/>
      <c r="D19" s="240"/>
      <c r="E19" s="241" t="s">
        <v>405</v>
      </c>
      <c r="F19" s="240"/>
      <c r="G19" s="240"/>
      <c r="H19" s="240"/>
      <c r="I19" s="240"/>
      <c r="K19" s="242"/>
      <c r="L19" s="242"/>
    </row>
    <row r="20" spans="1:12">
      <c r="A20" s="240"/>
      <c r="B20" s="241" t="s">
        <v>401</v>
      </c>
      <c r="C20" s="242"/>
      <c r="D20" s="240"/>
      <c r="E20" s="241" t="s">
        <v>406</v>
      </c>
      <c r="F20" s="240"/>
      <c r="G20" s="240"/>
      <c r="H20" s="240"/>
      <c r="I20" s="240"/>
      <c r="K20" s="242"/>
      <c r="L20" s="242"/>
    </row>
    <row r="21" spans="1:12">
      <c r="A21" s="240"/>
      <c r="B21" s="241" t="s">
        <v>402</v>
      </c>
      <c r="C21" s="240"/>
      <c r="D21" s="240"/>
      <c r="E21" s="241" t="s">
        <v>407</v>
      </c>
      <c r="F21" s="240"/>
      <c r="G21" s="240"/>
      <c r="H21" s="240"/>
      <c r="I21" s="240"/>
      <c r="K21" s="242"/>
      <c r="L21" s="242"/>
    </row>
    <row r="22" spans="1:12">
      <c r="A22" s="240"/>
      <c r="C22" s="242"/>
      <c r="D22" s="240"/>
      <c r="E22" s="242"/>
      <c r="F22" s="242"/>
      <c r="G22" s="240"/>
      <c r="H22" s="242"/>
      <c r="I22" s="242"/>
      <c r="K22" s="242"/>
      <c r="L22" s="242"/>
    </row>
    <row r="23" spans="1:12">
      <c r="A23" s="240"/>
      <c r="B23" s="246" t="s">
        <v>410</v>
      </c>
      <c r="C23" s="247"/>
      <c r="D23" s="240"/>
      <c r="E23" s="240"/>
      <c r="F23" s="240"/>
      <c r="G23" s="240"/>
      <c r="H23" s="240"/>
      <c r="I23" s="240"/>
      <c r="K23" s="242"/>
      <c r="L23" s="242"/>
    </row>
    <row r="24" spans="1:12">
      <c r="A24" s="240"/>
      <c r="B24" s="245" t="s">
        <v>394</v>
      </c>
      <c r="C24" s="245"/>
      <c r="D24" s="248"/>
      <c r="E24" s="245" t="s">
        <v>395</v>
      </c>
      <c r="F24" s="245"/>
      <c r="G24" s="248"/>
      <c r="H24" s="245" t="s">
        <v>397</v>
      </c>
      <c r="I24" s="245"/>
      <c r="K24" s="242"/>
      <c r="L24" s="242"/>
    </row>
    <row r="25" spans="1:12">
      <c r="A25" s="240"/>
      <c r="B25" s="241" t="s">
        <v>398</v>
      </c>
      <c r="C25" s="240"/>
      <c r="D25" s="240"/>
      <c r="E25" s="241" t="s">
        <v>403</v>
      </c>
      <c r="F25" s="240"/>
      <c r="G25" s="240"/>
      <c r="H25" s="241" t="s">
        <v>408</v>
      </c>
      <c r="I25" s="240"/>
      <c r="K25" s="242"/>
      <c r="L25" s="242"/>
    </row>
    <row r="26" spans="1:12">
      <c r="A26" s="240"/>
      <c r="B26" s="241" t="s">
        <v>400</v>
      </c>
      <c r="C26" s="240"/>
      <c r="D26" s="240"/>
      <c r="E26" s="241" t="s">
        <v>404</v>
      </c>
      <c r="F26" s="240"/>
      <c r="G26" s="240"/>
      <c r="H26" s="240"/>
      <c r="I26" s="240"/>
      <c r="K26" s="242"/>
      <c r="L26" s="242"/>
    </row>
    <row r="27" spans="1:12">
      <c r="B27" s="241" t="s">
        <v>399</v>
      </c>
      <c r="C27" s="240"/>
      <c r="D27" s="240"/>
      <c r="E27" s="241" t="s">
        <v>405</v>
      </c>
      <c r="F27" s="240"/>
      <c r="G27" s="240"/>
      <c r="H27" s="240"/>
      <c r="I27" s="240"/>
    </row>
    <row r="28" spans="1:12">
      <c r="B28" s="241" t="s">
        <v>401</v>
      </c>
      <c r="C28" s="240"/>
      <c r="D28" s="240"/>
      <c r="E28" s="241" t="s">
        <v>406</v>
      </c>
      <c r="F28" s="240"/>
      <c r="G28" s="240"/>
      <c r="H28" s="240"/>
      <c r="I28" s="240"/>
    </row>
    <row r="29" spans="1:12">
      <c r="B29" s="241" t="s">
        <v>402</v>
      </c>
      <c r="C29" s="240"/>
      <c r="D29" s="240"/>
      <c r="E29" s="241" t="s">
        <v>407</v>
      </c>
      <c r="F29" s="240"/>
      <c r="G29" s="240"/>
      <c r="H29" s="240"/>
      <c r="I29" s="240"/>
    </row>
    <row r="30" spans="1:12">
      <c r="B30" s="247"/>
      <c r="C30" s="247"/>
      <c r="D30" s="240"/>
      <c r="E30" s="240"/>
      <c r="F30" s="240"/>
      <c r="G30" s="240"/>
      <c r="H30" s="240"/>
      <c r="I30" s="240"/>
    </row>
    <row r="31" spans="1:12">
      <c r="B31" s="246" t="s">
        <v>411</v>
      </c>
      <c r="C31" s="247"/>
      <c r="D31" s="240"/>
      <c r="E31" s="240"/>
      <c r="F31" s="240"/>
      <c r="G31" s="240"/>
      <c r="H31" s="240"/>
      <c r="I31" s="240"/>
    </row>
    <row r="32" spans="1:12">
      <c r="B32" s="245" t="s">
        <v>394</v>
      </c>
      <c r="C32" s="245"/>
      <c r="D32" s="248"/>
      <c r="E32" s="245" t="s">
        <v>395</v>
      </c>
      <c r="F32" s="245"/>
      <c r="G32" s="248"/>
      <c r="H32" s="245" t="s">
        <v>397</v>
      </c>
      <c r="I32" s="245"/>
    </row>
    <row r="33" spans="2:9">
      <c r="B33" s="241" t="s">
        <v>398</v>
      </c>
      <c r="C33" s="240"/>
      <c r="D33" s="240"/>
      <c r="E33" s="241" t="s">
        <v>403</v>
      </c>
      <c r="F33" s="240"/>
      <c r="G33" s="240"/>
      <c r="H33" s="241" t="s">
        <v>408</v>
      </c>
      <c r="I33" s="240"/>
    </row>
    <row r="34" spans="2:9">
      <c r="B34" s="241" t="s">
        <v>400</v>
      </c>
      <c r="C34" s="240"/>
      <c r="D34" s="240"/>
      <c r="E34" s="241" t="s">
        <v>404</v>
      </c>
      <c r="F34" s="240"/>
      <c r="G34" s="240"/>
      <c r="H34" s="240"/>
      <c r="I34" s="240"/>
    </row>
    <row r="35" spans="2:9">
      <c r="B35" s="241" t="s">
        <v>399</v>
      </c>
      <c r="C35" s="240"/>
      <c r="D35" s="240"/>
      <c r="E35" s="241" t="s">
        <v>405</v>
      </c>
      <c r="F35" s="240"/>
      <c r="G35" s="240"/>
      <c r="H35" s="240"/>
      <c r="I35" s="240"/>
    </row>
    <row r="36" spans="2:9">
      <c r="B36" s="241" t="s">
        <v>401</v>
      </c>
      <c r="C36" s="240"/>
      <c r="D36" s="240"/>
      <c r="E36" s="241" t="s">
        <v>406</v>
      </c>
      <c r="F36" s="240"/>
      <c r="G36" s="240"/>
      <c r="H36" s="240"/>
      <c r="I36" s="240"/>
    </row>
    <row r="37" spans="2:9">
      <c r="B37" s="241" t="s">
        <v>402</v>
      </c>
      <c r="C37" s="240"/>
      <c r="D37" s="240"/>
      <c r="E37" s="241" t="s">
        <v>407</v>
      </c>
      <c r="F37" s="240"/>
      <c r="G37" s="240"/>
      <c r="H37" s="240"/>
      <c r="I37" s="240"/>
    </row>
    <row r="39" spans="2:9">
      <c r="B39" s="246" t="s">
        <v>412</v>
      </c>
      <c r="C39" s="247"/>
      <c r="D39" s="240"/>
      <c r="E39" s="240"/>
      <c r="F39" s="240"/>
      <c r="G39" s="240"/>
      <c r="H39" s="240"/>
      <c r="I39" s="240"/>
    </row>
    <row r="40" spans="2:9">
      <c r="B40" s="245" t="s">
        <v>394</v>
      </c>
      <c r="C40" s="245"/>
      <c r="D40" s="248"/>
      <c r="E40" s="245" t="s">
        <v>395</v>
      </c>
      <c r="F40" s="245"/>
      <c r="G40" s="248"/>
      <c r="H40" s="245" t="s">
        <v>397</v>
      </c>
      <c r="I40" s="245"/>
    </row>
    <row r="41" spans="2:9">
      <c r="B41" s="241" t="s">
        <v>398</v>
      </c>
      <c r="C41" s="240"/>
      <c r="D41" s="240"/>
      <c r="E41" s="241" t="s">
        <v>403</v>
      </c>
      <c r="F41" s="240"/>
      <c r="G41" s="240"/>
      <c r="H41" s="241" t="s">
        <v>408</v>
      </c>
      <c r="I41" s="240"/>
    </row>
    <row r="42" spans="2:9">
      <c r="B42" s="241" t="s">
        <v>400</v>
      </c>
      <c r="C42" s="240"/>
      <c r="D42" s="240"/>
      <c r="E42" s="241" t="s">
        <v>404</v>
      </c>
      <c r="F42" s="240"/>
      <c r="G42" s="240"/>
      <c r="H42" s="240"/>
      <c r="I42" s="240"/>
    </row>
    <row r="43" spans="2:9">
      <c r="B43" s="241" t="s">
        <v>399</v>
      </c>
      <c r="C43" s="240"/>
      <c r="D43" s="240"/>
      <c r="E43" s="241" t="s">
        <v>405</v>
      </c>
      <c r="F43" s="240"/>
      <c r="G43" s="240"/>
      <c r="H43" s="240"/>
      <c r="I43" s="240"/>
    </row>
    <row r="44" spans="2:9">
      <c r="B44" s="241" t="s">
        <v>401</v>
      </c>
      <c r="C44" s="240"/>
      <c r="D44" s="240"/>
      <c r="E44" s="241" t="s">
        <v>406</v>
      </c>
      <c r="F44" s="240"/>
      <c r="G44" s="240"/>
      <c r="H44" s="240"/>
      <c r="I44" s="240"/>
    </row>
    <row r="45" spans="2:9">
      <c r="B45" s="241" t="s">
        <v>402</v>
      </c>
      <c r="C45" s="240"/>
      <c r="D45" s="240"/>
      <c r="E45" s="241" t="s">
        <v>407</v>
      </c>
      <c r="F45" s="240"/>
      <c r="G45" s="240"/>
      <c r="H45" s="240"/>
      <c r="I45" s="240"/>
    </row>
    <row r="46" spans="2:9">
      <c r="B46" s="247"/>
      <c r="C46" s="247"/>
      <c r="D46" s="240"/>
      <c r="E46" s="240"/>
      <c r="F46" s="240"/>
      <c r="G46" s="240"/>
      <c r="H46" s="240"/>
      <c r="I46" s="240"/>
    </row>
    <row r="47" spans="2:9">
      <c r="B47" s="246" t="s">
        <v>413</v>
      </c>
      <c r="C47" s="247"/>
      <c r="D47" s="240"/>
      <c r="E47" s="240"/>
      <c r="F47" s="240"/>
      <c r="G47" s="240"/>
      <c r="H47" s="240"/>
      <c r="I47" s="240"/>
    </row>
    <row r="48" spans="2:9">
      <c r="B48" s="245" t="s">
        <v>394</v>
      </c>
      <c r="C48" s="245"/>
      <c r="D48" s="248"/>
      <c r="E48" s="245" t="s">
        <v>395</v>
      </c>
      <c r="F48" s="245"/>
      <c r="G48" s="248"/>
      <c r="H48" s="245" t="s">
        <v>397</v>
      </c>
      <c r="I48" s="245"/>
    </row>
    <row r="49" spans="2:9">
      <c r="B49" s="241" t="s">
        <v>398</v>
      </c>
      <c r="C49" s="240"/>
      <c r="D49" s="240"/>
      <c r="E49" s="241" t="s">
        <v>403</v>
      </c>
      <c r="F49" s="240"/>
      <c r="G49" s="240"/>
      <c r="H49" s="241" t="s">
        <v>408</v>
      </c>
      <c r="I49" s="240"/>
    </row>
    <row r="50" spans="2:9">
      <c r="B50" s="241" t="s">
        <v>400</v>
      </c>
      <c r="C50" s="240"/>
      <c r="D50" s="240"/>
      <c r="E50" s="241" t="s">
        <v>404</v>
      </c>
      <c r="F50" s="240"/>
      <c r="G50" s="240"/>
      <c r="H50" s="240"/>
      <c r="I50" s="240"/>
    </row>
    <row r="51" spans="2:9">
      <c r="B51" s="241" t="s">
        <v>399</v>
      </c>
      <c r="C51" s="240"/>
      <c r="D51" s="240"/>
      <c r="E51" s="241" t="s">
        <v>405</v>
      </c>
      <c r="F51" s="240"/>
      <c r="G51" s="240"/>
      <c r="H51" s="240"/>
      <c r="I51" s="240"/>
    </row>
    <row r="52" spans="2:9">
      <c r="B52" s="241" t="s">
        <v>401</v>
      </c>
      <c r="C52" s="240"/>
      <c r="D52" s="240"/>
      <c r="E52" s="241" t="s">
        <v>406</v>
      </c>
      <c r="F52" s="240"/>
      <c r="G52" s="240"/>
      <c r="H52" s="240"/>
      <c r="I52" s="240"/>
    </row>
    <row r="53" spans="2:9">
      <c r="B53" s="241" t="s">
        <v>402</v>
      </c>
      <c r="C53" s="240"/>
      <c r="D53" s="240"/>
      <c r="E53" s="241" t="s">
        <v>407</v>
      </c>
      <c r="F53" s="240"/>
      <c r="G53" s="240"/>
      <c r="H53" s="240"/>
      <c r="I53" s="240"/>
    </row>
    <row r="55" spans="2:9">
      <c r="B55" s="246" t="s">
        <v>414</v>
      </c>
      <c r="C55" s="247"/>
      <c r="D55" s="240"/>
      <c r="E55" s="240"/>
      <c r="F55" s="240"/>
      <c r="G55" s="240"/>
      <c r="H55" s="240"/>
      <c r="I55" s="240"/>
    </row>
    <row r="56" spans="2:9">
      <c r="B56" s="245" t="s">
        <v>394</v>
      </c>
      <c r="C56" s="245"/>
      <c r="D56" s="248"/>
      <c r="E56" s="245" t="s">
        <v>395</v>
      </c>
      <c r="F56" s="245"/>
      <c r="G56" s="248"/>
      <c r="H56" s="245" t="s">
        <v>397</v>
      </c>
      <c r="I56" s="245"/>
    </row>
    <row r="57" spans="2:9">
      <c r="B57" s="241" t="s">
        <v>398</v>
      </c>
      <c r="C57" s="240"/>
      <c r="D57" s="240"/>
      <c r="E57" s="241" t="s">
        <v>403</v>
      </c>
      <c r="F57" s="240"/>
      <c r="G57" s="240"/>
      <c r="H57" s="241" t="s">
        <v>408</v>
      </c>
      <c r="I57" s="240"/>
    </row>
    <row r="58" spans="2:9">
      <c r="B58" s="241" t="s">
        <v>400</v>
      </c>
      <c r="C58" s="240"/>
      <c r="D58" s="240"/>
      <c r="E58" s="241" t="s">
        <v>404</v>
      </c>
      <c r="F58" s="240"/>
      <c r="G58" s="240"/>
      <c r="H58" s="240"/>
      <c r="I58" s="240"/>
    </row>
    <row r="59" spans="2:9">
      <c r="B59" s="241" t="s">
        <v>399</v>
      </c>
      <c r="C59" s="240"/>
      <c r="D59" s="240"/>
      <c r="E59" s="241" t="s">
        <v>405</v>
      </c>
      <c r="F59" s="240"/>
      <c r="G59" s="240"/>
      <c r="H59" s="240"/>
      <c r="I59" s="240"/>
    </row>
    <row r="60" spans="2:9">
      <c r="B60" s="241" t="s">
        <v>401</v>
      </c>
      <c r="C60" s="240"/>
      <c r="D60" s="240"/>
      <c r="E60" s="241" t="s">
        <v>406</v>
      </c>
      <c r="F60" s="240"/>
      <c r="G60" s="240"/>
      <c r="H60" s="240"/>
      <c r="I60" s="240"/>
    </row>
    <row r="61" spans="2:9">
      <c r="B61" s="241" t="s">
        <v>402</v>
      </c>
      <c r="C61" s="240"/>
      <c r="D61" s="240"/>
      <c r="E61" s="241" t="s">
        <v>407</v>
      </c>
      <c r="F61" s="240"/>
      <c r="G61" s="240"/>
      <c r="H61" s="240"/>
      <c r="I61" s="240"/>
    </row>
    <row r="62" spans="2:9">
      <c r="B62" s="247"/>
      <c r="C62" s="247"/>
      <c r="D62" s="240"/>
      <c r="E62" s="240"/>
      <c r="F62" s="240"/>
      <c r="G62" s="240"/>
      <c r="H62" s="240"/>
      <c r="I62" s="240"/>
    </row>
    <row r="63" spans="2:9">
      <c r="B63" s="246" t="s">
        <v>415</v>
      </c>
      <c r="C63" s="247"/>
      <c r="D63" s="240"/>
      <c r="E63" s="240"/>
      <c r="F63" s="240"/>
      <c r="G63" s="240"/>
      <c r="H63" s="240"/>
      <c r="I63" s="240"/>
    </row>
    <row r="64" spans="2:9">
      <c r="B64" s="245" t="s">
        <v>394</v>
      </c>
      <c r="C64" s="245"/>
      <c r="D64" s="248"/>
      <c r="E64" s="245" t="s">
        <v>395</v>
      </c>
      <c r="F64" s="245"/>
      <c r="G64" s="248"/>
      <c r="H64" s="245" t="s">
        <v>397</v>
      </c>
      <c r="I64" s="245"/>
    </row>
    <row r="65" spans="2:9">
      <c r="B65" s="241" t="s">
        <v>398</v>
      </c>
      <c r="C65" s="240"/>
      <c r="D65" s="240"/>
      <c r="E65" s="241" t="s">
        <v>403</v>
      </c>
      <c r="F65" s="240"/>
      <c r="G65" s="240"/>
      <c r="H65" s="241" t="s">
        <v>408</v>
      </c>
      <c r="I65" s="240"/>
    </row>
    <row r="66" spans="2:9">
      <c r="B66" s="241" t="s">
        <v>400</v>
      </c>
      <c r="C66" s="240"/>
      <c r="D66" s="240"/>
      <c r="E66" s="241" t="s">
        <v>404</v>
      </c>
      <c r="F66" s="240"/>
      <c r="G66" s="240"/>
      <c r="H66" s="240"/>
      <c r="I66" s="240"/>
    </row>
    <row r="67" spans="2:9">
      <c r="B67" s="241" t="s">
        <v>399</v>
      </c>
      <c r="C67" s="240"/>
      <c r="D67" s="240"/>
      <c r="E67" s="241" t="s">
        <v>405</v>
      </c>
      <c r="F67" s="240"/>
      <c r="G67" s="240"/>
      <c r="H67" s="240"/>
      <c r="I67" s="240"/>
    </row>
    <row r="68" spans="2:9">
      <c r="B68" s="241" t="s">
        <v>401</v>
      </c>
      <c r="C68" s="240"/>
      <c r="D68" s="240"/>
      <c r="E68" s="241" t="s">
        <v>406</v>
      </c>
      <c r="F68" s="240"/>
      <c r="G68" s="240"/>
      <c r="H68" s="240"/>
      <c r="I68" s="240"/>
    </row>
    <row r="69" spans="2:9">
      <c r="B69" s="241" t="s">
        <v>402</v>
      </c>
      <c r="C69" s="240"/>
      <c r="D69" s="240"/>
      <c r="E69" s="241" t="s">
        <v>407</v>
      </c>
      <c r="F69" s="240"/>
      <c r="G69" s="240"/>
      <c r="H69" s="240"/>
      <c r="I69" s="240"/>
    </row>
    <row r="71" spans="2:9">
      <c r="B71" s="246" t="s">
        <v>416</v>
      </c>
      <c r="C71" s="247"/>
      <c r="D71" s="240"/>
      <c r="E71" s="240"/>
      <c r="F71" s="240"/>
      <c r="G71" s="240"/>
      <c r="H71" s="240"/>
    </row>
    <row r="72" spans="2:9">
      <c r="B72" s="245" t="s">
        <v>394</v>
      </c>
      <c r="C72" s="245"/>
      <c r="D72" s="248"/>
      <c r="E72" s="245" t="s">
        <v>395</v>
      </c>
      <c r="F72" s="245"/>
      <c r="G72" s="248"/>
      <c r="H72" s="245" t="s">
        <v>397</v>
      </c>
    </row>
    <row r="73" spans="2:9">
      <c r="B73" s="241" t="s">
        <v>398</v>
      </c>
      <c r="C73" s="240"/>
      <c r="D73" s="240"/>
      <c r="E73" s="241" t="s">
        <v>403</v>
      </c>
      <c r="F73" s="240"/>
      <c r="G73" s="240"/>
      <c r="H73" s="241" t="s">
        <v>408</v>
      </c>
    </row>
    <row r="74" spans="2:9">
      <c r="B74" s="241" t="s">
        <v>400</v>
      </c>
      <c r="C74" s="240"/>
      <c r="D74" s="240"/>
      <c r="E74" s="241" t="s">
        <v>404</v>
      </c>
      <c r="F74" s="240"/>
      <c r="G74" s="240"/>
      <c r="H74" s="240"/>
    </row>
    <row r="75" spans="2:9">
      <c r="B75" s="241" t="s">
        <v>399</v>
      </c>
      <c r="C75" s="240"/>
      <c r="D75" s="240"/>
      <c r="E75" s="241" t="s">
        <v>405</v>
      </c>
      <c r="F75" s="240"/>
      <c r="G75" s="240"/>
      <c r="H75" s="240"/>
    </row>
    <row r="76" spans="2:9">
      <c r="B76" s="241" t="s">
        <v>401</v>
      </c>
      <c r="C76" s="240"/>
      <c r="D76" s="240"/>
      <c r="E76" s="241" t="s">
        <v>406</v>
      </c>
      <c r="F76" s="240"/>
      <c r="G76" s="240"/>
      <c r="H76" s="240"/>
    </row>
    <row r="77" spans="2:9">
      <c r="B77" s="241" t="s">
        <v>402</v>
      </c>
      <c r="C77" s="240"/>
      <c r="D77" s="240"/>
      <c r="E77" s="241" t="s">
        <v>407</v>
      </c>
      <c r="F77" s="240"/>
      <c r="G77" s="240"/>
      <c r="H77" s="240"/>
    </row>
  </sheetData>
  <phoneticPr fontId="19" type="noConversion"/>
  <hyperlinks>
    <hyperlink ref="B9" location="'BD EVA 1 APO'!A1" display="BD Evaluación Nov 2022" xr:uid="{7B392851-4772-6945-868E-04D8D2AF897B}"/>
    <hyperlink ref="E9" location="'EVA 1 APO'!A1" display="Evaluación Nov 2022 por eje" xr:uid="{A2900174-F1A9-B241-98CE-A2AE196D7750}"/>
    <hyperlink ref="B10" location="'BD EVA 2 APO'!A1" display="BD Evaluación Mayo 2023" xr:uid="{C660F4A2-532C-294D-96E1-4FBB6F7543B3}"/>
    <hyperlink ref="E10" location="'EVA 2 APO'!A1" display="Evaluación Mayo 2023 por eje" xr:uid="{38FAD082-AE2F-5841-AD7B-F8001BA25D6D}"/>
    <hyperlink ref="B11" location="'BD EVA 3 APO'!A1" display="BD Evaluación Nov 2023" xr:uid="{EE48F81F-A142-AF4D-81CB-0EE234345E57}"/>
    <hyperlink ref="E11" location="'EVA 3 APO'!A1" display="Evaluación Nov 2023 por eje" xr:uid="{E0CD5976-9E23-A244-BAB4-C2A8625206E5}"/>
    <hyperlink ref="B12" location="'BD EVA 4 APO'!A1" display="BD Evaluación Mayo 2024" xr:uid="{A0236143-1299-D346-B43C-EEE33AD72307}"/>
    <hyperlink ref="E12" location="'EVA 4 APO'!A1" display="Evaluación Mayo 2024 por eje" xr:uid="{600D9B10-4035-C346-8452-3EBA465311B2}"/>
    <hyperlink ref="B13" location="'BD EVA 5 APO'!A1" display="BD Evaluación Oct 2024" xr:uid="{508DC880-14EF-1046-B6E6-A26AF8546717}"/>
    <hyperlink ref="E13" location="'EVA 5 APO'!A1" display="Evaluación Oct 2024 por eje" xr:uid="{B46C4393-81DF-5B4B-829E-675AAB691D5F}"/>
    <hyperlink ref="H9" location="'APO HISTORICO'!A1" display="Evaluación general histórica 2021-2024" xr:uid="{49815F8E-2B40-C942-9E90-8A354956EEF6}"/>
    <hyperlink ref="B17" location="'BD EVA 1 ESC'!A1" display="BD Evaluación Nov 2022" xr:uid="{608FB1DD-151A-E24F-B103-13A930B5792F}"/>
    <hyperlink ref="E17" location="'EVA 1 ESC'!A1" display="Evaluación Nov 2022 por eje" xr:uid="{68497173-EC72-FC4C-85A8-DC076F826089}"/>
    <hyperlink ref="B18" location="'BD EVA 2 ESC'!A1" display="BD Evaluación Mayo 2023" xr:uid="{1F1572E7-21F5-4849-B28C-76FF26245D57}"/>
    <hyperlink ref="E18" location="'EVA 2 ESC'!A1" display="Evaluación Mayo 2023 por eje" xr:uid="{4E1407EB-B796-7442-A6DB-2FDD5BA2F64C}"/>
    <hyperlink ref="B19" location="'BD EVA 3 ESC'!A1" display="BD Evaluación Nov 2023" xr:uid="{C3159045-28D3-FC4E-B72B-D9ADB2F1D48E}"/>
    <hyperlink ref="E19" location="'EVA 3 ESC'!A1" display="Evaluación Nov 2023 por eje" xr:uid="{C84AAF14-AD0C-C349-A52A-856BA0C92F55}"/>
    <hyperlink ref="B20" location="'BD EVA 4 ESC'!A1" display="BD Evaluación Mayo 2024" xr:uid="{46E2D830-CDC8-C24C-AD85-E4C7B2E54C83}"/>
    <hyperlink ref="E20" location="'EVA 4 ESC'!A1" display="Evaluación Mayo 2024 por eje" xr:uid="{1A96D368-42C2-BD40-B9CF-BDE2B0C3E42D}"/>
    <hyperlink ref="B21" location="'BD EVA 5 ESC'!A1" display="BD Evaluación Oct 2024" xr:uid="{534B9035-8D90-0D4F-9DD4-D3495DFB061C}"/>
    <hyperlink ref="E21" location="'EVA 5 ESC'!A1" display="Evaluación Oct 2024 por eje" xr:uid="{774E3CA4-59D4-B241-B2FC-2F0A74AD4FF1}"/>
    <hyperlink ref="H17" location="'ESC HISTORICO'!A1" display="Evaluación general histórica 2021-2024" xr:uid="{172C363D-40D8-BF4C-BF49-85DDB025DF82}"/>
    <hyperlink ref="B25" location="'BD EVA 1 GAR'!A1" display="BD Evaluación Nov 2022" xr:uid="{424A17C5-0F86-A348-87F2-B979F5D76393}"/>
    <hyperlink ref="E25" location="'EVA 1 GAR'!A1" display="Evaluación Nov 2022 por eje" xr:uid="{B7AB1D42-F7CD-AE4A-97D9-9AC22DE36FEC}"/>
    <hyperlink ref="B26" location="'BD EVA 2 GAR'!A1" display="BD Evaluación Mayo 2023" xr:uid="{2DAE7F33-FEF6-114E-B0B8-71D25C37121F}"/>
    <hyperlink ref="E26" location="'EVA 2 GAR'!A1" display="Evaluación Mayo 2023 por eje" xr:uid="{9AB7DA52-CB10-AC4C-BB54-BB1C3116D294}"/>
    <hyperlink ref="B27" location="'BD EVA 3 GAR'!A1" display="BD Evaluación Nov 2023" xr:uid="{C9F83D6E-D182-4D46-BA8A-830D02746AA2}"/>
    <hyperlink ref="E27" location="'EVA 3 GAR'!A1" display="Evaluación Nov 2023 por eje" xr:uid="{2118D13E-AA54-A349-9190-01D148F97480}"/>
    <hyperlink ref="B28" location="'BD EVA 4 GAR'!A1" display="BD Evaluación Mayo 2024" xr:uid="{A9E959C1-D9C2-2A49-9D35-5AD97DF19BFD}"/>
    <hyperlink ref="E28" location="'EVA 4 GAR'!A1" display="Evaluación Mayo 2024 por eje" xr:uid="{DD4206BD-1FA2-C24B-BC84-0AD618B2DEE9}"/>
    <hyperlink ref="B29" location="'BD EVA 5 GAR'!A1" display="BD Evaluación Oct 2024" xr:uid="{CD8B7FE1-0362-6243-8F48-6A369F4BAD82}"/>
    <hyperlink ref="E29" location="'EVA 5 GAR'!A1" display="Evaluación Oct 2024 por eje" xr:uid="{BE7C9A8E-8F1F-6244-82E2-A41DF2341472}"/>
    <hyperlink ref="H25" location="'GAR HISTORICO'!A1" display="Evaluación general histórica 2021-2024" xr:uid="{771236A9-6C0D-3E4A-A009-C67E7D4EF3DC}"/>
    <hyperlink ref="B33" location="'BD EVA 1 GPE'!A1" display="BD Evaluación Nov 2022" xr:uid="{F21A29DF-3D79-7B46-B76B-EABEE79AA1B9}"/>
    <hyperlink ref="E33" location="'EVA 1 GPE'!A1" display="Evaluación Nov 2022 por eje" xr:uid="{7AA5E8C7-AB8C-9746-9038-63B29D35EC50}"/>
    <hyperlink ref="B34" location="'BD EVA 2 GPE'!A1" display="BD Evaluación Mayo 2023" xr:uid="{3D25D840-3F64-0F48-BB13-1C3925EF2583}"/>
    <hyperlink ref="E34" location="'EVA 2 GPE'!A1" display="Evaluación Mayo 2023 por eje" xr:uid="{3B92F3CC-2208-BB40-B5E6-3830EEC988DC}"/>
    <hyperlink ref="B35" location="'BD EVA 3 GPE'!A1" display="BD Evaluación Nov 2023" xr:uid="{AD2D7A8E-8308-4B43-A3F3-4C41267D270D}"/>
    <hyperlink ref="E35" location="'EVA 3 GPE'!A1" display="Evaluación Nov 2023 por eje" xr:uid="{F7D408F4-47A4-D747-AC2C-A86D432DFF42}"/>
    <hyperlink ref="B36" location="'BD EVA 4 GPE'!A1" display="BD Evaluación Mayo 2024" xr:uid="{CB94BA18-5DC7-B54D-887F-4A86666051B4}"/>
    <hyperlink ref="E36" location="'EVA 4 GPE'!A1" display="Evaluación Mayo 2024 por eje" xr:uid="{3CCF7F4B-DD1B-0547-AF69-4DC69B4565FE}"/>
    <hyperlink ref="B37" location="'BD EVA 5 GPE'!A1" display="BD Evaluación Oct 2024" xr:uid="{C8C2EF05-D243-BD48-B5D4-63B60D5F7582}"/>
    <hyperlink ref="E37" location="'EVA 5 GPE'!A1" display="Evaluación Oct 2024 por eje" xr:uid="{52DD07B3-5F1E-8840-BAF9-67DE561DD430}"/>
    <hyperlink ref="H33" location="'GPE HISTORICO'!A1" display="Evaluación general histórica 2021-2024" xr:uid="{738A2B21-E7D1-AD47-88FA-64E2C90E526E}"/>
    <hyperlink ref="B41" location="'BD EVA 1 JUA'!A1" display="BD Evaluación Nov 2022" xr:uid="{2F51003E-3E83-2543-94C2-24A5C082D7B9}"/>
    <hyperlink ref="E41" location="'EVA 1 JUA'!A1" display="Evaluación Nov 2022 por eje" xr:uid="{443AF217-B170-0047-B691-11504F022F25}"/>
    <hyperlink ref="B42" location="'BD EVA 2 JUA'!A1" display="BD Evaluación Mayo 2023" xr:uid="{66D6510E-D8D8-E24B-8FD3-335D3D22486C}"/>
    <hyperlink ref="E42" location="'EVA 2 JUA'!A1" display="Evaluación Mayo 2023 por eje" xr:uid="{3C843752-4009-A44D-A7C3-A11D66D48513}"/>
    <hyperlink ref="B43" location="'BD EVA 3 JUA'!A1" display="BD Evaluación Nov 2023" xr:uid="{803F548A-C632-0148-A5A2-5A56A3203F24}"/>
    <hyperlink ref="E43" location="'EVA 3 JUA'!A1" display="Evaluación Nov 2023 por eje" xr:uid="{3FDB19F4-886D-FB48-B4A0-8CF0638572D9}"/>
    <hyperlink ref="B44" location="'BD EVA 4 JUA'!A1" display="BD Evaluación Mayo 2024" xr:uid="{54F5CC03-616C-7E48-8F10-F36EB2AB2063}"/>
    <hyperlink ref="E44" location="'EVA 4 JUA'!A1" display="Evaluación Mayo 2024 por eje" xr:uid="{9056DD2E-F81E-B74E-8EBF-82DE68B1273C}"/>
    <hyperlink ref="B45" location="'BD EVA 5 JUA'!A1" display="BD Evaluación Oct 2024" xr:uid="{AEC00FAB-424C-344E-B11D-9760BD1F77D4}"/>
    <hyperlink ref="E45" location="'EVA 5 JUA'!A1" display="Evaluación Oct 2024 por eje" xr:uid="{E0981499-DC7B-7345-B0C7-B56898410B1C}"/>
    <hyperlink ref="B49" location="'BD EVA 1 MTY'!A1" display="BD Evaluación Nov 2022" xr:uid="{339491B0-047C-9F46-853C-A61F60DFF356}"/>
    <hyperlink ref="E49" location="'EVA 1 MTY'!A1" display="Evaluación Nov 2022 por eje" xr:uid="{3AF14362-988E-E74E-A0B1-BD8F27DF49D1}"/>
    <hyperlink ref="B50" location="'BD EVA 2 MTY'!A1" display="BD Evaluación Mayo 2023" xr:uid="{5100706F-B7F7-194F-874A-9820A89E7437}"/>
    <hyperlink ref="E50" location="'EVA 2 MTY'!A1" display="Evaluación Mayo 2023 por eje" xr:uid="{A322BD69-E5F3-0A46-B436-8082B6CB7B8B}"/>
    <hyperlink ref="B51" location="'BD EVA 3 MTY'!A1" display="BD Evaluación Nov 2023" xr:uid="{DCB8AAE6-AFA5-0446-94CF-6898FB095202}"/>
    <hyperlink ref="E51" location="'EVA 3 MTY'!A1" display="Evaluación Nov 2023 por eje" xr:uid="{D749CFDD-22FF-2B4B-AF78-F9BD5BFB4B9E}"/>
    <hyperlink ref="B52" location="'BD EVA 4 MTY'!A1" display="BD Evaluación Mayo 2024" xr:uid="{67E10551-8EF9-4740-B7D0-5FB47A333196}"/>
    <hyperlink ref="E52" location="'EVA 4 MTY'!A1" display="Evaluación Mayo 2024 por eje" xr:uid="{A7A1B173-F396-9C4F-9A5E-A6EC73897C0E}"/>
    <hyperlink ref="B53" location="'BD EVA 5 MTY'!A1" display="BD Evaluación Oct 2024" xr:uid="{02F4E647-8D61-224F-B71C-5C1CFC5771E0}"/>
    <hyperlink ref="E53" location="'EVA 5 MTY'!A1" display="Evaluación Oct 2024 por eje" xr:uid="{33648633-7A79-E74F-B4E8-F207236352EB}"/>
    <hyperlink ref="H49" location="'MTY HISTORICO'!A1" display="Evaluación general histórica 2021-2024" xr:uid="{7EDAD653-A0F3-344E-A532-7D1C7BAE7356}"/>
    <hyperlink ref="H41" location="'JUA HISTORICO'!A1" display="Evaluación general histórica 2021-2024" xr:uid="{B8F618EB-5BEC-E546-82A9-5E3F1EB61FB3}"/>
    <hyperlink ref="B57" location="'BD EVA 1 SNG'!A1" display="BD Evaluación Nov 2022" xr:uid="{D58957BB-A735-8D4D-AAA2-F417A937ADEF}"/>
    <hyperlink ref="E57" location="'EVA 1 SNG'!A1" display="Evaluación Nov 2022 por eje" xr:uid="{056E8EF5-9D25-744F-B868-DE075C77710C}"/>
    <hyperlink ref="B58" location="'BD EVA 2 SNG'!A1" display="BD Evaluación Mayo 2023" xr:uid="{301E4AB5-3798-F847-920E-2A2C77EE229A}"/>
    <hyperlink ref="E58" location="'EVA 2 SNG'!A1" display="Evaluación Mayo 2023 por eje" xr:uid="{12F5BC91-C345-EE4C-BC9A-FD32B735869B}"/>
    <hyperlink ref="B59" location="'BD EVA 3 SNG'!A1" display="BD Evaluación Nov 2023" xr:uid="{A38728C9-97DE-B147-AA3B-1096C6A25F58}"/>
    <hyperlink ref="E59" location="'EVA 3 SNG'!A1" display="Evaluación Nov 2023 por eje" xr:uid="{56B6E3BE-EC95-1141-A3B1-CADD0B3174BB}"/>
    <hyperlink ref="B60" location="'BD EVA 4 SNG'!A1" display="BD Evaluación Mayo 2024" xr:uid="{9B61EC8D-92EB-8C40-A8E5-16A00FD61957}"/>
    <hyperlink ref="E60" location="'EVA 4 SNG'!A1" display="Evaluación Mayo 2024 por eje" xr:uid="{E02590FC-8C30-8F46-9034-179F950715EA}"/>
    <hyperlink ref="B61" location="'BD EVA 5 SNG'!A1" display="BD Evaluación Oct 2024" xr:uid="{12143B06-3D1D-2848-9AC5-6FA9461090B1}"/>
    <hyperlink ref="E61" location="'EVA 5 SNG'!A1" display="Evaluación Oct 2024 por eje" xr:uid="{B5F30A6A-6608-084F-8BB4-DD8696A73AAD}"/>
    <hyperlink ref="H57" location="'SNG HISTORICO'!A1" display="Evaluación general histórica 2021-2024" xr:uid="{2C21FEF5-CEE2-EE4C-B709-BE49918AA1BB}"/>
    <hyperlink ref="B65" location="'BD EVA 1 SPGG'!A1" display="BD Evaluación Nov 2022" xr:uid="{67B163B3-5005-5E41-AA52-60A91BBD1447}"/>
    <hyperlink ref="E65" location="'EVA 1 SPGG'!A1" display="Evaluación Nov 2022 por eje" xr:uid="{26E2E2BD-DAE8-C14A-BAF1-093F6829C3A1}"/>
    <hyperlink ref="B66" location="'BD EVA 2 SPGG'!A1" display="BD Evaluación Mayo 2023" xr:uid="{D842316D-E7B3-2944-AA2C-7D271BD06FB5}"/>
    <hyperlink ref="E66" location="'EVA 2 SPGG'!A1" display="Evaluación Mayo 2023 por eje" xr:uid="{0E1E95DF-ED2C-1A43-92FC-B6A4B7AFF0CE}"/>
    <hyperlink ref="B67" location="'BD EVA 3 SPGG'!A1" display="BD Evaluación Nov 2023" xr:uid="{F2E1AEB3-08F0-0A4D-A2B5-BC7396241645}"/>
    <hyperlink ref="E67" location="'EVA 3 SPGG'!A1" display="Evaluación Nov 2023 por eje" xr:uid="{7B2106B2-23B1-7149-83AE-B582C2DE4232}"/>
    <hyperlink ref="B68" location="'BD EVA 4 SPGG'!A1" display="BD Evaluación Mayo 2024" xr:uid="{0CAF9ABC-E6BE-EC43-9F62-B805C5860491}"/>
    <hyperlink ref="E68" location="'EVA 4 SPGG'!A1" display="Evaluación Mayo 2024 por eje" xr:uid="{E6962B8C-40F9-874A-85F3-629732564E3A}"/>
    <hyperlink ref="B69" location="'BD EVA 5 SPGG'!A1" display="BD Evaluación Oct 2024" xr:uid="{6EF196B1-22EE-DC46-8AB8-E237118B000C}"/>
    <hyperlink ref="E69" location="'EVA 5 SPGG'!A1" display="Evaluación Oct 2024 por eje" xr:uid="{C73954D1-9532-3B4B-8820-827C2DDE8CEF}"/>
    <hyperlink ref="H65" location="'SPGG HISTORICO'!A1" display="Evaluación general histórica 2021-2024" xr:uid="{AC69810C-82E2-FF47-AD0B-E9704F33BE6D}"/>
    <hyperlink ref="B73" location="'BD EVA 1 STC'!A1" display="BD Evaluación Nov 2022" xr:uid="{0FE1BB05-CAF4-E74E-8695-74983028B396}"/>
    <hyperlink ref="E73" location="'EVA 1 STC'!A1" display="Evaluación Nov 2022 por eje" xr:uid="{4428506C-5B16-7644-B893-B4EF28E6743D}"/>
    <hyperlink ref="B74" location="'BD EVA 2 STC'!A1" display="BD Evaluación Mayo 2023" xr:uid="{C9FD8D31-A1CB-CE40-B05A-FFF22334CE7E}"/>
    <hyperlink ref="E74" location="'EVA 2 STC'!A1" display="Evaluación Mayo 2023 por eje" xr:uid="{FE3DDDF5-B334-EC43-809F-8356DF631A6C}"/>
    <hyperlink ref="B75" location="'BD EVA 3 STC'!A1" display="BD Evaluación Nov 2023" xr:uid="{1861549E-9A4F-024D-A0B2-D1474947C315}"/>
    <hyperlink ref="E75" location="'EVA 3 STC'!A1" display="Evaluación Nov 2023 por eje" xr:uid="{D4C83267-0F0F-5349-B16F-9C1AB7FE1457}"/>
    <hyperlink ref="B76" location="'BD EVA 4 STC'!A1" display="BD Evaluación Mayo 2024" xr:uid="{F29CDD10-096A-C24F-B6F2-F8FD95B6391A}"/>
    <hyperlink ref="E76" location="'EVA 4 STC'!A1" display="Evaluación Mayo 2024 por eje" xr:uid="{72B32D16-B5F1-A44C-8FCE-2CD8959ED71C}"/>
    <hyperlink ref="B77" location="'BD EVA 5 STC'!A1" display="BD Evaluación Oct 2024" xr:uid="{CFD7C891-9740-4C4F-BE9B-B7AC9EF00C8C}"/>
    <hyperlink ref="E77" location="'EVA 5 STC'!A1" display="Evaluación Oct 2024 por eje" xr:uid="{70AFA2EE-42E8-D844-A948-D70E2E2A63A2}"/>
    <hyperlink ref="H73" location="'STC HISTORICO'!A1" display="Evaluación general histórica 2021-2024" xr:uid="{753AA507-9492-2E48-BD76-412DE1B0F06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BF195-3B7B-5B4A-B807-E528AB33DF98}">
  <dimension ref="A1:AE113"/>
  <sheetViews>
    <sheetView topLeftCell="B1" workbookViewId="0">
      <selection activeCell="S2" sqref="S2"/>
    </sheetView>
  </sheetViews>
  <sheetFormatPr baseColWidth="10" defaultRowHeight="16"/>
  <sheetData>
    <row r="1" spans="1:31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356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215" t="s">
        <v>357</v>
      </c>
      <c r="P1" s="61" t="s">
        <v>14</v>
      </c>
      <c r="Q1" s="63" t="s">
        <v>15</v>
      </c>
      <c r="R1" s="61" t="s">
        <v>16</v>
      </c>
      <c r="S1" s="216" t="s">
        <v>358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2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4"/>
      <c r="Q2" s="5">
        <v>665734</v>
      </c>
      <c r="R2" s="5">
        <v>665734</v>
      </c>
      <c r="S2" s="5">
        <v>665734</v>
      </c>
      <c r="T2" s="4"/>
      <c r="U2" s="6"/>
      <c r="V2" s="6"/>
      <c r="W2" s="6"/>
      <c r="X2" s="6"/>
      <c r="Y2" s="6"/>
      <c r="Z2" s="5">
        <v>685177</v>
      </c>
      <c r="AA2" s="5">
        <v>685177</v>
      </c>
      <c r="AB2" s="5">
        <v>693045</v>
      </c>
      <c r="AC2" s="5">
        <v>693045</v>
      </c>
      <c r="AD2" s="5">
        <v>699613</v>
      </c>
      <c r="AE2" s="5">
        <v>699613</v>
      </c>
    </row>
    <row r="3" spans="1:31">
      <c r="A3" s="149" t="s">
        <v>34</v>
      </c>
      <c r="B3" s="149" t="s">
        <v>35</v>
      </c>
      <c r="C3" s="148" t="s">
        <v>36</v>
      </c>
      <c r="D3" s="150" t="s">
        <v>37</v>
      </c>
      <c r="E3" s="149" t="s">
        <v>38</v>
      </c>
      <c r="F3" s="9" t="s">
        <v>39</v>
      </c>
      <c r="G3" s="10">
        <v>44469</v>
      </c>
      <c r="H3" s="10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9" t="s">
        <v>361</v>
      </c>
      <c r="P3" s="11">
        <v>45565</v>
      </c>
      <c r="Q3" s="12">
        <v>835</v>
      </c>
      <c r="R3" s="2">
        <v>835</v>
      </c>
      <c r="S3" s="2">
        <f ca="1">IFERROR(__xludf.DUMMYFUNCTION("INDEX(IMPORTRANGE(""17pNv02DXDpQT9S3w4-QeNym2QJy2BzMBqDXp-XtzJBM"", ""'APO'!BG3:BG139""),MATCH($D3,IMPORTRANGE(""17pNv02DXDpQT9S3w4-QeNym2QJy2BzMBqDXp-XtzJBM"", ""'APO'!D3:D139""),0))"),835)</f>
        <v>835</v>
      </c>
      <c r="T3" s="4">
        <v>790</v>
      </c>
      <c r="U3" s="4">
        <v>840</v>
      </c>
      <c r="V3" s="4">
        <v>840</v>
      </c>
      <c r="W3" s="4">
        <v>890</v>
      </c>
      <c r="X3" s="4">
        <f>((Y3-W3)/6)*5+W3</f>
        <v>890</v>
      </c>
      <c r="Y3" s="4">
        <v>890</v>
      </c>
      <c r="Z3" s="2">
        <f ca="1">IFERROR(__xludf.DUMMYFUNCTION("INDEX(IMPORTRANGE(""17pNv02DXDpQT9S3w4-QeNym2QJy2BzMBqDXp-XtzJBM"", ""'APO'!BH3:BH139""),MATCH($D3,IMPORTRANGE(""17pNv02DXDpQT9S3w4-QeNym2QJy2BzMBqDXp-XtzJBM"", ""'APO'!D3:D139""),0))"),853)</f>
        <v>853</v>
      </c>
      <c r="AA3" s="2">
        <f ca="1">IFERROR(__xludf.DUMMYFUNCTION("INDEX(IMPORTRANGE(""17pNv02DXDpQT9S3w4-QeNym2QJy2BzMBqDXp-XtzJBM"", ""'APO'!BI3:BI139""),MATCH($D3,IMPORTRANGE(""17pNv02DXDpQT9S3w4-QeNym2QJy2BzMBqDXp-XtzJBM"", ""'APO'!D3:D139""),0))"),818)</f>
        <v>818</v>
      </c>
      <c r="AB3" s="2">
        <f ca="1">IFERROR(__xludf.DUMMYFUNCTION("INDEX(IMPORTRANGE(""17pNv02DXDpQT9S3w4-QeNym2QJy2BzMBqDXp-XtzJBM"", ""'APO'!BJ3:BJ139""),MATCH($D3,IMPORTRANGE(""17pNv02DXDpQT9S3w4-QeNym2QJy2BzMBqDXp-XtzJBM"", ""'APO'!D3:D139""),0))"),817)</f>
        <v>817</v>
      </c>
      <c r="AC3" s="2">
        <f ca="1">IFERROR(__xludf.DUMMYFUNCTION("INDEX(IMPORTRANGE(""17pNv02DXDpQT9S3w4-QeNym2QJy2BzMBqDXp-XtzJBM"", ""'APO'!BK3:BK139""),MATCH($D3,IMPORTRANGE(""17pNv02DXDpQT9S3w4-QeNym2QJy2BzMBqDXp-XtzJBM"", ""'APO'!D3:D139""),0))"),845)</f>
        <v>845</v>
      </c>
      <c r="AD3" s="2">
        <f ca="1">IFERROR(__xludf.DUMMYFUNCTION("INDEX(IMPORTRANGE(""17pNv02DXDpQT9S3w4-QeNym2QJy2BzMBqDXp-XtzJBM"", ""'APO'!BL3:BL139""),MATCH($D3,IMPORTRANGE(""17pNv02DXDpQT9S3w4-QeNym2QJy2BzMBqDXp-XtzJBM"", ""'APO'!D3:D139""),0))"),775)</f>
        <v>775</v>
      </c>
      <c r="AE3" s="2">
        <f ca="1">IFERROR(__xludf.DUMMYFUNCTION("INDEX(IMPORTRANGE(""17pNv02DXDpQT9S3w4-QeNym2QJy2BzMBqDXp-XtzJBM"", ""'APO'!BM3:BM139""),MATCH($D3,IMPORTRANGE(""17pNv02DXDpQT9S3w4-QeNym2QJy2BzMBqDXp-XtzJBM"", ""'APO'!D3:D139""),0))"),726)</f>
        <v>726</v>
      </c>
    </row>
    <row r="4" spans="1:31">
      <c r="A4" s="149" t="s">
        <v>34</v>
      </c>
      <c r="B4" s="149" t="s">
        <v>40</v>
      </c>
      <c r="C4" s="148" t="s">
        <v>30</v>
      </c>
      <c r="D4" s="150" t="s">
        <v>41</v>
      </c>
      <c r="E4" s="149" t="s">
        <v>38</v>
      </c>
      <c r="F4" s="9" t="s">
        <v>42</v>
      </c>
      <c r="G4" s="10">
        <v>44469</v>
      </c>
      <c r="H4" s="10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9" t="s">
        <v>361</v>
      </c>
      <c r="P4" s="11">
        <v>45565</v>
      </c>
      <c r="Q4" s="12">
        <v>835</v>
      </c>
      <c r="R4" s="2">
        <v>835</v>
      </c>
      <c r="S4" s="2">
        <f ca="1">IFERROR(__xludf.DUMMYFUNCTION("INDEX(IMPORTRANGE(""17pNv02DXDpQT9S3w4-QeNym2QJy2BzMBqDXp-XtzJBM"", ""'APO'!BG3:BG139""),MATCH($D4,IMPORTRANGE(""17pNv02DXDpQT9S3w4-QeNym2QJy2BzMBqDXp-XtzJBM"", ""'APO'!D3:D139""),0))"),835)</f>
        <v>835</v>
      </c>
      <c r="T4" s="13"/>
      <c r="U4" s="13"/>
      <c r="V4" s="13"/>
      <c r="W4" s="13"/>
      <c r="X4" s="13"/>
      <c r="Y4" s="13"/>
      <c r="Z4" s="2">
        <f ca="1">IFERROR(__xludf.DUMMYFUNCTION("INDEX(IMPORTRANGE(""17pNv02DXDpQT9S3w4-QeNym2QJy2BzMBqDXp-XtzJBM"", ""'APO'!BH3:BH139""),MATCH($D4,IMPORTRANGE(""17pNv02DXDpQT9S3w4-QeNym2QJy2BzMBqDXp-XtzJBM"", ""'APO'!D3:D139""),0))"),853)</f>
        <v>853</v>
      </c>
      <c r="AA4" s="2">
        <f ca="1">IFERROR(__xludf.DUMMYFUNCTION("INDEX(IMPORTRANGE(""17pNv02DXDpQT9S3w4-QeNym2QJy2BzMBqDXp-XtzJBM"", ""'APO'!BI3:BI139""),MATCH($D4,IMPORTRANGE(""17pNv02DXDpQT9S3w4-QeNym2QJy2BzMBqDXp-XtzJBM"", ""'APO'!D3:D139""),0))"),787)</f>
        <v>787</v>
      </c>
      <c r="AB4" s="2">
        <f ca="1">IFERROR(__xludf.DUMMYFUNCTION("INDEX(IMPORTRANGE(""17pNv02DXDpQT9S3w4-QeNym2QJy2BzMBqDXp-XtzJBM"", ""'APO'!BJ3:BJ139""),MATCH($D4,IMPORTRANGE(""17pNv02DXDpQT9S3w4-QeNym2QJy2BzMBqDXp-XtzJBM"", ""'APO'!D3:D139""),0))"),817)</f>
        <v>817</v>
      </c>
      <c r="AC4" s="2">
        <f ca="1">IFERROR(__xludf.DUMMYFUNCTION("INDEX(IMPORTRANGE(""17pNv02DXDpQT9S3w4-QeNym2QJy2BzMBqDXp-XtzJBM"", ""'APO'!BK3:BK139""),MATCH($D4,IMPORTRANGE(""17pNv02DXDpQT9S3w4-QeNym2QJy2BzMBqDXp-XtzJBM"", ""'APO'!D3:D139""),0))"),836)</f>
        <v>836</v>
      </c>
      <c r="AD4" s="2">
        <f ca="1">IFERROR(__xludf.DUMMYFUNCTION("INDEX(IMPORTRANGE(""17pNv02DXDpQT9S3w4-QeNym2QJy2BzMBqDXp-XtzJBM"", ""'APO'!BL3:BL139""),MATCH($D4,IMPORTRANGE(""17pNv02DXDpQT9S3w4-QeNym2QJy2BzMBqDXp-XtzJBM"", ""'APO'!D3:D139""),0))"),768)</f>
        <v>768</v>
      </c>
      <c r="AE4" s="2">
        <f ca="1">IFERROR(__xludf.DUMMYFUNCTION("INDEX(IMPORTRANGE(""17pNv02DXDpQT9S3w4-QeNym2QJy2BzMBqDXp-XtzJBM"", ""'APO'!BM3:BM139""),MATCH($D4,IMPORTRANGE(""17pNv02DXDpQT9S3w4-QeNym2QJy2BzMBqDXp-XtzJBM"", ""'APO'!D3:D139""),0))"),725)</f>
        <v>725</v>
      </c>
    </row>
    <row r="5" spans="1:31">
      <c r="A5" s="149" t="s">
        <v>34</v>
      </c>
      <c r="B5" s="149" t="s">
        <v>40</v>
      </c>
      <c r="C5" s="148" t="s">
        <v>36</v>
      </c>
      <c r="D5" s="150" t="s">
        <v>43</v>
      </c>
      <c r="E5" s="149" t="s">
        <v>38</v>
      </c>
      <c r="F5" s="9" t="s">
        <v>44</v>
      </c>
      <c r="G5" s="10">
        <v>44469</v>
      </c>
      <c r="H5" s="10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9" t="s">
        <v>361</v>
      </c>
      <c r="P5" s="11">
        <v>45565</v>
      </c>
      <c r="Q5" s="14">
        <f t="shared" ref="Q5:R5" si="0">Q4/Q3</f>
        <v>1</v>
      </c>
      <c r="R5" s="14">
        <f t="shared" si="0"/>
        <v>1</v>
      </c>
      <c r="S5" s="14">
        <f ca="1">IFERROR(__xludf.DUMMYFUNCTION("INDEX(IMPORTRANGE(""17pNv02DXDpQT9S3w4-QeNym2QJy2BzMBqDXp-XtzJBM"", ""'APO'!BG3:BG139""),MATCH($D5,IMPORTRANGE(""17pNv02DXDpQT9S3w4-QeNym2QJy2BzMBqDXp-XtzJBM"", ""'APO'!D3:D139""),0))"),1)</f>
        <v>1</v>
      </c>
      <c r="T5" s="2" t="s">
        <v>327</v>
      </c>
      <c r="U5" s="2" t="s">
        <v>327</v>
      </c>
      <c r="V5" s="2" t="s">
        <v>327</v>
      </c>
      <c r="W5" s="2" t="s">
        <v>327</v>
      </c>
      <c r="X5" s="2" t="s">
        <v>327</v>
      </c>
      <c r="Y5" s="2" t="s">
        <v>327</v>
      </c>
      <c r="Z5" s="15">
        <f ca="1">IFERROR(__xludf.DUMMYFUNCTION("INDEX(IMPORTRANGE(""17pNv02DXDpQT9S3w4-QeNym2QJy2BzMBqDXp-XtzJBM"", ""'APO'!BH3:BH139""),MATCH($D5,IMPORTRANGE(""17pNv02DXDpQT9S3w4-QeNym2QJy2BzMBqDXp-XtzJBM"", ""'APO'!D3:D139""),0))"),1)</f>
        <v>1</v>
      </c>
      <c r="AA5" s="15">
        <f ca="1">IFERROR(__xludf.DUMMYFUNCTION("INDEX(IMPORTRANGE(""17pNv02DXDpQT9S3w4-QeNym2QJy2BzMBqDXp-XtzJBM"", ""'APO'!BI3:BI139""),MATCH($D5,IMPORTRANGE(""17pNv02DXDpQT9S3w4-QeNym2QJy2BzMBqDXp-XtzJBM"", ""'APO'!D3:D139""),0))"),0.962102689486552)</f>
        <v>0.96210268948655198</v>
      </c>
      <c r="AB5" s="15">
        <f ca="1">IFERROR(__xludf.DUMMYFUNCTION("INDEX(IMPORTRANGE(""17pNv02DXDpQT9S3w4-QeNym2QJy2BzMBqDXp-XtzJBM"", ""'APO'!BJ3:BJ139""),MATCH($D5,IMPORTRANGE(""17pNv02DXDpQT9S3w4-QeNym2QJy2BzMBqDXp-XtzJBM"", ""'APO'!D3:D139""),0))"),1)</f>
        <v>1</v>
      </c>
      <c r="AC5" s="15">
        <f ca="1">IFERROR(__xludf.DUMMYFUNCTION("INDEX(IMPORTRANGE(""17pNv02DXDpQT9S3w4-QeNym2QJy2BzMBqDXp-XtzJBM"", ""'APO'!BK3:BK139""),MATCH($D5,IMPORTRANGE(""17pNv02DXDpQT9S3w4-QeNym2QJy2BzMBqDXp-XtzJBM"", ""'APO'!D3:D139""),0))"),0.989349112426035)</f>
        <v>0.98934911242603496</v>
      </c>
      <c r="AD5" s="15">
        <f ca="1">IFERROR(__xludf.DUMMYFUNCTION("INDEX(IMPORTRANGE(""17pNv02DXDpQT9S3w4-QeNym2QJy2BzMBqDXp-XtzJBM"", ""'APO'!BL3:BL139""),MATCH($D5,IMPORTRANGE(""17pNv02DXDpQT9S3w4-QeNym2QJy2BzMBqDXp-XtzJBM"", ""'APO'!D3:D139""),0))"),0.990967741935483)</f>
        <v>0.99096774193548298</v>
      </c>
      <c r="AE5" s="15">
        <f ca="1">IFERROR(__xludf.DUMMYFUNCTION("INDEX(IMPORTRANGE(""17pNv02DXDpQT9S3w4-QeNym2QJy2BzMBqDXp-XtzJBM"", ""'APO'!BM3:BM139""),MATCH($D5,IMPORTRANGE(""17pNv02DXDpQT9S3w4-QeNym2QJy2BzMBqDXp-XtzJBM"", ""'APO'!D3:D139""),0))"),0.99862258953168)</f>
        <v>0.99862258953168004</v>
      </c>
    </row>
    <row r="6" spans="1:31">
      <c r="A6" s="149" t="s">
        <v>34</v>
      </c>
      <c r="B6" s="149" t="s">
        <v>45</v>
      </c>
      <c r="C6" s="148" t="s">
        <v>30</v>
      </c>
      <c r="D6" s="148" t="s">
        <v>328</v>
      </c>
      <c r="E6" s="151" t="s">
        <v>38</v>
      </c>
      <c r="F6" s="9" t="s">
        <v>47</v>
      </c>
      <c r="G6" s="10">
        <v>44469</v>
      </c>
      <c r="H6" s="10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9" t="s">
        <v>361</v>
      </c>
      <c r="P6" s="11">
        <v>45565</v>
      </c>
      <c r="Q6" s="17"/>
      <c r="R6" s="18"/>
      <c r="S6" s="2">
        <f ca="1">IFERROR(__xludf.DUMMYFUNCTION("INDEX(IMPORTRANGE(""17pNv02DXDpQT9S3w4-QeNym2QJy2BzMBqDXp-XtzJBM"", ""'APO'!BG3:BG139""),MATCH($D6,IMPORTRANGE(""17pNv02DXDpQT9S3w4-QeNym2QJy2BzMBqDXp-XtzJBM"", ""'APO'!D3:D139""),0))"),14)</f>
        <v>14</v>
      </c>
      <c r="T6" s="1"/>
      <c r="U6" s="1"/>
      <c r="V6" s="1"/>
      <c r="W6" s="1"/>
      <c r="X6" s="1"/>
      <c r="Y6" s="1"/>
      <c r="Z6" s="2">
        <f ca="1">IFERROR(__xludf.DUMMYFUNCTION("INDEX(IMPORTRANGE(""17pNv02DXDpQT9S3w4-QeNym2QJy2BzMBqDXp-XtzJBM"", ""'APO'!BH3:BH139""),MATCH($D6,IMPORTRANGE(""17pNv02DXDpQT9S3w4-QeNym2QJy2BzMBqDXp-XtzJBM"", ""'APO'!D3:D139""),0))"),0)</f>
        <v>0</v>
      </c>
      <c r="AA6" s="2">
        <f ca="1">IFERROR(__xludf.DUMMYFUNCTION("INDEX(IMPORTRANGE(""17pNv02DXDpQT9S3w4-QeNym2QJy2BzMBqDXp-XtzJBM"", ""'APO'!BI3:BI139""),MATCH($D6,IMPORTRANGE(""17pNv02DXDpQT9S3w4-QeNym2QJy2BzMBqDXp-XtzJBM"", ""'APO'!D3:D139""),0))"),5)</f>
        <v>5</v>
      </c>
      <c r="AB6" s="2">
        <f ca="1">IFERROR(__xludf.DUMMYFUNCTION("INDEX(IMPORTRANGE(""17pNv02DXDpQT9S3w4-QeNym2QJy2BzMBqDXp-XtzJBM"", ""'APO'!BJ3:BJ139""),MATCH($D6,IMPORTRANGE(""17pNv02DXDpQT9S3w4-QeNym2QJy2BzMBqDXp-XtzJBM"", ""'APO'!D3:D139""),0))"),7)</f>
        <v>7</v>
      </c>
      <c r="AC6" s="2">
        <f ca="1">IFERROR(__xludf.DUMMYFUNCTION("INDEX(IMPORTRANGE(""17pNv02DXDpQT9S3w4-QeNym2QJy2BzMBqDXp-XtzJBM"", ""'APO'!BK3:BK139""),MATCH($D6,IMPORTRANGE(""17pNv02DXDpQT9S3w4-QeNym2QJy2BzMBqDXp-XtzJBM"", ""'APO'!D3:D139""),0))"),8)</f>
        <v>8</v>
      </c>
      <c r="AD6" s="2">
        <f ca="1">IFERROR(__xludf.DUMMYFUNCTION("INDEX(IMPORTRANGE(""17pNv02DXDpQT9S3w4-QeNym2QJy2BzMBqDXp-XtzJBM"", ""'APO'!BL3:BL139""),MATCH($D6,IMPORTRANGE(""17pNv02DXDpQT9S3w4-QeNym2QJy2BzMBqDXp-XtzJBM"", ""'APO'!D3:D139""),0))"),8)</f>
        <v>8</v>
      </c>
      <c r="AE6" s="2">
        <f ca="1">IFERROR(__xludf.DUMMYFUNCTION("INDEX(IMPORTRANGE(""17pNv02DXDpQT9S3w4-QeNym2QJy2BzMBqDXp-XtzJBM"", ""'APO'!BM3:BM139""),MATCH($D6,IMPORTRANGE(""17pNv02DXDpQT9S3w4-QeNym2QJy2BzMBqDXp-XtzJBM"", ""'APO'!D3:D139""),0))"),9)</f>
        <v>9</v>
      </c>
    </row>
    <row r="7" spans="1:31">
      <c r="A7" s="149" t="s">
        <v>34</v>
      </c>
      <c r="B7" s="149" t="s">
        <v>45</v>
      </c>
      <c r="C7" s="148" t="s">
        <v>30</v>
      </c>
      <c r="D7" s="148" t="s">
        <v>329</v>
      </c>
      <c r="E7" s="151" t="s">
        <v>38</v>
      </c>
      <c r="F7" s="9" t="s">
        <v>49</v>
      </c>
      <c r="G7" s="10">
        <v>44469</v>
      </c>
      <c r="H7" s="10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9" t="s">
        <v>361</v>
      </c>
      <c r="P7" s="11">
        <v>45565</v>
      </c>
      <c r="Q7" s="19"/>
      <c r="R7" s="19"/>
      <c r="S7" s="15">
        <f ca="1">IFERROR(__xludf.DUMMYFUNCTION("INDEX(IMPORTRANGE(""17pNv02DXDpQT9S3w4-QeNym2QJy2BzMBqDXp-XtzJBM"", ""'APO'!BG3:BG139""),MATCH($D7,IMPORTRANGE(""17pNv02DXDpQT9S3w4-QeNym2QJy2BzMBqDXp-XtzJBM"", ""'APO'!D3:D139""),0))"),0)</f>
        <v>0</v>
      </c>
      <c r="T7" s="1"/>
      <c r="U7" s="1"/>
      <c r="V7" s="1"/>
      <c r="W7" s="1"/>
      <c r="X7" s="1"/>
      <c r="Y7" s="1"/>
      <c r="Z7" s="2" t="str">
        <f ca="1">IFERROR(__xludf.DUMMYFUNCTION("INDEX(IMPORTRANGE(""17pNv02DXDpQT9S3w4-QeNym2QJy2BzMBqDXp-XtzJBM"", ""'APO'!BH3:BH139""),MATCH($D7,IMPORTRANGE(""17pNv02DXDpQT9S3w4-QeNym2QJy2BzMBqDXp-XtzJBM"", ""'APO'!D3:D139""),0))"),"")</f>
        <v/>
      </c>
      <c r="AA7" s="2">
        <f ca="1">IFERROR(__xludf.DUMMYFUNCTION("INDEX(IMPORTRANGE(""17pNv02DXDpQT9S3w4-QeNym2QJy2BzMBqDXp-XtzJBM"", ""'APO'!BI3:BI139""),MATCH($D7,IMPORTRANGE(""17pNv02DXDpQT9S3w4-QeNym2QJy2BzMBqDXp-XtzJBM"", ""'APO'!D3:D139""),0))"),4)</f>
        <v>4</v>
      </c>
      <c r="AB7" s="2">
        <f ca="1">IFERROR(__xludf.DUMMYFUNCTION("INDEX(IMPORTRANGE(""17pNv02DXDpQT9S3w4-QeNym2QJy2BzMBqDXp-XtzJBM"", ""'APO'!BJ3:BJ139""),MATCH($D7,IMPORTRANGE(""17pNv02DXDpQT9S3w4-QeNym2QJy2BzMBqDXp-XtzJBM"", ""'APO'!D3:D139""),0))"),3)</f>
        <v>3</v>
      </c>
      <c r="AC7" s="2">
        <f ca="1">IFERROR(__xludf.DUMMYFUNCTION("INDEX(IMPORTRANGE(""17pNv02DXDpQT9S3w4-QeNym2QJy2BzMBqDXp-XtzJBM"", ""'APO'!BK3:BK139""),MATCH($D7,IMPORTRANGE(""17pNv02DXDpQT9S3w4-QeNym2QJy2BzMBqDXp-XtzJBM"", ""'APO'!D3:D139""),0))"),3)</f>
        <v>3</v>
      </c>
      <c r="AD7" s="2">
        <f ca="1">IFERROR(__xludf.DUMMYFUNCTION("INDEX(IMPORTRANGE(""17pNv02DXDpQT9S3w4-QeNym2QJy2BzMBqDXp-XtzJBM"", ""'APO'!BL3:BL139""),MATCH($D7,IMPORTRANGE(""17pNv02DXDpQT9S3w4-QeNym2QJy2BzMBqDXp-XtzJBM"", ""'APO'!D3:D139""),0))"),3)</f>
        <v>3</v>
      </c>
      <c r="AE7" s="2">
        <f ca="1">IFERROR(__xludf.DUMMYFUNCTION("INDEX(IMPORTRANGE(""17pNv02DXDpQT9S3w4-QeNym2QJy2BzMBqDXp-XtzJBM"", ""'APO'!BM3:BM139""),MATCH($D7,IMPORTRANGE(""17pNv02DXDpQT9S3w4-QeNym2QJy2BzMBqDXp-XtzJBM"", ""'APO'!D3:D139""),0))"),3)</f>
        <v>3</v>
      </c>
    </row>
    <row r="8" spans="1:31">
      <c r="A8" s="149" t="s">
        <v>34</v>
      </c>
      <c r="B8" s="149" t="s">
        <v>45</v>
      </c>
      <c r="C8" s="148" t="s">
        <v>36</v>
      </c>
      <c r="D8" s="148" t="s">
        <v>50</v>
      </c>
      <c r="E8" s="151" t="s">
        <v>38</v>
      </c>
      <c r="F8" s="9" t="s">
        <v>51</v>
      </c>
      <c r="G8" s="10">
        <v>44469</v>
      </c>
      <c r="H8" s="10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9" t="s">
        <v>361</v>
      </c>
      <c r="P8" s="11">
        <v>45565</v>
      </c>
      <c r="Q8" s="19">
        <f t="shared" ref="Q8:R8" si="1">Q6/Q3</f>
        <v>0</v>
      </c>
      <c r="R8" s="19">
        <f t="shared" si="1"/>
        <v>0</v>
      </c>
      <c r="S8" s="15">
        <f ca="1">IFERROR(__xludf.DUMMYFUNCTION("INDEX(IMPORTRANGE(""17pNv02DXDpQT9S3w4-QeNym2QJy2BzMBqDXp-XtzJBM"", ""'APO'!BG3:BG139""),MATCH($D8,IMPORTRANGE(""17pNv02DXDpQT9S3w4-QeNym2QJy2BzMBqDXp-XtzJBM"", ""'APO'!D3:D139""),0))"),0.0167664670658682)</f>
        <v>1.67664670658682E-2</v>
      </c>
      <c r="T8" s="26">
        <v>3.3E-3</v>
      </c>
      <c r="U8" s="26">
        <v>3.3E-3</v>
      </c>
      <c r="V8" s="26">
        <v>6.7000000000000002E-3</v>
      </c>
      <c r="W8" s="26">
        <v>6.7000000000000002E-3</v>
      </c>
      <c r="X8" s="15">
        <f>((Y8-W8)/6)*5+W8</f>
        <v>9.4500000000000001E-3</v>
      </c>
      <c r="Y8" s="26">
        <v>0.01</v>
      </c>
      <c r="Z8" s="15">
        <f ca="1">IFERROR(__xludf.DUMMYFUNCTION("INDEX(IMPORTRANGE(""17pNv02DXDpQT9S3w4-QeNym2QJy2BzMBqDXp-XtzJBM"", ""'APO'!BH3:BH139""),MATCH($D8,IMPORTRANGE(""17pNv02DXDpQT9S3w4-QeNym2QJy2BzMBqDXp-XtzJBM"", ""'APO'!D3:D139""),0))"),0)</f>
        <v>0</v>
      </c>
      <c r="AA8" s="15">
        <f ca="1">IFERROR(__xludf.DUMMYFUNCTION("INDEX(IMPORTRANGE(""17pNv02DXDpQT9S3w4-QeNym2QJy2BzMBqDXp-XtzJBM"", ""'APO'!BI3:BI139""),MATCH($D8,IMPORTRANGE(""17pNv02DXDpQT9S3w4-QeNym2QJy2BzMBqDXp-XtzJBM"", ""'APO'!D3:D139""),0))"),0.011002444987775)</f>
        <v>1.1002444987775001E-2</v>
      </c>
      <c r="AB8" s="15">
        <f ca="1">IFERROR(__xludf.DUMMYFUNCTION("INDEX(IMPORTRANGE(""17pNv02DXDpQT9S3w4-QeNym2QJy2BzMBqDXp-XtzJBM"", ""'APO'!BJ3:BJ139""),MATCH($D8,IMPORTRANGE(""17pNv02DXDpQT9S3w4-QeNym2QJy2BzMBqDXp-XtzJBM"", ""'APO'!D3:D139""),0))"),0.0122399020807833)</f>
        <v>1.2239902080783301E-2</v>
      </c>
      <c r="AC8" s="15">
        <f ca="1">IFERROR(__xludf.DUMMYFUNCTION("INDEX(IMPORTRANGE(""17pNv02DXDpQT9S3w4-QeNym2QJy2BzMBqDXp-XtzJBM"", ""'APO'!BK3:BK139""),MATCH($D8,IMPORTRANGE(""17pNv02DXDpQT9S3w4-QeNym2QJy2BzMBqDXp-XtzJBM"", ""'APO'!D3:D139""),0))"),0.0130177514792899)</f>
        <v>1.30177514792899E-2</v>
      </c>
      <c r="AD8" s="15">
        <f ca="1">IFERROR(__xludf.DUMMYFUNCTION("INDEX(IMPORTRANGE(""17pNv02DXDpQT9S3w4-QeNym2QJy2BzMBqDXp-XtzJBM"", ""'APO'!BL3:BL139""),MATCH($D8,IMPORTRANGE(""17pNv02DXDpQT9S3w4-QeNym2QJy2BzMBqDXp-XtzJBM"", ""'APO'!D3:D139""),0))"),0.0141935483870967)</f>
        <v>1.41935483870967E-2</v>
      </c>
      <c r="AE8" s="15">
        <f ca="1">IFERROR(__xludf.DUMMYFUNCTION("INDEX(IMPORTRANGE(""17pNv02DXDpQT9S3w4-QeNym2QJy2BzMBqDXp-XtzJBM"", ""'APO'!BM3:BM139""),MATCH($D8,IMPORTRANGE(""17pNv02DXDpQT9S3w4-QeNym2QJy2BzMBqDXp-XtzJBM"", ""'APO'!D3:D139""),0))"),0.0165289256198347)</f>
        <v>1.6528925619834701E-2</v>
      </c>
    </row>
    <row r="9" spans="1:31">
      <c r="A9" s="149" t="s">
        <v>52</v>
      </c>
      <c r="B9" s="149" t="s">
        <v>53</v>
      </c>
      <c r="C9" s="148" t="s">
        <v>30</v>
      </c>
      <c r="D9" s="149" t="s">
        <v>54</v>
      </c>
      <c r="E9" s="149" t="s">
        <v>38</v>
      </c>
      <c r="F9" s="9" t="s">
        <v>55</v>
      </c>
      <c r="G9" s="21" t="s">
        <v>56</v>
      </c>
      <c r="H9" s="21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0</v>
      </c>
      <c r="R9" s="12">
        <v>0</v>
      </c>
      <c r="S9" s="12">
        <f ca="1">IFERROR(__xludf.DUMMYFUNCTION("INDEX(IMPORTRANGE(""17pNv02DXDpQT9S3w4-QeNym2QJy2BzMBqDXp-XtzJBM"", ""'APO'!BG3:BG139""),MATCH($D9,IMPORTRANGE(""17pNv02DXDpQT9S3w4-QeNym2QJy2BzMBqDXp-XtzJBM"", ""'APO'!D3:D139""),0))"),0)</f>
        <v>0</v>
      </c>
      <c r="T9" s="13"/>
      <c r="U9" s="13"/>
      <c r="V9" s="13"/>
      <c r="W9" s="13"/>
      <c r="X9" s="13"/>
      <c r="Y9" s="13"/>
      <c r="Z9" s="2">
        <f ca="1">IFERROR(__xludf.DUMMYFUNCTION("INDEX(IMPORTRANGE(""17pNv02DXDpQT9S3w4-QeNym2QJy2BzMBqDXp-XtzJBM"", ""'APO'!BH3:BH139""),MATCH($D9,IMPORTRANGE(""17pNv02DXDpQT9S3w4-QeNym2QJy2BzMBqDXp-XtzJBM"", ""'APO'!D3:D139""),0))"),0)</f>
        <v>0</v>
      </c>
      <c r="AA9" s="2">
        <f ca="1">IFERROR(__xludf.DUMMYFUNCTION("INDEX(IMPORTRANGE(""17pNv02DXDpQT9S3w4-QeNym2QJy2BzMBqDXp-XtzJBM"", ""'APO'!BI3:BI139""),MATCH($D9,IMPORTRANGE(""17pNv02DXDpQT9S3w4-QeNym2QJy2BzMBqDXp-XtzJBM"", ""'APO'!D3:D139""),0))"),23)</f>
        <v>23</v>
      </c>
      <c r="AB9" s="2">
        <f ca="1">IFERROR(__xludf.DUMMYFUNCTION("INDEX(IMPORTRANGE(""17pNv02DXDpQT9S3w4-QeNym2QJy2BzMBqDXp-XtzJBM"", ""'APO'!BJ3:BJ139""),MATCH($D9,IMPORTRANGE(""17pNv02DXDpQT9S3w4-QeNym2QJy2BzMBqDXp-XtzJBM"", ""'APO'!D3:D139""),0))"),48)</f>
        <v>48</v>
      </c>
      <c r="AC9" s="2">
        <f ca="1">IFERROR(__xludf.DUMMYFUNCTION("INDEX(IMPORTRANGE(""17pNv02DXDpQT9S3w4-QeNym2QJy2BzMBqDXp-XtzJBM"", ""'APO'!BK3:BK139""),MATCH($D9,IMPORTRANGE(""17pNv02DXDpQT9S3w4-QeNym2QJy2BzMBqDXp-XtzJBM"", ""'APO'!D3:D139""),0))"),194)</f>
        <v>194</v>
      </c>
      <c r="AD9" s="2">
        <f ca="1">IFERROR(__xludf.DUMMYFUNCTION("INDEX(IMPORTRANGE(""17pNv02DXDpQT9S3w4-QeNym2QJy2BzMBqDXp-XtzJBM"", ""'APO'!BL3:BL139""),MATCH($D9,IMPORTRANGE(""17pNv02DXDpQT9S3w4-QeNym2QJy2BzMBqDXp-XtzJBM"", ""'APO'!D3:D139""),0))"),133)</f>
        <v>133</v>
      </c>
      <c r="AE9" s="2">
        <f ca="1">IFERROR(__xludf.DUMMYFUNCTION("INDEX(IMPORTRANGE(""17pNv02DXDpQT9S3w4-QeNym2QJy2BzMBqDXp-XtzJBM"", ""'APO'!BM3:BM139""),MATCH($D9,IMPORTRANGE(""17pNv02DXDpQT9S3w4-QeNym2QJy2BzMBqDXp-XtzJBM"", ""'APO'!D3:D139""),0))"),742)</f>
        <v>742</v>
      </c>
    </row>
    <row r="10" spans="1:31">
      <c r="A10" s="149" t="s">
        <v>52</v>
      </c>
      <c r="B10" s="149" t="s">
        <v>53</v>
      </c>
      <c r="C10" s="148" t="s">
        <v>30</v>
      </c>
      <c r="D10" s="149" t="s">
        <v>64</v>
      </c>
      <c r="E10" s="149" t="s">
        <v>38</v>
      </c>
      <c r="F10" s="9" t="s">
        <v>65</v>
      </c>
      <c r="G10" s="21" t="s">
        <v>56</v>
      </c>
      <c r="H10" s="21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3313</v>
      </c>
      <c r="R10" s="12">
        <v>6449</v>
      </c>
      <c r="S10" s="12">
        <f ca="1">IFERROR(__xludf.DUMMYFUNCTION("INDEX(IMPORTRANGE(""17pNv02DXDpQT9S3w4-QeNym2QJy2BzMBqDXp-XtzJBM"", ""'APO'!BG3:BG139""),MATCH($D10,IMPORTRANGE(""17pNv02DXDpQT9S3w4-QeNym2QJy2BzMBqDXp-XtzJBM"", ""'APO'!D3:D139""),0))"),6449)</f>
        <v>6449</v>
      </c>
      <c r="T10" s="13"/>
      <c r="U10" s="13"/>
      <c r="V10" s="13"/>
      <c r="W10" s="13"/>
      <c r="X10" s="13"/>
      <c r="Y10" s="13"/>
      <c r="Z10" s="2">
        <f ca="1">IFERROR(__xludf.DUMMYFUNCTION("INDEX(IMPORTRANGE(""17pNv02DXDpQT9S3w4-QeNym2QJy2BzMBqDXp-XtzJBM"", ""'APO'!BH3:BH139""),MATCH($D10,IMPORTRANGE(""17pNv02DXDpQT9S3w4-QeNym2QJy2BzMBqDXp-XtzJBM"", ""'APO'!D3:D139""),0))"),3629)</f>
        <v>3629</v>
      </c>
      <c r="AA10" s="2">
        <f ca="1">IFERROR(__xludf.DUMMYFUNCTION("INDEX(IMPORTRANGE(""17pNv02DXDpQT9S3w4-QeNym2QJy2BzMBqDXp-XtzJBM"", ""'APO'!BI3:BI139""),MATCH($D10,IMPORTRANGE(""17pNv02DXDpQT9S3w4-QeNym2QJy2BzMBqDXp-XtzJBM"", ""'APO'!D3:D139""),0))"),225)</f>
        <v>225</v>
      </c>
      <c r="AB10" s="2">
        <f ca="1">IFERROR(__xludf.DUMMYFUNCTION("INDEX(IMPORTRANGE(""17pNv02DXDpQT9S3w4-QeNym2QJy2BzMBqDXp-XtzJBM"", ""'APO'!BJ3:BJ139""),MATCH($D10,IMPORTRANGE(""17pNv02DXDpQT9S3w4-QeNym2QJy2BzMBqDXp-XtzJBM"", ""'APO'!D3:D139""),0))"),328)</f>
        <v>328</v>
      </c>
      <c r="AC10" s="2">
        <f ca="1">IFERROR(__xludf.DUMMYFUNCTION("INDEX(IMPORTRANGE(""17pNv02DXDpQT9S3w4-QeNym2QJy2BzMBqDXp-XtzJBM"", ""'APO'!BK3:BK139""),MATCH($D10,IMPORTRANGE(""17pNv02DXDpQT9S3w4-QeNym2QJy2BzMBqDXp-XtzJBM"", ""'APO'!D3:D139""),0))"),744)</f>
        <v>744</v>
      </c>
      <c r="AD10" s="2">
        <f ca="1">IFERROR(__xludf.DUMMYFUNCTION("INDEX(IMPORTRANGE(""17pNv02DXDpQT9S3w4-QeNym2QJy2BzMBqDXp-XtzJBM"", ""'APO'!BL3:BL139""),MATCH($D10,IMPORTRANGE(""17pNv02DXDpQT9S3w4-QeNym2QJy2BzMBqDXp-XtzJBM"", ""'APO'!D3:D139""),0))"),419)</f>
        <v>419</v>
      </c>
      <c r="AE10" s="2">
        <f ca="1">IFERROR(__xludf.DUMMYFUNCTION("INDEX(IMPORTRANGE(""17pNv02DXDpQT9S3w4-QeNym2QJy2BzMBqDXp-XtzJBM"", ""'APO'!BM3:BM139""),MATCH($D10,IMPORTRANGE(""17pNv02DXDpQT9S3w4-QeNym2QJy2BzMBqDXp-XtzJBM"", ""'APO'!D3:D139""),0))"),1252)</f>
        <v>1252</v>
      </c>
    </row>
    <row r="11" spans="1:31">
      <c r="A11" s="149" t="s">
        <v>52</v>
      </c>
      <c r="B11" s="149" t="s">
        <v>53</v>
      </c>
      <c r="C11" s="148" t="s">
        <v>36</v>
      </c>
      <c r="D11" s="149" t="s">
        <v>66</v>
      </c>
      <c r="E11" s="149" t="s">
        <v>38</v>
      </c>
      <c r="F11" s="9" t="s">
        <v>67</v>
      </c>
      <c r="G11" s="21" t="s">
        <v>56</v>
      </c>
      <c r="H11" s="21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</v>
      </c>
      <c r="R11" s="15">
        <f t="shared" si="2"/>
        <v>0</v>
      </c>
      <c r="S11" s="15">
        <f ca="1">IFERROR(__xludf.DUMMYFUNCTION("INDEX(IMPORTRANGE(""17pNv02DXDpQT9S3w4-QeNym2QJy2BzMBqDXp-XtzJBM"", ""'APO'!BG3:BG139""),MATCH($D11,IMPORTRANGE(""17pNv02DXDpQT9S3w4-QeNym2QJy2BzMBqDXp-XtzJBM"", ""'APO'!D3:D139""),0))"),0)</f>
        <v>0</v>
      </c>
      <c r="T11" s="15">
        <v>6.7000000000000004E-2</v>
      </c>
      <c r="U11" s="15">
        <v>0.13300000000000001</v>
      </c>
      <c r="V11" s="15">
        <v>0.2</v>
      </c>
      <c r="W11" s="15">
        <v>0.26700000000000002</v>
      </c>
      <c r="X11" s="15">
        <f>((Y11-W11)/6)*5+W11</f>
        <v>0.32224999999999998</v>
      </c>
      <c r="Y11" s="15">
        <v>0.33329999999999999</v>
      </c>
      <c r="Z11" s="15">
        <f ca="1">IFERROR(__xludf.DUMMYFUNCTION("INDEX(IMPORTRANGE(""17pNv02DXDpQT9S3w4-QeNym2QJy2BzMBqDXp-XtzJBM"", ""'APO'!BH3:BH139""),MATCH($D11,IMPORTRANGE(""17pNv02DXDpQT9S3w4-QeNym2QJy2BzMBqDXp-XtzJBM"", ""'APO'!D3:D139""),0))"),0)</f>
        <v>0</v>
      </c>
      <c r="AA11" s="15">
        <f ca="1">IFERROR(__xludf.DUMMYFUNCTION("INDEX(IMPORTRANGE(""17pNv02DXDpQT9S3w4-QeNym2QJy2BzMBqDXp-XtzJBM"", ""'APO'!BI3:BI139""),MATCH($D11,IMPORTRANGE(""17pNv02DXDpQT9S3w4-QeNym2QJy2BzMBqDXp-XtzJBM"", ""'APO'!D3:D139""),0))"),0.102222222222222)</f>
        <v>0.10222222222222201</v>
      </c>
      <c r="AB11" s="15">
        <f ca="1">IFERROR(__xludf.DUMMYFUNCTION("INDEX(IMPORTRANGE(""17pNv02DXDpQT9S3w4-QeNym2QJy2BzMBqDXp-XtzJBM"", ""'APO'!BJ3:BJ139""),MATCH($D11,IMPORTRANGE(""17pNv02DXDpQT9S3w4-QeNym2QJy2BzMBqDXp-XtzJBM"", ""'APO'!D3:D139""),0))"),0.146341463414634)</f>
        <v>0.146341463414634</v>
      </c>
      <c r="AC11" s="15">
        <f ca="1">IFERROR(__xludf.DUMMYFUNCTION("INDEX(IMPORTRANGE(""17pNv02DXDpQT9S3w4-QeNym2QJy2BzMBqDXp-XtzJBM"", ""'APO'!BK3:BK139""),MATCH($D11,IMPORTRANGE(""17pNv02DXDpQT9S3w4-QeNym2QJy2BzMBqDXp-XtzJBM"", ""'APO'!D3:D139""),0))"),0.260752688172043)</f>
        <v>0.260752688172043</v>
      </c>
      <c r="AD11" s="15">
        <f ca="1">IFERROR(__xludf.DUMMYFUNCTION("INDEX(IMPORTRANGE(""17pNv02DXDpQT9S3w4-QeNym2QJy2BzMBqDXp-XtzJBM"", ""'APO'!BL3:BL139""),MATCH($D11,IMPORTRANGE(""17pNv02DXDpQT9S3w4-QeNym2QJy2BzMBqDXp-XtzJBM"", ""'APO'!D3:D139""),0))"),0.317422434367541)</f>
        <v>0.31742243436754097</v>
      </c>
      <c r="AE11" s="15">
        <f ca="1">IFERROR(__xludf.DUMMYFUNCTION("INDEX(IMPORTRANGE(""17pNv02DXDpQT9S3w4-QeNym2QJy2BzMBqDXp-XtzJBM"", ""'APO'!BM3:BM139""),MATCH($D11,IMPORTRANGE(""17pNv02DXDpQT9S3w4-QeNym2QJy2BzMBqDXp-XtzJBM"", ""'APO'!D3:D139""),0))"),0.592651757188498)</f>
        <v>0.59265175718849805</v>
      </c>
    </row>
    <row r="12" spans="1:31">
      <c r="A12" s="149" t="s">
        <v>52</v>
      </c>
      <c r="B12" s="149" t="s">
        <v>68</v>
      </c>
      <c r="C12" s="148" t="s">
        <v>30</v>
      </c>
      <c r="D12" s="149" t="s">
        <v>69</v>
      </c>
      <c r="E12" s="149" t="s">
        <v>70</v>
      </c>
      <c r="F12" s="9" t="s">
        <v>71</v>
      </c>
      <c r="G12" s="21" t="s">
        <v>56</v>
      </c>
      <c r="H12" s="21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30</v>
      </c>
      <c r="R12" s="2">
        <v>92</v>
      </c>
      <c r="S12" s="2">
        <f ca="1">IFERROR(__xludf.DUMMYFUNCTION("INDEX(IMPORTRANGE(""17pNv02DXDpQT9S3w4-QeNym2QJy2BzMBqDXp-XtzJBM"", ""'APO'!BG3:BG139""),MATCH($D12,IMPORTRANGE(""17pNv02DXDpQT9S3w4-QeNym2QJy2BzMBqDXp-XtzJBM"", ""'APO'!D3:D139""),0))"),85)</f>
        <v>85</v>
      </c>
      <c r="T12" s="13"/>
      <c r="U12" s="13"/>
      <c r="V12" s="13"/>
      <c r="W12" s="13"/>
      <c r="X12" s="13"/>
      <c r="Y12" s="13"/>
      <c r="Z12" s="2">
        <f ca="1">IFERROR(__xludf.DUMMYFUNCTION("INDEX(IMPORTRANGE(""17pNv02DXDpQT9S3w4-QeNym2QJy2BzMBqDXp-XtzJBM"", ""'APO'!BH3:BH139""),MATCH($D12,IMPORTRANGE(""17pNv02DXDpQT9S3w4-QeNym2QJy2BzMBqDXp-XtzJBM"", ""'APO'!D3:D139""),0))"),27)</f>
        <v>27</v>
      </c>
      <c r="AA12" s="2">
        <f ca="1">IFERROR(__xludf.DUMMYFUNCTION("INDEX(IMPORTRANGE(""17pNv02DXDpQT9S3w4-QeNym2QJy2BzMBqDXp-XtzJBM"", ""'APO'!BI3:BI139""),MATCH($D12,IMPORTRANGE(""17pNv02DXDpQT9S3w4-QeNym2QJy2BzMBqDXp-XtzJBM"", ""'APO'!D3:D139""),0))"),70)</f>
        <v>70</v>
      </c>
      <c r="AB12" s="2">
        <f ca="1">IFERROR(__xludf.DUMMYFUNCTION("INDEX(IMPORTRANGE(""17pNv02DXDpQT9S3w4-QeNym2QJy2BzMBqDXp-XtzJBM"", ""'APO'!BJ3:BJ139""),MATCH($D12,IMPORTRANGE(""17pNv02DXDpQT9S3w4-QeNym2QJy2BzMBqDXp-XtzJBM"", ""'APO'!D3:D139""),0))"),38)</f>
        <v>38</v>
      </c>
      <c r="AC12" s="2">
        <f ca="1">IFERROR(__xludf.DUMMYFUNCTION("INDEX(IMPORTRANGE(""17pNv02DXDpQT9S3w4-QeNym2QJy2BzMBqDXp-XtzJBM"", ""'APO'!BK3:BK139""),MATCH($D12,IMPORTRANGE(""17pNv02DXDpQT9S3w4-QeNym2QJy2BzMBqDXp-XtzJBM"", ""'APO'!D3:D139""),0))"),78)</f>
        <v>78</v>
      </c>
      <c r="AD12" s="2">
        <f ca="1">IFERROR(__xludf.DUMMYFUNCTION("INDEX(IMPORTRANGE(""17pNv02DXDpQT9S3w4-QeNym2QJy2BzMBqDXp-XtzJBM"", ""'APO'!BL3:BL139""),MATCH($D12,IMPORTRANGE(""17pNv02DXDpQT9S3w4-QeNym2QJy2BzMBqDXp-XtzJBM"", ""'APO'!D3:D139""),0))"),46)</f>
        <v>46</v>
      </c>
      <c r="AE12" s="2">
        <f ca="1">IFERROR(__xludf.DUMMYFUNCTION("INDEX(IMPORTRANGE(""17pNv02DXDpQT9S3w4-QeNym2QJy2BzMBqDXp-XtzJBM"", ""'APO'!BM3:BM139""),MATCH($D12,IMPORTRANGE(""17pNv02DXDpQT9S3w4-QeNym2QJy2BzMBqDXp-XtzJBM"", ""'APO'!D3:D139""),0))"),106)</f>
        <v>106</v>
      </c>
    </row>
    <row r="13" spans="1:31">
      <c r="A13" s="149" t="s">
        <v>52</v>
      </c>
      <c r="B13" s="149" t="s">
        <v>68</v>
      </c>
      <c r="C13" s="148" t="s">
        <v>36</v>
      </c>
      <c r="D13" s="149" t="s">
        <v>72</v>
      </c>
      <c r="E13" s="149" t="s">
        <v>73</v>
      </c>
      <c r="F13" s="9" t="s">
        <v>74</v>
      </c>
      <c r="G13" s="22" t="s">
        <v>56</v>
      </c>
      <c r="H13" s="2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4.5063043197433208</v>
      </c>
      <c r="R13" s="23">
        <f t="shared" si="3"/>
        <v>13.819333247212851</v>
      </c>
      <c r="S13" s="23">
        <f ca="1">IFERROR(__xludf.DUMMYFUNCTION("INDEX(IMPORTRANGE(""17pNv02DXDpQT9S3w4-QeNym2QJy2BzMBqDXp-XtzJBM"", ""'APO'!BG3:BG139""),MATCH($D13,IMPORTRANGE(""17pNv02DXDpQT9S3w4-QeNym2QJy2BzMBqDXp-XtzJBM"", ""'APO'!D3:D139""),0))"),12.7678622392727)</f>
        <v>12.7678622392727</v>
      </c>
      <c r="T13" s="2">
        <v>13.3</v>
      </c>
      <c r="U13" s="2">
        <v>3.7</v>
      </c>
      <c r="V13" s="2">
        <v>12.6</v>
      </c>
      <c r="W13" s="2">
        <v>3.5</v>
      </c>
      <c r="X13" s="24">
        <f ca="1">+S13*(1+(Y13-R13)/R13)</f>
        <v>11.086956521739094</v>
      </c>
      <c r="Y13" s="2">
        <v>12</v>
      </c>
      <c r="Z13" s="24">
        <f ca="1">IFERROR(__xludf.DUMMYFUNCTION("INDEX(IMPORTRANGE(""17pNv02DXDpQT9S3w4-QeNym2QJy2BzMBqDXp-XtzJBM"", ""'APO'!BH3:BH139""),MATCH($D13,IMPORTRANGE(""17pNv02DXDpQT9S3w4-QeNym2QJy2BzMBqDXp-XtzJBM"", ""'APO'!D3:D139""),0))"),3.94058761458717)</f>
        <v>3.9405876145871699</v>
      </c>
      <c r="AA13" s="24">
        <f ca="1">IFERROR(__xludf.DUMMYFUNCTION("INDEX(IMPORTRANGE(""17pNv02DXDpQT9S3w4-QeNym2QJy2BzMBqDXp-XtzJBM"", ""'APO'!BI3:BI139""),MATCH($D13,IMPORTRANGE(""17pNv02DXDpQT9S3w4-QeNym2QJy2BzMBqDXp-XtzJBM"", ""'APO'!D3:D139""),0))"),10.2163382600408)</f>
        <v>10.2163382600408</v>
      </c>
      <c r="AB13" s="24">
        <f ca="1">IFERROR(__xludf.DUMMYFUNCTION("INDEX(IMPORTRANGE(""17pNv02DXDpQT9S3w4-QeNym2QJy2BzMBqDXp-XtzJBM"", ""'APO'!BJ3:BJ139""),MATCH($D13,IMPORTRANGE(""17pNv02DXDpQT9S3w4-QeNym2QJy2BzMBqDXp-XtzJBM"", ""'APO'!D3:D139""),0))"),5.48304944123397)</f>
        <v>5.4830494412339696</v>
      </c>
      <c r="AC13" s="24">
        <f ca="1">IFERROR(__xludf.DUMMYFUNCTION("INDEX(IMPORTRANGE(""17pNv02DXDpQT9S3w4-QeNym2QJy2BzMBqDXp-XtzJBM"", ""'APO'!BK3:BK139""),MATCH($D13,IMPORTRANGE(""17pNv02DXDpQT9S3w4-QeNym2QJy2BzMBqDXp-XtzJBM"", ""'APO'!D3:D139""),0))"),11.2546804320065)</f>
        <v>11.2546804320065</v>
      </c>
      <c r="AD13" s="24">
        <f ca="1">IFERROR(__xludf.DUMMYFUNCTION("INDEX(IMPORTRANGE(""17pNv02DXDpQT9S3w4-QeNym2QJy2BzMBqDXp-XtzJBM"", ""'APO'!BL3:BL139""),MATCH($D13,IMPORTRANGE(""17pNv02DXDpQT9S3w4-QeNym2QJy2BzMBqDXp-XtzJBM"", ""'APO'!D3:D139""),0))"),6.57506364232797)</f>
        <v>6.5750636423279696</v>
      </c>
      <c r="AE13" s="24">
        <f ca="1">IFERROR(__xludf.DUMMYFUNCTION("INDEX(IMPORTRANGE(""17pNv02DXDpQT9S3w4-QeNym2QJy2BzMBqDXp-XtzJBM"", ""'APO'!BM3:BM139""),MATCH($D13,IMPORTRANGE(""17pNv02DXDpQT9S3w4-QeNym2QJy2BzMBqDXp-XtzJBM"", ""'APO'!D3:D139""),0))"),15.1512336105818)</f>
        <v>15.1512336105818</v>
      </c>
    </row>
    <row r="14" spans="1:31">
      <c r="A14" s="149" t="s">
        <v>52</v>
      </c>
      <c r="B14" s="149" t="s">
        <v>68</v>
      </c>
      <c r="C14" s="148" t="s">
        <v>30</v>
      </c>
      <c r="D14" s="149" t="s">
        <v>75</v>
      </c>
      <c r="E14" s="149" t="s">
        <v>76</v>
      </c>
      <c r="F14" s="9" t="s">
        <v>77</v>
      </c>
      <c r="G14" s="22" t="s">
        <v>56</v>
      </c>
      <c r="H14" s="2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197</v>
      </c>
      <c r="R14" s="12">
        <v>334</v>
      </c>
      <c r="S14" s="12">
        <f ca="1">IFERROR(__xludf.DUMMYFUNCTION("INDEX(IMPORTRANGE(""17pNv02DXDpQT9S3w4-QeNym2QJy2BzMBqDXp-XtzJBM"", ""'APO'!BG3:BG139""),MATCH($D14,IMPORTRANGE(""17pNv02DXDpQT9S3w4-QeNym2QJy2BzMBqDXp-XtzJBM"", ""'APO'!D3:D139""),0))"),317)</f>
        <v>317</v>
      </c>
      <c r="T14" s="13"/>
      <c r="U14" s="13"/>
      <c r="V14" s="13"/>
      <c r="W14" s="13"/>
      <c r="X14" s="13"/>
      <c r="Y14" s="13"/>
      <c r="Z14" s="2">
        <f ca="1">IFERROR(__xludf.DUMMYFUNCTION("INDEX(IMPORTRANGE(""17pNv02DXDpQT9S3w4-QeNym2QJy2BzMBqDXp-XtzJBM"", ""'APO'!BH3:BH139""),MATCH($D14,IMPORTRANGE(""17pNv02DXDpQT9S3w4-QeNym2QJy2BzMBqDXp-XtzJBM"", ""'APO'!D3:D139""),0))"),112)</f>
        <v>112</v>
      </c>
      <c r="AA14" s="2">
        <f ca="1">IFERROR(__xludf.DUMMYFUNCTION("INDEX(IMPORTRANGE(""17pNv02DXDpQT9S3w4-QeNym2QJy2BzMBqDXp-XtzJBM"", ""'APO'!BI3:BI139""),MATCH($D14,IMPORTRANGE(""17pNv02DXDpQT9S3w4-QeNym2QJy2BzMBqDXp-XtzJBM"", ""'APO'!D3:D139""),0))"),235)</f>
        <v>235</v>
      </c>
      <c r="AB14" s="2">
        <f ca="1">IFERROR(__xludf.DUMMYFUNCTION("INDEX(IMPORTRANGE(""17pNv02DXDpQT9S3w4-QeNym2QJy2BzMBqDXp-XtzJBM"", ""'APO'!BJ3:BJ139""),MATCH($D14,IMPORTRANGE(""17pNv02DXDpQT9S3w4-QeNym2QJy2BzMBqDXp-XtzJBM"", ""'APO'!D3:D139""),0))"),112)</f>
        <v>112</v>
      </c>
      <c r="AC14" s="2">
        <f ca="1">IFERROR(__xludf.DUMMYFUNCTION("INDEX(IMPORTRANGE(""17pNv02DXDpQT9S3w4-QeNym2QJy2BzMBqDXp-XtzJBM"", ""'APO'!BK3:BK139""),MATCH($D14,IMPORTRANGE(""17pNv02DXDpQT9S3w4-QeNym2QJy2BzMBqDXp-XtzJBM"", ""'APO'!D3:D139""),0))"),241)</f>
        <v>241</v>
      </c>
      <c r="AD14" s="2">
        <f ca="1">IFERROR(__xludf.DUMMYFUNCTION("INDEX(IMPORTRANGE(""17pNv02DXDpQT9S3w4-QeNym2QJy2BzMBqDXp-XtzJBM"", ""'APO'!BL3:BL139""),MATCH($D14,IMPORTRANGE(""17pNv02DXDpQT9S3w4-QeNym2QJy2BzMBqDXp-XtzJBM"", ""'APO'!D3:D139""),0))"),105)</f>
        <v>105</v>
      </c>
      <c r="AE14" s="2">
        <f ca="1">IFERROR(__xludf.DUMMYFUNCTION("INDEX(IMPORTRANGE(""17pNv02DXDpQT9S3w4-QeNym2QJy2BzMBqDXp-XtzJBM"", ""'APO'!BM3:BM139""),MATCH($D14,IMPORTRANGE(""17pNv02DXDpQT9S3w4-QeNym2QJy2BzMBqDXp-XtzJBM"", ""'APO'!D3:D139""),0))"),189)</f>
        <v>189</v>
      </c>
    </row>
    <row r="15" spans="1:31">
      <c r="A15" s="149" t="s">
        <v>52</v>
      </c>
      <c r="B15" s="149" t="s">
        <v>68</v>
      </c>
      <c r="C15" s="148" t="s">
        <v>30</v>
      </c>
      <c r="D15" s="149" t="s">
        <v>78</v>
      </c>
      <c r="E15" s="149" t="s">
        <v>76</v>
      </c>
      <c r="F15" s="9" t="s">
        <v>79</v>
      </c>
      <c r="G15" s="22" t="s">
        <v>56</v>
      </c>
      <c r="H15" s="2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481</v>
      </c>
      <c r="R15" s="12">
        <v>860</v>
      </c>
      <c r="S15" s="12">
        <f ca="1">IFERROR(__xludf.DUMMYFUNCTION("INDEX(IMPORTRANGE(""17pNv02DXDpQT9S3w4-QeNym2QJy2BzMBqDXp-XtzJBM"", ""'APO'!BG3:BG139""),MATCH($D15,IMPORTRANGE(""17pNv02DXDpQT9S3w4-QeNym2QJy2BzMBqDXp-XtzJBM"", ""'APO'!D3:D139""),0))"),809)</f>
        <v>809</v>
      </c>
      <c r="T15" s="13"/>
      <c r="U15" s="13"/>
      <c r="V15" s="13"/>
      <c r="W15" s="13"/>
      <c r="X15" s="13"/>
      <c r="Y15" s="13"/>
      <c r="Z15" s="2">
        <f ca="1">IFERROR(__xludf.DUMMYFUNCTION("INDEX(IMPORTRANGE(""17pNv02DXDpQT9S3w4-QeNym2QJy2BzMBqDXp-XtzJBM"", ""'APO'!BH3:BH139""),MATCH($D15,IMPORTRANGE(""17pNv02DXDpQT9S3w4-QeNym2QJy2BzMBqDXp-XtzJBM"", ""'APO'!D3:D139""),0))"),389)</f>
        <v>389</v>
      </c>
      <c r="AA15" s="2">
        <f ca="1">IFERROR(__xludf.DUMMYFUNCTION("INDEX(IMPORTRANGE(""17pNv02DXDpQT9S3w4-QeNym2QJy2BzMBqDXp-XtzJBM"", ""'APO'!BI3:BI139""),MATCH($D15,IMPORTRANGE(""17pNv02DXDpQT9S3w4-QeNym2QJy2BzMBqDXp-XtzJBM"", ""'APO'!D3:D139""),0))"),747)</f>
        <v>747</v>
      </c>
      <c r="AB15" s="2">
        <f ca="1">IFERROR(__xludf.DUMMYFUNCTION("INDEX(IMPORTRANGE(""17pNv02DXDpQT9S3w4-QeNym2QJy2BzMBqDXp-XtzJBM"", ""'APO'!BJ3:BJ139""),MATCH($D15,IMPORTRANGE(""17pNv02DXDpQT9S3w4-QeNym2QJy2BzMBqDXp-XtzJBM"", ""'APO'!D3:D139""),0))"),292)</f>
        <v>292</v>
      </c>
      <c r="AC15" s="2">
        <f ca="1">IFERROR(__xludf.DUMMYFUNCTION("INDEX(IMPORTRANGE(""17pNv02DXDpQT9S3w4-QeNym2QJy2BzMBqDXp-XtzJBM"", ""'APO'!BK3:BK139""),MATCH($D15,IMPORTRANGE(""17pNv02DXDpQT9S3w4-QeNym2QJy2BzMBqDXp-XtzJBM"", ""'APO'!D3:D139""),0))"),619)</f>
        <v>619</v>
      </c>
      <c r="AD15" s="2">
        <f ca="1">IFERROR(__xludf.DUMMYFUNCTION("INDEX(IMPORTRANGE(""17pNv02DXDpQT9S3w4-QeNym2QJy2BzMBqDXp-XtzJBM"", ""'APO'!BL3:BL139""),MATCH($D15,IMPORTRANGE(""17pNv02DXDpQT9S3w4-QeNym2QJy2BzMBqDXp-XtzJBM"", ""'APO'!D3:D139""),0))"),389)</f>
        <v>389</v>
      </c>
      <c r="AE15" s="2">
        <f ca="1">IFERROR(__xludf.DUMMYFUNCTION("INDEX(IMPORTRANGE(""17pNv02DXDpQT9S3w4-QeNym2QJy2BzMBqDXp-XtzJBM"", ""'APO'!BM3:BM139""),MATCH($D15,IMPORTRANGE(""17pNv02DXDpQT9S3w4-QeNym2QJy2BzMBqDXp-XtzJBM"", ""'APO'!D3:D139""),0))"),642)</f>
        <v>642</v>
      </c>
    </row>
    <row r="16" spans="1:31">
      <c r="A16" s="149" t="s">
        <v>52</v>
      </c>
      <c r="B16" s="149" t="s">
        <v>68</v>
      </c>
      <c r="C16" s="148" t="s">
        <v>30</v>
      </c>
      <c r="D16" s="149" t="s">
        <v>80</v>
      </c>
      <c r="E16" s="149" t="s">
        <v>76</v>
      </c>
      <c r="F16" s="9" t="s">
        <v>81</v>
      </c>
      <c r="G16" s="22" t="s">
        <v>56</v>
      </c>
      <c r="H16" s="2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227</v>
      </c>
      <c r="R16" s="12">
        <v>481</v>
      </c>
      <c r="S16" s="12">
        <f ca="1">IFERROR(__xludf.DUMMYFUNCTION("INDEX(IMPORTRANGE(""17pNv02DXDpQT9S3w4-QeNym2QJy2BzMBqDXp-XtzJBM"", ""'APO'!BG3:BG139""),MATCH($D16,IMPORTRANGE(""17pNv02DXDpQT9S3w4-QeNym2QJy2BzMBqDXp-XtzJBM"", ""'APO'!D3:D139""),0))"),448)</f>
        <v>448</v>
      </c>
      <c r="T16" s="13"/>
      <c r="U16" s="13"/>
      <c r="V16" s="13"/>
      <c r="W16" s="13"/>
      <c r="X16" s="13"/>
      <c r="Y16" s="13"/>
      <c r="Z16" s="2">
        <f ca="1">IFERROR(__xludf.DUMMYFUNCTION("INDEX(IMPORTRANGE(""17pNv02DXDpQT9S3w4-QeNym2QJy2BzMBqDXp-XtzJBM"", ""'APO'!BH3:BH139""),MATCH($D16,IMPORTRANGE(""17pNv02DXDpQT9S3w4-QeNym2QJy2BzMBqDXp-XtzJBM"", ""'APO'!D3:D139""),0))"),188)</f>
        <v>188</v>
      </c>
      <c r="AA16" s="2">
        <f ca="1">IFERROR(__xludf.DUMMYFUNCTION("INDEX(IMPORTRANGE(""17pNv02DXDpQT9S3w4-QeNym2QJy2BzMBqDXp-XtzJBM"", ""'APO'!BI3:BI139""),MATCH($D16,IMPORTRANGE(""17pNv02DXDpQT9S3w4-QeNym2QJy2BzMBqDXp-XtzJBM"", ""'APO'!D3:D139""),0))"),341)</f>
        <v>341</v>
      </c>
      <c r="AB16" s="2">
        <f ca="1">IFERROR(__xludf.DUMMYFUNCTION("INDEX(IMPORTRANGE(""17pNv02DXDpQT9S3w4-QeNym2QJy2BzMBqDXp-XtzJBM"", ""'APO'!BJ3:BJ139""),MATCH($D16,IMPORTRANGE(""17pNv02DXDpQT9S3w4-QeNym2QJy2BzMBqDXp-XtzJBM"", ""'APO'!D3:D139""),0))"),167)</f>
        <v>167</v>
      </c>
      <c r="AC16" s="2">
        <f ca="1">IFERROR(__xludf.DUMMYFUNCTION("INDEX(IMPORTRANGE(""17pNv02DXDpQT9S3w4-QeNym2QJy2BzMBqDXp-XtzJBM"", ""'APO'!BK3:BK139""),MATCH($D16,IMPORTRANGE(""17pNv02DXDpQT9S3w4-QeNym2QJy2BzMBqDXp-XtzJBM"", ""'APO'!D3:D139""),0))"),305)</f>
        <v>305</v>
      </c>
      <c r="AD16" s="2">
        <f ca="1">IFERROR(__xludf.DUMMYFUNCTION("INDEX(IMPORTRANGE(""17pNv02DXDpQT9S3w4-QeNym2QJy2BzMBqDXp-XtzJBM"", ""'APO'!BL3:BL139""),MATCH($D16,IMPORTRANGE(""17pNv02DXDpQT9S3w4-QeNym2QJy2BzMBqDXp-XtzJBM"", ""'APO'!D3:D139""),0))"),116)</f>
        <v>116</v>
      </c>
      <c r="AE16" s="2">
        <f ca="1">IFERROR(__xludf.DUMMYFUNCTION("INDEX(IMPORTRANGE(""17pNv02DXDpQT9S3w4-QeNym2QJy2BzMBqDXp-XtzJBM"", ""'APO'!BM3:BM139""),MATCH($D16,IMPORTRANGE(""17pNv02DXDpQT9S3w4-QeNym2QJy2BzMBqDXp-XtzJBM"", ""'APO'!D3:D139""),0))"),202)</f>
        <v>202</v>
      </c>
    </row>
    <row r="17" spans="1:31">
      <c r="A17" s="149" t="s">
        <v>52</v>
      </c>
      <c r="B17" s="149" t="s">
        <v>68</v>
      </c>
      <c r="C17" s="148" t="s">
        <v>30</v>
      </c>
      <c r="D17" s="149" t="s">
        <v>82</v>
      </c>
      <c r="E17" s="149" t="s">
        <v>76</v>
      </c>
      <c r="F17" s="9" t="s">
        <v>83</v>
      </c>
      <c r="G17" s="22" t="s">
        <v>56</v>
      </c>
      <c r="H17" s="2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73</v>
      </c>
      <c r="R17" s="12">
        <v>151</v>
      </c>
      <c r="S17" s="12">
        <f ca="1">IFERROR(__xludf.DUMMYFUNCTION("INDEX(IMPORTRANGE(""17pNv02DXDpQT9S3w4-QeNym2QJy2BzMBqDXp-XtzJBM"", ""'APO'!BG3:BG139""),MATCH($D17,IMPORTRANGE(""17pNv02DXDpQT9S3w4-QeNym2QJy2BzMBqDXp-XtzJBM"", ""'APO'!D3:D139""),0))"),138)</f>
        <v>138</v>
      </c>
      <c r="T17" s="13"/>
      <c r="U17" s="13"/>
      <c r="V17" s="13"/>
      <c r="W17" s="13"/>
      <c r="X17" s="13"/>
      <c r="Y17" s="13"/>
      <c r="Z17" s="2">
        <f ca="1">IFERROR(__xludf.DUMMYFUNCTION("INDEX(IMPORTRANGE(""17pNv02DXDpQT9S3w4-QeNym2QJy2BzMBqDXp-XtzJBM"", ""'APO'!BH3:BH139""),MATCH($D17,IMPORTRANGE(""17pNv02DXDpQT9S3w4-QeNym2QJy2BzMBqDXp-XtzJBM"", ""'APO'!D3:D139""),0))"),45)</f>
        <v>45</v>
      </c>
      <c r="AA17" s="2">
        <f ca="1">IFERROR(__xludf.DUMMYFUNCTION("INDEX(IMPORTRANGE(""17pNv02DXDpQT9S3w4-QeNym2QJy2BzMBqDXp-XtzJBM"", ""'APO'!BI3:BI139""),MATCH($D17,IMPORTRANGE(""17pNv02DXDpQT9S3w4-QeNym2QJy2BzMBqDXp-XtzJBM"", ""'APO'!D3:D139""),0))"),86)</f>
        <v>86</v>
      </c>
      <c r="AB17" s="2">
        <f ca="1">IFERROR(__xludf.DUMMYFUNCTION("INDEX(IMPORTRANGE(""17pNv02DXDpQT9S3w4-QeNym2QJy2BzMBqDXp-XtzJBM"", ""'APO'!BJ3:BJ139""),MATCH($D17,IMPORTRANGE(""17pNv02DXDpQT9S3w4-QeNym2QJy2BzMBqDXp-XtzJBM"", ""'APO'!D3:D139""),0))"),52)</f>
        <v>52</v>
      </c>
      <c r="AC17" s="2">
        <f ca="1">IFERROR(__xludf.DUMMYFUNCTION("INDEX(IMPORTRANGE(""17pNv02DXDpQT9S3w4-QeNym2QJy2BzMBqDXp-XtzJBM"", ""'APO'!BK3:BK139""),MATCH($D17,IMPORTRANGE(""17pNv02DXDpQT9S3w4-QeNym2QJy2BzMBqDXp-XtzJBM"", ""'APO'!D3:D139""),0))"),92)</f>
        <v>92</v>
      </c>
      <c r="AD17" s="2">
        <f ca="1">IFERROR(__xludf.DUMMYFUNCTION("INDEX(IMPORTRANGE(""17pNv02DXDpQT9S3w4-QeNym2QJy2BzMBqDXp-XtzJBM"", ""'APO'!BL3:BL139""),MATCH($D17,IMPORTRANGE(""17pNv02DXDpQT9S3w4-QeNym2QJy2BzMBqDXp-XtzJBM"", ""'APO'!D3:D139""),0))"),48)</f>
        <v>48</v>
      </c>
      <c r="AE17" s="2">
        <f ca="1">IFERROR(__xludf.DUMMYFUNCTION("INDEX(IMPORTRANGE(""17pNv02DXDpQT9S3w4-QeNym2QJy2BzMBqDXp-XtzJBM"", ""'APO'!BM3:BM139""),MATCH($D17,IMPORTRANGE(""17pNv02DXDpQT9S3w4-QeNym2QJy2BzMBqDXp-XtzJBM"", ""'APO'!D3:D139""),0))"),93)</f>
        <v>93</v>
      </c>
    </row>
    <row r="18" spans="1:31">
      <c r="A18" s="149" t="s">
        <v>52</v>
      </c>
      <c r="B18" s="149" t="s">
        <v>68</v>
      </c>
      <c r="C18" s="148" t="s">
        <v>30</v>
      </c>
      <c r="D18" s="149" t="s">
        <v>342</v>
      </c>
      <c r="E18" s="149" t="str">
        <f>E17</f>
        <v>Secretaría de Seguridad Pública del Estado, CONAPO</v>
      </c>
      <c r="F18" s="9"/>
      <c r="G18" s="22" t="s">
        <v>343</v>
      </c>
      <c r="H18" s="22" t="s">
        <v>344</v>
      </c>
      <c r="I18" s="2" t="s">
        <v>362</v>
      </c>
      <c r="J18" s="9" t="s">
        <v>345</v>
      </c>
      <c r="K18" s="9" t="s">
        <v>336</v>
      </c>
      <c r="L18" s="9" t="s">
        <v>346</v>
      </c>
      <c r="M18" s="9" t="s">
        <v>347</v>
      </c>
      <c r="N18" s="9" t="s">
        <v>348</v>
      </c>
      <c r="O18" s="9" t="s">
        <v>363</v>
      </c>
      <c r="P18" s="9" t="s">
        <v>349</v>
      </c>
      <c r="Q18" s="12">
        <f t="shared" ref="Q18:R18" si="4">SUM(Q14:Q17)</f>
        <v>978</v>
      </c>
      <c r="R18" s="12">
        <f t="shared" si="4"/>
        <v>1826</v>
      </c>
      <c r="S18" s="12">
        <f ca="1">IFERROR(__xludf.DUMMYFUNCTION("INDEX(IMPORTRANGE(""17pNv02DXDpQT9S3w4-QeNym2QJy2BzMBqDXp-XtzJBM"", ""'APO'!BG3:BG139""),MATCH($D18,IMPORTRANGE(""17pNv02DXDpQT9S3w4-QeNym2QJy2BzMBqDXp-XtzJBM"", ""'APO'!D3:D139""),0))"),1712)</f>
        <v>1712</v>
      </c>
      <c r="T18" s="13"/>
      <c r="U18" s="13"/>
      <c r="V18" s="13"/>
      <c r="W18" s="13"/>
      <c r="X18" s="13"/>
      <c r="Y18" s="13"/>
      <c r="Z18" s="2">
        <f ca="1">IFERROR(__xludf.DUMMYFUNCTION("INDEX(IMPORTRANGE(""17pNv02DXDpQT9S3w4-QeNym2QJy2BzMBqDXp-XtzJBM"", ""'APO'!BH3:BH139""),MATCH($D18,IMPORTRANGE(""17pNv02DXDpQT9S3w4-QeNym2QJy2BzMBqDXp-XtzJBM"", ""'APO'!D3:D139""),0))"),734)</f>
        <v>734</v>
      </c>
      <c r="AA18" s="2">
        <f ca="1">IFERROR(__xludf.DUMMYFUNCTION("INDEX(IMPORTRANGE(""17pNv02DXDpQT9S3w4-QeNym2QJy2BzMBqDXp-XtzJBM"", ""'APO'!BI3:BI139""),MATCH($D18,IMPORTRANGE(""17pNv02DXDpQT9S3w4-QeNym2QJy2BzMBqDXp-XtzJBM"", ""'APO'!D3:D139""),0))"),1409)</f>
        <v>1409</v>
      </c>
      <c r="AB18" s="2">
        <f ca="1">IFERROR(__xludf.DUMMYFUNCTION("INDEX(IMPORTRANGE(""17pNv02DXDpQT9S3w4-QeNym2QJy2BzMBqDXp-XtzJBM"", ""'APO'!BJ3:BJ139""),MATCH($D18,IMPORTRANGE(""17pNv02DXDpQT9S3w4-QeNym2QJy2BzMBqDXp-XtzJBM"", ""'APO'!D3:D139""),0))"),623)</f>
        <v>623</v>
      </c>
      <c r="AC18" s="2">
        <f ca="1">IFERROR(__xludf.DUMMYFUNCTION("INDEX(IMPORTRANGE(""17pNv02DXDpQT9S3w4-QeNym2QJy2BzMBqDXp-XtzJBM"", ""'APO'!BK3:BK139""),MATCH($D18,IMPORTRANGE(""17pNv02DXDpQT9S3w4-QeNym2QJy2BzMBqDXp-XtzJBM"", ""'APO'!D3:D139""),0))"),1257)</f>
        <v>1257</v>
      </c>
      <c r="AD18" s="2">
        <f ca="1">IFERROR(__xludf.DUMMYFUNCTION("INDEX(IMPORTRANGE(""17pNv02DXDpQT9S3w4-QeNym2QJy2BzMBqDXp-XtzJBM"", ""'APO'!BL3:BL139""),MATCH($D18,IMPORTRANGE(""17pNv02DXDpQT9S3w4-QeNym2QJy2BzMBqDXp-XtzJBM"", ""'APO'!D3:D139""),0))"),658)</f>
        <v>658</v>
      </c>
      <c r="AE18" s="2">
        <f ca="1">IFERROR(__xludf.DUMMYFUNCTION("INDEX(IMPORTRANGE(""17pNv02DXDpQT9S3w4-QeNym2QJy2BzMBqDXp-XtzJBM"", ""'APO'!BM3:BM139""),MATCH($D18,IMPORTRANGE(""17pNv02DXDpQT9S3w4-QeNym2QJy2BzMBqDXp-XtzJBM"", ""'APO'!D3:D139""),0))"),1126)</f>
        <v>1126</v>
      </c>
    </row>
    <row r="19" spans="1:31">
      <c r="A19" s="149" t="s">
        <v>52</v>
      </c>
      <c r="B19" s="149" t="s">
        <v>68</v>
      </c>
      <c r="C19" s="148" t="s">
        <v>36</v>
      </c>
      <c r="D19" s="149" t="s">
        <v>84</v>
      </c>
      <c r="E19" s="149" t="s">
        <v>76</v>
      </c>
      <c r="F19" s="9" t="s">
        <v>85</v>
      </c>
      <c r="G19" s="22" t="s">
        <v>56</v>
      </c>
      <c r="H19" s="2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146.90552082363226</v>
      </c>
      <c r="R19" s="23">
        <f t="shared" si="5"/>
        <v>274.28372292837679</v>
      </c>
      <c r="S19" s="23">
        <f ca="1">IFERROR(__xludf.DUMMYFUNCTION("INDEX(IMPORTRANGE(""17pNv02DXDpQT9S3w4-QeNym2QJy2BzMBqDXp-XtzJBM"", ""'APO'!BG3:BG139""),MATCH($D19,IMPORTRANGE(""17pNv02DXDpQT9S3w4-QeNym2QJy2BzMBqDXp-XtzJBM"", ""'APO'!D3:D139""),0))"),257.159766513352)</f>
        <v>257.159766513352</v>
      </c>
      <c r="T19" s="2">
        <v>261.2</v>
      </c>
      <c r="U19" s="2">
        <v>134.6</v>
      </c>
      <c r="V19" s="2">
        <v>252.5</v>
      </c>
      <c r="W19" s="2">
        <v>130</v>
      </c>
      <c r="X19" s="24">
        <f ca="1">+S19*(1+(Y19-R19)/R19)</f>
        <v>227.95101861993413</v>
      </c>
      <c r="Y19" s="2">
        <v>243.13</v>
      </c>
      <c r="Z19" s="24">
        <f ca="1">IFERROR(__xludf.DUMMYFUNCTION("INDEX(IMPORTRANGE(""17pNv02DXDpQT9S3w4-QeNym2QJy2BzMBqDXp-XtzJBM"", ""'APO'!BH3:BH139""),MATCH($D19,IMPORTRANGE(""17pNv02DXDpQT9S3w4-QeNym2QJy2BzMBqDXp-XtzJBM"", ""'APO'!D3:D139""),0))"),107.125604040999)</f>
        <v>107.12560404099899</v>
      </c>
      <c r="AA19" s="24">
        <f ca="1">IFERROR(__xludf.DUMMYFUNCTION("INDEX(IMPORTRANGE(""17pNv02DXDpQT9S3w4-QeNym2QJy2BzMBqDXp-XtzJBM"", ""'APO'!BI3:BI139""),MATCH($D19,IMPORTRANGE(""17pNv02DXDpQT9S3w4-QeNym2QJy2BzMBqDXp-XtzJBM"", ""'APO'!D3:D139""),0))"),205.640294405679)</f>
        <v>205.64029440567899</v>
      </c>
      <c r="AB19" s="24">
        <f ca="1">IFERROR(__xludf.DUMMYFUNCTION("INDEX(IMPORTRANGE(""17pNv02DXDpQT9S3w4-QeNym2QJy2BzMBqDXp-XtzJBM"", ""'APO'!BJ3:BJ139""),MATCH($D19,IMPORTRANGE(""17pNv02DXDpQT9S3w4-QeNym2QJy2BzMBqDXp-XtzJBM"", ""'APO'!D3:D139""),0))"),89.8931526812833)</f>
        <v>89.893152681283297</v>
      </c>
      <c r="AC19" s="24">
        <f ca="1">IFERROR(__xludf.DUMMYFUNCTION("INDEX(IMPORTRANGE(""17pNv02DXDpQT9S3w4-QeNym2QJy2BzMBqDXp-XtzJBM"", ""'APO'!BK3:BK139""),MATCH($D19,IMPORTRANGE(""17pNv02DXDpQT9S3w4-QeNym2QJy2BzMBqDXp-XtzJBM"", ""'APO'!D3:D139""),0))"),181.373503885029)</f>
        <v>181.37350388502901</v>
      </c>
      <c r="AD19" s="24">
        <f ca="1">IFERROR(__xludf.DUMMYFUNCTION("INDEX(IMPORTRANGE(""17pNv02DXDpQT9S3w4-QeNym2QJy2BzMBqDXp-XtzJBM"", ""'APO'!BL3:BL139""),MATCH($D19,IMPORTRANGE(""17pNv02DXDpQT9S3w4-QeNym2QJy2BzMBqDXp-XtzJBM"", ""'APO'!D3:D139""),0))"),94.0519973185175)</f>
        <v>94.051997318517493</v>
      </c>
      <c r="AE19" s="24">
        <f ca="1">IFERROR(__xludf.DUMMYFUNCTION("INDEX(IMPORTRANGE(""17pNv02DXDpQT9S3w4-QeNym2QJy2BzMBqDXp-XtzJBM"", ""'APO'!BM3:BM139""),MATCH($D19,IMPORTRANGE(""17pNv02DXDpQT9S3w4-QeNym2QJy2BzMBqDXp-XtzJBM"", ""'APO'!D3:D139""),0))"),160.946123070897)</f>
        <v>160.94612307089699</v>
      </c>
    </row>
    <row r="20" spans="1:31">
      <c r="A20" s="149" t="s">
        <v>52</v>
      </c>
      <c r="B20" s="149" t="s">
        <v>86</v>
      </c>
      <c r="C20" s="148" t="s">
        <v>30</v>
      </c>
      <c r="D20" s="149" t="s">
        <v>87</v>
      </c>
      <c r="E20" s="149" t="s">
        <v>76</v>
      </c>
      <c r="F20" s="9" t="s">
        <v>88</v>
      </c>
      <c r="G20" s="22" t="s">
        <v>56</v>
      </c>
      <c r="H20" s="2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2213</v>
      </c>
      <c r="R20" s="12">
        <v>5571</v>
      </c>
      <c r="S20" s="12">
        <f ca="1">IFERROR(__xludf.DUMMYFUNCTION("INDEX(IMPORTRANGE(""17pNv02DXDpQT9S3w4-QeNym2QJy2BzMBqDXp-XtzJBM"", ""'APO'!BG3:BG139""),MATCH($D20,IMPORTRANGE(""17pNv02DXDpQT9S3w4-QeNym2QJy2BzMBqDXp-XtzJBM"", ""'APO'!D3:D139""),0))"),4987)</f>
        <v>4987</v>
      </c>
      <c r="T20" s="13"/>
      <c r="U20" s="13"/>
      <c r="V20" s="13"/>
      <c r="W20" s="13"/>
      <c r="X20" s="13"/>
      <c r="Y20" s="13"/>
      <c r="Z20" s="2">
        <f ca="1">IFERROR(__xludf.DUMMYFUNCTION("INDEX(IMPORTRANGE(""17pNv02DXDpQT9S3w4-QeNym2QJy2BzMBqDXp-XtzJBM"", ""'APO'!BH3:BH139""),MATCH($D20,IMPORTRANGE(""17pNv02DXDpQT9S3w4-QeNym2QJy2BzMBqDXp-XtzJBM"", ""'APO'!D3:D139""),0))"),2488)</f>
        <v>2488</v>
      </c>
      <c r="AA20" s="2">
        <f ca="1">IFERROR(__xludf.DUMMYFUNCTION("INDEX(IMPORTRANGE(""17pNv02DXDpQT9S3w4-QeNym2QJy2BzMBqDXp-XtzJBM"", ""'APO'!BI3:BI139""),MATCH($D20,IMPORTRANGE(""17pNv02DXDpQT9S3w4-QeNym2QJy2BzMBqDXp-XtzJBM"", ""'APO'!D3:D139""),0))"),5401)</f>
        <v>5401</v>
      </c>
      <c r="AB20" s="2">
        <f ca="1">IFERROR(__xludf.DUMMYFUNCTION("INDEX(IMPORTRANGE(""17pNv02DXDpQT9S3w4-QeNym2QJy2BzMBqDXp-XtzJBM"", ""'APO'!BJ3:BJ139""),MATCH($D20,IMPORTRANGE(""17pNv02DXDpQT9S3w4-QeNym2QJy2BzMBqDXp-XtzJBM"", ""'APO'!D3:D139""),0))"),2134)</f>
        <v>2134</v>
      </c>
      <c r="AC20" s="2">
        <f ca="1">IFERROR(__xludf.DUMMYFUNCTION("INDEX(IMPORTRANGE(""17pNv02DXDpQT9S3w4-QeNym2QJy2BzMBqDXp-XtzJBM"", ""'APO'!BK3:BK139""),MATCH($D20,IMPORTRANGE(""17pNv02DXDpQT9S3w4-QeNym2QJy2BzMBqDXp-XtzJBM"", ""'APO'!D3:D139""),0))"),4580)</f>
        <v>4580</v>
      </c>
      <c r="AD20" s="2">
        <f ca="1">IFERROR(__xludf.DUMMYFUNCTION("INDEX(IMPORTRANGE(""17pNv02DXDpQT9S3w4-QeNym2QJy2BzMBqDXp-XtzJBM"", ""'APO'!BL3:BL139""),MATCH($D20,IMPORTRANGE(""17pNv02DXDpQT9S3w4-QeNym2QJy2BzMBqDXp-XtzJBM"", ""'APO'!D3:D139""),0))"),1816)</f>
        <v>1816</v>
      </c>
      <c r="AE20" s="2">
        <f ca="1">IFERROR(__xludf.DUMMYFUNCTION("INDEX(IMPORTRANGE(""17pNv02DXDpQT9S3w4-QeNym2QJy2BzMBqDXp-XtzJBM"", ""'APO'!BM3:BM139""),MATCH($D20,IMPORTRANGE(""17pNv02DXDpQT9S3w4-QeNym2QJy2BzMBqDXp-XtzJBM"", ""'APO'!D3:D139""),0))"),3166)</f>
        <v>3166</v>
      </c>
    </row>
    <row r="21" spans="1:31">
      <c r="A21" s="149" t="s">
        <v>52</v>
      </c>
      <c r="B21" s="149" t="s">
        <v>86</v>
      </c>
      <c r="C21" s="148" t="s">
        <v>36</v>
      </c>
      <c r="D21" s="149" t="s">
        <v>89</v>
      </c>
      <c r="E21" s="149" t="s">
        <v>76</v>
      </c>
      <c r="F21" s="9" t="s">
        <v>90</v>
      </c>
      <c r="G21" s="22" t="s">
        <v>56</v>
      </c>
      <c r="H21" s="2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332.41504865306564</v>
      </c>
      <c r="R21" s="23">
        <f t="shared" si="6"/>
        <v>836.82071217633472</v>
      </c>
      <c r="S21" s="23">
        <f ca="1">IFERROR(__xludf.DUMMYFUNCTION("INDEX(IMPORTRANGE(""17pNv02DXDpQT9S3w4-QeNym2QJy2BzMBqDXp-XtzJBM"", ""'APO'!BG3:BG139""),MATCH($D21,IMPORTRANGE(""17pNv02DXDpQT9S3w4-QeNym2QJy2BzMBqDXp-XtzJBM"", ""'APO'!D3:D139""),0))"),749.097988085331)</f>
        <v>749.09798808533105</v>
      </c>
      <c r="T21" s="2">
        <v>797.02</v>
      </c>
      <c r="U21" s="2">
        <v>309.79000000000002</v>
      </c>
      <c r="V21" s="2">
        <v>779.31</v>
      </c>
      <c r="W21" s="2">
        <v>298.02</v>
      </c>
      <c r="X21" s="24">
        <f ca="1">+S21*(1+(Y21-R21)/R21)</f>
        <v>678.1460635433491</v>
      </c>
      <c r="Y21" s="2">
        <v>757.56</v>
      </c>
      <c r="Z21" s="24">
        <f ca="1">IFERROR(__xludf.DUMMYFUNCTION("INDEX(IMPORTRANGE(""17pNv02DXDpQT9S3w4-QeNym2QJy2BzMBqDXp-XtzJBM"", ""'APO'!BH3:BH139""),MATCH($D21,IMPORTRANGE(""17pNv02DXDpQT9S3w4-QeNym2QJy2BzMBqDXp-XtzJBM"", ""'APO'!D3:D139""),0))"),363.117851299737)</f>
        <v>363.11785129973703</v>
      </c>
      <c r="AA21" s="24">
        <f ca="1">IFERROR(__xludf.DUMMYFUNCTION("INDEX(IMPORTRANGE(""17pNv02DXDpQT9S3w4-QeNym2QJy2BzMBqDXp-XtzJBM"", ""'APO'!BI3:BI139""),MATCH($D21,IMPORTRANGE(""17pNv02DXDpQT9S3w4-QeNym2QJy2BzMBqDXp-XtzJBM"", ""'APO'!D3:D139""),0))"),788.263470606865)</f>
        <v>788.26347060686498</v>
      </c>
      <c r="AB21" s="24">
        <f ca="1">IFERROR(__xludf.DUMMYFUNCTION("INDEX(IMPORTRANGE(""17pNv02DXDpQT9S3w4-QeNym2QJy2BzMBqDXp-XtzJBM"", ""'APO'!BJ3:BJ139""),MATCH($D21,IMPORTRANGE(""17pNv02DXDpQT9S3w4-QeNym2QJy2BzMBqDXp-XtzJBM"", ""'APO'!D3:D139""),0))"),307.916513357718)</f>
        <v>307.91651335771797</v>
      </c>
      <c r="AC21" s="24">
        <f ca="1">IFERROR(__xludf.DUMMYFUNCTION("INDEX(IMPORTRANGE(""17pNv02DXDpQT9S3w4-QeNym2QJy2BzMBqDXp-XtzJBM"", ""'APO'!BK3:BK139""),MATCH($D21,IMPORTRANGE(""17pNv02DXDpQT9S3w4-QeNym2QJy2BzMBqDXp-XtzJBM"", ""'APO'!D3:D139""),0))"),660.851748443463)</f>
        <v>660.85174844346295</v>
      </c>
      <c r="AD21" s="24">
        <f ca="1">IFERROR(__xludf.DUMMYFUNCTION("INDEX(IMPORTRANGE(""17pNv02DXDpQT9S3w4-QeNym2QJy2BzMBqDXp-XtzJBM"", ""'APO'!BL3:BL139""),MATCH($D21,IMPORTRANGE(""17pNv02DXDpQT9S3w4-QeNym2QJy2BzMBqDXp-XtzJBM"", ""'APO'!D3:D139""),0))"),259.572077705817)</f>
        <v>259.57207770581698</v>
      </c>
      <c r="AE21" s="24">
        <f ca="1">IFERROR(__xludf.DUMMYFUNCTION("INDEX(IMPORTRANGE(""17pNv02DXDpQT9S3w4-QeNym2QJy2BzMBqDXp-XtzJBM"", ""'APO'!BM3:BM139""),MATCH($D21,IMPORTRANGE(""17pNv02DXDpQT9S3w4-QeNym2QJy2BzMBqDXp-XtzJBM"", ""'APO'!D3:D139""),0))"),452.535901991529)</f>
        <v>452.53590199152899</v>
      </c>
    </row>
    <row r="22" spans="1:31">
      <c r="A22" s="149" t="s">
        <v>52</v>
      </c>
      <c r="B22" s="149" t="s">
        <v>86</v>
      </c>
      <c r="C22" s="148" t="s">
        <v>30</v>
      </c>
      <c r="D22" s="149" t="s">
        <v>91</v>
      </c>
      <c r="E22" s="149" t="s">
        <v>76</v>
      </c>
      <c r="F22" s="9" t="s">
        <v>92</v>
      </c>
      <c r="G22" s="22" t="s">
        <v>56</v>
      </c>
      <c r="H22" s="2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367</v>
      </c>
      <c r="R22" s="12">
        <v>810</v>
      </c>
      <c r="S22" s="12">
        <f ca="1">IFERROR(__xludf.DUMMYFUNCTION("INDEX(IMPORTRANGE(""17pNv02DXDpQT9S3w4-QeNym2QJy2BzMBqDXp-XtzJBM"", ""'APO'!BG3:BG139""),MATCH($D22,IMPORTRANGE(""17pNv02DXDpQT9S3w4-QeNym2QJy2BzMBqDXp-XtzJBM"", ""'APO'!D3:D139""),0))"),739)</f>
        <v>739</v>
      </c>
      <c r="T22" s="13"/>
      <c r="U22" s="13"/>
      <c r="V22" s="13"/>
      <c r="W22" s="13"/>
      <c r="X22" s="13"/>
      <c r="Y22" s="13"/>
      <c r="Z22" s="2">
        <f ca="1">IFERROR(__xludf.DUMMYFUNCTION("INDEX(IMPORTRANGE(""17pNv02DXDpQT9S3w4-QeNym2QJy2BzMBqDXp-XtzJBM"", ""'APO'!BH3:BH139""),MATCH($D22,IMPORTRANGE(""17pNv02DXDpQT9S3w4-QeNym2QJy2BzMBqDXp-XtzJBM"", ""'APO'!D3:D139""),0))"),365)</f>
        <v>365</v>
      </c>
      <c r="AA22" s="2">
        <f ca="1">IFERROR(__xludf.DUMMYFUNCTION("INDEX(IMPORTRANGE(""17pNv02DXDpQT9S3w4-QeNym2QJy2BzMBqDXp-XtzJBM"", ""'APO'!BI3:BI139""),MATCH($D22,IMPORTRANGE(""17pNv02DXDpQT9S3w4-QeNym2QJy2BzMBqDXp-XtzJBM"", ""'APO'!D3:D139""),0))"),810)</f>
        <v>810</v>
      </c>
      <c r="AB22" s="2">
        <f ca="1">IFERROR(__xludf.DUMMYFUNCTION("INDEX(IMPORTRANGE(""17pNv02DXDpQT9S3w4-QeNym2QJy2BzMBqDXp-XtzJBM"", ""'APO'!BJ3:BJ139""),MATCH($D22,IMPORTRANGE(""17pNv02DXDpQT9S3w4-QeNym2QJy2BzMBqDXp-XtzJBM"", ""'APO'!D3:D139""),0))"),296)</f>
        <v>296</v>
      </c>
      <c r="AC22" s="2">
        <f ca="1">IFERROR(__xludf.DUMMYFUNCTION("INDEX(IMPORTRANGE(""17pNv02DXDpQT9S3w4-QeNym2QJy2BzMBqDXp-XtzJBM"", ""'APO'!BK3:BK139""),MATCH($D22,IMPORTRANGE(""17pNv02DXDpQT9S3w4-QeNym2QJy2BzMBqDXp-XtzJBM"", ""'APO'!D3:D139""),0))"),673)</f>
        <v>673</v>
      </c>
      <c r="AD22" s="2">
        <f ca="1">IFERROR(__xludf.DUMMYFUNCTION("INDEX(IMPORTRANGE(""17pNv02DXDpQT9S3w4-QeNym2QJy2BzMBqDXp-XtzJBM"", ""'APO'!BL3:BL139""),MATCH($D22,IMPORTRANGE(""17pNv02DXDpQT9S3w4-QeNym2QJy2BzMBqDXp-XtzJBM"", ""'APO'!D3:D139""),0))"),253)</f>
        <v>253</v>
      </c>
      <c r="AE22" s="2">
        <f ca="1">IFERROR(__xludf.DUMMYFUNCTION("INDEX(IMPORTRANGE(""17pNv02DXDpQT9S3w4-QeNym2QJy2BzMBqDXp-XtzJBM"", ""'APO'!BM3:BM139""),MATCH($D22,IMPORTRANGE(""17pNv02DXDpQT9S3w4-QeNym2QJy2BzMBqDXp-XtzJBM"", ""'APO'!D3:D139""),0))"),417)</f>
        <v>417</v>
      </c>
    </row>
    <row r="23" spans="1:31">
      <c r="A23" s="149" t="s">
        <v>52</v>
      </c>
      <c r="B23" s="149" t="s">
        <v>86</v>
      </c>
      <c r="C23" s="148" t="s">
        <v>36</v>
      </c>
      <c r="D23" s="149" t="s">
        <v>93</v>
      </c>
      <c r="E23" s="149" t="s">
        <v>76</v>
      </c>
      <c r="F23" s="9" t="s">
        <v>94</v>
      </c>
      <c r="G23" s="22" t="s">
        <v>56</v>
      </c>
      <c r="H23" s="2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55.127122844859954</v>
      </c>
      <c r="R23" s="23">
        <f t="shared" si="7"/>
        <v>121.67021663306967</v>
      </c>
      <c r="S23" s="23">
        <f ca="1">IFERROR(__xludf.DUMMYFUNCTION("INDEX(IMPORTRANGE(""17pNv02DXDpQT9S3w4-QeNym2QJy2BzMBqDXp-XtzJBM"", ""'APO'!BG3:BG139""),MATCH($D23,IMPORTRANGE(""17pNv02DXDpQT9S3w4-QeNym2QJy2BzMBqDXp-XtzJBM"", ""'APO'!D3:D139""),0))"),111.005296409677)</f>
        <v>111.005296409677</v>
      </c>
      <c r="T23" s="2">
        <v>116.46</v>
      </c>
      <c r="U23" s="2">
        <v>51.36</v>
      </c>
      <c r="V23" s="2">
        <v>112.97</v>
      </c>
      <c r="W23" s="2">
        <v>50.17</v>
      </c>
      <c r="X23" s="24">
        <f ca="1">+S23*(1+(Y23-R23)/R23)</f>
        <v>100.6682222222221</v>
      </c>
      <c r="Y23" s="2">
        <v>110.34</v>
      </c>
      <c r="Z23" s="24">
        <f ca="1">IFERROR(__xludf.DUMMYFUNCTION("INDEX(IMPORTRANGE(""17pNv02DXDpQT9S3w4-QeNym2QJy2BzMBqDXp-XtzJBM"", ""'APO'!BH3:BH139""),MATCH($D23,IMPORTRANGE(""17pNv02DXDpQT9S3w4-QeNym2QJy2BzMBqDXp-XtzJBM"", ""'APO'!D3:D139""),0))"),53.2709066416415)</f>
        <v>53.270906641641503</v>
      </c>
      <c r="AA23" s="24">
        <f ca="1">IFERROR(__xludf.DUMMYFUNCTION("INDEX(IMPORTRANGE(""17pNv02DXDpQT9S3w4-QeNym2QJy2BzMBqDXp-XtzJBM"", ""'APO'!BI3:BI139""),MATCH($D23,IMPORTRANGE(""17pNv02DXDpQT9S3w4-QeNym2QJy2BzMBqDXp-XtzJBM"", ""'APO'!D3:D139""),0))"),118.217628437615)</f>
        <v>118.21762843761501</v>
      </c>
      <c r="AB23" s="24">
        <f ca="1">IFERROR(__xludf.DUMMYFUNCTION("INDEX(IMPORTRANGE(""17pNv02DXDpQT9S3w4-QeNym2QJy2BzMBqDXp-XtzJBM"", ""'APO'!BJ3:BJ139""),MATCH($D23,IMPORTRANGE(""17pNv02DXDpQT9S3w4-QeNym2QJy2BzMBqDXp-XtzJBM"", ""'APO'!D3:D139""),0))"),42.7100693317172)</f>
        <v>42.7100693317172</v>
      </c>
      <c r="AC23" s="24">
        <f ca="1">IFERROR(__xludf.DUMMYFUNCTION("INDEX(IMPORTRANGE(""17pNv02DXDpQT9S3w4-QeNym2QJy2BzMBqDXp-XtzJBM"", ""'APO'!BK3:BK139""),MATCH($D23,IMPORTRANGE(""17pNv02DXDpQT9S3w4-QeNym2QJy2BzMBqDXp-XtzJBM"", ""'APO'!D3:D139""),0))"),97.107691419749)</f>
        <v>97.107691419749003</v>
      </c>
      <c r="AD23" s="24">
        <f ca="1">IFERROR(__xludf.DUMMYFUNCTION("INDEX(IMPORTRANGE(""17pNv02DXDpQT9S3w4-QeNym2QJy2BzMBqDXp-XtzJBM"", ""'APO'!BL3:BL139""),MATCH($D23,IMPORTRANGE(""17pNv02DXDpQT9S3w4-QeNym2QJy2BzMBqDXp-XtzJBM"", ""'APO'!D3:D139""),0))"),36.1628500328038)</f>
        <v>36.162850032803803</v>
      </c>
      <c r="AE23" s="24">
        <f ca="1">IFERROR(__xludf.DUMMYFUNCTION("INDEX(IMPORTRANGE(""17pNv02DXDpQT9S3w4-QeNym2QJy2BzMBqDXp-XtzJBM"", ""'APO'!BM3:BM139""),MATCH($D23,IMPORTRANGE(""17pNv02DXDpQT9S3w4-QeNym2QJy2BzMBqDXp-XtzJBM"", ""'APO'!D3:D139""),0))"),59.6043812793644)</f>
        <v>59.604381279364397</v>
      </c>
    </row>
    <row r="24" spans="1:31">
      <c r="A24" s="149" t="s">
        <v>52</v>
      </c>
      <c r="B24" s="149" t="s">
        <v>86</v>
      </c>
      <c r="C24" s="148" t="s">
        <v>30</v>
      </c>
      <c r="D24" s="149" t="s">
        <v>95</v>
      </c>
      <c r="E24" s="149" t="s">
        <v>76</v>
      </c>
      <c r="F24" s="9" t="s">
        <v>96</v>
      </c>
      <c r="G24" s="22" t="s">
        <v>56</v>
      </c>
      <c r="H24" s="2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12">
        <v>4</v>
      </c>
      <c r="R24" s="12">
        <v>17</v>
      </c>
      <c r="S24" s="12">
        <f ca="1">IFERROR(__xludf.DUMMYFUNCTION("INDEX(IMPORTRANGE(""17pNv02DXDpQT9S3w4-QeNym2QJy2BzMBqDXp-XtzJBM"", ""'APO'!BG3:BG139""),MATCH($D24,IMPORTRANGE(""17pNv02DXDpQT9S3w4-QeNym2QJy2BzMBqDXp-XtzJBM"", ""'APO'!D3:D139""),0))"),15)</f>
        <v>15</v>
      </c>
      <c r="T24" s="13"/>
      <c r="U24" s="13"/>
      <c r="V24" s="13"/>
      <c r="W24" s="13"/>
      <c r="X24" s="13"/>
      <c r="Y24" s="13"/>
      <c r="Z24" s="2">
        <f ca="1">IFERROR(__xludf.DUMMYFUNCTION("INDEX(IMPORTRANGE(""17pNv02DXDpQT9S3w4-QeNym2QJy2BzMBqDXp-XtzJBM"", ""'APO'!BH3:BH139""),MATCH($D24,IMPORTRANGE(""17pNv02DXDpQT9S3w4-QeNym2QJy2BzMBqDXp-XtzJBM"", ""'APO'!D3:D139""),0))"),7)</f>
        <v>7</v>
      </c>
      <c r="AA24" s="2">
        <f ca="1">IFERROR(__xludf.DUMMYFUNCTION("INDEX(IMPORTRANGE(""17pNv02DXDpQT9S3w4-QeNym2QJy2BzMBqDXp-XtzJBM"", ""'APO'!BI3:BI139""),MATCH($D24,IMPORTRANGE(""17pNv02DXDpQT9S3w4-QeNym2QJy2BzMBqDXp-XtzJBM"", ""'APO'!D3:D139""),0))"),23)</f>
        <v>23</v>
      </c>
      <c r="AB24" s="2">
        <f ca="1">IFERROR(__xludf.DUMMYFUNCTION("INDEX(IMPORTRANGE(""17pNv02DXDpQT9S3w4-QeNym2QJy2BzMBqDXp-XtzJBM"", ""'APO'!BJ3:BJ139""),MATCH($D24,IMPORTRANGE(""17pNv02DXDpQT9S3w4-QeNym2QJy2BzMBqDXp-XtzJBM"", ""'APO'!D3:D139""),0))"),10)</f>
        <v>10</v>
      </c>
      <c r="AC24" s="2">
        <f ca="1">IFERROR(__xludf.DUMMYFUNCTION("INDEX(IMPORTRANGE(""17pNv02DXDpQT9S3w4-QeNym2QJy2BzMBqDXp-XtzJBM"", ""'APO'!BK3:BK139""),MATCH($D24,IMPORTRANGE(""17pNv02DXDpQT9S3w4-QeNym2QJy2BzMBqDXp-XtzJBM"", ""'APO'!D3:D139""),0))"),28)</f>
        <v>28</v>
      </c>
      <c r="AD24" s="2">
        <f ca="1">IFERROR(__xludf.DUMMYFUNCTION("INDEX(IMPORTRANGE(""17pNv02DXDpQT9S3w4-QeNym2QJy2BzMBqDXp-XtzJBM"", ""'APO'!BL3:BL139""),MATCH($D24,IMPORTRANGE(""17pNv02DXDpQT9S3w4-QeNym2QJy2BzMBqDXp-XtzJBM"", ""'APO'!D3:D139""),0))"),19)</f>
        <v>19</v>
      </c>
      <c r="AE24" s="2">
        <f ca="1">IFERROR(__xludf.DUMMYFUNCTION("INDEX(IMPORTRANGE(""17pNv02DXDpQT9S3w4-QeNym2QJy2BzMBqDXp-XtzJBM"", ""'APO'!BM3:BM139""),MATCH($D24,IMPORTRANGE(""17pNv02DXDpQT9S3w4-QeNym2QJy2BzMBqDXp-XtzJBM"", ""'APO'!D3:D139""),0))"),41)</f>
        <v>41</v>
      </c>
    </row>
    <row r="25" spans="1:31">
      <c r="A25" s="149" t="s">
        <v>52</v>
      </c>
      <c r="B25" s="149" t="s">
        <v>86</v>
      </c>
      <c r="C25" s="148" t="s">
        <v>30</v>
      </c>
      <c r="D25" s="149" t="s">
        <v>97</v>
      </c>
      <c r="E25" s="149" t="s">
        <v>76</v>
      </c>
      <c r="F25" s="9" t="s">
        <v>98</v>
      </c>
      <c r="G25" s="22" t="s">
        <v>56</v>
      </c>
      <c r="H25" s="2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12">
        <v>17</v>
      </c>
      <c r="R25" s="12">
        <v>31</v>
      </c>
      <c r="S25" s="12">
        <f ca="1">IFERROR(__xludf.DUMMYFUNCTION("INDEX(IMPORTRANGE(""17pNv02DXDpQT9S3w4-QeNym2QJy2BzMBqDXp-XtzJBM"", ""'APO'!BG3:BG139""),MATCH($D25,IMPORTRANGE(""17pNv02DXDpQT9S3w4-QeNym2QJy2BzMBqDXp-XtzJBM"", ""'APO'!D3:D139""),0))"),28)</f>
        <v>28</v>
      </c>
      <c r="T25" s="13"/>
      <c r="U25" s="13"/>
      <c r="V25" s="13"/>
      <c r="W25" s="13"/>
      <c r="X25" s="13"/>
      <c r="Y25" s="13"/>
      <c r="Z25" s="2">
        <f ca="1">IFERROR(__xludf.DUMMYFUNCTION("INDEX(IMPORTRANGE(""17pNv02DXDpQT9S3w4-QeNym2QJy2BzMBqDXp-XtzJBM"", ""'APO'!BH3:BH139""),MATCH($D25,IMPORTRANGE(""17pNv02DXDpQT9S3w4-QeNym2QJy2BzMBqDXp-XtzJBM"", ""'APO'!D3:D139""),0))"),5)</f>
        <v>5</v>
      </c>
      <c r="AA25" s="2">
        <f ca="1">IFERROR(__xludf.DUMMYFUNCTION("INDEX(IMPORTRANGE(""17pNv02DXDpQT9S3w4-QeNym2QJy2BzMBqDXp-XtzJBM"", ""'APO'!BI3:BI139""),MATCH($D25,IMPORTRANGE(""17pNv02DXDpQT9S3w4-QeNym2QJy2BzMBqDXp-XtzJBM"", ""'APO'!D3:D139""),0))"),19)</f>
        <v>19</v>
      </c>
      <c r="AB25" s="2">
        <f ca="1">IFERROR(__xludf.DUMMYFUNCTION("INDEX(IMPORTRANGE(""17pNv02DXDpQT9S3w4-QeNym2QJy2BzMBqDXp-XtzJBM"", ""'APO'!BJ3:BJ139""),MATCH($D25,IMPORTRANGE(""17pNv02DXDpQT9S3w4-QeNym2QJy2BzMBqDXp-XtzJBM"", ""'APO'!D3:D139""),0))"),6)</f>
        <v>6</v>
      </c>
      <c r="AC25" s="2">
        <f ca="1">IFERROR(__xludf.DUMMYFUNCTION("INDEX(IMPORTRANGE(""17pNv02DXDpQT9S3w4-QeNym2QJy2BzMBqDXp-XtzJBM"", ""'APO'!BK3:BK139""),MATCH($D25,IMPORTRANGE(""17pNv02DXDpQT9S3w4-QeNym2QJy2BzMBqDXp-XtzJBM"", ""'APO'!D3:D139""),0))"),24)</f>
        <v>24</v>
      </c>
      <c r="AD25" s="2">
        <f ca="1">IFERROR(__xludf.DUMMYFUNCTION("INDEX(IMPORTRANGE(""17pNv02DXDpQT9S3w4-QeNym2QJy2BzMBqDXp-XtzJBM"", ""'APO'!BL3:BL139""),MATCH($D25,IMPORTRANGE(""17pNv02DXDpQT9S3w4-QeNym2QJy2BzMBqDXp-XtzJBM"", ""'APO'!D3:D139""),0))"),7)</f>
        <v>7</v>
      </c>
      <c r="AE25" s="2">
        <f ca="1">IFERROR(__xludf.DUMMYFUNCTION("INDEX(IMPORTRANGE(""17pNv02DXDpQT9S3w4-QeNym2QJy2BzMBqDXp-XtzJBM"", ""'APO'!BM3:BM139""),MATCH($D25,IMPORTRANGE(""17pNv02DXDpQT9S3w4-QeNym2QJy2BzMBqDXp-XtzJBM"", ""'APO'!D3:D139""),0))"),23)</f>
        <v>23</v>
      </c>
    </row>
    <row r="26" spans="1:31">
      <c r="A26" s="149" t="s">
        <v>52</v>
      </c>
      <c r="B26" s="149" t="s">
        <v>86</v>
      </c>
      <c r="C26" s="148" t="s">
        <v>30</v>
      </c>
      <c r="D26" s="149" t="s">
        <v>99</v>
      </c>
      <c r="E26" s="149" t="s">
        <v>76</v>
      </c>
      <c r="F26" s="9" t="s">
        <v>100</v>
      </c>
      <c r="G26" s="22" t="s">
        <v>56</v>
      </c>
      <c r="H26" s="2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12">
        <v>13</v>
      </c>
      <c r="R26" s="12">
        <v>20</v>
      </c>
      <c r="S26" s="12">
        <f ca="1">IFERROR(__xludf.DUMMYFUNCTION("INDEX(IMPORTRANGE(""17pNv02DXDpQT9S3w4-QeNym2QJy2BzMBqDXp-XtzJBM"", ""'APO'!BG3:BG139""),MATCH($D26,IMPORTRANGE(""17pNv02DXDpQT9S3w4-QeNym2QJy2BzMBqDXp-XtzJBM"", ""'APO'!D3:D139""),0))"),20)</f>
        <v>20</v>
      </c>
      <c r="T26" s="13"/>
      <c r="U26" s="13"/>
      <c r="V26" s="13"/>
      <c r="W26" s="13"/>
      <c r="X26" s="13"/>
      <c r="Y26" s="13"/>
      <c r="Z26" s="2">
        <f ca="1">IFERROR(__xludf.DUMMYFUNCTION("INDEX(IMPORTRANGE(""17pNv02DXDpQT9S3w4-QeNym2QJy2BzMBqDXp-XtzJBM"", ""'APO'!BH3:BH139""),MATCH($D26,IMPORTRANGE(""17pNv02DXDpQT9S3w4-QeNym2QJy2BzMBqDXp-XtzJBM"", ""'APO'!D3:D139""),0))"),2)</f>
        <v>2</v>
      </c>
      <c r="AA26" s="2">
        <f ca="1">IFERROR(__xludf.DUMMYFUNCTION("INDEX(IMPORTRANGE(""17pNv02DXDpQT9S3w4-QeNym2QJy2BzMBqDXp-XtzJBM"", ""'APO'!BI3:BI139""),MATCH($D26,IMPORTRANGE(""17pNv02DXDpQT9S3w4-QeNym2QJy2BzMBqDXp-XtzJBM"", ""'APO'!D3:D139""),0))"),7)</f>
        <v>7</v>
      </c>
      <c r="AB26" s="2">
        <f ca="1">IFERROR(__xludf.DUMMYFUNCTION("INDEX(IMPORTRANGE(""17pNv02DXDpQT9S3w4-QeNym2QJy2BzMBqDXp-XtzJBM"", ""'APO'!BJ3:BJ139""),MATCH($D26,IMPORTRANGE(""17pNv02DXDpQT9S3w4-QeNym2QJy2BzMBqDXp-XtzJBM"", ""'APO'!D3:D139""),0))"),7)</f>
        <v>7</v>
      </c>
      <c r="AC26" s="2">
        <f ca="1">IFERROR(__xludf.DUMMYFUNCTION("INDEX(IMPORTRANGE(""17pNv02DXDpQT9S3w4-QeNym2QJy2BzMBqDXp-XtzJBM"", ""'APO'!BK3:BK139""),MATCH($D26,IMPORTRANGE(""17pNv02DXDpQT9S3w4-QeNym2QJy2BzMBqDXp-XtzJBM"", ""'APO'!D3:D139""),0))"),10)</f>
        <v>10</v>
      </c>
      <c r="AD26" s="2">
        <f ca="1">IFERROR(__xludf.DUMMYFUNCTION("INDEX(IMPORTRANGE(""17pNv02DXDpQT9S3w4-QeNym2QJy2BzMBqDXp-XtzJBM"", ""'APO'!BL3:BL139""),MATCH($D26,IMPORTRANGE(""17pNv02DXDpQT9S3w4-QeNym2QJy2BzMBqDXp-XtzJBM"", ""'APO'!D3:D139""),0))"),3)</f>
        <v>3</v>
      </c>
      <c r="AE26" s="2">
        <f ca="1">IFERROR(__xludf.DUMMYFUNCTION("INDEX(IMPORTRANGE(""17pNv02DXDpQT9S3w4-QeNym2QJy2BzMBqDXp-XtzJBM"", ""'APO'!BM3:BM139""),MATCH($D26,IMPORTRANGE(""17pNv02DXDpQT9S3w4-QeNym2QJy2BzMBqDXp-XtzJBM"", ""'APO'!D3:D139""),0))"),5)</f>
        <v>5</v>
      </c>
    </row>
    <row r="27" spans="1:31">
      <c r="A27" s="149" t="s">
        <v>52</v>
      </c>
      <c r="B27" s="149" t="s">
        <v>86</v>
      </c>
      <c r="C27" s="148" t="s">
        <v>30</v>
      </c>
      <c r="D27" s="149" t="s">
        <v>101</v>
      </c>
      <c r="E27" s="149" t="s">
        <v>76</v>
      </c>
      <c r="F27" s="9" t="s">
        <v>102</v>
      </c>
      <c r="G27" s="22" t="s">
        <v>56</v>
      </c>
      <c r="H27" s="2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12">
        <v>1</v>
      </c>
      <c r="R27" s="12">
        <v>1</v>
      </c>
      <c r="S27" s="12">
        <f ca="1">IFERROR(__xludf.DUMMYFUNCTION("INDEX(IMPORTRANGE(""17pNv02DXDpQT9S3w4-QeNym2QJy2BzMBqDXp-XtzJBM"", ""'APO'!BG3:BG139""),MATCH($D27,IMPORTRANGE(""17pNv02DXDpQT9S3w4-QeNym2QJy2BzMBqDXp-XtzJBM"", ""'APO'!D3:D139""),0))"),1)</f>
        <v>1</v>
      </c>
      <c r="T27" s="13"/>
      <c r="U27" s="13"/>
      <c r="V27" s="13"/>
      <c r="W27" s="13"/>
      <c r="X27" s="13"/>
      <c r="Y27" s="13"/>
      <c r="Z27" s="2">
        <f ca="1">IFERROR(__xludf.DUMMYFUNCTION("INDEX(IMPORTRANGE(""17pNv02DXDpQT9S3w4-QeNym2QJy2BzMBqDXp-XtzJBM"", ""'APO'!BH3:BH139""),MATCH($D27,IMPORTRANGE(""17pNv02DXDpQT9S3w4-QeNym2QJy2BzMBqDXp-XtzJBM"", ""'APO'!D3:D139""),0))"),0)</f>
        <v>0</v>
      </c>
      <c r="AA27" s="2">
        <f ca="1">IFERROR(__xludf.DUMMYFUNCTION("INDEX(IMPORTRANGE(""17pNv02DXDpQT9S3w4-QeNym2QJy2BzMBqDXp-XtzJBM"", ""'APO'!BI3:BI139""),MATCH($D27,IMPORTRANGE(""17pNv02DXDpQT9S3w4-QeNym2QJy2BzMBqDXp-XtzJBM"", ""'APO'!D3:D139""),0))"),1)</f>
        <v>1</v>
      </c>
      <c r="AB27" s="2">
        <f ca="1">IFERROR(__xludf.DUMMYFUNCTION("INDEX(IMPORTRANGE(""17pNv02DXDpQT9S3w4-QeNym2QJy2BzMBqDXp-XtzJBM"", ""'APO'!BJ3:BJ139""),MATCH($D27,IMPORTRANGE(""17pNv02DXDpQT9S3w4-QeNym2QJy2BzMBqDXp-XtzJBM"", ""'APO'!D3:D139""),0))"),0)</f>
        <v>0</v>
      </c>
      <c r="AC27" s="2">
        <f ca="1">IFERROR(__xludf.DUMMYFUNCTION("INDEX(IMPORTRANGE(""17pNv02DXDpQT9S3w4-QeNym2QJy2BzMBqDXp-XtzJBM"", ""'APO'!BK3:BK139""),MATCH($D27,IMPORTRANGE(""17pNv02DXDpQT9S3w4-QeNym2QJy2BzMBqDXp-XtzJBM"", ""'APO'!D3:D139""),0))"),1)</f>
        <v>1</v>
      </c>
      <c r="AD27" s="2">
        <f ca="1">IFERROR(__xludf.DUMMYFUNCTION("INDEX(IMPORTRANGE(""17pNv02DXDpQT9S3w4-QeNym2QJy2BzMBqDXp-XtzJBM"", ""'APO'!BL3:BL139""),MATCH($D27,IMPORTRANGE(""17pNv02DXDpQT9S3w4-QeNym2QJy2BzMBqDXp-XtzJBM"", ""'APO'!D3:D139""),0))"),0)</f>
        <v>0</v>
      </c>
      <c r="AE27" s="2">
        <f ca="1">IFERROR(__xludf.DUMMYFUNCTION("INDEX(IMPORTRANGE(""17pNv02DXDpQT9S3w4-QeNym2QJy2BzMBqDXp-XtzJBM"", ""'APO'!BM3:BM139""),MATCH($D27,IMPORTRANGE(""17pNv02DXDpQT9S3w4-QeNym2QJy2BzMBqDXp-XtzJBM"", ""'APO'!D3:D139""),0))"),0)</f>
        <v>0</v>
      </c>
    </row>
    <row r="28" spans="1:31">
      <c r="A28" s="149" t="s">
        <v>52</v>
      </c>
      <c r="B28" s="149" t="s">
        <v>86</v>
      </c>
      <c r="C28" s="148" t="s">
        <v>30</v>
      </c>
      <c r="D28" s="149" t="s">
        <v>103</v>
      </c>
      <c r="E28" s="149" t="s">
        <v>76</v>
      </c>
      <c r="F28" s="9" t="s">
        <v>104</v>
      </c>
      <c r="G28" s="22" t="s">
        <v>56</v>
      </c>
      <c r="H28" s="2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>
        <v>0</v>
      </c>
      <c r="R28" s="12">
        <v>2</v>
      </c>
      <c r="S28" s="12">
        <f ca="1">IFERROR(__xludf.DUMMYFUNCTION("INDEX(IMPORTRANGE(""17pNv02DXDpQT9S3w4-QeNym2QJy2BzMBqDXp-XtzJBM"", ""'APO'!BG3:BG139""),MATCH($D28,IMPORTRANGE(""17pNv02DXDpQT9S3w4-QeNym2QJy2BzMBqDXp-XtzJBM"", ""'APO'!D3:D139""),0))"),2)</f>
        <v>2</v>
      </c>
      <c r="T28" s="13"/>
      <c r="U28" s="13"/>
      <c r="V28" s="13"/>
      <c r="W28" s="13"/>
      <c r="X28" s="13"/>
      <c r="Y28" s="13"/>
      <c r="Z28" s="2">
        <f ca="1">IFERROR(__xludf.DUMMYFUNCTION("INDEX(IMPORTRANGE(""17pNv02DXDpQT9S3w4-QeNym2QJy2BzMBqDXp-XtzJBM"", ""'APO'!BH3:BH139""),MATCH($D28,IMPORTRANGE(""17pNv02DXDpQT9S3w4-QeNym2QJy2BzMBqDXp-XtzJBM"", ""'APO'!D3:D139""),0))"),0)</f>
        <v>0</v>
      </c>
      <c r="AA28" s="2">
        <f ca="1">IFERROR(__xludf.DUMMYFUNCTION("INDEX(IMPORTRANGE(""17pNv02DXDpQT9S3w4-QeNym2QJy2BzMBqDXp-XtzJBM"", ""'APO'!BI3:BI139""),MATCH($D28,IMPORTRANGE(""17pNv02DXDpQT9S3w4-QeNym2QJy2BzMBqDXp-XtzJBM"", ""'APO'!D3:D139""),0))"),1)</f>
        <v>1</v>
      </c>
      <c r="AB28" s="2">
        <f ca="1">IFERROR(__xludf.DUMMYFUNCTION("INDEX(IMPORTRANGE(""17pNv02DXDpQT9S3w4-QeNym2QJy2BzMBqDXp-XtzJBM"", ""'APO'!BJ3:BJ139""),MATCH($D28,IMPORTRANGE(""17pNv02DXDpQT9S3w4-QeNym2QJy2BzMBqDXp-XtzJBM"", ""'APO'!D3:D139""),0))"),0)</f>
        <v>0</v>
      </c>
      <c r="AC28" s="2">
        <f ca="1">IFERROR(__xludf.DUMMYFUNCTION("INDEX(IMPORTRANGE(""17pNv02DXDpQT9S3w4-QeNym2QJy2BzMBqDXp-XtzJBM"", ""'APO'!BK3:BK139""),MATCH($D28,IMPORTRANGE(""17pNv02DXDpQT9S3w4-QeNym2QJy2BzMBqDXp-XtzJBM"", ""'APO'!D3:D139""),0))"),0)</f>
        <v>0</v>
      </c>
      <c r="AD28" s="2">
        <f ca="1">IFERROR(__xludf.DUMMYFUNCTION("INDEX(IMPORTRANGE(""17pNv02DXDpQT9S3w4-QeNym2QJy2BzMBqDXp-XtzJBM"", ""'APO'!BL3:BL139""),MATCH($D28,IMPORTRANGE(""17pNv02DXDpQT9S3w4-QeNym2QJy2BzMBqDXp-XtzJBM"", ""'APO'!D3:D139""),0))"),0)</f>
        <v>0</v>
      </c>
      <c r="AE28" s="2">
        <f ca="1">IFERROR(__xludf.DUMMYFUNCTION("INDEX(IMPORTRANGE(""17pNv02DXDpQT9S3w4-QeNym2QJy2BzMBqDXp-XtzJBM"", ""'APO'!BM3:BM139""),MATCH($D28,IMPORTRANGE(""17pNv02DXDpQT9S3w4-QeNym2QJy2BzMBqDXp-XtzJBM"", ""'APO'!D3:D139""),0))"),0)</f>
        <v>0</v>
      </c>
    </row>
    <row r="29" spans="1:31">
      <c r="A29" s="149" t="s">
        <v>52</v>
      </c>
      <c r="B29" s="149" t="s">
        <v>86</v>
      </c>
      <c r="C29" s="148" t="s">
        <v>30</v>
      </c>
      <c r="D29" s="149" t="s">
        <v>105</v>
      </c>
      <c r="E29" s="149" t="s">
        <v>76</v>
      </c>
      <c r="F29" s="9" t="s">
        <v>106</v>
      </c>
      <c r="G29" s="22" t="s">
        <v>56</v>
      </c>
      <c r="H29" s="2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""'APO'!BG3:BG139""),MATCH($D29,IMPORTRANGE(""17pNv02DXDpQT9S3w4-QeNym2QJy2BzMBqDXp-XtzJBM"", ""'APO'!D3:D139""),0))"),0)</f>
        <v>0</v>
      </c>
      <c r="T29" s="13"/>
      <c r="U29" s="13"/>
      <c r="V29" s="13"/>
      <c r="W29" s="13"/>
      <c r="X29" s="13"/>
      <c r="Y29" s="13"/>
      <c r="Z29" s="2">
        <f ca="1">IFERROR(__xludf.DUMMYFUNCTION("INDEX(IMPORTRANGE(""17pNv02DXDpQT9S3w4-QeNym2QJy2BzMBqDXp-XtzJBM"", ""'APO'!BH3:BH139""),MATCH($D29,IMPORTRANGE(""17pNv02DXDpQT9S3w4-QeNym2QJy2BzMBqDXp-XtzJBM"", ""'APO'!D3:D139""),0))"),0)</f>
        <v>0</v>
      </c>
      <c r="AA29" s="2">
        <f ca="1">IFERROR(__xludf.DUMMYFUNCTION("INDEX(IMPORTRANGE(""17pNv02DXDpQT9S3w4-QeNym2QJy2BzMBqDXp-XtzJBM"", ""'APO'!BI3:BI139""),MATCH($D29,IMPORTRANGE(""17pNv02DXDpQT9S3w4-QeNym2QJy2BzMBqDXp-XtzJBM"", ""'APO'!D3:D139""),0))"),0)</f>
        <v>0</v>
      </c>
      <c r="AB29" s="2">
        <f ca="1">IFERROR(__xludf.DUMMYFUNCTION("INDEX(IMPORTRANGE(""17pNv02DXDpQT9S3w4-QeNym2QJy2BzMBqDXp-XtzJBM"", ""'APO'!BJ3:BJ139""),MATCH($D29,IMPORTRANGE(""17pNv02DXDpQT9S3w4-QeNym2QJy2BzMBqDXp-XtzJBM"", ""'APO'!D3:D139""),0))"),0)</f>
        <v>0</v>
      </c>
      <c r="AC29" s="2">
        <f ca="1">IFERROR(__xludf.DUMMYFUNCTION("INDEX(IMPORTRANGE(""17pNv02DXDpQT9S3w4-QeNym2QJy2BzMBqDXp-XtzJBM"", ""'APO'!BK3:BK139""),MATCH($D29,IMPORTRANGE(""17pNv02DXDpQT9S3w4-QeNym2QJy2BzMBqDXp-XtzJBM"", ""'APO'!D3:D139""),0))"),0)</f>
        <v>0</v>
      </c>
      <c r="AD29" s="2">
        <f ca="1">IFERROR(__xludf.DUMMYFUNCTION("INDEX(IMPORTRANGE(""17pNv02DXDpQT9S3w4-QeNym2QJy2BzMBqDXp-XtzJBM"", ""'APO'!BL3:BL139""),MATCH($D29,IMPORTRANGE(""17pNv02DXDpQT9S3w4-QeNym2QJy2BzMBqDXp-XtzJBM"", ""'APO'!D3:D139""),0))"),0)</f>
        <v>0</v>
      </c>
      <c r="AE29" s="2">
        <f ca="1">IFERROR(__xludf.DUMMYFUNCTION("INDEX(IMPORTRANGE(""17pNv02DXDpQT9S3w4-QeNym2QJy2BzMBqDXp-XtzJBM"", ""'APO'!BM3:BM139""),MATCH($D29,IMPORTRANGE(""17pNv02DXDpQT9S3w4-QeNym2QJy2BzMBqDXp-XtzJBM"", ""'APO'!D3:D139""),0))"),0)</f>
        <v>0</v>
      </c>
    </row>
    <row r="30" spans="1:31">
      <c r="A30" s="149" t="s">
        <v>52</v>
      </c>
      <c r="B30" s="149" t="s">
        <v>86</v>
      </c>
      <c r="C30" s="148" t="s">
        <v>30</v>
      </c>
      <c r="D30" s="149" t="s">
        <v>107</v>
      </c>
      <c r="E30" s="149" t="s">
        <v>76</v>
      </c>
      <c r="F30" s="9" t="s">
        <v>108</v>
      </c>
      <c r="G30" s="22" t="s">
        <v>56</v>
      </c>
      <c r="H30" s="2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>
        <v>3</v>
      </c>
      <c r="R30" s="12">
        <v>10</v>
      </c>
      <c r="S30" s="12">
        <f ca="1">IFERROR(__xludf.DUMMYFUNCTION("INDEX(IMPORTRANGE(""17pNv02DXDpQT9S3w4-QeNym2QJy2BzMBqDXp-XtzJBM"", ""'APO'!BG3:BG139""),MATCH($D30,IMPORTRANGE(""17pNv02DXDpQT9S3w4-QeNym2QJy2BzMBqDXp-XtzJBM"", ""'APO'!D3:D139""),0))"),7)</f>
        <v>7</v>
      </c>
      <c r="T30" s="13"/>
      <c r="U30" s="13"/>
      <c r="V30" s="13"/>
      <c r="W30" s="13"/>
      <c r="X30" s="13"/>
      <c r="Y30" s="13"/>
      <c r="Z30" s="2">
        <f ca="1">IFERROR(__xludf.DUMMYFUNCTION("INDEX(IMPORTRANGE(""17pNv02DXDpQT9S3w4-QeNym2QJy2BzMBqDXp-XtzJBM"", ""'APO'!BH3:BH139""),MATCH($D30,IMPORTRANGE(""17pNv02DXDpQT9S3w4-QeNym2QJy2BzMBqDXp-XtzJBM"", ""'APO'!D3:D139""),0))"),4)</f>
        <v>4</v>
      </c>
      <c r="AA30" s="2">
        <f ca="1">IFERROR(__xludf.DUMMYFUNCTION("INDEX(IMPORTRANGE(""17pNv02DXDpQT9S3w4-QeNym2QJy2BzMBqDXp-XtzJBM"", ""'APO'!BI3:BI139""),MATCH($D30,IMPORTRANGE(""17pNv02DXDpQT9S3w4-QeNym2QJy2BzMBqDXp-XtzJBM"", ""'APO'!D3:D139""),0))"),11)</f>
        <v>11</v>
      </c>
      <c r="AB30" s="2">
        <f ca="1">IFERROR(__xludf.DUMMYFUNCTION("INDEX(IMPORTRANGE(""17pNv02DXDpQT9S3w4-QeNym2QJy2BzMBqDXp-XtzJBM"", ""'APO'!BJ3:BJ139""),MATCH($D30,IMPORTRANGE(""17pNv02DXDpQT9S3w4-QeNym2QJy2BzMBqDXp-XtzJBM"", ""'APO'!D3:D139""),0))"),1)</f>
        <v>1</v>
      </c>
      <c r="AC30" s="2">
        <f ca="1">IFERROR(__xludf.DUMMYFUNCTION("INDEX(IMPORTRANGE(""17pNv02DXDpQT9S3w4-QeNym2QJy2BzMBqDXp-XtzJBM"", ""'APO'!BK3:BK139""),MATCH($D30,IMPORTRANGE(""17pNv02DXDpQT9S3w4-QeNym2QJy2BzMBqDXp-XtzJBM"", ""'APO'!D3:D139""),0))"),5)</f>
        <v>5</v>
      </c>
      <c r="AD30" s="2">
        <f ca="1">IFERROR(__xludf.DUMMYFUNCTION("INDEX(IMPORTRANGE(""17pNv02DXDpQT9S3w4-QeNym2QJy2BzMBqDXp-XtzJBM"", ""'APO'!BL3:BL139""),MATCH($D30,IMPORTRANGE(""17pNv02DXDpQT9S3w4-QeNym2QJy2BzMBqDXp-XtzJBM"", ""'APO'!D3:D139""),0))"),2)</f>
        <v>2</v>
      </c>
      <c r="AE30" s="2">
        <f ca="1">IFERROR(__xludf.DUMMYFUNCTION("INDEX(IMPORTRANGE(""17pNv02DXDpQT9S3w4-QeNym2QJy2BzMBqDXp-XtzJBM"", ""'APO'!BM3:BM139""),MATCH($D30,IMPORTRANGE(""17pNv02DXDpQT9S3w4-QeNym2QJy2BzMBqDXp-XtzJBM"", ""'APO'!D3:D139""),0))"),6)</f>
        <v>6</v>
      </c>
    </row>
    <row r="31" spans="1:31">
      <c r="A31" s="149" t="s">
        <v>52</v>
      </c>
      <c r="B31" s="149" t="s">
        <v>86</v>
      </c>
      <c r="C31" s="148" t="s">
        <v>30</v>
      </c>
      <c r="D31" s="149" t="s">
        <v>109</v>
      </c>
      <c r="E31" s="149" t="s">
        <v>76</v>
      </c>
      <c r="F31" s="9" t="s">
        <v>110</v>
      </c>
      <c r="G31" s="22" t="s">
        <v>56</v>
      </c>
      <c r="H31" s="2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>
        <v>1</v>
      </c>
      <c r="R31" s="12">
        <v>1</v>
      </c>
      <c r="S31" s="12">
        <f ca="1">IFERROR(__xludf.DUMMYFUNCTION("INDEX(IMPORTRANGE(""17pNv02DXDpQT9S3w4-QeNym2QJy2BzMBqDXp-XtzJBM"", ""'APO'!BG3:BG139""),MATCH($D31,IMPORTRANGE(""17pNv02DXDpQT9S3w4-QeNym2QJy2BzMBqDXp-XtzJBM"", ""'APO'!D3:D139""),0))"),1)</f>
        <v>1</v>
      </c>
      <c r="T31" s="13"/>
      <c r="U31" s="13"/>
      <c r="V31" s="13"/>
      <c r="W31" s="13"/>
      <c r="X31" s="13"/>
      <c r="Y31" s="13"/>
      <c r="Z31" s="2">
        <f ca="1">IFERROR(__xludf.DUMMYFUNCTION("INDEX(IMPORTRANGE(""17pNv02DXDpQT9S3w4-QeNym2QJy2BzMBqDXp-XtzJBM"", ""'APO'!BH3:BH139""),MATCH($D31,IMPORTRANGE(""17pNv02DXDpQT9S3w4-QeNym2QJy2BzMBqDXp-XtzJBM"", ""'APO'!D3:D139""),0))"),2)</f>
        <v>2</v>
      </c>
      <c r="AA31" s="2">
        <f ca="1">IFERROR(__xludf.DUMMYFUNCTION("INDEX(IMPORTRANGE(""17pNv02DXDpQT9S3w4-QeNym2QJy2BzMBqDXp-XtzJBM"", ""'APO'!BI3:BI139""),MATCH($D31,IMPORTRANGE(""17pNv02DXDpQT9S3w4-QeNym2QJy2BzMBqDXp-XtzJBM"", ""'APO'!D3:D139""),0))"),3)</f>
        <v>3</v>
      </c>
      <c r="AB31" s="2">
        <f ca="1">IFERROR(__xludf.DUMMYFUNCTION("INDEX(IMPORTRANGE(""17pNv02DXDpQT9S3w4-QeNym2QJy2BzMBqDXp-XtzJBM"", ""'APO'!BJ3:BJ139""),MATCH($D31,IMPORTRANGE(""17pNv02DXDpQT9S3w4-QeNym2QJy2BzMBqDXp-XtzJBM"", ""'APO'!D3:D139""),0))"),0)</f>
        <v>0</v>
      </c>
      <c r="AC31" s="2">
        <f ca="1">IFERROR(__xludf.DUMMYFUNCTION("INDEX(IMPORTRANGE(""17pNv02DXDpQT9S3w4-QeNym2QJy2BzMBqDXp-XtzJBM"", ""'APO'!BK3:BK139""),MATCH($D31,IMPORTRANGE(""17pNv02DXDpQT9S3w4-QeNym2QJy2BzMBqDXp-XtzJBM"", ""'APO'!D3:D139""),0))"),0)</f>
        <v>0</v>
      </c>
      <c r="AD31" s="2">
        <f ca="1">IFERROR(__xludf.DUMMYFUNCTION("INDEX(IMPORTRANGE(""17pNv02DXDpQT9S3w4-QeNym2QJy2BzMBqDXp-XtzJBM"", ""'APO'!BL3:BL139""),MATCH($D31,IMPORTRANGE(""17pNv02DXDpQT9S3w4-QeNym2QJy2BzMBqDXp-XtzJBM"", ""'APO'!D3:D139""),0))"),0)</f>
        <v>0</v>
      </c>
      <c r="AE31" s="2">
        <f ca="1">IFERROR(__xludf.DUMMYFUNCTION("INDEX(IMPORTRANGE(""17pNv02DXDpQT9S3w4-QeNym2QJy2BzMBqDXp-XtzJBM"", ""'APO'!BM3:BM139""),MATCH($D31,IMPORTRANGE(""17pNv02DXDpQT9S3w4-QeNym2QJy2BzMBqDXp-XtzJBM"", ""'APO'!D3:D139""),0))"),0)</f>
        <v>0</v>
      </c>
    </row>
    <row r="32" spans="1:31">
      <c r="A32" s="149" t="s">
        <v>52</v>
      </c>
      <c r="B32" s="149" t="s">
        <v>86</v>
      </c>
      <c r="C32" s="148" t="s">
        <v>30</v>
      </c>
      <c r="D32" s="149" t="s">
        <v>111</v>
      </c>
      <c r="E32" s="149" t="s">
        <v>76</v>
      </c>
      <c r="F32" s="9" t="s">
        <v>112</v>
      </c>
      <c r="G32" s="22" t="s">
        <v>56</v>
      </c>
      <c r="H32" s="2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""'APO'!BG3:BG139""),MATCH($D32,IMPORTRANGE(""17pNv02DXDpQT9S3w4-QeNym2QJy2BzMBqDXp-XtzJBM"", ""'APO'!D3:D139""),0))"),0)</f>
        <v>0</v>
      </c>
      <c r="T32" s="13"/>
      <c r="U32" s="13"/>
      <c r="V32" s="13"/>
      <c r="W32" s="13"/>
      <c r="X32" s="13"/>
      <c r="Y32" s="13"/>
      <c r="Z32" s="2">
        <f ca="1">IFERROR(__xludf.DUMMYFUNCTION("INDEX(IMPORTRANGE(""17pNv02DXDpQT9S3w4-QeNym2QJy2BzMBqDXp-XtzJBM"", ""'APO'!BH3:BH139""),MATCH($D32,IMPORTRANGE(""17pNv02DXDpQT9S3w4-QeNym2QJy2BzMBqDXp-XtzJBM"", ""'APO'!D3:D139""),0))"),0)</f>
        <v>0</v>
      </c>
      <c r="AA32" s="2">
        <f ca="1">IFERROR(__xludf.DUMMYFUNCTION("INDEX(IMPORTRANGE(""17pNv02DXDpQT9S3w4-QeNym2QJy2BzMBqDXp-XtzJBM"", ""'APO'!BI3:BI139""),MATCH($D32,IMPORTRANGE(""17pNv02DXDpQT9S3w4-QeNym2QJy2BzMBqDXp-XtzJBM"", ""'APO'!D3:D139""),0))"),0)</f>
        <v>0</v>
      </c>
      <c r="AB32" s="2">
        <f ca="1">IFERROR(__xludf.DUMMYFUNCTION("INDEX(IMPORTRANGE(""17pNv02DXDpQT9S3w4-QeNym2QJy2BzMBqDXp-XtzJBM"", ""'APO'!BJ3:BJ139""),MATCH($D32,IMPORTRANGE(""17pNv02DXDpQT9S3w4-QeNym2QJy2BzMBqDXp-XtzJBM"", ""'APO'!D3:D139""),0))"),0)</f>
        <v>0</v>
      </c>
      <c r="AC32" s="2">
        <f ca="1">IFERROR(__xludf.DUMMYFUNCTION("INDEX(IMPORTRANGE(""17pNv02DXDpQT9S3w4-QeNym2QJy2BzMBqDXp-XtzJBM"", ""'APO'!BK3:BK139""),MATCH($D32,IMPORTRANGE(""17pNv02DXDpQT9S3w4-QeNym2QJy2BzMBqDXp-XtzJBM"", ""'APO'!D3:D139""),0))"),0)</f>
        <v>0</v>
      </c>
      <c r="AD32" s="2">
        <f ca="1">IFERROR(__xludf.DUMMYFUNCTION("INDEX(IMPORTRANGE(""17pNv02DXDpQT9S3w4-QeNym2QJy2BzMBqDXp-XtzJBM"", ""'APO'!BL3:BL139""),MATCH($D32,IMPORTRANGE(""17pNv02DXDpQT9S3w4-QeNym2QJy2BzMBqDXp-XtzJBM"", ""'APO'!D3:D139""),0))"),0)</f>
        <v>0</v>
      </c>
      <c r="AE32" s="2">
        <f ca="1">IFERROR(__xludf.DUMMYFUNCTION("INDEX(IMPORTRANGE(""17pNv02DXDpQT9S3w4-QeNym2QJy2BzMBqDXp-XtzJBM"", ""'APO'!BM3:BM139""),MATCH($D32,IMPORTRANGE(""17pNv02DXDpQT9S3w4-QeNym2QJy2BzMBqDXp-XtzJBM"", ""'APO'!D3:D139""),0))"),0)</f>
        <v>0</v>
      </c>
    </row>
    <row r="33" spans="1:31">
      <c r="A33" s="149" t="s">
        <v>52</v>
      </c>
      <c r="B33" s="149" t="s">
        <v>86</v>
      </c>
      <c r="C33" s="148" t="s">
        <v>30</v>
      </c>
      <c r="D33" s="149" t="s">
        <v>113</v>
      </c>
      <c r="E33" s="149" t="s">
        <v>76</v>
      </c>
      <c r="F33" s="9" t="s">
        <v>114</v>
      </c>
      <c r="G33" s="22" t="s">
        <v>56</v>
      </c>
      <c r="H33" s="2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>
        <v>1</v>
      </c>
      <c r="R33" s="12">
        <v>6</v>
      </c>
      <c r="S33" s="12">
        <f ca="1">IFERROR(__xludf.DUMMYFUNCTION("INDEX(IMPORTRANGE(""17pNv02DXDpQT9S3w4-QeNym2QJy2BzMBqDXp-XtzJBM"", ""'APO'!BG3:BG139""),MATCH($D33,IMPORTRANGE(""17pNv02DXDpQT9S3w4-QeNym2QJy2BzMBqDXp-XtzJBM"", ""'APO'!D3:D139""),0))"),5)</f>
        <v>5</v>
      </c>
      <c r="T33" s="13"/>
      <c r="U33" s="13"/>
      <c r="V33" s="13"/>
      <c r="W33" s="13"/>
      <c r="X33" s="13"/>
      <c r="Y33" s="13"/>
      <c r="Z33" s="2">
        <f ca="1">IFERROR(__xludf.DUMMYFUNCTION("INDEX(IMPORTRANGE(""17pNv02DXDpQT9S3w4-QeNym2QJy2BzMBqDXp-XtzJBM"", ""'APO'!BH3:BH139""),MATCH($D33,IMPORTRANGE(""17pNv02DXDpQT9S3w4-QeNym2QJy2BzMBqDXp-XtzJBM"", ""'APO'!D3:D139""),0))"),2)</f>
        <v>2</v>
      </c>
      <c r="AA33" s="2">
        <f ca="1">IFERROR(__xludf.DUMMYFUNCTION("INDEX(IMPORTRANGE(""17pNv02DXDpQT9S3w4-QeNym2QJy2BzMBqDXp-XtzJBM"", ""'APO'!BI3:BI139""),MATCH($D33,IMPORTRANGE(""17pNv02DXDpQT9S3w4-QeNym2QJy2BzMBqDXp-XtzJBM"", ""'APO'!D3:D139""),0))"),2)</f>
        <v>2</v>
      </c>
      <c r="AB33" s="2">
        <f ca="1">IFERROR(__xludf.DUMMYFUNCTION("INDEX(IMPORTRANGE(""17pNv02DXDpQT9S3w4-QeNym2QJy2BzMBqDXp-XtzJBM"", ""'APO'!BJ3:BJ139""),MATCH($D33,IMPORTRANGE(""17pNv02DXDpQT9S3w4-QeNym2QJy2BzMBqDXp-XtzJBM"", ""'APO'!D3:D139""),0))"),4)</f>
        <v>4</v>
      </c>
      <c r="AC33" s="2">
        <f ca="1">IFERROR(__xludf.DUMMYFUNCTION("INDEX(IMPORTRANGE(""17pNv02DXDpQT9S3w4-QeNym2QJy2BzMBqDXp-XtzJBM"", ""'APO'!BK3:BK139""),MATCH($D33,IMPORTRANGE(""17pNv02DXDpQT9S3w4-QeNym2QJy2BzMBqDXp-XtzJBM"", ""'APO'!D3:D139""),0))"),6)</f>
        <v>6</v>
      </c>
      <c r="AD33" s="2">
        <f ca="1">IFERROR(__xludf.DUMMYFUNCTION("INDEX(IMPORTRANGE(""17pNv02DXDpQT9S3w4-QeNym2QJy2BzMBqDXp-XtzJBM"", ""'APO'!BL3:BL139""),MATCH($D33,IMPORTRANGE(""17pNv02DXDpQT9S3w4-QeNym2QJy2BzMBqDXp-XtzJBM"", ""'APO'!D3:D139""),0))"),1)</f>
        <v>1</v>
      </c>
      <c r="AE33" s="2">
        <f ca="1">IFERROR(__xludf.DUMMYFUNCTION("INDEX(IMPORTRANGE(""17pNv02DXDpQT9S3w4-QeNym2QJy2BzMBqDXp-XtzJBM"", ""'APO'!BM3:BM139""),MATCH($D33,IMPORTRANGE(""17pNv02DXDpQT9S3w4-QeNym2QJy2BzMBqDXp-XtzJBM"", ""'APO'!D3:D139""),0))"),1)</f>
        <v>1</v>
      </c>
    </row>
    <row r="34" spans="1:31">
      <c r="A34" s="149" t="s">
        <v>52</v>
      </c>
      <c r="B34" s="149" t="s">
        <v>86</v>
      </c>
      <c r="C34" s="148" t="s">
        <v>30</v>
      </c>
      <c r="D34" s="149" t="s">
        <v>115</v>
      </c>
      <c r="E34" s="149" t="s">
        <v>76</v>
      </c>
      <c r="F34" s="2" t="s">
        <v>116</v>
      </c>
      <c r="G34" s="22" t="s">
        <v>56</v>
      </c>
      <c r="H34" s="2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>
        <v>1</v>
      </c>
      <c r="R34" s="12">
        <v>1</v>
      </c>
      <c r="S34" s="12">
        <f ca="1">IFERROR(__xludf.DUMMYFUNCTION("INDEX(IMPORTRANGE(""17pNv02DXDpQT9S3w4-QeNym2QJy2BzMBqDXp-XtzJBM"", ""'APO'!BG3:BG139""),MATCH($D34,IMPORTRANGE(""17pNv02DXDpQT9S3w4-QeNym2QJy2BzMBqDXp-XtzJBM"", ""'APO'!D3:D139""),0))"),1)</f>
        <v>1</v>
      </c>
      <c r="T34" s="13"/>
      <c r="U34" s="13"/>
      <c r="V34" s="13"/>
      <c r="W34" s="13"/>
      <c r="X34" s="13"/>
      <c r="Y34" s="13"/>
      <c r="Z34" s="2">
        <f ca="1">IFERROR(__xludf.DUMMYFUNCTION("INDEX(IMPORTRANGE(""17pNv02DXDpQT9S3w4-QeNym2QJy2BzMBqDXp-XtzJBM"", ""'APO'!BH3:BH139""),MATCH($D34,IMPORTRANGE(""17pNv02DXDpQT9S3w4-QeNym2QJy2BzMBqDXp-XtzJBM"", ""'APO'!D3:D139""),0))"),0)</f>
        <v>0</v>
      </c>
      <c r="AA34" s="2">
        <f ca="1">IFERROR(__xludf.DUMMYFUNCTION("INDEX(IMPORTRANGE(""17pNv02DXDpQT9S3w4-QeNym2QJy2BzMBqDXp-XtzJBM"", ""'APO'!BI3:BI139""),MATCH($D34,IMPORTRANGE(""17pNv02DXDpQT9S3w4-QeNym2QJy2BzMBqDXp-XtzJBM"", ""'APO'!D3:D139""),0))"),1)</f>
        <v>1</v>
      </c>
      <c r="AB34" s="2">
        <f ca="1">IFERROR(__xludf.DUMMYFUNCTION("INDEX(IMPORTRANGE(""17pNv02DXDpQT9S3w4-QeNym2QJy2BzMBqDXp-XtzJBM"", ""'APO'!BJ3:BJ139""),MATCH($D34,IMPORTRANGE(""17pNv02DXDpQT9S3w4-QeNym2QJy2BzMBqDXp-XtzJBM"", ""'APO'!D3:D139""),0))"),1)</f>
        <v>1</v>
      </c>
      <c r="AC34" s="2">
        <f ca="1">IFERROR(__xludf.DUMMYFUNCTION("INDEX(IMPORTRANGE(""17pNv02DXDpQT9S3w4-QeNym2QJy2BzMBqDXp-XtzJBM"", ""'APO'!BK3:BK139""),MATCH($D34,IMPORTRANGE(""17pNv02DXDpQT9S3w4-QeNym2QJy2BzMBqDXp-XtzJBM"", ""'APO'!D3:D139""),0))"),1)</f>
        <v>1</v>
      </c>
      <c r="AD34" s="2">
        <f ca="1">IFERROR(__xludf.DUMMYFUNCTION("INDEX(IMPORTRANGE(""17pNv02DXDpQT9S3w4-QeNym2QJy2BzMBqDXp-XtzJBM"", ""'APO'!BL3:BL139""),MATCH($D34,IMPORTRANGE(""17pNv02DXDpQT9S3w4-QeNym2QJy2BzMBqDXp-XtzJBM"", ""'APO'!D3:D139""),0))"),0)</f>
        <v>0</v>
      </c>
      <c r="AE34" s="2">
        <f ca="1">IFERROR(__xludf.DUMMYFUNCTION("INDEX(IMPORTRANGE(""17pNv02DXDpQT9S3w4-QeNym2QJy2BzMBqDXp-XtzJBM"", ""'APO'!BM3:BM139""),MATCH($D34,IMPORTRANGE(""17pNv02DXDpQT9S3w4-QeNym2QJy2BzMBqDXp-XtzJBM"", ""'APO'!D3:D139""),0))"),1)</f>
        <v>1</v>
      </c>
    </row>
    <row r="35" spans="1:31">
      <c r="A35" s="149" t="s">
        <v>52</v>
      </c>
      <c r="B35" s="149" t="s">
        <v>86</v>
      </c>
      <c r="C35" s="148" t="s">
        <v>30</v>
      </c>
      <c r="D35" s="149" t="s">
        <v>350</v>
      </c>
      <c r="E35" s="149" t="s">
        <v>76</v>
      </c>
      <c r="F35" s="2"/>
      <c r="G35" s="22" t="s">
        <v>343</v>
      </c>
      <c r="H35" s="22" t="s">
        <v>344</v>
      </c>
      <c r="I35" s="2" t="s">
        <v>362</v>
      </c>
      <c r="J35" s="9" t="s">
        <v>345</v>
      </c>
      <c r="K35" s="9" t="s">
        <v>336</v>
      </c>
      <c r="L35" s="9" t="s">
        <v>346</v>
      </c>
      <c r="M35" s="9" t="s">
        <v>347</v>
      </c>
      <c r="N35" s="9" t="s">
        <v>348</v>
      </c>
      <c r="O35" s="9" t="s">
        <v>363</v>
      </c>
      <c r="P35" s="9" t="s">
        <v>349</v>
      </c>
      <c r="Q35" s="12">
        <f t="shared" ref="Q35:R35" si="8">SUM(Q24:Q34)</f>
        <v>41</v>
      </c>
      <c r="R35" s="12">
        <f t="shared" si="8"/>
        <v>89</v>
      </c>
      <c r="S35" s="12">
        <f ca="1">IFERROR(__xludf.DUMMYFUNCTION("INDEX(IMPORTRANGE(""17pNv02DXDpQT9S3w4-QeNym2QJy2BzMBqDXp-XtzJBM"", ""'APO'!BG3:BG139""),MATCH($D35,IMPORTRANGE(""17pNv02DXDpQT9S3w4-QeNym2QJy2BzMBqDXp-XtzJBM"", ""'APO'!D3:D139""),0))"),80)</f>
        <v>80</v>
      </c>
      <c r="T35" s="13"/>
      <c r="U35" s="13"/>
      <c r="V35" s="13"/>
      <c r="W35" s="13"/>
      <c r="X35" s="13"/>
      <c r="Y35" s="13"/>
      <c r="Z35" s="2">
        <f ca="1">IFERROR(__xludf.DUMMYFUNCTION("INDEX(IMPORTRANGE(""17pNv02DXDpQT9S3w4-QeNym2QJy2BzMBqDXp-XtzJBM"", ""'APO'!BH3:BH139""),MATCH($D35,IMPORTRANGE(""17pNv02DXDpQT9S3w4-QeNym2QJy2BzMBqDXp-XtzJBM"", ""'APO'!D3:D139""),0))"),22)</f>
        <v>22</v>
      </c>
      <c r="AA35" s="2">
        <f ca="1">IFERROR(__xludf.DUMMYFUNCTION("INDEX(IMPORTRANGE(""17pNv02DXDpQT9S3w4-QeNym2QJy2BzMBqDXp-XtzJBM"", ""'APO'!BI3:BI139""),MATCH($D35,IMPORTRANGE(""17pNv02DXDpQT9S3w4-QeNym2QJy2BzMBqDXp-XtzJBM"", ""'APO'!D3:D139""),0))"),68)</f>
        <v>68</v>
      </c>
      <c r="AB35" s="2">
        <f ca="1">IFERROR(__xludf.DUMMYFUNCTION("INDEX(IMPORTRANGE(""17pNv02DXDpQT9S3w4-QeNym2QJy2BzMBqDXp-XtzJBM"", ""'APO'!BJ3:BJ139""),MATCH($D35,IMPORTRANGE(""17pNv02DXDpQT9S3w4-QeNym2QJy2BzMBqDXp-XtzJBM"", ""'APO'!D3:D139""),0))"),29)</f>
        <v>29</v>
      </c>
      <c r="AC35" s="2">
        <f ca="1">IFERROR(__xludf.DUMMYFUNCTION("INDEX(IMPORTRANGE(""17pNv02DXDpQT9S3w4-QeNym2QJy2BzMBqDXp-XtzJBM"", ""'APO'!BK3:BK139""),MATCH($D35,IMPORTRANGE(""17pNv02DXDpQT9S3w4-QeNym2QJy2BzMBqDXp-XtzJBM"", ""'APO'!D3:D139""),0))"),75)</f>
        <v>75</v>
      </c>
      <c r="AD35" s="2">
        <f ca="1">IFERROR(__xludf.DUMMYFUNCTION("INDEX(IMPORTRANGE(""17pNv02DXDpQT9S3w4-QeNym2QJy2BzMBqDXp-XtzJBM"", ""'APO'!BL3:BL139""),MATCH($D35,IMPORTRANGE(""17pNv02DXDpQT9S3w4-QeNym2QJy2BzMBqDXp-XtzJBM"", ""'APO'!D3:D139""),0))"),32)</f>
        <v>32</v>
      </c>
      <c r="AE35" s="2">
        <f ca="1">IFERROR(__xludf.DUMMYFUNCTION("INDEX(IMPORTRANGE(""17pNv02DXDpQT9S3w4-QeNym2QJy2BzMBqDXp-XtzJBM"", ""'APO'!BM3:BM139""),MATCH($D35,IMPORTRANGE(""17pNv02DXDpQT9S3w4-QeNym2QJy2BzMBqDXp-XtzJBM"", ""'APO'!D3:D139""),0))"),77)</f>
        <v>77</v>
      </c>
    </row>
    <row r="36" spans="1:31">
      <c r="A36" s="149" t="s">
        <v>52</v>
      </c>
      <c r="B36" s="149" t="s">
        <v>86</v>
      </c>
      <c r="C36" s="148" t="s">
        <v>36</v>
      </c>
      <c r="D36" s="149" t="s">
        <v>117</v>
      </c>
      <c r="E36" s="149" t="s">
        <v>76</v>
      </c>
      <c r="F36" s="2" t="s">
        <v>118</v>
      </c>
      <c r="G36" s="22" t="s">
        <v>56</v>
      </c>
      <c r="H36" s="2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6.1586159036492054</v>
      </c>
      <c r="R36" s="23">
        <f t="shared" si="9"/>
        <v>13.368702815238519</v>
      </c>
      <c r="S36" s="23">
        <f ca="1">IFERROR(__xludf.DUMMYFUNCTION("INDEX(IMPORTRANGE(""17pNv02DXDpQT9S3w4-QeNym2QJy2BzMBqDXp-XtzJBM"", ""'APO'!BG3:BG139""),MATCH($D36,IMPORTRANGE(""17pNv02DXDpQT9S3w4-QeNym2QJy2BzMBqDXp-XtzJBM"", ""'APO'!D3:D139""),0))"),12.0168115193155)</f>
        <v>12.0168115193155</v>
      </c>
      <c r="T36" s="2">
        <v>12.55</v>
      </c>
      <c r="U36" s="2">
        <v>5.77</v>
      </c>
      <c r="V36" s="2">
        <v>12.26</v>
      </c>
      <c r="W36" s="2">
        <v>5.43</v>
      </c>
      <c r="X36" s="24">
        <f ca="1">+S36*(1+(Y36-R36)/R36)</f>
        <v>10.534831460674138</v>
      </c>
      <c r="Y36" s="2">
        <v>11.72</v>
      </c>
      <c r="Z36" s="24">
        <f ca="1">IFERROR(__xludf.DUMMYFUNCTION("INDEX(IMPORTRANGE(""17pNv02DXDpQT9S3w4-QeNym2QJy2BzMBqDXp-XtzJBM"", ""'APO'!BH3:BH139""),MATCH($D36,IMPORTRANGE(""17pNv02DXDpQT9S3w4-QeNym2QJy2BzMBqDXp-XtzJBM"", ""'APO'!D3:D139""),0))"),3.2108491674414)</f>
        <v>3.2108491674413999</v>
      </c>
      <c r="AA36" s="24">
        <f ca="1">IFERROR(__xludf.DUMMYFUNCTION("INDEX(IMPORTRANGE(""17pNv02DXDpQT9S3w4-QeNym2QJy2BzMBqDXp-XtzJBM"", ""'APO'!BI3:BI139""),MATCH($D36,IMPORTRANGE(""17pNv02DXDpQT9S3w4-QeNym2QJy2BzMBqDXp-XtzJBM"", ""'APO'!D3:D139""),0))"),9.92444288118252)</f>
        <v>9.9244428811825198</v>
      </c>
      <c r="AB36" s="24">
        <f ca="1">IFERROR(__xludf.DUMMYFUNCTION("INDEX(IMPORTRANGE(""17pNv02DXDpQT9S3w4-QeNym2QJy2BzMBqDXp-XtzJBM"", ""'APO'!BJ3:BJ139""),MATCH($D36,IMPORTRANGE(""17pNv02DXDpQT9S3w4-QeNym2QJy2BzMBqDXp-XtzJBM"", ""'APO'!D3:D139""),0))"),4.18443246831013)</f>
        <v>4.1844324683101304</v>
      </c>
      <c r="AC36" s="24">
        <f ca="1">IFERROR(__xludf.DUMMYFUNCTION("INDEX(IMPORTRANGE(""17pNv02DXDpQT9S3w4-QeNym2QJy2BzMBqDXp-XtzJBM"", ""'APO'!BK3:BK139""),MATCH($D36,IMPORTRANGE(""17pNv02DXDpQT9S3w4-QeNym2QJy2BzMBqDXp-XtzJBM"", ""'APO'!D3:D139""),0))"),10.8218081076986)</f>
        <v>10.821808107698599</v>
      </c>
      <c r="AD36" s="24">
        <f ca="1">IFERROR(__xludf.DUMMYFUNCTION("INDEX(IMPORTRANGE(""17pNv02DXDpQT9S3w4-QeNym2QJy2BzMBqDXp-XtzJBM"", ""'APO'!BL3:BL139""),MATCH($D36,IMPORTRANGE(""17pNv02DXDpQT9S3w4-QeNym2QJy2BzMBqDXp-XtzJBM"", ""'APO'!D3:D139""),0))"),4.57395731640206)</f>
        <v>4.5739573164020602</v>
      </c>
      <c r="AE36" s="24">
        <f ca="1">IFERROR(__xludf.DUMMYFUNCTION("INDEX(IMPORTRANGE(""17pNv02DXDpQT9S3w4-QeNym2QJy2BzMBqDXp-XtzJBM"", ""'APO'!BM3:BM139""),MATCH($D36,IMPORTRANGE(""17pNv02DXDpQT9S3w4-QeNym2QJy2BzMBqDXp-XtzJBM"", ""'APO'!D3:D139""),0))"),11.0060847925924)</f>
        <v>11.0060847925924</v>
      </c>
    </row>
    <row r="37" spans="1:31">
      <c r="A37" s="149" t="s">
        <v>119</v>
      </c>
      <c r="B37" s="149" t="s">
        <v>120</v>
      </c>
      <c r="C37" s="148" t="s">
        <v>30</v>
      </c>
      <c r="D37" s="148" t="s">
        <v>121</v>
      </c>
      <c r="E37" s="149" t="s">
        <v>38</v>
      </c>
      <c r="F37" s="2" t="s">
        <v>122</v>
      </c>
      <c r="G37" s="10">
        <v>44469</v>
      </c>
      <c r="H37" s="10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9" t="s">
        <v>361</v>
      </c>
      <c r="P37" s="11">
        <v>45565</v>
      </c>
      <c r="Q37" s="12">
        <v>208236</v>
      </c>
      <c r="R37" s="12">
        <v>208236</v>
      </c>
      <c r="S37" s="12">
        <f ca="1">IFERROR(__xludf.DUMMYFUNCTION("INDEX(IMPORTRANGE(""17pNv02DXDpQT9S3w4-QeNym2QJy2BzMBqDXp-XtzJBM"", ""'APO'!BG3:BG139""),MATCH($D37,IMPORTRANGE(""17pNv02DXDpQT9S3w4-QeNym2QJy2BzMBqDXp-XtzJBM"", ""'APO'!D3:D139""),0))"),208236)</f>
        <v>208236</v>
      </c>
      <c r="T37" s="13"/>
      <c r="U37" s="13"/>
      <c r="V37" s="13"/>
      <c r="W37" s="13"/>
      <c r="X37" s="13"/>
      <c r="Y37" s="13"/>
      <c r="Z37" s="2">
        <f ca="1">IFERROR(__xludf.DUMMYFUNCTION("INDEX(IMPORTRANGE(""17pNv02DXDpQT9S3w4-QeNym2QJy2BzMBqDXp-XtzJBM"", ""'APO'!BH3:BH139""),MATCH($D37,IMPORTRANGE(""17pNv02DXDpQT9S3w4-QeNym2QJy2BzMBqDXp-XtzJBM"", ""'APO'!D3:D139""),0))"),208236)</f>
        <v>208236</v>
      </c>
      <c r="AA37" s="12">
        <f ca="1">IFERROR(__xludf.DUMMYFUNCTION("INDEX(IMPORTRANGE(""17pNv02DXDpQT9S3w4-QeNym2QJy2BzMBqDXp-XtzJBM"", ""'APO'!BI3:BI139""),MATCH($D37,IMPORTRANGE(""17pNv02DXDpQT9S3w4-QeNym2QJy2BzMBqDXp-XtzJBM"", ""'APO'!D3:D139""),0))"),211206)</f>
        <v>211206</v>
      </c>
      <c r="AB37" s="2">
        <f ca="1">IFERROR(__xludf.DUMMYFUNCTION("INDEX(IMPORTRANGE(""17pNv02DXDpQT9S3w4-QeNym2QJy2BzMBqDXp-XtzJBM"", ""'APO'!BJ3:BJ139""),MATCH($D37,IMPORTRANGE(""17pNv02DXDpQT9S3w4-QeNym2QJy2BzMBqDXp-XtzJBM"", ""'APO'!D3:D139""),0))"),212648)</f>
        <v>212648</v>
      </c>
      <c r="AC37" s="12">
        <f ca="1">IFERROR(__xludf.DUMMYFUNCTION("INDEX(IMPORTRANGE(""17pNv02DXDpQT9S3w4-QeNym2QJy2BzMBqDXp-XtzJBM"", ""'APO'!BK3:BK139""),MATCH($D37,IMPORTRANGE(""17pNv02DXDpQT9S3w4-QeNym2QJy2BzMBqDXp-XtzJBM"", ""'APO'!D3:D139""),0))"),213729)</f>
        <v>213729</v>
      </c>
      <c r="AD37" s="2">
        <f ca="1">IFERROR(__xludf.DUMMYFUNCTION("INDEX(IMPORTRANGE(""17pNv02DXDpQT9S3w4-QeNym2QJy2BzMBqDXp-XtzJBM"", ""'APO'!BL3:BL139""),MATCH($D37,IMPORTRANGE(""17pNv02DXDpQT9S3w4-QeNym2QJy2BzMBqDXp-XtzJBM"", ""'APO'!D3:D139""),0))"),215031)</f>
        <v>215031</v>
      </c>
      <c r="AE37" s="12">
        <f ca="1">IFERROR(__xludf.DUMMYFUNCTION("INDEX(IMPORTRANGE(""17pNv02DXDpQT9S3w4-QeNym2QJy2BzMBqDXp-XtzJBM"", ""'APO'!BM3:BM139""),MATCH($D37,IMPORTRANGE(""17pNv02DXDpQT9S3w4-QeNym2QJy2BzMBqDXp-XtzJBM"", ""'APO'!D3:D139""),0))"),216141)</f>
        <v>216141</v>
      </c>
    </row>
    <row r="38" spans="1:31">
      <c r="A38" s="149" t="s">
        <v>119</v>
      </c>
      <c r="B38" s="149" t="s">
        <v>120</v>
      </c>
      <c r="C38" s="148" t="s">
        <v>30</v>
      </c>
      <c r="D38" s="148" t="s">
        <v>123</v>
      </c>
      <c r="E38" s="149" t="s">
        <v>38</v>
      </c>
      <c r="F38" s="2" t="s">
        <v>124</v>
      </c>
      <c r="G38" s="10">
        <v>44469</v>
      </c>
      <c r="H38" s="10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9" t="s">
        <v>361</v>
      </c>
      <c r="P38" s="11">
        <v>45565</v>
      </c>
      <c r="Q38" s="12">
        <v>0</v>
      </c>
      <c r="R38" s="2">
        <v>0</v>
      </c>
      <c r="S38" s="2">
        <f ca="1">IFERROR(__xludf.DUMMYFUNCTION("INDEX(IMPORTRANGE(""17pNv02DXDpQT9S3w4-QeNym2QJy2BzMBqDXp-XtzJBM"", ""'APO'!BG3:BG139""),MATCH($D38,IMPORTRANGE(""17pNv02DXDpQT9S3w4-QeNym2QJy2BzMBqDXp-XtzJBM"", ""'APO'!D3:D139""),0))"),0)</f>
        <v>0</v>
      </c>
      <c r="T38" s="13"/>
      <c r="U38" s="13"/>
      <c r="V38" s="13"/>
      <c r="W38" s="13"/>
      <c r="X38" s="13"/>
      <c r="Y38" s="13"/>
      <c r="Z38" s="2">
        <f ca="1">IFERROR(__xludf.DUMMYFUNCTION("INDEX(IMPORTRANGE(""17pNv02DXDpQT9S3w4-QeNym2QJy2BzMBqDXp-XtzJBM"", ""'APO'!BH3:BH139""),MATCH($D38,IMPORTRANGE(""17pNv02DXDpQT9S3w4-QeNym2QJy2BzMBqDXp-XtzJBM"", ""'APO'!D3:D139""),0))"),0)</f>
        <v>0</v>
      </c>
      <c r="AA38" s="2">
        <f ca="1">IFERROR(__xludf.DUMMYFUNCTION("INDEX(IMPORTRANGE(""17pNv02DXDpQT9S3w4-QeNym2QJy2BzMBqDXp-XtzJBM"", ""'APO'!BI3:BI139""),MATCH($D38,IMPORTRANGE(""17pNv02DXDpQT9S3w4-QeNym2QJy2BzMBqDXp-XtzJBM"", ""'APO'!D3:D139""),0))"),0)</f>
        <v>0</v>
      </c>
      <c r="AB38" s="2">
        <f ca="1">IFERROR(__xludf.DUMMYFUNCTION("INDEX(IMPORTRANGE(""17pNv02DXDpQT9S3w4-QeNym2QJy2BzMBqDXp-XtzJBM"", ""'APO'!BJ3:BJ139""),MATCH($D38,IMPORTRANGE(""17pNv02DXDpQT9S3w4-QeNym2QJy2BzMBqDXp-XtzJBM"", ""'APO'!D3:D139""),0))"),0)</f>
        <v>0</v>
      </c>
      <c r="AC38" s="2">
        <f ca="1">IFERROR(__xludf.DUMMYFUNCTION("INDEX(IMPORTRANGE(""17pNv02DXDpQT9S3w4-QeNym2QJy2BzMBqDXp-XtzJBM"", ""'APO'!BK3:BK139""),MATCH($D38,IMPORTRANGE(""17pNv02DXDpQT9S3w4-QeNym2QJy2BzMBqDXp-XtzJBM"", ""'APO'!D3:D139""),0))"),0)</f>
        <v>0</v>
      </c>
      <c r="AD38" s="2">
        <f ca="1">IFERROR(__xludf.DUMMYFUNCTION("INDEX(IMPORTRANGE(""17pNv02DXDpQT9S3w4-QeNym2QJy2BzMBqDXp-XtzJBM"", ""'APO'!BL3:BL139""),MATCH($D38,IMPORTRANGE(""17pNv02DXDpQT9S3w4-QeNym2QJy2BzMBqDXp-XtzJBM"", ""'APO'!D3:D139""),0))"),24)</f>
        <v>24</v>
      </c>
      <c r="AE38" s="2">
        <f ca="1">IFERROR(__xludf.DUMMYFUNCTION("INDEX(IMPORTRANGE(""17pNv02DXDpQT9S3w4-QeNym2QJy2BzMBqDXp-XtzJBM"", ""'APO'!BM3:BM139""),MATCH($D38,IMPORTRANGE(""17pNv02DXDpQT9S3w4-QeNym2QJy2BzMBqDXp-XtzJBM"", ""'APO'!D3:D139""),0))"),35)</f>
        <v>35</v>
      </c>
    </row>
    <row r="39" spans="1:31">
      <c r="A39" s="149" t="s">
        <v>119</v>
      </c>
      <c r="B39" s="149" t="s">
        <v>120</v>
      </c>
      <c r="C39" s="148" t="s">
        <v>36</v>
      </c>
      <c r="D39" s="148" t="s">
        <v>125</v>
      </c>
      <c r="E39" s="149" t="s">
        <v>38</v>
      </c>
      <c r="F39" s="2" t="s">
        <v>126</v>
      </c>
      <c r="G39" s="10">
        <v>44469</v>
      </c>
      <c r="H39" s="10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9" t="s">
        <v>361</v>
      </c>
      <c r="P39" s="11">
        <v>45565</v>
      </c>
      <c r="Q39" s="26">
        <f t="shared" ref="Q39:R39" si="10">Q38/Q37</f>
        <v>0</v>
      </c>
      <c r="R39" s="26">
        <f t="shared" si="10"/>
        <v>0</v>
      </c>
      <c r="S39" s="26">
        <f ca="1">IFERROR(__xludf.DUMMYFUNCTION("INDEX(IMPORTRANGE(""17pNv02DXDpQT9S3w4-QeNym2QJy2BzMBqDXp-XtzJBM"", ""'APO'!BG3:BG139""),MATCH($D39,IMPORTRANGE(""17pNv02DXDpQT9S3w4-QeNym2QJy2BzMBqDXp-XtzJBM"", ""'APO'!D3:D139""),0))"),0)</f>
        <v>0</v>
      </c>
      <c r="T39" s="54">
        <v>1.9E-3</v>
      </c>
      <c r="U39" s="54">
        <v>3.7000000000000002E-3</v>
      </c>
      <c r="V39" s="54">
        <v>5.5999999999999999E-3</v>
      </c>
      <c r="W39" s="54">
        <v>7.4000000000000003E-3</v>
      </c>
      <c r="X39" s="15">
        <f>((Y39-W39)/6)*5+W39</f>
        <v>8.9833333333333328E-3</v>
      </c>
      <c r="Y39" s="54">
        <v>9.2999999999999992E-3</v>
      </c>
      <c r="Z39" s="15">
        <f ca="1">IFERROR(__xludf.DUMMYFUNCTION("INDEX(IMPORTRANGE(""17pNv02DXDpQT9S3w4-QeNym2QJy2BzMBqDXp-XtzJBM"", ""'APO'!BH3:BH139""),MATCH($D39,IMPORTRANGE(""17pNv02DXDpQT9S3w4-QeNym2QJy2BzMBqDXp-XtzJBM"", ""'APO'!D3:D139""),0))"),0)</f>
        <v>0</v>
      </c>
      <c r="AA39" s="15">
        <f ca="1">IFERROR(__xludf.DUMMYFUNCTION("INDEX(IMPORTRANGE(""17pNv02DXDpQT9S3w4-QeNym2QJy2BzMBqDXp-XtzJBM"", ""'APO'!BI3:BI139""),MATCH($D39,IMPORTRANGE(""17pNv02DXDpQT9S3w4-QeNym2QJy2BzMBqDXp-XtzJBM"", ""'APO'!D3:D139""),0))"),0)</f>
        <v>0</v>
      </c>
      <c r="AB39" s="15">
        <f ca="1">IFERROR(__xludf.DUMMYFUNCTION("INDEX(IMPORTRANGE(""17pNv02DXDpQT9S3w4-QeNym2QJy2BzMBqDXp-XtzJBM"", ""'APO'!BJ3:BJ139""),MATCH($D39,IMPORTRANGE(""17pNv02DXDpQT9S3w4-QeNym2QJy2BzMBqDXp-XtzJBM"", ""'APO'!D3:D139""),0))"),0)</f>
        <v>0</v>
      </c>
      <c r="AC39" s="15">
        <f ca="1">IFERROR(__xludf.DUMMYFUNCTION("INDEX(IMPORTRANGE(""17pNv02DXDpQT9S3w4-QeNym2QJy2BzMBqDXp-XtzJBM"", ""'APO'!BK3:BK139""),MATCH($D39,IMPORTRANGE(""17pNv02DXDpQT9S3w4-QeNym2QJy2BzMBqDXp-XtzJBM"", ""'APO'!D3:D139""),0))"),0)</f>
        <v>0</v>
      </c>
      <c r="AD39" s="15">
        <f ca="1">IFERROR(__xludf.DUMMYFUNCTION("INDEX(IMPORTRANGE(""17pNv02DXDpQT9S3w4-QeNym2QJy2BzMBqDXp-XtzJBM"", ""'APO'!BL3:BL139""),MATCH($D39,IMPORTRANGE(""17pNv02DXDpQT9S3w4-QeNym2QJy2BzMBqDXp-XtzJBM"", ""'APO'!D3:D139""),0))"),0.000111611814110523)</f>
        <v>1.11611814110523E-4</v>
      </c>
      <c r="AE39" s="15">
        <f ca="1">IFERROR(__xludf.DUMMYFUNCTION("INDEX(IMPORTRANGE(""17pNv02DXDpQT9S3w4-QeNym2QJy2BzMBqDXp-XtzJBM"", ""'APO'!BM3:BM139""),MATCH($D39,IMPORTRANGE(""17pNv02DXDpQT9S3w4-QeNym2QJy2BzMBqDXp-XtzJBM"", ""'APO'!D3:D139""),0))"),0.000161931331862071)</f>
        <v>1.61931331862071E-4</v>
      </c>
    </row>
    <row r="40" spans="1:31">
      <c r="A40" s="149" t="s">
        <v>119</v>
      </c>
      <c r="B40" s="149" t="s">
        <v>120</v>
      </c>
      <c r="C40" s="148" t="s">
        <v>30</v>
      </c>
      <c r="D40" s="149" t="s">
        <v>330</v>
      </c>
      <c r="E40" s="149" t="s">
        <v>38</v>
      </c>
      <c r="F40" s="2" t="s">
        <v>176</v>
      </c>
      <c r="G40" s="22" t="s">
        <v>56</v>
      </c>
      <c r="H40" s="2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2"/>
      <c r="S40" s="2" t="str">
        <f ca="1">IFERROR(__xludf.DUMMYFUNCTION("INDEX(IMPORTRANGE(""17pNv02DXDpQT9S3w4-QeNym2QJy2BzMBqDXp-XtzJBM"", ""'APO'!BG3:BG139""),MATCH($D40,IMPORTRANGE(""17pNv02DXDpQT9S3w4-QeNym2QJy2BzMBqDXp-XtzJBM"", ""'APO'!D3:D139""),0))"),"")</f>
        <v/>
      </c>
      <c r="T40" s="1"/>
      <c r="U40" s="1"/>
      <c r="V40" s="2">
        <v>3600</v>
      </c>
      <c r="W40" s="2">
        <v>2500</v>
      </c>
      <c r="X40" s="2">
        <v>100</v>
      </c>
      <c r="Y40" s="2"/>
      <c r="Z40" s="2" t="str">
        <f ca="1">IFERROR(__xludf.DUMMYFUNCTION("INDEX(IMPORTRANGE(""17pNv02DXDpQT9S3w4-QeNym2QJy2BzMBqDXp-XtzJBM"", ""'APO'!BH3:BH139""),MATCH($D40,IMPORTRANGE(""17pNv02DXDpQT9S3w4-QeNym2QJy2BzMBqDXp-XtzJBM"", ""'APO'!D3:D139""),0))"),"")</f>
        <v/>
      </c>
      <c r="AA40" s="24" t="str">
        <f ca="1">IFERROR(__xludf.DUMMYFUNCTION("INDEX(IMPORTRANGE(""17pNv02DXDpQT9S3w4-QeNym2QJy2BzMBqDXp-XtzJBM"", ""'APO'!BI3:BI139""),MATCH($D40,IMPORTRANGE(""17pNv02DXDpQT9S3w4-QeNym2QJy2BzMBqDXp-XtzJBM"", ""'APO'!D3:D139""),0))"),"")</f>
        <v/>
      </c>
      <c r="AB40" s="2">
        <f ca="1">IFERROR(__xludf.DUMMYFUNCTION("INDEX(IMPORTRANGE(""17pNv02DXDpQT9S3w4-QeNym2QJy2BzMBqDXp-XtzJBM"", ""'APO'!BJ3:BJ139""),MATCH($D40,IMPORTRANGE(""17pNv02DXDpQT9S3w4-QeNym2QJy2BzMBqDXp-XtzJBM"", ""'APO'!D3:D139""),0))"),114.66)</f>
        <v>114.66</v>
      </c>
      <c r="AC40" s="24">
        <f ca="1">IFERROR(__xludf.DUMMYFUNCTION("INDEX(IMPORTRANGE(""17pNv02DXDpQT9S3w4-QeNym2QJy2BzMBqDXp-XtzJBM"", ""'APO'!BK3:BK139""),MATCH($D40,IMPORTRANGE(""17pNv02DXDpQT9S3w4-QeNym2QJy2BzMBqDXp-XtzJBM"", ""'APO'!D3:D139""),0))"),204.5861)</f>
        <v>204.58609999999999</v>
      </c>
      <c r="AD40" s="2">
        <f ca="1">IFERROR(__xludf.DUMMYFUNCTION("INDEX(IMPORTRANGE(""17pNv02DXDpQT9S3w4-QeNym2QJy2BzMBqDXp-XtzJBM"", ""'APO'!BL3:BL139""),MATCH($D40,IMPORTRANGE(""17pNv02DXDpQT9S3w4-QeNym2QJy2BzMBqDXp-XtzJBM"", ""'APO'!D3:D139""),0))"),1592.43)</f>
        <v>1592.43</v>
      </c>
      <c r="AE40" s="24">
        <f ca="1">IFERROR(__xludf.DUMMYFUNCTION("INDEX(IMPORTRANGE(""17pNv02DXDpQT9S3w4-QeNym2QJy2BzMBqDXp-XtzJBM"", ""'APO'!BM3:BM139""),MATCH($D40,IMPORTRANGE(""17pNv02DXDpQT9S3w4-QeNym2QJy2BzMBqDXp-XtzJBM"", ""'APO'!D3:D139""),0))"),26691.03)</f>
        <v>26691.03</v>
      </c>
    </row>
    <row r="41" spans="1:31">
      <c r="A41" s="149" t="s">
        <v>119</v>
      </c>
      <c r="B41" s="149" t="s">
        <v>120</v>
      </c>
      <c r="C41" s="148" t="s">
        <v>30</v>
      </c>
      <c r="D41" s="149" t="s">
        <v>331</v>
      </c>
      <c r="E41" s="149" t="s">
        <v>38</v>
      </c>
      <c r="F41" s="2" t="s">
        <v>332</v>
      </c>
      <c r="G41" s="22" t="s">
        <v>56</v>
      </c>
      <c r="H41" s="2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2"/>
      <c r="S41" s="2" t="str">
        <f ca="1">IFERROR(__xludf.DUMMYFUNCTION("INDEX(IMPORTRANGE(""17pNv02DXDpQT9S3w4-QeNym2QJy2BzMBqDXp-XtzJBM"", ""'APO'!BG3:BG139""),MATCH($D41,IMPORTRANGE(""17pNv02DXDpQT9S3w4-QeNym2QJy2BzMBqDXp-XtzJBM"", ""'APO'!D3:D139""),0))"),"")</f>
        <v/>
      </c>
      <c r="T41" s="1"/>
      <c r="U41" s="1"/>
      <c r="V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W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X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Y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Z41" s="2" t="str">
        <f ca="1">IFERROR(__xludf.DUMMYFUNCTION("INDEX(IMPORTRANGE(""17pNv02DXDpQT9S3w4-QeNym2QJy2BzMBqDXp-XtzJBM"", ""'APO'!BH3:BH139""),MATCH($D41,IMPORTRANGE(""17pNv02DXDpQT9S3w4-QeNym2QJy2BzMBqDXp-XtzJBM"", ""'APO'!D3:D139""),0))"),"")</f>
        <v/>
      </c>
      <c r="AA41" s="24" t="str">
        <f ca="1">IFERROR(__xludf.DUMMYFUNCTION("INDEX(IMPORTRANGE(""17pNv02DXDpQT9S3w4-QeNym2QJy2BzMBqDXp-XtzJBM"", ""'APO'!BI3:BI139""),MATCH($D41,IMPORTRANGE(""17pNv02DXDpQT9S3w4-QeNym2QJy2BzMBqDXp-XtzJBM"", ""'APO'!D3:D139""),0))"),"")</f>
        <v/>
      </c>
      <c r="AB41" s="2">
        <f ca="1">IFERROR(__xludf.DUMMYFUNCTION("INDEX(IMPORTRANGE(""17pNv02DXDpQT9S3w4-QeNym2QJy2BzMBqDXp-XtzJBM"", ""'APO'!BJ3:BJ139""),MATCH($D41,IMPORTRANGE(""17pNv02DXDpQT9S3w4-QeNym2QJy2BzMBqDXp-XtzJBM"", ""'APO'!D3:D139""),0))"),209010.84)</f>
        <v>209010.84</v>
      </c>
      <c r="AC41" s="24">
        <f ca="1">IFERROR(__xludf.DUMMYFUNCTION("INDEX(IMPORTRANGE(""17pNv02DXDpQT9S3w4-QeNym2QJy2BzMBqDXp-XtzJBM"", ""'APO'!BK3:BK139""),MATCH($D41,IMPORTRANGE(""17pNv02DXDpQT9S3w4-QeNym2QJy2BzMBqDXp-XtzJBM"", ""'APO'!D3:D139""),0))"),420757.35)</f>
        <v>420757.35</v>
      </c>
      <c r="AD41" s="2">
        <f ca="1">IFERROR(__xludf.DUMMYFUNCTION("INDEX(IMPORTRANGE(""17pNv02DXDpQT9S3w4-QeNym2QJy2BzMBqDXp-XtzJBM"", ""'APO'!BL3:BL139""),MATCH($D41,IMPORTRANGE(""17pNv02DXDpQT9S3w4-QeNym2QJy2BzMBqDXp-XtzJBM"", ""'APO'!D3:D139""),0))"),116863.76)</f>
        <v>116863.76</v>
      </c>
      <c r="AE41" s="24">
        <f ca="1">IFERROR(__xludf.DUMMYFUNCTION("INDEX(IMPORTRANGE(""17pNv02DXDpQT9S3w4-QeNym2QJy2BzMBqDXp-XtzJBM"", ""'APO'!BM3:BM139""),MATCH($D41,IMPORTRANGE(""17pNv02DXDpQT9S3w4-QeNym2QJy2BzMBqDXp-XtzJBM"", ""'APO'!D3:D139""),0))"),219614.36)</f>
        <v>219614.36</v>
      </c>
    </row>
    <row r="42" spans="1:31">
      <c r="A42" s="149" t="s">
        <v>119</v>
      </c>
      <c r="B42" s="149" t="s">
        <v>120</v>
      </c>
      <c r="C42" s="148" t="s">
        <v>36</v>
      </c>
      <c r="D42" s="149" t="s">
        <v>333</v>
      </c>
      <c r="E42" s="149" t="s">
        <v>38</v>
      </c>
      <c r="F42" s="2" t="s">
        <v>334</v>
      </c>
      <c r="G42" s="22" t="s">
        <v>56</v>
      </c>
      <c r="H42" s="2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2"/>
      <c r="S42" s="2" t="str">
        <f ca="1">IFERROR(__xludf.DUMMYFUNCTION("INDEX(IMPORTRANGE(""17pNv02DXDpQT9S3w4-QeNym2QJy2BzMBqDXp-XtzJBM"", ""'APO'!BG3:BG139""),MATCH($D42,IMPORTRANGE(""17pNv02DXDpQT9S3w4-QeNym2QJy2BzMBqDXp-XtzJBM"", ""'APO'!D3:D139""),0))"),"")</f>
        <v/>
      </c>
      <c r="T42" s="2"/>
      <c r="U42" s="152">
        <v>5.4858398731855249E-4</v>
      </c>
      <c r="V42" s="176">
        <f>(U42*1.1)</f>
        <v>6.0344238605040783E-4</v>
      </c>
      <c r="W42" s="176">
        <f t="shared" ref="W42:Y42" ca="1" si="11">W40/W41</f>
        <v>5.9416668538291731E-3</v>
      </c>
      <c r="X42" s="176">
        <f t="shared" ca="1" si="11"/>
        <v>2.3766667415316692E-4</v>
      </c>
      <c r="Y42" s="176">
        <f t="shared" ca="1" si="11"/>
        <v>0</v>
      </c>
      <c r="Z42" s="26" t="str">
        <f ca="1">IFERROR(__xludf.DUMMYFUNCTION("INDEX(IMPORTRANGE(""17pNv02DXDpQT9S3w4-QeNym2QJy2BzMBqDXp-XtzJBM"", ""'APO'!BH3:BH139""),MATCH($D42,IMPORTRANGE(""17pNv02DXDpQT9S3w4-QeNym2QJy2BzMBqDXp-XtzJBM"", ""'APO'!D3:D139""),0))"),"")</f>
        <v/>
      </c>
      <c r="AA42" s="26" t="str">
        <f ca="1">IFERROR(__xludf.DUMMYFUNCTION("INDEX(IMPORTRANGE(""17pNv02DXDpQT9S3w4-QeNym2QJy2BzMBqDXp-XtzJBM"", ""'APO'!BI3:BI139""),MATCH($D42,IMPORTRANGE(""17pNv02DXDpQT9S3w4-QeNym2QJy2BzMBqDXp-XtzJBM"", ""'APO'!D3:D139""),0))"),"")</f>
        <v/>
      </c>
      <c r="AB42" s="26">
        <f ca="1">IFERROR(__xludf.DUMMYFUNCTION("INDEX(IMPORTRANGE(""17pNv02DXDpQT9S3w4-QeNym2QJy2BzMBqDXp-XtzJBM"", ""'APO'!BJ3:BJ139""),MATCH($D42,IMPORTRANGE(""17pNv02DXDpQT9S3w4-QeNym2QJy2BzMBqDXp-XtzJBM"", ""'APO'!D3:D139""),0))"),0.000548583987318552)</f>
        <v>5.4858398731855195E-4</v>
      </c>
      <c r="AC42" s="26">
        <f ca="1">IFERROR(__xludf.DUMMYFUNCTION("INDEX(IMPORTRANGE(""17pNv02DXDpQT9S3w4-QeNym2QJy2BzMBqDXp-XtzJBM"", ""'APO'!BK3:BK139""),MATCH($D42,IMPORTRANGE(""17pNv02DXDpQT9S3w4-QeNym2QJy2BzMBqDXp-XtzJBM"", ""'APO'!D3:D139""),0))"),0.000486232979649672)</f>
        <v>4.86232979649672E-4</v>
      </c>
      <c r="AD42" s="26">
        <f ca="1">IFERROR(__xludf.DUMMYFUNCTION("INDEX(IMPORTRANGE(""17pNv02DXDpQT9S3w4-QeNym2QJy2BzMBqDXp-XtzJBM"", ""'APO'!BL3:BL139""),MATCH($D42,IMPORTRANGE(""17pNv02DXDpQT9S3w4-QeNym2QJy2BzMBqDXp-XtzJBM"", ""'APO'!D3:D139""),0))"),0.0136263799829818)</f>
        <v>1.3626379982981799E-2</v>
      </c>
      <c r="AE42" s="26">
        <f ca="1">IFERROR(__xludf.DUMMYFUNCTION("INDEX(IMPORTRANGE(""17pNv02DXDpQT9S3w4-QeNym2QJy2BzMBqDXp-XtzJBM"", ""'APO'!BM3:BM139""),MATCH($D42,IMPORTRANGE(""17pNv02DXDpQT9S3w4-QeNym2QJy2BzMBqDXp-XtzJBM"", ""'APO'!D3:D139""),0))"),0.121535905029161)</f>
        <v>0.12153590502916101</v>
      </c>
    </row>
    <row r="43" spans="1:31" ht="26">
      <c r="A43" s="149" t="s">
        <v>119</v>
      </c>
      <c r="B43" s="149" t="s">
        <v>127</v>
      </c>
      <c r="C43" s="148" t="s">
        <v>36</v>
      </c>
      <c r="D43" s="149" t="s">
        <v>128</v>
      </c>
      <c r="E43" s="149" t="s">
        <v>38</v>
      </c>
      <c r="F43" s="2" t="s">
        <v>129</v>
      </c>
      <c r="G43" s="22" t="s">
        <v>56</v>
      </c>
      <c r="H43" s="22" t="s">
        <v>57</v>
      </c>
      <c r="I43" s="65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2" t="s">
        <v>364</v>
      </c>
      <c r="P43" s="2" t="s">
        <v>132</v>
      </c>
      <c r="Q43" s="12">
        <v>0</v>
      </c>
      <c r="R43" s="2">
        <v>0</v>
      </c>
      <c r="S43" s="2">
        <f ca="1">IFERROR(__xludf.DUMMYFUNCTION("INDEX(IMPORTRANGE(""17pNv02DXDpQT9S3w4-QeNym2QJy2BzMBqDXp-XtzJBM"", ""'APO'!BG3:BG139""),MATCH($D43,IMPORTRANGE(""17pNv02DXDpQT9S3w4-QeNym2QJy2BzMBqDXp-XtzJBM"", ""'APO'!D3:D139""),0))"),0)</f>
        <v>0</v>
      </c>
      <c r="T43" s="2">
        <v>1</v>
      </c>
      <c r="U43" s="2">
        <v>1</v>
      </c>
      <c r="V43" s="2">
        <v>1</v>
      </c>
      <c r="W43" s="2">
        <v>1</v>
      </c>
      <c r="X43" s="2">
        <v>1</v>
      </c>
      <c r="Y43" s="2">
        <v>1</v>
      </c>
      <c r="Z43" s="2">
        <f ca="1">IFERROR(__xludf.DUMMYFUNCTION("INDEX(IMPORTRANGE(""17pNv02DXDpQT9S3w4-QeNym2QJy2BzMBqDXp-XtzJBM"", ""'APO'!BH3:BH139""),MATCH($D43,IMPORTRANGE(""17pNv02DXDpQT9S3w4-QeNym2QJy2BzMBqDXp-XtzJBM"", ""'APO'!D3:D139""),0))"),1)</f>
        <v>1</v>
      </c>
      <c r="AA43" s="2">
        <f ca="1">IFERROR(__xludf.DUMMYFUNCTION("INDEX(IMPORTRANGE(""17pNv02DXDpQT9S3w4-QeNym2QJy2BzMBqDXp-XtzJBM"", ""'APO'!BI3:BI139""),MATCH($D43,IMPORTRANGE(""17pNv02DXDpQT9S3w4-QeNym2QJy2BzMBqDXp-XtzJBM"", ""'APO'!D3:D139""),0))"),2)</f>
        <v>2</v>
      </c>
      <c r="AB43" s="2">
        <f ca="1">IFERROR(__xludf.DUMMYFUNCTION("INDEX(IMPORTRANGE(""17pNv02DXDpQT9S3w4-QeNym2QJy2BzMBqDXp-XtzJBM"", ""'APO'!BJ3:BJ139""),MATCH($D43,IMPORTRANGE(""17pNv02DXDpQT9S3w4-QeNym2QJy2BzMBqDXp-XtzJBM"", ""'APO'!D3:D139""),0))"),2)</f>
        <v>2</v>
      </c>
      <c r="AC43" s="2">
        <f ca="1">IFERROR(__xludf.DUMMYFUNCTION("INDEX(IMPORTRANGE(""17pNv02DXDpQT9S3w4-QeNym2QJy2BzMBqDXp-XtzJBM"", ""'APO'!BK3:BK139""),MATCH($D43,IMPORTRANGE(""17pNv02DXDpQT9S3w4-QeNym2QJy2BzMBqDXp-XtzJBM"", ""'APO'!D3:D139""),0))"),2)</f>
        <v>2</v>
      </c>
      <c r="AD43" s="2">
        <f ca="1">IFERROR(__xludf.DUMMYFUNCTION("INDEX(IMPORTRANGE(""17pNv02DXDpQT9S3w4-QeNym2QJy2BzMBqDXp-XtzJBM"", ""'APO'!BL3:BL139""),MATCH($D43,IMPORTRANGE(""17pNv02DXDpQT9S3w4-QeNym2QJy2BzMBqDXp-XtzJBM"", ""'APO'!D3:D139""),0))"),3)</f>
        <v>3</v>
      </c>
      <c r="AE43" s="2">
        <f ca="1">IFERROR(__xludf.DUMMYFUNCTION("INDEX(IMPORTRANGE(""17pNv02DXDpQT9S3w4-QeNym2QJy2BzMBqDXp-XtzJBM"", ""'APO'!BM3:BM139""),MATCH($D43,IMPORTRANGE(""17pNv02DXDpQT9S3w4-QeNym2QJy2BzMBqDXp-XtzJBM"", ""'APO'!D3:D139""),0))"),4)</f>
        <v>4</v>
      </c>
    </row>
    <row r="44" spans="1:31" ht="26">
      <c r="A44" s="149" t="s">
        <v>119</v>
      </c>
      <c r="B44" s="149" t="s">
        <v>133</v>
      </c>
      <c r="C44" s="148" t="s">
        <v>36</v>
      </c>
      <c r="D44" s="149" t="s">
        <v>134</v>
      </c>
      <c r="E44" s="149" t="s">
        <v>38</v>
      </c>
      <c r="F44" s="2" t="s">
        <v>135</v>
      </c>
      <c r="G44" s="22" t="s">
        <v>56</v>
      </c>
      <c r="H44" s="22" t="s">
        <v>57</v>
      </c>
      <c r="I44" s="65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2" t="s">
        <v>364</v>
      </c>
      <c r="P44" s="2" t="s">
        <v>132</v>
      </c>
      <c r="Q44" s="12">
        <v>348</v>
      </c>
      <c r="R44" s="12">
        <v>1074</v>
      </c>
      <c r="S44" s="12">
        <f ca="1">IFERROR(__xludf.DUMMYFUNCTION("INDEX(IMPORTRANGE(""17pNv02DXDpQT9S3w4-QeNym2QJy2BzMBqDXp-XtzJBM"", ""'APO'!BG3:BG139""),MATCH($D44,IMPORTRANGE(""17pNv02DXDpQT9S3w4-QeNym2QJy2BzMBqDXp-XtzJBM"", ""'APO'!D3:D139""),0))"),912)</f>
        <v>912</v>
      </c>
      <c r="T44" s="12">
        <v>1859</v>
      </c>
      <c r="U44" s="12">
        <v>2644</v>
      </c>
      <c r="V44" s="12">
        <v>3430</v>
      </c>
      <c r="W44" s="12">
        <v>4215</v>
      </c>
      <c r="X44" s="12">
        <f>((Y44-W44)/6)*5+W44</f>
        <v>4869.166666666667</v>
      </c>
      <c r="Y44" s="12">
        <v>5000</v>
      </c>
      <c r="Z44" s="2">
        <f ca="1">IFERROR(__xludf.DUMMYFUNCTION("INDEX(IMPORTRANGE(""17pNv02DXDpQT9S3w4-QeNym2QJy2BzMBqDXp-XtzJBM"", ""'APO'!BH3:BH139""),MATCH($D44,IMPORTRANGE(""17pNv02DXDpQT9S3w4-QeNym2QJy2BzMBqDXp-XtzJBM"", ""'APO'!D3:D139""),0))"),599)</f>
        <v>599</v>
      </c>
      <c r="AA44" s="2">
        <f ca="1">IFERROR(__xludf.DUMMYFUNCTION("INDEX(IMPORTRANGE(""17pNv02DXDpQT9S3w4-QeNym2QJy2BzMBqDXp-XtzJBM"", ""'APO'!BI3:BI139""),MATCH($D44,IMPORTRANGE(""17pNv02DXDpQT9S3w4-QeNym2QJy2BzMBqDXp-XtzJBM"", ""'APO'!D3:D139""),0))"),2539)</f>
        <v>2539</v>
      </c>
      <c r="AB44" s="2">
        <f ca="1">IFERROR(__xludf.DUMMYFUNCTION("INDEX(IMPORTRANGE(""17pNv02DXDpQT9S3w4-QeNym2QJy2BzMBqDXp-XtzJBM"", ""'APO'!BJ3:BJ139""),MATCH($D44,IMPORTRANGE(""17pNv02DXDpQT9S3w4-QeNym2QJy2BzMBqDXp-XtzJBM"", ""'APO'!D3:D139""),0))"),8722)</f>
        <v>8722</v>
      </c>
      <c r="AC44" s="2">
        <f ca="1">IFERROR(__xludf.DUMMYFUNCTION("INDEX(IMPORTRANGE(""17pNv02DXDpQT9S3w4-QeNym2QJy2BzMBqDXp-XtzJBM"", ""'APO'!BK3:BK139""),MATCH($D44,IMPORTRANGE(""17pNv02DXDpQT9S3w4-QeNym2QJy2BzMBqDXp-XtzJBM"", ""'APO'!D3:D139""),0))"),15046)</f>
        <v>15046</v>
      </c>
      <c r="AD44" s="2">
        <f ca="1">IFERROR(__xludf.DUMMYFUNCTION("INDEX(IMPORTRANGE(""17pNv02DXDpQT9S3w4-QeNym2QJy2BzMBqDXp-XtzJBM"", ""'APO'!BL3:BL139""),MATCH($D44,IMPORTRANGE(""17pNv02DXDpQT9S3w4-QeNym2QJy2BzMBqDXp-XtzJBM"", ""'APO'!D3:D139""),0))"),19572)</f>
        <v>19572</v>
      </c>
      <c r="AE44" s="2">
        <f ca="1">IFERROR(__xludf.DUMMYFUNCTION("INDEX(IMPORTRANGE(""17pNv02DXDpQT9S3w4-QeNym2QJy2BzMBqDXp-XtzJBM"", ""'APO'!BM3:BM139""),MATCH($D44,IMPORTRANGE(""17pNv02DXDpQT9S3w4-QeNym2QJy2BzMBqDXp-XtzJBM"", ""'APO'!D3:D139""),0))"),21072)</f>
        <v>21072</v>
      </c>
    </row>
    <row r="45" spans="1:31" ht="26">
      <c r="A45" s="151" t="s">
        <v>119</v>
      </c>
      <c r="B45" s="151" t="s">
        <v>136</v>
      </c>
      <c r="C45" s="150" t="s">
        <v>30</v>
      </c>
      <c r="D45" s="151" t="s">
        <v>137</v>
      </c>
      <c r="E45" s="151" t="s">
        <v>38</v>
      </c>
      <c r="F45" s="22" t="s">
        <v>138</v>
      </c>
      <c r="G45" s="22" t="s">
        <v>56</v>
      </c>
      <c r="H45" s="22" t="s">
        <v>57</v>
      </c>
      <c r="I45" s="65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2" t="s">
        <v>364</v>
      </c>
      <c r="P45" s="2" t="s">
        <v>132</v>
      </c>
      <c r="Q45" s="12">
        <v>0</v>
      </c>
      <c r="R45" s="2">
        <v>0</v>
      </c>
      <c r="S45" s="2">
        <f ca="1">IFERROR(__xludf.DUMMYFUNCTION("INDEX(IMPORTRANGE(""17pNv02DXDpQT9S3w4-QeNym2QJy2BzMBqDXp-XtzJBM"", ""'APO'!BG3:BG139""),MATCH($D45,IMPORTRANGE(""17pNv02DXDpQT9S3w4-QeNym2QJy2BzMBqDXp-XtzJBM"", ""'APO'!D3:D139""),0))"),0)</f>
        <v>0</v>
      </c>
      <c r="T45" s="13"/>
      <c r="U45" s="13"/>
      <c r="V45" s="13"/>
      <c r="W45" s="13"/>
      <c r="X45" s="13"/>
      <c r="Y45" s="13"/>
      <c r="Z45" s="2">
        <f ca="1">IFERROR(__xludf.DUMMYFUNCTION("INDEX(IMPORTRANGE(""17pNv02DXDpQT9S3w4-QeNym2QJy2BzMBqDXp-XtzJBM"", ""'APO'!BH3:BH139""),MATCH($D45,IMPORTRANGE(""17pNv02DXDpQT9S3w4-QeNym2QJy2BzMBqDXp-XtzJBM"", ""'APO'!D3:D139""),0))"),2)</f>
        <v>2</v>
      </c>
      <c r="AA45" s="2">
        <f ca="1">IFERROR(__xludf.DUMMYFUNCTION("INDEX(IMPORTRANGE(""17pNv02DXDpQT9S3w4-QeNym2QJy2BzMBqDXp-XtzJBM"", ""'APO'!BI3:BI139""),MATCH($D45,IMPORTRANGE(""17pNv02DXDpQT9S3w4-QeNym2QJy2BzMBqDXp-XtzJBM"", ""'APO'!D3:D139""),0))"),6)</f>
        <v>6</v>
      </c>
      <c r="AB45" s="2">
        <f ca="1">IFERROR(__xludf.DUMMYFUNCTION("INDEX(IMPORTRANGE(""17pNv02DXDpQT9S3w4-QeNym2QJy2BzMBqDXp-XtzJBM"", ""'APO'!BJ3:BJ139""),MATCH($D45,IMPORTRANGE(""17pNv02DXDpQT9S3w4-QeNym2QJy2BzMBqDXp-XtzJBM"", ""'APO'!D3:D139""),0))"),9)</f>
        <v>9</v>
      </c>
      <c r="AC45" s="2">
        <f ca="1">IFERROR(__xludf.DUMMYFUNCTION("INDEX(IMPORTRANGE(""17pNv02DXDpQT9S3w4-QeNym2QJy2BzMBqDXp-XtzJBM"", ""'APO'!BK3:BK139""),MATCH($D45,IMPORTRANGE(""17pNv02DXDpQT9S3w4-QeNym2QJy2BzMBqDXp-XtzJBM"", ""'APO'!D3:D139""),0))"),9)</f>
        <v>9</v>
      </c>
      <c r="AD45" s="2">
        <f ca="1">IFERROR(__xludf.DUMMYFUNCTION("INDEX(IMPORTRANGE(""17pNv02DXDpQT9S3w4-QeNym2QJy2BzMBqDXp-XtzJBM"", ""'APO'!BL3:BL139""),MATCH($D45,IMPORTRANGE(""17pNv02DXDpQT9S3w4-QeNym2QJy2BzMBqDXp-XtzJBM"", ""'APO'!D3:D139""),0))"),9)</f>
        <v>9</v>
      </c>
      <c r="AE45" s="2">
        <f ca="1">IFERROR(__xludf.DUMMYFUNCTION("INDEX(IMPORTRANGE(""17pNv02DXDpQT9S3w4-QeNym2QJy2BzMBqDXp-XtzJBM"", ""'APO'!BM3:BM139""),MATCH($D45,IMPORTRANGE(""17pNv02DXDpQT9S3w4-QeNym2QJy2BzMBqDXp-XtzJBM"", ""'APO'!D3:D139""),0))"),10)</f>
        <v>10</v>
      </c>
    </row>
    <row r="46" spans="1:31" ht="26">
      <c r="A46" s="151" t="s">
        <v>119</v>
      </c>
      <c r="B46" s="151" t="s">
        <v>136</v>
      </c>
      <c r="C46" s="150" t="s">
        <v>30</v>
      </c>
      <c r="D46" s="151" t="s">
        <v>139</v>
      </c>
      <c r="E46" s="151" t="s">
        <v>38</v>
      </c>
      <c r="F46" s="22" t="s">
        <v>140</v>
      </c>
      <c r="G46" s="22" t="s">
        <v>56</v>
      </c>
      <c r="H46" s="22" t="s">
        <v>57</v>
      </c>
      <c r="I46" s="65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2" t="s">
        <v>364</v>
      </c>
      <c r="P46" s="2" t="s">
        <v>132</v>
      </c>
      <c r="Q46" s="12"/>
      <c r="R46" s="2"/>
      <c r="S46" s="2">
        <f ca="1">IFERROR(__xludf.DUMMYFUNCTION("INDEX(IMPORTRANGE(""17pNv02DXDpQT9S3w4-QeNym2QJy2BzMBqDXp-XtzJBM"", ""'APO'!BG3:BG139""),MATCH($D46,IMPORTRANGE(""17pNv02DXDpQT9S3w4-QeNym2QJy2BzMBqDXp-XtzJBM"", ""'APO'!D3:D139""),0))"),0)</f>
        <v>0</v>
      </c>
      <c r="T46" s="13"/>
      <c r="U46" s="13"/>
      <c r="V46" s="13"/>
      <c r="W46" s="13"/>
      <c r="X46" s="13"/>
      <c r="Y46" s="13"/>
      <c r="Z46" s="2" t="str">
        <f ca="1">IFERROR(__xludf.DUMMYFUNCTION("INDEX(IMPORTRANGE(""17pNv02DXDpQT9S3w4-QeNym2QJy2BzMBqDXp-XtzJBM"", ""'APO'!BH3:BH139""),MATCH($D46,IMPORTRANGE(""17pNv02DXDpQT9S3w4-QeNym2QJy2BzMBqDXp-XtzJBM"", ""'APO'!D3:D139""),0))"),"")</f>
        <v/>
      </c>
      <c r="AA46" s="2">
        <f ca="1">IFERROR(__xludf.DUMMYFUNCTION("INDEX(IMPORTRANGE(""17pNv02DXDpQT9S3w4-QeNym2QJy2BzMBqDXp-XtzJBM"", ""'APO'!BI3:BI139""),MATCH($D46,IMPORTRANGE(""17pNv02DXDpQT9S3w4-QeNym2QJy2BzMBqDXp-XtzJBM"", ""'APO'!D3:D139""),0))"),0)</f>
        <v>0</v>
      </c>
      <c r="AB46" s="2">
        <f ca="1">IFERROR(__xludf.DUMMYFUNCTION("INDEX(IMPORTRANGE(""17pNv02DXDpQT9S3w4-QeNym2QJy2BzMBqDXp-XtzJBM"", ""'APO'!BJ3:BJ139""),MATCH($D46,IMPORTRANGE(""17pNv02DXDpQT9S3w4-QeNym2QJy2BzMBqDXp-XtzJBM"", ""'APO'!D3:D139""),0))"),0)</f>
        <v>0</v>
      </c>
      <c r="AC46" s="2">
        <f ca="1">IFERROR(__xludf.DUMMYFUNCTION("INDEX(IMPORTRANGE(""17pNv02DXDpQT9S3w4-QeNym2QJy2BzMBqDXp-XtzJBM"", ""'APO'!BK3:BK139""),MATCH($D46,IMPORTRANGE(""17pNv02DXDpQT9S3w4-QeNym2QJy2BzMBqDXp-XtzJBM"", ""'APO'!D3:D139""),0))"),0)</f>
        <v>0</v>
      </c>
      <c r="AD46" s="2">
        <f ca="1">IFERROR(__xludf.DUMMYFUNCTION("INDEX(IMPORTRANGE(""17pNv02DXDpQT9S3w4-QeNym2QJy2BzMBqDXp-XtzJBM"", ""'APO'!BL3:BL139""),MATCH($D46,IMPORTRANGE(""17pNv02DXDpQT9S3w4-QeNym2QJy2BzMBqDXp-XtzJBM"", ""'APO'!D3:D139""),0))"),0)</f>
        <v>0</v>
      </c>
      <c r="AE46" s="2">
        <f ca="1">IFERROR(__xludf.DUMMYFUNCTION("INDEX(IMPORTRANGE(""17pNv02DXDpQT9S3w4-QeNym2QJy2BzMBqDXp-XtzJBM"", ""'APO'!BM3:BM139""),MATCH($D46,IMPORTRANGE(""17pNv02DXDpQT9S3w4-QeNym2QJy2BzMBqDXp-XtzJBM"", ""'APO'!D3:D139""),0))"),0)</f>
        <v>0</v>
      </c>
    </row>
    <row r="47" spans="1:31" ht="26">
      <c r="A47" s="151" t="s">
        <v>119</v>
      </c>
      <c r="B47" s="151" t="s">
        <v>136</v>
      </c>
      <c r="C47" s="150" t="s">
        <v>30</v>
      </c>
      <c r="D47" s="151" t="s">
        <v>141</v>
      </c>
      <c r="E47" s="151" t="s">
        <v>38</v>
      </c>
      <c r="F47" s="22" t="s">
        <v>142</v>
      </c>
      <c r="G47" s="22" t="s">
        <v>56</v>
      </c>
      <c r="H47" s="22" t="s">
        <v>57</v>
      </c>
      <c r="I47" s="65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2" t="s">
        <v>364</v>
      </c>
      <c r="P47" s="2" t="s">
        <v>132</v>
      </c>
      <c r="Q47" s="12">
        <v>1</v>
      </c>
      <c r="R47" s="2">
        <v>1</v>
      </c>
      <c r="S47" s="2">
        <f ca="1">IFERROR(__xludf.DUMMYFUNCTION("INDEX(IMPORTRANGE(""17pNv02DXDpQT9S3w4-QeNym2QJy2BzMBqDXp-XtzJBM"", ""'APO'!BG3:BG139""),MATCH($D47,IMPORTRANGE(""17pNv02DXDpQT9S3w4-QeNym2QJy2BzMBqDXp-XtzJBM"", ""'APO'!D3:D139""),0))"),1)</f>
        <v>1</v>
      </c>
      <c r="T47" s="13"/>
      <c r="U47" s="13"/>
      <c r="V47" s="13"/>
      <c r="W47" s="13"/>
      <c r="X47" s="13"/>
      <c r="Y47" s="13"/>
      <c r="Z47" s="2">
        <f ca="1">IFERROR(__xludf.DUMMYFUNCTION("INDEX(IMPORTRANGE(""17pNv02DXDpQT9S3w4-QeNym2QJy2BzMBqDXp-XtzJBM"", ""'APO'!BH3:BH139""),MATCH($D47,IMPORTRANGE(""17pNv02DXDpQT9S3w4-QeNym2QJy2BzMBqDXp-XtzJBM"", ""'APO'!D3:D139""),0))"),0)</f>
        <v>0</v>
      </c>
      <c r="AA47" s="2">
        <f ca="1">IFERROR(__xludf.DUMMYFUNCTION("INDEX(IMPORTRANGE(""17pNv02DXDpQT9S3w4-QeNym2QJy2BzMBqDXp-XtzJBM"", ""'APO'!BI3:BI139""),MATCH($D47,IMPORTRANGE(""17pNv02DXDpQT9S3w4-QeNym2QJy2BzMBqDXp-XtzJBM"", ""'APO'!D3:D139""),0))"),0)</f>
        <v>0</v>
      </c>
      <c r="AB47" s="2">
        <f ca="1">IFERROR(__xludf.DUMMYFUNCTION("INDEX(IMPORTRANGE(""17pNv02DXDpQT9S3w4-QeNym2QJy2BzMBqDXp-XtzJBM"", ""'APO'!BJ3:BJ139""),MATCH($D47,IMPORTRANGE(""17pNv02DXDpQT9S3w4-QeNym2QJy2BzMBqDXp-XtzJBM"", ""'APO'!D3:D139""),0))"),0)</f>
        <v>0</v>
      </c>
      <c r="AC47" s="2">
        <f ca="1">IFERROR(__xludf.DUMMYFUNCTION("INDEX(IMPORTRANGE(""17pNv02DXDpQT9S3w4-QeNym2QJy2BzMBqDXp-XtzJBM"", ""'APO'!BK3:BK139""),MATCH($D47,IMPORTRANGE(""17pNv02DXDpQT9S3w4-QeNym2QJy2BzMBqDXp-XtzJBM"", ""'APO'!D3:D139""),0))"),1)</f>
        <v>1</v>
      </c>
      <c r="AD47" s="2">
        <f ca="1">IFERROR(__xludf.DUMMYFUNCTION("INDEX(IMPORTRANGE(""17pNv02DXDpQT9S3w4-QeNym2QJy2BzMBqDXp-XtzJBM"", ""'APO'!BL3:BL139""),MATCH($D47,IMPORTRANGE(""17pNv02DXDpQT9S3w4-QeNym2QJy2BzMBqDXp-XtzJBM"", ""'APO'!D3:D139""),0))"),2)</f>
        <v>2</v>
      </c>
      <c r="AE47" s="2">
        <f ca="1">IFERROR(__xludf.DUMMYFUNCTION("INDEX(IMPORTRANGE(""17pNv02DXDpQT9S3w4-QeNym2QJy2BzMBqDXp-XtzJBM"", ""'APO'!BM3:BM139""),MATCH($D47,IMPORTRANGE(""17pNv02DXDpQT9S3w4-QeNym2QJy2BzMBqDXp-XtzJBM"", ""'APO'!D3:D139""),0))"),2)</f>
        <v>2</v>
      </c>
    </row>
    <row r="48" spans="1:31" ht="26">
      <c r="A48" s="151" t="s">
        <v>119</v>
      </c>
      <c r="B48" s="151" t="s">
        <v>136</v>
      </c>
      <c r="C48" s="150" t="s">
        <v>30</v>
      </c>
      <c r="D48" s="151" t="s">
        <v>143</v>
      </c>
      <c r="E48" s="151" t="s">
        <v>38</v>
      </c>
      <c r="F48" s="22" t="s">
        <v>144</v>
      </c>
      <c r="G48" s="22" t="s">
        <v>56</v>
      </c>
      <c r="H48" s="22" t="s">
        <v>57</v>
      </c>
      <c r="I48" s="65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2" t="s">
        <v>364</v>
      </c>
      <c r="P48" s="2" t="s">
        <v>132</v>
      </c>
      <c r="Q48" s="12"/>
      <c r="R48" s="12"/>
      <c r="S48" s="12">
        <f ca="1">IFERROR(__xludf.DUMMYFUNCTION("INDEX(IMPORTRANGE(""17pNv02DXDpQT9S3w4-QeNym2QJy2BzMBqDXp-XtzJBM"", ""'APO'!BG3:BG139""),MATCH($D48,IMPORTRANGE(""17pNv02DXDpQT9S3w4-QeNym2QJy2BzMBqDXp-XtzJBM"", ""'APO'!D3:D139""),0))"),0)</f>
        <v>0</v>
      </c>
      <c r="T48" s="13"/>
      <c r="U48" s="13"/>
      <c r="V48" s="13"/>
      <c r="W48" s="13"/>
      <c r="X48" s="13"/>
      <c r="Y48" s="13"/>
      <c r="Z48" s="2" t="str">
        <f ca="1">IFERROR(__xludf.DUMMYFUNCTION("INDEX(IMPORTRANGE(""17pNv02DXDpQT9S3w4-QeNym2QJy2BzMBqDXp-XtzJBM"", ""'APO'!BH3:BH139""),MATCH($D48,IMPORTRANGE(""17pNv02DXDpQT9S3w4-QeNym2QJy2BzMBqDXp-XtzJBM"", ""'APO'!D3:D139""),0))"),"")</f>
        <v/>
      </c>
      <c r="AA48" s="2">
        <f ca="1">IFERROR(__xludf.DUMMYFUNCTION("INDEX(IMPORTRANGE(""17pNv02DXDpQT9S3w4-QeNym2QJy2BzMBqDXp-XtzJBM"", ""'APO'!BI3:BI139""),MATCH($D48,IMPORTRANGE(""17pNv02DXDpQT9S3w4-QeNym2QJy2BzMBqDXp-XtzJBM"", ""'APO'!D3:D139""),0))"),0)</f>
        <v>0</v>
      </c>
      <c r="AB48" s="2">
        <f ca="1">IFERROR(__xludf.DUMMYFUNCTION("INDEX(IMPORTRANGE(""17pNv02DXDpQT9S3w4-QeNym2QJy2BzMBqDXp-XtzJBM"", ""'APO'!BJ3:BJ139""),MATCH($D48,IMPORTRANGE(""17pNv02DXDpQT9S3w4-QeNym2QJy2BzMBqDXp-XtzJBM"", ""'APO'!D3:D139""),0))"),0)</f>
        <v>0</v>
      </c>
      <c r="AC48" s="2">
        <f ca="1">IFERROR(__xludf.DUMMYFUNCTION("INDEX(IMPORTRANGE(""17pNv02DXDpQT9S3w4-QeNym2QJy2BzMBqDXp-XtzJBM"", ""'APO'!BK3:BK139""),MATCH($D48,IMPORTRANGE(""17pNv02DXDpQT9S3w4-QeNym2QJy2BzMBqDXp-XtzJBM"", ""'APO'!D3:D139""),0))"),0)</f>
        <v>0</v>
      </c>
      <c r="AD48" s="2">
        <f ca="1">IFERROR(__xludf.DUMMYFUNCTION("INDEX(IMPORTRANGE(""17pNv02DXDpQT9S3w4-QeNym2QJy2BzMBqDXp-XtzJBM"", ""'APO'!BL3:BL139""),MATCH($D48,IMPORTRANGE(""17pNv02DXDpQT9S3w4-QeNym2QJy2BzMBqDXp-XtzJBM"", ""'APO'!D3:D139""),0))"),0)</f>
        <v>0</v>
      </c>
      <c r="AE48" s="2">
        <f ca="1">IFERROR(__xludf.DUMMYFUNCTION("INDEX(IMPORTRANGE(""17pNv02DXDpQT9S3w4-QeNym2QJy2BzMBqDXp-XtzJBM"", ""'APO'!BM3:BM139""),MATCH($D48,IMPORTRANGE(""17pNv02DXDpQT9S3w4-QeNym2QJy2BzMBqDXp-XtzJBM"", ""'APO'!D3:D139""),0))"),0)</f>
        <v>0</v>
      </c>
    </row>
    <row r="49" spans="1:31" ht="26">
      <c r="A49" s="151" t="s">
        <v>119</v>
      </c>
      <c r="B49" s="151" t="s">
        <v>136</v>
      </c>
      <c r="C49" s="150" t="s">
        <v>36</v>
      </c>
      <c r="D49" s="151" t="s">
        <v>145</v>
      </c>
      <c r="E49" s="151" t="s">
        <v>38</v>
      </c>
      <c r="F49" s="22" t="s">
        <v>146</v>
      </c>
      <c r="G49" s="22" t="s">
        <v>56</v>
      </c>
      <c r="H49" s="22" t="s">
        <v>57</v>
      </c>
      <c r="I49" s="65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2" t="s">
        <v>364</v>
      </c>
      <c r="P49" s="2" t="s">
        <v>132</v>
      </c>
      <c r="Q49" s="12">
        <f t="shared" ref="Q49:R49" si="12">Q45+Q47</f>
        <v>1</v>
      </c>
      <c r="R49" s="12">
        <f t="shared" si="12"/>
        <v>1</v>
      </c>
      <c r="S49" s="12">
        <f ca="1">IFERROR(__xludf.DUMMYFUNCTION("INDEX(IMPORTRANGE(""17pNv02DXDpQT9S3w4-QeNym2QJy2BzMBqDXp-XtzJBM"", ""'APO'!BG3:BG139""),MATCH($D49,IMPORTRANGE(""17pNv02DXDpQT9S3w4-QeNym2QJy2BzMBqDXp-XtzJBM"", ""'APO'!D3:D139""),0))"),1)</f>
        <v>1</v>
      </c>
      <c r="T49" s="29">
        <v>11</v>
      </c>
      <c r="U49" s="29">
        <f>5+T49</f>
        <v>16</v>
      </c>
      <c r="V49" s="29">
        <f>U49+5</f>
        <v>21</v>
      </c>
      <c r="W49" s="29">
        <f>5+V49</f>
        <v>26</v>
      </c>
      <c r="X49" s="12">
        <f>((Y49-W49)/6)*5+W49</f>
        <v>31</v>
      </c>
      <c r="Y49" s="2">
        <v>32</v>
      </c>
      <c r="Z49" s="2">
        <f ca="1">IFERROR(__xludf.DUMMYFUNCTION("INDEX(IMPORTRANGE(""17pNv02DXDpQT9S3w4-QeNym2QJy2BzMBqDXp-XtzJBM"", ""'APO'!BH3:BH139""),MATCH($D49,IMPORTRANGE(""17pNv02DXDpQT9S3w4-QeNym2QJy2BzMBqDXp-XtzJBM"", ""'APO'!D3:D139""),0))"),2)</f>
        <v>2</v>
      </c>
      <c r="AA49" s="2">
        <f ca="1">IFERROR(__xludf.DUMMYFUNCTION("INDEX(IMPORTRANGE(""17pNv02DXDpQT9S3w4-QeNym2QJy2BzMBqDXp-XtzJBM"", ""'APO'!BI3:BI139""),MATCH($D49,IMPORTRANGE(""17pNv02DXDpQT9S3w4-QeNym2QJy2BzMBqDXp-XtzJBM"", ""'APO'!D3:D139""),0))"),6)</f>
        <v>6</v>
      </c>
      <c r="AB49" s="2">
        <f ca="1">IFERROR(__xludf.DUMMYFUNCTION("INDEX(IMPORTRANGE(""17pNv02DXDpQT9S3w4-QeNym2QJy2BzMBqDXp-XtzJBM"", ""'APO'!BJ3:BJ139""),MATCH($D49,IMPORTRANGE(""17pNv02DXDpQT9S3w4-QeNym2QJy2BzMBqDXp-XtzJBM"", ""'APO'!D3:D139""),0))"),9)</f>
        <v>9</v>
      </c>
      <c r="AC49" s="2">
        <f ca="1">IFERROR(__xludf.DUMMYFUNCTION("INDEX(IMPORTRANGE(""17pNv02DXDpQT9S3w4-QeNym2QJy2BzMBqDXp-XtzJBM"", ""'APO'!BK3:BK139""),MATCH($D49,IMPORTRANGE(""17pNv02DXDpQT9S3w4-QeNym2QJy2BzMBqDXp-XtzJBM"", ""'APO'!D3:D139""),0))"),10)</f>
        <v>10</v>
      </c>
      <c r="AD49" s="2">
        <f ca="1">IFERROR(__xludf.DUMMYFUNCTION("INDEX(IMPORTRANGE(""17pNv02DXDpQT9S3w4-QeNym2QJy2BzMBqDXp-XtzJBM"", ""'APO'!BL3:BL139""),MATCH($D49,IMPORTRANGE(""17pNv02DXDpQT9S3w4-QeNym2QJy2BzMBqDXp-XtzJBM"", ""'APO'!D3:D139""),0))"),11)</f>
        <v>11</v>
      </c>
      <c r="AE49" s="2">
        <f ca="1">IFERROR(__xludf.DUMMYFUNCTION("INDEX(IMPORTRANGE(""17pNv02DXDpQT9S3w4-QeNym2QJy2BzMBqDXp-XtzJBM"", ""'APO'!BM3:BM139""),MATCH($D49,IMPORTRANGE(""17pNv02DXDpQT9S3w4-QeNym2QJy2BzMBqDXp-XtzJBM"", ""'APO'!D3:D139""),0))"),12)</f>
        <v>12</v>
      </c>
    </row>
    <row r="50" spans="1:31">
      <c r="A50" s="149" t="s">
        <v>147</v>
      </c>
      <c r="B50" s="149" t="s">
        <v>148</v>
      </c>
      <c r="C50" s="148" t="s">
        <v>30</v>
      </c>
      <c r="D50" s="149" t="s">
        <v>149</v>
      </c>
      <c r="E50" s="149" t="s">
        <v>38</v>
      </c>
      <c r="F50" s="2"/>
      <c r="G50" s="10">
        <v>44469</v>
      </c>
      <c r="H50" s="10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9" t="s">
        <v>361</v>
      </c>
      <c r="P50" s="11">
        <v>45565</v>
      </c>
      <c r="Q50" s="12" t="s">
        <v>150</v>
      </c>
      <c r="R50" s="2" t="s">
        <v>150</v>
      </c>
      <c r="S50" s="2" t="str">
        <f ca="1">IFERROR(__xludf.DUMMYFUNCTION("INDEX(IMPORTRANGE(""17pNv02DXDpQT9S3w4-QeNym2QJy2BzMBqDXp-XtzJBM"", ""'APO'!BG3:BG139""),MATCH($D50,IMPORTRANGE(""17pNv02DXDpQT9S3w4-QeNym2QJy2BzMBqDXp-XtzJBM"", ""'APO'!D3:D139""),0))"),"No")</f>
        <v>No</v>
      </c>
      <c r="T50" s="2" t="s">
        <v>151</v>
      </c>
      <c r="U50" s="1" t="s">
        <v>151</v>
      </c>
      <c r="V50" s="1" t="s">
        <v>151</v>
      </c>
      <c r="W50" s="1" t="s">
        <v>151</v>
      </c>
      <c r="X50" s="1" t="s">
        <v>151</v>
      </c>
      <c r="Y50" s="1" t="s">
        <v>151</v>
      </c>
      <c r="Z50" s="2" t="str">
        <f ca="1">IFERROR(__xludf.DUMMYFUNCTION("INDEX(IMPORTRANGE(""17pNv02DXDpQT9S3w4-QeNym2QJy2BzMBqDXp-XtzJBM"", ""'APO'!BH3:BH139""),MATCH($D50,IMPORTRANGE(""17pNv02DXDpQT9S3w4-QeNym2QJy2BzMBqDXp-XtzJBM"", ""'APO'!D3:D139""),0))"),"No")</f>
        <v>No</v>
      </c>
      <c r="AA50" s="2" t="str">
        <f ca="1">IFERROR(__xludf.DUMMYFUNCTION("INDEX(IMPORTRANGE(""17pNv02DXDpQT9S3w4-QeNym2QJy2BzMBqDXp-XtzJBM"", ""'APO'!BI3:BI139""),MATCH($D50,IMPORTRANGE(""17pNv02DXDpQT9S3w4-QeNym2QJy2BzMBqDXp-XtzJBM"", ""'APO'!D3:D139""),0))"),"Sí")</f>
        <v>Sí</v>
      </c>
      <c r="AB50" s="2" t="str">
        <f ca="1">IFERROR(__xludf.DUMMYFUNCTION("INDEX(IMPORTRANGE(""17pNv02DXDpQT9S3w4-QeNym2QJy2BzMBqDXp-XtzJBM"", ""'APO'!BJ3:BJ139""),MATCH($D50,IMPORTRANGE(""17pNv02DXDpQT9S3w4-QeNym2QJy2BzMBqDXp-XtzJBM"", ""'APO'!D3:D139""),0))"),"Sí")</f>
        <v>Sí</v>
      </c>
      <c r="AC50" s="2" t="str">
        <f ca="1">IFERROR(__xludf.DUMMYFUNCTION("INDEX(IMPORTRANGE(""17pNv02DXDpQT9S3w4-QeNym2QJy2BzMBqDXp-XtzJBM"", ""'APO'!BK3:BK139""),MATCH($D50,IMPORTRANGE(""17pNv02DXDpQT9S3w4-QeNym2QJy2BzMBqDXp-XtzJBM"", ""'APO'!D3:D139""),0))"),"Sí")</f>
        <v>Sí</v>
      </c>
      <c r="AD50" s="2" t="str">
        <f ca="1">IFERROR(__xludf.DUMMYFUNCTION("INDEX(IMPORTRANGE(""17pNv02DXDpQT9S3w4-QeNym2QJy2BzMBqDXp-XtzJBM"", ""'APO'!BL3:BL139""),MATCH($D50,IMPORTRANGE(""17pNv02DXDpQT9S3w4-QeNym2QJy2BzMBqDXp-XtzJBM"", ""'APO'!D3:D139""),0))"),"Sí")</f>
        <v>Sí</v>
      </c>
      <c r="AE50" s="2" t="str">
        <f ca="1">IFERROR(__xludf.DUMMYFUNCTION("INDEX(IMPORTRANGE(""17pNv02DXDpQT9S3w4-QeNym2QJy2BzMBqDXp-XtzJBM"", ""'APO'!BM3:BM139""),MATCH($D50,IMPORTRANGE(""17pNv02DXDpQT9S3w4-QeNym2QJy2BzMBqDXp-XtzJBM"", ""'APO'!D3:D139""),0))"),"Sí")</f>
        <v>Sí</v>
      </c>
    </row>
    <row r="51" spans="1:31">
      <c r="A51" s="149" t="s">
        <v>147</v>
      </c>
      <c r="B51" s="149" t="s">
        <v>148</v>
      </c>
      <c r="C51" s="148" t="s">
        <v>30</v>
      </c>
      <c r="D51" s="149" t="s">
        <v>152</v>
      </c>
      <c r="E51" s="149" t="s">
        <v>38</v>
      </c>
      <c r="F51" s="2"/>
      <c r="G51" s="10">
        <v>44469</v>
      </c>
      <c r="H51" s="10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9" t="s">
        <v>361</v>
      </c>
      <c r="P51" s="11">
        <v>45565</v>
      </c>
      <c r="Q51" s="12" t="s">
        <v>153</v>
      </c>
      <c r="R51" s="2" t="s">
        <v>153</v>
      </c>
      <c r="S51" s="2" t="str">
        <f ca="1">IFERROR(__xludf.DUMMYFUNCTION("INDEX(IMPORTRANGE(""17pNv02DXDpQT9S3w4-QeNym2QJy2BzMBqDXp-XtzJBM"", ""'APO'!BG3:BG139""),MATCH($D51,IMPORTRANGE(""17pNv02DXDpQT9S3w4-QeNym2QJy2BzMBqDXp-XtzJBM"", ""'APO'!D3:D139""),0))"),"Sí")</f>
        <v>Sí</v>
      </c>
      <c r="T51" s="2" t="s">
        <v>151</v>
      </c>
      <c r="U51" s="1" t="s">
        <v>151</v>
      </c>
      <c r="V51" s="1" t="s">
        <v>151</v>
      </c>
      <c r="W51" s="1" t="s">
        <v>151</v>
      </c>
      <c r="X51" s="1" t="s">
        <v>151</v>
      </c>
      <c r="Y51" s="1" t="s">
        <v>151</v>
      </c>
      <c r="Z51" s="2" t="str">
        <f ca="1">IFERROR(__xludf.DUMMYFUNCTION("INDEX(IMPORTRANGE(""17pNv02DXDpQT9S3w4-QeNym2QJy2BzMBqDXp-XtzJBM"", ""'APO'!BH3:BH139""),MATCH($D51,IMPORTRANGE(""17pNv02DXDpQT9S3w4-QeNym2QJy2BzMBqDXp-XtzJBM"", ""'APO'!D3:D139""),0))"),"Sí")</f>
        <v>Sí</v>
      </c>
      <c r="AA51" s="2" t="str">
        <f ca="1">IFERROR(__xludf.DUMMYFUNCTION("INDEX(IMPORTRANGE(""17pNv02DXDpQT9S3w4-QeNym2QJy2BzMBqDXp-XtzJBM"", ""'APO'!BI3:BI139""),MATCH($D51,IMPORTRANGE(""17pNv02DXDpQT9S3w4-QeNym2QJy2BzMBqDXp-XtzJBM"", ""'APO'!D3:D139""),0))"),"Sí")</f>
        <v>Sí</v>
      </c>
      <c r="AB51" s="2" t="str">
        <f ca="1">IFERROR(__xludf.DUMMYFUNCTION("INDEX(IMPORTRANGE(""17pNv02DXDpQT9S3w4-QeNym2QJy2BzMBqDXp-XtzJBM"", ""'APO'!BJ3:BJ139""),MATCH($D51,IMPORTRANGE(""17pNv02DXDpQT9S3w4-QeNym2QJy2BzMBqDXp-XtzJBM"", ""'APO'!D3:D139""),0))"),"Sí")</f>
        <v>Sí</v>
      </c>
      <c r="AC51" s="2" t="str">
        <f ca="1">IFERROR(__xludf.DUMMYFUNCTION("INDEX(IMPORTRANGE(""17pNv02DXDpQT9S3w4-QeNym2QJy2BzMBqDXp-XtzJBM"", ""'APO'!BK3:BK139""),MATCH($D51,IMPORTRANGE(""17pNv02DXDpQT9S3w4-QeNym2QJy2BzMBqDXp-XtzJBM"", ""'APO'!D3:D139""),0))"),"Sí")</f>
        <v>Sí</v>
      </c>
      <c r="AD51" s="2" t="str">
        <f ca="1">IFERROR(__xludf.DUMMYFUNCTION("INDEX(IMPORTRANGE(""17pNv02DXDpQT9S3w4-QeNym2QJy2BzMBqDXp-XtzJBM"", ""'APO'!BL3:BL139""),MATCH($D51,IMPORTRANGE(""17pNv02DXDpQT9S3w4-QeNym2QJy2BzMBqDXp-XtzJBM"", ""'APO'!D3:D139""),0))"),"Sí")</f>
        <v>Sí</v>
      </c>
      <c r="AE51" s="2" t="str">
        <f ca="1">IFERROR(__xludf.DUMMYFUNCTION("INDEX(IMPORTRANGE(""17pNv02DXDpQT9S3w4-QeNym2QJy2BzMBqDXp-XtzJBM"", ""'APO'!BM3:BM139""),MATCH($D51,IMPORTRANGE(""17pNv02DXDpQT9S3w4-QeNym2QJy2BzMBqDXp-XtzJBM"", ""'APO'!D3:D139""),0))"),"Sí")</f>
        <v>Sí</v>
      </c>
    </row>
    <row r="52" spans="1:31">
      <c r="A52" s="149" t="s">
        <v>147</v>
      </c>
      <c r="B52" s="149" t="s">
        <v>148</v>
      </c>
      <c r="C52" s="148" t="s">
        <v>30</v>
      </c>
      <c r="D52" s="149" t="s">
        <v>154</v>
      </c>
      <c r="E52" s="149" t="s">
        <v>38</v>
      </c>
      <c r="F52" s="2"/>
      <c r="G52" s="10">
        <v>44469</v>
      </c>
      <c r="H52" s="10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9" t="s">
        <v>361</v>
      </c>
      <c r="P52" s="11">
        <v>45565</v>
      </c>
      <c r="Q52" s="12" t="s">
        <v>153</v>
      </c>
      <c r="R52" s="2" t="s">
        <v>153</v>
      </c>
      <c r="S52" s="2" t="str">
        <f ca="1">IFERROR(__xludf.DUMMYFUNCTION("INDEX(IMPORTRANGE(""17pNv02DXDpQT9S3w4-QeNym2QJy2BzMBqDXp-XtzJBM"", ""'APO'!BG3:BG139""),MATCH($D52,IMPORTRANGE(""17pNv02DXDpQT9S3w4-QeNym2QJy2BzMBqDXp-XtzJBM"", ""'APO'!D3:D139""),0))"),"Sí")</f>
        <v>Sí</v>
      </c>
      <c r="T52" s="2" t="s">
        <v>155</v>
      </c>
      <c r="U52" s="1" t="s">
        <v>155</v>
      </c>
      <c r="V52" s="1" t="s">
        <v>155</v>
      </c>
      <c r="W52" s="1" t="s">
        <v>155</v>
      </c>
      <c r="X52" s="1" t="s">
        <v>155</v>
      </c>
      <c r="Y52" s="2" t="s">
        <v>155</v>
      </c>
      <c r="Z52" s="2" t="str">
        <f ca="1">IFERROR(__xludf.DUMMYFUNCTION("INDEX(IMPORTRANGE(""17pNv02DXDpQT9S3w4-QeNym2QJy2BzMBqDXp-XtzJBM"", ""'APO'!BH3:BH139""),MATCH($D52,IMPORTRANGE(""17pNv02DXDpQT9S3w4-QeNym2QJy2BzMBqDXp-XtzJBM"", ""'APO'!D3:D139""),0))"),"Sí")</f>
        <v>Sí</v>
      </c>
      <c r="AA52" s="2" t="str">
        <f ca="1">IFERROR(__xludf.DUMMYFUNCTION("INDEX(IMPORTRANGE(""17pNv02DXDpQT9S3w4-QeNym2QJy2BzMBqDXp-XtzJBM"", ""'APO'!BI3:BI139""),MATCH($D52,IMPORTRANGE(""17pNv02DXDpQT9S3w4-QeNym2QJy2BzMBqDXp-XtzJBM"", ""'APO'!D3:D139""),0))"),"Sí")</f>
        <v>Sí</v>
      </c>
      <c r="AB52" s="2" t="str">
        <f ca="1">IFERROR(__xludf.DUMMYFUNCTION("INDEX(IMPORTRANGE(""17pNv02DXDpQT9S3w4-QeNym2QJy2BzMBqDXp-XtzJBM"", ""'APO'!BJ3:BJ139""),MATCH($D52,IMPORTRANGE(""17pNv02DXDpQT9S3w4-QeNym2QJy2BzMBqDXp-XtzJBM"", ""'APO'!D3:D139""),0))"),"Sí")</f>
        <v>Sí</v>
      </c>
      <c r="AC52" s="2" t="str">
        <f ca="1">IFERROR(__xludf.DUMMYFUNCTION("INDEX(IMPORTRANGE(""17pNv02DXDpQT9S3w4-QeNym2QJy2BzMBqDXp-XtzJBM"", ""'APO'!BK3:BK139""),MATCH($D52,IMPORTRANGE(""17pNv02DXDpQT9S3w4-QeNym2QJy2BzMBqDXp-XtzJBM"", ""'APO'!D3:D139""),0))"),"Sí")</f>
        <v>Sí</v>
      </c>
      <c r="AD52" s="2" t="str">
        <f ca="1">IFERROR(__xludf.DUMMYFUNCTION("INDEX(IMPORTRANGE(""17pNv02DXDpQT9S3w4-QeNym2QJy2BzMBqDXp-XtzJBM"", ""'APO'!BL3:BL139""),MATCH($D52,IMPORTRANGE(""17pNv02DXDpQT9S3w4-QeNym2QJy2BzMBqDXp-XtzJBM"", ""'APO'!D3:D139""),0))"),"Sí")</f>
        <v>Sí</v>
      </c>
      <c r="AE52" s="2" t="str">
        <f ca="1">IFERROR(__xludf.DUMMYFUNCTION("INDEX(IMPORTRANGE(""17pNv02DXDpQT9S3w4-QeNym2QJy2BzMBqDXp-XtzJBM"", ""'APO'!BM3:BM139""),MATCH($D52,IMPORTRANGE(""17pNv02DXDpQT9S3w4-QeNym2QJy2BzMBqDXp-XtzJBM"", ""'APO'!D3:D139""),0))"),"Sí")</f>
        <v>Sí</v>
      </c>
    </row>
    <row r="53" spans="1:31">
      <c r="A53" s="149" t="s">
        <v>147</v>
      </c>
      <c r="B53" s="149" t="s">
        <v>148</v>
      </c>
      <c r="C53" s="148" t="s">
        <v>36</v>
      </c>
      <c r="D53" s="149" t="s">
        <v>156</v>
      </c>
      <c r="E53" s="149" t="s">
        <v>38</v>
      </c>
      <c r="F53" s="2"/>
      <c r="G53" s="10">
        <v>44469</v>
      </c>
      <c r="H53" s="10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9" t="s">
        <v>361</v>
      </c>
      <c r="P53" s="11">
        <v>45565</v>
      </c>
      <c r="Q53" s="30">
        <f t="shared" ref="Q53:R53" si="13">COUNTIF(Q50:Q52,"Sí")*(1/3)</f>
        <v>0.66666666666666663</v>
      </c>
      <c r="R53" s="30">
        <f t="shared" si="13"/>
        <v>0.66666666666666663</v>
      </c>
      <c r="S53" s="30">
        <f ca="1">IFERROR(__xludf.DUMMYFUNCTION("INDEX(IMPORTRANGE(""17pNv02DXDpQT9S3w4-QeNym2QJy2BzMBqDXp-XtzJBM"", ""'APO'!BG3:BG139""),MATCH($D53,IMPORTRANGE(""17pNv02DXDpQT9S3w4-QeNym2QJy2BzMBqDXp-XtzJBM"", ""'APO'!D3:D139""),0))"),0.666666666666666)</f>
        <v>0.66666666666666596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2" t="str">
        <f ca="1">IFERROR(__xludf.DUMMYFUNCTION("INDEX(IMPORTRANGE(""17pNv02DXDpQT9S3w4-QeNym2QJy2BzMBqDXp-XtzJBM"", ""'APO'!BH3:BH139""),MATCH($D53,IMPORTRANGE(""17pNv02DXDpQT9S3w4-QeNym2QJy2BzMBqDXp-XtzJBM"", ""'APO'!D3:D139""),0))"),"")</f>
        <v/>
      </c>
      <c r="AA53" s="2">
        <f ca="1">IFERROR(__xludf.DUMMYFUNCTION("INDEX(IMPORTRANGE(""17pNv02DXDpQT9S3w4-QeNym2QJy2BzMBqDXp-XtzJBM"", ""'APO'!BI3:BI139""),MATCH($D53,IMPORTRANGE(""17pNv02DXDpQT9S3w4-QeNym2QJy2BzMBqDXp-XtzJBM"", ""'APO'!D3:D139""),0))"),1)</f>
        <v>1</v>
      </c>
      <c r="AB53" s="2">
        <f ca="1">IFERROR(__xludf.DUMMYFUNCTION("INDEX(IMPORTRANGE(""17pNv02DXDpQT9S3w4-QeNym2QJy2BzMBqDXp-XtzJBM"", ""'APO'!BJ3:BJ139""),MATCH($D53,IMPORTRANGE(""17pNv02DXDpQT9S3w4-QeNym2QJy2BzMBqDXp-XtzJBM"", ""'APO'!D3:D139""),0))"),1)</f>
        <v>1</v>
      </c>
      <c r="AC53" s="2">
        <f ca="1">IFERROR(__xludf.DUMMYFUNCTION("INDEX(IMPORTRANGE(""17pNv02DXDpQT9S3w4-QeNym2QJy2BzMBqDXp-XtzJBM"", ""'APO'!BK3:BK139""),MATCH($D53,IMPORTRANGE(""17pNv02DXDpQT9S3w4-QeNym2QJy2BzMBqDXp-XtzJBM"", ""'APO'!D3:D139""),0))"),1)</f>
        <v>1</v>
      </c>
      <c r="AD53" s="2">
        <f ca="1">IFERROR(__xludf.DUMMYFUNCTION("INDEX(IMPORTRANGE(""17pNv02DXDpQT9S3w4-QeNym2QJy2BzMBqDXp-XtzJBM"", ""'APO'!BL3:BL139""),MATCH($D53,IMPORTRANGE(""17pNv02DXDpQT9S3w4-QeNym2QJy2BzMBqDXp-XtzJBM"", ""'APO'!D3:D139""),0))"),1)</f>
        <v>1</v>
      </c>
      <c r="AE53" s="2">
        <f ca="1">IFERROR(__xludf.DUMMYFUNCTION("INDEX(IMPORTRANGE(""17pNv02DXDpQT9S3w4-QeNym2QJy2BzMBqDXp-XtzJBM"", ""'APO'!BM3:BM139""),MATCH($D53,IMPORTRANGE(""17pNv02DXDpQT9S3w4-QeNym2QJy2BzMBqDXp-XtzJBM"", ""'APO'!D3:D139""),0))"),1)</f>
        <v>1</v>
      </c>
    </row>
    <row r="54" spans="1:31">
      <c r="A54" s="149" t="s">
        <v>147</v>
      </c>
      <c r="B54" s="149" t="s">
        <v>148</v>
      </c>
      <c r="C54" s="148" t="s">
        <v>36</v>
      </c>
      <c r="D54" s="149" t="s">
        <v>351</v>
      </c>
      <c r="E54" s="149" t="s">
        <v>38</v>
      </c>
      <c r="F54" s="2"/>
      <c r="G54" s="10">
        <v>44469</v>
      </c>
      <c r="H54" s="10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9" t="s">
        <v>361</v>
      </c>
      <c r="P54" s="11">
        <v>45565</v>
      </c>
      <c r="Q54" s="12">
        <v>1</v>
      </c>
      <c r="R54" s="2">
        <v>1</v>
      </c>
      <c r="S54" s="2">
        <f ca="1">IFERROR(__xludf.DUMMYFUNCTION("INDEX(IMPORTRANGE(""17pNv02DXDpQT9S3w4-QeNym2QJy2BzMBqDXp-XtzJBM"", ""'APO'!BG3:BG139""),MATCH($D54,IMPORTRANGE(""17pNv02DXDpQT9S3w4-QeNym2QJy2BzMBqDXp-XtzJBM"", ""'APO'!D3:D139""),0))"),1)</f>
        <v>1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2">
        <f ca="1">IFERROR(__xludf.DUMMYFUNCTION("INDEX(IMPORTRANGE(""17pNv02DXDpQT9S3w4-QeNym2QJy2BzMBqDXp-XtzJBM"", ""'APO'!BH3:BH139""),MATCH($D54,IMPORTRANGE(""17pNv02DXDpQT9S3w4-QeNym2QJy2BzMBqDXp-XtzJBM"", ""'APO'!D3:D139""),0))"),1)</f>
        <v>1</v>
      </c>
      <c r="AA54" s="2">
        <f ca="1">IFERROR(__xludf.DUMMYFUNCTION("INDEX(IMPORTRANGE(""17pNv02DXDpQT9S3w4-QeNym2QJy2BzMBqDXp-XtzJBM"", ""'APO'!BI3:BI139""),MATCH($D54,IMPORTRANGE(""17pNv02DXDpQT9S3w4-QeNym2QJy2BzMBqDXp-XtzJBM"", ""'APO'!D3:D139""),0))"),1)</f>
        <v>1</v>
      </c>
      <c r="AB54" s="2">
        <f ca="1">IFERROR(__xludf.DUMMYFUNCTION("INDEX(IMPORTRANGE(""17pNv02DXDpQT9S3w4-QeNym2QJy2BzMBqDXp-XtzJBM"", ""'APO'!BJ3:BJ139""),MATCH($D54,IMPORTRANGE(""17pNv02DXDpQT9S3w4-QeNym2QJy2BzMBqDXp-XtzJBM"", ""'APO'!D3:D139""),0))"),1)</f>
        <v>1</v>
      </c>
      <c r="AC54" s="2">
        <f ca="1">IFERROR(__xludf.DUMMYFUNCTION("INDEX(IMPORTRANGE(""17pNv02DXDpQT9S3w4-QeNym2QJy2BzMBqDXp-XtzJBM"", ""'APO'!BK3:BK139""),MATCH($D54,IMPORTRANGE(""17pNv02DXDpQT9S3w4-QeNym2QJy2BzMBqDXp-XtzJBM"", ""'APO'!D3:D139""),0))"),1)</f>
        <v>1</v>
      </c>
      <c r="AD54" s="2">
        <f ca="1">IFERROR(__xludf.DUMMYFUNCTION("INDEX(IMPORTRANGE(""17pNv02DXDpQT9S3w4-QeNym2QJy2BzMBqDXp-XtzJBM"", ""'APO'!BL3:BL139""),MATCH($D54,IMPORTRANGE(""17pNv02DXDpQT9S3w4-QeNym2QJy2BzMBqDXp-XtzJBM"", ""'APO'!D3:D139""),0))"),1)</f>
        <v>1</v>
      </c>
      <c r="AE54" s="2">
        <f ca="1">IFERROR(__xludf.DUMMYFUNCTION("INDEX(IMPORTRANGE(""17pNv02DXDpQT9S3w4-QeNym2QJy2BzMBqDXp-XtzJBM"", ""'APO'!BM3:BM139""),MATCH($D54,IMPORTRANGE(""17pNv02DXDpQT9S3w4-QeNym2QJy2BzMBqDXp-XtzJBM"", ""'APO'!D3:D139""),0))"),1)</f>
        <v>1</v>
      </c>
    </row>
    <row r="55" spans="1:31">
      <c r="A55" s="149" t="s">
        <v>147</v>
      </c>
      <c r="B55" s="149" t="s">
        <v>148</v>
      </c>
      <c r="C55" s="148" t="s">
        <v>30</v>
      </c>
      <c r="D55" s="149" t="s">
        <v>162</v>
      </c>
      <c r="E55" s="149" t="s">
        <v>38</v>
      </c>
      <c r="F55" s="2" t="s">
        <v>163</v>
      </c>
      <c r="G55" s="10">
        <v>44469</v>
      </c>
      <c r="H55" s="10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9" t="s">
        <v>361</v>
      </c>
      <c r="P55" s="11">
        <v>45565</v>
      </c>
      <c r="Q55" s="12">
        <v>1</v>
      </c>
      <c r="R55" s="12">
        <v>1</v>
      </c>
      <c r="S55" s="12">
        <f ca="1">IFERROR(__xludf.DUMMYFUNCTION("INDEX(IMPORTRANGE(""17pNv02DXDpQT9S3w4-QeNym2QJy2BzMBqDXp-XtzJBM"", ""'APO'!BG3:BG139""),MATCH($D55,IMPORTRANGE(""17pNv02DXDpQT9S3w4-QeNym2QJy2BzMBqDXp-XtzJBM"", ""'APO'!D3:D139""),0))"),1)</f>
        <v>1</v>
      </c>
      <c r="T55" s="13"/>
      <c r="U55" s="13"/>
      <c r="V55" s="13"/>
      <c r="W55" s="13"/>
      <c r="X55" s="13"/>
      <c r="Y55" s="13"/>
      <c r="Z55" s="2">
        <f ca="1">IFERROR(__xludf.DUMMYFUNCTION("INDEX(IMPORTRANGE(""17pNv02DXDpQT9S3w4-QeNym2QJy2BzMBqDXp-XtzJBM"", ""'APO'!BH3:BH139""),MATCH($D55,IMPORTRANGE(""17pNv02DXDpQT9S3w4-QeNym2QJy2BzMBqDXp-XtzJBM"", ""'APO'!D3:D139""),0))"),2)</f>
        <v>2</v>
      </c>
      <c r="AA55" s="2">
        <f ca="1">IFERROR(__xludf.DUMMYFUNCTION("INDEX(IMPORTRANGE(""17pNv02DXDpQT9S3w4-QeNym2QJy2BzMBqDXp-XtzJBM"", ""'APO'!BI3:BI139""),MATCH($D55,IMPORTRANGE(""17pNv02DXDpQT9S3w4-QeNym2QJy2BzMBqDXp-XtzJBM"", ""'APO'!D3:D139""),0))"),2)</f>
        <v>2</v>
      </c>
      <c r="AB55" s="2">
        <f ca="1">IFERROR(__xludf.DUMMYFUNCTION("INDEX(IMPORTRANGE(""17pNv02DXDpQT9S3w4-QeNym2QJy2BzMBqDXp-XtzJBM"", ""'APO'!BJ3:BJ139""),MATCH($D55,IMPORTRANGE(""17pNv02DXDpQT9S3w4-QeNym2QJy2BzMBqDXp-XtzJBM"", ""'APO'!D3:D139""),0))"),2)</f>
        <v>2</v>
      </c>
      <c r="AC55" s="2">
        <f ca="1">IFERROR(__xludf.DUMMYFUNCTION("INDEX(IMPORTRANGE(""17pNv02DXDpQT9S3w4-QeNym2QJy2BzMBqDXp-XtzJBM"", ""'APO'!BK3:BK139""),MATCH($D55,IMPORTRANGE(""17pNv02DXDpQT9S3w4-QeNym2QJy2BzMBqDXp-XtzJBM"", ""'APO'!D3:D139""),0))"),2)</f>
        <v>2</v>
      </c>
      <c r="AD55" s="2">
        <f ca="1">IFERROR(__xludf.DUMMYFUNCTION("INDEX(IMPORTRANGE(""17pNv02DXDpQT9S3w4-QeNym2QJy2BzMBqDXp-XtzJBM"", ""'APO'!BL3:BL139""),MATCH($D55,IMPORTRANGE(""17pNv02DXDpQT9S3w4-QeNym2QJy2BzMBqDXp-XtzJBM"", ""'APO'!D3:D139""),0))"),2)</f>
        <v>2</v>
      </c>
      <c r="AE55" s="2">
        <f ca="1">IFERROR(__xludf.DUMMYFUNCTION("INDEX(IMPORTRANGE(""17pNv02DXDpQT9S3w4-QeNym2QJy2BzMBqDXp-XtzJBM"", ""'APO'!BM3:BM139""),MATCH($D55,IMPORTRANGE(""17pNv02DXDpQT9S3w4-QeNym2QJy2BzMBqDXp-XtzJBM"", ""'APO'!D3:D139""),0))"),2)</f>
        <v>2</v>
      </c>
    </row>
    <row r="56" spans="1:31">
      <c r="A56" s="149" t="s">
        <v>147</v>
      </c>
      <c r="B56" s="149" t="s">
        <v>148</v>
      </c>
      <c r="C56" s="148" t="s">
        <v>30</v>
      </c>
      <c r="D56" s="149" t="s">
        <v>164</v>
      </c>
      <c r="E56" s="149" t="s">
        <v>38</v>
      </c>
      <c r="F56" s="2" t="s">
        <v>165</v>
      </c>
      <c r="G56" s="10">
        <v>44469</v>
      </c>
      <c r="H56" s="10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9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""'APO'!BG3:BG139""),MATCH($D56,IMPORTRANGE(""17pNv02DXDpQT9S3w4-QeNym2QJy2BzMBqDXp-XtzJBM"", ""'APO'!D3:D139""),0))"),0)</f>
        <v>0</v>
      </c>
      <c r="T56" s="13"/>
      <c r="U56" s="13"/>
      <c r="V56" s="13"/>
      <c r="W56" s="13"/>
      <c r="X56" s="13"/>
      <c r="Y56" s="13"/>
      <c r="Z56" s="2">
        <f ca="1">IFERROR(__xludf.DUMMYFUNCTION("INDEX(IMPORTRANGE(""17pNv02DXDpQT9S3w4-QeNym2QJy2BzMBqDXp-XtzJBM"", ""'APO'!BH3:BH139""),MATCH($D56,IMPORTRANGE(""17pNv02DXDpQT9S3w4-QeNym2QJy2BzMBqDXp-XtzJBM"", ""'APO'!D3:D139""),0))"),1)</f>
        <v>1</v>
      </c>
      <c r="AA56" s="2">
        <f ca="1">IFERROR(__xludf.DUMMYFUNCTION("INDEX(IMPORTRANGE(""17pNv02DXDpQT9S3w4-QeNym2QJy2BzMBqDXp-XtzJBM"", ""'APO'!BI3:BI139""),MATCH($D56,IMPORTRANGE(""17pNv02DXDpQT9S3w4-QeNym2QJy2BzMBqDXp-XtzJBM"", ""'APO'!D3:D139""),0))"),0)</f>
        <v>0</v>
      </c>
      <c r="AB56" s="2">
        <f ca="1">IFERROR(__xludf.DUMMYFUNCTION("INDEX(IMPORTRANGE(""17pNv02DXDpQT9S3w4-QeNym2QJy2BzMBqDXp-XtzJBM"", ""'APO'!BJ3:BJ139""),MATCH($D56,IMPORTRANGE(""17pNv02DXDpQT9S3w4-QeNym2QJy2BzMBqDXp-XtzJBM"", ""'APO'!D3:D139""),0))"),0)</f>
        <v>0</v>
      </c>
      <c r="AC56" s="2">
        <f ca="1">IFERROR(__xludf.DUMMYFUNCTION("INDEX(IMPORTRANGE(""17pNv02DXDpQT9S3w4-QeNym2QJy2BzMBqDXp-XtzJBM"", ""'APO'!BK3:BK139""),MATCH($D56,IMPORTRANGE(""17pNv02DXDpQT9S3w4-QeNym2QJy2BzMBqDXp-XtzJBM"", ""'APO'!D3:D139""),0))"),0)</f>
        <v>0</v>
      </c>
      <c r="AD56" s="2">
        <f ca="1">IFERROR(__xludf.DUMMYFUNCTION("INDEX(IMPORTRANGE(""17pNv02DXDpQT9S3w4-QeNym2QJy2BzMBqDXp-XtzJBM"", ""'APO'!BL3:BL139""),MATCH($D56,IMPORTRANGE(""17pNv02DXDpQT9S3w4-QeNym2QJy2BzMBqDXp-XtzJBM"", ""'APO'!D3:D139""),0))"),0)</f>
        <v>0</v>
      </c>
      <c r="AE56" s="2">
        <f ca="1">IFERROR(__xludf.DUMMYFUNCTION("INDEX(IMPORTRANGE(""17pNv02DXDpQT9S3w4-QeNym2QJy2BzMBqDXp-XtzJBM"", ""'APO'!BM3:BM139""),MATCH($D56,IMPORTRANGE(""17pNv02DXDpQT9S3w4-QeNym2QJy2BzMBqDXp-XtzJBM"", ""'APO'!D3:D139""),0))"),0)</f>
        <v>0</v>
      </c>
    </row>
    <row r="57" spans="1:31">
      <c r="A57" s="149" t="s">
        <v>147</v>
      </c>
      <c r="B57" s="149" t="s">
        <v>148</v>
      </c>
      <c r="C57" s="148" t="s">
        <v>36</v>
      </c>
      <c r="D57" s="149" t="s">
        <v>166</v>
      </c>
      <c r="E57" s="149" t="s">
        <v>38</v>
      </c>
      <c r="F57" s="2" t="s">
        <v>167</v>
      </c>
      <c r="G57" s="10">
        <v>44469</v>
      </c>
      <c r="H57" s="10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9" t="s">
        <v>361</v>
      </c>
      <c r="P57" s="11">
        <v>45565</v>
      </c>
      <c r="Q57" s="14">
        <f t="shared" ref="Q57:R57" si="14">Q56/Q55</f>
        <v>0</v>
      </c>
      <c r="R57" s="14">
        <f t="shared" si="14"/>
        <v>0</v>
      </c>
      <c r="S57" s="14">
        <f ca="1">IFERROR(__xludf.DUMMYFUNCTION("INDEX(IMPORTRANGE(""17pNv02DXDpQT9S3w4-QeNym2QJy2BzMBqDXp-XtzJBM"", ""'APO'!BG3:BG139""),MATCH($D57,IMPORTRANGE(""17pNv02DXDpQT9S3w4-QeNym2QJy2BzMBqDXp-XtzJBM"", ""'APO'!D3:D139""),0))"),0)</f>
        <v>0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5">
        <f ca="1">IFERROR(__xludf.DUMMYFUNCTION("INDEX(IMPORTRANGE(""17pNv02DXDpQT9S3w4-QeNym2QJy2BzMBqDXp-XtzJBM"", ""'APO'!BH3:BH139""),MATCH($D57,IMPORTRANGE(""17pNv02DXDpQT9S3w4-QeNym2QJy2BzMBqDXp-XtzJBM"", ""'APO'!D3:D139""),0))"),0.5)</f>
        <v>0.5</v>
      </c>
      <c r="AA57" s="15">
        <f ca="1">IFERROR(__xludf.DUMMYFUNCTION("INDEX(IMPORTRANGE(""17pNv02DXDpQT9S3w4-QeNym2QJy2BzMBqDXp-XtzJBM"", ""'APO'!BI3:BI139""),MATCH($D57,IMPORTRANGE(""17pNv02DXDpQT9S3w4-QeNym2QJy2BzMBqDXp-XtzJBM"", ""'APO'!D3:D139""),0))"),0)</f>
        <v>0</v>
      </c>
      <c r="AB57" s="15">
        <f ca="1">IFERROR(__xludf.DUMMYFUNCTION("INDEX(IMPORTRANGE(""17pNv02DXDpQT9S3w4-QeNym2QJy2BzMBqDXp-XtzJBM"", ""'APO'!BJ3:BJ139""),MATCH($D57,IMPORTRANGE(""17pNv02DXDpQT9S3w4-QeNym2QJy2BzMBqDXp-XtzJBM"", ""'APO'!D3:D139""),0))"),0)</f>
        <v>0</v>
      </c>
      <c r="AC57" s="15">
        <f ca="1">IFERROR(__xludf.DUMMYFUNCTION("INDEX(IMPORTRANGE(""17pNv02DXDpQT9S3w4-QeNym2QJy2BzMBqDXp-XtzJBM"", ""'APO'!BK3:BK139""),MATCH($D57,IMPORTRANGE(""17pNv02DXDpQT9S3w4-QeNym2QJy2BzMBqDXp-XtzJBM"", ""'APO'!D3:D139""),0))"),0)</f>
        <v>0</v>
      </c>
      <c r="AD57" s="15">
        <f ca="1">IFERROR(__xludf.DUMMYFUNCTION("INDEX(IMPORTRANGE(""17pNv02DXDpQT9S3w4-QeNym2QJy2BzMBqDXp-XtzJBM"", ""'APO'!BL3:BL139""),MATCH($D57,IMPORTRANGE(""17pNv02DXDpQT9S3w4-QeNym2QJy2BzMBqDXp-XtzJBM"", ""'APO'!D3:D139""),0))"),0)</f>
        <v>0</v>
      </c>
      <c r="AE57" s="15">
        <f ca="1">IFERROR(__xludf.DUMMYFUNCTION("INDEX(IMPORTRANGE(""17pNv02DXDpQT9S3w4-QeNym2QJy2BzMBqDXp-XtzJBM"", ""'APO'!BM3:BM139""),MATCH($D57,IMPORTRANGE(""17pNv02DXDpQT9S3w4-QeNym2QJy2BzMBqDXp-XtzJBM"", ""'APO'!D3:D139""),0))"),0)</f>
        <v>0</v>
      </c>
    </row>
    <row r="58" spans="1:31">
      <c r="A58" s="149" t="s">
        <v>147</v>
      </c>
      <c r="B58" s="149" t="s">
        <v>168</v>
      </c>
      <c r="C58" s="148" t="s">
        <v>30</v>
      </c>
      <c r="D58" s="149" t="s">
        <v>169</v>
      </c>
      <c r="E58" s="149" t="s">
        <v>38</v>
      </c>
      <c r="F58" s="2" t="s">
        <v>170</v>
      </c>
      <c r="G58" s="10">
        <v>44469</v>
      </c>
      <c r="H58" s="10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9" t="s">
        <v>361</v>
      </c>
      <c r="P58" s="11">
        <v>45565</v>
      </c>
      <c r="Q58" s="12">
        <v>52390</v>
      </c>
      <c r="R58" s="12">
        <v>52390</v>
      </c>
      <c r="S58" s="12">
        <f ca="1">IFERROR(__xludf.DUMMYFUNCTION("INDEX(IMPORTRANGE(""17pNv02DXDpQT9S3w4-QeNym2QJy2BzMBqDXp-XtzJBM"", ""'APO'!BG3:BG139""),MATCH($D58,IMPORTRANGE(""17pNv02DXDpQT9S3w4-QeNym2QJy2BzMBqDXp-XtzJBM"", ""'APO'!D3:D139""),0))"),52390)</f>
        <v>52390</v>
      </c>
      <c r="T58" s="13"/>
      <c r="U58" s="13"/>
      <c r="V58" s="13"/>
      <c r="W58" s="13"/>
      <c r="X58" s="13"/>
      <c r="Y58" s="13"/>
      <c r="Z58" s="2">
        <f ca="1">IFERROR(__xludf.DUMMYFUNCTION("INDEX(IMPORTRANGE(""17pNv02DXDpQT9S3w4-QeNym2QJy2BzMBqDXp-XtzJBM"", ""'APO'!BH3:BH139""),MATCH($D58,IMPORTRANGE(""17pNv02DXDpQT9S3w4-QeNym2QJy2BzMBqDXp-XtzJBM"", ""'APO'!D3:D139""),0))"),52800)</f>
        <v>52800</v>
      </c>
      <c r="AA58" s="12">
        <f ca="1">IFERROR(__xludf.DUMMYFUNCTION("INDEX(IMPORTRANGE(""17pNv02DXDpQT9S3w4-QeNym2QJy2BzMBqDXp-XtzJBM"", ""'APO'!BI3:BI139""),MATCH($D58,IMPORTRANGE(""17pNv02DXDpQT9S3w4-QeNym2QJy2BzMBqDXp-XtzJBM"", ""'APO'!D3:D139""),0))"),53950)</f>
        <v>53950</v>
      </c>
      <c r="AB58" s="2">
        <f ca="1">IFERROR(__xludf.DUMMYFUNCTION("INDEX(IMPORTRANGE(""17pNv02DXDpQT9S3w4-QeNym2QJy2BzMBqDXp-XtzJBM"", ""'APO'!BJ3:BJ139""),MATCH($D58,IMPORTRANGE(""17pNv02DXDpQT9S3w4-QeNym2QJy2BzMBqDXp-XtzJBM"", ""'APO'!D3:D139""),0))"),54080)</f>
        <v>54080</v>
      </c>
      <c r="AC58" s="12">
        <f ca="1">IFERROR(__xludf.DUMMYFUNCTION("INDEX(IMPORTRANGE(""17pNv02DXDpQT9S3w4-QeNym2QJy2BzMBqDXp-XtzJBM"", ""'APO'!BK3:BK139""),MATCH($D58,IMPORTRANGE(""17pNv02DXDpQT9S3w4-QeNym2QJy2BzMBqDXp-XtzJBM"", ""'APO'!D3:D139""),0))"),54170)</f>
        <v>54170</v>
      </c>
      <c r="AD58" s="2">
        <f ca="1">IFERROR(__xludf.DUMMYFUNCTION("INDEX(IMPORTRANGE(""17pNv02DXDpQT9S3w4-QeNym2QJy2BzMBqDXp-XtzJBM"", ""'APO'!BL3:BL139""),MATCH($D58,IMPORTRANGE(""17pNv02DXDpQT9S3w4-QeNym2QJy2BzMBqDXp-XtzJBM"", ""'APO'!D3:D139""),0))"),54600)</f>
        <v>54600</v>
      </c>
      <c r="AE58" s="12">
        <f ca="1">IFERROR(__xludf.DUMMYFUNCTION("INDEX(IMPORTRANGE(""17pNv02DXDpQT9S3w4-QeNym2QJy2BzMBqDXp-XtzJBM"", ""'APO'!BM3:BM139""),MATCH($D58,IMPORTRANGE(""17pNv02DXDpQT9S3w4-QeNym2QJy2BzMBqDXp-XtzJBM"", ""'APO'!D3:D139""),0))"),54810)</f>
        <v>54810</v>
      </c>
    </row>
    <row r="59" spans="1:31">
      <c r="A59" s="149" t="s">
        <v>147</v>
      </c>
      <c r="B59" s="149" t="s">
        <v>168</v>
      </c>
      <c r="C59" s="148" t="s">
        <v>30</v>
      </c>
      <c r="D59" s="149" t="s">
        <v>171</v>
      </c>
      <c r="E59" s="149" t="s">
        <v>38</v>
      </c>
      <c r="F59" s="2" t="s">
        <v>172</v>
      </c>
      <c r="G59" s="10">
        <v>44469</v>
      </c>
      <c r="H59" s="10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9" t="s">
        <v>361</v>
      </c>
      <c r="P59" s="11">
        <v>45565</v>
      </c>
      <c r="Q59" s="12">
        <v>52500</v>
      </c>
      <c r="R59" s="12">
        <v>52500</v>
      </c>
      <c r="S59" s="12">
        <f ca="1">IFERROR(__xludf.DUMMYFUNCTION("INDEX(IMPORTRANGE(""17pNv02DXDpQT9S3w4-QeNym2QJy2BzMBqDXp-XtzJBM"", ""'APO'!BG3:BG139""),MATCH($D59,IMPORTRANGE(""17pNv02DXDpQT9S3w4-QeNym2QJy2BzMBqDXp-XtzJBM"", ""'APO'!D3:D139""),0))"),52500)</f>
        <v>52500</v>
      </c>
      <c r="T59" s="13"/>
      <c r="U59" s="13"/>
      <c r="V59" s="13"/>
      <c r="W59" s="13"/>
      <c r="X59" s="13"/>
      <c r="Y59" s="13"/>
      <c r="Z59" s="2">
        <f ca="1">IFERROR(__xludf.DUMMYFUNCTION("INDEX(IMPORTRANGE(""17pNv02DXDpQT9S3w4-QeNym2QJy2BzMBqDXp-XtzJBM"", ""'APO'!BH3:BH139""),MATCH($D59,IMPORTRANGE(""17pNv02DXDpQT9S3w4-QeNym2QJy2BzMBqDXp-XtzJBM"", ""'APO'!D3:D139""),0))"),53200)</f>
        <v>53200</v>
      </c>
      <c r="AA59" s="12">
        <f ca="1">IFERROR(__xludf.DUMMYFUNCTION("INDEX(IMPORTRANGE(""17pNv02DXDpQT9S3w4-QeNym2QJy2BzMBqDXp-XtzJBM"", ""'APO'!BI3:BI139""),MATCH($D59,IMPORTRANGE(""17pNv02DXDpQT9S3w4-QeNym2QJy2BzMBqDXp-XtzJBM"", ""'APO'!D3:D139""),0))"),54800)</f>
        <v>54800</v>
      </c>
      <c r="AB59" s="2">
        <f ca="1">IFERROR(__xludf.DUMMYFUNCTION("INDEX(IMPORTRANGE(""17pNv02DXDpQT9S3w4-QeNym2QJy2BzMBqDXp-XtzJBM"", ""'APO'!BJ3:BJ139""),MATCH($D59,IMPORTRANGE(""17pNv02DXDpQT9S3w4-QeNym2QJy2BzMBqDXp-XtzJBM"", ""'APO'!D3:D139""),0))"),55100)</f>
        <v>55100</v>
      </c>
      <c r="AC59" s="12">
        <f ca="1">IFERROR(__xludf.DUMMYFUNCTION("INDEX(IMPORTRANGE(""17pNv02DXDpQT9S3w4-QeNym2QJy2BzMBqDXp-XtzJBM"", ""'APO'!BK3:BK139""),MATCH($D59,IMPORTRANGE(""17pNv02DXDpQT9S3w4-QeNym2QJy2BzMBqDXp-XtzJBM"", ""'APO'!D3:D139""),0))"),55225)</f>
        <v>55225</v>
      </c>
      <c r="AD59" s="2">
        <f ca="1">IFERROR(__xludf.DUMMYFUNCTION("INDEX(IMPORTRANGE(""17pNv02DXDpQT9S3w4-QeNym2QJy2BzMBqDXp-XtzJBM"", ""'APO'!BL3:BL139""),MATCH($D59,IMPORTRANGE(""17pNv02DXDpQT9S3w4-QeNym2QJy2BzMBqDXp-XtzJBM"", ""'APO'!D3:D139""),0))"),55355)</f>
        <v>55355</v>
      </c>
      <c r="AE59" s="12">
        <f ca="1">IFERROR(__xludf.DUMMYFUNCTION("INDEX(IMPORTRANGE(""17pNv02DXDpQT9S3w4-QeNym2QJy2BzMBqDXp-XtzJBM"", ""'APO'!BM3:BM139""),MATCH($D59,IMPORTRANGE(""17pNv02DXDpQT9S3w4-QeNym2QJy2BzMBqDXp-XtzJBM"", ""'APO'!D3:D139""),0))"),55370)</f>
        <v>55370</v>
      </c>
    </row>
    <row r="60" spans="1:31">
      <c r="A60" s="149" t="s">
        <v>147</v>
      </c>
      <c r="B60" s="149" t="s">
        <v>168</v>
      </c>
      <c r="C60" s="148" t="s">
        <v>36</v>
      </c>
      <c r="D60" s="149" t="s">
        <v>173</v>
      </c>
      <c r="E60" s="149" t="s">
        <v>38</v>
      </c>
      <c r="F60" s="2" t="s">
        <v>174</v>
      </c>
      <c r="G60" s="10">
        <v>44469</v>
      </c>
      <c r="H60" s="10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9" t="s">
        <v>361</v>
      </c>
      <c r="P60" s="11">
        <v>45565</v>
      </c>
      <c r="Q60" s="15">
        <f t="shared" ref="Q60:R60" si="15">Q58/Q59</f>
        <v>0.99790476190476185</v>
      </c>
      <c r="R60" s="15">
        <f t="shared" si="15"/>
        <v>0.99790476190476185</v>
      </c>
      <c r="S60" s="15">
        <f ca="1">IFERROR(__xludf.DUMMYFUNCTION("INDEX(IMPORTRANGE(""17pNv02DXDpQT9S3w4-QeNym2QJy2BzMBqDXp-XtzJBM"", ""'APO'!BG3:BG139""),MATCH($D60,IMPORTRANGE(""17pNv02DXDpQT9S3w4-QeNym2QJy2BzMBqDXp-XtzJBM"", ""'APO'!D3:D139""),0))"),0.997904761904761)</f>
        <v>0.99790476190476096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""'APO'!BH3:BH139""),MATCH($D60,IMPORTRANGE(""17pNv02DXDpQT9S3w4-QeNym2QJy2BzMBqDXp-XtzJBM"", ""'APO'!D3:D139""),0))"),0.992481203007518)</f>
        <v>0.99248120300751796</v>
      </c>
      <c r="AA60" s="15">
        <f ca="1">IFERROR(__xludf.DUMMYFUNCTION("INDEX(IMPORTRANGE(""17pNv02DXDpQT9S3w4-QeNym2QJy2BzMBqDXp-XtzJBM"", ""'APO'!BI3:BI139""),MATCH($D60,IMPORTRANGE(""17pNv02DXDpQT9S3w4-QeNym2QJy2BzMBqDXp-XtzJBM"", ""'APO'!D3:D139""),0))"),0.98448905109489)</f>
        <v>0.98448905109489004</v>
      </c>
      <c r="AB60" s="15">
        <f ca="1">IFERROR(__xludf.DUMMYFUNCTION("INDEX(IMPORTRANGE(""17pNv02DXDpQT9S3w4-QeNym2QJy2BzMBqDXp-XtzJBM"", ""'APO'!BJ3:BJ139""),MATCH($D60,IMPORTRANGE(""17pNv02DXDpQT9S3w4-QeNym2QJy2BzMBqDXp-XtzJBM"", ""'APO'!D3:D139""),0))"),0.981488203266787)</f>
        <v>0.98148820326678698</v>
      </c>
      <c r="AC60" s="15">
        <f ca="1">IFERROR(__xludf.DUMMYFUNCTION("INDEX(IMPORTRANGE(""17pNv02DXDpQT9S3w4-QeNym2QJy2BzMBqDXp-XtzJBM"", ""'APO'!BK3:BK139""),MATCH($D60,IMPORTRANGE(""17pNv02DXDpQT9S3w4-QeNym2QJy2BzMBqDXp-XtzJBM"", ""'APO'!D3:D139""),0))"),0.980896333182435)</f>
        <v>0.98089633318243497</v>
      </c>
      <c r="AD60" s="15">
        <f ca="1">IFERROR(__xludf.DUMMYFUNCTION("INDEX(IMPORTRANGE(""17pNv02DXDpQT9S3w4-QeNym2QJy2BzMBqDXp-XtzJBM"", ""'APO'!BL3:BL139""),MATCH($D60,IMPORTRANGE(""17pNv02DXDpQT9S3w4-QeNym2QJy2BzMBqDXp-XtzJBM"", ""'APO'!D3:D139""),0))"),0.986360762352091)</f>
        <v>0.98636076235209103</v>
      </c>
      <c r="AE60" s="15">
        <f ca="1">IFERROR(__xludf.DUMMYFUNCTION("INDEX(IMPORTRANGE(""17pNv02DXDpQT9S3w4-QeNym2QJy2BzMBqDXp-XtzJBM"", ""'APO'!BM3:BM139""),MATCH($D60,IMPORTRANGE(""17pNv02DXDpQT9S3w4-QeNym2QJy2BzMBqDXp-XtzJBM"", ""'APO'!D3:D139""),0))"),0.989886219974715)</f>
        <v>0.98988621997471504</v>
      </c>
    </row>
    <row r="61" spans="1:31">
      <c r="A61" s="149" t="s">
        <v>147</v>
      </c>
      <c r="B61" s="149" t="s">
        <v>168</v>
      </c>
      <c r="C61" s="148" t="s">
        <v>30</v>
      </c>
      <c r="D61" s="148" t="s">
        <v>175</v>
      </c>
      <c r="E61" s="149" t="s">
        <v>38</v>
      </c>
      <c r="F61" s="2" t="s">
        <v>176</v>
      </c>
      <c r="G61" s="10">
        <v>44469</v>
      </c>
      <c r="H61" s="10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9" t="s">
        <v>361</v>
      </c>
      <c r="P61" s="11">
        <v>45565</v>
      </c>
      <c r="Q61" s="12">
        <v>208236</v>
      </c>
      <c r="R61" s="12">
        <v>208236</v>
      </c>
      <c r="S61" s="12">
        <f ca="1">IFERROR(__xludf.DUMMYFUNCTION("INDEX(IMPORTRANGE(""17pNv02DXDpQT9S3w4-QeNym2QJy2BzMBqDXp-XtzJBM"", ""'APO'!BG3:BG139""),MATCH($D61,IMPORTRANGE(""17pNv02DXDpQT9S3w4-QeNym2QJy2BzMBqDXp-XtzJBM"", ""'APO'!D3:D139""),0))"),208236)</f>
        <v>208236</v>
      </c>
      <c r="T61" s="13"/>
      <c r="U61" s="13"/>
      <c r="V61" s="13"/>
      <c r="W61" s="13"/>
      <c r="X61" s="13"/>
      <c r="Y61" s="13"/>
      <c r="Z61" s="2">
        <f ca="1">IFERROR(__xludf.DUMMYFUNCTION("INDEX(IMPORTRANGE(""17pNv02DXDpQT9S3w4-QeNym2QJy2BzMBqDXp-XtzJBM"", ""'APO'!BH3:BH139""),MATCH($D61,IMPORTRANGE(""17pNv02DXDpQT9S3w4-QeNym2QJy2BzMBqDXp-XtzJBM"", ""'APO'!D3:D139""),0))"),208236)</f>
        <v>208236</v>
      </c>
      <c r="AA61" s="12">
        <f ca="1">IFERROR(__xludf.DUMMYFUNCTION("INDEX(IMPORTRANGE(""17pNv02DXDpQT9S3w4-QeNym2QJy2BzMBqDXp-XtzJBM"", ""'APO'!BI3:BI139""),MATCH($D61,IMPORTRANGE(""17pNv02DXDpQT9S3w4-QeNym2QJy2BzMBqDXp-XtzJBM"", ""'APO'!D3:D139""),0))"),211206)</f>
        <v>211206</v>
      </c>
      <c r="AB61" s="2">
        <f ca="1">IFERROR(__xludf.DUMMYFUNCTION("INDEX(IMPORTRANGE(""17pNv02DXDpQT9S3w4-QeNym2QJy2BzMBqDXp-XtzJBM"", ""'APO'!BJ3:BJ139""),MATCH($D61,IMPORTRANGE(""17pNv02DXDpQT9S3w4-QeNym2QJy2BzMBqDXp-XtzJBM"", ""'APO'!D3:D139""),0))"),212648)</f>
        <v>212648</v>
      </c>
      <c r="AC61" s="12">
        <f ca="1">IFERROR(__xludf.DUMMYFUNCTION("INDEX(IMPORTRANGE(""17pNv02DXDpQT9S3w4-QeNym2QJy2BzMBqDXp-XtzJBM"", ""'APO'!BK3:BK139""),MATCH($D61,IMPORTRANGE(""17pNv02DXDpQT9S3w4-QeNym2QJy2BzMBqDXp-XtzJBM"", ""'APO'!D3:D139""),0))"),213729)</f>
        <v>213729</v>
      </c>
      <c r="AD61" s="2">
        <f ca="1">IFERROR(__xludf.DUMMYFUNCTION("INDEX(IMPORTRANGE(""17pNv02DXDpQT9S3w4-QeNym2QJy2BzMBqDXp-XtzJBM"", ""'APO'!BL3:BL139""),MATCH($D61,IMPORTRANGE(""17pNv02DXDpQT9S3w4-QeNym2QJy2BzMBqDXp-XtzJBM"", ""'APO'!D3:D139""),0))"),215031)</f>
        <v>215031</v>
      </c>
      <c r="AE61" s="12">
        <f ca="1">IFERROR(__xludf.DUMMYFUNCTION("INDEX(IMPORTRANGE(""17pNv02DXDpQT9S3w4-QeNym2QJy2BzMBqDXp-XtzJBM"", ""'APO'!BM3:BM139""),MATCH($D61,IMPORTRANGE(""17pNv02DXDpQT9S3w4-QeNym2QJy2BzMBqDXp-XtzJBM"", ""'APO'!D3:D139""),0))"),216141)</f>
        <v>216141</v>
      </c>
    </row>
    <row r="62" spans="1:31">
      <c r="A62" s="149" t="s">
        <v>147</v>
      </c>
      <c r="B62" s="149" t="s">
        <v>168</v>
      </c>
      <c r="C62" s="148" t="s">
        <v>36</v>
      </c>
      <c r="D62" s="148" t="s">
        <v>177</v>
      </c>
      <c r="E62" s="149" t="s">
        <v>38</v>
      </c>
      <c r="F62" s="2" t="s">
        <v>178</v>
      </c>
      <c r="G62" s="10">
        <v>44469</v>
      </c>
      <c r="H62" s="10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9" t="s">
        <v>361</v>
      </c>
      <c r="P62" s="11">
        <v>45565</v>
      </c>
      <c r="Q62" s="14">
        <f t="shared" ref="Q62:R62" si="16">Q61/Q37</f>
        <v>1</v>
      </c>
      <c r="R62" s="14">
        <f t="shared" si="16"/>
        <v>1</v>
      </c>
      <c r="S62" s="14">
        <f ca="1">IFERROR(__xludf.DUMMYFUNCTION("INDEX(IMPORTRANGE(""17pNv02DXDpQT9S3w4-QeNym2QJy2BzMBqDXp-XtzJBM"", ""'APO'!BG3:BG139""),MATCH($D62,IMPORTRANGE(""17pNv02DXDpQT9S3w4-QeNym2QJy2BzMBqDXp-XtzJBM"", ""'APO'!D3:D139""),0))"),1)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4">
        <f ca="1">IFERROR(__xludf.DUMMYFUNCTION("INDEX(IMPORTRANGE(""17pNv02DXDpQT9S3w4-QeNym2QJy2BzMBqDXp-XtzJBM"", ""'APO'!BH3:BH139""),MATCH($D62,IMPORTRANGE(""17pNv02DXDpQT9S3w4-QeNym2QJy2BzMBqDXp-XtzJBM"", ""'APO'!D3:D139""),0))"),1)</f>
        <v>1</v>
      </c>
      <c r="AA62" s="14">
        <f ca="1">IFERROR(__xludf.DUMMYFUNCTION("INDEX(IMPORTRANGE(""17pNv02DXDpQT9S3w4-QeNym2QJy2BzMBqDXp-XtzJBM"", ""'APO'!BI3:BI139""),MATCH($D62,IMPORTRANGE(""17pNv02DXDpQT9S3w4-QeNym2QJy2BzMBqDXp-XtzJBM"", ""'APO'!D3:D139""),0))"),1)</f>
        <v>1</v>
      </c>
      <c r="AB62" s="14">
        <f ca="1">IFERROR(__xludf.DUMMYFUNCTION("INDEX(IMPORTRANGE(""17pNv02DXDpQT9S3w4-QeNym2QJy2BzMBqDXp-XtzJBM"", ""'APO'!BJ3:BJ139""),MATCH($D62,IMPORTRANGE(""17pNv02DXDpQT9S3w4-QeNym2QJy2BzMBqDXp-XtzJBM"", ""'APO'!D3:D139""),0))"),1)</f>
        <v>1</v>
      </c>
      <c r="AC62" s="14">
        <f ca="1">IFERROR(__xludf.DUMMYFUNCTION("INDEX(IMPORTRANGE(""17pNv02DXDpQT9S3w4-QeNym2QJy2BzMBqDXp-XtzJBM"", ""'APO'!BK3:BK139""),MATCH($D62,IMPORTRANGE(""17pNv02DXDpQT9S3w4-QeNym2QJy2BzMBqDXp-XtzJBM"", ""'APO'!D3:D139""),0))"),1)</f>
        <v>1</v>
      </c>
      <c r="AD62" s="14">
        <f ca="1">IFERROR(__xludf.DUMMYFUNCTION("INDEX(IMPORTRANGE(""17pNv02DXDpQT9S3w4-QeNym2QJy2BzMBqDXp-XtzJBM"", ""'APO'!BL3:BL139""),MATCH($D62,IMPORTRANGE(""17pNv02DXDpQT9S3w4-QeNym2QJy2BzMBqDXp-XtzJBM"", ""'APO'!D3:D139""),0))"),1)</f>
        <v>1</v>
      </c>
      <c r="AE62" s="14">
        <f ca="1">IFERROR(__xludf.DUMMYFUNCTION("INDEX(IMPORTRANGE(""17pNv02DXDpQT9S3w4-QeNym2QJy2BzMBqDXp-XtzJBM"", ""'APO'!BM3:BM139""),MATCH($D62,IMPORTRANGE(""17pNv02DXDpQT9S3w4-QeNym2QJy2BzMBqDXp-XtzJBM"", ""'APO'!D3:D139""),0))"),1)</f>
        <v>1</v>
      </c>
    </row>
    <row r="63" spans="1:31">
      <c r="A63" s="149" t="s">
        <v>147</v>
      </c>
      <c r="B63" s="149" t="s">
        <v>168</v>
      </c>
      <c r="C63" s="148" t="s">
        <v>30</v>
      </c>
      <c r="D63" s="149" t="s">
        <v>179</v>
      </c>
      <c r="E63" s="149" t="s">
        <v>38</v>
      </c>
      <c r="F63" s="2" t="s">
        <v>180</v>
      </c>
      <c r="G63" s="10">
        <v>44469</v>
      </c>
      <c r="H63" s="10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9" t="s">
        <v>361</v>
      </c>
      <c r="P63" s="11">
        <v>45565</v>
      </c>
      <c r="Q63" s="12">
        <v>518511</v>
      </c>
      <c r="R63" s="12">
        <v>518511</v>
      </c>
      <c r="S63" s="12">
        <f ca="1">IFERROR(__xludf.DUMMYFUNCTION("INDEX(IMPORTRANGE(""17pNv02DXDpQT9S3w4-QeNym2QJy2BzMBqDXp-XtzJBM"", ""'APO'!BG3:BG139""),MATCH($D63,IMPORTRANGE(""17pNv02DXDpQT9S3w4-QeNym2QJy2BzMBqDXp-XtzJBM"", ""'APO'!D3:D139""),0))"),518511)</f>
        <v>518511</v>
      </c>
      <c r="T63" s="13"/>
      <c r="U63" s="13"/>
      <c r="V63" s="13"/>
      <c r="W63" s="13"/>
      <c r="X63" s="13"/>
      <c r="Y63" s="13"/>
      <c r="Z63" s="2">
        <f ca="1">IFERROR(__xludf.DUMMYFUNCTION("INDEX(IMPORTRANGE(""17pNv02DXDpQT9S3w4-QeNym2QJy2BzMBqDXp-XtzJBM"", ""'APO'!BH3:BH139""),MATCH($D63,IMPORTRANGE(""17pNv02DXDpQT9S3w4-QeNym2QJy2BzMBqDXp-XtzJBM"", ""'APO'!D3:D139""),0))"),559131)</f>
        <v>559131</v>
      </c>
      <c r="AA63" s="12">
        <f ca="1">IFERROR(__xludf.DUMMYFUNCTION("INDEX(IMPORTRANGE(""17pNv02DXDpQT9S3w4-QeNym2QJy2BzMBqDXp-XtzJBM"", ""'APO'!BI3:BI139""),MATCH($D63,IMPORTRANGE(""17pNv02DXDpQT9S3w4-QeNym2QJy2BzMBqDXp-XtzJBM"", ""'APO'!D3:D139""),0))"),620815)</f>
        <v>620815</v>
      </c>
      <c r="AB63" s="2">
        <f ca="1">IFERROR(__xludf.DUMMYFUNCTION("INDEX(IMPORTRANGE(""17pNv02DXDpQT9S3w4-QeNym2QJy2BzMBqDXp-XtzJBM"", ""'APO'!BJ3:BJ139""),MATCH($D63,IMPORTRANGE(""17pNv02DXDpQT9S3w4-QeNym2QJy2BzMBqDXp-XtzJBM"", ""'APO'!D3:D139""),0))"),679920)</f>
        <v>679920</v>
      </c>
      <c r="AC63" s="12">
        <f ca="1">IFERROR(__xludf.DUMMYFUNCTION("INDEX(IMPORTRANGE(""17pNv02DXDpQT9S3w4-QeNym2QJy2BzMBqDXp-XtzJBM"", ""'APO'!BK3:BK139""),MATCH($D63,IMPORTRANGE(""17pNv02DXDpQT9S3w4-QeNym2QJy2BzMBqDXp-XtzJBM"", ""'APO'!D3:D139""),0))"),812057)</f>
        <v>812057</v>
      </c>
      <c r="AD63" s="2">
        <f ca="1">IFERROR(__xludf.DUMMYFUNCTION("INDEX(IMPORTRANGE(""17pNv02DXDpQT9S3w4-QeNym2QJy2BzMBqDXp-XtzJBM"", ""'APO'!BL3:BL139""),MATCH($D63,IMPORTRANGE(""17pNv02DXDpQT9S3w4-QeNym2QJy2BzMBqDXp-XtzJBM"", ""'APO'!D3:D139""),0))"),870223)</f>
        <v>870223</v>
      </c>
      <c r="AE63" s="12">
        <f ca="1">IFERROR(__xludf.DUMMYFUNCTION("INDEX(IMPORTRANGE(""17pNv02DXDpQT9S3w4-QeNym2QJy2BzMBqDXp-XtzJBM"", ""'APO'!BM3:BM139""),MATCH($D63,IMPORTRANGE(""17pNv02DXDpQT9S3w4-QeNym2QJy2BzMBqDXp-XtzJBM"", ""'APO'!D3:D139""),0))"),903863.29)</f>
        <v>903863.29</v>
      </c>
    </row>
    <row r="64" spans="1:31">
      <c r="A64" s="149" t="s">
        <v>147</v>
      </c>
      <c r="B64" s="149" t="s">
        <v>168</v>
      </c>
      <c r="C64" s="148" t="s">
        <v>30</v>
      </c>
      <c r="D64" s="149" t="s">
        <v>181</v>
      </c>
      <c r="E64" s="149" t="s">
        <v>38</v>
      </c>
      <c r="F64" s="2" t="s">
        <v>182</v>
      </c>
      <c r="G64" s="10">
        <v>44469</v>
      </c>
      <c r="H64" s="10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9" t="s">
        <v>361</v>
      </c>
      <c r="P64" s="11">
        <v>45565</v>
      </c>
      <c r="Q64" s="12">
        <v>987831</v>
      </c>
      <c r="R64" s="12">
        <v>987831</v>
      </c>
      <c r="S64" s="12">
        <f ca="1">IFERROR(__xludf.DUMMYFUNCTION("INDEX(IMPORTRANGE(""17pNv02DXDpQT9S3w4-QeNym2QJy2BzMBqDXp-XtzJBM"", ""'APO'!BG3:BG139""),MATCH($D64,IMPORTRANGE(""17pNv02DXDpQT9S3w4-QeNym2QJy2BzMBqDXp-XtzJBM"", ""'APO'!D3:D139""),0))"),987831)</f>
        <v>987831</v>
      </c>
      <c r="T64" s="13"/>
      <c r="U64" s="13"/>
      <c r="V64" s="13"/>
      <c r="W64" s="13"/>
      <c r="X64" s="13"/>
      <c r="Y64" s="13"/>
      <c r="Z64" s="2">
        <f ca="1">IFERROR(__xludf.DUMMYFUNCTION("INDEX(IMPORTRANGE(""17pNv02DXDpQT9S3w4-QeNym2QJy2BzMBqDXp-XtzJBM"", ""'APO'!BH3:BH139""),MATCH($D64,IMPORTRANGE(""17pNv02DXDpQT9S3w4-QeNym2QJy2BzMBqDXp-XtzJBM"", ""'APO'!D3:D139""),0))"),987831)</f>
        <v>987831</v>
      </c>
      <c r="AA64" s="12">
        <f ca="1">IFERROR(__xludf.DUMMYFUNCTION("INDEX(IMPORTRANGE(""17pNv02DXDpQT9S3w4-QeNym2QJy2BzMBqDXp-XtzJBM"", ""'APO'!BI3:BI139""),MATCH($D64,IMPORTRANGE(""17pNv02DXDpQT9S3w4-QeNym2QJy2BzMBqDXp-XtzJBM"", ""'APO'!D3:D139""),0))"),1028451)</f>
        <v>1028451</v>
      </c>
      <c r="AB64" s="2">
        <f ca="1">IFERROR(__xludf.DUMMYFUNCTION("INDEX(IMPORTRANGE(""17pNv02DXDpQT9S3w4-QeNym2QJy2BzMBqDXp-XtzJBM"", ""'APO'!BJ3:BJ139""),MATCH($D64,IMPORTRANGE(""17pNv02DXDpQT9S3w4-QeNym2QJy2BzMBqDXp-XtzJBM"", ""'APO'!D3:D139""),0))"),1028546)</f>
        <v>1028546</v>
      </c>
      <c r="AC64" s="12">
        <f ca="1">IFERROR(__xludf.DUMMYFUNCTION("INDEX(IMPORTRANGE(""17pNv02DXDpQT9S3w4-QeNym2QJy2BzMBqDXp-XtzJBM"", ""'APO'!BK3:BK139""),MATCH($D64,IMPORTRANGE(""17pNv02DXDpQT9S3w4-QeNym2QJy2BzMBqDXp-XtzJBM"", ""'APO'!D3:D139""),0))"),1087556)</f>
        <v>1087556</v>
      </c>
      <c r="AD64" s="2">
        <f ca="1">IFERROR(__xludf.DUMMYFUNCTION("INDEX(IMPORTRANGE(""17pNv02DXDpQT9S3w4-QeNym2QJy2BzMBqDXp-XtzJBM"", ""'APO'!BL3:BL139""),MATCH($D64,IMPORTRANGE(""17pNv02DXDpQT9S3w4-QeNym2QJy2BzMBqDXp-XtzJBM"", ""'APO'!D3:D139""),0))"),1087556)</f>
        <v>1087556</v>
      </c>
      <c r="AE64" s="12">
        <f ca="1">IFERROR(__xludf.DUMMYFUNCTION("INDEX(IMPORTRANGE(""17pNv02DXDpQT9S3w4-QeNym2QJy2BzMBqDXp-XtzJBM"", ""'APO'!BM3:BM139""),MATCH($D64,IMPORTRANGE(""17pNv02DXDpQT9S3w4-QeNym2QJy2BzMBqDXp-XtzJBM"", ""'APO'!D3:D139""),0))"),1053916)</f>
        <v>1053916</v>
      </c>
    </row>
    <row r="65" spans="1:31">
      <c r="A65" s="149" t="s">
        <v>147</v>
      </c>
      <c r="B65" s="149" t="s">
        <v>168</v>
      </c>
      <c r="C65" s="148" t="s">
        <v>36</v>
      </c>
      <c r="D65" s="149" t="s">
        <v>183</v>
      </c>
      <c r="E65" s="149" t="s">
        <v>38</v>
      </c>
      <c r="F65" s="2" t="s">
        <v>184</v>
      </c>
      <c r="G65" s="10">
        <v>44469</v>
      </c>
      <c r="H65" s="10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9" t="s">
        <v>361</v>
      </c>
      <c r="P65" s="11">
        <v>45565</v>
      </c>
      <c r="Q65" s="15">
        <f t="shared" ref="Q65:R65" si="17">Q63/Q64</f>
        <v>0.52489848972141995</v>
      </c>
      <c r="R65" s="15">
        <f t="shared" si="17"/>
        <v>0.52489848972141995</v>
      </c>
      <c r="S65" s="15">
        <f ca="1">IFERROR(__xludf.DUMMYFUNCTION("INDEX(IMPORTRANGE(""17pNv02DXDpQT9S3w4-QeNym2QJy2BzMBqDXp-XtzJBM"", ""'APO'!BG3:BG139""),MATCH($D65,IMPORTRANGE(""17pNv02DXDpQT9S3w4-QeNym2QJy2BzMBqDXp-XtzJBM"", ""'APO'!D3:D139""),0))"),0.52489848972142)</f>
        <v>0.52489848972141995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""'APO'!BH3:BH139""),MATCH($D65,IMPORTRANGE(""17pNv02DXDpQT9S3w4-QeNym2QJy2BzMBqDXp-XtzJBM"", ""'APO'!D3:D139""),0))"),0.566018883796924)</f>
        <v>0.566018883796924</v>
      </c>
      <c r="AA65" s="15">
        <f ca="1">IFERROR(__xludf.DUMMYFUNCTION("INDEX(IMPORTRANGE(""17pNv02DXDpQT9S3w4-QeNym2QJy2BzMBqDXp-XtzJBM"", ""'APO'!BI3:BI139""),MATCH($D65,IMPORTRANGE(""17pNv02DXDpQT9S3w4-QeNym2QJy2BzMBqDXp-XtzJBM"", ""'APO'!D3:D139""),0))"),0.603640815167664)</f>
        <v>0.60364081516766399</v>
      </c>
      <c r="AB65" s="15">
        <f ca="1">IFERROR(__xludf.DUMMYFUNCTION("INDEX(IMPORTRANGE(""17pNv02DXDpQT9S3w4-QeNym2QJy2BzMBqDXp-XtzJBM"", ""'APO'!BJ3:BJ139""),MATCH($D65,IMPORTRANGE(""17pNv02DXDpQT9S3w4-QeNym2QJy2BzMBqDXp-XtzJBM"", ""'APO'!D3:D139""),0))"),0.661049675950322)</f>
        <v>0.66104967595032205</v>
      </c>
      <c r="AC65" s="15">
        <f ca="1">IFERROR(__xludf.DUMMYFUNCTION("INDEX(IMPORTRANGE(""17pNv02DXDpQT9S3w4-QeNym2QJy2BzMBqDXp-XtzJBM"", ""'APO'!BK3:BK139""),MATCH($D65,IMPORTRANGE(""17pNv02DXDpQT9S3w4-QeNym2QJy2BzMBqDXp-XtzJBM"", ""'APO'!D3:D139""),0))"),0.746680630698557)</f>
        <v>0.74668063069855695</v>
      </c>
      <c r="AD65" s="15">
        <f ca="1">IFERROR(__xludf.DUMMYFUNCTION("INDEX(IMPORTRANGE(""17pNv02DXDpQT9S3w4-QeNym2QJy2BzMBqDXp-XtzJBM"", ""'APO'!BL3:BL139""),MATCH($D65,IMPORTRANGE(""17pNv02DXDpQT9S3w4-QeNym2QJy2BzMBqDXp-XtzJBM"", ""'APO'!D3:D139""),0))"),0.800163853631445)</f>
        <v>0.80016385363144504</v>
      </c>
      <c r="AE65" s="15">
        <f ca="1">IFERROR(__xludf.DUMMYFUNCTION("INDEX(IMPORTRANGE(""17pNv02DXDpQT9S3w4-QeNym2QJy2BzMBqDXp-XtzJBM"", ""'APO'!BM3:BM139""),MATCH($D65,IMPORTRANGE(""17pNv02DXDpQT9S3w4-QeNym2QJy2BzMBqDXp-XtzJBM"", ""'APO'!D3:D139""),0))"),0.857623653118464)</f>
        <v>0.857623653118464</v>
      </c>
    </row>
    <row r="66" spans="1:31">
      <c r="A66" s="149" t="s">
        <v>147</v>
      </c>
      <c r="B66" s="149" t="s">
        <v>168</v>
      </c>
      <c r="C66" s="148" t="s">
        <v>30</v>
      </c>
      <c r="D66" s="149" t="s">
        <v>185</v>
      </c>
      <c r="E66" s="149" t="s">
        <v>38</v>
      </c>
      <c r="F66" s="2" t="s">
        <v>186</v>
      </c>
      <c r="G66" s="10">
        <v>44469</v>
      </c>
      <c r="H66" s="10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9" t="s">
        <v>361</v>
      </c>
      <c r="P66" s="11">
        <v>45565</v>
      </c>
      <c r="Q66" s="12">
        <v>22977</v>
      </c>
      <c r="R66" s="12">
        <v>22977</v>
      </c>
      <c r="S66" s="12">
        <f ca="1">IFERROR(__xludf.DUMMYFUNCTION("INDEX(IMPORTRANGE(""17pNv02DXDpQT9S3w4-QeNym2QJy2BzMBqDXp-XtzJBM"", ""'APO'!BG3:BG139""),MATCH($D66,IMPORTRANGE(""17pNv02DXDpQT9S3w4-QeNym2QJy2BzMBqDXp-XtzJBM"", ""'APO'!D3:D139""),0))"),22977)</f>
        <v>22977</v>
      </c>
      <c r="T66" s="13"/>
      <c r="U66" s="13"/>
      <c r="V66" s="13"/>
      <c r="W66" s="13"/>
      <c r="X66" s="13"/>
      <c r="Y66" s="13"/>
      <c r="Z66" s="2">
        <f ca="1">IFERROR(__xludf.DUMMYFUNCTION("INDEX(IMPORTRANGE(""17pNv02DXDpQT9S3w4-QeNym2QJy2BzMBqDXp-XtzJBM"", ""'APO'!BH3:BH139""),MATCH($D66,IMPORTRANGE(""17pNv02DXDpQT9S3w4-QeNym2QJy2BzMBqDXp-XtzJBM"", ""'APO'!D3:D139""),0))"),22977)</f>
        <v>22977</v>
      </c>
      <c r="AA66" s="12">
        <f ca="1">IFERROR(__xludf.DUMMYFUNCTION("INDEX(IMPORTRANGE(""17pNv02DXDpQT9S3w4-QeNym2QJy2BzMBqDXp-XtzJBM"", ""'APO'!BI3:BI139""),MATCH($D66,IMPORTRANGE(""17pNv02DXDpQT9S3w4-QeNym2QJy2BzMBqDXp-XtzJBM"", ""'APO'!D3:D139""),0))"),23377)</f>
        <v>23377</v>
      </c>
      <c r="AB66" s="2">
        <f ca="1">IFERROR(__xludf.DUMMYFUNCTION("INDEX(IMPORTRANGE(""17pNv02DXDpQT9S3w4-QeNym2QJy2BzMBqDXp-XtzJBM"", ""'APO'!BJ3:BJ139""),MATCH($D66,IMPORTRANGE(""17pNv02DXDpQT9S3w4-QeNym2QJy2BzMBqDXp-XtzJBM"", ""'APO'!D3:D139""),0))"),23504.5)</f>
        <v>23504.5</v>
      </c>
      <c r="AC66" s="12">
        <f ca="1">IFERROR(__xludf.DUMMYFUNCTION("INDEX(IMPORTRANGE(""17pNv02DXDpQT9S3w4-QeNym2QJy2BzMBqDXp-XtzJBM"", ""'APO'!BK3:BK139""),MATCH($D66,IMPORTRANGE(""17pNv02DXDpQT9S3w4-QeNym2QJy2BzMBqDXp-XtzJBM"", ""'APO'!D3:D139""),0))"),24325)</f>
        <v>24325</v>
      </c>
      <c r="AD66" s="2">
        <f ca="1">IFERROR(__xludf.DUMMYFUNCTION("INDEX(IMPORTRANGE(""17pNv02DXDpQT9S3w4-QeNym2QJy2BzMBqDXp-XtzJBM"", ""'APO'!BL3:BL139""),MATCH($D66,IMPORTRANGE(""17pNv02DXDpQT9S3w4-QeNym2QJy2BzMBqDXp-XtzJBM"", ""'APO'!D3:D139""),0))"),26712)</f>
        <v>26712</v>
      </c>
      <c r="AE66" s="12">
        <f ca="1">IFERROR(__xludf.DUMMYFUNCTION("INDEX(IMPORTRANGE(""17pNv02DXDpQT9S3w4-QeNym2QJy2BzMBqDXp-XtzJBM"", ""'APO'!BM3:BM139""),MATCH($D66,IMPORTRANGE(""17pNv02DXDpQT9S3w4-QeNym2QJy2BzMBqDXp-XtzJBM"", ""'APO'!D3:D139""),0))"),26712)</f>
        <v>26712</v>
      </c>
    </row>
    <row r="67" spans="1:31">
      <c r="A67" s="149" t="s">
        <v>147</v>
      </c>
      <c r="B67" s="149" t="s">
        <v>168</v>
      </c>
      <c r="C67" s="148" t="s">
        <v>30</v>
      </c>
      <c r="D67" s="149" t="s">
        <v>187</v>
      </c>
      <c r="E67" s="149" t="s">
        <v>38</v>
      </c>
      <c r="F67" s="2" t="s">
        <v>188</v>
      </c>
      <c r="G67" s="10">
        <v>44469</v>
      </c>
      <c r="H67" s="10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9" t="s">
        <v>361</v>
      </c>
      <c r="P67" s="11">
        <v>45565</v>
      </c>
      <c r="Q67" s="12">
        <v>32977</v>
      </c>
      <c r="R67" s="12">
        <v>32977</v>
      </c>
      <c r="S67" s="12">
        <f ca="1">IFERROR(__xludf.DUMMYFUNCTION("INDEX(IMPORTRANGE(""17pNv02DXDpQT9S3w4-QeNym2QJy2BzMBqDXp-XtzJBM"", ""'APO'!BG3:BG139""),MATCH($D67,IMPORTRANGE(""17pNv02DXDpQT9S3w4-QeNym2QJy2BzMBqDXp-XtzJBM"", ""'APO'!D3:D139""),0))"),32977)</f>
        <v>32977</v>
      </c>
      <c r="T67" s="13"/>
      <c r="U67" s="13"/>
      <c r="V67" s="13"/>
      <c r="W67" s="13"/>
      <c r="X67" s="13"/>
      <c r="Y67" s="13"/>
      <c r="Z67" s="2">
        <f ca="1">IFERROR(__xludf.DUMMYFUNCTION("INDEX(IMPORTRANGE(""17pNv02DXDpQT9S3w4-QeNym2QJy2BzMBqDXp-XtzJBM"", ""'APO'!BH3:BH139""),MATCH($D67,IMPORTRANGE(""17pNv02DXDpQT9S3w4-QeNym2QJy2BzMBqDXp-XtzJBM"", ""'APO'!D3:D139""),0))"),32977)</f>
        <v>32977</v>
      </c>
      <c r="AA67" s="12">
        <f ca="1">IFERROR(__xludf.DUMMYFUNCTION("INDEX(IMPORTRANGE(""17pNv02DXDpQT9S3w4-QeNym2QJy2BzMBqDXp-XtzJBM"", ""'APO'!BI3:BI139""),MATCH($D67,IMPORTRANGE(""17pNv02DXDpQT9S3w4-QeNym2QJy2BzMBqDXp-XtzJBM"", ""'APO'!D3:D139""),0))"),32977)</f>
        <v>32977</v>
      </c>
      <c r="AB67" s="2">
        <f ca="1">IFERROR(__xludf.DUMMYFUNCTION("INDEX(IMPORTRANGE(""17pNv02DXDpQT9S3w4-QeNym2QJy2BzMBqDXp-XtzJBM"", ""'APO'!BJ3:BJ139""),MATCH($D67,IMPORTRANGE(""17pNv02DXDpQT9S3w4-QeNym2QJy2BzMBqDXp-XtzJBM"", ""'APO'!D3:D139""),0))"),32977)</f>
        <v>32977</v>
      </c>
      <c r="AC67" s="12">
        <f ca="1">IFERROR(__xludf.DUMMYFUNCTION("INDEX(IMPORTRANGE(""17pNv02DXDpQT9S3w4-QeNym2QJy2BzMBqDXp-XtzJBM"", ""'APO'!BK3:BK139""),MATCH($D67,IMPORTRANGE(""17pNv02DXDpQT9S3w4-QeNym2QJy2BzMBqDXp-XtzJBM"", ""'APO'!D3:D139""),0))"),32977)</f>
        <v>32977</v>
      </c>
      <c r="AD67" s="2">
        <f ca="1">IFERROR(__xludf.DUMMYFUNCTION("INDEX(IMPORTRANGE(""17pNv02DXDpQT9S3w4-QeNym2QJy2BzMBqDXp-XtzJBM"", ""'APO'!BL3:BL139""),MATCH($D67,IMPORTRANGE(""17pNv02DXDpQT9S3w4-QeNym2QJy2BzMBqDXp-XtzJBM"", ""'APO'!D3:D139""),0))"),32977)</f>
        <v>32977</v>
      </c>
      <c r="AE67" s="12">
        <f ca="1">IFERROR(__xludf.DUMMYFUNCTION("INDEX(IMPORTRANGE(""17pNv02DXDpQT9S3w4-QeNym2QJy2BzMBqDXp-XtzJBM"", ""'APO'!BM3:BM139""),MATCH($D67,IMPORTRANGE(""17pNv02DXDpQT9S3w4-QeNym2QJy2BzMBqDXp-XtzJBM"", ""'APO'!D3:D139""),0))"),32977)</f>
        <v>32977</v>
      </c>
    </row>
    <row r="68" spans="1:31">
      <c r="A68" s="149" t="s">
        <v>147</v>
      </c>
      <c r="B68" s="149" t="s">
        <v>168</v>
      </c>
      <c r="C68" s="148" t="s">
        <v>36</v>
      </c>
      <c r="D68" s="149" t="s">
        <v>189</v>
      </c>
      <c r="E68" s="149" t="s">
        <v>38</v>
      </c>
      <c r="F68" s="2" t="s">
        <v>190</v>
      </c>
      <c r="G68" s="10">
        <v>44469</v>
      </c>
      <c r="H68" s="10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9" t="s">
        <v>361</v>
      </c>
      <c r="P68" s="11">
        <v>45565</v>
      </c>
      <c r="Q68" s="15">
        <f t="shared" ref="Q68:R68" si="18">Q66/Q67</f>
        <v>0.69675834672650638</v>
      </c>
      <c r="R68" s="15">
        <f t="shared" si="18"/>
        <v>0.69675834672650638</v>
      </c>
      <c r="S68" s="15">
        <f ca="1">IFERROR(__xludf.DUMMYFUNCTION("INDEX(IMPORTRANGE(""17pNv02DXDpQT9S3w4-QeNym2QJy2BzMBqDXp-XtzJBM"", ""'APO'!BG3:BG139""),MATCH($D68,IMPORTRANGE(""17pNv02DXDpQT9S3w4-QeNym2QJy2BzMBqDXp-XtzJBM"", ""'APO'!D3:D139""),0))"),0.696758346726506)</f>
        <v>0.69675834672650605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""'APO'!BH3:BH139""),MATCH($D68,IMPORTRANGE(""17pNv02DXDpQT9S3w4-QeNym2QJy2BzMBqDXp-XtzJBM"", ""'APO'!D3:D139""),0))"),0.696758346726506)</f>
        <v>0.69675834672650605</v>
      </c>
      <c r="AA68" s="15">
        <f ca="1">IFERROR(__xludf.DUMMYFUNCTION("INDEX(IMPORTRANGE(""17pNv02DXDpQT9S3w4-QeNym2QJy2BzMBqDXp-XtzJBM"", ""'APO'!BI3:BI139""),MATCH($D68,IMPORTRANGE(""17pNv02DXDpQT9S3w4-QeNym2QJy2BzMBqDXp-XtzJBM"", ""'APO'!D3:D139""),0))"),0.708888012857446)</f>
        <v>0.70888801285744596</v>
      </c>
      <c r="AB68" s="15">
        <f ca="1">IFERROR(__xludf.DUMMYFUNCTION("INDEX(IMPORTRANGE(""17pNv02DXDpQT9S3w4-QeNym2QJy2BzMBqDXp-XtzJBM"", ""'APO'!BJ3:BJ139""),MATCH($D68,IMPORTRANGE(""17pNv02DXDpQT9S3w4-QeNym2QJy2BzMBqDXp-XtzJBM"", ""'APO'!D3:D139""),0))"),0.712754343936683)</f>
        <v>0.71275434393668302</v>
      </c>
      <c r="AC68" s="15">
        <f ca="1">IFERROR(__xludf.DUMMYFUNCTION("INDEX(IMPORTRANGE(""17pNv02DXDpQT9S3w4-QeNym2QJy2BzMBqDXp-XtzJBM"", ""'APO'!BK3:BK139""),MATCH($D68,IMPORTRANGE(""17pNv02DXDpQT9S3w4-QeNym2QJy2BzMBqDXp-XtzJBM"", ""'APO'!D3:D139""),0))"),0.737635321587773)</f>
        <v>0.73763532158777301</v>
      </c>
      <c r="AD68" s="15">
        <f ca="1">IFERROR(__xludf.DUMMYFUNCTION("INDEX(IMPORTRANGE(""17pNv02DXDpQT9S3w4-QeNym2QJy2BzMBqDXp-XtzJBM"", ""'APO'!BL3:BL139""),MATCH($D68,IMPORTRANGE(""17pNv02DXDpQT9S3w4-QeNym2QJy2BzMBqDXp-XtzJBM"", ""'APO'!D3:D139""),0))"),0.810019104224156)</f>
        <v>0.81001910422415602</v>
      </c>
      <c r="AE68" s="15">
        <f ca="1">IFERROR(__xludf.DUMMYFUNCTION("INDEX(IMPORTRANGE(""17pNv02DXDpQT9S3w4-QeNym2QJy2BzMBqDXp-XtzJBM"", ""'APO'!BM3:BM139""),MATCH($D68,IMPORTRANGE(""17pNv02DXDpQT9S3w4-QeNym2QJy2BzMBqDXp-XtzJBM"", ""'APO'!D3:D139""),0))"),0.810019104224156)</f>
        <v>0.81001910422415602</v>
      </c>
    </row>
    <row r="69" spans="1:31">
      <c r="A69" s="149" t="s">
        <v>147</v>
      </c>
      <c r="B69" s="149" t="s">
        <v>168</v>
      </c>
      <c r="C69" s="148" t="s">
        <v>30</v>
      </c>
      <c r="D69" s="149" t="s">
        <v>191</v>
      </c>
      <c r="E69" s="149" t="s">
        <v>38</v>
      </c>
      <c r="F69" s="2" t="s">
        <v>192</v>
      </c>
      <c r="G69" s="22" t="s">
        <v>56</v>
      </c>
      <c r="H69" s="2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12">
        <v>0</v>
      </c>
      <c r="R69" s="24">
        <v>1.75</v>
      </c>
      <c r="S69" s="24">
        <f ca="1">IFERROR(__xludf.DUMMYFUNCTION("INDEX(IMPORTRANGE(""17pNv02DXDpQT9S3w4-QeNym2QJy2BzMBqDXp-XtzJBM"", ""'APO'!BG3:BG139""),MATCH($D69,IMPORTRANGE(""17pNv02DXDpQT9S3w4-QeNym2QJy2BzMBqDXp-XtzJBM"", ""'APO'!D3:D139""),0))"),1.75)</f>
        <v>1.75</v>
      </c>
      <c r="T69" s="1"/>
      <c r="U69" s="1"/>
      <c r="V69" s="1"/>
      <c r="W69" s="1"/>
      <c r="X69" s="1"/>
      <c r="Y69" s="1"/>
      <c r="Z69" s="2">
        <f ca="1">IFERROR(__xludf.DUMMYFUNCTION("INDEX(IMPORTRANGE(""17pNv02DXDpQT9S3w4-QeNym2QJy2BzMBqDXp-XtzJBM"", ""'APO'!BH3:BH139""),MATCH($D69,IMPORTRANGE(""17pNv02DXDpQT9S3w4-QeNym2QJy2BzMBqDXp-XtzJBM"", ""'APO'!D3:D139""),0))"),10.2099999999999)</f>
        <v>10.2099999999999</v>
      </c>
      <c r="AA69" s="2">
        <f ca="1">IFERROR(__xludf.DUMMYFUNCTION("INDEX(IMPORTRANGE(""17pNv02DXDpQT9S3w4-QeNym2QJy2BzMBqDXp-XtzJBM"", ""'APO'!BI3:BI139""),MATCH($D69,IMPORTRANGE(""17pNv02DXDpQT9S3w4-QeNym2QJy2BzMBqDXp-XtzJBM"", ""'APO'!D3:D139""),0))"),19.81)</f>
        <v>19.809999999999999</v>
      </c>
      <c r="AB69" s="2">
        <f ca="1">IFERROR(__xludf.DUMMYFUNCTION("INDEX(IMPORTRANGE(""17pNv02DXDpQT9S3w4-QeNym2QJy2BzMBqDXp-XtzJBM"", ""'APO'!BJ3:BJ139""),MATCH($D69,IMPORTRANGE(""17pNv02DXDpQT9S3w4-QeNym2QJy2BzMBqDXp-XtzJBM"", ""'APO'!D3:D139""),0))"),7.1)</f>
        <v>7.1</v>
      </c>
      <c r="AC69" s="2">
        <f ca="1">IFERROR(__xludf.DUMMYFUNCTION("INDEX(IMPORTRANGE(""17pNv02DXDpQT9S3w4-QeNym2QJy2BzMBqDXp-XtzJBM"", ""'APO'!BK3:BK139""),MATCH($D69,IMPORTRANGE(""17pNv02DXDpQT9S3w4-QeNym2QJy2BzMBqDXp-XtzJBM"", ""'APO'!D3:D139""),0))"),14.2999999999999)</f>
        <v>14.299999999999899</v>
      </c>
      <c r="AD69" s="2">
        <f ca="1">IFERROR(__xludf.DUMMYFUNCTION("INDEX(IMPORTRANGE(""17pNv02DXDpQT9S3w4-QeNym2QJy2BzMBqDXp-XtzJBM"", ""'APO'!BL3:BL139""),MATCH($D69,IMPORTRANGE(""17pNv02DXDpQT9S3w4-QeNym2QJy2BzMBqDXp-XtzJBM"", ""'APO'!D3:D139""),0))"),10)</f>
        <v>10</v>
      </c>
      <c r="AE69" s="2">
        <f ca="1">IFERROR(__xludf.DUMMYFUNCTION("INDEX(IMPORTRANGE(""17pNv02DXDpQT9S3w4-QeNym2QJy2BzMBqDXp-XtzJBM"", ""'APO'!BM3:BM139""),MATCH($D69,IMPORTRANGE(""17pNv02DXDpQT9S3w4-QeNym2QJy2BzMBqDXp-XtzJBM"", ""'APO'!D3:D139""),0))"),18.2999999999999)</f>
        <v>18.299999999999901</v>
      </c>
    </row>
    <row r="70" spans="1:31">
      <c r="A70" s="149" t="s">
        <v>147</v>
      </c>
      <c r="B70" s="149" t="s">
        <v>168</v>
      </c>
      <c r="C70" s="148" t="s">
        <v>30</v>
      </c>
      <c r="D70" s="149" t="s">
        <v>193</v>
      </c>
      <c r="E70" s="149" t="s">
        <v>38</v>
      </c>
      <c r="F70" s="2" t="s">
        <v>194</v>
      </c>
      <c r="G70" s="22" t="s">
        <v>56</v>
      </c>
      <c r="H70" s="2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12">
        <v>0</v>
      </c>
      <c r="R70" s="2">
        <v>1.4</v>
      </c>
      <c r="S70" s="2">
        <f ca="1">IFERROR(__xludf.DUMMYFUNCTION("INDEX(IMPORTRANGE(""17pNv02DXDpQT9S3w4-QeNym2QJy2BzMBqDXp-XtzJBM"", ""'APO'!BG3:BG139""),MATCH($D70,IMPORTRANGE(""17pNv02DXDpQT9S3w4-QeNym2QJy2BzMBqDXp-XtzJBM"", ""'APO'!D3:D139""),0))"),1.4)</f>
        <v>1.4</v>
      </c>
      <c r="T70" s="1"/>
      <c r="U70" s="1"/>
      <c r="V70" s="1"/>
      <c r="W70" s="1"/>
      <c r="X70" s="1"/>
      <c r="Y70" s="1"/>
      <c r="Z70" s="2">
        <f ca="1">IFERROR(__xludf.DUMMYFUNCTION("INDEX(IMPORTRANGE(""17pNv02DXDpQT9S3w4-QeNym2QJy2BzMBqDXp-XtzJBM"", ""'APO'!BH3:BH139""),MATCH($D70,IMPORTRANGE(""17pNv02DXDpQT9S3w4-QeNym2QJy2BzMBqDXp-XtzJBM"", ""'APO'!D3:D139""),0))"),8.4)</f>
        <v>8.4</v>
      </c>
      <c r="AA70" s="2">
        <f ca="1">IFERROR(__xludf.DUMMYFUNCTION("INDEX(IMPORTRANGE(""17pNv02DXDpQT9S3w4-QeNym2QJy2BzMBqDXp-XtzJBM"", ""'APO'!BI3:BI139""),MATCH($D70,IMPORTRANGE(""17pNv02DXDpQT9S3w4-QeNym2QJy2BzMBqDXp-XtzJBM"", ""'APO'!D3:D139""),0))"),8.4)</f>
        <v>8.4</v>
      </c>
      <c r="AB70" s="2">
        <f ca="1">IFERROR(__xludf.DUMMYFUNCTION("INDEX(IMPORTRANGE(""17pNv02DXDpQT9S3w4-QeNym2QJy2BzMBqDXp-XtzJBM"", ""'APO'!BJ3:BJ139""),MATCH($D70,IMPORTRANGE(""17pNv02DXDpQT9S3w4-QeNym2QJy2BzMBqDXp-XtzJBM"", ""'APO'!D3:D139""),0))"),0)</f>
        <v>0</v>
      </c>
      <c r="AC70" s="2">
        <f ca="1">IFERROR(__xludf.DUMMYFUNCTION("INDEX(IMPORTRANGE(""17pNv02DXDpQT9S3w4-QeNym2QJy2BzMBqDXp-XtzJBM"", ""'APO'!BK3:BK139""),MATCH($D70,IMPORTRANGE(""17pNv02DXDpQT9S3w4-QeNym2QJy2BzMBqDXp-XtzJBM"", ""'APO'!D3:D139""),0))"),0)</f>
        <v>0</v>
      </c>
      <c r="AD70" s="2">
        <f ca="1">IFERROR(__xludf.DUMMYFUNCTION("INDEX(IMPORTRANGE(""17pNv02DXDpQT9S3w4-QeNym2QJy2BzMBqDXp-XtzJBM"", ""'APO'!BL3:BL139""),MATCH($D70,IMPORTRANGE(""17pNv02DXDpQT9S3w4-QeNym2QJy2BzMBqDXp-XtzJBM"", ""'APO'!D3:D139""),0))"),0)</f>
        <v>0</v>
      </c>
      <c r="AE70" s="2">
        <f ca="1">IFERROR(__xludf.DUMMYFUNCTION("INDEX(IMPORTRANGE(""17pNv02DXDpQT9S3w4-QeNym2QJy2BzMBqDXp-XtzJBM"", ""'APO'!BM3:BM139""),MATCH($D70,IMPORTRANGE(""17pNv02DXDpQT9S3w4-QeNym2QJy2BzMBqDXp-XtzJBM"", ""'APO'!D3:D139""),0))"),0)</f>
        <v>0</v>
      </c>
    </row>
    <row r="71" spans="1:31">
      <c r="A71" s="149" t="s">
        <v>147</v>
      </c>
      <c r="B71" s="149" t="s">
        <v>168</v>
      </c>
      <c r="C71" s="148" t="s">
        <v>30</v>
      </c>
      <c r="D71" s="149" t="s">
        <v>195</v>
      </c>
      <c r="E71" s="149" t="s">
        <v>38</v>
      </c>
      <c r="F71" s="2" t="s">
        <v>196</v>
      </c>
      <c r="G71" s="10">
        <v>44469</v>
      </c>
      <c r="H71" s="10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9" t="s">
        <v>361</v>
      </c>
      <c r="P71" s="11">
        <v>45565</v>
      </c>
      <c r="Q71" s="12">
        <v>0</v>
      </c>
      <c r="R71" s="12">
        <v>0</v>
      </c>
      <c r="S71" s="12">
        <f ca="1">IFERROR(__xludf.DUMMYFUNCTION("INDEX(IMPORTRANGE(""17pNv02DXDpQT9S3w4-QeNym2QJy2BzMBqDXp-XtzJBM"", ""'APO'!BG3:BG139""),MATCH($D71,IMPORTRANGE(""17pNv02DXDpQT9S3w4-QeNym2QJy2BzMBqDXp-XtzJBM"", ""'APO'!D3:D139""),0))"),0)</f>
        <v>0</v>
      </c>
      <c r="T71" s="13"/>
      <c r="U71" s="13"/>
      <c r="V71" s="13"/>
      <c r="W71" s="13"/>
      <c r="X71" s="13"/>
      <c r="Y71" s="13"/>
      <c r="Z71" s="2">
        <f ca="1">IFERROR(__xludf.DUMMYFUNCTION("INDEX(IMPORTRANGE(""17pNv02DXDpQT9S3w4-QeNym2QJy2BzMBqDXp-XtzJBM"", ""'APO'!BH3:BH139""),MATCH($D71,IMPORTRANGE(""17pNv02DXDpQT9S3w4-QeNym2QJy2BzMBqDXp-XtzJBM"", ""'APO'!D3:D139""),0))"),0)</f>
        <v>0</v>
      </c>
      <c r="AA71" s="2" t="str">
        <f ca="1">IFERROR(__xludf.DUMMYFUNCTION("INDEX(IMPORTRANGE(""17pNv02DXDpQT9S3w4-QeNym2QJy2BzMBqDXp-XtzJBM"", ""'APO'!BI3:BI139""),MATCH($D71,IMPORTRANGE(""17pNv02DXDpQT9S3w4-QeNym2QJy2BzMBqDXp-XtzJBM"", ""'APO'!D3:D139""),0))"),"")</f>
        <v/>
      </c>
      <c r="AB71" s="190" t="str">
        <f ca="1">IFERROR(__xludf.DUMMYFUNCTION("INDEX(IMPORTRANGE(""17pNv02DXDpQT9S3w4-QeNym2QJy2BzMBqDXp-XtzJBM"", ""'APO'!BJ3:BJ139""),MATCH($D71,IMPORTRANGE(""17pNv02DXDpQT9S3w4-QeNym2QJy2BzMBqDXp-XtzJBM"", ""'APO'!D3:D139""),0))"),"http://apodaca.gob.mx/dwfiles/_NuevaTransparencia_/informacion_interes/Alcalde%20Como%20Vamos/Servicios%20Publicos/PROGRAMA%20DE%20MANTENIMIENTO%20PREVENTIVO%20DRENAJES%20PLUVIALES%20DE%20APODACA%20NL.pdf")</f>
        <v>http://apodaca.gob.mx/dwfiles/_NuevaTransparencia_/informacion_interes/Alcalde%20Como%20Vamos/Servicios%20Publicos/PROGRAMA%20DE%20MANTENIMIENTO%20PREVENTIVO%20DRENAJES%20PLUVIALES%20DE%20APODACA%20NL.pdf</v>
      </c>
      <c r="AC71" s="2" t="str">
        <f ca="1">IFERROR(__xludf.DUMMYFUNCTION("INDEX(IMPORTRANGE(""17pNv02DXDpQT9S3w4-QeNym2QJy2BzMBqDXp-XtzJBM"", ""'APO'!BK3:BK139""),MATCH($D71,IMPORTRANGE(""17pNv02DXDpQT9S3w4-QeNym2QJy2BzMBqDXp-XtzJBM"", ""'APO'!D3:D139""),0))"),"")</f>
        <v/>
      </c>
      <c r="AD71" s="190" t="str">
        <f ca="1">IFERROR(__xludf.DUMMYFUNCTION("INDEX(IMPORTRANGE(""17pNv02DXDpQT9S3w4-QeNym2QJy2BzMBqDXp-XtzJBM"", ""'APO'!BL3:BL139""),MATCH($D71,IMPORTRANGE(""17pNv02DXDpQT9S3w4-QeNym2QJy2BzMBqDXp-XtzJBM"", ""'APO'!D3:D139""),0))"),"https://apodaca.gob.mx/dwfiles/_NuevaTransparencia_/informacion_interes/Alcalde%20Como%20Vamos/Servicios%20Publicos/PROGRAMA%20DE%20MANTENIMIENTO%20PREVENTIVO%20DRENAJES%20PLUVIALES%20DE%20APODACA%20NL.pdf					")</f>
        <v xml:space="preserve">https://apodaca.gob.mx/dwfiles/_NuevaTransparencia_/informacion_interes/Alcalde%20Como%20Vamos/Servicios%20Publicos/PROGRAMA%20DE%20MANTENIMIENTO%20PREVENTIVO%20DRENAJES%20PLUVIALES%20DE%20APODACA%20NL.pdf					</v>
      </c>
      <c r="AE71" s="190" t="str">
        <f ca="1">IFERROR(__xludf.DUMMYFUNCTION("INDEX(IMPORTRANGE(""17pNv02DXDpQT9S3w4-QeNym2QJy2BzMBqDXp-XtzJBM"", ""'APO'!BM3:BM139""),MATCH($D71,IMPORTRANGE(""17pNv02DXDpQT9S3w4-QeNym2QJy2BzMBqDXp-XtzJBM"", ""'APO'!D3:D139""),0))"),"https://apodaca.gob.mx/dwfiles/_NuevaTransparencia_/informacion_interes/Alcalde%20Como%20Vamos/Servicios%20Publicos/PROGRAMA%20DE%20MANTENIMIENTO%20PREVENTIVO%20DRENAJES%20PLUVIALES%20DE%20APODACA%20NL.pdf				")</f>
        <v xml:space="preserve">https://apodaca.gob.mx/dwfiles/_NuevaTransparencia_/informacion_interes/Alcalde%20Como%20Vamos/Servicios%20Publicos/PROGRAMA%20DE%20MANTENIMIENTO%20PREVENTIVO%20DRENAJES%20PLUVIALES%20DE%20APODACA%20NL.pdf				</v>
      </c>
    </row>
    <row r="72" spans="1:31">
      <c r="A72" s="149" t="s">
        <v>147</v>
      </c>
      <c r="B72" s="149" t="s">
        <v>168</v>
      </c>
      <c r="C72" s="148" t="s">
        <v>36</v>
      </c>
      <c r="D72" s="149" t="s">
        <v>197</v>
      </c>
      <c r="E72" s="149" t="s">
        <v>38</v>
      </c>
      <c r="F72" s="2" t="s">
        <v>198</v>
      </c>
      <c r="G72" s="22" t="s">
        <v>56</v>
      </c>
      <c r="H72" s="2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12">
        <v>0</v>
      </c>
      <c r="R72" s="23">
        <v>3.15</v>
      </c>
      <c r="S72" s="23">
        <f ca="1">IFERROR(__xludf.DUMMYFUNCTION("INDEX(IMPORTRANGE(""17pNv02DXDpQT9S3w4-QeNym2QJy2BzMBqDXp-XtzJBM"", ""'APO'!BG3:BG139""),MATCH($D72,IMPORTRANGE(""17pNv02DXDpQT9S3w4-QeNym2QJy2BzMBqDXp-XtzJBM"", ""'APO'!D3:D139""),0))"),3.15)</f>
        <v>3.15</v>
      </c>
      <c r="T72" s="4">
        <f>57/3</f>
        <v>19</v>
      </c>
      <c r="U72" s="4">
        <f>V72/2</f>
        <v>9.5</v>
      </c>
      <c r="V72" s="4">
        <f>57/3</f>
        <v>19</v>
      </c>
      <c r="W72" s="4">
        <f>U72</f>
        <v>9.5</v>
      </c>
      <c r="X72" s="217">
        <f>9.5/6*5+W72</f>
        <v>17.416666666666664</v>
      </c>
      <c r="Y72" s="4">
        <v>57</v>
      </c>
      <c r="Z72" s="2">
        <f ca="1">IFERROR(__xludf.DUMMYFUNCTION("INDEX(IMPORTRANGE(""17pNv02DXDpQT9S3w4-QeNym2QJy2BzMBqDXp-XtzJBM"", ""'APO'!BH3:BH139""),MATCH($D72,IMPORTRANGE(""17pNv02DXDpQT9S3w4-QeNym2QJy2BzMBqDXp-XtzJBM"", ""'APO'!D3:D139""),0))"),18.61)</f>
        <v>18.61</v>
      </c>
      <c r="AA72" s="2">
        <f ca="1">IFERROR(__xludf.DUMMYFUNCTION("INDEX(IMPORTRANGE(""17pNv02DXDpQT9S3w4-QeNym2QJy2BzMBqDXp-XtzJBM"", ""'APO'!BI3:BI139""),MATCH($D72,IMPORTRANGE(""17pNv02DXDpQT9S3w4-QeNym2QJy2BzMBqDXp-XtzJBM"", ""'APO'!D3:D139""),0))"),28.21)</f>
        <v>28.21</v>
      </c>
      <c r="AB72" s="2">
        <f ca="1">IFERROR(__xludf.DUMMYFUNCTION("INDEX(IMPORTRANGE(""17pNv02DXDpQT9S3w4-QeNym2QJy2BzMBqDXp-XtzJBM"", ""'APO'!BJ3:BJ139""),MATCH($D72,IMPORTRANGE(""17pNv02DXDpQT9S3w4-QeNym2QJy2BzMBqDXp-XtzJBM"", ""'APO'!D3:D139""),0))"),7.1)</f>
        <v>7.1</v>
      </c>
      <c r="AC72" s="2">
        <f ca="1">IFERROR(__xludf.DUMMYFUNCTION("INDEX(IMPORTRANGE(""17pNv02DXDpQT9S3w4-QeNym2QJy2BzMBqDXp-XtzJBM"", ""'APO'!BK3:BK139""),MATCH($D72,IMPORTRANGE(""17pNv02DXDpQT9S3w4-QeNym2QJy2BzMBqDXp-XtzJBM"", ""'APO'!D3:D139""),0))"),14.2999999999999)</f>
        <v>14.299999999999899</v>
      </c>
      <c r="AD72" s="2">
        <f ca="1">IFERROR(__xludf.DUMMYFUNCTION("INDEX(IMPORTRANGE(""17pNv02DXDpQT9S3w4-QeNym2QJy2BzMBqDXp-XtzJBM"", ""'APO'!BL3:BL139""),MATCH($D72,IMPORTRANGE(""17pNv02DXDpQT9S3w4-QeNym2QJy2BzMBqDXp-XtzJBM"", ""'APO'!D3:D139""),0))"),10)</f>
        <v>10</v>
      </c>
      <c r="AE72" s="2">
        <f ca="1">IFERROR(__xludf.DUMMYFUNCTION("INDEX(IMPORTRANGE(""17pNv02DXDpQT9S3w4-QeNym2QJy2BzMBqDXp-XtzJBM"", ""'APO'!BM3:BM139""),MATCH($D72,IMPORTRANGE(""17pNv02DXDpQT9S3w4-QeNym2QJy2BzMBqDXp-XtzJBM"", ""'APO'!D3:D139""),0))"),18.2999999999999)</f>
        <v>18.299999999999901</v>
      </c>
    </row>
    <row r="73" spans="1:31">
      <c r="A73" s="149" t="s">
        <v>199</v>
      </c>
      <c r="B73" s="149" t="s">
        <v>200</v>
      </c>
      <c r="C73" s="148" t="s">
        <v>36</v>
      </c>
      <c r="D73" s="149" t="s">
        <v>201</v>
      </c>
      <c r="E73" s="149" t="s">
        <v>38</v>
      </c>
      <c r="F73" s="2" t="s">
        <v>202</v>
      </c>
      <c r="G73" s="10">
        <v>44469</v>
      </c>
      <c r="H73" s="10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9" t="s">
        <v>361</v>
      </c>
      <c r="P73" s="11">
        <v>45565</v>
      </c>
      <c r="Q73" s="12">
        <v>6.0339999999999998</v>
      </c>
      <c r="R73" s="12">
        <v>6.0339999999999998</v>
      </c>
      <c r="S73" s="12">
        <f ca="1">IFERROR(__xludf.DUMMYFUNCTION("INDEX(IMPORTRANGE(""17pNv02DXDpQT9S3w4-QeNym2QJy2BzMBqDXp-XtzJBM"", ""'APO'!BG3:BG139""),MATCH($D73,IMPORTRANGE(""17pNv02DXDpQT9S3w4-QeNym2QJy2BzMBqDXp-XtzJBM"", ""'APO'!D3:D139""),0))"),0)</f>
        <v>0</v>
      </c>
      <c r="T73" s="23">
        <f>+R73+2/5</f>
        <v>6.4340000000000002</v>
      </c>
      <c r="U73" s="23">
        <f t="shared" ref="U73:W73" si="19">+T73+2/5</f>
        <v>6.8340000000000005</v>
      </c>
      <c r="V73" s="23">
        <f t="shared" si="19"/>
        <v>7.2340000000000009</v>
      </c>
      <c r="W73" s="23">
        <f t="shared" si="19"/>
        <v>7.6340000000000012</v>
      </c>
      <c r="X73" s="23">
        <v>1.87</v>
      </c>
      <c r="Y73" s="23">
        <v>8</v>
      </c>
      <c r="Z73" s="2">
        <f ca="1">IFERROR(__xludf.DUMMYFUNCTION("INDEX(IMPORTRANGE(""17pNv02DXDpQT9S3w4-QeNym2QJy2BzMBqDXp-XtzJBM"", ""'APO'!BH3:BH139""),MATCH($D73,IMPORTRANGE(""17pNv02DXDpQT9S3w4-QeNym2QJy2BzMBqDXp-XtzJBM"", ""'APO'!D3:D139""),0))"),6.034)</f>
        <v>6.0339999999999998</v>
      </c>
      <c r="AA73" s="2">
        <f ca="1">IFERROR(__xludf.DUMMYFUNCTION("INDEX(IMPORTRANGE(""17pNv02DXDpQT9S3w4-QeNym2QJy2BzMBqDXp-XtzJBM"", ""'APO'!BI3:BI139""),MATCH($D73,IMPORTRANGE(""17pNv02DXDpQT9S3w4-QeNym2QJy2BzMBqDXp-XtzJBM"", ""'APO'!D3:D139""),0))"),9.53)</f>
        <v>9.5299999999999994</v>
      </c>
      <c r="AB73" s="2">
        <f ca="1">IFERROR(__xludf.DUMMYFUNCTION("INDEX(IMPORTRANGE(""17pNv02DXDpQT9S3w4-QeNym2QJy2BzMBqDXp-XtzJBM"", ""'APO'!BJ3:BJ139""),MATCH($D73,IMPORTRANGE(""17pNv02DXDpQT9S3w4-QeNym2QJy2BzMBqDXp-XtzJBM"", ""'APO'!D3:D139""),0))"),9.5)</f>
        <v>9.5</v>
      </c>
      <c r="AC73" s="2">
        <f ca="1">IFERROR(__xludf.DUMMYFUNCTION("INDEX(IMPORTRANGE(""17pNv02DXDpQT9S3w4-QeNym2QJy2BzMBqDXp-XtzJBM"", ""'APO'!BK3:BK139""),MATCH($D73,IMPORTRANGE(""17pNv02DXDpQT9S3w4-QeNym2QJy2BzMBqDXp-XtzJBM"", ""'APO'!D3:D139""),0))"),0)</f>
        <v>0</v>
      </c>
      <c r="AD73" s="2">
        <f ca="1">IFERROR(__xludf.DUMMYFUNCTION("INDEX(IMPORTRANGE(""17pNv02DXDpQT9S3w4-QeNym2QJy2BzMBqDXp-XtzJBM"", ""'APO'!BL3:BL139""),MATCH($D73,IMPORTRANGE(""17pNv02DXDpQT9S3w4-QeNym2QJy2BzMBqDXp-XtzJBM"", ""'APO'!D3:D139""),0))"),2.6)</f>
        <v>2.6</v>
      </c>
      <c r="AE73" s="2">
        <f ca="1">IFERROR(__xludf.DUMMYFUNCTION("INDEX(IMPORTRANGE(""17pNv02DXDpQT9S3w4-QeNym2QJy2BzMBqDXp-XtzJBM"", ""'APO'!BM3:BM139""),MATCH($D73,IMPORTRANGE(""17pNv02DXDpQT9S3w4-QeNym2QJy2BzMBqDXp-XtzJBM"", ""'APO'!D3:D139""),0))"),2.6)</f>
        <v>2.6</v>
      </c>
    </row>
    <row r="74" spans="1:31">
      <c r="A74" s="149" t="s">
        <v>199</v>
      </c>
      <c r="B74" s="149" t="s">
        <v>200</v>
      </c>
      <c r="C74" s="148" t="s">
        <v>30</v>
      </c>
      <c r="D74" s="149" t="s">
        <v>203</v>
      </c>
      <c r="E74" s="149" t="s">
        <v>38</v>
      </c>
      <c r="F74" s="2" t="s">
        <v>204</v>
      </c>
      <c r="G74" s="22" t="s">
        <v>56</v>
      </c>
      <c r="H74" s="2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13"/>
      <c r="R74" s="13"/>
      <c r="S74" s="1" t="str">
        <f ca="1">IFERROR(__xludf.DUMMYFUNCTION("INDEX(IMPORTRANGE(""17pNv02DXDpQT9S3w4-QeNym2QJy2BzMBqDXp-XtzJBM"", ""'APO'!BG3:BG139""),MATCH($D74,IMPORTRANGE(""17pNv02DXDpQT9S3w4-QeNym2QJy2BzMBqDXp-XtzJBM"", ""'APO'!D3:D139""),0))"),"")</f>
        <v/>
      </c>
      <c r="T74" s="1"/>
      <c r="U74" s="1"/>
      <c r="V74" s="1"/>
      <c r="W74" s="1"/>
      <c r="X74" s="1"/>
      <c r="Y74" s="191"/>
      <c r="Z74" s="2">
        <f ca="1">IFERROR(__xludf.DUMMYFUNCTION("INDEX(IMPORTRANGE(""17pNv02DXDpQT9S3w4-QeNym2QJy2BzMBqDXp-XtzJBM"", ""'APO'!BH3:BH139""),MATCH($D74,IMPORTRANGE(""17pNv02DXDpQT9S3w4-QeNym2QJy2BzMBqDXp-XtzJBM"", ""'APO'!D3:D139""),0))"),10081)</f>
        <v>10081</v>
      </c>
      <c r="AA74" s="12">
        <f ca="1">IFERROR(__xludf.DUMMYFUNCTION("INDEX(IMPORTRANGE(""17pNv02DXDpQT9S3w4-QeNym2QJy2BzMBqDXp-XtzJBM"", ""'APO'!BI3:BI139""),MATCH($D74,IMPORTRANGE(""17pNv02DXDpQT9S3w4-QeNym2QJy2BzMBqDXp-XtzJBM"", ""'APO'!D3:D139""),0))"),12599)</f>
        <v>12599</v>
      </c>
      <c r="AB74" s="2">
        <f ca="1">IFERROR(__xludf.DUMMYFUNCTION("INDEX(IMPORTRANGE(""17pNv02DXDpQT9S3w4-QeNym2QJy2BzMBqDXp-XtzJBM"", ""'APO'!BJ3:BJ139""),MATCH($D74,IMPORTRANGE(""17pNv02DXDpQT9S3w4-QeNym2QJy2BzMBqDXp-XtzJBM"", ""'APO'!D3:D139""),0))"),2400)</f>
        <v>2400</v>
      </c>
      <c r="AC74" s="12">
        <f ca="1">IFERROR(__xludf.DUMMYFUNCTION("INDEX(IMPORTRANGE(""17pNv02DXDpQT9S3w4-QeNym2QJy2BzMBqDXp-XtzJBM"", ""'APO'!BK3:BK139""),MATCH($D74,IMPORTRANGE(""17pNv02DXDpQT9S3w4-QeNym2QJy2BzMBqDXp-XtzJBM"", ""'APO'!D3:D139""),0))"),2400)</f>
        <v>2400</v>
      </c>
      <c r="AD74" s="2">
        <f ca="1">IFERROR(__xludf.DUMMYFUNCTION("INDEX(IMPORTRANGE(""17pNv02DXDpQT9S3w4-QeNym2QJy2BzMBqDXp-XtzJBM"", ""'APO'!BL3:BL139""),MATCH($D74,IMPORTRANGE(""17pNv02DXDpQT9S3w4-QeNym2QJy2BzMBqDXp-XtzJBM"", ""'APO'!D3:D139""),0))"),438.15)</f>
        <v>438.15</v>
      </c>
      <c r="AE74" s="12">
        <f ca="1">IFERROR(__xludf.DUMMYFUNCTION("INDEX(IMPORTRANGE(""17pNv02DXDpQT9S3w4-QeNym2QJy2BzMBqDXp-XtzJBM"", ""'APO'!BM3:BM139""),MATCH($D74,IMPORTRANGE(""17pNv02DXDpQT9S3w4-QeNym2QJy2BzMBqDXp-XtzJBM"", ""'APO'!D3:D139""),0))"),438.15)</f>
        <v>438.15</v>
      </c>
    </row>
    <row r="75" spans="1:31">
      <c r="A75" s="149" t="s">
        <v>199</v>
      </c>
      <c r="B75" s="149" t="s">
        <v>200</v>
      </c>
      <c r="C75" s="148" t="s">
        <v>30</v>
      </c>
      <c r="D75" s="149" t="s">
        <v>205</v>
      </c>
      <c r="E75" s="149" t="s">
        <v>38</v>
      </c>
      <c r="F75" s="9" t="s">
        <v>206</v>
      </c>
      <c r="G75" s="22" t="s">
        <v>56</v>
      </c>
      <c r="H75" s="2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13"/>
      <c r="R75" s="13"/>
      <c r="S75" s="1" t="str">
        <f ca="1">IFERROR(__xludf.DUMMYFUNCTION("INDEX(IMPORTRANGE(""17pNv02DXDpQT9S3w4-QeNym2QJy2BzMBqDXp-XtzJBM"", ""'APO'!BG3:BG139""),MATCH($D75,IMPORTRANGE(""17pNv02DXDpQT9S3w4-QeNym2QJy2BzMBqDXp-XtzJBM"", ""'APO'!D3:D139""),0))"),"")</f>
        <v/>
      </c>
      <c r="T75" s="1"/>
      <c r="U75" s="1"/>
      <c r="V75" s="1"/>
      <c r="W75" s="1"/>
      <c r="X75" s="1"/>
      <c r="Y75" s="1"/>
      <c r="Z75" s="2">
        <f ca="1">IFERROR(__xludf.DUMMYFUNCTION("INDEX(IMPORTRANGE(""17pNv02DXDpQT9S3w4-QeNym2QJy2BzMBqDXp-XtzJBM"", ""'APO'!BH3:BH139""),MATCH($D75,IMPORTRANGE(""17pNv02DXDpQT9S3w4-QeNym2QJy2BzMBqDXp-XtzJBM"", ""'APO'!D3:D139""),0))"),0)</f>
        <v>0</v>
      </c>
      <c r="AA75" s="2">
        <f ca="1">IFERROR(__xludf.DUMMYFUNCTION("INDEX(IMPORTRANGE(""17pNv02DXDpQT9S3w4-QeNym2QJy2BzMBqDXp-XtzJBM"", ""'APO'!BI3:BI139""),MATCH($D75,IMPORTRANGE(""17pNv02DXDpQT9S3w4-QeNym2QJy2BzMBqDXp-XtzJBM"", ""'APO'!D3:D139""),0))"),0)</f>
        <v>0</v>
      </c>
      <c r="AB75" s="2">
        <f ca="1">IFERROR(__xludf.DUMMYFUNCTION("INDEX(IMPORTRANGE(""17pNv02DXDpQT9S3w4-QeNym2QJy2BzMBqDXp-XtzJBM"", ""'APO'!BJ3:BJ139""),MATCH($D75,IMPORTRANGE(""17pNv02DXDpQT9S3w4-QeNym2QJy2BzMBqDXp-XtzJBM"", ""'APO'!D3:D139""),0))"),0)</f>
        <v>0</v>
      </c>
      <c r="AC75" s="2">
        <f ca="1">IFERROR(__xludf.DUMMYFUNCTION("INDEX(IMPORTRANGE(""17pNv02DXDpQT9S3w4-QeNym2QJy2BzMBqDXp-XtzJBM"", ""'APO'!BK3:BK139""),MATCH($D75,IMPORTRANGE(""17pNv02DXDpQT9S3w4-QeNym2QJy2BzMBqDXp-XtzJBM"", ""'APO'!D3:D139""),0))"),0)</f>
        <v>0</v>
      </c>
      <c r="AD75" s="2">
        <f ca="1">IFERROR(__xludf.DUMMYFUNCTION("INDEX(IMPORTRANGE(""17pNv02DXDpQT9S3w4-QeNym2QJy2BzMBqDXp-XtzJBM"", ""'APO'!BL3:BL139""),MATCH($D75,IMPORTRANGE(""17pNv02DXDpQT9S3w4-QeNym2QJy2BzMBqDXp-XtzJBM"", ""'APO'!D3:D139""),0))"),0)</f>
        <v>0</v>
      </c>
      <c r="AE75" s="2">
        <f ca="1">IFERROR(__xludf.DUMMYFUNCTION("INDEX(IMPORTRANGE(""17pNv02DXDpQT9S3w4-QeNym2QJy2BzMBqDXp-XtzJBM"", ""'APO'!BM3:BM139""),MATCH($D75,IMPORTRANGE(""17pNv02DXDpQT9S3w4-QeNym2QJy2BzMBqDXp-XtzJBM"", ""'APO'!D3:D139""),0))"),0)</f>
        <v>0</v>
      </c>
    </row>
    <row r="76" spans="1:31">
      <c r="A76" s="149" t="s">
        <v>199</v>
      </c>
      <c r="B76" s="149" t="s">
        <v>200</v>
      </c>
      <c r="C76" s="148" t="s">
        <v>30</v>
      </c>
      <c r="D76" s="149" t="s">
        <v>207</v>
      </c>
      <c r="E76" s="149" t="s">
        <v>38</v>
      </c>
      <c r="F76" s="9" t="s">
        <v>208</v>
      </c>
      <c r="G76" s="22" t="s">
        <v>56</v>
      </c>
      <c r="H76" s="2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13"/>
      <c r="R76" s="13"/>
      <c r="S76" s="1">
        <f ca="1">IFERROR(__xludf.DUMMYFUNCTION("INDEX(IMPORTRANGE(""17pNv02DXDpQT9S3w4-QeNym2QJy2BzMBqDXp-XtzJBM"", ""'APO'!BG3:BG139""),MATCH($D76,IMPORTRANGE(""17pNv02DXDpQT9S3w4-QeNym2QJy2BzMBqDXp-XtzJBM"", ""'APO'!D3:D139""),0))"),42)</f>
        <v>42</v>
      </c>
      <c r="T76" s="1"/>
      <c r="U76" s="1"/>
      <c r="V76" s="1"/>
      <c r="W76" s="1"/>
      <c r="X76" s="1"/>
      <c r="Y76" s="1"/>
      <c r="Z76" s="2">
        <f ca="1">IFERROR(__xludf.DUMMYFUNCTION("INDEX(IMPORTRANGE(""17pNv02DXDpQT9S3w4-QeNym2QJy2BzMBqDXp-XtzJBM"", ""'APO'!BH3:BH139""),MATCH($D76,IMPORTRANGE(""17pNv02DXDpQT9S3w4-QeNym2QJy2BzMBqDXp-XtzJBM"", ""'APO'!D3:D139""),0))"),133)</f>
        <v>133</v>
      </c>
      <c r="AA76" s="2">
        <f ca="1">IFERROR(__xludf.DUMMYFUNCTION("INDEX(IMPORTRANGE(""17pNv02DXDpQT9S3w4-QeNym2QJy2BzMBqDXp-XtzJBM"", ""'APO'!BI3:BI139""),MATCH($D76,IMPORTRANGE(""17pNv02DXDpQT9S3w4-QeNym2QJy2BzMBqDXp-XtzJBM"", ""'APO'!D3:D139""),0))"),1907)</f>
        <v>1907</v>
      </c>
      <c r="AB76" s="2">
        <f ca="1">IFERROR(__xludf.DUMMYFUNCTION("INDEX(IMPORTRANGE(""17pNv02DXDpQT9S3w4-QeNym2QJy2BzMBqDXp-XtzJBM"", ""'APO'!BJ3:BJ139""),MATCH($D76,IMPORTRANGE(""17pNv02DXDpQT9S3w4-QeNym2QJy2BzMBqDXp-XtzJBM"", ""'APO'!D3:D139""),0))"),399)</f>
        <v>399</v>
      </c>
      <c r="AC76" s="2">
        <f ca="1">IFERROR(__xludf.DUMMYFUNCTION("INDEX(IMPORTRANGE(""17pNv02DXDpQT9S3w4-QeNym2QJy2BzMBqDXp-XtzJBM"", ""'APO'!BK3:BK139""),MATCH($D76,IMPORTRANGE(""17pNv02DXDpQT9S3w4-QeNym2QJy2BzMBqDXp-XtzJBM"", ""'APO'!D3:D139""),0))"),1582)</f>
        <v>1582</v>
      </c>
      <c r="AD76" s="2">
        <f ca="1">IFERROR(__xludf.DUMMYFUNCTION("INDEX(IMPORTRANGE(""17pNv02DXDpQT9S3w4-QeNym2QJy2BzMBqDXp-XtzJBM"", ""'APO'!BL3:BL139""),MATCH($D76,IMPORTRANGE(""17pNv02DXDpQT9S3w4-QeNym2QJy2BzMBqDXp-XtzJBM"", ""'APO'!D3:D139""),0))"),430)</f>
        <v>430</v>
      </c>
      <c r="AE76" s="2">
        <f ca="1">IFERROR(__xludf.DUMMYFUNCTION("INDEX(IMPORTRANGE(""17pNv02DXDpQT9S3w4-QeNym2QJy2BzMBqDXp-XtzJBM"", ""'APO'!BM3:BM139""),MATCH($D76,IMPORTRANGE(""17pNv02DXDpQT9S3w4-QeNym2QJy2BzMBqDXp-XtzJBM"", ""'APO'!D3:D139""),0))"),1438)</f>
        <v>1438</v>
      </c>
    </row>
    <row r="77" spans="1:31">
      <c r="A77" s="149" t="s">
        <v>199</v>
      </c>
      <c r="B77" s="149" t="s">
        <v>200</v>
      </c>
      <c r="C77" s="148" t="s">
        <v>36</v>
      </c>
      <c r="D77" s="149" t="s">
        <v>209</v>
      </c>
      <c r="E77" s="149" t="s">
        <v>38</v>
      </c>
      <c r="F77" s="9" t="s">
        <v>210</v>
      </c>
      <c r="G77" s="22" t="s">
        <v>56</v>
      </c>
      <c r="H77" s="2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4"/>
      <c r="R77" s="4"/>
      <c r="S77" s="2">
        <f ca="1">IFERROR(__xludf.DUMMYFUNCTION("INDEX(IMPORTRANGE(""17pNv02DXDpQT9S3w4-QeNym2QJy2BzMBqDXp-XtzJBM"", ""'APO'!BG3:BG139""),MATCH($D77,IMPORTRANGE(""17pNv02DXDpQT9S3w4-QeNym2QJy2BzMBqDXp-XtzJBM"", ""'APO'!D3:D139""),0))"),42)</f>
        <v>42</v>
      </c>
      <c r="T77" s="2">
        <f>$Y$77/3</f>
        <v>1350</v>
      </c>
      <c r="U77" s="2">
        <f>V77/2</f>
        <v>675</v>
      </c>
      <c r="V77" s="2">
        <f>$Y$77/3</f>
        <v>1350</v>
      </c>
      <c r="W77" s="2">
        <f>(Y77/3)/2</f>
        <v>675</v>
      </c>
      <c r="X77" s="29">
        <f>(1350-W77)/6*5+W77</f>
        <v>1237.5</v>
      </c>
      <c r="Y77" s="2">
        <v>4050</v>
      </c>
      <c r="Z77" s="12">
        <f ca="1">IFERROR(__xludf.DUMMYFUNCTION("INDEX(IMPORTRANGE(""17pNv02DXDpQT9S3w4-QeNym2QJy2BzMBqDXp-XtzJBM"", ""'APO'!BH3:BH139""),MATCH($D77,IMPORTRANGE(""17pNv02DXDpQT9S3w4-QeNym2QJy2BzMBqDXp-XtzJBM"", ""'APO'!D3:D139""),0))"),10214)</f>
        <v>10214</v>
      </c>
      <c r="AA77" s="12">
        <f ca="1">IFERROR(__xludf.DUMMYFUNCTION("INDEX(IMPORTRANGE(""17pNv02DXDpQT9S3w4-QeNym2QJy2BzMBqDXp-XtzJBM"", ""'APO'!BI3:BI139""),MATCH($D77,IMPORTRANGE(""17pNv02DXDpQT9S3w4-QeNym2QJy2BzMBqDXp-XtzJBM"", ""'APO'!D3:D139""),0))"),14506)</f>
        <v>14506</v>
      </c>
      <c r="AB77" s="12">
        <f ca="1">IFERROR(__xludf.DUMMYFUNCTION("INDEX(IMPORTRANGE(""17pNv02DXDpQT9S3w4-QeNym2QJy2BzMBqDXp-XtzJBM"", ""'APO'!BJ3:BJ139""),MATCH($D77,IMPORTRANGE(""17pNv02DXDpQT9S3w4-QeNym2QJy2BzMBqDXp-XtzJBM"", ""'APO'!D3:D139""),0))"),2799)</f>
        <v>2799</v>
      </c>
      <c r="AC77" s="12">
        <f ca="1">IFERROR(__xludf.DUMMYFUNCTION("INDEX(IMPORTRANGE(""17pNv02DXDpQT9S3w4-QeNym2QJy2BzMBqDXp-XtzJBM"", ""'APO'!BK3:BK139""),MATCH($D77,IMPORTRANGE(""17pNv02DXDpQT9S3w4-QeNym2QJy2BzMBqDXp-XtzJBM"", ""'APO'!D3:D139""),0))"),3982)</f>
        <v>3982</v>
      </c>
      <c r="AD77" s="12">
        <f ca="1">IFERROR(__xludf.DUMMYFUNCTION("INDEX(IMPORTRANGE(""17pNv02DXDpQT9S3w4-QeNym2QJy2BzMBqDXp-XtzJBM"", ""'APO'!BL3:BL139""),MATCH($D77,IMPORTRANGE(""17pNv02DXDpQT9S3w4-QeNym2QJy2BzMBqDXp-XtzJBM"", ""'APO'!D3:D139""),0))"),868.15)</f>
        <v>868.15</v>
      </c>
      <c r="AE77" s="12">
        <f ca="1">IFERROR(__xludf.DUMMYFUNCTION("INDEX(IMPORTRANGE(""17pNv02DXDpQT9S3w4-QeNym2QJy2BzMBqDXp-XtzJBM"", ""'APO'!BM3:BM139""),MATCH($D77,IMPORTRANGE(""17pNv02DXDpQT9S3w4-QeNym2QJy2BzMBqDXp-XtzJBM"", ""'APO'!D3:D139""),0))"),1876.15)</f>
        <v>1876.15</v>
      </c>
    </row>
    <row r="78" spans="1:31">
      <c r="A78" s="149" t="s">
        <v>199</v>
      </c>
      <c r="B78" s="149" t="s">
        <v>200</v>
      </c>
      <c r="C78" s="148" t="s">
        <v>30</v>
      </c>
      <c r="D78" s="149" t="s">
        <v>211</v>
      </c>
      <c r="E78" s="149" t="s">
        <v>38</v>
      </c>
      <c r="F78" s="9" t="s">
        <v>212</v>
      </c>
      <c r="G78" s="16" t="s">
        <v>213</v>
      </c>
      <c r="H78" s="8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2" t="s">
        <v>366</v>
      </c>
      <c r="P78" s="2" t="s">
        <v>218</v>
      </c>
      <c r="Q78" s="36">
        <v>155199137.53</v>
      </c>
      <c r="R78" s="36">
        <v>155199137.53</v>
      </c>
      <c r="S78" s="36">
        <f ca="1">IFERROR(__xludf.DUMMYFUNCTION("INDEX(IMPORTRANGE(""17pNv02DXDpQT9S3w4-QeNym2QJy2BzMBqDXp-XtzJBM"", ""'APO'!BG3:BG139""),MATCH($D78,IMPORTRANGE(""17pNv02DXDpQT9S3w4-QeNym2QJy2BzMBqDXp-XtzJBM"", ""'APO'!D3:D139""),0))"),90179470.72)</f>
        <v>90179470.719999999</v>
      </c>
      <c r="T78" s="13"/>
      <c r="U78" s="13"/>
      <c r="V78" s="13"/>
      <c r="W78" s="13"/>
      <c r="X78" s="13"/>
      <c r="Y78" s="13"/>
      <c r="Z78" s="2">
        <f ca="1">IFERROR(__xludf.DUMMYFUNCTION("INDEX(IMPORTRANGE(""17pNv02DXDpQT9S3w4-QeNym2QJy2BzMBqDXp-XtzJBM"", ""'APO'!BH3:BH139""),MATCH($D78,IMPORTRANGE(""17pNv02DXDpQT9S3w4-QeNym2QJy2BzMBqDXp-XtzJBM"", ""'APO'!D3:D139""),0))"),155199137.53)</f>
        <v>155199137.53</v>
      </c>
      <c r="AA78" s="178" t="str">
        <f ca="1">IFERROR(__xludf.DUMMYFUNCTION("INDEX(IMPORTRANGE(""17pNv02DXDpQT9S3w4-QeNym2QJy2BzMBqDXp-XtzJBM"", ""'APO'!BI3:BI139""),MATCH($D78,IMPORTRANGE(""17pNv02DXDpQT9S3w4-QeNym2QJy2BzMBqDXp-XtzJBM"", ""'APO'!D3:D139""),0))"),"")</f>
        <v/>
      </c>
      <c r="AB78" s="2">
        <f ca="1">IFERROR(__xludf.DUMMYFUNCTION("INDEX(IMPORTRANGE(""17pNv02DXDpQT9S3w4-QeNym2QJy2BzMBqDXp-XtzJBM"", ""'APO'!BJ3:BJ139""),MATCH($D78,IMPORTRANGE(""17pNv02DXDpQT9S3w4-QeNym2QJy2BzMBqDXp-XtzJBM"", ""'APO'!D3:D139""),0))"),158563355.41)</f>
        <v>158563355.41</v>
      </c>
      <c r="AC78" s="178" t="str">
        <f ca="1">IFERROR(__xludf.DUMMYFUNCTION("INDEX(IMPORTRANGE(""17pNv02DXDpQT9S3w4-QeNym2QJy2BzMBqDXp-XtzJBM"", ""'APO'!BK3:BK139""),MATCH($D78,IMPORTRANGE(""17pNv02DXDpQT9S3w4-QeNym2QJy2BzMBqDXp-XtzJBM"", ""'APO'!D3:D139""),0))"),"")</f>
        <v/>
      </c>
      <c r="AD78" s="2">
        <f ca="1">IFERROR(__xludf.DUMMYFUNCTION("INDEX(IMPORTRANGE(""17pNv02DXDpQT9S3w4-QeNym2QJy2BzMBqDXp-XtzJBM"", ""'APO'!BL3:BL139""),MATCH($D78,IMPORTRANGE(""17pNv02DXDpQT9S3w4-QeNym2QJy2BzMBqDXp-XtzJBM"", ""'APO'!D3:D139""),0))"),384429281.539999)</f>
        <v>384429281.53999901</v>
      </c>
      <c r="AE78" s="2">
        <f ca="1">IFERROR(__xludf.DUMMYFUNCTION("INDEX(IMPORTRANGE(""17pNv02DXDpQT9S3w4-QeNym2QJy2BzMBqDXp-XtzJBM"", ""'APO'!BM3:BM139""),MATCH($D78,IMPORTRANGE(""17pNv02DXDpQT9S3w4-QeNym2QJy2BzMBqDXp-XtzJBM"", ""'APO'!D3:D139""),0))"),335148406.7)</f>
        <v>335148406.69999999</v>
      </c>
    </row>
    <row r="79" spans="1:31">
      <c r="A79" s="149" t="s">
        <v>199</v>
      </c>
      <c r="B79" s="149" t="s">
        <v>200</v>
      </c>
      <c r="C79" s="148" t="s">
        <v>30</v>
      </c>
      <c r="D79" s="149" t="s">
        <v>219</v>
      </c>
      <c r="E79" s="149" t="s">
        <v>38</v>
      </c>
      <c r="F79" s="9" t="s">
        <v>220</v>
      </c>
      <c r="G79" s="16" t="s">
        <v>213</v>
      </c>
      <c r="H79" s="8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2" t="s">
        <v>366</v>
      </c>
      <c r="P79" s="2" t="s">
        <v>218</v>
      </c>
      <c r="Q79" s="36">
        <v>23239909.559999999</v>
      </c>
      <c r="R79" s="36">
        <v>23239909.559999999</v>
      </c>
      <c r="S79" s="36">
        <f ca="1">IFERROR(__xludf.DUMMYFUNCTION("INDEX(IMPORTRANGE(""17pNv02DXDpQT9S3w4-QeNym2QJy2BzMBqDXp-XtzJBM"", ""'APO'!BG3:BG139""),MATCH($D79,IMPORTRANGE(""17pNv02DXDpQT9S3w4-QeNym2QJy2BzMBqDXp-XtzJBM"", ""'APO'!D3:D139""),0))"),12180835.2799999)</f>
        <v>12180835.279999901</v>
      </c>
      <c r="T79" s="13"/>
      <c r="U79" s="13"/>
      <c r="V79" s="13"/>
      <c r="W79" s="13"/>
      <c r="X79" s="13"/>
      <c r="Y79" s="13"/>
      <c r="Z79" s="2">
        <f ca="1">IFERROR(__xludf.DUMMYFUNCTION("INDEX(IMPORTRANGE(""17pNv02DXDpQT9S3w4-QeNym2QJy2BzMBqDXp-XtzJBM"", ""'APO'!BH3:BH139""),MATCH($D79,IMPORTRANGE(""17pNv02DXDpQT9S3w4-QeNym2QJy2BzMBqDXp-XtzJBM"", ""'APO'!D3:D139""),0))"),23239909.56)</f>
        <v>23239909.559999999</v>
      </c>
      <c r="AA79" s="178" t="str">
        <f ca="1">IFERROR(__xludf.DUMMYFUNCTION("INDEX(IMPORTRANGE(""17pNv02DXDpQT9S3w4-QeNym2QJy2BzMBqDXp-XtzJBM"", ""'APO'!BI3:BI139""),MATCH($D79,IMPORTRANGE(""17pNv02DXDpQT9S3w4-QeNym2QJy2BzMBqDXp-XtzJBM"", ""'APO'!D3:D139""),0))"),"")</f>
        <v/>
      </c>
      <c r="AB79" s="2">
        <f ca="1">IFERROR(__xludf.DUMMYFUNCTION("INDEX(IMPORTRANGE(""17pNv02DXDpQT9S3w4-QeNym2QJy2BzMBqDXp-XtzJBM"", ""'APO'!BJ3:BJ139""),MATCH($D79,IMPORTRANGE(""17pNv02DXDpQT9S3w4-QeNym2QJy2BzMBqDXp-XtzJBM"", ""'APO'!D3:D139""),0))"),83291575.22)</f>
        <v>83291575.219999999</v>
      </c>
      <c r="AC79" s="178" t="str">
        <f ca="1">IFERROR(__xludf.DUMMYFUNCTION("INDEX(IMPORTRANGE(""17pNv02DXDpQT9S3w4-QeNym2QJy2BzMBqDXp-XtzJBM"", ""'APO'!BK3:BK139""),MATCH($D79,IMPORTRANGE(""17pNv02DXDpQT9S3w4-QeNym2QJy2BzMBqDXp-XtzJBM"", ""'APO'!D3:D139""),0))"),"")</f>
        <v/>
      </c>
      <c r="AD79" s="2">
        <f ca="1">IFERROR(__xludf.DUMMYFUNCTION("INDEX(IMPORTRANGE(""17pNv02DXDpQT9S3w4-QeNym2QJy2BzMBqDXp-XtzJBM"", ""'APO'!BL3:BL139""),MATCH($D79,IMPORTRANGE(""17pNv02DXDpQT9S3w4-QeNym2QJy2BzMBqDXp-XtzJBM"", ""'APO'!D3:D139""),0))"),70425468.03)</f>
        <v>70425468.030000001</v>
      </c>
      <c r="AE79" s="2">
        <f ca="1">IFERROR(__xludf.DUMMYFUNCTION("INDEX(IMPORTRANGE(""17pNv02DXDpQT9S3w4-QeNym2QJy2BzMBqDXp-XtzJBM"", ""'APO'!BM3:BM139""),MATCH($D79,IMPORTRANGE(""17pNv02DXDpQT9S3w4-QeNym2QJy2BzMBqDXp-XtzJBM"", ""'APO'!D3:D139""),0))"),71726056.74)</f>
        <v>71726056.739999995</v>
      </c>
    </row>
    <row r="80" spans="1:31">
      <c r="A80" s="149" t="s">
        <v>199</v>
      </c>
      <c r="B80" s="149" t="s">
        <v>200</v>
      </c>
      <c r="C80" s="148" t="s">
        <v>36</v>
      </c>
      <c r="D80" s="149" t="s">
        <v>221</v>
      </c>
      <c r="E80" s="149" t="s">
        <v>38</v>
      </c>
      <c r="F80" s="9" t="s">
        <v>222</v>
      </c>
      <c r="G80" s="21" t="s">
        <v>213</v>
      </c>
      <c r="H80" s="22" t="s">
        <v>214</v>
      </c>
      <c r="I80" s="2" t="s">
        <v>365</v>
      </c>
      <c r="J80" s="9" t="s">
        <v>215</v>
      </c>
      <c r="K80" s="4"/>
      <c r="L80" s="9" t="s">
        <v>216</v>
      </c>
      <c r="M80" s="4"/>
      <c r="N80" s="9" t="s">
        <v>217</v>
      </c>
      <c r="O80" s="2" t="s">
        <v>366</v>
      </c>
      <c r="P80" s="2" t="s">
        <v>218</v>
      </c>
      <c r="Q80" s="15">
        <f t="shared" ref="Q80:R80" si="20">Q79/Q78</f>
        <v>0.14974251745121794</v>
      </c>
      <c r="R80" s="15">
        <f t="shared" si="20"/>
        <v>0.14974251745121794</v>
      </c>
      <c r="S80" s="15">
        <f ca="1">IFERROR(__xludf.DUMMYFUNCTION("INDEX(IMPORTRANGE(""17pNv02DXDpQT9S3w4-QeNym2QJy2BzMBqDXp-XtzJBM"", ""'APO'!BG3:BG139""),MATCH($D80,IMPORTRANGE(""17pNv02DXDpQT9S3w4-QeNym2QJy2BzMBqDXp-XtzJBM"", ""'APO'!D3:D139""),0))"),0.13507326204897)</f>
        <v>0.13507326204896999</v>
      </c>
      <c r="T80" s="2"/>
      <c r="U80" s="14">
        <v>0.16</v>
      </c>
      <c r="V80" s="2"/>
      <c r="W80" s="14">
        <v>0.17</v>
      </c>
      <c r="X80" s="15">
        <f>(Y80-W80)/6*5+W80</f>
        <v>0.17833333333333334</v>
      </c>
      <c r="Y80" s="14">
        <v>0.18</v>
      </c>
      <c r="Z80" s="15">
        <f ca="1">IFERROR(__xludf.DUMMYFUNCTION("INDEX(IMPORTRANGE(""17pNv02DXDpQT9S3w4-QeNym2QJy2BzMBqDXp-XtzJBM"", ""'APO'!BH3:BH139""),MATCH($D80,IMPORTRANGE(""17pNv02DXDpQT9S3w4-QeNym2QJy2BzMBqDXp-XtzJBM"", ""'APO'!D3:D139""),0))"),0.149742517451217)</f>
        <v>0.149742517451217</v>
      </c>
      <c r="AA80" s="179" t="str">
        <f ca="1">IFERROR(__xludf.DUMMYFUNCTION("INDEX(IMPORTRANGE(""17pNv02DXDpQT9S3w4-QeNym2QJy2BzMBqDXp-XtzJBM"", ""'APO'!BI3:BI139""),MATCH($D80,IMPORTRANGE(""17pNv02DXDpQT9S3w4-QeNym2QJy2BzMBqDXp-XtzJBM"", ""'APO'!D3:D139""),0))"),"")</f>
        <v/>
      </c>
      <c r="AB80" s="15">
        <f ca="1">IFERROR(__xludf.DUMMYFUNCTION("INDEX(IMPORTRANGE(""17pNv02DXDpQT9S3w4-QeNym2QJy2BzMBqDXp-XtzJBM"", ""'APO'!BJ3:BJ139""),MATCH($D80,IMPORTRANGE(""17pNv02DXDpQT9S3w4-QeNym2QJy2BzMBqDXp-XtzJBM"", ""'APO'!D3:D139""),0))"),0.525288929492136)</f>
        <v>0.52528892949213601</v>
      </c>
      <c r="AC80" s="179" t="str">
        <f ca="1">IFERROR(__xludf.DUMMYFUNCTION("INDEX(IMPORTRANGE(""17pNv02DXDpQT9S3w4-QeNym2QJy2BzMBqDXp-XtzJBM"", ""'APO'!BK3:BK139""),MATCH($D80,IMPORTRANGE(""17pNv02DXDpQT9S3w4-QeNym2QJy2BzMBqDXp-XtzJBM"", ""'APO'!D3:D139""),0))"),"")</f>
        <v/>
      </c>
      <c r="AD80" s="15">
        <f ca="1">IFERROR(__xludf.DUMMYFUNCTION("INDEX(IMPORTRANGE(""17pNv02DXDpQT9S3w4-QeNym2QJy2BzMBqDXp-XtzJBM"", ""'APO'!BL3:BL139""),MATCH($D80,IMPORTRANGE(""17pNv02DXDpQT9S3w4-QeNym2QJy2BzMBqDXp-XtzJBM"", ""'APO'!D3:D139""),0))"),0.183194859007305)</f>
        <v>0.18319485900730501</v>
      </c>
      <c r="AE80" s="15">
        <f ca="1">IFERROR(__xludf.DUMMYFUNCTION("INDEX(IMPORTRANGE(""17pNv02DXDpQT9S3w4-QeNym2QJy2BzMBqDXp-XtzJBM"", ""'APO'!BM3:BM139""),MATCH($D80,IMPORTRANGE(""17pNv02DXDpQT9S3w4-QeNym2QJy2BzMBqDXp-XtzJBM"", ""'APO'!D3:D139""),0))"),0.214012823292947)</f>
        <v>0.21401282329294699</v>
      </c>
    </row>
    <row r="81" spans="1:31">
      <c r="A81" s="149" t="s">
        <v>199</v>
      </c>
      <c r="B81" s="149" t="s">
        <v>200</v>
      </c>
      <c r="C81" s="148" t="s">
        <v>30</v>
      </c>
      <c r="D81" s="149" t="s">
        <v>223</v>
      </c>
      <c r="E81" s="149" t="s">
        <v>38</v>
      </c>
      <c r="F81" s="9" t="s">
        <v>224</v>
      </c>
      <c r="G81" s="22" t="s">
        <v>56</v>
      </c>
      <c r="H81" s="2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3</v>
      </c>
      <c r="R81" s="12">
        <v>6</v>
      </c>
      <c r="S81" s="12">
        <f ca="1">IFERROR(__xludf.DUMMYFUNCTION("INDEX(IMPORTRANGE(""17pNv02DXDpQT9S3w4-QeNym2QJy2BzMBqDXp-XtzJBM"", ""'APO'!BG3:BG139""),MATCH($D81,IMPORTRANGE(""17pNv02DXDpQT9S3w4-QeNym2QJy2BzMBqDXp-XtzJBM"", ""'APO'!D3:D139""),0))"),5)</f>
        <v>5</v>
      </c>
      <c r="T81" s="1"/>
      <c r="U81" s="1"/>
      <c r="V81" s="1"/>
      <c r="W81" s="1"/>
      <c r="X81" s="1"/>
      <c r="Y81" s="1"/>
      <c r="Z81" s="2">
        <f ca="1">IFERROR(__xludf.DUMMYFUNCTION("INDEX(IMPORTRANGE(""17pNv02DXDpQT9S3w4-QeNym2QJy2BzMBqDXp-XtzJBM"", ""'APO'!BH3:BH139""),MATCH($D81,IMPORTRANGE(""17pNv02DXDpQT9S3w4-QeNym2QJy2BzMBqDXp-XtzJBM"", ""'APO'!D3:D139""),0))"),1)</f>
        <v>1</v>
      </c>
      <c r="AA81" s="2">
        <f ca="1">IFERROR(__xludf.DUMMYFUNCTION("INDEX(IMPORTRANGE(""17pNv02DXDpQT9S3w4-QeNym2QJy2BzMBqDXp-XtzJBM"", ""'APO'!BI3:BI139""),MATCH($D81,IMPORTRANGE(""17pNv02DXDpQT9S3w4-QeNym2QJy2BzMBqDXp-XtzJBM"", ""'APO'!D3:D139""),0))"),13)</f>
        <v>13</v>
      </c>
      <c r="AB81" s="2">
        <f ca="1">IFERROR(__xludf.DUMMYFUNCTION("INDEX(IMPORTRANGE(""17pNv02DXDpQT9S3w4-QeNym2QJy2BzMBqDXp-XtzJBM"", ""'APO'!BJ3:BJ139""),MATCH($D81,IMPORTRANGE(""17pNv02DXDpQT9S3w4-QeNym2QJy2BzMBqDXp-XtzJBM"", ""'APO'!D3:D139""),0))"),5)</f>
        <v>5</v>
      </c>
      <c r="AC81" s="2">
        <f ca="1">IFERROR(__xludf.DUMMYFUNCTION("INDEX(IMPORTRANGE(""17pNv02DXDpQT9S3w4-QeNym2QJy2BzMBqDXp-XtzJBM"", ""'APO'!BK3:BK139""),MATCH($D81,IMPORTRANGE(""17pNv02DXDpQT9S3w4-QeNym2QJy2BzMBqDXp-XtzJBM"", ""'APO'!D3:D139""),0))"),25)</f>
        <v>25</v>
      </c>
      <c r="AD81" s="2">
        <f ca="1">IFERROR(__xludf.DUMMYFUNCTION("INDEX(IMPORTRANGE(""17pNv02DXDpQT9S3w4-QeNym2QJy2BzMBqDXp-XtzJBM"", ""'APO'!BL3:BL139""),MATCH($D81,IMPORTRANGE(""17pNv02DXDpQT9S3w4-QeNym2QJy2BzMBqDXp-XtzJBM"", ""'APO'!D3:D139""),0))"),8)</f>
        <v>8</v>
      </c>
      <c r="AE81" s="2">
        <f ca="1">IFERROR(__xludf.DUMMYFUNCTION("INDEX(IMPORTRANGE(""17pNv02DXDpQT9S3w4-QeNym2QJy2BzMBqDXp-XtzJBM"", ""'APO'!BM3:BM139""),MATCH($D81,IMPORTRANGE(""17pNv02DXDpQT9S3w4-QeNym2QJy2BzMBqDXp-XtzJBM"", ""'APO'!D3:D139""),0))"),10)</f>
        <v>10</v>
      </c>
    </row>
    <row r="82" spans="1:31">
      <c r="A82" s="149" t="s">
        <v>199</v>
      </c>
      <c r="B82" s="149" t="s">
        <v>200</v>
      </c>
      <c r="C82" s="148" t="s">
        <v>30</v>
      </c>
      <c r="D82" s="149" t="s">
        <v>225</v>
      </c>
      <c r="E82" s="149" t="s">
        <v>38</v>
      </c>
      <c r="F82" s="9" t="s">
        <v>182</v>
      </c>
      <c r="G82" s="22" t="s">
        <v>56</v>
      </c>
      <c r="H82" s="2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1</v>
      </c>
      <c r="R82" s="12">
        <v>4</v>
      </c>
      <c r="S82" s="12">
        <f ca="1">IFERROR(__xludf.DUMMYFUNCTION("INDEX(IMPORTRANGE(""17pNv02DXDpQT9S3w4-QeNym2QJy2BzMBqDXp-XtzJBM"", ""'APO'!BG3:BG139""),MATCH($D82,IMPORTRANGE(""17pNv02DXDpQT9S3w4-QeNym2QJy2BzMBqDXp-XtzJBM"", ""'APO'!D3:D139""),0))"),4)</f>
        <v>4</v>
      </c>
      <c r="T82" s="1"/>
      <c r="U82" s="1"/>
      <c r="V82" s="1"/>
      <c r="W82" s="1"/>
      <c r="X82" s="1"/>
      <c r="Y82" s="1"/>
      <c r="Z82" s="2">
        <f ca="1">IFERROR(__xludf.DUMMYFUNCTION("INDEX(IMPORTRANGE(""17pNv02DXDpQT9S3w4-QeNym2QJy2BzMBqDXp-XtzJBM"", ""'APO'!BH3:BH139""),MATCH($D82,IMPORTRANGE(""17pNv02DXDpQT9S3w4-QeNym2QJy2BzMBqDXp-XtzJBM"", ""'APO'!D3:D139""),0))"),2)</f>
        <v>2</v>
      </c>
      <c r="AA82" s="2">
        <f ca="1">IFERROR(__xludf.DUMMYFUNCTION("INDEX(IMPORTRANGE(""17pNv02DXDpQT9S3w4-QeNym2QJy2BzMBqDXp-XtzJBM"", ""'APO'!BI3:BI139""),MATCH($D82,IMPORTRANGE(""17pNv02DXDpQT9S3w4-QeNym2QJy2BzMBqDXp-XtzJBM"", ""'APO'!D3:D139""),0))"),5)</f>
        <v>5</v>
      </c>
      <c r="AB82" s="2">
        <f ca="1">IFERROR(__xludf.DUMMYFUNCTION("INDEX(IMPORTRANGE(""17pNv02DXDpQT9S3w4-QeNym2QJy2BzMBqDXp-XtzJBM"", ""'APO'!BJ3:BJ139""),MATCH($D82,IMPORTRANGE(""17pNv02DXDpQT9S3w4-QeNym2QJy2BzMBqDXp-XtzJBM"", ""'APO'!D3:D139""),0))"),0)</f>
        <v>0</v>
      </c>
      <c r="AC82" s="2">
        <f ca="1">IFERROR(__xludf.DUMMYFUNCTION("INDEX(IMPORTRANGE(""17pNv02DXDpQT9S3w4-QeNym2QJy2BzMBqDXp-XtzJBM"", ""'APO'!BK3:BK139""),MATCH($D82,IMPORTRANGE(""17pNv02DXDpQT9S3w4-QeNym2QJy2BzMBqDXp-XtzJBM"", ""'APO'!D3:D139""),0))"),3)</f>
        <v>3</v>
      </c>
      <c r="AD82" s="2">
        <f ca="1">IFERROR(__xludf.DUMMYFUNCTION("INDEX(IMPORTRANGE(""17pNv02DXDpQT9S3w4-QeNym2QJy2BzMBqDXp-XtzJBM"", ""'APO'!BL3:BL139""),MATCH($D82,IMPORTRANGE(""17pNv02DXDpQT9S3w4-QeNym2QJy2BzMBqDXp-XtzJBM"", ""'APO'!D3:D139""),0))"),4)</f>
        <v>4</v>
      </c>
      <c r="AE82" s="2">
        <f ca="1">IFERROR(__xludf.DUMMYFUNCTION("INDEX(IMPORTRANGE(""17pNv02DXDpQT9S3w4-QeNym2QJy2BzMBqDXp-XtzJBM"", ""'APO'!BM3:BM139""),MATCH($D82,IMPORTRANGE(""17pNv02DXDpQT9S3w4-QeNym2QJy2BzMBqDXp-XtzJBM"", ""'APO'!D3:D139""),0))"),12)</f>
        <v>12</v>
      </c>
    </row>
    <row r="83" spans="1:31">
      <c r="A83" s="149" t="s">
        <v>199</v>
      </c>
      <c r="B83" s="149" t="s">
        <v>200</v>
      </c>
      <c r="C83" s="148" t="s">
        <v>36</v>
      </c>
      <c r="D83" s="149" t="s">
        <v>226</v>
      </c>
      <c r="E83" s="149" t="s">
        <v>38</v>
      </c>
      <c r="F83" s="9" t="s">
        <v>227</v>
      </c>
      <c r="G83" s="22" t="s">
        <v>56</v>
      </c>
      <c r="H83" s="2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f t="shared" ref="Q83:R83" si="21">Q81+Q82</f>
        <v>4</v>
      </c>
      <c r="R83" s="12">
        <f t="shared" si="21"/>
        <v>10</v>
      </c>
      <c r="S83" s="12">
        <f ca="1">IFERROR(__xludf.DUMMYFUNCTION("INDEX(IMPORTRANGE(""17pNv02DXDpQT9S3w4-QeNym2QJy2BzMBqDXp-XtzJBM"", ""'APO'!BG3:BG139""),MATCH($D83,IMPORTRANGE(""17pNv02DXDpQT9S3w4-QeNym2QJy2BzMBqDXp-XtzJBM"", ""'APO'!D3:D139""),0))"),9)</f>
        <v>9</v>
      </c>
      <c r="T83" s="4">
        <v>8</v>
      </c>
      <c r="U83" s="4">
        <v>4</v>
      </c>
      <c r="V83" s="4">
        <v>8</v>
      </c>
      <c r="W83" s="4">
        <v>4</v>
      </c>
      <c r="X83" s="4">
        <v>9</v>
      </c>
      <c r="Y83" s="4">
        <v>25</v>
      </c>
      <c r="Z83" s="2">
        <f ca="1">IFERROR(__xludf.DUMMYFUNCTION("INDEX(IMPORTRANGE(""17pNv02DXDpQT9S3w4-QeNym2QJy2BzMBqDXp-XtzJBM"", ""'APO'!BH3:BH139""),MATCH($D83,IMPORTRANGE(""17pNv02DXDpQT9S3w4-QeNym2QJy2BzMBqDXp-XtzJBM"", ""'APO'!D3:D139""),0))"),3)</f>
        <v>3</v>
      </c>
      <c r="AA83" s="2">
        <f ca="1">IFERROR(__xludf.DUMMYFUNCTION("INDEX(IMPORTRANGE(""17pNv02DXDpQT9S3w4-QeNym2QJy2BzMBqDXp-XtzJBM"", ""'APO'!BI3:BI139""),MATCH($D83,IMPORTRANGE(""17pNv02DXDpQT9S3w4-QeNym2QJy2BzMBqDXp-XtzJBM"", ""'APO'!D3:D139""),0))"),18)</f>
        <v>18</v>
      </c>
      <c r="AB83" s="2">
        <f ca="1">IFERROR(__xludf.DUMMYFUNCTION("INDEX(IMPORTRANGE(""17pNv02DXDpQT9S3w4-QeNym2QJy2BzMBqDXp-XtzJBM"", ""'APO'!BJ3:BJ139""),MATCH($D83,IMPORTRANGE(""17pNv02DXDpQT9S3w4-QeNym2QJy2BzMBqDXp-XtzJBM"", ""'APO'!D3:D139""),0))"),5)</f>
        <v>5</v>
      </c>
      <c r="AC83" s="2">
        <f ca="1">IFERROR(__xludf.DUMMYFUNCTION("INDEX(IMPORTRANGE(""17pNv02DXDpQT9S3w4-QeNym2QJy2BzMBqDXp-XtzJBM"", ""'APO'!BK3:BK139""),MATCH($D83,IMPORTRANGE(""17pNv02DXDpQT9S3w4-QeNym2QJy2BzMBqDXp-XtzJBM"", ""'APO'!D3:D139""),0))"),28)</f>
        <v>28</v>
      </c>
      <c r="AD83" s="2">
        <f ca="1">IFERROR(__xludf.DUMMYFUNCTION("INDEX(IMPORTRANGE(""17pNv02DXDpQT9S3w4-QeNym2QJy2BzMBqDXp-XtzJBM"", ""'APO'!BL3:BL139""),MATCH($D83,IMPORTRANGE(""17pNv02DXDpQT9S3w4-QeNym2QJy2BzMBqDXp-XtzJBM"", ""'APO'!D3:D139""),0))"),12)</f>
        <v>12</v>
      </c>
      <c r="AE83" s="2">
        <f ca="1">IFERROR(__xludf.DUMMYFUNCTION("INDEX(IMPORTRANGE(""17pNv02DXDpQT9S3w4-QeNym2QJy2BzMBqDXp-XtzJBM"", ""'APO'!BM3:BM139""),MATCH($D83,IMPORTRANGE(""17pNv02DXDpQT9S3w4-QeNym2QJy2BzMBqDXp-XtzJBM"", ""'APO'!D3:D139""),0))"),22)</f>
        <v>22</v>
      </c>
    </row>
    <row r="84" spans="1:31">
      <c r="A84" s="149" t="s">
        <v>199</v>
      </c>
      <c r="B84" s="149" t="s">
        <v>228</v>
      </c>
      <c r="C84" s="148" t="s">
        <v>30</v>
      </c>
      <c r="D84" s="149" t="s">
        <v>229</v>
      </c>
      <c r="E84" s="149" t="s">
        <v>38</v>
      </c>
      <c r="F84" s="9" t="s">
        <v>230</v>
      </c>
      <c r="G84" s="22" t="s">
        <v>231</v>
      </c>
      <c r="H84" s="2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67</v>
      </c>
      <c r="R84" s="12">
        <v>66</v>
      </c>
      <c r="S84" s="12">
        <f ca="1">IFERROR(__xludf.DUMMYFUNCTION("INDEX(IMPORTRANGE(""17pNv02DXDpQT9S3w4-QeNym2QJy2BzMBqDXp-XtzJBM"", ""'APO'!BG3:BG139""),MATCH($D84,IMPORTRANGE(""17pNv02DXDpQT9S3w4-QeNym2QJy2BzMBqDXp-XtzJBM"", ""'APO'!D3:D139""),0))"),110)</f>
        <v>110</v>
      </c>
      <c r="T84" s="13"/>
      <c r="U84" s="13"/>
      <c r="V84" s="13"/>
      <c r="W84" s="13"/>
      <c r="X84" s="13"/>
      <c r="Y84" s="13"/>
      <c r="Z84" s="2">
        <f ca="1">IFERROR(__xludf.DUMMYFUNCTION("INDEX(IMPORTRANGE(""17pNv02DXDpQT9S3w4-QeNym2QJy2BzMBqDXp-XtzJBM"", ""'APO'!BH3:BH139""),MATCH($D84,IMPORTRANGE(""17pNv02DXDpQT9S3w4-QeNym2QJy2BzMBqDXp-XtzJBM"", ""'APO'!D3:D139""),0))"),37)</f>
        <v>37</v>
      </c>
      <c r="AA84" s="2">
        <f ca="1">IFERROR(__xludf.DUMMYFUNCTION("INDEX(IMPORTRANGE(""17pNv02DXDpQT9S3w4-QeNym2QJy2BzMBqDXp-XtzJBM"", ""'APO'!BI3:BI139""),MATCH($D84,IMPORTRANGE(""17pNv02DXDpQT9S3w4-QeNym2QJy2BzMBqDXp-XtzJBM"", ""'APO'!D3:D139""),0))"),68)</f>
        <v>68</v>
      </c>
      <c r="AB84" s="2">
        <f ca="1">IFERROR(__xludf.DUMMYFUNCTION("INDEX(IMPORTRANGE(""17pNv02DXDpQT9S3w4-QeNym2QJy2BzMBqDXp-XtzJBM"", ""'APO'!BJ3:BJ139""),MATCH($D84,IMPORTRANGE(""17pNv02DXDpQT9S3w4-QeNym2QJy2BzMBqDXp-XtzJBM"", ""'APO'!D3:D139""),0))"),53)</f>
        <v>53</v>
      </c>
      <c r="AC84" s="2">
        <f ca="1">IFERROR(__xludf.DUMMYFUNCTION("INDEX(IMPORTRANGE(""17pNv02DXDpQT9S3w4-QeNym2QJy2BzMBqDXp-XtzJBM"", ""'APO'!BK3:BK139""),MATCH($D84,IMPORTRANGE(""17pNv02DXDpQT9S3w4-QeNym2QJy2BzMBqDXp-XtzJBM"", ""'APO'!D3:D139""),0))"),66)</f>
        <v>66</v>
      </c>
      <c r="AD84" s="2">
        <f ca="1">IFERROR(__xludf.DUMMYFUNCTION("INDEX(IMPORTRANGE(""17pNv02DXDpQT9S3w4-QeNym2QJy2BzMBqDXp-XtzJBM"", ""'APO'!BL3:BL139""),MATCH($D84,IMPORTRANGE(""17pNv02DXDpQT9S3w4-QeNym2QJy2BzMBqDXp-XtzJBM"", ""'APO'!D3:D139""),0))"),43)</f>
        <v>43</v>
      </c>
      <c r="AE84" s="2">
        <f ca="1">IFERROR(__xludf.DUMMYFUNCTION("INDEX(IMPORTRANGE(""17pNv02DXDpQT9S3w4-QeNym2QJy2BzMBqDXp-XtzJBM"", ""'APO'!BM3:BM139""),MATCH($D84,IMPORTRANGE(""17pNv02DXDpQT9S3w4-QeNym2QJy2BzMBqDXp-XtzJBM"", ""'APO'!D3:D139""),0))"),64)</f>
        <v>64</v>
      </c>
    </row>
    <row r="85" spans="1:31">
      <c r="A85" s="149" t="s">
        <v>199</v>
      </c>
      <c r="B85" s="149" t="s">
        <v>228</v>
      </c>
      <c r="C85" s="148" t="s">
        <v>30</v>
      </c>
      <c r="D85" s="149" t="s">
        <v>233</v>
      </c>
      <c r="E85" s="149" t="s">
        <v>38</v>
      </c>
      <c r="F85" s="9" t="s">
        <v>234</v>
      </c>
      <c r="G85" s="22" t="s">
        <v>231</v>
      </c>
      <c r="H85" s="2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18</v>
      </c>
      <c r="R85" s="12">
        <v>25</v>
      </c>
      <c r="S85" s="12">
        <f ca="1">IFERROR(__xludf.DUMMYFUNCTION("INDEX(IMPORTRANGE(""17pNv02DXDpQT9S3w4-QeNym2QJy2BzMBqDXp-XtzJBM"", ""'APO'!BG3:BG139""),MATCH($D85,IMPORTRANGE(""17pNv02DXDpQT9S3w4-QeNym2QJy2BzMBqDXp-XtzJBM"", ""'APO'!D3:D139""),0))"),23)</f>
        <v>23</v>
      </c>
      <c r="T85" s="13"/>
      <c r="U85" s="13"/>
      <c r="V85" s="13"/>
      <c r="W85" s="13"/>
      <c r="X85" s="13"/>
      <c r="Y85" s="13"/>
      <c r="Z85" s="2">
        <f ca="1">IFERROR(__xludf.DUMMYFUNCTION("INDEX(IMPORTRANGE(""17pNv02DXDpQT9S3w4-QeNym2QJy2BzMBqDXp-XtzJBM"", ""'APO'!BH3:BH139""),MATCH($D85,IMPORTRANGE(""17pNv02DXDpQT9S3w4-QeNym2QJy2BzMBqDXp-XtzJBM"", ""'APO'!D3:D139""),0))"),3)</f>
        <v>3</v>
      </c>
      <c r="AA85" s="2">
        <f ca="1">IFERROR(__xludf.DUMMYFUNCTION("INDEX(IMPORTRANGE(""17pNv02DXDpQT9S3w4-QeNym2QJy2BzMBqDXp-XtzJBM"", ""'APO'!BI3:BI139""),MATCH($D85,IMPORTRANGE(""17pNv02DXDpQT9S3w4-QeNym2QJy2BzMBqDXp-XtzJBM"", ""'APO'!D3:D139""),0))"),4)</f>
        <v>4</v>
      </c>
      <c r="AB85" s="2">
        <f ca="1">IFERROR(__xludf.DUMMYFUNCTION("INDEX(IMPORTRANGE(""17pNv02DXDpQT9S3w4-QeNym2QJy2BzMBqDXp-XtzJBM"", ""'APO'!BJ3:BJ139""),MATCH($D85,IMPORTRANGE(""17pNv02DXDpQT9S3w4-QeNym2QJy2BzMBqDXp-XtzJBM"", ""'APO'!D3:D139""),0))"),3)</f>
        <v>3</v>
      </c>
      <c r="AC85" s="2">
        <f ca="1">IFERROR(__xludf.DUMMYFUNCTION("INDEX(IMPORTRANGE(""17pNv02DXDpQT9S3w4-QeNym2QJy2BzMBqDXp-XtzJBM"", ""'APO'!BK3:BK139""),MATCH($D85,IMPORTRANGE(""17pNv02DXDpQT9S3w4-QeNym2QJy2BzMBqDXp-XtzJBM"", ""'APO'!D3:D139""),0))"),3)</f>
        <v>3</v>
      </c>
      <c r="AD85" s="2">
        <f ca="1">IFERROR(__xludf.DUMMYFUNCTION("INDEX(IMPORTRANGE(""17pNv02DXDpQT9S3w4-QeNym2QJy2BzMBqDXp-XtzJBM"", ""'APO'!BL3:BL139""),MATCH($D85,IMPORTRANGE(""17pNv02DXDpQT9S3w4-QeNym2QJy2BzMBqDXp-XtzJBM"", ""'APO'!D3:D139""),0))"),3)</f>
        <v>3</v>
      </c>
      <c r="AE85" s="2">
        <f ca="1">IFERROR(__xludf.DUMMYFUNCTION("INDEX(IMPORTRANGE(""17pNv02DXDpQT9S3w4-QeNym2QJy2BzMBqDXp-XtzJBM"", ""'APO'!BM3:BM139""),MATCH($D85,IMPORTRANGE(""17pNv02DXDpQT9S3w4-QeNym2QJy2BzMBqDXp-XtzJBM"", ""'APO'!D3:D139""),0))"),5)</f>
        <v>5</v>
      </c>
    </row>
    <row r="86" spans="1:31">
      <c r="A86" s="149" t="s">
        <v>199</v>
      </c>
      <c r="B86" s="149" t="s">
        <v>228</v>
      </c>
      <c r="C86" s="148" t="s">
        <v>30</v>
      </c>
      <c r="D86" s="149" t="s">
        <v>235</v>
      </c>
      <c r="E86" s="149" t="s">
        <v>38</v>
      </c>
      <c r="F86" s="9" t="s">
        <v>236</v>
      </c>
      <c r="G86" s="22" t="s">
        <v>231</v>
      </c>
      <c r="H86" s="2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1583</v>
      </c>
      <c r="R86" s="12">
        <v>2794</v>
      </c>
      <c r="S86" s="12">
        <f ca="1">IFERROR(__xludf.DUMMYFUNCTION("INDEX(IMPORTRANGE(""17pNv02DXDpQT9S3w4-QeNym2QJy2BzMBqDXp-XtzJBM"", ""'APO'!BG3:BG139""),MATCH($D86,IMPORTRANGE(""17pNv02DXDpQT9S3w4-QeNym2QJy2BzMBqDXp-XtzJBM"", ""'APO'!D3:D139""),0))"),2609)</f>
        <v>2609</v>
      </c>
      <c r="T86" s="13"/>
      <c r="U86" s="13"/>
      <c r="V86" s="13"/>
      <c r="W86" s="13"/>
      <c r="X86" s="13"/>
      <c r="Y86" s="13"/>
      <c r="Z86" s="2">
        <f ca="1">IFERROR(__xludf.DUMMYFUNCTION("INDEX(IMPORTRANGE(""17pNv02DXDpQT9S3w4-QeNym2QJy2BzMBqDXp-XtzJBM"", ""'APO'!BH3:BH139""),MATCH($D86,IMPORTRANGE(""17pNv02DXDpQT9S3w4-QeNym2QJy2BzMBqDXp-XtzJBM"", ""'APO'!D3:D139""),0))"),880)</f>
        <v>880</v>
      </c>
      <c r="AA86" s="2">
        <f ca="1">IFERROR(__xludf.DUMMYFUNCTION("INDEX(IMPORTRANGE(""17pNv02DXDpQT9S3w4-QeNym2QJy2BzMBqDXp-XtzJBM"", ""'APO'!BI3:BI139""),MATCH($D86,IMPORTRANGE(""17pNv02DXDpQT9S3w4-QeNym2QJy2BzMBqDXp-XtzJBM"", ""'APO'!D3:D139""),0))"),1949)</f>
        <v>1949</v>
      </c>
      <c r="AB86" s="2">
        <f ca="1">IFERROR(__xludf.DUMMYFUNCTION("INDEX(IMPORTRANGE(""17pNv02DXDpQT9S3w4-QeNym2QJy2BzMBqDXp-XtzJBM"", ""'APO'!BJ3:BJ139""),MATCH($D86,IMPORTRANGE(""17pNv02DXDpQT9S3w4-QeNym2QJy2BzMBqDXp-XtzJBM"", ""'APO'!D3:D139""),0))"),1470)</f>
        <v>1470</v>
      </c>
      <c r="AC86" s="2">
        <f ca="1">IFERROR(__xludf.DUMMYFUNCTION("INDEX(IMPORTRANGE(""17pNv02DXDpQT9S3w4-QeNym2QJy2BzMBqDXp-XtzJBM"", ""'APO'!BK3:BK139""),MATCH($D86,IMPORTRANGE(""17pNv02DXDpQT9S3w4-QeNym2QJy2BzMBqDXp-XtzJBM"", ""'APO'!D3:D139""),0))"),2906)</f>
        <v>2906</v>
      </c>
      <c r="AD86" s="2">
        <f ca="1">IFERROR(__xludf.DUMMYFUNCTION("INDEX(IMPORTRANGE(""17pNv02DXDpQT9S3w4-QeNym2QJy2BzMBqDXp-XtzJBM"", ""'APO'!BL3:BL139""),MATCH($D86,IMPORTRANGE(""17pNv02DXDpQT9S3w4-QeNym2QJy2BzMBqDXp-XtzJBM"", ""'APO'!D3:D139""),0))"),1630)</f>
        <v>1630</v>
      </c>
      <c r="AE86" s="2">
        <f ca="1">IFERROR(__xludf.DUMMYFUNCTION("INDEX(IMPORTRANGE(""17pNv02DXDpQT9S3w4-QeNym2QJy2BzMBqDXp-XtzJBM"", ""'APO'!BM3:BM139""),MATCH($D86,IMPORTRANGE(""17pNv02DXDpQT9S3w4-QeNym2QJy2BzMBqDXp-XtzJBM"", ""'APO'!D3:D139""),0))"),2577)</f>
        <v>2577</v>
      </c>
    </row>
    <row r="87" spans="1:31">
      <c r="A87" s="149" t="s">
        <v>199</v>
      </c>
      <c r="B87" s="149" t="s">
        <v>228</v>
      </c>
      <c r="C87" s="148" t="s">
        <v>30</v>
      </c>
      <c r="D87" s="149" t="s">
        <v>237</v>
      </c>
      <c r="E87" s="149" t="s">
        <v>38</v>
      </c>
      <c r="F87" s="9" t="s">
        <v>238</v>
      </c>
      <c r="G87" s="22" t="s">
        <v>231</v>
      </c>
      <c r="H87" s="2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70</v>
      </c>
      <c r="R87" s="12">
        <v>123</v>
      </c>
      <c r="S87" s="12">
        <f ca="1">IFERROR(__xludf.DUMMYFUNCTION("INDEX(IMPORTRANGE(""17pNv02DXDpQT9S3w4-QeNym2QJy2BzMBqDXp-XtzJBM"", ""'APO'!BG3:BG139""),MATCH($D87,IMPORTRANGE(""17pNv02DXDpQT9S3w4-QeNym2QJy2BzMBqDXp-XtzJBM"", ""'APO'!D3:D139""),0))"),116)</f>
        <v>116</v>
      </c>
      <c r="T87" s="13"/>
      <c r="U87" s="13"/>
      <c r="V87" s="13"/>
      <c r="W87" s="13"/>
      <c r="X87" s="13"/>
      <c r="Y87" s="13"/>
      <c r="Z87" s="2">
        <f ca="1">IFERROR(__xludf.DUMMYFUNCTION("INDEX(IMPORTRANGE(""17pNv02DXDpQT9S3w4-QeNym2QJy2BzMBqDXp-XtzJBM"", ""'APO'!BH3:BH139""),MATCH($D87,IMPORTRANGE(""17pNv02DXDpQT9S3w4-QeNym2QJy2BzMBqDXp-XtzJBM"", ""'APO'!D3:D139""),0))"),34)</f>
        <v>34</v>
      </c>
      <c r="AA87" s="2">
        <f ca="1">IFERROR(__xludf.DUMMYFUNCTION("INDEX(IMPORTRANGE(""17pNv02DXDpQT9S3w4-QeNym2QJy2BzMBqDXp-XtzJBM"", ""'APO'!BI3:BI139""),MATCH($D87,IMPORTRANGE(""17pNv02DXDpQT9S3w4-QeNym2QJy2BzMBqDXp-XtzJBM"", ""'APO'!D3:D139""),0))"),93)</f>
        <v>93</v>
      </c>
      <c r="AB87" s="2">
        <f ca="1">IFERROR(__xludf.DUMMYFUNCTION("INDEX(IMPORTRANGE(""17pNv02DXDpQT9S3w4-QeNym2QJy2BzMBqDXp-XtzJBM"", ""'APO'!BJ3:BJ139""),MATCH($D87,IMPORTRANGE(""17pNv02DXDpQT9S3w4-QeNym2QJy2BzMBqDXp-XtzJBM"", ""'APO'!D3:D139""),0))"),106)</f>
        <v>106</v>
      </c>
      <c r="AC87" s="2">
        <f ca="1">IFERROR(__xludf.DUMMYFUNCTION("INDEX(IMPORTRANGE(""17pNv02DXDpQT9S3w4-QeNym2QJy2BzMBqDXp-XtzJBM"", ""'APO'!BK3:BK139""),MATCH($D87,IMPORTRANGE(""17pNv02DXDpQT9S3w4-QeNym2QJy2BzMBqDXp-XtzJBM"", ""'APO'!D3:D139""),0))"),237)</f>
        <v>237</v>
      </c>
      <c r="AD87" s="2">
        <f ca="1">IFERROR(__xludf.DUMMYFUNCTION("INDEX(IMPORTRANGE(""17pNv02DXDpQT9S3w4-QeNym2QJy2BzMBqDXp-XtzJBM"", ""'APO'!BL3:BL139""),MATCH($D87,IMPORTRANGE(""17pNv02DXDpQT9S3w4-QeNym2QJy2BzMBqDXp-XtzJBM"", ""'APO'!D3:D139""),0))"),128)</f>
        <v>128</v>
      </c>
      <c r="AE87" s="2">
        <f ca="1">IFERROR(__xludf.DUMMYFUNCTION("INDEX(IMPORTRANGE(""17pNv02DXDpQT9S3w4-QeNym2QJy2BzMBqDXp-XtzJBM"", ""'APO'!BM3:BM139""),MATCH($D87,IMPORTRANGE(""17pNv02DXDpQT9S3w4-QeNym2QJy2BzMBqDXp-XtzJBM"", ""'APO'!D3:D139""),0))"),230)</f>
        <v>230</v>
      </c>
    </row>
    <row r="88" spans="1:31">
      <c r="A88" s="149" t="s">
        <v>199</v>
      </c>
      <c r="B88" s="149" t="s">
        <v>228</v>
      </c>
      <c r="C88" s="148" t="s">
        <v>30</v>
      </c>
      <c r="D88" s="149" t="s">
        <v>239</v>
      </c>
      <c r="E88" s="149" t="s">
        <v>38</v>
      </c>
      <c r="F88" s="9" t="s">
        <v>240</v>
      </c>
      <c r="G88" s="22" t="s">
        <v>231</v>
      </c>
      <c r="H88" s="2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519</v>
      </c>
      <c r="R88" s="12">
        <v>1150</v>
      </c>
      <c r="S88" s="12">
        <f ca="1">IFERROR(__xludf.DUMMYFUNCTION("INDEX(IMPORTRANGE(""17pNv02DXDpQT9S3w4-QeNym2QJy2BzMBqDXp-XtzJBM"", ""'APO'!BG3:BG139""),MATCH($D88,IMPORTRANGE(""17pNv02DXDpQT9S3w4-QeNym2QJy2BzMBqDXp-XtzJBM"", ""'APO'!D3:D139""),0))"),1003)</f>
        <v>1003</v>
      </c>
      <c r="T88" s="13"/>
      <c r="U88" s="13"/>
      <c r="V88" s="13"/>
      <c r="W88" s="13"/>
      <c r="X88" s="13"/>
      <c r="Y88" s="13"/>
      <c r="Z88" s="2">
        <f ca="1">IFERROR(__xludf.DUMMYFUNCTION("INDEX(IMPORTRANGE(""17pNv02DXDpQT9S3w4-QeNym2QJy2BzMBqDXp-XtzJBM"", ""'APO'!BH3:BH139""),MATCH($D88,IMPORTRANGE(""17pNv02DXDpQT9S3w4-QeNym2QJy2BzMBqDXp-XtzJBM"", ""'APO'!D3:D139""),0))"),139)</f>
        <v>139</v>
      </c>
      <c r="AA88" s="2">
        <f ca="1">IFERROR(__xludf.DUMMYFUNCTION("INDEX(IMPORTRANGE(""17pNv02DXDpQT9S3w4-QeNym2QJy2BzMBqDXp-XtzJBM"", ""'APO'!BI3:BI139""),MATCH($D88,IMPORTRANGE(""17pNv02DXDpQT9S3w4-QeNym2QJy2BzMBqDXp-XtzJBM"", ""'APO'!D3:D139""),0))"),324)</f>
        <v>324</v>
      </c>
      <c r="AB88" s="2">
        <f ca="1">IFERROR(__xludf.DUMMYFUNCTION("INDEX(IMPORTRANGE(""17pNv02DXDpQT9S3w4-QeNym2QJy2BzMBqDXp-XtzJBM"", ""'APO'!BJ3:BJ139""),MATCH($D88,IMPORTRANGE(""17pNv02DXDpQT9S3w4-QeNym2QJy2BzMBqDXp-XtzJBM"", ""'APO'!D3:D139""),0))"),426)</f>
        <v>426</v>
      </c>
      <c r="AC88" s="2">
        <f ca="1">IFERROR(__xludf.DUMMYFUNCTION("INDEX(IMPORTRANGE(""17pNv02DXDpQT9S3w4-QeNym2QJy2BzMBqDXp-XtzJBM"", ""'APO'!BK3:BK139""),MATCH($D88,IMPORTRANGE(""17pNv02DXDpQT9S3w4-QeNym2QJy2BzMBqDXp-XtzJBM"", ""'APO'!D3:D139""),0))"),710)</f>
        <v>710</v>
      </c>
      <c r="AD88" s="2">
        <f ca="1">IFERROR(__xludf.DUMMYFUNCTION("INDEX(IMPORTRANGE(""17pNv02DXDpQT9S3w4-QeNym2QJy2BzMBqDXp-XtzJBM"", ""'APO'!BL3:BL139""),MATCH($D88,IMPORTRANGE(""17pNv02DXDpQT9S3w4-QeNym2QJy2BzMBqDXp-XtzJBM"", ""'APO'!D3:D139""),0))"),311)</f>
        <v>311</v>
      </c>
      <c r="AE88" s="2">
        <f ca="1">IFERROR(__xludf.DUMMYFUNCTION("INDEX(IMPORTRANGE(""17pNv02DXDpQT9S3w4-QeNym2QJy2BzMBqDXp-XtzJBM"", ""'APO'!BM3:BM139""),MATCH($D88,IMPORTRANGE(""17pNv02DXDpQT9S3w4-QeNym2QJy2BzMBqDXp-XtzJBM"", ""'APO'!D3:D139""),0))"),647)</f>
        <v>647</v>
      </c>
    </row>
    <row r="89" spans="1:31">
      <c r="A89" s="149" t="s">
        <v>199</v>
      </c>
      <c r="B89" s="149" t="s">
        <v>228</v>
      </c>
      <c r="C89" s="148" t="s">
        <v>36</v>
      </c>
      <c r="D89" s="149" t="s">
        <v>241</v>
      </c>
      <c r="E89" s="149" t="s">
        <v>38</v>
      </c>
      <c r="F89" s="2" t="s">
        <v>242</v>
      </c>
      <c r="G89" s="22" t="s">
        <v>231</v>
      </c>
      <c r="H89" s="2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 t="shared" ref="Q89:R89" si="22">SUM(Q84:Q88)</f>
        <v>2257</v>
      </c>
      <c r="R89" s="12">
        <f t="shared" si="22"/>
        <v>4158</v>
      </c>
      <c r="S89" s="12">
        <f ca="1">IFERROR(__xludf.DUMMYFUNCTION("INDEX(IMPORTRANGE(""17pNv02DXDpQT9S3w4-QeNym2QJy2BzMBqDXp-XtzJBM"", ""'APO'!BG3:BG139""),MATCH($D89,IMPORTRANGE(""17pNv02DXDpQT9S3w4-QeNym2QJy2BzMBqDXp-XtzJBM"", ""'APO'!D3:D139""),0))"),3861)</f>
        <v>3861</v>
      </c>
      <c r="T89" s="22">
        <v>4038</v>
      </c>
      <c r="U89" s="22">
        <v>2212</v>
      </c>
      <c r="V89" s="22">
        <v>3928</v>
      </c>
      <c r="W89" s="22">
        <v>2167</v>
      </c>
      <c r="X89" s="24">
        <f ca="1">+S89*(1+(Y89-R89)/R89)</f>
        <v>3526.7142857142858</v>
      </c>
      <c r="Y89" s="2">
        <v>3798</v>
      </c>
      <c r="Z89" s="12">
        <f ca="1">IFERROR(__xludf.DUMMYFUNCTION("INDEX(IMPORTRANGE(""17pNv02DXDpQT9S3w4-QeNym2QJy2BzMBqDXp-XtzJBM"", ""'APO'!BH3:BH139""),MATCH($D89,IMPORTRANGE(""17pNv02DXDpQT9S3w4-QeNym2QJy2BzMBqDXp-XtzJBM"", ""'APO'!D3:D139""),0))"),1093)</f>
        <v>1093</v>
      </c>
      <c r="AA89" s="12">
        <f ca="1">IFERROR(__xludf.DUMMYFUNCTION("INDEX(IMPORTRANGE(""17pNv02DXDpQT9S3w4-QeNym2QJy2BzMBqDXp-XtzJBM"", ""'APO'!BI3:BI139""),MATCH($D89,IMPORTRANGE(""17pNv02DXDpQT9S3w4-QeNym2QJy2BzMBqDXp-XtzJBM"", ""'APO'!D3:D139""),0))"),2438)</f>
        <v>2438</v>
      </c>
      <c r="AB89" s="12">
        <f ca="1">IFERROR(__xludf.DUMMYFUNCTION("INDEX(IMPORTRANGE(""17pNv02DXDpQT9S3w4-QeNym2QJy2BzMBqDXp-XtzJBM"", ""'APO'!BJ3:BJ139""),MATCH($D89,IMPORTRANGE(""17pNv02DXDpQT9S3w4-QeNym2QJy2BzMBqDXp-XtzJBM"", ""'APO'!D3:D139""),0))"),2058)</f>
        <v>2058</v>
      </c>
      <c r="AC89" s="12">
        <f ca="1">IFERROR(__xludf.DUMMYFUNCTION("INDEX(IMPORTRANGE(""17pNv02DXDpQT9S3w4-QeNym2QJy2BzMBqDXp-XtzJBM"", ""'APO'!BK3:BK139""),MATCH($D89,IMPORTRANGE(""17pNv02DXDpQT9S3w4-QeNym2QJy2BzMBqDXp-XtzJBM"", ""'APO'!D3:D139""),0))"),3922)</f>
        <v>3922</v>
      </c>
      <c r="AD89" s="12">
        <f ca="1">IFERROR(__xludf.DUMMYFUNCTION("INDEX(IMPORTRANGE(""17pNv02DXDpQT9S3w4-QeNym2QJy2BzMBqDXp-XtzJBM"", ""'APO'!BL3:BL139""),MATCH($D89,IMPORTRANGE(""17pNv02DXDpQT9S3w4-QeNym2QJy2BzMBqDXp-XtzJBM"", ""'APO'!D3:D139""),0))"),2115)</f>
        <v>2115</v>
      </c>
      <c r="AE89" s="12">
        <f ca="1">IFERROR(__xludf.DUMMYFUNCTION("INDEX(IMPORTRANGE(""17pNv02DXDpQT9S3w4-QeNym2QJy2BzMBqDXp-XtzJBM"", ""'APO'!BM3:BM139""),MATCH($D89,IMPORTRANGE(""17pNv02DXDpQT9S3w4-QeNym2QJy2BzMBqDXp-XtzJBM"", ""'APO'!D3:D139""),0))"),3523)</f>
        <v>3523</v>
      </c>
    </row>
    <row r="90" spans="1:31">
      <c r="A90" s="149" t="s">
        <v>243</v>
      </c>
      <c r="B90" s="149" t="s">
        <v>244</v>
      </c>
      <c r="C90" s="148" t="s">
        <v>36</v>
      </c>
      <c r="D90" s="149" t="s">
        <v>338</v>
      </c>
      <c r="E90" s="149" t="s">
        <v>38</v>
      </c>
      <c r="F90" s="9" t="s">
        <v>246</v>
      </c>
      <c r="G90" s="22" t="s">
        <v>56</v>
      </c>
      <c r="H90" s="2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3</v>
      </c>
      <c r="R90" s="2">
        <v>3</v>
      </c>
      <c r="S90" s="2">
        <f ca="1">IFERROR(__xludf.DUMMYFUNCTION("INDEX(IMPORTRANGE(""17pNv02DXDpQT9S3w4-QeNym2QJy2BzMBqDXp-XtzJBM"", ""'APO'!BG3:BG139""),MATCH($D90,IMPORTRANGE(""17pNv02DXDpQT9S3w4-QeNym2QJy2BzMBqDXp-XtzJBM"", ""'APO'!D3:D139""),0))"),3)</f>
        <v>3</v>
      </c>
      <c r="T90" s="22">
        <v>5</v>
      </c>
      <c r="U90" s="57">
        <v>3</v>
      </c>
      <c r="V90" s="22">
        <v>7</v>
      </c>
      <c r="W90" s="22">
        <v>5</v>
      </c>
      <c r="X90" s="218">
        <f>(Y90-W90)*5/6+W90</f>
        <v>9.1666666666666679</v>
      </c>
      <c r="Y90" s="22">
        <v>10</v>
      </c>
      <c r="Z90" s="2">
        <f ca="1">IFERROR(__xludf.DUMMYFUNCTION("INDEX(IMPORTRANGE(""17pNv02DXDpQT9S3w4-QeNym2QJy2BzMBqDXp-XtzJBM"", ""'APO'!BH3:BH139""),MATCH($D90,IMPORTRANGE(""17pNv02DXDpQT9S3w4-QeNym2QJy2BzMBqDXp-XtzJBM"", ""'APO'!D3:D139""),0))"),3)</f>
        <v>3</v>
      </c>
      <c r="AA90" s="2">
        <f ca="1">IFERROR(__xludf.DUMMYFUNCTION("INDEX(IMPORTRANGE(""17pNv02DXDpQT9S3w4-QeNym2QJy2BzMBqDXp-XtzJBM"", ""'APO'!BI3:BI139""),MATCH($D90,IMPORTRANGE(""17pNv02DXDpQT9S3w4-QeNym2QJy2BzMBqDXp-XtzJBM"", ""'APO'!D3:D139""),0))"),6)</f>
        <v>6</v>
      </c>
      <c r="AB90" s="2">
        <f ca="1">IFERROR(__xludf.DUMMYFUNCTION("INDEX(IMPORTRANGE(""17pNv02DXDpQT9S3w4-QeNym2QJy2BzMBqDXp-XtzJBM"", ""'APO'!BJ3:BJ139""),MATCH($D90,IMPORTRANGE(""17pNv02DXDpQT9S3w4-QeNym2QJy2BzMBqDXp-XtzJBM"", ""'APO'!D3:D139""),0))"),7)</f>
        <v>7</v>
      </c>
      <c r="AC90" s="2">
        <f ca="1">IFERROR(__xludf.DUMMYFUNCTION("INDEX(IMPORTRANGE(""17pNv02DXDpQT9S3w4-QeNym2QJy2BzMBqDXp-XtzJBM"", ""'APO'!BK3:BK139""),MATCH($D90,IMPORTRANGE(""17pNv02DXDpQT9S3w4-QeNym2QJy2BzMBqDXp-XtzJBM"", ""'APO'!D3:D139""),0))"),14)</f>
        <v>14</v>
      </c>
      <c r="AD90" s="2">
        <f ca="1">IFERROR(__xludf.DUMMYFUNCTION("INDEX(IMPORTRANGE(""17pNv02DXDpQT9S3w4-QeNym2QJy2BzMBqDXp-XtzJBM"", ""'APO'!BL3:BL139""),MATCH($D90,IMPORTRANGE(""17pNv02DXDpQT9S3w4-QeNym2QJy2BzMBqDXp-XtzJBM"", ""'APO'!D3:D139""),0))"),5)</f>
        <v>5</v>
      </c>
      <c r="AE90" s="2">
        <f ca="1">IFERROR(__xludf.DUMMYFUNCTION("INDEX(IMPORTRANGE(""17pNv02DXDpQT9S3w4-QeNym2QJy2BzMBqDXp-XtzJBM"", ""'APO'!BM3:BM139""),MATCH($D90,IMPORTRANGE(""17pNv02DXDpQT9S3w4-QeNym2QJy2BzMBqDXp-XtzJBM"", ""'APO'!D3:D139""),0))"),20)</f>
        <v>20</v>
      </c>
    </row>
    <row r="91" spans="1:31">
      <c r="A91" s="149" t="s">
        <v>243</v>
      </c>
      <c r="B91" s="149" t="s">
        <v>247</v>
      </c>
      <c r="C91" s="148" t="s">
        <v>36</v>
      </c>
      <c r="D91" s="149" t="s">
        <v>248</v>
      </c>
      <c r="E91" s="149" t="s">
        <v>38</v>
      </c>
      <c r="F91" s="9" t="s">
        <v>249</v>
      </c>
      <c r="G91" s="10">
        <v>44469</v>
      </c>
      <c r="H91" s="10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9" t="s">
        <v>361</v>
      </c>
      <c r="P91" s="11">
        <v>45565</v>
      </c>
      <c r="Q91" s="12">
        <v>3</v>
      </c>
      <c r="R91" s="2">
        <v>3</v>
      </c>
      <c r="S91" s="2">
        <f ca="1">IFERROR(__xludf.DUMMYFUNCTION("INDEX(IMPORTRANGE(""17pNv02DXDpQT9S3w4-QeNym2QJy2BzMBqDXp-XtzJBM"", ""'APO'!BG3:BG139""),MATCH($D91,IMPORTRANGE(""17pNv02DXDpQT9S3w4-QeNym2QJy2BzMBqDXp-XtzJBM"", ""'APO'!D3:D139""),0))"),5)</f>
        <v>5</v>
      </c>
      <c r="T91" s="2">
        <v>4</v>
      </c>
      <c r="U91" s="2">
        <v>5</v>
      </c>
      <c r="V91" s="2">
        <v>5</v>
      </c>
      <c r="W91" s="2">
        <v>6</v>
      </c>
      <c r="X91" s="2">
        <v>6</v>
      </c>
      <c r="Y91" s="2">
        <v>6</v>
      </c>
      <c r="Z91" s="2">
        <f ca="1">IFERROR(__xludf.DUMMYFUNCTION("INDEX(IMPORTRANGE(""17pNv02DXDpQT9S3w4-QeNym2QJy2BzMBqDXp-XtzJBM"", ""'APO'!BH3:BH139""),MATCH($D91,IMPORTRANGE(""17pNv02DXDpQT9S3w4-QeNym2QJy2BzMBqDXp-XtzJBM"", ""'APO'!D3:D139""),0))"),5)</f>
        <v>5</v>
      </c>
      <c r="AA91" s="2">
        <f ca="1">IFERROR(__xludf.DUMMYFUNCTION("INDEX(IMPORTRANGE(""17pNv02DXDpQT9S3w4-QeNym2QJy2BzMBqDXp-XtzJBM"", ""'APO'!BI3:BI139""),MATCH($D91,IMPORTRANGE(""17pNv02DXDpQT9S3w4-QeNym2QJy2BzMBqDXp-XtzJBM"", ""'APO'!D3:D139""),0))"),5)</f>
        <v>5</v>
      </c>
      <c r="AB91" s="2">
        <f ca="1">IFERROR(__xludf.DUMMYFUNCTION("INDEX(IMPORTRANGE(""17pNv02DXDpQT9S3w4-QeNym2QJy2BzMBqDXp-XtzJBM"", ""'APO'!BJ3:BJ139""),MATCH($D91,IMPORTRANGE(""17pNv02DXDpQT9S3w4-QeNym2QJy2BzMBqDXp-XtzJBM"", ""'APO'!D3:D139""),0))"),5)</f>
        <v>5</v>
      </c>
      <c r="AC91" s="2">
        <f ca="1">IFERROR(__xludf.DUMMYFUNCTION("INDEX(IMPORTRANGE(""17pNv02DXDpQT9S3w4-QeNym2QJy2BzMBqDXp-XtzJBM"", ""'APO'!BK3:BK139""),MATCH($D91,IMPORTRANGE(""17pNv02DXDpQT9S3w4-QeNym2QJy2BzMBqDXp-XtzJBM"", ""'APO'!D3:D139""),0))"),6)</f>
        <v>6</v>
      </c>
      <c r="AD91" s="2">
        <f ca="1">IFERROR(__xludf.DUMMYFUNCTION("INDEX(IMPORTRANGE(""17pNv02DXDpQT9S3w4-QeNym2QJy2BzMBqDXp-XtzJBM"", ""'APO'!BL3:BL139""),MATCH($D91,IMPORTRANGE(""17pNv02DXDpQT9S3w4-QeNym2QJy2BzMBqDXp-XtzJBM"", ""'APO'!D3:D139""),0))"),6)</f>
        <v>6</v>
      </c>
      <c r="AE91" s="2">
        <f ca="1">IFERROR(__xludf.DUMMYFUNCTION("INDEX(IMPORTRANGE(""17pNv02DXDpQT9S3w4-QeNym2QJy2BzMBqDXp-XtzJBM"", ""'APO'!BM3:BM139""),MATCH($D91,IMPORTRANGE(""17pNv02DXDpQT9S3w4-QeNym2QJy2BzMBqDXp-XtzJBM"", ""'APO'!D3:D139""),0))"),7)</f>
        <v>7</v>
      </c>
    </row>
    <row r="92" spans="1:31">
      <c r="A92" s="149" t="s">
        <v>243</v>
      </c>
      <c r="B92" s="149" t="s">
        <v>250</v>
      </c>
      <c r="C92" s="148" t="s">
        <v>36</v>
      </c>
      <c r="D92" s="149" t="s">
        <v>251</v>
      </c>
      <c r="E92" s="149" t="s">
        <v>252</v>
      </c>
      <c r="F92" s="9" t="s">
        <v>253</v>
      </c>
      <c r="G92" s="10">
        <v>44469</v>
      </c>
      <c r="H92" s="10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12">
        <v>100</v>
      </c>
      <c r="R92" s="2">
        <v>100</v>
      </c>
      <c r="S92" s="2">
        <f ca="1">IFERROR(__xludf.DUMMYFUNCTION("INDEX(IMPORTRANGE(""17pNv02DXDpQT9S3w4-QeNym2QJy2BzMBqDXp-XtzJBM"", ""'APO'!BG3:BG139""),MATCH($D92,IMPORTRANGE(""17pNv02DXDpQT9S3w4-QeNym2QJy2BzMBqDXp-XtzJBM"", ""'APO'!D3:D139""),0))"),100)</f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">
        <f ca="1">IFERROR(__xludf.DUMMYFUNCTION("INDEX(IMPORTRANGE(""17pNv02DXDpQT9S3w4-QeNym2QJy2BzMBqDXp-XtzJBM"", ""'APO'!BH3:BH139""),MATCH($D92,IMPORTRANGE(""17pNv02DXDpQT9S3w4-QeNym2QJy2BzMBqDXp-XtzJBM"", ""'APO'!D3:D139""),0))"),100)</f>
        <v>100</v>
      </c>
      <c r="AA92" s="2">
        <f ca="1">IFERROR(__xludf.DUMMYFUNCTION("INDEX(IMPORTRANGE(""17pNv02DXDpQT9S3w4-QeNym2QJy2BzMBqDXp-XtzJBM"", ""'APO'!BI3:BI139""),MATCH($D92,IMPORTRANGE(""17pNv02DXDpQT9S3w4-QeNym2QJy2BzMBqDXp-XtzJBM"", ""'APO'!D3:D139""),0))"),100)</f>
        <v>100</v>
      </c>
      <c r="AB92" s="2">
        <f ca="1">IFERROR(__xludf.DUMMYFUNCTION("INDEX(IMPORTRANGE(""17pNv02DXDpQT9S3w4-QeNym2QJy2BzMBqDXp-XtzJBM"", ""'APO'!BJ3:BJ139""),MATCH($D92,IMPORTRANGE(""17pNv02DXDpQT9S3w4-QeNym2QJy2BzMBqDXp-XtzJBM"", ""'APO'!D3:D139""),0))"),100)</f>
        <v>100</v>
      </c>
      <c r="AC92" s="2">
        <f ca="1">IFERROR(__xludf.DUMMYFUNCTION("INDEX(IMPORTRANGE(""17pNv02DXDpQT9S3w4-QeNym2QJy2BzMBqDXp-XtzJBM"", ""'APO'!BK3:BK139""),MATCH($D92,IMPORTRANGE(""17pNv02DXDpQT9S3w4-QeNym2QJy2BzMBqDXp-XtzJBM"", ""'APO'!D3:D139""),0))"),100)</f>
        <v>100</v>
      </c>
      <c r="AD92" s="2">
        <f ca="1">IFERROR(__xludf.DUMMYFUNCTION("INDEX(IMPORTRANGE(""17pNv02DXDpQT9S3w4-QeNym2QJy2BzMBqDXp-XtzJBM"", ""'APO'!BL3:BL139""),MATCH($D92,IMPORTRANGE(""17pNv02DXDpQT9S3w4-QeNym2QJy2BzMBqDXp-XtzJBM"", ""'APO'!D3:D139""),0))"),100)</f>
        <v>100</v>
      </c>
      <c r="AE92" s="2">
        <f ca="1">IFERROR(__xludf.DUMMYFUNCTION("INDEX(IMPORTRANGE(""17pNv02DXDpQT9S3w4-QeNym2QJy2BzMBqDXp-XtzJBM"", ""'APO'!BM3:BM139""),MATCH($D92,IMPORTRANGE(""17pNv02DXDpQT9S3w4-QeNym2QJy2BzMBqDXp-XtzJBM"", ""'APO'!D3:D139""),0))"),100)</f>
        <v>100</v>
      </c>
    </row>
    <row r="93" spans="1:31">
      <c r="A93" s="149" t="s">
        <v>243</v>
      </c>
      <c r="B93" s="149" t="s">
        <v>257</v>
      </c>
      <c r="C93" s="148" t="s">
        <v>36</v>
      </c>
      <c r="D93" s="149" t="s">
        <v>258</v>
      </c>
      <c r="E93" s="149" t="s">
        <v>38</v>
      </c>
      <c r="F93" s="9" t="s">
        <v>259</v>
      </c>
      <c r="G93" s="10">
        <v>44469</v>
      </c>
      <c r="H93" s="10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9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""'APO'!BG3:BG139""),MATCH($D93,IMPORTRANGE(""17pNv02DXDpQT9S3w4-QeNym2QJy2BzMBqDXp-XtzJBM"", ""'APO'!D3:D139""),0))"),0)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24">
        <f ca="1">IFERROR(__xludf.DUMMYFUNCTION("INDEX(IMPORTRANGE(""17pNv02DXDpQT9S3w4-QeNym2QJy2BzMBqDXp-XtzJBM"", ""'APO'!BH3:BH139""),MATCH($D93,IMPORTRANGE(""17pNv02DXDpQT9S3w4-QeNym2QJy2BzMBqDXp-XtzJBM"", ""'APO'!D3:D139""),0))"),0)</f>
        <v>0</v>
      </c>
      <c r="AA93" s="24">
        <f ca="1">IFERROR(__xludf.DUMMYFUNCTION("INDEX(IMPORTRANGE(""17pNv02DXDpQT9S3w4-QeNym2QJy2BzMBqDXp-XtzJBM"", ""'APO'!BI3:BI139""),MATCH($D93,IMPORTRANGE(""17pNv02DXDpQT9S3w4-QeNym2QJy2BzMBqDXp-XtzJBM"", ""'APO'!D3:D139""),0))"),3.17045454545454)</f>
        <v>3.1704545454545401</v>
      </c>
      <c r="AB93" s="24">
        <f ca="1">IFERROR(__xludf.DUMMYFUNCTION("INDEX(IMPORTRANGE(""17pNv02DXDpQT9S3w4-QeNym2QJy2BzMBqDXp-XtzJBM"", ""'APO'!BJ3:BJ139""),MATCH($D93,IMPORTRANGE(""17pNv02DXDpQT9S3w4-QeNym2QJy2BzMBqDXp-XtzJBM"", ""'APO'!D3:D139""),0))"),2.85849444672974)</f>
        <v>2.8584944467297402</v>
      </c>
      <c r="AC93" s="24">
        <f ca="1">IFERROR(__xludf.DUMMYFUNCTION("INDEX(IMPORTRANGE(""17pNv02DXDpQT9S3w4-QeNym2QJy2BzMBqDXp-XtzJBM"", ""'APO'!BK3:BK139""),MATCH($D93,IMPORTRANGE(""17pNv02DXDpQT9S3w4-QeNym2QJy2BzMBqDXp-XtzJBM"", ""'APO'!D3:D139""),0))"),2.96750308515014)</f>
        <v>2.9675030851501401</v>
      </c>
      <c r="AD93" s="24">
        <f ca="1">IFERROR(__xludf.DUMMYFUNCTION("INDEX(IMPORTRANGE(""17pNv02DXDpQT9S3w4-QeNym2QJy2BzMBqDXp-XtzJBM"", ""'APO'!BL3:BL139""),MATCH($D93,IMPORTRANGE(""17pNv02DXDpQT9S3w4-QeNym2QJy2BzMBqDXp-XtzJBM"", ""'APO'!D3:D139""),0))"),3.22912381735911)</f>
        <v>3.2291238173591101</v>
      </c>
      <c r="AE93" s="24">
        <f ca="1">IFERROR(__xludf.DUMMYFUNCTION("INDEX(IMPORTRANGE(""17pNv02DXDpQT9S3w4-QeNym2QJy2BzMBqDXp-XtzJBM"", ""'APO'!BM3:BM139""),MATCH($D93,IMPORTRANGE(""17pNv02DXDpQT9S3w4-QeNym2QJy2BzMBqDXp-XtzJBM"", ""'APO'!D3:D139""),0))"),3.35211846976552)</f>
        <v>3.3521184697655202</v>
      </c>
    </row>
    <row r="94" spans="1:31">
      <c r="A94" s="149" t="s">
        <v>243</v>
      </c>
      <c r="B94" s="149" t="s">
        <v>260</v>
      </c>
      <c r="C94" s="148" t="s">
        <v>30</v>
      </c>
      <c r="D94" s="149" t="s">
        <v>261</v>
      </c>
      <c r="E94" s="149" t="s">
        <v>38</v>
      </c>
      <c r="F94" s="9" t="s">
        <v>262</v>
      </c>
      <c r="G94" s="10">
        <v>44469</v>
      </c>
      <c r="H94" s="42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4"/>
      <c r="P94" s="11">
        <v>45565</v>
      </c>
      <c r="Q94" s="13"/>
      <c r="R94" s="13"/>
      <c r="S94" s="1" t="str">
        <f ca="1">IFERROR(__xludf.DUMMYFUNCTION("INDEX(IMPORTRANGE(""17pNv02DXDpQT9S3w4-QeNym2QJy2BzMBqDXp-XtzJBM"", ""'APO'!BG3:BG139""),MATCH($D94,IMPORTRANGE(""17pNv02DXDpQT9S3w4-QeNym2QJy2BzMBqDXp-XtzJBM"", ""'APO'!D3:D139""),0))"),"")</f>
        <v/>
      </c>
      <c r="T94" s="13"/>
      <c r="U94" s="13"/>
      <c r="V94" s="13"/>
      <c r="W94" s="13"/>
      <c r="X94" s="13"/>
      <c r="Y94" s="13"/>
      <c r="Z94" s="2">
        <f ca="1">IFERROR(__xludf.DUMMYFUNCTION("INDEX(IMPORTRANGE(""17pNv02DXDpQT9S3w4-QeNym2QJy2BzMBqDXp-XtzJBM"", ""'APO'!BH3:BH139""),MATCH($D94,IMPORTRANGE(""17pNv02DXDpQT9S3w4-QeNym2QJy2BzMBqDXp-XtzJBM"", ""'APO'!D3:D139""),0))"),5)</f>
        <v>5</v>
      </c>
      <c r="AA94" s="2">
        <f ca="1">IFERROR(__xludf.DUMMYFUNCTION("INDEX(IMPORTRANGE(""17pNv02DXDpQT9S3w4-QeNym2QJy2BzMBqDXp-XtzJBM"", ""'APO'!BI3:BI139""),MATCH($D94,IMPORTRANGE(""17pNv02DXDpQT9S3w4-QeNym2QJy2BzMBqDXp-XtzJBM"", ""'APO'!D3:D139""),0))"),5)</f>
        <v>5</v>
      </c>
      <c r="AB94" s="2">
        <f ca="1">IFERROR(__xludf.DUMMYFUNCTION("INDEX(IMPORTRANGE(""17pNv02DXDpQT9S3w4-QeNym2QJy2BzMBqDXp-XtzJBM"", ""'APO'!BJ3:BJ139""),MATCH($D94,IMPORTRANGE(""17pNv02DXDpQT9S3w4-QeNym2QJy2BzMBqDXp-XtzJBM"", ""'APO'!D3:D139""),0))"),6)</f>
        <v>6</v>
      </c>
      <c r="AC94" s="2" t="str">
        <f ca="1">IFERROR(__xludf.DUMMYFUNCTION("INDEX(IMPORTRANGE(""17pNv02DXDpQT9S3w4-QeNym2QJy2BzMBqDXp-XtzJBM"", ""'APO'!BK3:BK139""),MATCH($D94,IMPORTRANGE(""17pNv02DXDpQT9S3w4-QeNym2QJy2BzMBqDXp-XtzJBM"", ""'APO'!D3:D139""),0))"),"")</f>
        <v/>
      </c>
      <c r="AD94" s="2">
        <f ca="1">IFERROR(__xludf.DUMMYFUNCTION("INDEX(IMPORTRANGE(""17pNv02DXDpQT9S3w4-QeNym2QJy2BzMBqDXp-XtzJBM"", ""'APO'!BL3:BL139""),MATCH($D94,IMPORTRANGE(""17pNv02DXDpQT9S3w4-QeNym2QJy2BzMBqDXp-XtzJBM"", ""'APO'!D3:D139""),0))"),6)</f>
        <v>6</v>
      </c>
      <c r="AE94" s="2">
        <f ca="1">IFERROR(__xludf.DUMMYFUNCTION("INDEX(IMPORTRANGE(""17pNv02DXDpQT9S3w4-QeNym2QJy2BzMBqDXp-XtzJBM"", ""'APO'!BM3:BM139""),MATCH($D94,IMPORTRANGE(""17pNv02DXDpQT9S3w4-QeNym2QJy2BzMBqDXp-XtzJBM"", ""'APO'!D3:D139""),0))"),6)</f>
        <v>6</v>
      </c>
    </row>
    <row r="95" spans="1:31">
      <c r="A95" s="149" t="s">
        <v>243</v>
      </c>
      <c r="B95" s="149" t="s">
        <v>260</v>
      </c>
      <c r="C95" s="148" t="s">
        <v>30</v>
      </c>
      <c r="D95" s="149" t="s">
        <v>263</v>
      </c>
      <c r="E95" s="149" t="s">
        <v>38</v>
      </c>
      <c r="F95" s="9" t="s">
        <v>264</v>
      </c>
      <c r="G95" s="10">
        <v>44469</v>
      </c>
      <c r="H95" s="43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4"/>
      <c r="P95" s="11">
        <v>45565</v>
      </c>
      <c r="Q95" s="13"/>
      <c r="R95" s="13"/>
      <c r="S95" s="1" t="str">
        <f ca="1">IFERROR(__xludf.DUMMYFUNCTION("INDEX(IMPORTRANGE(""17pNv02DXDpQT9S3w4-QeNym2QJy2BzMBqDXp-XtzJBM"", ""'APO'!BG3:BG139""),MATCH($D95,IMPORTRANGE(""17pNv02DXDpQT9S3w4-QeNym2QJy2BzMBqDXp-XtzJBM"", ""'APO'!D3:D139""),0))"),"")</f>
        <v/>
      </c>
      <c r="T95" s="13"/>
      <c r="U95" s="13"/>
      <c r="V95" s="13"/>
      <c r="W95" s="13"/>
      <c r="X95" s="13"/>
      <c r="Y95" s="13"/>
      <c r="Z95" s="2">
        <f ca="1">IFERROR(__xludf.DUMMYFUNCTION("INDEX(IMPORTRANGE(""17pNv02DXDpQT9S3w4-QeNym2QJy2BzMBqDXp-XtzJBM"", ""'APO'!BH3:BH139""),MATCH($D95,IMPORTRANGE(""17pNv02DXDpQT9S3w4-QeNym2QJy2BzMBqDXp-XtzJBM"", ""'APO'!D3:D139""),0))"),17)</f>
        <v>17</v>
      </c>
      <c r="AA95" s="2">
        <f ca="1">IFERROR(__xludf.DUMMYFUNCTION("INDEX(IMPORTRANGE(""17pNv02DXDpQT9S3w4-QeNym2QJy2BzMBqDXp-XtzJBM"", ""'APO'!BI3:BI139""),MATCH($D95,IMPORTRANGE(""17pNv02DXDpQT9S3w4-QeNym2QJy2BzMBqDXp-XtzJBM"", ""'APO'!D3:D139""),0))"),17)</f>
        <v>17</v>
      </c>
      <c r="AB95" s="2">
        <f ca="1">IFERROR(__xludf.DUMMYFUNCTION("INDEX(IMPORTRANGE(""17pNv02DXDpQT9S3w4-QeNym2QJy2BzMBqDXp-XtzJBM"", ""'APO'!BJ3:BJ139""),MATCH($D95,IMPORTRANGE(""17pNv02DXDpQT9S3w4-QeNym2QJy2BzMBqDXp-XtzJBM"", ""'APO'!D3:D139""),0))"),17)</f>
        <v>17</v>
      </c>
      <c r="AC95" s="2">
        <f ca="1">IFERROR(__xludf.DUMMYFUNCTION("INDEX(IMPORTRANGE(""17pNv02DXDpQT9S3w4-QeNym2QJy2BzMBqDXp-XtzJBM"", ""'APO'!BK3:BK139""),MATCH($D95,IMPORTRANGE(""17pNv02DXDpQT9S3w4-QeNym2QJy2BzMBqDXp-XtzJBM"", ""'APO'!D3:D139""),0))"),0)</f>
        <v>0</v>
      </c>
      <c r="AD95" s="2">
        <f ca="1">IFERROR(__xludf.DUMMYFUNCTION("INDEX(IMPORTRANGE(""17pNv02DXDpQT9S3w4-QeNym2QJy2BzMBqDXp-XtzJBM"", ""'APO'!BL3:BL139""),MATCH($D95,IMPORTRANGE(""17pNv02DXDpQT9S3w4-QeNym2QJy2BzMBqDXp-XtzJBM"", ""'APO'!D3:D139""),0))"),17)</f>
        <v>17</v>
      </c>
      <c r="AE95" s="2">
        <f ca="1">IFERROR(__xludf.DUMMYFUNCTION("INDEX(IMPORTRANGE(""17pNv02DXDpQT9S3w4-QeNym2QJy2BzMBqDXp-XtzJBM"", ""'APO'!BM3:BM139""),MATCH($D95,IMPORTRANGE(""17pNv02DXDpQT9S3w4-QeNym2QJy2BzMBqDXp-XtzJBM"", ""'APO'!D3:D139""),0))"),17)</f>
        <v>17</v>
      </c>
    </row>
    <row r="96" spans="1:31">
      <c r="A96" s="149" t="s">
        <v>243</v>
      </c>
      <c r="B96" s="149" t="s">
        <v>260</v>
      </c>
      <c r="C96" s="148" t="s">
        <v>30</v>
      </c>
      <c r="D96" s="149" t="s">
        <v>265</v>
      </c>
      <c r="E96" s="149" t="s">
        <v>38</v>
      </c>
      <c r="F96" s="9" t="s">
        <v>266</v>
      </c>
      <c r="G96" s="10">
        <v>44469</v>
      </c>
      <c r="H96" s="43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4"/>
      <c r="P96" s="11">
        <v>45565</v>
      </c>
      <c r="Q96" s="13"/>
      <c r="R96" s="13"/>
      <c r="S96" s="1" t="str">
        <f ca="1">IFERROR(__xludf.DUMMYFUNCTION("INDEX(IMPORTRANGE(""17pNv02DXDpQT9S3w4-QeNym2QJy2BzMBqDXp-XtzJBM"", ""'APO'!BG3:BG139""),MATCH($D96,IMPORTRANGE(""17pNv02DXDpQT9S3w4-QeNym2QJy2BzMBqDXp-XtzJBM"", ""'APO'!D3:D139""),0))"),"")</f>
        <v/>
      </c>
      <c r="T96" s="13"/>
      <c r="U96" s="13"/>
      <c r="V96" s="13"/>
      <c r="W96" s="13"/>
      <c r="X96" s="13"/>
      <c r="Y96" s="13"/>
      <c r="Z96" s="2">
        <f ca="1">IFERROR(__xludf.DUMMYFUNCTION("INDEX(IMPORTRANGE(""17pNv02DXDpQT9S3w4-QeNym2QJy2BzMBqDXp-XtzJBM"", ""'APO'!BH3:BH139""),MATCH($D96,IMPORTRANGE(""17pNv02DXDpQT9S3w4-QeNym2QJy2BzMBqDXp-XtzJBM"", ""'APO'!D3:D139""),0))"),4)</f>
        <v>4</v>
      </c>
      <c r="AA96" s="2">
        <f ca="1">IFERROR(__xludf.DUMMYFUNCTION("INDEX(IMPORTRANGE(""17pNv02DXDpQT9S3w4-QeNym2QJy2BzMBqDXp-XtzJBM"", ""'APO'!BI3:BI139""),MATCH($D96,IMPORTRANGE(""17pNv02DXDpQT9S3w4-QeNym2QJy2BzMBqDXp-XtzJBM"", ""'APO'!D3:D139""),0))"),4)</f>
        <v>4</v>
      </c>
      <c r="AB96" s="2">
        <f ca="1">IFERROR(__xludf.DUMMYFUNCTION("INDEX(IMPORTRANGE(""17pNv02DXDpQT9S3w4-QeNym2QJy2BzMBqDXp-XtzJBM"", ""'APO'!BJ3:BJ139""),MATCH($D96,IMPORTRANGE(""17pNv02DXDpQT9S3w4-QeNym2QJy2BzMBqDXp-XtzJBM"", ""'APO'!D3:D139""),0))"),4)</f>
        <v>4</v>
      </c>
      <c r="AC96" s="2" t="str">
        <f ca="1">IFERROR(__xludf.DUMMYFUNCTION("INDEX(IMPORTRANGE(""17pNv02DXDpQT9S3w4-QeNym2QJy2BzMBqDXp-XtzJBM"", ""'APO'!BK3:BK139""),MATCH($D96,IMPORTRANGE(""17pNv02DXDpQT9S3w4-QeNym2QJy2BzMBqDXp-XtzJBM"", ""'APO'!D3:D139""),0))"),"")</f>
        <v/>
      </c>
      <c r="AD96" s="2">
        <f ca="1">IFERROR(__xludf.DUMMYFUNCTION("INDEX(IMPORTRANGE(""17pNv02DXDpQT9S3w4-QeNym2QJy2BzMBqDXp-XtzJBM"", ""'APO'!BL3:BL139""),MATCH($D96,IMPORTRANGE(""17pNv02DXDpQT9S3w4-QeNym2QJy2BzMBqDXp-XtzJBM"", ""'APO'!D3:D139""),0))"),4)</f>
        <v>4</v>
      </c>
      <c r="AE96" s="2">
        <f ca="1">IFERROR(__xludf.DUMMYFUNCTION("INDEX(IMPORTRANGE(""17pNv02DXDpQT9S3w4-QeNym2QJy2BzMBqDXp-XtzJBM"", ""'APO'!BM3:BM139""),MATCH($D96,IMPORTRANGE(""17pNv02DXDpQT9S3w4-QeNym2QJy2BzMBqDXp-XtzJBM"", ""'APO'!D3:D139""),0))"),5)</f>
        <v>5</v>
      </c>
    </row>
    <row r="97" spans="1:31">
      <c r="A97" s="149" t="s">
        <v>243</v>
      </c>
      <c r="B97" s="149" t="s">
        <v>260</v>
      </c>
      <c r="C97" s="148" t="s">
        <v>30</v>
      </c>
      <c r="D97" s="149" t="s">
        <v>267</v>
      </c>
      <c r="E97" s="149" t="s">
        <v>38</v>
      </c>
      <c r="F97" s="9" t="s">
        <v>268</v>
      </c>
      <c r="G97" s="10">
        <v>44469</v>
      </c>
      <c r="H97" s="43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4"/>
      <c r="P97" s="11">
        <v>45565</v>
      </c>
      <c r="Q97" s="13"/>
      <c r="R97" s="13"/>
      <c r="S97" s="1" t="str">
        <f ca="1">IFERROR(__xludf.DUMMYFUNCTION("INDEX(IMPORTRANGE(""17pNv02DXDpQT9S3w4-QeNym2QJy2BzMBqDXp-XtzJBM"", ""'APO'!BG3:BG139""),MATCH($D97,IMPORTRANGE(""17pNv02DXDpQT9S3w4-QeNym2QJy2BzMBqDXp-XtzJBM"", ""'APO'!D3:D139""),0))"),"")</f>
        <v/>
      </c>
      <c r="T97" s="13"/>
      <c r="U97" s="13"/>
      <c r="V97" s="13"/>
      <c r="W97" s="13"/>
      <c r="X97" s="13"/>
      <c r="Y97" s="13"/>
      <c r="Z97" s="2">
        <f ca="1">IFERROR(__xludf.DUMMYFUNCTION("INDEX(IMPORTRANGE(""17pNv02DXDpQT9S3w4-QeNym2QJy2BzMBqDXp-XtzJBM"", ""'APO'!BH3:BH139""),MATCH($D97,IMPORTRANGE(""17pNv02DXDpQT9S3w4-QeNym2QJy2BzMBqDXp-XtzJBM"", ""'APO'!D3:D139""),0))"),9)</f>
        <v>9</v>
      </c>
      <c r="AA97" s="2">
        <f ca="1">IFERROR(__xludf.DUMMYFUNCTION("INDEX(IMPORTRANGE(""17pNv02DXDpQT9S3w4-QeNym2QJy2BzMBqDXp-XtzJBM"", ""'APO'!BI3:BI139""),MATCH($D97,IMPORTRANGE(""17pNv02DXDpQT9S3w4-QeNym2QJy2BzMBqDXp-XtzJBM"", ""'APO'!D3:D139""),0))"),11)</f>
        <v>11</v>
      </c>
      <c r="AB97" s="2">
        <f ca="1">IFERROR(__xludf.DUMMYFUNCTION("INDEX(IMPORTRANGE(""17pNv02DXDpQT9S3w4-QeNym2QJy2BzMBqDXp-XtzJBM"", ""'APO'!BJ3:BJ139""),MATCH($D97,IMPORTRANGE(""17pNv02DXDpQT9S3w4-QeNym2QJy2BzMBqDXp-XtzJBM"", ""'APO'!D3:D139""),0))"),11)</f>
        <v>11</v>
      </c>
      <c r="AC97" s="2">
        <f ca="1">IFERROR(__xludf.DUMMYFUNCTION("INDEX(IMPORTRANGE(""17pNv02DXDpQT9S3w4-QeNym2QJy2BzMBqDXp-XtzJBM"", ""'APO'!BK3:BK139""),MATCH($D97,IMPORTRANGE(""17pNv02DXDpQT9S3w4-QeNym2QJy2BzMBqDXp-XtzJBM"", ""'APO'!D3:D139""),0))"),0)</f>
        <v>0</v>
      </c>
      <c r="AD97" s="2">
        <f ca="1">IFERROR(__xludf.DUMMYFUNCTION("INDEX(IMPORTRANGE(""17pNv02DXDpQT9S3w4-QeNym2QJy2BzMBqDXp-XtzJBM"", ""'APO'!BL3:BL139""),MATCH($D97,IMPORTRANGE(""17pNv02DXDpQT9S3w4-QeNym2QJy2BzMBqDXp-XtzJBM"", ""'APO'!D3:D139""),0))"),10)</f>
        <v>10</v>
      </c>
      <c r="AE97" s="2">
        <f ca="1">IFERROR(__xludf.DUMMYFUNCTION("INDEX(IMPORTRANGE(""17pNv02DXDpQT9S3w4-QeNym2QJy2BzMBqDXp-XtzJBM"", ""'APO'!BM3:BM139""),MATCH($D97,IMPORTRANGE(""17pNv02DXDpQT9S3w4-QeNym2QJy2BzMBqDXp-XtzJBM"", ""'APO'!D3:D139""),0))"),11)</f>
        <v>11</v>
      </c>
    </row>
    <row r="98" spans="1:31">
      <c r="A98" s="149" t="s">
        <v>243</v>
      </c>
      <c r="B98" s="149" t="s">
        <v>260</v>
      </c>
      <c r="C98" s="148" t="s">
        <v>30</v>
      </c>
      <c r="D98" s="149" t="s">
        <v>269</v>
      </c>
      <c r="E98" s="149" t="s">
        <v>38</v>
      </c>
      <c r="F98" s="9" t="s">
        <v>270</v>
      </c>
      <c r="G98" s="10">
        <v>44469</v>
      </c>
      <c r="H98" s="43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4"/>
      <c r="P98" s="11">
        <v>45565</v>
      </c>
      <c r="Q98" s="13"/>
      <c r="R98" s="13"/>
      <c r="S98" s="1" t="str">
        <f ca="1">IFERROR(__xludf.DUMMYFUNCTION("INDEX(IMPORTRANGE(""17pNv02DXDpQT9S3w4-QeNym2QJy2BzMBqDXp-XtzJBM"", ""'APO'!BG3:BG139""),MATCH($D98,IMPORTRANGE(""17pNv02DXDpQT9S3w4-QeNym2QJy2BzMBqDXp-XtzJBM"", ""'APO'!D3:D139""),0))"),"")</f>
        <v/>
      </c>
      <c r="T98" s="13"/>
      <c r="U98" s="13"/>
      <c r="V98" s="13"/>
      <c r="W98" s="13"/>
      <c r="X98" s="13"/>
      <c r="Y98" s="13"/>
      <c r="Z98" s="2">
        <f ca="1">IFERROR(__xludf.DUMMYFUNCTION("INDEX(IMPORTRANGE(""17pNv02DXDpQT9S3w4-QeNym2QJy2BzMBqDXp-XtzJBM"", ""'APO'!BH3:BH139""),MATCH($D98,IMPORTRANGE(""17pNv02DXDpQT9S3w4-QeNym2QJy2BzMBqDXp-XtzJBM"", ""'APO'!D3:D139""),0))"),22)</f>
        <v>22</v>
      </c>
      <c r="AA98" s="2">
        <f ca="1">IFERROR(__xludf.DUMMYFUNCTION("INDEX(IMPORTRANGE(""17pNv02DXDpQT9S3w4-QeNym2QJy2BzMBqDXp-XtzJBM"", ""'APO'!BI3:BI139""),MATCH($D98,IMPORTRANGE(""17pNv02DXDpQT9S3w4-QeNym2QJy2BzMBqDXp-XtzJBM"", ""'APO'!D3:D139""),0))"),27)</f>
        <v>27</v>
      </c>
      <c r="AB98" s="2">
        <f ca="1">IFERROR(__xludf.DUMMYFUNCTION("INDEX(IMPORTRANGE(""17pNv02DXDpQT9S3w4-QeNym2QJy2BzMBqDXp-XtzJBM"", ""'APO'!BJ3:BJ139""),MATCH($D98,IMPORTRANGE(""17pNv02DXDpQT9S3w4-QeNym2QJy2BzMBqDXp-XtzJBM"", ""'APO'!D3:D139""),0))"),28)</f>
        <v>28</v>
      </c>
      <c r="AC98" s="2" t="str">
        <f ca="1">IFERROR(__xludf.DUMMYFUNCTION("INDEX(IMPORTRANGE(""17pNv02DXDpQT9S3w4-QeNym2QJy2BzMBqDXp-XtzJBM"", ""'APO'!BK3:BK139""),MATCH($D98,IMPORTRANGE(""17pNv02DXDpQT9S3w4-QeNym2QJy2BzMBqDXp-XtzJBM"", ""'APO'!D3:D139""),0))"),"")</f>
        <v/>
      </c>
      <c r="AD98" s="2">
        <f ca="1">IFERROR(__xludf.DUMMYFUNCTION("INDEX(IMPORTRANGE(""17pNv02DXDpQT9S3w4-QeNym2QJy2BzMBqDXp-XtzJBM"", ""'APO'!BL3:BL139""),MATCH($D98,IMPORTRANGE(""17pNv02DXDpQT9S3w4-QeNym2QJy2BzMBqDXp-XtzJBM"", ""'APO'!D3:D139""),0))"),28)</f>
        <v>28</v>
      </c>
      <c r="AE98" s="2">
        <f ca="1">IFERROR(__xludf.DUMMYFUNCTION("INDEX(IMPORTRANGE(""17pNv02DXDpQT9S3w4-QeNym2QJy2BzMBqDXp-XtzJBM"", ""'APO'!BM3:BM139""),MATCH($D98,IMPORTRANGE(""17pNv02DXDpQT9S3w4-QeNym2QJy2BzMBqDXp-XtzJBM"", ""'APO'!D3:D139""),0))"),27)</f>
        <v>27</v>
      </c>
    </row>
    <row r="99" spans="1:31">
      <c r="A99" s="149" t="s">
        <v>243</v>
      </c>
      <c r="B99" s="149" t="s">
        <v>260</v>
      </c>
      <c r="C99" s="148" t="s">
        <v>30</v>
      </c>
      <c r="D99" s="149" t="s">
        <v>271</v>
      </c>
      <c r="E99" s="149" t="s">
        <v>38</v>
      </c>
      <c r="F99" s="9" t="s">
        <v>272</v>
      </c>
      <c r="G99" s="10">
        <v>44469</v>
      </c>
      <c r="H99" s="43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4"/>
      <c r="P99" s="11">
        <v>45565</v>
      </c>
      <c r="Q99" s="13"/>
      <c r="R99" s="13"/>
      <c r="S99" s="1" t="str">
        <f ca="1">IFERROR(__xludf.DUMMYFUNCTION("INDEX(IMPORTRANGE(""17pNv02DXDpQT9S3w4-QeNym2QJy2BzMBqDXp-XtzJBM"", ""'APO'!BG3:BG139""),MATCH($D99,IMPORTRANGE(""17pNv02DXDpQT9S3w4-QeNym2QJy2BzMBqDXp-XtzJBM"", ""'APO'!D3:D139""),0))"),"")</f>
        <v/>
      </c>
      <c r="T99" s="13"/>
      <c r="U99" s="13"/>
      <c r="V99" s="13"/>
      <c r="W99" s="13"/>
      <c r="X99" s="13"/>
      <c r="Y99" s="13"/>
      <c r="Z99" s="2">
        <f ca="1">IFERROR(__xludf.DUMMYFUNCTION("INDEX(IMPORTRANGE(""17pNv02DXDpQT9S3w4-QeNym2QJy2BzMBqDXp-XtzJBM"", ""'APO'!BH3:BH139""),MATCH($D99,IMPORTRANGE(""17pNv02DXDpQT9S3w4-QeNym2QJy2BzMBqDXp-XtzJBM"", ""'APO'!D3:D139""),0))"),67)</f>
        <v>67</v>
      </c>
      <c r="AA99" s="2">
        <f ca="1">IFERROR(__xludf.DUMMYFUNCTION("INDEX(IMPORTRANGE(""17pNv02DXDpQT9S3w4-QeNym2QJy2BzMBqDXp-XtzJBM"", ""'APO'!BI3:BI139""),MATCH($D99,IMPORTRANGE(""17pNv02DXDpQT9S3w4-QeNym2QJy2BzMBqDXp-XtzJBM"", ""'APO'!D3:D139""),0))"),73)</f>
        <v>73</v>
      </c>
      <c r="AB99" s="2">
        <f ca="1">IFERROR(__xludf.DUMMYFUNCTION("INDEX(IMPORTRANGE(""17pNv02DXDpQT9S3w4-QeNym2QJy2BzMBqDXp-XtzJBM"", ""'APO'!BJ3:BJ139""),MATCH($D99,IMPORTRANGE(""17pNv02DXDpQT9S3w4-QeNym2QJy2BzMBqDXp-XtzJBM"", ""'APO'!D3:D139""),0))"),73)</f>
        <v>73</v>
      </c>
      <c r="AC99" s="2">
        <f ca="1">IFERROR(__xludf.DUMMYFUNCTION("INDEX(IMPORTRANGE(""17pNv02DXDpQT9S3w4-QeNym2QJy2BzMBqDXp-XtzJBM"", ""'APO'!BK3:BK139""),MATCH($D99,IMPORTRANGE(""17pNv02DXDpQT9S3w4-QeNym2QJy2BzMBqDXp-XtzJBM"", ""'APO'!D3:D139""),0))"),0)</f>
        <v>0</v>
      </c>
      <c r="AD99" s="2">
        <f ca="1">IFERROR(__xludf.DUMMYFUNCTION("INDEX(IMPORTRANGE(""17pNv02DXDpQT9S3w4-QeNym2QJy2BzMBqDXp-XtzJBM"", ""'APO'!BL3:BL139""),MATCH($D99,IMPORTRANGE(""17pNv02DXDpQT9S3w4-QeNym2QJy2BzMBqDXp-XtzJBM"", ""'APO'!D3:D139""),0))"),71)</f>
        <v>71</v>
      </c>
      <c r="AE99" s="2">
        <f ca="1">IFERROR(__xludf.DUMMYFUNCTION("INDEX(IMPORTRANGE(""17pNv02DXDpQT9S3w4-QeNym2QJy2BzMBqDXp-XtzJBM"", ""'APO'!BM3:BM139""),MATCH($D99,IMPORTRANGE(""17pNv02DXDpQT9S3w4-QeNym2QJy2BzMBqDXp-XtzJBM"", ""'APO'!D3:D139""),0))"),70)</f>
        <v>70</v>
      </c>
    </row>
    <row r="100" spans="1:31">
      <c r="A100" s="149" t="s">
        <v>243</v>
      </c>
      <c r="B100" s="149" t="s">
        <v>260</v>
      </c>
      <c r="C100" s="148" t="s">
        <v>36</v>
      </c>
      <c r="D100" s="149" t="s">
        <v>273</v>
      </c>
      <c r="E100" s="149" t="s">
        <v>38</v>
      </c>
      <c r="F100" s="9" t="s">
        <v>274</v>
      </c>
      <c r="G100" s="10">
        <v>44469</v>
      </c>
      <c r="H100" s="59"/>
      <c r="I100" s="49">
        <v>44440</v>
      </c>
      <c r="J100" s="11">
        <v>44651</v>
      </c>
      <c r="K100" s="4"/>
      <c r="L100" s="11">
        <v>45016</v>
      </c>
      <c r="M100" s="4"/>
      <c r="N100" s="11">
        <v>45382</v>
      </c>
      <c r="O100" s="4"/>
      <c r="P100" s="11">
        <v>45565</v>
      </c>
      <c r="Q100" s="4"/>
      <c r="R100" s="4"/>
      <c r="S100" s="2" t="str">
        <f ca="1">IFERROR(__xludf.DUMMYFUNCTION("INDEX(IMPORTRANGE(""17pNv02DXDpQT9S3w4-QeNym2QJy2BzMBqDXp-XtzJBM"", ""'APO'!BG3:BG139""),MATCH($D100,IMPORTRANGE(""17pNv02DXDpQT9S3w4-QeNym2QJy2BzMBqDXp-XtzJBM"", ""'APO'!D3:D139""),0))"),"")</f>
        <v/>
      </c>
      <c r="T100" s="60">
        <v>0.5</v>
      </c>
      <c r="U100" s="60">
        <v>0.5</v>
      </c>
      <c r="V100" s="60">
        <v>0.5</v>
      </c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""'APO'!BH3:BH139""),MATCH($D100,IMPORTRANGE(""17pNv02DXDpQT9S3w4-QeNym2QJy2BzMBqDXp-XtzJBM"", ""'APO'!D3:D139""),0))"),0.333333333333333)</f>
        <v>0.33333333333333298</v>
      </c>
      <c r="AA100" s="24">
        <f ca="1">IFERROR(__xludf.DUMMYFUNCTION("INDEX(IMPORTRANGE(""17pNv02DXDpQT9S3w4-QeNym2QJy2BzMBqDXp-XtzJBM"", ""'APO'!BI3:BI139""),MATCH($D100,IMPORTRANGE(""17pNv02DXDpQT9S3w4-QeNym2QJy2BzMBqDXp-XtzJBM"", ""'APO'!D3:D139""),0))"),0.356435643564356)</f>
        <v>0.35643564356435598</v>
      </c>
      <c r="AB100" s="15">
        <f ca="1">IFERROR(__xludf.DUMMYFUNCTION("INDEX(IMPORTRANGE(""17pNv02DXDpQT9S3w4-QeNym2QJy2BzMBqDXp-XtzJBM"", ""'APO'!BJ3:BJ139""),MATCH($D100,IMPORTRANGE(""17pNv02DXDpQT9S3w4-QeNym2QJy2BzMBqDXp-XtzJBM"", ""'APO'!D3:D139""),0))"),0.376237623762376)</f>
        <v>0.37623762376237602</v>
      </c>
      <c r="AC100" s="24" t="str">
        <f ca="1">IFERROR(__xludf.DUMMYFUNCTION("INDEX(IMPORTRANGE(""17pNv02DXDpQT9S3w4-QeNym2QJy2BzMBqDXp-XtzJBM"", ""'APO'!BK3:BK139""),MATCH($D100,IMPORTRANGE(""17pNv02DXDpQT9S3w4-QeNym2QJy2BzMBqDXp-XtzJBM"", ""'APO'!D3:D139""),0))"),"")</f>
        <v/>
      </c>
      <c r="AD100" s="15">
        <f ca="1">IFERROR(__xludf.DUMMYFUNCTION("INDEX(IMPORTRANGE(""17pNv02DXDpQT9S3w4-QeNym2QJy2BzMBqDXp-XtzJBM"", ""'APO'!BL3:BL139""),MATCH($D100,IMPORTRANGE(""17pNv02DXDpQT9S3w4-QeNym2QJy2BzMBqDXp-XtzJBM"", ""'APO'!D3:D139""),0))"),0.387755102040816)</f>
        <v>0.38775510204081598</v>
      </c>
      <c r="AE100" s="24">
        <f ca="1">IFERROR(__xludf.DUMMYFUNCTION("INDEX(IMPORTRANGE(""17pNv02DXDpQT9S3w4-QeNym2QJy2BzMBqDXp-XtzJBM"", ""'APO'!BM3:BM139""),MATCH($D100,IMPORTRANGE(""17pNv02DXDpQT9S3w4-QeNym2QJy2BzMBqDXp-XtzJBM"", ""'APO'!D3:D139""),0))"),0.387755102040816)</f>
        <v>0.38775510204081598</v>
      </c>
    </row>
    <row r="101" spans="1:31">
      <c r="A101" s="149" t="s">
        <v>275</v>
      </c>
      <c r="B101" s="149" t="s">
        <v>276</v>
      </c>
      <c r="C101" s="148" t="s">
        <v>30</v>
      </c>
      <c r="D101" s="149" t="s">
        <v>277</v>
      </c>
      <c r="E101" s="149" t="s">
        <v>278</v>
      </c>
      <c r="F101" s="9" t="s">
        <v>279</v>
      </c>
      <c r="G101" s="45" t="s">
        <v>213</v>
      </c>
      <c r="H101" s="8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2" t="s">
        <v>369</v>
      </c>
      <c r="P101" s="2" t="s">
        <v>218</v>
      </c>
      <c r="Q101" s="36">
        <v>1031576851.17</v>
      </c>
      <c r="R101" s="36">
        <v>1031576851.17</v>
      </c>
      <c r="S101" s="36">
        <f ca="1">IFERROR(__xludf.DUMMYFUNCTION("INDEX(IMPORTRANGE(""17pNv02DXDpQT9S3w4-QeNym2QJy2BzMBqDXp-XtzJBM"", ""'APO'!BG3:BG139""),MATCH($D101,IMPORTRANGE(""17pNv02DXDpQT9S3w4-QeNym2QJy2BzMBqDXp-XtzJBM"", ""'APO'!D3:D139""),0))"),589774800.92)</f>
        <v>589774800.91999996</v>
      </c>
      <c r="T101" s="13"/>
      <c r="U101" s="13"/>
      <c r="V101" s="13"/>
      <c r="W101" s="13"/>
      <c r="X101" s="13"/>
      <c r="Y101" s="13"/>
      <c r="Z101" s="2">
        <f ca="1">IFERROR(__xludf.DUMMYFUNCTION("INDEX(IMPORTRANGE(""17pNv02DXDpQT9S3w4-QeNym2QJy2BzMBqDXp-XtzJBM"", ""'APO'!BH3:BH139""),MATCH($D101,IMPORTRANGE(""17pNv02DXDpQT9S3w4-QeNym2QJy2BzMBqDXp-XtzJBM"", ""'APO'!D3:D139""),0))"),1031576851.17)</f>
        <v>1031576851.17</v>
      </c>
      <c r="AA101" s="178" t="str">
        <f ca="1">IFERROR(__xludf.DUMMYFUNCTION("INDEX(IMPORTRANGE(""17pNv02DXDpQT9S3w4-QeNym2QJy2BzMBqDXp-XtzJBM"", ""'APO'!BI3:BI139""),MATCH($D101,IMPORTRANGE(""17pNv02DXDpQT9S3w4-QeNym2QJy2BzMBqDXp-XtzJBM"", ""'APO'!D3:D139""),0))"),"")</f>
        <v/>
      </c>
      <c r="AB101" s="2">
        <f ca="1">IFERROR(__xludf.DUMMYFUNCTION("INDEX(IMPORTRANGE(""17pNv02DXDpQT9S3w4-QeNym2QJy2BzMBqDXp-XtzJBM"", ""'APO'!BJ3:BJ139""),MATCH($D101,IMPORTRANGE(""17pNv02DXDpQT9S3w4-QeNym2QJy2BzMBqDXp-XtzJBM"", ""'APO'!D3:D139""),0))"),1176864063.45)</f>
        <v>1176864063.45</v>
      </c>
      <c r="AC101" s="178" t="str">
        <f ca="1">IFERROR(__xludf.DUMMYFUNCTION("INDEX(IMPORTRANGE(""17pNv02DXDpQT9S3w4-QeNym2QJy2BzMBqDXp-XtzJBM"", ""'APO'!BK3:BK139""),MATCH($D101,IMPORTRANGE(""17pNv02DXDpQT9S3w4-QeNym2QJy2BzMBqDXp-XtzJBM"", ""'APO'!D3:D139""),0))"),"")</f>
        <v/>
      </c>
      <c r="AD101" s="2">
        <f ca="1">IFERROR(__xludf.DUMMYFUNCTION("INDEX(IMPORTRANGE(""17pNv02DXDpQT9S3w4-QeNym2QJy2BzMBqDXp-XtzJBM"", ""'APO'!BL3:BL139""),MATCH($D101,IMPORTRANGE(""17pNv02DXDpQT9S3w4-QeNym2QJy2BzMBqDXp-XtzJBM"", ""'APO'!D3:D139""),0))"),1219259045.16)</f>
        <v>1219259045.1600001</v>
      </c>
      <c r="AE101" s="2">
        <f ca="1">IFERROR(__xludf.DUMMYFUNCTION("INDEX(IMPORTRANGE(""17pNv02DXDpQT9S3w4-QeNym2QJy2BzMBqDXp-XtzJBM"", ""'APO'!BM3:BM139""),MATCH($D101,IMPORTRANGE(""17pNv02DXDpQT9S3w4-QeNym2QJy2BzMBqDXp-XtzJBM"", ""'APO'!D3:D139""),0))"),769470950.3)</f>
        <v>769470950.29999995</v>
      </c>
    </row>
    <row r="102" spans="1:31">
      <c r="A102" s="149" t="s">
        <v>275</v>
      </c>
      <c r="B102" s="149" t="s">
        <v>276</v>
      </c>
      <c r="C102" s="148" t="s">
        <v>30</v>
      </c>
      <c r="D102" s="149" t="s">
        <v>280</v>
      </c>
      <c r="E102" s="149" t="s">
        <v>278</v>
      </c>
      <c r="F102" s="9" t="s">
        <v>281</v>
      </c>
      <c r="G102" s="16" t="s">
        <v>213</v>
      </c>
      <c r="H102" s="8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2" t="s">
        <v>369</v>
      </c>
      <c r="P102" s="2" t="s">
        <v>218</v>
      </c>
      <c r="Q102" s="36">
        <v>2318688211.6999998</v>
      </c>
      <c r="R102" s="36">
        <v>2318688211.6999998</v>
      </c>
      <c r="S102" s="36">
        <f ca="1">IFERROR(__xludf.DUMMYFUNCTION("INDEX(IMPORTRANGE(""17pNv02DXDpQT9S3w4-QeNym2QJy2BzMBqDXp-XtzJBM"", ""'APO'!BG3:BG139""),MATCH($D102,IMPORTRANGE(""17pNv02DXDpQT9S3w4-QeNym2QJy2BzMBqDXp-XtzJBM"", ""'APO'!D3:D139""),0))"),1253818610.56)</f>
        <v>1253818610.5599999</v>
      </c>
      <c r="T102" s="13"/>
      <c r="U102" s="13"/>
      <c r="V102" s="13"/>
      <c r="W102" s="13"/>
      <c r="X102" s="13"/>
      <c r="Y102" s="13"/>
      <c r="Z102" s="2">
        <f ca="1">IFERROR(__xludf.DUMMYFUNCTION("INDEX(IMPORTRANGE(""17pNv02DXDpQT9S3w4-QeNym2QJy2BzMBqDXp-XtzJBM"", ""'APO'!BH3:BH139""),MATCH($D102,IMPORTRANGE(""17pNv02DXDpQT9S3w4-QeNym2QJy2BzMBqDXp-XtzJBM"", ""'APO'!D3:D139""),0))"),2318688211.7)</f>
        <v>2318688211.6999998</v>
      </c>
      <c r="AA102" s="178" t="str">
        <f ca="1">IFERROR(__xludf.DUMMYFUNCTION("INDEX(IMPORTRANGE(""17pNv02DXDpQT9S3w4-QeNym2QJy2BzMBqDXp-XtzJBM"", ""'APO'!BI3:BI139""),MATCH($D102,IMPORTRANGE(""17pNv02DXDpQT9S3w4-QeNym2QJy2BzMBqDXp-XtzJBM"", ""'APO'!D3:D139""),0))"),"")</f>
        <v/>
      </c>
      <c r="AB102" s="2">
        <f ca="1">IFERROR(__xludf.DUMMYFUNCTION("INDEX(IMPORTRANGE(""17pNv02DXDpQT9S3w4-QeNym2QJy2BzMBqDXp-XtzJBM"", ""'APO'!BJ3:BJ139""),MATCH($D102,IMPORTRANGE(""17pNv02DXDpQT9S3w4-QeNym2QJy2BzMBqDXp-XtzJBM"", ""'APO'!D3:D139""),0))"),2800159859.21)</f>
        <v>2800159859.21</v>
      </c>
      <c r="AC102" s="178" t="str">
        <f ca="1">IFERROR(__xludf.DUMMYFUNCTION("INDEX(IMPORTRANGE(""17pNv02DXDpQT9S3w4-QeNym2QJy2BzMBqDXp-XtzJBM"", ""'APO'!BK3:BK139""),MATCH($D102,IMPORTRANGE(""17pNv02DXDpQT9S3w4-QeNym2QJy2BzMBqDXp-XtzJBM"", ""'APO'!D3:D139""),0))"),"")</f>
        <v/>
      </c>
      <c r="AD102" s="2">
        <f ca="1">IFERROR(__xludf.DUMMYFUNCTION("INDEX(IMPORTRANGE(""17pNv02DXDpQT9S3w4-QeNym2QJy2BzMBqDXp-XtzJBM"", ""'APO'!BL3:BL139""),MATCH($D102,IMPORTRANGE(""17pNv02DXDpQT9S3w4-QeNym2QJy2BzMBqDXp-XtzJBM"", ""'APO'!D3:D139""),0))"),3247874097.24)</f>
        <v>3247874097.2399998</v>
      </c>
      <c r="AE102" s="2">
        <f ca="1">IFERROR(__xludf.DUMMYFUNCTION("INDEX(IMPORTRANGE(""17pNv02DXDpQT9S3w4-QeNym2QJy2BzMBqDXp-XtzJBM"", ""'APO'!BM3:BM139""),MATCH($D102,IMPORTRANGE(""17pNv02DXDpQT9S3w4-QeNym2QJy2BzMBqDXp-XtzJBM"", ""'APO'!D3:D139""),0))"),1879122951.96)</f>
        <v>1879122951.96</v>
      </c>
    </row>
    <row r="103" spans="1:31">
      <c r="A103" s="149" t="s">
        <v>275</v>
      </c>
      <c r="B103" s="149" t="s">
        <v>276</v>
      </c>
      <c r="C103" s="148" t="s">
        <v>36</v>
      </c>
      <c r="D103" s="149" t="s">
        <v>282</v>
      </c>
      <c r="E103" s="149" t="s">
        <v>278</v>
      </c>
      <c r="F103" s="9" t="s">
        <v>283</v>
      </c>
      <c r="G103" s="21" t="s">
        <v>213</v>
      </c>
      <c r="H103" s="22" t="s">
        <v>214</v>
      </c>
      <c r="I103" s="2" t="s">
        <v>368</v>
      </c>
      <c r="J103" s="9" t="s">
        <v>215</v>
      </c>
      <c r="K103" s="4"/>
      <c r="L103" s="9" t="s">
        <v>216</v>
      </c>
      <c r="M103" s="4"/>
      <c r="N103" s="9" t="s">
        <v>217</v>
      </c>
      <c r="O103" s="2" t="s">
        <v>369</v>
      </c>
      <c r="P103" s="2" t="s">
        <v>218</v>
      </c>
      <c r="Q103" s="15">
        <f t="shared" ref="Q103:R103" si="23">Q101/Q102</f>
        <v>0.44489675065612877</v>
      </c>
      <c r="R103" s="15">
        <f t="shared" si="23"/>
        <v>0.44489675065612877</v>
      </c>
      <c r="S103" s="15">
        <f ca="1">IFERROR(__xludf.DUMMYFUNCTION("INDEX(IMPORTRANGE(""17pNv02DXDpQT9S3w4-QeNym2QJy2BzMBqDXp-XtzJBM"", ""'APO'!BG3:BG139""),MATCH($D103,IMPORTRANGE(""17pNv02DXDpQT9S3w4-QeNym2QJy2BzMBqDXp-XtzJBM"", ""'APO'!D3:D139""),0))"),0.470382873529517)</f>
        <v>0.47038287352951702</v>
      </c>
      <c r="T103" s="2"/>
      <c r="U103" s="15">
        <f>Q103+($Y$103-$Q$103)/3</f>
        <v>0.46326450043741918</v>
      </c>
      <c r="V103" s="2"/>
      <c r="W103" s="15">
        <f>U103+($Y$103-$Q$103)/3</f>
        <v>0.48163225021870959</v>
      </c>
      <c r="X103" s="15">
        <f>(Y103-W103)/6*5+W103</f>
        <v>0.49693870836978493</v>
      </c>
      <c r="Y103" s="14">
        <v>0.5</v>
      </c>
      <c r="Z103" s="15">
        <f ca="1">IFERROR(__xludf.DUMMYFUNCTION("INDEX(IMPORTRANGE(""17pNv02DXDpQT9S3w4-QeNym2QJy2BzMBqDXp-XtzJBM"", ""'APO'!BH3:BH139""),MATCH($D103,IMPORTRANGE(""17pNv02DXDpQT9S3w4-QeNym2QJy2BzMBqDXp-XtzJBM"", ""'APO'!D3:D139""),0))"),0.444896750656128)</f>
        <v>0.44489675065612799</v>
      </c>
      <c r="AA103" s="179" t="str">
        <f ca="1">IFERROR(__xludf.DUMMYFUNCTION("INDEX(IMPORTRANGE(""17pNv02DXDpQT9S3w4-QeNym2QJy2BzMBqDXp-XtzJBM"", ""'APO'!BI3:BI139""),MATCH($D103,IMPORTRANGE(""17pNv02DXDpQT9S3w4-QeNym2QJy2BzMBqDXp-XtzJBM"", ""'APO'!D3:D139""),0))"),"")</f>
        <v/>
      </c>
      <c r="AB103" s="15">
        <f ca="1">IFERROR(__xludf.DUMMYFUNCTION("INDEX(IMPORTRANGE(""17pNv02DXDpQT9S3w4-QeNym2QJy2BzMBqDXp-XtzJBM"", ""'APO'!BJ3:BJ139""),MATCH($D103,IMPORTRANGE(""17pNv02DXDpQT9S3w4-QeNym2QJy2BzMBqDXp-XtzJBM"", ""'APO'!D3:D139""),0))"),0.420284598959298)</f>
        <v>0.42028459895929798</v>
      </c>
      <c r="AC103" s="179" t="str">
        <f ca="1">IFERROR(__xludf.DUMMYFUNCTION("INDEX(IMPORTRANGE(""17pNv02DXDpQT9S3w4-QeNym2QJy2BzMBqDXp-XtzJBM"", ""'APO'!BK3:BK139""),MATCH($D103,IMPORTRANGE(""17pNv02DXDpQT9S3w4-QeNym2QJy2BzMBqDXp-XtzJBM"", ""'APO'!D3:D139""),0))"),"")</f>
        <v/>
      </c>
      <c r="AD103" s="15">
        <f ca="1">IFERROR(__xludf.DUMMYFUNCTION("INDEX(IMPORTRANGE(""17pNv02DXDpQT9S3w4-QeNym2QJy2BzMBqDXp-XtzJBM"", ""'APO'!BL3:BL139""),MATCH($D103,IMPORTRANGE(""17pNv02DXDpQT9S3w4-QeNym2QJy2BzMBqDXp-XtzJBM"", ""'APO'!D3:D139""),0))"),0.375402188833646)</f>
        <v>0.37540218883364601</v>
      </c>
      <c r="AE103" s="15">
        <f ca="1">IFERROR(__xludf.DUMMYFUNCTION("INDEX(IMPORTRANGE(""17pNv02DXDpQT9S3w4-QeNym2QJy2BzMBqDXp-XtzJBM"", ""'APO'!BM3:BM139""),MATCH($D103,IMPORTRANGE(""17pNv02DXDpQT9S3w4-QeNym2QJy2BzMBqDXp-XtzJBM"", ""'APO'!D3:D139""),0))"),0.409484089105191)</f>
        <v>0.40948408910519102</v>
      </c>
    </row>
    <row r="104" spans="1:31">
      <c r="A104" s="149" t="s">
        <v>275</v>
      </c>
      <c r="B104" s="149" t="s">
        <v>284</v>
      </c>
      <c r="C104" s="148" t="s">
        <v>30</v>
      </c>
      <c r="D104" s="149" t="s">
        <v>285</v>
      </c>
      <c r="E104" s="149" t="s">
        <v>278</v>
      </c>
      <c r="F104" s="9" t="s">
        <v>286</v>
      </c>
      <c r="G104" s="16" t="s">
        <v>213</v>
      </c>
      <c r="H104" s="8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2" t="s">
        <v>369</v>
      </c>
      <c r="P104" s="2" t="s">
        <v>218</v>
      </c>
      <c r="Q104" s="36">
        <v>1903248572.6500001</v>
      </c>
      <c r="R104" s="36">
        <v>1903248572.6500001</v>
      </c>
      <c r="S104" s="36">
        <f ca="1">IFERROR(__xludf.DUMMYFUNCTION("INDEX(IMPORTRANGE(""17pNv02DXDpQT9S3w4-QeNym2QJy2BzMBqDXp-XtzJBM"", ""'APO'!BG3:BG139""),MATCH($D104,IMPORTRANGE(""17pNv02DXDpQT9S3w4-QeNym2QJy2BzMBqDXp-XtzJBM"", ""'APO'!D3:D139""),0))"),796306087.08)</f>
        <v>796306087.08000004</v>
      </c>
      <c r="T104" s="13"/>
      <c r="U104" s="13"/>
      <c r="V104" s="13"/>
      <c r="W104" s="13"/>
      <c r="X104" s="13"/>
      <c r="Y104" s="13"/>
      <c r="Z104" s="2">
        <f ca="1">IFERROR(__xludf.DUMMYFUNCTION("INDEX(IMPORTRANGE(""17pNv02DXDpQT9S3w4-QeNym2QJy2BzMBqDXp-XtzJBM"", ""'APO'!BH3:BH139""),MATCH($D104,IMPORTRANGE(""17pNv02DXDpQT9S3w4-QeNym2QJy2BzMBqDXp-XtzJBM"", ""'APO'!D3:D139""),0))"),1903248572.65)</f>
        <v>1903248572.6500001</v>
      </c>
      <c r="AA104" s="178" t="str">
        <f ca="1">IFERROR(__xludf.DUMMYFUNCTION("INDEX(IMPORTRANGE(""17pNv02DXDpQT9S3w4-QeNym2QJy2BzMBqDXp-XtzJBM"", ""'APO'!BI3:BI139""),MATCH($D104,IMPORTRANGE(""17pNv02DXDpQT9S3w4-QeNym2QJy2BzMBqDXp-XtzJBM"", ""'APO'!D3:D139""),0))"),"")</f>
        <v/>
      </c>
      <c r="AB104" s="2">
        <f ca="1">IFERROR(__xludf.DUMMYFUNCTION("INDEX(IMPORTRANGE(""17pNv02DXDpQT9S3w4-QeNym2QJy2BzMBqDXp-XtzJBM"", ""'APO'!BJ3:BJ139""),MATCH($D104,IMPORTRANGE(""17pNv02DXDpQT9S3w4-QeNym2QJy2BzMBqDXp-XtzJBM"", ""'APO'!D3:D139""),0))"),2230428654.02)</f>
        <v>2230428654.02</v>
      </c>
      <c r="AC104" s="178" t="str">
        <f ca="1">IFERROR(__xludf.DUMMYFUNCTION("INDEX(IMPORTRANGE(""17pNv02DXDpQT9S3w4-QeNym2QJy2BzMBqDXp-XtzJBM"", ""'APO'!BK3:BK139""),MATCH($D104,IMPORTRANGE(""17pNv02DXDpQT9S3w4-QeNym2QJy2BzMBqDXp-XtzJBM"", ""'APO'!D3:D139""),0))"),"")</f>
        <v/>
      </c>
      <c r="AD104" s="2">
        <f ca="1">IFERROR(__xludf.DUMMYFUNCTION("INDEX(IMPORTRANGE(""17pNv02DXDpQT9S3w4-QeNym2QJy2BzMBqDXp-XtzJBM"", ""'APO'!BL3:BL139""),MATCH($D104,IMPORTRANGE(""17pNv02DXDpQT9S3w4-QeNym2QJy2BzMBqDXp-XtzJBM"", ""'APO'!D3:D139""),0))"),2425041049.23)</f>
        <v>2425041049.23</v>
      </c>
      <c r="AE104" s="2">
        <f ca="1">IFERROR(__xludf.DUMMYFUNCTION("INDEX(IMPORTRANGE(""17pNv02DXDpQT9S3w4-QeNym2QJy2BzMBqDXp-XtzJBM"", ""'APO'!BM3:BM139""),MATCH($D104,IMPORTRANGE(""17pNv02DXDpQT9S3w4-QeNym2QJy2BzMBqDXp-XtzJBM"", ""'APO'!D3:D139""),0))"),1175162220.01)</f>
        <v>1175162220.01</v>
      </c>
    </row>
    <row r="105" spans="1:31">
      <c r="A105" s="149" t="s">
        <v>275</v>
      </c>
      <c r="B105" s="149" t="s">
        <v>276</v>
      </c>
      <c r="C105" s="148" t="s">
        <v>36</v>
      </c>
      <c r="D105" s="149" t="s">
        <v>287</v>
      </c>
      <c r="E105" s="149" t="s">
        <v>278</v>
      </c>
      <c r="F105" s="9" t="s">
        <v>288</v>
      </c>
      <c r="G105" s="21" t="s">
        <v>213</v>
      </c>
      <c r="H105" s="22" t="s">
        <v>214</v>
      </c>
      <c r="I105" s="2" t="s">
        <v>368</v>
      </c>
      <c r="J105" s="9" t="s">
        <v>215</v>
      </c>
      <c r="K105" s="4"/>
      <c r="L105" s="9" t="s">
        <v>216</v>
      </c>
      <c r="M105" s="4"/>
      <c r="N105" s="9" t="s">
        <v>217</v>
      </c>
      <c r="O105" s="2" t="s">
        <v>369</v>
      </c>
      <c r="P105" s="2" t="s">
        <v>218</v>
      </c>
      <c r="Q105" s="15">
        <f t="shared" ref="Q105:R105" si="24">Q101/Q104</f>
        <v>0.54200847224788795</v>
      </c>
      <c r="R105" s="15">
        <f t="shared" si="24"/>
        <v>0.54200847224788795</v>
      </c>
      <c r="S105" s="15">
        <f ca="1">IFERROR(__xludf.DUMMYFUNCTION("INDEX(IMPORTRANGE(""17pNv02DXDpQT9S3w4-QeNym2QJy2BzMBqDXp-XtzJBM"", ""'APO'!BG3:BG139""),MATCH($D105,IMPORTRANGE(""17pNv02DXDpQT9S3w4-QeNym2QJy2BzMBqDXp-XtzJBM"", ""'APO'!D3:D139""),0))"),0.542008472247888)</f>
        <v>0.54200847224788795</v>
      </c>
      <c r="T105" s="2"/>
      <c r="U105" s="15">
        <v>0.55800000000000005</v>
      </c>
      <c r="V105" s="2"/>
      <c r="W105" s="15">
        <v>0.57399999999999995</v>
      </c>
      <c r="X105" s="15">
        <f>(Y105-W105)/6*5+W105</f>
        <v>0.58733333333333326</v>
      </c>
      <c r="Y105" s="14">
        <v>0.59</v>
      </c>
      <c r="Z105" s="15">
        <f ca="1">IFERROR(__xludf.DUMMYFUNCTION("INDEX(IMPORTRANGE(""17pNv02DXDpQT9S3w4-QeNym2QJy2BzMBqDXp-XtzJBM"", ""'APO'!BH3:BH139""),MATCH($D105,IMPORTRANGE(""17pNv02DXDpQT9S3w4-QeNym2QJy2BzMBqDXp-XtzJBM"", ""'APO'!D3:D139""),0))"),0.542008472247888)</f>
        <v>0.54200847224788795</v>
      </c>
      <c r="AA105" s="179" t="str">
        <f ca="1">IFERROR(__xludf.DUMMYFUNCTION("INDEX(IMPORTRANGE(""17pNv02DXDpQT9S3w4-QeNym2QJy2BzMBqDXp-XtzJBM"", ""'APO'!BI3:BI139""),MATCH($D105,IMPORTRANGE(""17pNv02DXDpQT9S3w4-QeNym2QJy2BzMBqDXp-XtzJBM"", ""'APO'!D3:D139""),0))"),"")</f>
        <v/>
      </c>
      <c r="AB105" s="15">
        <f ca="1">IFERROR(__xludf.DUMMYFUNCTION("INDEX(IMPORTRANGE(""17pNv02DXDpQT9S3w4-QeNym2QJy2BzMBqDXp-XtzJBM"", ""'APO'!BJ3:BJ139""),MATCH($D105,IMPORTRANGE(""17pNv02DXDpQT9S3w4-QeNym2QJy2BzMBqDXp-XtzJBM"", ""'APO'!D3:D139""),0))"),0.527640308659452)</f>
        <v>0.527640308659452</v>
      </c>
      <c r="AC105" s="179" t="str">
        <f ca="1">IFERROR(__xludf.DUMMYFUNCTION("INDEX(IMPORTRANGE(""17pNv02DXDpQT9S3w4-QeNym2QJy2BzMBqDXp-XtzJBM"", ""'APO'!BK3:BK139""),MATCH($D105,IMPORTRANGE(""17pNv02DXDpQT9S3w4-QeNym2QJy2BzMBqDXp-XtzJBM"", ""'APO'!D3:D139""),0))"),"")</f>
        <v/>
      </c>
      <c r="AD105" s="15">
        <f ca="1">IFERROR(__xludf.DUMMYFUNCTION("INDEX(IMPORTRANGE(""17pNv02DXDpQT9S3w4-QeNym2QJy2BzMBqDXp-XtzJBM"", ""'APO'!BL3:BL139""),MATCH($D105,IMPORTRANGE(""17pNv02DXDpQT9S3w4-QeNym2QJy2BzMBqDXp-XtzJBM"", ""'APO'!D3:D139""),0))"),0.502778724321858)</f>
        <v>0.50277872432185799</v>
      </c>
      <c r="AE105" s="15">
        <f ca="1">IFERROR(__xludf.DUMMYFUNCTION("INDEX(IMPORTRANGE(""17pNv02DXDpQT9S3w4-QeNym2QJy2BzMBqDXp-XtzJBM"", ""'APO'!BM3:BM139""),MATCH($D105,IMPORTRANGE(""17pNv02DXDpQT9S3w4-QeNym2QJy2BzMBqDXp-XtzJBM"", ""'APO'!D3:D139""),0))"),0.654778495426318)</f>
        <v>0.65477849542631805</v>
      </c>
    </row>
    <row r="106" spans="1:31">
      <c r="A106" s="149" t="s">
        <v>275</v>
      </c>
      <c r="B106" s="149" t="s">
        <v>276</v>
      </c>
      <c r="C106" s="148" t="s">
        <v>30</v>
      </c>
      <c r="D106" s="149" t="s">
        <v>289</v>
      </c>
      <c r="E106" s="149" t="s">
        <v>38</v>
      </c>
      <c r="F106" s="9" t="s">
        <v>112</v>
      </c>
      <c r="G106" s="16" t="s">
        <v>254</v>
      </c>
      <c r="H106" s="16" t="s">
        <v>254</v>
      </c>
      <c r="I106" s="2" t="s">
        <v>370</v>
      </c>
      <c r="J106" s="7" t="s">
        <v>254</v>
      </c>
      <c r="K106" s="13"/>
      <c r="L106" s="7" t="s">
        <v>255</v>
      </c>
      <c r="M106" s="13"/>
      <c r="N106" s="7" t="s">
        <v>256</v>
      </c>
      <c r="O106" s="2" t="s">
        <v>361</v>
      </c>
      <c r="P106" s="2" t="s">
        <v>218</v>
      </c>
      <c r="Q106" s="12">
        <v>250305</v>
      </c>
      <c r="R106" s="12">
        <v>250305</v>
      </c>
      <c r="S106" s="12">
        <f ca="1">IFERROR(__xludf.DUMMYFUNCTION("INDEX(IMPORTRANGE(""17pNv02DXDpQT9S3w4-QeNym2QJy2BzMBqDXp-XtzJBM"", ""'APO'!BG3:BG139""),MATCH($D106,IMPORTRANGE(""17pNv02DXDpQT9S3w4-QeNym2QJy2BzMBqDXp-XtzJBM"", ""'APO'!D3:D139""),0))"),248741)</f>
        <v>248741</v>
      </c>
      <c r="T106" s="13"/>
      <c r="U106" s="13"/>
      <c r="V106" s="13"/>
      <c r="W106" s="13"/>
      <c r="X106" s="13"/>
      <c r="Y106" s="13"/>
      <c r="Z106" s="2">
        <f ca="1">IFERROR(__xludf.DUMMYFUNCTION("INDEX(IMPORTRANGE(""17pNv02DXDpQT9S3w4-QeNym2QJy2BzMBqDXp-XtzJBM"", ""'APO'!BH3:BH139""),MATCH($D106,IMPORTRANGE(""17pNv02DXDpQT9S3w4-QeNym2QJy2BzMBqDXp-XtzJBM"", ""'APO'!D3:D139""),0))"),250305)</f>
        <v>250305</v>
      </c>
      <c r="AA106" s="6" t="str">
        <f ca="1">IFERROR(__xludf.DUMMYFUNCTION("INDEX(IMPORTRANGE(""17pNv02DXDpQT9S3w4-QeNym2QJy2BzMBqDXp-XtzJBM"", ""'APO'!BI3:BI139""),MATCH($D106,IMPORTRANGE(""17pNv02DXDpQT9S3w4-QeNym2QJy2BzMBqDXp-XtzJBM"", ""'APO'!D3:D139""),0))"),"")</f>
        <v/>
      </c>
      <c r="AB106" s="2">
        <f ca="1">IFERROR(__xludf.DUMMYFUNCTION("INDEX(IMPORTRANGE(""17pNv02DXDpQT9S3w4-QeNym2QJy2BzMBqDXp-XtzJBM"", ""'APO'!BJ3:BJ139""),MATCH($D106,IMPORTRANGE(""17pNv02DXDpQT9S3w4-QeNym2QJy2BzMBqDXp-XtzJBM"", ""'APO'!D3:D139""),0))"),252942)</f>
        <v>252942</v>
      </c>
      <c r="AC106" s="6" t="str">
        <f ca="1">IFERROR(__xludf.DUMMYFUNCTION("INDEX(IMPORTRANGE(""17pNv02DXDpQT9S3w4-QeNym2QJy2BzMBqDXp-XtzJBM"", ""'APO'!BK3:BK139""),MATCH($D106,IMPORTRANGE(""17pNv02DXDpQT9S3w4-QeNym2QJy2BzMBqDXp-XtzJBM"", ""'APO'!D3:D139""),0))"),"")</f>
        <v/>
      </c>
      <c r="AD106" s="2">
        <f ca="1">IFERROR(__xludf.DUMMYFUNCTION("INDEX(IMPORTRANGE(""17pNv02DXDpQT9S3w4-QeNym2QJy2BzMBqDXp-XtzJBM"", ""'APO'!BL3:BL139""),MATCH($D106,IMPORTRANGE(""17pNv02DXDpQT9S3w4-QeNym2QJy2BzMBqDXp-XtzJBM"", ""'APO'!D3:D139""),0))"),259020)</f>
        <v>259020</v>
      </c>
      <c r="AE106" s="2">
        <f ca="1">IFERROR(__xludf.DUMMYFUNCTION("INDEX(IMPORTRANGE(""17pNv02DXDpQT9S3w4-QeNym2QJy2BzMBqDXp-XtzJBM"", ""'APO'!BM3:BM139""),MATCH($D106,IMPORTRANGE(""17pNv02DXDpQT9S3w4-QeNym2QJy2BzMBqDXp-XtzJBM"", ""'APO'!D3:D139""),0))"),259761)</f>
        <v>259761</v>
      </c>
    </row>
    <row r="107" spans="1:31">
      <c r="A107" s="149" t="s">
        <v>275</v>
      </c>
      <c r="B107" s="149" t="s">
        <v>276</v>
      </c>
      <c r="C107" s="148" t="s">
        <v>30</v>
      </c>
      <c r="D107" s="149" t="s">
        <v>290</v>
      </c>
      <c r="E107" s="149" t="s">
        <v>38</v>
      </c>
      <c r="F107" s="9" t="s">
        <v>291</v>
      </c>
      <c r="G107" s="16" t="s">
        <v>213</v>
      </c>
      <c r="H107" s="8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2" t="s">
        <v>366</v>
      </c>
      <c r="P107" s="2" t="s">
        <v>218</v>
      </c>
      <c r="Q107" s="12">
        <v>124005</v>
      </c>
      <c r="R107" s="12">
        <v>124005</v>
      </c>
      <c r="S107" s="12">
        <f ca="1">IFERROR(__xludf.DUMMYFUNCTION("INDEX(IMPORTRANGE(""17pNv02DXDpQT9S3w4-QeNym2QJy2BzMBqDXp-XtzJBM"", ""'APO'!BG3:BG139""),MATCH($D107,IMPORTRANGE(""17pNv02DXDpQT9S3w4-QeNym2QJy2BzMBqDXp-XtzJBM"", ""'APO'!D3:D139""),0))"),105305)</f>
        <v>105305</v>
      </c>
      <c r="T107" s="13"/>
      <c r="U107" s="13"/>
      <c r="V107" s="13"/>
      <c r="W107" s="13"/>
      <c r="X107" s="13"/>
      <c r="Y107" s="13"/>
      <c r="Z107" s="2">
        <f ca="1">IFERROR(__xludf.DUMMYFUNCTION("INDEX(IMPORTRANGE(""17pNv02DXDpQT9S3w4-QeNym2QJy2BzMBqDXp-XtzJBM"", ""'APO'!BH3:BH139""),MATCH($D107,IMPORTRANGE(""17pNv02DXDpQT9S3w4-QeNym2QJy2BzMBqDXp-XtzJBM"", ""'APO'!D3:D139""),0))"),124005)</f>
        <v>124005</v>
      </c>
      <c r="AA107" s="6" t="str">
        <f ca="1">IFERROR(__xludf.DUMMYFUNCTION("INDEX(IMPORTRANGE(""17pNv02DXDpQT9S3w4-QeNym2QJy2BzMBqDXp-XtzJBM"", ""'APO'!BI3:BI139""),MATCH($D107,IMPORTRANGE(""17pNv02DXDpQT9S3w4-QeNym2QJy2BzMBqDXp-XtzJBM"", ""'APO'!D3:D139""),0))"),"")</f>
        <v/>
      </c>
      <c r="AB107" s="2">
        <f ca="1">IFERROR(__xludf.DUMMYFUNCTION("INDEX(IMPORTRANGE(""17pNv02DXDpQT9S3w4-QeNym2QJy2BzMBqDXp-XtzJBM"", ""'APO'!BJ3:BJ139""),MATCH($D107,IMPORTRANGE(""17pNv02DXDpQT9S3w4-QeNym2QJy2BzMBqDXp-XtzJBM"", ""'APO'!D3:D139""),0))"),129385)</f>
        <v>129385</v>
      </c>
      <c r="AC107" s="6" t="str">
        <f ca="1">IFERROR(__xludf.DUMMYFUNCTION("INDEX(IMPORTRANGE(""17pNv02DXDpQT9S3w4-QeNym2QJy2BzMBqDXp-XtzJBM"", ""'APO'!BK3:BK139""),MATCH($D107,IMPORTRANGE(""17pNv02DXDpQT9S3w4-QeNym2QJy2BzMBqDXp-XtzJBM"", ""'APO'!D3:D139""),0))"),"")</f>
        <v/>
      </c>
      <c r="AD107" s="2">
        <f ca="1">IFERROR(__xludf.DUMMYFUNCTION("INDEX(IMPORTRANGE(""17pNv02DXDpQT9S3w4-QeNym2QJy2BzMBqDXp-XtzJBM"", ""'APO'!BL3:BL139""),MATCH($D107,IMPORTRANGE(""17pNv02DXDpQT9S3w4-QeNym2QJy2BzMBqDXp-XtzJBM"", ""'APO'!D3:D139""),0))"),129170)</f>
        <v>129170</v>
      </c>
      <c r="AE107" s="2">
        <f ca="1">IFERROR(__xludf.DUMMYFUNCTION("INDEX(IMPORTRANGE(""17pNv02DXDpQT9S3w4-QeNym2QJy2BzMBqDXp-XtzJBM"", ""'APO'!BM3:BM139""),MATCH($D107,IMPORTRANGE(""17pNv02DXDpQT9S3w4-QeNym2QJy2BzMBqDXp-XtzJBM"", ""'APO'!D3:D139""),0))"),127925)</f>
        <v>127925</v>
      </c>
    </row>
    <row r="108" spans="1:31">
      <c r="A108" s="149" t="s">
        <v>275</v>
      </c>
      <c r="B108" s="149" t="s">
        <v>276</v>
      </c>
      <c r="C108" s="148" t="s">
        <v>36</v>
      </c>
      <c r="D108" s="149" t="s">
        <v>292</v>
      </c>
      <c r="E108" s="149" t="s">
        <v>38</v>
      </c>
      <c r="F108" s="9" t="s">
        <v>293</v>
      </c>
      <c r="G108" s="21" t="s">
        <v>213</v>
      </c>
      <c r="H108" s="22" t="s">
        <v>214</v>
      </c>
      <c r="I108" s="2" t="s">
        <v>365</v>
      </c>
      <c r="J108" s="9" t="s">
        <v>215</v>
      </c>
      <c r="K108" s="4"/>
      <c r="L108" s="9" t="s">
        <v>216</v>
      </c>
      <c r="M108" s="4"/>
      <c r="N108" s="9" t="s">
        <v>217</v>
      </c>
      <c r="O108" s="2" t="s">
        <v>366</v>
      </c>
      <c r="P108" s="2" t="s">
        <v>218</v>
      </c>
      <c r="Q108" s="15">
        <f t="shared" ref="Q108:R108" si="25">Q107/Q106</f>
        <v>0.49541559297656856</v>
      </c>
      <c r="R108" s="15">
        <f t="shared" si="25"/>
        <v>0.49541559297656856</v>
      </c>
      <c r="S108" s="15">
        <f ca="1">IFERROR(__xludf.DUMMYFUNCTION("INDEX(IMPORTRANGE(""17pNv02DXDpQT9S3w4-QeNym2QJy2BzMBqDXp-XtzJBM"", ""'APO'!BG3:BG139""),MATCH($D108,IMPORTRANGE(""17pNv02DXDpQT9S3w4-QeNym2QJy2BzMBqDXp-XtzJBM"", ""'APO'!D3:D139""),0))"),0.423352000675401)</f>
        <v>0.42335200067540102</v>
      </c>
      <c r="T108" s="2"/>
      <c r="U108" s="15">
        <v>0.50700000000000001</v>
      </c>
      <c r="V108" s="15"/>
      <c r="W108" s="15">
        <v>0.51800000000000002</v>
      </c>
      <c r="X108" s="15">
        <f>(Y108-W108)/6*5+W108</f>
        <v>0.52800000000000002</v>
      </c>
      <c r="Y108" s="14">
        <v>0.53</v>
      </c>
      <c r="Z108" s="15">
        <f ca="1">IFERROR(__xludf.DUMMYFUNCTION("INDEX(IMPORTRANGE(""17pNv02DXDpQT9S3w4-QeNym2QJy2BzMBqDXp-XtzJBM"", ""'APO'!BH3:BH139""),MATCH($D108,IMPORTRANGE(""17pNv02DXDpQT9S3w4-QeNym2QJy2BzMBqDXp-XtzJBM"", ""'APO'!D3:D139""),0))"),0.495415592976568)</f>
        <v>0.49541559297656801</v>
      </c>
      <c r="AA108" s="179" t="str">
        <f ca="1">IFERROR(__xludf.DUMMYFUNCTION("INDEX(IMPORTRANGE(""17pNv02DXDpQT9S3w4-QeNym2QJy2BzMBqDXp-XtzJBM"", ""'APO'!BI3:BI139""),MATCH($D108,IMPORTRANGE(""17pNv02DXDpQT9S3w4-QeNym2QJy2BzMBqDXp-XtzJBM"", ""'APO'!D3:D139""),0))"),"")</f>
        <v/>
      </c>
      <c r="AB108" s="15">
        <f ca="1">IFERROR(__xludf.DUMMYFUNCTION("INDEX(IMPORTRANGE(""17pNv02DXDpQT9S3w4-QeNym2QJy2BzMBqDXp-XtzJBM"", ""'APO'!BJ3:BJ139""),MATCH($D108,IMPORTRANGE(""17pNv02DXDpQT9S3w4-QeNym2QJy2BzMBqDXp-XtzJBM"", ""'APO'!D3:D139""),0))"),0.51152042760791)</f>
        <v>0.51152042760791006</v>
      </c>
      <c r="AC108" s="179" t="str">
        <f ca="1">IFERROR(__xludf.DUMMYFUNCTION("INDEX(IMPORTRANGE(""17pNv02DXDpQT9S3w4-QeNym2QJy2BzMBqDXp-XtzJBM"", ""'APO'!BK3:BK139""),MATCH($D108,IMPORTRANGE(""17pNv02DXDpQT9S3w4-QeNym2QJy2BzMBqDXp-XtzJBM"", ""'APO'!D3:D139""),0))"),"")</f>
        <v/>
      </c>
      <c r="AD108" s="15">
        <f ca="1">IFERROR(__xludf.DUMMYFUNCTION("INDEX(IMPORTRANGE(""17pNv02DXDpQT9S3w4-QeNym2QJy2BzMBqDXp-XtzJBM"", ""'APO'!BL3:BL139""),MATCH($D108,IMPORTRANGE(""17pNv02DXDpQT9S3w4-QeNym2QJy2BzMBqDXp-XtzJBM"", ""'APO'!D3:D139""),0))"),0.498687360049417)</f>
        <v>0.49868736004941699</v>
      </c>
      <c r="AE108" s="15">
        <f ca="1">IFERROR(__xludf.DUMMYFUNCTION("INDEX(IMPORTRANGE(""17pNv02DXDpQT9S3w4-QeNym2QJy2BzMBqDXp-XtzJBM"", ""'APO'!BM3:BM139""),MATCH($D108,IMPORTRANGE(""17pNv02DXDpQT9S3w4-QeNym2QJy2BzMBqDXp-XtzJBM"", ""'APO'!D3:D139""),0))"),0.492471926116699)</f>
        <v>0.49247192611669899</v>
      </c>
    </row>
    <row r="109" spans="1:31">
      <c r="A109" s="149" t="s">
        <v>275</v>
      </c>
      <c r="B109" s="149" t="s">
        <v>276</v>
      </c>
      <c r="C109" s="151" t="s">
        <v>30</v>
      </c>
      <c r="D109" s="149" t="s">
        <v>294</v>
      </c>
      <c r="E109" s="149" t="s">
        <v>38</v>
      </c>
      <c r="F109" s="9" t="s">
        <v>295</v>
      </c>
      <c r="G109" s="16" t="s">
        <v>213</v>
      </c>
      <c r="H109" s="8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2" t="s">
        <v>366</v>
      </c>
      <c r="P109" s="2" t="s">
        <v>218</v>
      </c>
      <c r="Q109" s="50"/>
      <c r="R109" s="50"/>
      <c r="S109" s="50">
        <f ca="1">IFERROR(__xludf.DUMMYFUNCTION("INDEX(IMPORTRANGE(""17pNv02DXDpQT9S3w4-QeNym2QJy2BzMBqDXp-XtzJBM"", ""'APO'!BG3:BG139""),MATCH($D109,IMPORTRANGE(""17pNv02DXDpQT9S3w4-QeNym2QJy2BzMBqDXp-XtzJBM"", ""'APO'!D3:D139""),0))"),0)</f>
        <v>0</v>
      </c>
      <c r="T109" s="1"/>
      <c r="U109" s="1"/>
      <c r="V109" s="1"/>
      <c r="W109" s="1"/>
      <c r="X109" s="1"/>
      <c r="Y109" s="1"/>
      <c r="Z109" s="2" t="str">
        <f ca="1">IFERROR(__xludf.DUMMYFUNCTION("INDEX(IMPORTRANGE(""17pNv02DXDpQT9S3w4-QeNym2QJy2BzMBqDXp-XtzJBM"", ""'APO'!BH3:BH139""),MATCH($D109,IMPORTRANGE(""17pNv02DXDpQT9S3w4-QeNym2QJy2BzMBqDXp-XtzJBM"", ""'APO'!D3:D139""),0))"),"")</f>
        <v/>
      </c>
      <c r="AA109" s="184" t="str">
        <f ca="1">IFERROR(__xludf.DUMMYFUNCTION("INDEX(IMPORTRANGE(""17pNv02DXDpQT9S3w4-QeNym2QJy2BzMBqDXp-XtzJBM"", ""'APO'!BI3:BI139""),MATCH($D109,IMPORTRANGE(""17pNv02DXDpQT9S3w4-QeNym2QJy2BzMBqDXp-XtzJBM"", ""'APO'!D3:D139""),0))"),"")</f>
        <v/>
      </c>
      <c r="AB109" s="2">
        <f ca="1">IFERROR(__xludf.DUMMYFUNCTION("INDEX(IMPORTRANGE(""17pNv02DXDpQT9S3w4-QeNym2QJy2BzMBqDXp-XtzJBM"", ""'APO'!BJ3:BJ139""),MATCH($D109,IMPORTRANGE(""17pNv02DXDpQT9S3w4-QeNym2QJy2BzMBqDXp-XtzJBM"", ""'APO'!D3:D139""),0))"),351120632.049999)</f>
        <v>351120632.049999</v>
      </c>
      <c r="AC109" s="184" t="str">
        <f ca="1">IFERROR(__xludf.DUMMYFUNCTION("INDEX(IMPORTRANGE(""17pNv02DXDpQT9S3w4-QeNym2QJy2BzMBqDXp-XtzJBM"", ""'APO'!BK3:BK139""),MATCH($D109,IMPORTRANGE(""17pNv02DXDpQT9S3w4-QeNym2QJy2BzMBqDXp-XtzJBM"", ""'APO'!D3:D139""),0))"),"")</f>
        <v/>
      </c>
      <c r="AD109" s="2">
        <f ca="1">IFERROR(__xludf.DUMMYFUNCTION("INDEX(IMPORTRANGE(""17pNv02DXDpQT9S3w4-QeNym2QJy2BzMBqDXp-XtzJBM"", ""'APO'!BL3:BL139""),MATCH($D109,IMPORTRANGE(""17pNv02DXDpQT9S3w4-QeNym2QJy2BzMBqDXp-XtzJBM"", ""'APO'!D3:D139""),0))"),351899629.529999)</f>
        <v>351899629.52999902</v>
      </c>
      <c r="AE109" s="2">
        <f ca="1">IFERROR(__xludf.DUMMYFUNCTION("INDEX(IMPORTRANGE(""17pNv02DXDpQT9S3w4-QeNym2QJy2BzMBqDXp-XtzJBM"", ""'APO'!BM3:BM139""),MATCH($D109,IMPORTRANGE(""17pNv02DXDpQT9S3w4-QeNym2QJy2BzMBqDXp-XtzJBM"", ""'APO'!D3:D139""),0))"),325567876.16)</f>
        <v>325567876.16000003</v>
      </c>
    </row>
    <row r="110" spans="1:31">
      <c r="A110" s="149" t="s">
        <v>275</v>
      </c>
      <c r="B110" s="149" t="s">
        <v>276</v>
      </c>
      <c r="C110" s="151" t="s">
        <v>36</v>
      </c>
      <c r="D110" s="149" t="s">
        <v>296</v>
      </c>
      <c r="E110" s="149" t="s">
        <v>38</v>
      </c>
      <c r="F110" s="9" t="s">
        <v>297</v>
      </c>
      <c r="G110" s="21" t="s">
        <v>213</v>
      </c>
      <c r="H110" s="22" t="s">
        <v>214</v>
      </c>
      <c r="I110" s="2" t="s">
        <v>365</v>
      </c>
      <c r="J110" s="9" t="s">
        <v>215</v>
      </c>
      <c r="K110" s="4"/>
      <c r="L110" s="9" t="s">
        <v>216</v>
      </c>
      <c r="M110" s="4"/>
      <c r="N110" s="9" t="s">
        <v>217</v>
      </c>
      <c r="O110" s="2" t="s">
        <v>366</v>
      </c>
      <c r="P110" s="2" t="s">
        <v>218</v>
      </c>
      <c r="Q110" s="50">
        <v>325523993.34999996</v>
      </c>
      <c r="R110" s="50">
        <v>325523993.34999996</v>
      </c>
      <c r="S110" s="50">
        <f ca="1">IFERROR(__xludf.DUMMYFUNCTION("INDEX(IMPORTRANGE(""17pNv02DXDpQT9S3w4-QeNym2QJy2BzMBqDXp-XtzJBM"", ""'APO'!BG3:BG139""),MATCH($D110,IMPORTRANGE(""17pNv02DXDpQT9S3w4-QeNym2QJy2BzMBqDXp-XtzJBM"", ""'APO'!D3:D139""),0))"),257637213)</f>
        <v>257637213</v>
      </c>
      <c r="T110" s="2"/>
      <c r="U110" s="36">
        <v>328825456.89999998</v>
      </c>
      <c r="V110" s="2"/>
      <c r="W110" s="36">
        <v>332126920.5</v>
      </c>
      <c r="X110" s="36">
        <f>(Y110-W110)/6*5+W110</f>
        <v>334878140.08333331</v>
      </c>
      <c r="Y110" s="36">
        <v>335428384</v>
      </c>
      <c r="Z110" s="50">
        <f ca="1">IFERROR(__xludf.DUMMYFUNCTION("INDEX(IMPORTRANGE(""17pNv02DXDpQT9S3w4-QeNym2QJy2BzMBqDXp-XtzJBM"", ""'APO'!BH3:BH139""),MATCH($D110,IMPORTRANGE(""17pNv02DXDpQT9S3w4-QeNym2QJy2BzMBqDXp-XtzJBM"", ""'APO'!D3:D139""),0))"),325523993.349999)</f>
        <v>325523993.34999901</v>
      </c>
      <c r="AA110" s="184" t="str">
        <f ca="1">IFERROR(__xludf.DUMMYFUNCTION("INDEX(IMPORTRANGE(""17pNv02DXDpQT9S3w4-QeNym2QJy2BzMBqDXp-XtzJBM"", ""'APO'!BI3:BI139""),MATCH($D110,IMPORTRANGE(""17pNv02DXDpQT9S3w4-QeNym2QJy2BzMBqDXp-XtzJBM"", ""'APO'!D3:D139""),0))"),"")</f>
        <v/>
      </c>
      <c r="AB110" s="50">
        <f ca="1">IFERROR(__xludf.DUMMYFUNCTION("INDEX(IMPORTRANGE(""17pNv02DXDpQT9S3w4-QeNym2QJy2BzMBqDXp-XtzJBM"", ""'APO'!BJ3:BJ139""),MATCH($D110,IMPORTRANGE(""17pNv02DXDpQT9S3w4-QeNym2QJy2BzMBqDXp-XtzJBM"", ""'APO'!D3:D139""),0))"),369978124.259999)</f>
        <v>369978124.25999898</v>
      </c>
      <c r="AC110" s="184" t="str">
        <f ca="1">IFERROR(__xludf.DUMMYFUNCTION("INDEX(IMPORTRANGE(""17pNv02DXDpQT9S3w4-QeNym2QJy2BzMBqDXp-XtzJBM"", ""'APO'!BK3:BK139""),MATCH($D110,IMPORTRANGE(""17pNv02DXDpQT9S3w4-QeNym2QJy2BzMBqDXp-XtzJBM"", ""'APO'!D3:D139""),0))"),"")</f>
        <v/>
      </c>
      <c r="AD110" s="50">
        <f ca="1">IFERROR(__xludf.DUMMYFUNCTION("INDEX(IMPORTRANGE(""17pNv02DXDpQT9S3w4-QeNym2QJy2BzMBqDXp-XtzJBM"", ""'APO'!BL3:BL139""),MATCH($D110,IMPORTRANGE(""17pNv02DXDpQT9S3w4-QeNym2QJy2BzMBqDXp-XtzJBM"", ""'APO'!D3:D139""),0))"),370066435.4)</f>
        <v>370066435.39999998</v>
      </c>
      <c r="AE110" s="50">
        <f ca="1">IFERROR(__xludf.DUMMYFUNCTION("INDEX(IMPORTRANGE(""17pNv02DXDpQT9S3w4-QeNym2QJy2BzMBqDXp-XtzJBM"", ""'APO'!BM3:BM139""),MATCH($D110,IMPORTRANGE(""17pNv02DXDpQT9S3w4-QeNym2QJy2BzMBqDXp-XtzJBM"", ""'APO'!D3:D139""),0))"),361820428.849999)</f>
        <v>361820428.84999901</v>
      </c>
    </row>
    <row r="111" spans="1:31">
      <c r="A111" s="149" t="s">
        <v>275</v>
      </c>
      <c r="B111" s="149" t="s">
        <v>298</v>
      </c>
      <c r="C111" s="148" t="s">
        <v>30</v>
      </c>
      <c r="D111" s="149" t="s">
        <v>299</v>
      </c>
      <c r="E111" s="149" t="s">
        <v>278</v>
      </c>
      <c r="F111" s="9" t="s">
        <v>300</v>
      </c>
      <c r="G111" s="16" t="s">
        <v>213</v>
      </c>
      <c r="H111" s="8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2" t="s">
        <v>369</v>
      </c>
      <c r="P111" s="2" t="s">
        <v>218</v>
      </c>
      <c r="Q111" s="50">
        <v>2328307996.9899998</v>
      </c>
      <c r="R111" s="50">
        <v>2328307996.9899998</v>
      </c>
      <c r="S111" s="50">
        <f ca="1">IFERROR(__xludf.DUMMYFUNCTION("INDEX(IMPORTRANGE(""17pNv02DXDpQT9S3w4-QeNym2QJy2BzMBqDXp-XtzJBM"", ""'APO'!BG3:BG139""),MATCH($D111,IMPORTRANGE(""17pNv02DXDpQT9S3w4-QeNym2QJy2BzMBqDXp-XtzJBM"", ""'APO'!D3:D139""),0))"),984292533.29)</f>
        <v>984292533.28999996</v>
      </c>
      <c r="T111" s="13"/>
      <c r="U111" s="13"/>
      <c r="V111" s="13"/>
      <c r="W111" s="13"/>
      <c r="X111" s="13"/>
      <c r="Y111" s="13"/>
      <c r="Z111" s="2">
        <f ca="1">IFERROR(__xludf.DUMMYFUNCTION("INDEX(IMPORTRANGE(""17pNv02DXDpQT9S3w4-QeNym2QJy2BzMBqDXp-XtzJBM"", ""'APO'!BH3:BH139""),MATCH($D111,IMPORTRANGE(""17pNv02DXDpQT9S3w4-QeNym2QJy2BzMBqDXp-XtzJBM"", ""'APO'!D3:D139""),0))"),2328307996.99)</f>
        <v>2328307996.9899998</v>
      </c>
      <c r="AA111" s="184" t="str">
        <f ca="1">IFERROR(__xludf.DUMMYFUNCTION("INDEX(IMPORTRANGE(""17pNv02DXDpQT9S3w4-QeNym2QJy2BzMBqDXp-XtzJBM"", ""'APO'!BI3:BI139""),MATCH($D111,IMPORTRANGE(""17pNv02DXDpQT9S3w4-QeNym2QJy2BzMBqDXp-XtzJBM"", ""'APO'!D3:D139""),0))"),"")</f>
        <v/>
      </c>
      <c r="AB111" s="2">
        <f ca="1">IFERROR(__xludf.DUMMYFUNCTION("INDEX(IMPORTRANGE(""17pNv02DXDpQT9S3w4-QeNym2QJy2BzMBqDXp-XtzJBM"", ""'APO'!BJ3:BJ139""),MATCH($D111,IMPORTRANGE(""17pNv02DXDpQT9S3w4-QeNym2QJy2BzMBqDXp-XtzJBM"", ""'APO'!D3:D139""),0))"),2737154294.2)</f>
        <v>2737154294.1999998</v>
      </c>
      <c r="AC111" s="184" t="str">
        <f ca="1">IFERROR(__xludf.DUMMYFUNCTION("INDEX(IMPORTRANGE(""17pNv02DXDpQT9S3w4-QeNym2QJy2BzMBqDXp-XtzJBM"", ""'APO'!BK3:BK139""),MATCH($D111,IMPORTRANGE(""17pNv02DXDpQT9S3w4-QeNym2QJy2BzMBqDXp-XtzJBM"", ""'APO'!D3:D139""),0))"),"")</f>
        <v/>
      </c>
      <c r="AD111" s="2">
        <f ca="1">IFERROR(__xludf.DUMMYFUNCTION("INDEX(IMPORTRANGE(""17pNv02DXDpQT9S3w4-QeNym2QJy2BzMBqDXp-XtzJBM"", ""'APO'!BL3:BL139""),MATCH($D111,IMPORTRANGE(""17pNv02DXDpQT9S3w4-QeNym2QJy2BzMBqDXp-XtzJBM"", ""'APO'!D3:D139""),0))"),3152162349.76)</f>
        <v>3152162349.7600002</v>
      </c>
      <c r="AE111" s="2">
        <f ca="1">IFERROR(__xludf.DUMMYFUNCTION("INDEX(IMPORTRANGE(""17pNv02DXDpQT9S3w4-QeNym2QJy2BzMBqDXp-XtzJBM"", ""'APO'!BM3:BM139""),MATCH($D111,IMPORTRANGE(""17pNv02DXDpQT9S3w4-QeNym2QJy2BzMBqDXp-XtzJBM"", ""'APO'!D3:D139""),0))"),1493074613.17)</f>
        <v>1493074613.1700001</v>
      </c>
    </row>
    <row r="112" spans="1:31">
      <c r="A112" s="149" t="s">
        <v>275</v>
      </c>
      <c r="B112" s="149" t="s">
        <v>298</v>
      </c>
      <c r="C112" s="148" t="s">
        <v>36</v>
      </c>
      <c r="D112" s="149" t="s">
        <v>301</v>
      </c>
      <c r="E112" s="149" t="s">
        <v>278</v>
      </c>
      <c r="F112" s="9" t="s">
        <v>302</v>
      </c>
      <c r="G112" s="21" t="s">
        <v>213</v>
      </c>
      <c r="H112" s="22" t="s">
        <v>214</v>
      </c>
      <c r="I112" s="2" t="s">
        <v>368</v>
      </c>
      <c r="J112" s="9" t="s">
        <v>215</v>
      </c>
      <c r="K112" s="4"/>
      <c r="L112" s="9" t="s">
        <v>216</v>
      </c>
      <c r="M112" s="4"/>
      <c r="N112" s="9" t="s">
        <v>217</v>
      </c>
      <c r="O112" s="2" t="s">
        <v>369</v>
      </c>
      <c r="P112" s="2" t="s">
        <v>218</v>
      </c>
      <c r="Q112" s="15">
        <f t="shared" ref="Q112:R112" si="26">Q104/Q111</f>
        <v>0.81743848971462973</v>
      </c>
      <c r="R112" s="15">
        <f t="shared" si="26"/>
        <v>0.81743848971462973</v>
      </c>
      <c r="S112" s="15">
        <f ca="1">IFERROR(__xludf.DUMMYFUNCTION("INDEX(IMPORTRANGE(""17pNv02DXDpQT9S3w4-QeNym2QJy2BzMBqDXp-XtzJBM"", ""'APO'!BG3:BG139""),MATCH($D112,IMPORTRANGE(""17pNv02DXDpQT9S3w4-QeNym2QJy2BzMBqDXp-XtzJBM"", ""'APO'!D3:D139""),0))"),0.809013641928528)</f>
        <v>0.80901364192852798</v>
      </c>
      <c r="T112" s="2"/>
      <c r="U112" s="14">
        <v>0.8</v>
      </c>
      <c r="V112" s="2"/>
      <c r="W112" s="14">
        <v>0.8</v>
      </c>
      <c r="X112" s="14">
        <v>0.8</v>
      </c>
      <c r="Y112" s="14">
        <v>0.8</v>
      </c>
      <c r="Z112" s="15">
        <f ca="1">IFERROR(__xludf.DUMMYFUNCTION("INDEX(IMPORTRANGE(""17pNv02DXDpQT9S3w4-QeNym2QJy2BzMBqDXp-XtzJBM"", ""'APO'!BH3:BH139""),MATCH($D112,IMPORTRANGE(""17pNv02DXDpQT9S3w4-QeNym2QJy2BzMBqDXp-XtzJBM"", ""'APO'!D3:D139""),0))"),0.817438489714629)</f>
        <v>0.81743848971462896</v>
      </c>
      <c r="AA112" s="179" t="str">
        <f ca="1">IFERROR(__xludf.DUMMYFUNCTION("INDEX(IMPORTRANGE(""17pNv02DXDpQT9S3w4-QeNym2QJy2BzMBqDXp-XtzJBM"", ""'APO'!BI3:BI139""),MATCH($D112,IMPORTRANGE(""17pNv02DXDpQT9S3w4-QeNym2QJy2BzMBqDXp-XtzJBM"", ""'APO'!D3:D139""),0))"),"")</f>
        <v/>
      </c>
      <c r="AB112" s="15">
        <f ca="1">IFERROR(__xludf.DUMMYFUNCTION("INDEX(IMPORTRANGE(""17pNv02DXDpQT9S3w4-QeNym2QJy2BzMBqDXp-XtzJBM"", ""'APO'!BJ3:BJ139""),MATCH($D112,IMPORTRANGE(""17pNv02DXDpQT9S3w4-QeNym2QJy2BzMBqDXp-XtzJBM"", ""'APO'!D3:D139""),0))"),0.814871364302061)</f>
        <v>0.81487136430206097</v>
      </c>
      <c r="AC112" s="179" t="str">
        <f ca="1">IFERROR(__xludf.DUMMYFUNCTION("INDEX(IMPORTRANGE(""17pNv02DXDpQT9S3w4-QeNym2QJy2BzMBqDXp-XtzJBM"", ""'APO'!BK3:BK139""),MATCH($D112,IMPORTRANGE(""17pNv02DXDpQT9S3w4-QeNym2QJy2BzMBqDXp-XtzJBM"", ""'APO'!D3:D139""),0))"),"")</f>
        <v/>
      </c>
      <c r="AD112" s="15">
        <f ca="1">IFERROR(__xludf.DUMMYFUNCTION("INDEX(IMPORTRANGE(""17pNv02DXDpQT9S3w4-QeNym2QJy2BzMBqDXp-XtzJBM"", ""'APO'!BL3:BL139""),MATCH($D112,IMPORTRANGE(""17pNv02DXDpQT9S3w4-QeNym2QJy2BzMBqDXp-XtzJBM"", ""'APO'!D3:D139""),0))"),0.769326189501196)</f>
        <v>0.76932618950119602</v>
      </c>
      <c r="AE112" s="15">
        <f ca="1">IFERROR(__xludf.DUMMYFUNCTION("INDEX(IMPORTRANGE(""17pNv02DXDpQT9S3w4-QeNym2QJy2BzMBqDXp-XtzJBM"", ""'APO'!BM3:BM139""),MATCH($D112,IMPORTRANGE(""17pNv02DXDpQT9S3w4-QeNym2QJy2BzMBqDXp-XtzJBM"", ""'APO'!D3:D139""),0))"),0.78707534750388)</f>
        <v>0.78707534750387997</v>
      </c>
    </row>
    <row r="113" spans="1:31">
      <c r="A113" s="149" t="s">
        <v>275</v>
      </c>
      <c r="B113" s="149" t="s">
        <v>303</v>
      </c>
      <c r="C113" s="148" t="s">
        <v>36</v>
      </c>
      <c r="D113" s="149" t="s">
        <v>304</v>
      </c>
      <c r="E113" s="149" t="s">
        <v>305</v>
      </c>
      <c r="F113" s="9" t="s">
        <v>306</v>
      </c>
      <c r="G113" s="10" t="s">
        <v>307</v>
      </c>
      <c r="H113" s="59"/>
      <c r="I113" s="49">
        <v>44348</v>
      </c>
      <c r="J113" s="2" t="s">
        <v>254</v>
      </c>
      <c r="K113" s="4"/>
      <c r="L113" s="2" t="s">
        <v>255</v>
      </c>
      <c r="M113" s="4"/>
      <c r="N113" s="2" t="s">
        <v>256</v>
      </c>
      <c r="O113" s="49">
        <v>45473</v>
      </c>
      <c r="P113" s="2"/>
      <c r="Q113" s="12" t="s">
        <v>308</v>
      </c>
      <c r="R113" s="12" t="s">
        <v>308</v>
      </c>
      <c r="S113" s="12" t="str">
        <f ca="1">IFERROR(__xludf.DUMMYFUNCTION("INDEX(IMPORTRANGE(""17pNv02DXDpQT9S3w4-QeNym2QJy2BzMBqDXp-XtzJBM"", ""'APO'!BG3:BG139""),MATCH($D113,IMPORTRANGE(""17pNv02DXDpQT9S3w4-QeNym2QJy2BzMBqDXp-XtzJBM"", ""'APO'!D3:D139""),0))"),"Verde")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15" t="str">
        <f ca="1">IFERROR(__xludf.DUMMYFUNCTION("INDEX(IMPORTRANGE(""17pNv02DXDpQT9S3w4-QeNym2QJy2BzMBqDXp-XtzJBM"", ""'APO'!BH3:BH139""),MATCH($D113,IMPORTRANGE(""17pNv02DXDpQT9S3w4-QeNym2QJy2BzMBqDXp-XtzJBM"", ""'APO'!D3:D139""),0))"),"Verde")</f>
        <v>Verde</v>
      </c>
      <c r="AA113" s="179" t="str">
        <f ca="1">IFERROR(__xludf.DUMMYFUNCTION("INDEX(IMPORTRANGE(""17pNv02DXDpQT9S3w4-QeNym2QJy2BzMBqDXp-XtzJBM"", ""'APO'!BI3:BI139""),MATCH($D113,IMPORTRANGE(""17pNv02DXDpQT9S3w4-QeNym2QJy2BzMBqDXp-XtzJBM"", ""'APO'!D3:D139""),0))"),"")</f>
        <v/>
      </c>
      <c r="AB113" s="15" t="str">
        <f ca="1">IFERROR(__xludf.DUMMYFUNCTION("INDEX(IMPORTRANGE(""17pNv02DXDpQT9S3w4-QeNym2QJy2BzMBqDXp-XtzJBM"", ""'APO'!BJ3:BJ139""),MATCH($D113,IMPORTRANGE(""17pNv02DXDpQT9S3w4-QeNym2QJy2BzMBqDXp-XtzJBM"", ""'APO'!D3:D139""),0))"),"Verde")</f>
        <v>Verde</v>
      </c>
      <c r="AC113" s="179" t="str">
        <f ca="1">IFERROR(__xludf.DUMMYFUNCTION("INDEX(IMPORTRANGE(""17pNv02DXDpQT9S3w4-QeNym2QJy2BzMBqDXp-XtzJBM"", ""'APO'!BK3:BK139""),MATCH($D113,IMPORTRANGE(""17pNv02DXDpQT9S3w4-QeNym2QJy2BzMBqDXp-XtzJBM"", ""'APO'!D3:D139""),0))"),"")</f>
        <v/>
      </c>
      <c r="AD113" s="15" t="str">
        <f ca="1">IFERROR(__xludf.DUMMYFUNCTION("INDEX(IMPORTRANGE(""17pNv02DXDpQT9S3w4-QeNym2QJy2BzMBqDXp-XtzJBM"", ""'APO'!BL3:BL139""),MATCH($D113,IMPORTRANGE(""17pNv02DXDpQT9S3w4-QeNym2QJy2BzMBqDXp-XtzJBM"", ""'APO'!D3:D139""),0))"),"Verde")</f>
        <v>Verde</v>
      </c>
      <c r="AE113" s="15" t="str">
        <f ca="1">IFERROR(__xludf.DUMMYFUNCTION("INDEX(IMPORTRANGE(""17pNv02DXDpQT9S3w4-QeNym2QJy2BzMBqDXp-XtzJBM"", ""'APO'!BM3:BM139""),MATCH($D113,IMPORTRANGE(""17pNv02DXDpQT9S3w4-QeNym2QJy2BzMBqDXp-XtzJBM"", ""'APO'!D3:D139""),0))"),"Verde")</f>
        <v>Verde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7A17-66EA-E846-BEA3-504882B1E8A3}">
  <dimension ref="A1:L15"/>
  <sheetViews>
    <sheetView workbookViewId="0">
      <selection activeCell="H15" sqref="H15"/>
    </sheetView>
  </sheetViews>
  <sheetFormatPr baseColWidth="10" defaultRowHeight="16"/>
  <cols>
    <col min="1" max="1" width="22.6640625" customWidth="1"/>
    <col min="2" max="2" width="12.33203125" customWidth="1"/>
    <col min="4" max="4" width="12.5" customWidth="1"/>
    <col min="6" max="6" width="12.5" customWidth="1"/>
    <col min="8" max="8" width="12.83203125" customWidth="1"/>
    <col min="10" max="10" width="12.5" customWidth="1"/>
  </cols>
  <sheetData>
    <row r="1" spans="1:12" ht="22">
      <c r="A1" s="220" t="s">
        <v>376</v>
      </c>
    </row>
    <row r="2" spans="1:12">
      <c r="A2" s="221" t="s">
        <v>449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STC'!M2</f>
        <v>7.888313223024678</v>
      </c>
      <c r="D5" s="228">
        <v>8.5000000000000006E-2</v>
      </c>
      <c r="E5" s="229">
        <f ca="1">'EVA 2 STC'!M2</f>
        <v>7.732711268239143</v>
      </c>
      <c r="F5" s="228">
        <v>0.1</v>
      </c>
      <c r="G5" s="229">
        <f ca="1">'EVA 3 STC'!M2</f>
        <v>8.1005082583189463</v>
      </c>
      <c r="H5" s="228">
        <v>8.5000000000000006E-2</v>
      </c>
      <c r="I5" s="229">
        <f ca="1">'EVA 4 STC'!M2</f>
        <v>9.2259509420547445</v>
      </c>
      <c r="J5" s="228">
        <v>8.5000000000000006E-2</v>
      </c>
      <c r="K5" s="229">
        <f ca="1">'EVA 5 STC'!M2</f>
        <v>9.6417330938535528</v>
      </c>
      <c r="L5" s="236">
        <f ca="1">AVERAGE(C5,E5,G5,I5,K5)</f>
        <v>8.5178433570982133</v>
      </c>
    </row>
    <row r="6" spans="1:12">
      <c r="A6" s="222" t="s">
        <v>52</v>
      </c>
      <c r="B6" s="227">
        <v>0.22</v>
      </c>
      <c r="C6" s="229">
        <f ca="1">'EVA 1 STC'!M5</f>
        <v>1.7086702979171891</v>
      </c>
      <c r="D6" s="228">
        <v>0.188</v>
      </c>
      <c r="E6" s="229">
        <f ca="1">'EVA 2 STC'!M5</f>
        <v>2.2249860404846715</v>
      </c>
      <c r="F6" s="228">
        <v>0.221</v>
      </c>
      <c r="G6" s="229">
        <f ca="1">'EVA 3 STC'!M5</f>
        <v>2.6006433182985522</v>
      </c>
      <c r="H6" s="228">
        <v>0.188</v>
      </c>
      <c r="I6" s="229">
        <f ca="1">'EVA 4 STC'!M5</f>
        <v>2.259446166711776</v>
      </c>
      <c r="J6" s="228">
        <v>0.188</v>
      </c>
      <c r="K6" s="229">
        <f ca="1">'EVA 5 STC'!M5</f>
        <v>3.0511240780420144</v>
      </c>
      <c r="L6" s="236">
        <f t="shared" ref="L6:L11" ca="1" si="0">AVERAGE(C6,E6,G6,I6,K6)</f>
        <v>2.3689739802908405</v>
      </c>
    </row>
    <row r="7" spans="1:12">
      <c r="A7" s="222" t="s">
        <v>119</v>
      </c>
      <c r="B7" s="227">
        <v>0.11</v>
      </c>
      <c r="C7" s="229">
        <f ca="1">'EVA 1 STC'!M11</f>
        <v>10</v>
      </c>
      <c r="D7" s="228">
        <v>9.5000000000000001E-2</v>
      </c>
      <c r="E7" s="229">
        <f ca="1">'EVA 2 STC'!M11</f>
        <v>7.9703845504751705</v>
      </c>
      <c r="F7" s="228">
        <v>0.111</v>
      </c>
      <c r="G7" s="229">
        <f ca="1">'EVA 3 STC'!M11</f>
        <v>7.5063488644680749</v>
      </c>
      <c r="H7" s="228">
        <v>9.5000000000000001E-2</v>
      </c>
      <c r="I7" s="229">
        <f ca="1">'EVA 4 STC'!M11</f>
        <v>8.769047619047619</v>
      </c>
      <c r="J7" s="228">
        <v>9.5000000000000001E-2</v>
      </c>
      <c r="K7" s="229">
        <f ca="1">'EVA 5 STC'!M11</f>
        <v>9.0020547945205482</v>
      </c>
      <c r="L7" s="236">
        <f t="shared" ca="1" si="0"/>
        <v>8.6495671657022832</v>
      </c>
    </row>
    <row r="8" spans="1:12">
      <c r="A8" s="222" t="s">
        <v>378</v>
      </c>
      <c r="B8" s="227">
        <v>0.24</v>
      </c>
      <c r="C8" s="229">
        <f ca="1">'EVA 1 STC'!M15</f>
        <v>8.6850089274009168</v>
      </c>
      <c r="D8" s="228">
        <v>0.2</v>
      </c>
      <c r="E8" s="229">
        <f ca="1">'EVA 2 STC'!M16</f>
        <v>7.957885782577887</v>
      </c>
      <c r="F8" s="228">
        <v>0.23699999999999999</v>
      </c>
      <c r="G8" s="229">
        <f ca="1">'EVA 3 STC'!M16</f>
        <v>7.960124224433839</v>
      </c>
      <c r="H8" s="228">
        <v>0.2</v>
      </c>
      <c r="I8" s="229">
        <f ca="1">'EVA 4 STC'!M16</f>
        <v>8.0786040682030489</v>
      </c>
      <c r="J8" s="228">
        <v>0.2</v>
      </c>
      <c r="K8" s="229">
        <f ca="1">'EVA 5 STC'!M16</f>
        <v>8.5830551067787173</v>
      </c>
      <c r="L8" s="236">
        <f t="shared" ca="1" si="0"/>
        <v>8.2529356218788816</v>
      </c>
    </row>
    <row r="9" spans="1:12">
      <c r="A9" s="222" t="s">
        <v>199</v>
      </c>
      <c r="B9" s="227">
        <v>0.17</v>
      </c>
      <c r="C9" s="229">
        <f ca="1">'EVA 1 STC'!M23</f>
        <v>3.5788888888888888</v>
      </c>
      <c r="D9" s="228">
        <v>0.14499999999999999</v>
      </c>
      <c r="E9" s="229">
        <f ca="1">'EVA 2 STC'!M24</f>
        <v>7.611436473829202</v>
      </c>
      <c r="F9" s="228">
        <v>0.17</v>
      </c>
      <c r="G9" s="229">
        <f ca="1">'EVA 3 STC'!M24</f>
        <v>5.7176728565784272</v>
      </c>
      <c r="H9" s="228">
        <v>0.14499999999999999</v>
      </c>
      <c r="I9" s="229">
        <f ca="1">'EVA 4 STC'!M24</f>
        <v>8.7033333333333331</v>
      </c>
      <c r="J9" s="228">
        <v>0.14499999999999999</v>
      </c>
      <c r="K9" s="229">
        <f ca="1">'EVA 5 STC'!M24</f>
        <v>6.986742531091001</v>
      </c>
      <c r="L9" s="236">
        <f t="shared" ca="1" si="0"/>
        <v>6.5196148167441708</v>
      </c>
    </row>
    <row r="10" spans="1:12">
      <c r="A10" s="222" t="s">
        <v>243</v>
      </c>
      <c r="B10" s="227">
        <v>0.16</v>
      </c>
      <c r="C10" s="229">
        <f ca="1">'EVA 1 STC'!M27</f>
        <v>7.4059999999999997</v>
      </c>
      <c r="D10" s="228">
        <v>0.13800000000000001</v>
      </c>
      <c r="E10" s="229">
        <f ca="1">'EVA 2 STC'!M29</f>
        <v>6.9324511415525052</v>
      </c>
      <c r="F10" s="228">
        <v>0.161</v>
      </c>
      <c r="G10" s="229">
        <f ca="1">'EVA 3 STC'!M28</f>
        <v>8.1539731934731918</v>
      </c>
      <c r="H10" s="228">
        <v>0.13800000000000001</v>
      </c>
      <c r="I10" s="229">
        <f ca="1">'EVA 4 STC'!M29</f>
        <v>8.658497818599308</v>
      </c>
      <c r="J10" s="228">
        <v>0.13800000000000001</v>
      </c>
      <c r="K10" s="229">
        <f ca="1">'EVA 5 STC'!M29</f>
        <v>8.6328567929582842</v>
      </c>
      <c r="L10" s="236">
        <f t="shared" ca="1" si="0"/>
        <v>7.9567557893166576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STC'!M34</f>
        <v>9.1844898787228431</v>
      </c>
      <c r="F11" s="232"/>
      <c r="G11" s="232"/>
      <c r="H11" s="228">
        <v>0.14899999999999999</v>
      </c>
      <c r="I11" s="229">
        <f ca="1">'EVA 4 STC'!M34</f>
        <v>9.5932237926706314</v>
      </c>
      <c r="J11" s="228">
        <v>0.14899999999999999</v>
      </c>
      <c r="K11" s="229">
        <f ca="1">'EVA 5 STC'!M34</f>
        <v>9.4808183135578297</v>
      </c>
      <c r="L11" s="236">
        <f t="shared" ca="1" si="0"/>
        <v>9.4195106616504347</v>
      </c>
    </row>
    <row r="12" spans="1:12">
      <c r="A12" s="223" t="s">
        <v>392</v>
      </c>
      <c r="B12" s="234"/>
      <c r="C12" s="231">
        <f ca="1">SUMPRODUCT(B5:B10,C5:C10)</f>
        <v>6.1425120415315808</v>
      </c>
      <c r="D12" s="234"/>
      <c r="E12" s="231">
        <f ca="1">SUMPRODUCT(D5:D11,E5:E11)</f>
        <v>6.8531670603913479</v>
      </c>
      <c r="F12" s="234"/>
      <c r="G12" s="231">
        <f ca="1">SUMPRODUCT(F5:F10,G5:G10)</f>
        <v>6.3893412340901676</v>
      </c>
      <c r="H12" s="234"/>
      <c r="I12" s="231">
        <f ca="1">SUMPRODUCT(H5:H11,I5:I11)</f>
        <v>7.5440084242745638</v>
      </c>
      <c r="J12" s="233"/>
      <c r="K12" s="231">
        <f ca="1">SUMPRODUCT(J5:J11,K5:K11)</f>
        <v>7.5820186996412016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6.9022094919857722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4F57-19F0-8342-B798-3338BC6E54E3}">
  <dimension ref="A1:M39"/>
  <sheetViews>
    <sheetView workbookViewId="0"/>
  </sheetViews>
  <sheetFormatPr baseColWidth="10" defaultRowHeight="16"/>
  <cols>
    <col min="1" max="1" width="10.83203125" style="118"/>
    <col min="3" max="3" width="19.1640625" customWidth="1"/>
    <col min="5" max="5" width="12.6640625" customWidth="1"/>
    <col min="7" max="7" width="12" customWidth="1"/>
    <col min="8" max="8" width="11.6640625" customWidth="1"/>
    <col min="9" max="9" width="10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196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APO'!$D$3:$AE$113,6,0)</f>
        <v>44469</v>
      </c>
      <c r="E2" s="212">
        <f ca="1">'BD EVA 5 APO'!AA3</f>
        <v>818</v>
      </c>
      <c r="F2" s="75" t="str">
        <f>VLOOKUP(C2,'BD EVA 5 APO'!$D$3:$AE$113,12,0)</f>
        <v>Ago 2024</v>
      </c>
      <c r="G2" s="212">
        <f ca="1">VLOOKUP(C2,'BD EVA 5 APO'!$D$3:$AE$113,28,0)</f>
        <v>726</v>
      </c>
      <c r="H2" s="212">
        <f>VLOOKUP(C2,'BD EVA 5 APO'!$D$3:$AE$113,21,0)</f>
        <v>890</v>
      </c>
      <c r="I2" s="78">
        <f ca="1">IF(G2&gt;=E2,G2/H2,0)</f>
        <v>0</v>
      </c>
      <c r="J2" s="72" t="s">
        <v>316</v>
      </c>
      <c r="K2" s="81">
        <v>2.7</v>
      </c>
      <c r="L2" s="81">
        <f ca="1">IF(I2&lt;0,0,IF(I2&gt;1,K2,I2*K2))</f>
        <v>0</v>
      </c>
      <c r="M2" s="124">
        <f ca="1">SUM(L2:L4)</f>
        <v>7.3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APO'!$D$3:$AE$113,6,0)</f>
        <v>44469</v>
      </c>
      <c r="E3" s="207">
        <f ca="1">VLOOKUP(C3,'BD EVA 5 APO'!$D$3:$AE$113,16,0)</f>
        <v>1</v>
      </c>
      <c r="F3" s="75" t="str">
        <f>VLOOKUP(C3,'BD EVA 5 APO'!$D$3:$AE$113,12,0)</f>
        <v>Ago 2024</v>
      </c>
      <c r="G3" s="207">
        <f ca="1">VLOOKUP(C3,'BD EVA 5 APO'!$D$3:$AE$113,28,0)</f>
        <v>0.99862258953168004</v>
      </c>
      <c r="H3" s="207" t="str">
        <f>VLOOKUP(C3,'BD EVA 5 APO'!$D$3:$AE$113,21,0)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ref="L3:L39" ca="1" si="0">IF(I3&lt;0,0,IF(I3&gt;1,K3,I3*K3))</f>
        <v>3.8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APO'!$D$3:$AE$113,6,0)</f>
        <v>44469</v>
      </c>
      <c r="E4" s="207">
        <f ca="1">VLOOKUP(C4,'BD EVA 5 APO'!$D$3:$AE$113,16,0)</f>
        <v>1.67664670658682E-2</v>
      </c>
      <c r="F4" s="89" t="str">
        <f>VLOOKUP(C4,'BD EVA 5 APO'!$D$3:$AE$113,12,0)</f>
        <v>Ago 2024</v>
      </c>
      <c r="G4" s="207">
        <f ca="1">VLOOKUP(C4,'BD EVA 5 APO'!$D$3:$AE$113,28,0)</f>
        <v>1.6528925619834701E-2</v>
      </c>
      <c r="H4" s="207">
        <f>VLOOKUP(C4,'BD EVA 5 APO'!$D$3:$AE$113,21,0)</f>
        <v>9.4500000000000001E-3</v>
      </c>
      <c r="I4" s="77">
        <f t="shared" ref="I4:I5" ca="1" si="1">G4/H4</f>
        <v>1.7490926581835662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APO'!$D$3:$AE$113,6,0)</f>
        <v>octubre 20 - agosto 21</v>
      </c>
      <c r="E5" s="207">
        <f ca="1">VLOOKUP(C5,'BD EVA 5 APO'!$D$3:$AE$113,16,0)</f>
        <v>0</v>
      </c>
      <c r="F5" s="75" t="str">
        <f>VLOOKUP(C5,'BD EVA 5 APO'!$D$3:$AE$113,12,0)</f>
        <v>octubre 23 - agosto 24</v>
      </c>
      <c r="G5" s="207">
        <f ca="1">VLOOKUP(C5,'BD EVA 5 APO'!$D$3:$AE$113,28,0)</f>
        <v>0.59265175718849805</v>
      </c>
      <c r="H5" s="207">
        <f>VLOOKUP(C5,'BD EVA 5 APO'!$D$3:$AE$113,21,0)</f>
        <v>0.32224999999999998</v>
      </c>
      <c r="I5" s="77">
        <f t="shared" ca="1" si="1"/>
        <v>1.8391055304530584</v>
      </c>
      <c r="J5" s="75" t="s">
        <v>318</v>
      </c>
      <c r="K5" s="208">
        <v>1.6</v>
      </c>
      <c r="L5" s="209">
        <f t="shared" ca="1" si="0"/>
        <v>1.6</v>
      </c>
      <c r="M5" s="130">
        <f ca="1">SUM(L5:L10)</f>
        <v>7.7594187286193987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APO'!$D$3:$AE$113,6,0)</f>
        <v>octubre 20 - agosto 21</v>
      </c>
      <c r="E6" s="209">
        <f ca="1">VLOOKUP(C6,'BD EVA 5 APO'!$D$3:$AE$113,16,0)</f>
        <v>12.7678622392727</v>
      </c>
      <c r="F6" s="75" t="str">
        <f>VLOOKUP(C6,'BD EVA 5 APO'!$D$3:$AE$113,12,0)</f>
        <v>octubre 23 - agosto 24</v>
      </c>
      <c r="G6" s="209">
        <f ca="1">VLOOKUP(C6,'BD EVA 5 APO'!$D$3:$AE$113,28,0)</f>
        <v>15.1512336105818</v>
      </c>
      <c r="H6" s="209">
        <f ca="1">VLOOKUP(C6,'BD EVA 5 APO'!$D$3:$AE$113,21,0)</f>
        <v>11.086956521739094</v>
      </c>
      <c r="I6" s="78">
        <f t="shared" ref="I6:I10" ca="1" si="2">(G6-E6)/(H6-E6)</f>
        <v>-1.4179090156265399</v>
      </c>
      <c r="J6" s="71" t="s">
        <v>319</v>
      </c>
      <c r="K6" s="208">
        <v>1.7</v>
      </c>
      <c r="L6" s="20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APO'!$D$3:$AE$113,6,0)</f>
        <v>octubre 20 - agosto 21</v>
      </c>
      <c r="E7" s="208">
        <f ca="1">VLOOKUP(C7,'BD EVA 5 APO'!$D$3:$AE$113,16,0)</f>
        <v>257.159766513352</v>
      </c>
      <c r="F7" s="75" t="str">
        <f>VLOOKUP(C7,'BD EVA 5 APO'!$D$3:$AE$113,12,0)</f>
        <v>octubre 23 - agosto 24</v>
      </c>
      <c r="G7" s="208">
        <f ca="1">VLOOKUP(C7,'BD EVA 5 APO'!$D$3:$AE$113,28,0)</f>
        <v>160.94612307089699</v>
      </c>
      <c r="H7" s="208">
        <f ca="1">VLOOKUP(C7,'BD EVA 5 APO'!$D$3:$AE$113,21,0)</f>
        <v>227.95101861993413</v>
      </c>
      <c r="I7" s="78">
        <f t="shared" ca="1" si="2"/>
        <v>3.2940009545611701</v>
      </c>
      <c r="J7" s="71" t="s">
        <v>319</v>
      </c>
      <c r="K7" s="208">
        <v>1.6</v>
      </c>
      <c r="L7" s="209">
        <f t="shared" ca="1" si="0"/>
        <v>1.6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APO'!$D$3:$AE$113,6,0)</f>
        <v>octubre 20 - agosto 21</v>
      </c>
      <c r="E8" s="208">
        <f ca="1">VLOOKUP(C8,'BD EVA 5 APO'!$D$3:$AE$113,16,0)</f>
        <v>749.09798808533105</v>
      </c>
      <c r="F8" s="75" t="str">
        <f>VLOOKUP(C8,'BD EVA 5 APO'!$D$3:$AE$113,12,0)</f>
        <v>octubre 23 - agosto 24</v>
      </c>
      <c r="G8" s="208">
        <f ca="1">VLOOKUP(C8,'BD EVA 5 APO'!$D$3:$AE$113,28,0)</f>
        <v>452.53590199152899</v>
      </c>
      <c r="H8" s="208">
        <f ca="1">VLOOKUP(C8,'BD EVA 5 APO'!$D$3:$AE$113,21,0)</f>
        <v>678.1460635433491</v>
      </c>
      <c r="I8" s="78">
        <f t="shared" ca="1" si="2"/>
        <v>4.1797609861636316</v>
      </c>
      <c r="J8" s="71" t="s">
        <v>319</v>
      </c>
      <c r="K8" s="208">
        <v>1.7</v>
      </c>
      <c r="L8" s="209">
        <f t="shared" ca="1" si="0"/>
        <v>1.7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APO'!$D$3:$AE$113,6,0)</f>
        <v>octubre 20 - agosto 21</v>
      </c>
      <c r="E9" s="208">
        <f ca="1">VLOOKUP(C9,'BD EVA 5 APO'!$D$3:$AE$113,16,0)</f>
        <v>111.005296409677</v>
      </c>
      <c r="F9" s="75" t="str">
        <f>VLOOKUP(C9,'BD EVA 5 APO'!$D$3:$AE$113,12,0)</f>
        <v>octubre 23 - agosto 24</v>
      </c>
      <c r="G9" s="208">
        <f ca="1">VLOOKUP(C9,'BD EVA 5 APO'!$D$3:$AE$113,28,0)</f>
        <v>59.604381279364397</v>
      </c>
      <c r="H9" s="208">
        <f ca="1">VLOOKUP(C9,'BD EVA 5 APO'!$D$3:$AE$113,21,0)</f>
        <v>100.6682222222221</v>
      </c>
      <c r="I9" s="78">
        <f t="shared" ca="1" si="2"/>
        <v>4.9724819807032903</v>
      </c>
      <c r="J9" s="71" t="s">
        <v>319</v>
      </c>
      <c r="K9" s="208">
        <v>1.7</v>
      </c>
      <c r="L9" s="209">
        <f t="shared" ca="1" si="0"/>
        <v>1.7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APO'!$D$3:$AE$113,6,0)</f>
        <v>octubre 20 - agosto 21</v>
      </c>
      <c r="E10" s="208">
        <f ca="1">VLOOKUP(C10,'BD EVA 5 APO'!$D$3:$AE$113,16,0)</f>
        <v>12.0168115193155</v>
      </c>
      <c r="F10" s="89" t="str">
        <f>VLOOKUP(C10,'BD EVA 5 APO'!$D$3:$AE$113,12,0)</f>
        <v>octubre 23 - agosto 24</v>
      </c>
      <c r="G10" s="208">
        <f ca="1">VLOOKUP(C10,'BD EVA 5 APO'!$D$3:$AE$113,28,0)</f>
        <v>11.0060847925924</v>
      </c>
      <c r="H10" s="208">
        <f ca="1">VLOOKUP(C10,'BD EVA 5 APO'!$D$3:$AE$113,21,0)</f>
        <v>10.534831460674138</v>
      </c>
      <c r="I10" s="78">
        <f t="shared" ca="1" si="2"/>
        <v>0.68201101683494014</v>
      </c>
      <c r="J10" s="71" t="s">
        <v>319</v>
      </c>
      <c r="K10" s="208">
        <v>1.7</v>
      </c>
      <c r="L10" s="209">
        <f t="shared" ca="1" si="0"/>
        <v>1.1594187286193982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APO'!$D$3:$AE$113,6,0)</f>
        <v>44469</v>
      </c>
      <c r="E11" s="78">
        <f ca="1">VLOOKUP(C11,'BD EVA 5 APO'!$D$3:$AE$113,16,0)</f>
        <v>0</v>
      </c>
      <c r="F11" s="75" t="str">
        <f>VLOOKUP(C11,'BD EVA 5 APO'!$D$3:$AE$113,12,0)</f>
        <v>Ago 2024</v>
      </c>
      <c r="G11" s="78">
        <f ca="1">VLOOKUP(C11,'BD EVA 5 APO'!$D$3:$AE$113,28,0)</f>
        <v>1.61931331862071E-4</v>
      </c>
      <c r="H11" s="78">
        <f>VLOOKUP(C11,'BD EVA 5 APO'!$D$3:$AE$113,21,0)</f>
        <v>8.9833333333333328E-3</v>
      </c>
      <c r="I11" s="77">
        <f t="shared" ref="I11:I15" ca="1" si="3">G11/H11</f>
        <v>1.8025751227688794E-2</v>
      </c>
      <c r="J11" s="89" t="s">
        <v>318</v>
      </c>
      <c r="K11" s="85">
        <v>1.05</v>
      </c>
      <c r="L11" s="209">
        <f t="shared" ca="1" si="0"/>
        <v>1.8927038789073234E-2</v>
      </c>
      <c r="M11" s="130">
        <f ca="1">SUM(L11:L15)</f>
        <v>7.0689270387890728</v>
      </c>
    </row>
    <row r="12" spans="1:13" ht="91">
      <c r="A12" s="121" t="s">
        <v>119</v>
      </c>
      <c r="B12" s="72" t="s">
        <v>120</v>
      </c>
      <c r="C12" s="72" t="s">
        <v>333</v>
      </c>
      <c r="D12" s="75" t="str">
        <f>VLOOKUP(C12,'BD EVA 5 APO'!$D$3:$AE$113,6,0)</f>
        <v>octubre 20 - agosto 21</v>
      </c>
      <c r="E12" s="210" t="str">
        <f ca="1">VLOOKUP(C12,'BD EVA 5 APO'!$D$3:$AE$113,16,0)</f>
        <v/>
      </c>
      <c r="F12" s="75" t="str">
        <f>VLOOKUP(C12,'BD EVA 5 APO'!$D$3:$AE$113,12,0)</f>
        <v>octubre 23 - agosto 24</v>
      </c>
      <c r="G12" s="210">
        <f ca="1">VLOOKUP(C12,'BD EVA 5 APO'!$D$3:$AE$113,28,0)</f>
        <v>0.12153590502916101</v>
      </c>
      <c r="H12" s="210">
        <f ca="1">VLOOKUP(C12,'BD EVA 5 APO'!$D$3:$AE$113,21,0)</f>
        <v>2.3766667415316692E-4</v>
      </c>
      <c r="I12" s="78">
        <f t="shared" ca="1" si="3"/>
        <v>511.37125329921452</v>
      </c>
      <c r="J12" s="75" t="s">
        <v>318</v>
      </c>
      <c r="K12" s="85">
        <v>1.05</v>
      </c>
      <c r="L12" s="211">
        <f t="shared" ca="1" si="0"/>
        <v>1.05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APO'!$D$3:$AE$113,6,0)</f>
        <v>octubre 20 - agosto 21</v>
      </c>
      <c r="E13" s="212">
        <f ca="1">VLOOKUP(C13,'BD EVA 5 APO'!$D$3:$AE$113,16,0)</f>
        <v>0</v>
      </c>
      <c r="F13" s="75" t="str">
        <f>VLOOKUP(C13,'BD EVA 5 APO'!$D$3:$AE$113,12,0)</f>
        <v>octubre 21 - agosto 24</v>
      </c>
      <c r="G13" s="212">
        <f ca="1">VLOOKUP(C13,'BD EVA 5 APO'!$D$3:$AE$113,28,0)</f>
        <v>4</v>
      </c>
      <c r="H13" s="212">
        <f>VLOOKUP(C13,'BD EVA 5 APO'!$D$3:$AE$113,21,0)</f>
        <v>1</v>
      </c>
      <c r="I13" s="78">
        <f t="shared" ca="1" si="3"/>
        <v>4</v>
      </c>
      <c r="J13" s="75" t="s">
        <v>318</v>
      </c>
      <c r="K13" s="81">
        <v>2.4</v>
      </c>
      <c r="L13" s="209">
        <f t="shared" ca="1" si="0"/>
        <v>2.4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APO'!$D$3:$AE$113,6,0)</f>
        <v>octubre 20 - agosto 21</v>
      </c>
      <c r="E14" s="212">
        <f ca="1">VLOOKUP(C14,'BD EVA 5 APO'!$D$3:$AE$113,16,0)</f>
        <v>912</v>
      </c>
      <c r="F14" s="75" t="str">
        <f>VLOOKUP(C14,'BD EVA 5 APO'!$D$3:$AE$113,12,0)</f>
        <v>octubre 21 - agosto 24</v>
      </c>
      <c r="G14" s="212">
        <f ca="1">VLOOKUP(C14,'BD EVA 5 APO'!$D$3:$AE$113,28,0)</f>
        <v>21072</v>
      </c>
      <c r="H14" s="212">
        <f>VLOOKUP(C14,'BD EVA 5 APO'!$D$3:$AE$113,21,0)</f>
        <v>4869.166666666667</v>
      </c>
      <c r="I14" s="78">
        <f t="shared" ca="1" si="3"/>
        <v>4.3276399110046206</v>
      </c>
      <c r="J14" s="75" t="s">
        <v>318</v>
      </c>
      <c r="K14" s="81">
        <v>2.4</v>
      </c>
      <c r="L14" s="209">
        <f t="shared" ca="1" si="0"/>
        <v>2.4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APO'!$D$3:$AE$113,6,0)</f>
        <v>octubre 20 - agosto 21</v>
      </c>
      <c r="E15" s="212">
        <f ca="1">VLOOKUP(C15,'BD EVA 5 APO'!$D$3:$AE$113,16,0)</f>
        <v>1</v>
      </c>
      <c r="F15" s="89" t="str">
        <f>VLOOKUP(C15,'BD EVA 5 APO'!$D$3:$AE$113,12,0)</f>
        <v>octubre 21 - agosto 24</v>
      </c>
      <c r="G15" s="212">
        <f ca="1">VLOOKUP(C15,'BD EVA 5 APO'!$D$3:$AE$113,28,0)</f>
        <v>12</v>
      </c>
      <c r="H15" s="212">
        <f>VLOOKUP(C15,'BD EVA 5 APO'!$D$3:$AE$113,21,0)</f>
        <v>31</v>
      </c>
      <c r="I15" s="78">
        <f t="shared" ca="1" si="3"/>
        <v>0.38709677419354838</v>
      </c>
      <c r="J15" s="75" t="s">
        <v>318</v>
      </c>
      <c r="K15" s="81">
        <v>3.1</v>
      </c>
      <c r="L15" s="209">
        <f t="shared" ca="1" si="0"/>
        <v>1.2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APO'!$D$3:$AE$113,6,0)</f>
        <v>44469</v>
      </c>
      <c r="E16" s="213">
        <f ca="1">VLOOKUP(C16,'BD EVA 5 APO'!$D$3:$AE$113,16,0)</f>
        <v>0.66666666666666596</v>
      </c>
      <c r="F16" s="75" t="str">
        <f>VLOOKUP(C16,'BD EVA 5 APO'!$D$3:$AE$113,12,0)</f>
        <v>Ago 2024</v>
      </c>
      <c r="G16" s="213">
        <f ca="1">VLOOKUP(C16,'BD EVA 5 APO'!$D$3:$AE$113,28,0)</f>
        <v>1</v>
      </c>
      <c r="H16" s="213" t="str">
        <f>VLOOKUP(C16,'BD EVA 5 APO'!$D$3:$AE$113,21,0)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11">
        <f t="shared" ca="1" si="0"/>
        <v>1.5</v>
      </c>
      <c r="M16" s="130">
        <f ca="1">SUM(L16:L23)</f>
        <v>9.2717192741049246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APO'!$D$3:$AE$113,6,0)</f>
        <v>44469</v>
      </c>
      <c r="E17" s="212">
        <f ca="1">VLOOKUP(C17,'BD EVA 5 APO'!$D$3:$AE$113,16,0)</f>
        <v>1</v>
      </c>
      <c r="F17" s="75" t="str">
        <f>VLOOKUP(C17,'BD EVA 5 APO'!$D$3:$AE$113,12,0)</f>
        <v>Ago 2024</v>
      </c>
      <c r="G17" s="212">
        <f ca="1">VLOOKUP(C17,'BD EVA 5 APO'!$D$3:$AE$113,28,0)</f>
        <v>1</v>
      </c>
      <c r="H17" s="212" t="str">
        <f>VLOOKUP(C17,'BD EVA 5 APO'!$D$3:$AE$113,21,0)</f>
        <v>Actualizado al 2019</v>
      </c>
      <c r="I17" s="214">
        <f t="shared" ca="1" si="4"/>
        <v>1</v>
      </c>
      <c r="J17" s="75" t="s">
        <v>318</v>
      </c>
      <c r="K17" s="81">
        <v>1.5</v>
      </c>
      <c r="L17" s="211">
        <f t="shared" ca="1" si="0"/>
        <v>1.5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APO'!$D$3:$AE$113,6,0)</f>
        <v>44469</v>
      </c>
      <c r="E18" s="207">
        <f ca="1">VLOOKUP(C18,'BD EVA 5 APO'!$D$3:$AE$113,16,0)</f>
        <v>0</v>
      </c>
      <c r="F18" s="75" t="str">
        <f>VLOOKUP(C18,'BD EVA 5 APO'!$D$3:$AE$113,12,0)</f>
        <v>Ago 2024</v>
      </c>
      <c r="G18" s="207">
        <f ca="1">VLOOKUP(C18,'BD EVA 5 APO'!$D$3:$AE$113,28,0)</f>
        <v>0</v>
      </c>
      <c r="H18" s="207">
        <f>VLOOKUP(C18,'BD EVA 5 APO'!$D$3:$AE$113,21,0)</f>
        <v>1</v>
      </c>
      <c r="I18" s="214">
        <f t="shared" ref="I18:I27" ca="1" si="5">G18/H18</f>
        <v>0</v>
      </c>
      <c r="J18" s="75" t="s">
        <v>318</v>
      </c>
      <c r="K18" s="81">
        <v>0.3</v>
      </c>
      <c r="L18" s="211">
        <f t="shared" ca="1" si="0"/>
        <v>0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APO'!$D$3:$AE$113,6,0)</f>
        <v>44469</v>
      </c>
      <c r="E19" s="207">
        <f ca="1">VLOOKUP(C19,'BD EVA 5 APO'!$D$3:$AE$113,16,0)</f>
        <v>0.99790476190476096</v>
      </c>
      <c r="F19" s="75" t="str">
        <f>VLOOKUP(C19,'BD EVA 5 APO'!$D$3:$AE$113,12,0)</f>
        <v>Ago 2024</v>
      </c>
      <c r="G19" s="207">
        <f ca="1">VLOOKUP(C19,'BD EVA 5 APO'!$D$3:$AE$113,28,0)</f>
        <v>0.98988621997471504</v>
      </c>
      <c r="H19" s="207">
        <f>VLOOKUP(C19,'BD EVA 5 APO'!$D$3:$AE$113,21,0)</f>
        <v>1</v>
      </c>
      <c r="I19" s="214">
        <f t="shared" ca="1" si="5"/>
        <v>0.98988621997471504</v>
      </c>
      <c r="J19" s="75" t="s">
        <v>318</v>
      </c>
      <c r="K19" s="81">
        <v>1.5</v>
      </c>
      <c r="L19" s="211">
        <f t="shared" ca="1" si="0"/>
        <v>1.4848293299620725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APO'!$D$3:$AE$113,6,0)</f>
        <v>44469</v>
      </c>
      <c r="E20" s="214">
        <f ca="1">VLOOKUP(C20,'BD EVA 5 APO'!$D$3:$AE$113,16,0)</f>
        <v>1</v>
      </c>
      <c r="F20" s="75" t="str">
        <f>VLOOKUP(C20,'BD EVA 5 APO'!$D$3:$AE$113,12,0)</f>
        <v>Ago 2024</v>
      </c>
      <c r="G20" s="214">
        <f ca="1">VLOOKUP(C20,'BD EVA 5 APO'!$D$3:$AE$113,28,0)</f>
        <v>1</v>
      </c>
      <c r="H20" s="214">
        <f>VLOOKUP(C20,'BD EVA 5 APO'!$D$3:$AE$113,21,0)</f>
        <v>1</v>
      </c>
      <c r="I20" s="214">
        <f t="shared" ca="1" si="5"/>
        <v>1</v>
      </c>
      <c r="J20" s="75" t="s">
        <v>318</v>
      </c>
      <c r="K20" s="81">
        <v>1.5</v>
      </c>
      <c r="L20" s="211">
        <f t="shared" ca="1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APO'!$D$3:$AE$113,6,0)</f>
        <v>44469</v>
      </c>
      <c r="E21" s="207">
        <f ca="1">VLOOKUP(C21,'BD EVA 5 APO'!$D$3:$AE$113,16,0)</f>
        <v>0.52489848972141995</v>
      </c>
      <c r="F21" s="75" t="str">
        <f>VLOOKUP(C21,'BD EVA 5 APO'!$D$3:$AE$113,12,0)</f>
        <v>Ago 2024</v>
      </c>
      <c r="G21" s="207">
        <f ca="1">VLOOKUP(C21,'BD EVA 5 APO'!$D$3:$AE$113,28,0)</f>
        <v>0.857623653118464</v>
      </c>
      <c r="H21" s="207">
        <f>VLOOKUP(C21,'BD EVA 5 APO'!$D$3:$AE$113,21,0)</f>
        <v>1</v>
      </c>
      <c r="I21" s="214">
        <f t="shared" ca="1" si="5"/>
        <v>0.857623653118464</v>
      </c>
      <c r="J21" s="75" t="s">
        <v>318</v>
      </c>
      <c r="K21" s="81">
        <v>0.9</v>
      </c>
      <c r="L21" s="211">
        <f t="shared" ca="1" si="0"/>
        <v>0.77186128780661767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APO'!$D$3:$AE$113,6,0)</f>
        <v>44469</v>
      </c>
      <c r="E22" s="207">
        <f ca="1">VLOOKUP(C22,'BD EVA 5 APO'!$D$3:$AE$113,16,0)</f>
        <v>0.69675834672650605</v>
      </c>
      <c r="F22" s="75" t="str">
        <f>VLOOKUP(C22,'BD EVA 5 APO'!$D$3:$AE$113,12,0)</f>
        <v>Ago 2024</v>
      </c>
      <c r="G22" s="207">
        <f ca="1">VLOOKUP(C22,'BD EVA 5 APO'!$D$3:$AE$113,28,0)</f>
        <v>0.81001910422415602</v>
      </c>
      <c r="H22" s="207">
        <f>VLOOKUP(C22,'BD EVA 5 APO'!$D$3:$AE$113,21,0)</f>
        <v>1</v>
      </c>
      <c r="I22" s="214">
        <f t="shared" ca="1" si="5"/>
        <v>0.81001910422415602</v>
      </c>
      <c r="J22" s="75" t="s">
        <v>318</v>
      </c>
      <c r="K22" s="81">
        <v>1.5</v>
      </c>
      <c r="L22" s="211">
        <f t="shared" ca="1" si="0"/>
        <v>1.215028656336234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APO'!$D$3:$AE$113,6,0)</f>
        <v>octubre 20 - septiembre 21</v>
      </c>
      <c r="E23" s="208">
        <f ca="1">VLOOKUP(C23,'BD EVA 5 APO'!$D$3:$AE$113,16,0)</f>
        <v>3.15</v>
      </c>
      <c r="F23" s="89" t="str">
        <f>VLOOKUP(C23,'BD EVA 5 APO'!$D$3:$AE$113,12,0)</f>
        <v>octubre 23 - septiembre 24</v>
      </c>
      <c r="G23" s="208">
        <f ca="1">VLOOKUP(C23,'BD EVA 5 APO'!$D$3:$AE$113,28,0)</f>
        <v>18.299999999999901</v>
      </c>
      <c r="H23" s="208">
        <f>VLOOKUP(C23,'BD EVA 5 APO'!$D$3:$AE$113,21,0)</f>
        <v>17.416666666666664</v>
      </c>
      <c r="I23" s="214">
        <f t="shared" ca="1" si="5"/>
        <v>1.0507177033492767</v>
      </c>
      <c r="J23" s="75" t="s">
        <v>318</v>
      </c>
      <c r="K23" s="81">
        <v>1.3</v>
      </c>
      <c r="L23" s="211">
        <f t="shared" ca="1" si="0"/>
        <v>1.3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APO'!$D$3:$AE$113,6,0)</f>
        <v>44469</v>
      </c>
      <c r="E24" s="171">
        <f ca="1">VLOOKUP(C24,'BD EVA 5 APO'!$D$3:$AE$113,16,0)</f>
        <v>0</v>
      </c>
      <c r="F24" s="75" t="str">
        <f>VLOOKUP(C24,'BD EVA 5 APO'!$D$3:$AE$113,12,0)</f>
        <v>Ago 2024</v>
      </c>
      <c r="G24" s="171">
        <f ca="1">VLOOKUP(C24,'BD EVA 5 APO'!$D$3:$AE$113,28,0)</f>
        <v>2.6</v>
      </c>
      <c r="H24" s="171">
        <f>VLOOKUP(C24,'BD EVA 5 APO'!$D$3:$AE$113,21,0)</f>
        <v>1.87</v>
      </c>
      <c r="I24" s="214">
        <f t="shared" ca="1" si="5"/>
        <v>1.3903743315508021</v>
      </c>
      <c r="J24" s="75" t="s">
        <v>318</v>
      </c>
      <c r="K24" s="81">
        <v>1.9450000000000001</v>
      </c>
      <c r="L24" s="82">
        <f t="shared" ca="1" si="0"/>
        <v>1.9450000000000001</v>
      </c>
      <c r="M24" s="130">
        <f ca="1">SUM(L24:L28)</f>
        <v>10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APO'!$D$3:$AE$113,6,0)</f>
        <v>octubre 20 - agosto 21</v>
      </c>
      <c r="E25" s="212">
        <f ca="1">VLOOKUP(C25,'BD EVA 5 APO'!$D$3:$AE$113,16,0)</f>
        <v>42</v>
      </c>
      <c r="F25" s="75" t="str">
        <f>VLOOKUP(C25,'BD EVA 5 APO'!$D$3:$AE$113,12,0)</f>
        <v>octubre 23 - agosto 24</v>
      </c>
      <c r="G25" s="212">
        <f ca="1">VLOOKUP(C25,'BD EVA 5 APO'!$D$3:$AE$113,28,0)</f>
        <v>1876.15</v>
      </c>
      <c r="H25" s="212">
        <f>VLOOKUP(C25,'BD EVA 5 APO'!$D$3:$AE$113,21,0)</f>
        <v>1237.5</v>
      </c>
      <c r="I25" s="214">
        <f t="shared" ca="1" si="5"/>
        <v>1.5160808080808081</v>
      </c>
      <c r="J25" s="75" t="s">
        <v>318</v>
      </c>
      <c r="K25" s="81">
        <v>1.6337999999999999</v>
      </c>
      <c r="L25" s="209">
        <f t="shared" ca="1" si="0"/>
        <v>1.6337999999999999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APO'!$D$3:$AE$113,6,0)</f>
        <v>enero - agosto 2021</v>
      </c>
      <c r="E26" s="210">
        <f ca="1">VLOOKUP(C26,'BD EVA 5 APO'!$D$3:$AE$113,16,0)</f>
        <v>0.13507326204896999</v>
      </c>
      <c r="F26" s="75" t="str">
        <f>VLOOKUP(C26,'BD EVA 5 APO'!$D$3:$AE$113,12,0)</f>
        <v>enero- agosto 2024</v>
      </c>
      <c r="G26" s="210">
        <f ca="1">VLOOKUP(C26,'BD EVA 5 APO'!$D$3:$AE$113,28,0)</f>
        <v>0.21401282329294699</v>
      </c>
      <c r="H26" s="210">
        <f>VLOOKUP(C26,'BD EVA 5 APO'!$D$3:$AE$113,21,0)</f>
        <v>0.17833333333333334</v>
      </c>
      <c r="I26" s="214">
        <f t="shared" ca="1" si="5"/>
        <v>1.2000719063155905</v>
      </c>
      <c r="J26" s="75" t="s">
        <v>318</v>
      </c>
      <c r="K26" s="81">
        <v>2.1006</v>
      </c>
      <c r="L26" s="209">
        <f t="shared" ca="1" si="0"/>
        <v>2.1006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APO'!$D$3:$AE$113,6,0)</f>
        <v>octubre 20 - agosto 21</v>
      </c>
      <c r="E27" s="212">
        <f ca="1">VLOOKUP(C27,'BD EVA 5 APO'!$D$3:$AE$113,16,0)</f>
        <v>9</v>
      </c>
      <c r="F27" s="75" t="str">
        <f>VLOOKUP(C27,'BD EVA 5 APO'!$D$3:$AE$113,12,0)</f>
        <v>octubre 23 - agosto 24</v>
      </c>
      <c r="G27" s="212">
        <f ca="1">VLOOKUP(C27,'BD EVA 5 APO'!$D$3:$AE$113,28,0)</f>
        <v>22</v>
      </c>
      <c r="H27" s="212">
        <f>VLOOKUP(C27,'BD EVA 5 APO'!$D$3:$AE$113,21,0)</f>
        <v>9</v>
      </c>
      <c r="I27" s="214">
        <f t="shared" ca="1" si="5"/>
        <v>2.4444444444444446</v>
      </c>
      <c r="J27" s="75" t="s">
        <v>318</v>
      </c>
      <c r="K27" s="81">
        <v>2.1006</v>
      </c>
      <c r="L27" s="209">
        <f t="shared" ca="1" si="0"/>
        <v>2.1006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APO'!$D$3:$AE$113,6,0)</f>
        <v>octubre 18 - agosto 19</v>
      </c>
      <c r="E28" s="212">
        <f ca="1">VLOOKUP(C28,'BD EVA 5 APO'!$D$3:$AE$113,16,0)</f>
        <v>3861</v>
      </c>
      <c r="F28" s="89" t="str">
        <f>VLOOKUP(C28,'BD EVA 5 APO'!$D$3:$AE$113,12,0)</f>
        <v>octubre 23 - agosto 24</v>
      </c>
      <c r="G28" s="212">
        <f ca="1">VLOOKUP(C28,'BD EVA 5 APO'!$D$3:$AE$113,28,0)</f>
        <v>3523</v>
      </c>
      <c r="H28" s="212">
        <f ca="1">VLOOKUP(C28,'BD EVA 5 APO'!$D$3:$AE$113,21,0)</f>
        <v>3526.7142857142858</v>
      </c>
      <c r="I28" s="78">
        <f ca="1">(G28-E28)/(H28-E28)</f>
        <v>1.0111111111111113</v>
      </c>
      <c r="J28" s="89" t="s">
        <v>319</v>
      </c>
      <c r="K28" s="81">
        <v>2.2200000000000002</v>
      </c>
      <c r="L28" s="209">
        <f t="shared" ca="1" si="0"/>
        <v>2.2200000000000002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75" t="str">
        <f>VLOOKUP(C29,'BD EVA 5 APO'!$D$3:$AE$113,6,0)</f>
        <v>octubre 20 - agosto 21</v>
      </c>
      <c r="E29" s="212">
        <f ca="1">VLOOKUP(C29,'BD EVA 5 APO'!$D$3:$AE$113,16,0)</f>
        <v>3</v>
      </c>
      <c r="F29" s="75" t="str">
        <f>VLOOKUP(C29,'BD EVA 5 APO'!$D$3:$AE$113,12,0)</f>
        <v>octubre 23 - agosto 24</v>
      </c>
      <c r="G29" s="212">
        <f ca="1">VLOOKUP(C29,'BD EVA 5 APO'!$D$3:$AE$113,28,0)</f>
        <v>20</v>
      </c>
      <c r="H29" s="212">
        <f>VLOOKUP(C29,'BD EVA 5 APO'!$D$3:$AE$113,21,0)</f>
        <v>9.1666666666666679</v>
      </c>
      <c r="I29" s="78">
        <f t="shared" ref="I29:I33" ca="1" si="6">G29/H29</f>
        <v>2.1818181818181817</v>
      </c>
      <c r="J29" s="75" t="s">
        <v>318</v>
      </c>
      <c r="K29" s="81">
        <v>2</v>
      </c>
      <c r="L29" s="209">
        <f t="shared" ca="1" si="0"/>
        <v>2</v>
      </c>
      <c r="M29" s="130">
        <f ca="1">SUM(L29:L33)</f>
        <v>9.2270796430460233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APO'!$D$3:$AE$113,6,0)</f>
        <v>44469</v>
      </c>
      <c r="E30" s="212">
        <f ca="1">VLOOKUP(C30,'BD EVA 5 APO'!$D$3:$AE$113,16,0)</f>
        <v>5</v>
      </c>
      <c r="F30" s="75" t="str">
        <f>VLOOKUP(C30,'BD EVA 5 APO'!$D$3:$AE$113,12,0)</f>
        <v>Ago 2024</v>
      </c>
      <c r="G30" s="212">
        <f ca="1">VLOOKUP(C30,'BD EVA 5 APO'!$D$3:$AE$113,28,0)</f>
        <v>7</v>
      </c>
      <c r="H30" s="212">
        <f>VLOOKUP(C30,'BD EVA 5 APO'!$D$3:$AE$113,21,0)</f>
        <v>6</v>
      </c>
      <c r="I30" s="78">
        <f t="shared" ca="1" si="6"/>
        <v>1.1666666666666667</v>
      </c>
      <c r="J30" s="75" t="s">
        <v>318</v>
      </c>
      <c r="K30" s="81">
        <v>2</v>
      </c>
      <c r="L30" s="20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APO'!$D$3:$AE$113,6,0)</f>
        <v>44440</v>
      </c>
      <c r="E31" s="212">
        <f ca="1">VLOOKUP(C31,'BD EVA 5 APO'!$D$3:$AE$113,16,0)</f>
        <v>100</v>
      </c>
      <c r="F31" s="75">
        <f>VLOOKUP(C31,'BD EVA 5 APO'!$D$3:$AE$113,12,0)</f>
        <v>45444</v>
      </c>
      <c r="G31" s="212">
        <f ca="1">VLOOKUP(C31,'BD EVA 5 APO'!$D$3:$AE$113,28,0)</f>
        <v>100</v>
      </c>
      <c r="H31" s="212">
        <f>VLOOKUP(C31,'BD EVA 5 APO'!$D$3:$AE$113,21,0)</f>
        <v>100</v>
      </c>
      <c r="I31" s="78">
        <f t="shared" ca="1" si="6"/>
        <v>1</v>
      </c>
      <c r="J31" s="75" t="s">
        <v>318</v>
      </c>
      <c r="K31" s="81">
        <v>2</v>
      </c>
      <c r="L31" s="209">
        <f t="shared" ca="1" si="0"/>
        <v>2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APO'!$D$3:$AE$113,6,0)</f>
        <v>44440</v>
      </c>
      <c r="E32" s="209">
        <f ca="1">VLOOKUP(C32,'BD EVA 5 APO'!$D$3:$AE$113,16,0)</f>
        <v>0</v>
      </c>
      <c r="F32" s="75" t="str">
        <f>VLOOKUP(C32,'BD EVA 5 APO'!$D$3:$AE$113,12,0)</f>
        <v>Ago 2024</v>
      </c>
      <c r="G32" s="209">
        <f ca="1">VLOOKUP(C32,'BD EVA 5 APO'!$D$3:$AE$113,28,0)</f>
        <v>3.3521184697655202</v>
      </c>
      <c r="H32" s="209">
        <f>VLOOKUP(C32,'BD EVA 5 APO'!$D$3:$AE$113,21,0)</f>
        <v>4</v>
      </c>
      <c r="I32" s="78">
        <f t="shared" ca="1" si="6"/>
        <v>0.83802961744138005</v>
      </c>
      <c r="J32" s="75" t="s">
        <v>318</v>
      </c>
      <c r="K32" s="81">
        <v>2</v>
      </c>
      <c r="L32" s="209">
        <f t="shared" ca="1" si="0"/>
        <v>1.6760592348827601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APO'!$D$3:$AE$113,6,0)</f>
        <v>44440</v>
      </c>
      <c r="E33" s="75" t="str">
        <f ca="1">VLOOKUP(C33,'BD EVA 5 APO'!$D$3:$AE$113,16,0)</f>
        <v/>
      </c>
      <c r="F33" s="75">
        <f>VLOOKUP(C33,'BD EVA 5 APO'!$D$3:$AE$113,12,0)</f>
        <v>0</v>
      </c>
      <c r="G33" s="207">
        <f ca="1">VLOOKUP(C33,'BD EVA 5 APO'!$D$3:$AE$113,28,0)</f>
        <v>0.38775510204081598</v>
      </c>
      <c r="H33" s="207">
        <f>VLOOKUP(C33,'BD EVA 5 APO'!$D$3:$AE$113,21,0)</f>
        <v>0.5</v>
      </c>
      <c r="I33" s="78">
        <f t="shared" ca="1" si="6"/>
        <v>0.77551020408163196</v>
      </c>
      <c r="J33" s="75" t="s">
        <v>318</v>
      </c>
      <c r="K33" s="81">
        <v>2</v>
      </c>
      <c r="L33" s="209">
        <f t="shared" ca="1" si="0"/>
        <v>1.5510204081632639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APO'!$D$3:$AE$113,6,0)</f>
        <v>enero - junio 2021</v>
      </c>
      <c r="E34" s="78">
        <f ca="1">VLOOKUP(C34,'BD EVA 5 APO'!$D$3:$AE$113,16,0)</f>
        <v>0.47038287352951702</v>
      </c>
      <c r="F34" s="75" t="str">
        <f>VLOOKUP(C34,'BD EVA 5 APO'!$D$3:$AE$113,12,0)</f>
        <v>enero- junio 2024</v>
      </c>
      <c r="G34" s="78">
        <f ca="1">VLOOKUP(C34,'BD EVA 5 APO'!$D$3:$AE$113,28,0)</f>
        <v>0.40948408910519102</v>
      </c>
      <c r="H34" s="78">
        <f>VLOOKUP(C34,'BD EVA 5 APO'!$D$3:$AE$113,21,0)</f>
        <v>0.49693870836978493</v>
      </c>
      <c r="I34" s="78">
        <f ca="1">(G34/H34)</f>
        <v>0.82401326805172792</v>
      </c>
      <c r="J34" s="75" t="s">
        <v>318</v>
      </c>
      <c r="K34" s="81">
        <v>2.1631999999999998</v>
      </c>
      <c r="L34" s="209">
        <f t="shared" ca="1" si="0"/>
        <v>1.7825055014494977</v>
      </c>
      <c r="M34" s="130">
        <f ca="1">SUM(L34:L39)</f>
        <v>9.4737480593579129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APO'!$D$3:$AE$113,6,0)</f>
        <v>enero - junio 2021</v>
      </c>
      <c r="E35" s="219">
        <f>'BD EVA 5 APO'!R105</f>
        <v>0.54200847224788795</v>
      </c>
      <c r="F35" s="75" t="str">
        <f>VLOOKUP(C35,'BD EVA 5 APO'!$D$3:$AE$113,12,0)</f>
        <v>enero- junio 2024</v>
      </c>
      <c r="G35" s="78">
        <f ca="1">VLOOKUP(C35,'BD EVA 5 APO'!$D$3:$AE$113,28,0)</f>
        <v>0.65477849542631805</v>
      </c>
      <c r="H35" s="78">
        <f>VLOOKUP(C35,'BD EVA 5 APO'!$D$3:$AE$113,21,0)</f>
        <v>0.58733333333333326</v>
      </c>
      <c r="I35" s="78">
        <f ca="1">G35/H35</f>
        <v>1.1148328525987254</v>
      </c>
      <c r="J35" s="75" t="s">
        <v>318</v>
      </c>
      <c r="K35" s="81">
        <v>1.3520000000000001</v>
      </c>
      <c r="L35" s="209">
        <f t="shared" ca="1" si="0"/>
        <v>1.3520000000000001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APO'!$D$3:$AE$113,6,0)</f>
        <v>enero - agosto 2021</v>
      </c>
      <c r="E36" s="78">
        <f ca="1">VLOOKUP(C36,'BD EVA 5 APO'!$D$3:$AE$113,16,0)</f>
        <v>0.42335200067540102</v>
      </c>
      <c r="F36" s="75" t="str">
        <f>VLOOKUP(C36,'BD EVA 5 APO'!$D$3:$AE$113,12,0)</f>
        <v>enero- agosto 2024</v>
      </c>
      <c r="G36" s="78">
        <f ca="1">VLOOKUP(C36,'BD EVA 5 APO'!$D$3:$AE$113,28,0)</f>
        <v>0.49247192611669899</v>
      </c>
      <c r="H36" s="78">
        <f>VLOOKUP(C36,'BD EVA 5 APO'!$D$3:$AE$113,21,0)</f>
        <v>0.52800000000000002</v>
      </c>
      <c r="I36" s="78">
        <f ca="1">IF(G36&lt;E36,0,G36/H36)</f>
        <v>0.9327119812816268</v>
      </c>
      <c r="J36" s="72" t="s">
        <v>316</v>
      </c>
      <c r="K36" s="81">
        <v>2.1631999999999998</v>
      </c>
      <c r="L36" s="209">
        <f t="shared" ca="1" si="0"/>
        <v>2.017642557908415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APO'!$D$3:$AE$113,6,0)</f>
        <v>enero - agosto 2021</v>
      </c>
      <c r="E37" s="90">
        <f ca="1">VLOOKUP(C37,'BD EVA 5 APO'!$D$3:$AE$113,16,0)</f>
        <v>257637213</v>
      </c>
      <c r="F37" s="75" t="str">
        <f>VLOOKUP(C37,'BD EVA 5 APO'!$D$3:$AE$113,12,0)</f>
        <v>enero- agosto 2024</v>
      </c>
      <c r="G37" s="90">
        <f ca="1">VLOOKUP(C37,'BD EVA 5 APO'!$D$3:$AE$113,28,0)</f>
        <v>361820428.84999901</v>
      </c>
      <c r="H37" s="90">
        <f>VLOOKUP(C37,'BD EVA 5 APO'!$D$3:$AE$113,21,0)</f>
        <v>334878140.08333331</v>
      </c>
      <c r="I37" s="78">
        <f ca="1">G37/H37</f>
        <v>1.0804540086132861</v>
      </c>
      <c r="J37" s="75" t="s">
        <v>318</v>
      </c>
      <c r="K37" s="81">
        <v>1.0815999999999999</v>
      </c>
      <c r="L37" s="209">
        <f t="shared" ca="1" si="0"/>
        <v>1.0815999999999999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5 APO'!$D$3:$AE$113,6,0)</f>
        <v>enero - junio 2021</v>
      </c>
      <c r="E38" s="78">
        <f ca="1">VLOOKUP(C38,'BD EVA 5 APO'!$D$3:$AE$113,16,0)</f>
        <v>0.80901364192852798</v>
      </c>
      <c r="F38" s="75" t="str">
        <f>VLOOKUP(C38,'BD EVA 5 APO'!$D$3:$AE$113,12,0)</f>
        <v>enero- junio 2024</v>
      </c>
      <c r="G38" s="78">
        <f ca="1">VLOOKUP(C38,'BD EVA 5 APO'!$D$3:$AE$113,28,0)</f>
        <v>0.78707534750387997</v>
      </c>
      <c r="H38" s="78">
        <f>VLOOKUP(C38,'BD EVA 5 APO'!$D$3:$AE$113,21,0)</f>
        <v>0.8</v>
      </c>
      <c r="I38" s="78">
        <f ca="1">(H38/G38)</f>
        <v>1.0164211120791791</v>
      </c>
      <c r="J38" s="71" t="s">
        <v>341</v>
      </c>
      <c r="K38" s="81">
        <v>1.62</v>
      </c>
      <c r="L38" s="209">
        <f t="shared" ca="1" si="0"/>
        <v>1.62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APO'!$D$3:$AE$113,6,0)</f>
        <v>44348</v>
      </c>
      <c r="E39" s="75" t="str">
        <f ca="1">VLOOKUP(C39,'BD EVA 5 APO'!$D$3:$AE$113,16,0)</f>
        <v>Verde</v>
      </c>
      <c r="F39" s="75">
        <f>VLOOKUP(C39,'BD EVA 5 APO'!$D$3:$AE$113,12,0)</f>
        <v>45473</v>
      </c>
      <c r="G39" s="75" t="str">
        <f ca="1">VLOOKUP(C39,'BD EVA 5 APO'!$D$3:$AE$113,28,0)</f>
        <v>Verde</v>
      </c>
      <c r="H39" s="207" t="str">
        <f>VLOOKUP(C39,'BD EVA 5 APO'!$D$3:$AE$113,21,0)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B9240-F0FF-6F42-ABF3-E06716C34BAF}">
  <dimension ref="A1:L15"/>
  <sheetViews>
    <sheetView workbookViewId="0">
      <selection activeCell="L8" sqref="L8"/>
    </sheetView>
  </sheetViews>
  <sheetFormatPr baseColWidth="10" defaultRowHeight="16"/>
  <cols>
    <col min="1" max="1" width="20" customWidth="1"/>
    <col min="2" max="2" width="14.83203125" customWidth="1"/>
    <col min="3" max="3" width="11.5" customWidth="1"/>
    <col min="4" max="4" width="13.6640625" customWidth="1"/>
    <col min="6" max="6" width="13" customWidth="1"/>
    <col min="8" max="8" width="12.83203125" customWidth="1"/>
    <col min="10" max="10" width="12.83203125" customWidth="1"/>
  </cols>
  <sheetData>
    <row r="1" spans="1:12" ht="22">
      <c r="A1" s="220" t="s">
        <v>376</v>
      </c>
    </row>
    <row r="2" spans="1:12">
      <c r="A2" s="221" t="s">
        <v>377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APO'!M2</f>
        <v>9.969062082524637</v>
      </c>
      <c r="D5" s="228">
        <v>8.5000000000000006E-2</v>
      </c>
      <c r="E5" s="229">
        <f ca="1">'EVA 2 APO'!M2</f>
        <v>7.3</v>
      </c>
      <c r="F5" s="228">
        <v>0.1</v>
      </c>
      <c r="G5" s="229">
        <f ca="1">'EVA 3 APO'!M2</f>
        <v>10</v>
      </c>
      <c r="H5" s="228">
        <v>8.5000000000000006E-2</v>
      </c>
      <c r="I5" s="229">
        <f ca="1">'EVA 4 APO'!M2</f>
        <v>7.3</v>
      </c>
      <c r="J5" s="228">
        <v>8.5000000000000006E-2</v>
      </c>
      <c r="K5" s="229">
        <f ca="1">'EVA 5 APO'!M2</f>
        <v>7.3</v>
      </c>
      <c r="L5" s="236">
        <f ca="1">AVERAGE(C5,E5,G5,I5,K5)</f>
        <v>8.3738124165049275</v>
      </c>
    </row>
    <row r="6" spans="1:12">
      <c r="A6" s="222" t="s">
        <v>52</v>
      </c>
      <c r="B6" s="227">
        <v>0.22</v>
      </c>
      <c r="C6" s="229">
        <f ca="1">'EVA 1 APO'!M5</f>
        <v>9.4242684943609252</v>
      </c>
      <c r="D6" s="228">
        <v>0.188</v>
      </c>
      <c r="E6" s="229">
        <f ca="1">'EVA 2 APO'!M5</f>
        <v>8.3000000000000007</v>
      </c>
      <c r="F6" s="228">
        <v>0.221</v>
      </c>
      <c r="G6" s="229">
        <f ca="1">'EVA 3 APO'!M5</f>
        <v>10</v>
      </c>
      <c r="H6" s="228">
        <v>0.188</v>
      </c>
      <c r="I6" s="229">
        <f ca="1">'EVA 4 APO'!M5</f>
        <v>8.3000000000000007</v>
      </c>
      <c r="J6" s="228">
        <v>0.188</v>
      </c>
      <c r="K6" s="229">
        <f ca="1">'EVA 5 APO'!M5</f>
        <v>7.7594187286193987</v>
      </c>
      <c r="L6" s="236">
        <f t="shared" ref="L6:L11" ca="1" si="0">AVERAGE(C6,E6,G6,I6,K6)</f>
        <v>8.756737444596066</v>
      </c>
    </row>
    <row r="7" spans="1:12">
      <c r="A7" s="222" t="s">
        <v>119</v>
      </c>
      <c r="B7" s="227">
        <v>0.11</v>
      </c>
      <c r="C7" s="229">
        <f ca="1">'EVA 1 APO'!M11</f>
        <v>8.2727272727272734</v>
      </c>
      <c r="D7" s="228">
        <v>9.5000000000000001E-2</v>
      </c>
      <c r="E7" s="229">
        <f ca="1">'EVA 2 APO'!M11</f>
        <v>7.5437499999999993</v>
      </c>
      <c r="F7" s="228">
        <v>0.111</v>
      </c>
      <c r="G7" s="229">
        <f ca="1">'EVA 3 APO'!M11</f>
        <v>7.0625323871644934</v>
      </c>
      <c r="H7" s="228">
        <v>9.5000000000000001E-2</v>
      </c>
      <c r="I7" s="229">
        <f ca="1">'EVA 4 APO'!M11</f>
        <v>7.1773752730000897</v>
      </c>
      <c r="J7" s="228">
        <v>9.5000000000000001E-2</v>
      </c>
      <c r="K7" s="229">
        <f ca="1">'EVA 5 APO'!M11</f>
        <v>7.0689270387890728</v>
      </c>
      <c r="L7" s="236">
        <f t="shared" ca="1" si="0"/>
        <v>7.4250623943361846</v>
      </c>
    </row>
    <row r="8" spans="1:12">
      <c r="A8" s="222" t="s">
        <v>378</v>
      </c>
      <c r="B8" s="227">
        <v>0.24</v>
      </c>
      <c r="C8" s="229">
        <f ca="1">'EVA 1 APO'!M15</f>
        <v>8.4360003860086792</v>
      </c>
      <c r="D8" s="228">
        <v>0.2</v>
      </c>
      <c r="E8" s="229">
        <f ca="1">'EVA 2 APO'!M16</f>
        <v>8.6078874765289157</v>
      </c>
      <c r="F8" s="228">
        <v>0.23699999999999999</v>
      </c>
      <c r="G8" s="229">
        <f ca="1">'EVA 3 APO'!M16</f>
        <v>8.7282311024155845</v>
      </c>
      <c r="H8" s="228">
        <v>0.2</v>
      </c>
      <c r="I8" s="229">
        <f ca="1">'EVA 4 APO'!M16</f>
        <v>9.2147172681326719</v>
      </c>
      <c r="J8" s="228">
        <v>0.2</v>
      </c>
      <c r="K8" s="229">
        <f ca="1">'EVA 5 APO'!M16</f>
        <v>9.2717192741049246</v>
      </c>
      <c r="L8" s="236">
        <f t="shared" ca="1" si="0"/>
        <v>8.8517111014381555</v>
      </c>
    </row>
    <row r="9" spans="1:12">
      <c r="A9" s="222" t="s">
        <v>199</v>
      </c>
      <c r="B9" s="227">
        <v>0.17</v>
      </c>
      <c r="C9" s="229">
        <f ca="1">'EVA 1 APO'!M23</f>
        <v>10</v>
      </c>
      <c r="D9" s="228">
        <v>0.14499999999999999</v>
      </c>
      <c r="E9" s="229">
        <f ca="1">'EVA 2 APO'!M24</f>
        <v>10</v>
      </c>
      <c r="F9" s="228">
        <v>0.17</v>
      </c>
      <c r="G9" s="229">
        <f ca="1">'EVA 3 APO'!M24</f>
        <v>7.35</v>
      </c>
      <c r="H9" s="228">
        <v>0.14499999999999999</v>
      </c>
      <c r="I9" s="229">
        <f ca="1">'EVA 4 APO'!M24</f>
        <v>8.7174312287136502</v>
      </c>
      <c r="J9" s="228">
        <v>0.14499999999999999</v>
      </c>
      <c r="K9" s="229">
        <f ca="1">'EVA 5 APO'!M24</f>
        <v>10</v>
      </c>
      <c r="L9" s="236">
        <f t="shared" ca="1" si="0"/>
        <v>9.2134862457427307</v>
      </c>
    </row>
    <row r="10" spans="1:12">
      <c r="A10" s="222" t="s">
        <v>243</v>
      </c>
      <c r="B10" s="227">
        <v>0.16</v>
      </c>
      <c r="C10" s="229">
        <f ca="1">'EVA 1 APO'!M27</f>
        <v>9.4815340909090882</v>
      </c>
      <c r="D10" s="228">
        <v>0.13800000000000001</v>
      </c>
      <c r="E10" s="229">
        <f ca="1">'EVA 2 APO'!M29</f>
        <v>8.9341977184143744</v>
      </c>
      <c r="F10" s="228">
        <v>0.161</v>
      </c>
      <c r="G10" s="229">
        <f ca="1">'EVA 3 APO'!M28</f>
        <v>9.3546894282188369</v>
      </c>
      <c r="H10" s="228">
        <v>0.13800000000000001</v>
      </c>
      <c r="I10" s="229">
        <f ca="1">'EVA 4 APO'!M29</f>
        <v>9.1655823168428192</v>
      </c>
      <c r="J10" s="228">
        <v>0.13800000000000001</v>
      </c>
      <c r="K10" s="229">
        <f ca="1">'EVA 5 APO'!M29</f>
        <v>9.2270796430460233</v>
      </c>
      <c r="L10" s="236">
        <f t="shared" ca="1" si="0"/>
        <v>9.2326166394862277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APO'!M34</f>
        <v>9.7905212539058084</v>
      </c>
      <c r="F11" s="232"/>
      <c r="G11" s="232"/>
      <c r="H11" s="228">
        <v>0.14899999999999999</v>
      </c>
      <c r="I11" s="229">
        <f ca="1">'EVA 4 APO'!M34</f>
        <v>9.2744735636755777</v>
      </c>
      <c r="J11" s="228">
        <v>0.14899999999999999</v>
      </c>
      <c r="K11" s="229">
        <f ca="1">'EVA 5 APO'!M34</f>
        <v>9.4737480593579129</v>
      </c>
      <c r="L11" s="236">
        <f t="shared" ca="1" si="0"/>
        <v>9.5129142923131003</v>
      </c>
    </row>
    <row r="12" spans="1:12">
      <c r="A12" s="223" t="s">
        <v>392</v>
      </c>
      <c r="B12" s="234"/>
      <c r="C12" s="231">
        <f ca="1">SUMPRODUCT(B5:B10,C5:C10)</f>
        <v>9.2219308241994042</v>
      </c>
      <c r="D12" s="234"/>
      <c r="E12" s="231">
        <f ca="1">SUMPRODUCT(D5:D11,E5:E11)</f>
        <v>8.7608406972789314</v>
      </c>
      <c r="F12" s="234"/>
      <c r="G12" s="231">
        <f ca="1">SUMPRODUCT(F5:F10,G5:G10)</f>
        <v>8.8181368641909863</v>
      </c>
      <c r="H12" s="234"/>
      <c r="I12" s="231">
        <f ca="1">SUMPRODUCT(H5:H11,I5:I11)</f>
        <v>8.6164685534369916</v>
      </c>
      <c r="J12" s="233"/>
      <c r="K12" s="231">
        <f ca="1">SUMPRODUCT(J5:J11,K5:K11)</f>
        <v>8.7400880960710747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32">
      <c r="A15" s="237" t="s">
        <v>390</v>
      </c>
      <c r="B15" s="231">
        <f ca="1">AVERAGE(C12,E12,G12,I12,K12)</f>
        <v>8.831493007035478</v>
      </c>
    </row>
  </sheetData>
  <phoneticPr fontId="19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61072-921C-5A4D-B0CD-073420EB41F8}">
  <dimension ref="A1:AD109"/>
  <sheetViews>
    <sheetView workbookViewId="0"/>
  </sheetViews>
  <sheetFormatPr baseColWidth="10" defaultRowHeight="16"/>
  <sheetData>
    <row r="1" spans="1:30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  <c r="AD1" s="65"/>
    </row>
    <row r="2" spans="1:30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81"/>
      <c r="P2" s="12">
        <v>472873</v>
      </c>
      <c r="Q2" s="12">
        <v>472873</v>
      </c>
      <c r="R2" s="181"/>
      <c r="S2" s="249"/>
      <c r="T2" s="249"/>
      <c r="U2" s="249"/>
      <c r="V2" s="249"/>
      <c r="W2" s="249"/>
      <c r="X2" s="12">
        <v>478712</v>
      </c>
      <c r="Y2" s="12">
        <v>478712</v>
      </c>
      <c r="Z2" s="5">
        <v>483816</v>
      </c>
      <c r="AA2" s="5">
        <v>483816</v>
      </c>
      <c r="AB2" s="5">
        <v>488156</v>
      </c>
      <c r="AC2" s="5">
        <v>488156</v>
      </c>
      <c r="AD2" s="1"/>
    </row>
    <row r="3" spans="1:30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531</v>
      </c>
      <c r="Q3" s="2">
        <v>531</v>
      </c>
      <c r="R3" s="1">
        <v>555</v>
      </c>
      <c r="S3" s="1">
        <v>579</v>
      </c>
      <c r="T3" s="1">
        <v>602</v>
      </c>
      <c r="U3" s="1">
        <v>626</v>
      </c>
      <c r="V3" s="1">
        <v>650</v>
      </c>
      <c r="W3" s="2">
        <v>650</v>
      </c>
      <c r="X3" s="2">
        <v>542</v>
      </c>
      <c r="Y3" s="2">
        <f ca="1">IFERROR(__xludf.DUMMYFUNCTION("INDEX(IMPORTRANGE(""1y0FWgjbB0gVlqn-q5LMJbGIsqOrzru4yowQz67dz2yc"", ""'ESC'!AM3:AM139""),MATCH(D3,IMPORTRANGE(""1y0FWgjbB0gVlqn-q5LMJbGIsqOrzru4yowQz67dz2yc"", ""'ESC'!D3:D139""),0))"),534)</f>
        <v>534</v>
      </c>
      <c r="Z3" s="1"/>
      <c r="AA3" s="1"/>
      <c r="AB3" s="1"/>
      <c r="AC3" s="1"/>
      <c r="AD3" s="1"/>
    </row>
    <row r="4" spans="1:30">
      <c r="A4" s="7" t="s">
        <v>34</v>
      </c>
      <c r="B4" s="7" t="s">
        <v>40</v>
      </c>
      <c r="C4" s="1" t="s">
        <v>30</v>
      </c>
      <c r="D4" s="1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473</v>
      </c>
      <c r="Q4" s="2">
        <v>473</v>
      </c>
      <c r="R4" s="181"/>
      <c r="S4" s="181"/>
      <c r="T4" s="181"/>
      <c r="U4" s="181"/>
      <c r="V4" s="181"/>
      <c r="W4" s="181"/>
      <c r="X4" s="2">
        <v>512</v>
      </c>
      <c r="Y4" s="2">
        <f ca="1">IFERROR(__xludf.DUMMYFUNCTION("INDEX(IMPORTRANGE(""1y0FWgjbB0gVlqn-q5LMJbGIsqOrzru4yowQz67dz2yc"", ""'ESC'!AM3:AM139""),MATCH(D4,IMPORTRANGE(""1y0FWgjbB0gVlqn-q5LMJbGIsqOrzru4yowQz67dz2yc"", ""'ESC'!D3:D139""),0))"),496)</f>
        <v>496</v>
      </c>
      <c r="Z4" s="1"/>
      <c r="AA4" s="1"/>
      <c r="AB4" s="1"/>
      <c r="AC4" s="1"/>
      <c r="AD4" s="1"/>
    </row>
    <row r="5" spans="1:30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0.89077212806026362</v>
      </c>
      <c r="Q5" s="15">
        <f t="shared" si="0"/>
        <v>0.89077212806026362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0.94464944649446492</v>
      </c>
      <c r="Y5" s="15">
        <f ca="1">IFERROR(__xludf.DUMMYFUNCTION("INDEX(IMPORTRANGE(""1y0FWgjbB0gVlqn-q5LMJbGIsqOrzru4yowQz67dz2yc"", ""'ESC'!AM3:AM139""),MATCH(D5,IMPORTRANGE(""1y0FWgjbB0gVlqn-q5LMJbGIsqOrzru4yowQz67dz2yc"", ""'ESC'!D3:D139""),0))"),0.928838951310861)</f>
        <v>0.92883895131086103</v>
      </c>
      <c r="Z5" s="1"/>
      <c r="AA5" s="1"/>
      <c r="AB5" s="1"/>
      <c r="AC5" s="1"/>
      <c r="AD5" s="1"/>
    </row>
    <row r="6" spans="1:30">
      <c r="A6" s="7" t="s">
        <v>34</v>
      </c>
      <c r="B6" s="7" t="s">
        <v>45</v>
      </c>
      <c r="C6" s="1" t="s">
        <v>30</v>
      </c>
      <c r="D6" s="1" t="s">
        <v>46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50"/>
      <c r="S6" s="250"/>
      <c r="T6" s="250"/>
      <c r="U6" s="250"/>
      <c r="V6" s="250"/>
      <c r="W6" s="14"/>
      <c r="X6" s="2"/>
      <c r="Y6" s="2">
        <f ca="1">IFERROR(__xludf.DUMMYFUNCTION("INDEX(IMPORTRANGE(""1y0FWgjbB0gVlqn-q5LMJbGIsqOrzru4yowQz67dz2yc"", ""'ESC'!AM3:AM139""),MATCH(D6,IMPORTRANGE(""1y0FWgjbB0gVlqn-q5LMJbGIsqOrzru4yowQz67dz2yc"", ""'ESC'!D3:D139""),0))"),8)</f>
        <v>8</v>
      </c>
      <c r="Z6" s="1"/>
      <c r="AA6" s="1"/>
      <c r="AB6" s="1"/>
      <c r="AC6" s="1"/>
      <c r="AD6" s="1"/>
    </row>
    <row r="7" spans="1:30">
      <c r="A7" s="7" t="s">
        <v>34</v>
      </c>
      <c r="B7" s="7" t="s">
        <v>45</v>
      </c>
      <c r="C7" s="1" t="s">
        <v>30</v>
      </c>
      <c r="D7" s="1" t="s">
        <v>48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5"/>
      <c r="Q7" s="15"/>
      <c r="R7" s="250"/>
      <c r="S7" s="250"/>
      <c r="T7" s="250"/>
      <c r="U7" s="250"/>
      <c r="V7" s="250"/>
      <c r="W7" s="14"/>
      <c r="X7" s="15"/>
      <c r="Y7" s="2" t="str">
        <f ca="1">IFERROR(__xludf.DUMMYFUNCTION("INDEX(IMPORTRANGE(""1y0FWgjbB0gVlqn-q5LMJbGIsqOrzru4yowQz67dz2yc"", ""'ESC'!AM3:AM139""),MATCH(D7,IMPORTRANGE(""1y0FWgjbB0gVlqn-q5LMJbGIsqOrzru4yowQz67dz2yc"", ""'ESC'!D3:D139""),0))"),"")</f>
        <v/>
      </c>
      <c r="Z7" s="1"/>
      <c r="AA7" s="1"/>
      <c r="AB7" s="1"/>
      <c r="AC7" s="1"/>
      <c r="AD7" s="1"/>
    </row>
    <row r="8" spans="1:30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P6/P2</f>
        <v>0</v>
      </c>
      <c r="Q8" s="15">
        <f t="shared" si="1"/>
        <v>0</v>
      </c>
      <c r="R8" s="37">
        <v>0.02</v>
      </c>
      <c r="S8" s="37">
        <v>0.04</v>
      </c>
      <c r="T8" s="37">
        <v>0.06</v>
      </c>
      <c r="U8" s="37">
        <v>0.08</v>
      </c>
      <c r="V8" s="37">
        <v>0.1</v>
      </c>
      <c r="W8" s="14">
        <v>0.1</v>
      </c>
      <c r="X8" s="15">
        <f>X6/X2</f>
        <v>0</v>
      </c>
      <c r="Y8" s="15">
        <f ca="1">IFERROR(__xludf.DUMMYFUNCTION("INDEX(IMPORTRANGE(""1y0FWgjbB0gVlqn-q5LMJbGIsqOrzru4yowQz67dz2yc"", ""'ESC'!AM3:AM139""),MATCH(D8,IMPORTRANGE(""1y0FWgjbB0gVlqn-q5LMJbGIsqOrzru4yowQz67dz2yc"", ""'ESC'!D3:D139""),0))"),0.0149812734082397)</f>
        <v>1.4981273408239701E-2</v>
      </c>
      <c r="Z8" s="1"/>
      <c r="AA8" s="1"/>
      <c r="AB8" s="1"/>
      <c r="AC8" s="1"/>
      <c r="AD8" s="1"/>
    </row>
    <row r="9" spans="1:30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">
        <v>0</v>
      </c>
      <c r="Q9" s="2">
        <v>0</v>
      </c>
      <c r="R9" s="181"/>
      <c r="S9" s="181"/>
      <c r="T9" s="181"/>
      <c r="U9" s="181"/>
      <c r="V9" s="181"/>
      <c r="W9" s="181"/>
      <c r="X9" s="2">
        <v>1</v>
      </c>
      <c r="Y9" s="2">
        <f ca="1">IFERROR(__xludf.DUMMYFUNCTION("INDEX(IMPORTRANGE(""1y0FWgjbB0gVlqn-q5LMJbGIsqOrzru4yowQz67dz2yc"", ""'ESC'!AM3:AM139""),MATCH(D9,IMPORTRANGE(""1y0FWgjbB0gVlqn-q5LMJbGIsqOrzru4yowQz67dz2yc"", ""'ESC'!D3:D139""),0))"),165)</f>
        <v>165</v>
      </c>
      <c r="Z9" s="1"/>
      <c r="AA9" s="1"/>
      <c r="AB9" s="1"/>
      <c r="AC9" s="1"/>
      <c r="AD9" s="1"/>
    </row>
    <row r="10" spans="1:30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2117</v>
      </c>
      <c r="Q10" s="12">
        <v>4034</v>
      </c>
      <c r="R10" s="181"/>
      <c r="S10" s="181"/>
      <c r="T10" s="181"/>
      <c r="U10" s="181"/>
      <c r="V10" s="181"/>
      <c r="W10" s="181"/>
      <c r="X10" s="12">
        <v>1931</v>
      </c>
      <c r="Y10" s="2">
        <f ca="1">IFERROR(__xludf.DUMMYFUNCTION("INDEX(IMPORTRANGE(""1y0FWgjbB0gVlqn-q5LMJbGIsqOrzru4yowQz67dz2yc"", ""'ESC'!AM3:AM139""),MATCH(D10,IMPORTRANGE(""1y0FWgjbB0gVlqn-q5LMJbGIsqOrzru4yowQz67dz2yc"", ""'ESC'!D3:D139""),0))"),4251)</f>
        <v>4251</v>
      </c>
      <c r="Z10" s="1"/>
      <c r="AA10" s="1"/>
      <c r="AB10" s="1"/>
      <c r="AC10" s="1"/>
      <c r="AD10" s="1"/>
    </row>
    <row r="11" spans="1:30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37">
        <v>0.03</v>
      </c>
      <c r="S11" s="37">
        <v>0.06</v>
      </c>
      <c r="T11" s="37">
        <v>0.09</v>
      </c>
      <c r="U11" s="37">
        <v>0.12</v>
      </c>
      <c r="V11" s="37">
        <v>0.15</v>
      </c>
      <c r="W11" s="14">
        <v>0.15</v>
      </c>
      <c r="X11" s="15">
        <f>X9/X10</f>
        <v>5.1786639047125837E-4</v>
      </c>
      <c r="Y11" s="15">
        <f ca="1">IFERROR(__xludf.DUMMYFUNCTION("INDEX(IMPORTRANGE(""1y0FWgjbB0gVlqn-q5LMJbGIsqOrzru4yowQz67dz2yc"", ""'ESC'!AM3:AM139""),MATCH(D11,IMPORTRANGE(""1y0FWgjbB0gVlqn-q5LMJbGIsqOrzru4yowQz67dz2yc"", ""'ESC'!D3:D139""),0))"),0.0388143966125617)</f>
        <v>3.8814396612561697E-2</v>
      </c>
      <c r="Z11" s="1"/>
      <c r="AA11" s="1"/>
      <c r="AB11" s="1"/>
      <c r="AC11" s="1"/>
      <c r="AD11" s="1"/>
    </row>
    <row r="12" spans="1:30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34</v>
      </c>
      <c r="Q12" s="12">
        <v>81</v>
      </c>
      <c r="R12" s="181"/>
      <c r="S12" s="181"/>
      <c r="T12" s="181"/>
      <c r="U12" s="181"/>
      <c r="V12" s="181"/>
      <c r="W12" s="181"/>
      <c r="X12" s="12">
        <v>47</v>
      </c>
      <c r="Y12" s="2">
        <f ca="1">IFERROR(__xludf.DUMMYFUNCTION("INDEX(IMPORTRANGE(""1y0FWgjbB0gVlqn-q5LMJbGIsqOrzru4yowQz67dz2yc"", ""'ESC'!AM3:AM139""),MATCH(D12,IMPORTRANGE(""1y0FWgjbB0gVlqn-q5LMJbGIsqOrzru4yowQz67dz2yc"", ""'ESC'!D3:D139""),0))"),109)</f>
        <v>109</v>
      </c>
      <c r="Z12" s="1"/>
      <c r="AA12" s="1"/>
      <c r="AB12" s="1"/>
      <c r="AC12" s="1"/>
      <c r="AD12" s="1"/>
    </row>
    <row r="13" spans="1:30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7.1900912084217108</v>
      </c>
      <c r="Q13" s="23">
        <f t="shared" si="3"/>
        <v>17.129334937710546</v>
      </c>
      <c r="R13" s="250">
        <v>14.1</v>
      </c>
      <c r="S13" s="250">
        <v>4.9000000000000004</v>
      </c>
      <c r="T13" s="250">
        <v>11.6</v>
      </c>
      <c r="U13" s="250">
        <v>3.4</v>
      </c>
      <c r="V13" s="250">
        <v>8</v>
      </c>
      <c r="W13" s="250">
        <v>8</v>
      </c>
      <c r="X13" s="23">
        <f>(X12/X$2)*100000</f>
        <v>9.818011664633433</v>
      </c>
      <c r="Y13" s="2">
        <f ca="1">IFERROR(__xludf.DUMMYFUNCTION("INDEX(IMPORTRANGE(""1y0FWgjbB0gVlqn-q5LMJbGIsqOrzru4yowQz67dz2yc"", ""'ESC'!AM3:AM139""),MATCH(D13,IMPORTRANGE(""1y0FWgjbB0gVlqn-q5LMJbGIsqOrzru4yowQz67dz2yc"", ""'ESC'!D3:D139""),0))"),22.7694313073413)</f>
        <v>22.7694313073413</v>
      </c>
      <c r="Z13" s="1"/>
      <c r="AA13" s="1"/>
      <c r="AB13" s="1"/>
      <c r="AC13" s="1"/>
      <c r="AD13" s="1"/>
    </row>
    <row r="14" spans="1:30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231</v>
      </c>
      <c r="Q14" s="12">
        <v>407</v>
      </c>
      <c r="R14" s="181"/>
      <c r="S14" s="181"/>
      <c r="T14" s="181"/>
      <c r="U14" s="181"/>
      <c r="V14" s="181"/>
      <c r="W14" s="181"/>
      <c r="X14" s="12">
        <v>258</v>
      </c>
      <c r="Y14" s="2">
        <f ca="1">IFERROR(__xludf.DUMMYFUNCTION("INDEX(IMPORTRANGE(""1y0FWgjbB0gVlqn-q5LMJbGIsqOrzru4yowQz67dz2yc"", ""'ESC'!AM3:AM139""),MATCH(D14,IMPORTRANGE(""1y0FWgjbB0gVlqn-q5LMJbGIsqOrzru4yowQz67dz2yc"", ""'ESC'!D3:D139""),0))"),480)</f>
        <v>480</v>
      </c>
      <c r="Z14" s="1"/>
      <c r="AA14" s="1"/>
      <c r="AB14" s="1"/>
      <c r="AC14" s="1"/>
      <c r="AD14" s="1"/>
    </row>
    <row r="15" spans="1:30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282</v>
      </c>
      <c r="Q15" s="12">
        <v>618</v>
      </c>
      <c r="R15" s="181"/>
      <c r="S15" s="181"/>
      <c r="T15" s="181"/>
      <c r="U15" s="181"/>
      <c r="V15" s="181"/>
      <c r="W15" s="181"/>
      <c r="X15" s="12">
        <v>420</v>
      </c>
      <c r="Y15" s="2">
        <f ca="1">IFERROR(__xludf.DUMMYFUNCTION("INDEX(IMPORTRANGE(""1y0FWgjbB0gVlqn-q5LMJbGIsqOrzru4yowQz67dz2yc"", ""'ESC'!AM3:AM139""),MATCH(D15,IMPORTRANGE(""1y0FWgjbB0gVlqn-q5LMJbGIsqOrzru4yowQz67dz2yc"", ""'ESC'!D3:D139""),0))"),818)</f>
        <v>818</v>
      </c>
      <c r="Z15" s="1"/>
      <c r="AA15" s="1"/>
      <c r="AB15" s="1"/>
      <c r="AC15" s="1"/>
      <c r="AD15" s="1"/>
    </row>
    <row r="16" spans="1:30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126</v>
      </c>
      <c r="Q16" s="12">
        <v>279</v>
      </c>
      <c r="R16" s="181"/>
      <c r="S16" s="181"/>
      <c r="T16" s="181"/>
      <c r="U16" s="181"/>
      <c r="V16" s="181"/>
      <c r="W16" s="181"/>
      <c r="X16" s="12">
        <v>174</v>
      </c>
      <c r="Y16" s="2">
        <f ca="1">IFERROR(__xludf.DUMMYFUNCTION("INDEX(IMPORTRANGE(""1y0FWgjbB0gVlqn-q5LMJbGIsqOrzru4yowQz67dz2yc"", ""'ESC'!AM3:AM139""),MATCH(D16,IMPORTRANGE(""1y0FWgjbB0gVlqn-q5LMJbGIsqOrzru4yowQz67dz2yc"", ""'ESC'!D3:D139""),0))"),336)</f>
        <v>336</v>
      </c>
      <c r="Z16" s="1"/>
      <c r="AA16" s="1"/>
      <c r="AB16" s="1"/>
      <c r="AC16" s="1"/>
      <c r="AD16" s="1"/>
    </row>
    <row r="17" spans="1:30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131</v>
      </c>
      <c r="R17" s="181"/>
      <c r="S17" s="181"/>
      <c r="T17" s="181"/>
      <c r="U17" s="181"/>
      <c r="V17" s="181"/>
      <c r="W17" s="181"/>
      <c r="X17" s="12">
        <v>108</v>
      </c>
      <c r="Y17" s="2">
        <f ca="1">IFERROR(__xludf.DUMMYFUNCTION("INDEX(IMPORTRANGE(""1y0FWgjbB0gVlqn-q5LMJbGIsqOrzru4yowQz67dz2yc"", ""'ESC'!AM3:AM139""),MATCH(D17,IMPORTRANGE(""1y0FWgjbB0gVlqn-q5LMJbGIsqOrzru4yowQz67dz2yc"", ""'ESC'!D3:D139""),0))"),177)</f>
        <v>177</v>
      </c>
      <c r="Z17" s="1"/>
      <c r="AA17" s="1"/>
      <c r="AB17" s="1"/>
      <c r="AC17" s="1"/>
      <c r="AD17" s="1"/>
    </row>
    <row r="18" spans="1:30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149.51160248100442</v>
      </c>
      <c r="Q18" s="23">
        <f t="shared" si="4"/>
        <v>303.46414364956343</v>
      </c>
      <c r="R18" s="250">
        <v>261.60000000000002</v>
      </c>
      <c r="S18" s="250">
        <v>111.1</v>
      </c>
      <c r="T18" s="250">
        <v>225.6</v>
      </c>
      <c r="U18" s="250">
        <v>87.7</v>
      </c>
      <c r="V18" s="250">
        <v>178</v>
      </c>
      <c r="W18" s="250">
        <v>178</v>
      </c>
      <c r="X18" s="23">
        <f>(SUM(X14:X17)/X2)*100000</f>
        <v>200.53811059676801</v>
      </c>
      <c r="Y18" s="24">
        <f ca="1">IFERROR(__xludf.DUMMYFUNCTION("INDEX(IMPORTRANGE(""1y0FWgjbB0gVlqn-q5LMJbGIsqOrzru4yowQz67dz2yc"", ""'ESC'!AM3:AM139""),MATCH(D18,IMPORTRANGE(""1y0FWgjbB0gVlqn-q5LMJbGIsqOrzru4yowQz67dz2yc"", ""'ESC'!D3:D139""),0))"),378.306789886194)</f>
        <v>378.306789886194</v>
      </c>
      <c r="Z18" s="1"/>
      <c r="AA18" s="1"/>
      <c r="AB18" s="1"/>
      <c r="AC18" s="1"/>
      <c r="AD18" s="1"/>
    </row>
    <row r="19" spans="1:30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1654</v>
      </c>
      <c r="Q19" s="12">
        <v>3920</v>
      </c>
      <c r="R19" s="181"/>
      <c r="S19" s="181"/>
      <c r="T19" s="181"/>
      <c r="U19" s="181"/>
      <c r="V19" s="181"/>
      <c r="W19" s="181"/>
      <c r="X19" s="12">
        <v>2141</v>
      </c>
      <c r="Y19" s="2">
        <f ca="1">IFERROR(__xludf.DUMMYFUNCTION("INDEX(IMPORTRANGE(""1y0FWgjbB0gVlqn-q5LMJbGIsqOrzru4yowQz67dz2yc"", ""'ESC'!AM3:AM139""),MATCH(D19,IMPORTRANGE(""1y0FWgjbB0gVlqn-q5LMJbGIsqOrzru4yowQz67dz2yc"", ""'ESC'!D3:D139""),0))"),4915)</f>
        <v>4915</v>
      </c>
      <c r="Z19" s="1"/>
      <c r="AA19" s="1"/>
      <c r="AB19" s="1"/>
      <c r="AC19" s="1"/>
      <c r="AD19" s="1"/>
    </row>
    <row r="20" spans="1:30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349.77678996263268</v>
      </c>
      <c r="Q20" s="23">
        <f t="shared" si="5"/>
        <v>828.97522167685622</v>
      </c>
      <c r="R20" s="250">
        <v>692</v>
      </c>
      <c r="S20" s="250">
        <v>243.7</v>
      </c>
      <c r="T20" s="250">
        <v>577.6</v>
      </c>
      <c r="U20" s="250">
        <v>176.4</v>
      </c>
      <c r="V20" s="250">
        <v>418</v>
      </c>
      <c r="W20" s="250">
        <v>418</v>
      </c>
      <c r="X20" s="23">
        <f>(X19/X$2)*100000</f>
        <v>447.2417654038336</v>
      </c>
      <c r="Y20" s="24">
        <f ca="1">IFERROR(__xludf.DUMMYFUNCTION("INDEX(IMPORTRANGE(""1y0FWgjbB0gVlqn-q5LMJbGIsqOrzru4yowQz67dz2yc"", ""'ESC'!AM3:AM139""),MATCH(D20,IMPORTRANGE(""1y0FWgjbB0gVlqn-q5LMJbGIsqOrzru4yowQz67dz2yc"", ""'ESC'!D3:D139""),0))"),1026.71334748241)</f>
        <v>1026.71334748241</v>
      </c>
      <c r="Z20" s="1"/>
      <c r="AA20" s="1"/>
      <c r="AB20" s="1"/>
      <c r="AC20" s="1"/>
      <c r="AD20" s="1"/>
    </row>
    <row r="21" spans="1:30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326</v>
      </c>
      <c r="Q21" s="12">
        <v>733</v>
      </c>
      <c r="R21" s="181"/>
      <c r="S21" s="181"/>
      <c r="T21" s="181"/>
      <c r="U21" s="181"/>
      <c r="V21" s="181"/>
      <c r="W21" s="181"/>
      <c r="X21" s="12">
        <v>358</v>
      </c>
      <c r="Y21" s="2">
        <f ca="1">IFERROR(__xludf.DUMMYFUNCTION("INDEX(IMPORTRANGE(""1y0FWgjbB0gVlqn-q5LMJbGIsqOrzru4yowQz67dz2yc"", ""'ESC'!AM3:AM139""),MATCH(D21,IMPORTRANGE(""1y0FWgjbB0gVlqn-q5LMJbGIsqOrzru4yowQz67dz2yc"", ""'ESC'!D3:D139""),0))"),832)</f>
        <v>832</v>
      </c>
      <c r="Z21" s="1"/>
      <c r="AA21" s="1"/>
      <c r="AB21" s="1"/>
      <c r="AC21" s="1"/>
      <c r="AD21" s="1"/>
    </row>
    <row r="22" spans="1:30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68.94028629251406</v>
      </c>
      <c r="Q22" s="23">
        <f t="shared" si="6"/>
        <v>155.00990752273867</v>
      </c>
      <c r="R22" s="250">
        <v>127.7</v>
      </c>
      <c r="S22" s="250">
        <v>46.8</v>
      </c>
      <c r="T22" s="250">
        <v>105.2</v>
      </c>
      <c r="U22" s="250">
        <v>32.5</v>
      </c>
      <c r="V22" s="250">
        <v>73</v>
      </c>
      <c r="W22" s="250">
        <v>73</v>
      </c>
      <c r="X22" s="23">
        <f>(X21/X$2)*100000</f>
        <v>74.784003743378065</v>
      </c>
      <c r="Y22" s="24">
        <f ca="1">IFERROR(__xludf.DUMMYFUNCTION("INDEX(IMPORTRANGE(""1y0FWgjbB0gVlqn-q5LMJbGIsqOrzru4yowQz67dz2yc"", ""'ESC'!AM3:AM139""),MATCH(D22,IMPORTRANGE(""1y0FWgjbB0gVlqn-q5LMJbGIsqOrzru4yowQz67dz2yc"", ""'ESC'!D3:D139""),0))"),173.799695850532)</f>
        <v>173.799695850532</v>
      </c>
      <c r="Z22" s="1"/>
      <c r="AA22" s="1"/>
      <c r="AB22" s="1"/>
      <c r="AC22" s="1"/>
      <c r="AD22" s="1"/>
    </row>
    <row r="23" spans="1:30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9">
        <v>7</v>
      </c>
      <c r="Q23" s="29">
        <v>23</v>
      </c>
      <c r="R23" s="181"/>
      <c r="S23" s="181"/>
      <c r="T23" s="181"/>
      <c r="U23" s="181"/>
      <c r="V23" s="181"/>
      <c r="W23" s="181"/>
      <c r="X23" s="29">
        <v>16</v>
      </c>
      <c r="Y23" s="2">
        <f ca="1">IFERROR(__xludf.DUMMYFUNCTION("INDEX(IMPORTRANGE(""1y0FWgjbB0gVlqn-q5LMJbGIsqOrzru4yowQz67dz2yc"", ""'ESC'!AM3:AM139""),MATCH(D23,IMPORTRANGE(""1y0FWgjbB0gVlqn-q5LMJbGIsqOrzru4yowQz67dz2yc"", ""'ESC'!D3:D139""),0))"),37)</f>
        <v>37</v>
      </c>
      <c r="Z23" s="1"/>
      <c r="AA23" s="1"/>
      <c r="AB23" s="1"/>
      <c r="AC23" s="1"/>
      <c r="AD23" s="1"/>
    </row>
    <row r="24" spans="1:30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9">
        <v>6</v>
      </c>
      <c r="Q24" s="29">
        <v>21</v>
      </c>
      <c r="R24" s="181"/>
      <c r="S24" s="181"/>
      <c r="T24" s="181"/>
      <c r="U24" s="181"/>
      <c r="V24" s="181"/>
      <c r="W24" s="181"/>
      <c r="X24" s="29">
        <v>12</v>
      </c>
      <c r="Y24" s="2">
        <f ca="1">IFERROR(__xludf.DUMMYFUNCTION("INDEX(IMPORTRANGE(""1y0FWgjbB0gVlqn-q5LMJbGIsqOrzru4yowQz67dz2yc"", ""'ESC'!AM3:AM139""),MATCH(D24,IMPORTRANGE(""1y0FWgjbB0gVlqn-q5LMJbGIsqOrzru4yowQz67dz2yc"", ""'ESC'!D3:D139""),0))"),40)</f>
        <v>40</v>
      </c>
      <c r="Z24" s="1"/>
      <c r="AA24" s="1"/>
      <c r="AB24" s="1"/>
      <c r="AC24" s="1"/>
      <c r="AD24" s="1"/>
    </row>
    <row r="25" spans="1:30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9">
        <v>5</v>
      </c>
      <c r="Q25" s="29">
        <v>11</v>
      </c>
      <c r="R25" s="181"/>
      <c r="S25" s="181"/>
      <c r="T25" s="181"/>
      <c r="U25" s="181"/>
      <c r="V25" s="181"/>
      <c r="W25" s="181"/>
      <c r="X25" s="29">
        <v>3</v>
      </c>
      <c r="Y25" s="2">
        <f ca="1">IFERROR(__xludf.DUMMYFUNCTION("INDEX(IMPORTRANGE(""1y0FWgjbB0gVlqn-q5LMJbGIsqOrzru4yowQz67dz2yc"", ""'ESC'!AM3:AM139""),MATCH(D25,IMPORTRANGE(""1y0FWgjbB0gVlqn-q5LMJbGIsqOrzru4yowQz67dz2yc"", ""'ESC'!D3:D139""),0))"),10)</f>
        <v>10</v>
      </c>
      <c r="Z25" s="1"/>
      <c r="AA25" s="1"/>
      <c r="AB25" s="1"/>
      <c r="AC25" s="1"/>
      <c r="AD25" s="1"/>
    </row>
    <row r="26" spans="1:30">
      <c r="A26" s="7" t="s">
        <v>52</v>
      </c>
      <c r="B26" s="7" t="s">
        <v>86</v>
      </c>
      <c r="C26" s="1" t="s">
        <v>30</v>
      </c>
      <c r="D26" s="7" t="s">
        <v>101</v>
      </c>
      <c r="E26" s="7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9">
        <v>0</v>
      </c>
      <c r="Q26" s="29">
        <v>0</v>
      </c>
      <c r="R26" s="181"/>
      <c r="S26" s="181"/>
      <c r="T26" s="181"/>
      <c r="U26" s="181"/>
      <c r="V26" s="181"/>
      <c r="W26" s="181"/>
      <c r="X26" s="29">
        <v>0</v>
      </c>
      <c r="Y26" s="2">
        <f ca="1">IFERROR(__xludf.DUMMYFUNCTION("INDEX(IMPORTRANGE(""1y0FWgjbB0gVlqn-q5LMJbGIsqOrzru4yowQz67dz2yc"", ""'ESC'!AM3:AM139""),MATCH(D26,IMPORTRANGE(""1y0FWgjbB0gVlqn-q5LMJbGIsqOrzru4yowQz67dz2yc"", ""'ESC'!D3:D139""),0))"),2)</f>
        <v>2</v>
      </c>
      <c r="Z26" s="1"/>
      <c r="AA26" s="1"/>
      <c r="AB26" s="1"/>
      <c r="AC26" s="1"/>
      <c r="AD26" s="1"/>
    </row>
    <row r="27" spans="1:30">
      <c r="A27" s="7" t="s">
        <v>52</v>
      </c>
      <c r="B27" s="7" t="s">
        <v>86</v>
      </c>
      <c r="C27" s="1" t="s">
        <v>30</v>
      </c>
      <c r="D27" s="7" t="s">
        <v>103</v>
      </c>
      <c r="E27" s="7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29">
        <v>2</v>
      </c>
      <c r="Q27" s="29">
        <v>4</v>
      </c>
      <c r="R27" s="181"/>
      <c r="S27" s="181"/>
      <c r="T27" s="181"/>
      <c r="U27" s="181"/>
      <c r="V27" s="181"/>
      <c r="W27" s="181"/>
      <c r="X27" s="29">
        <v>1</v>
      </c>
      <c r="Y27" s="2">
        <f ca="1">IFERROR(__xludf.DUMMYFUNCTION("INDEX(IMPORTRANGE(""1y0FWgjbB0gVlqn-q5LMJbGIsqOrzru4yowQz67dz2yc"", ""'ESC'!AM3:AM139""),MATCH(D27,IMPORTRANGE(""1y0FWgjbB0gVlqn-q5LMJbGIsqOrzru4yowQz67dz2yc"", ""'ESC'!D3:D139""),0))"),4)</f>
        <v>4</v>
      </c>
      <c r="Z27" s="1"/>
      <c r="AA27" s="1"/>
      <c r="AB27" s="1"/>
      <c r="AC27" s="1"/>
      <c r="AD27" s="1"/>
    </row>
    <row r="28" spans="1:30">
      <c r="A28" s="7" t="s">
        <v>52</v>
      </c>
      <c r="B28" s="7" t="s">
        <v>86</v>
      </c>
      <c r="C28" s="1" t="s">
        <v>30</v>
      </c>
      <c r="D28" s="7" t="s">
        <v>105</v>
      </c>
      <c r="E28" s="7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29">
        <v>0</v>
      </c>
      <c r="Q28" s="29">
        <v>0</v>
      </c>
      <c r="R28" s="181"/>
      <c r="S28" s="181"/>
      <c r="T28" s="181"/>
      <c r="U28" s="181"/>
      <c r="V28" s="181"/>
      <c r="W28" s="181"/>
      <c r="X28" s="29">
        <v>0</v>
      </c>
      <c r="Y28" s="2">
        <f ca="1">IFERROR(__xludf.DUMMYFUNCTION("INDEX(IMPORTRANGE(""1y0FWgjbB0gVlqn-q5LMJbGIsqOrzru4yowQz67dz2yc"", ""'ESC'!AM3:AM139""),MATCH(D28,IMPORTRANGE(""1y0FWgjbB0gVlqn-q5LMJbGIsqOrzru4yowQz67dz2yc"", ""'ESC'!D3:D139""),0))"),0)</f>
        <v>0</v>
      </c>
      <c r="Z28" s="1"/>
      <c r="AA28" s="1"/>
      <c r="AB28" s="1"/>
      <c r="AC28" s="1"/>
      <c r="AD28" s="1"/>
    </row>
    <row r="29" spans="1:30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29">
        <v>4</v>
      </c>
      <c r="Q29" s="29">
        <v>15</v>
      </c>
      <c r="R29" s="181"/>
      <c r="S29" s="181"/>
      <c r="T29" s="181"/>
      <c r="U29" s="181"/>
      <c r="V29" s="181"/>
      <c r="W29" s="181"/>
      <c r="X29" s="29">
        <v>7</v>
      </c>
      <c r="Y29" s="2">
        <f ca="1">IFERROR(__xludf.DUMMYFUNCTION("INDEX(IMPORTRANGE(""1y0FWgjbB0gVlqn-q5LMJbGIsqOrzru4yowQz67dz2yc"", ""'ESC'!AM3:AM139""),MATCH(D29,IMPORTRANGE(""1y0FWgjbB0gVlqn-q5LMJbGIsqOrzru4yowQz67dz2yc"", ""'ESC'!D3:D139""),0))"),12)</f>
        <v>12</v>
      </c>
      <c r="Z29" s="1"/>
      <c r="AA29" s="1"/>
      <c r="AB29" s="1"/>
      <c r="AC29" s="1"/>
      <c r="AD29" s="1"/>
    </row>
    <row r="30" spans="1:30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29">
        <v>1</v>
      </c>
      <c r="Q30" s="29">
        <v>3</v>
      </c>
      <c r="R30" s="181"/>
      <c r="S30" s="181"/>
      <c r="T30" s="181"/>
      <c r="U30" s="181"/>
      <c r="V30" s="181"/>
      <c r="W30" s="181"/>
      <c r="X30" s="29">
        <v>1</v>
      </c>
      <c r="Y30" s="2">
        <f ca="1">IFERROR(__xludf.DUMMYFUNCTION("INDEX(IMPORTRANGE(""1y0FWgjbB0gVlqn-q5LMJbGIsqOrzru4yowQz67dz2yc"", ""'ESC'!AM3:AM139""),MATCH(D30,IMPORTRANGE(""1y0FWgjbB0gVlqn-q5LMJbGIsqOrzru4yowQz67dz2yc"", ""'ESC'!D3:D139""),0))"),2)</f>
        <v>2</v>
      </c>
      <c r="Z30" s="1"/>
      <c r="AA30" s="1"/>
      <c r="AB30" s="1"/>
      <c r="AC30" s="1"/>
      <c r="AD30" s="1"/>
    </row>
    <row r="31" spans="1:30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29">
        <v>0</v>
      </c>
      <c r="Q31" s="29">
        <v>0</v>
      </c>
      <c r="R31" s="181"/>
      <c r="S31" s="181"/>
      <c r="T31" s="181"/>
      <c r="U31" s="181"/>
      <c r="V31" s="181"/>
      <c r="W31" s="181"/>
      <c r="X31" s="29">
        <v>0</v>
      </c>
      <c r="Y31" s="2">
        <f ca="1">IFERROR(__xludf.DUMMYFUNCTION("INDEX(IMPORTRANGE(""1y0FWgjbB0gVlqn-q5LMJbGIsqOrzru4yowQz67dz2yc"", ""'ESC'!AM3:AM139""),MATCH(D31,IMPORTRANGE(""1y0FWgjbB0gVlqn-q5LMJbGIsqOrzru4yowQz67dz2yc"", ""'ESC'!D3:D139""),0))"),0)</f>
        <v>0</v>
      </c>
      <c r="Z31" s="1"/>
      <c r="AA31" s="1"/>
      <c r="AB31" s="1"/>
      <c r="AC31" s="1"/>
      <c r="AD31" s="1"/>
    </row>
    <row r="32" spans="1:30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29">
        <v>0</v>
      </c>
      <c r="Q32" s="29">
        <v>2</v>
      </c>
      <c r="R32" s="181"/>
      <c r="S32" s="181"/>
      <c r="T32" s="181"/>
      <c r="U32" s="181"/>
      <c r="V32" s="181"/>
      <c r="W32" s="181"/>
      <c r="X32" s="29">
        <v>2</v>
      </c>
      <c r="Y32" s="2">
        <f ca="1">IFERROR(__xludf.DUMMYFUNCTION("INDEX(IMPORTRANGE(""1y0FWgjbB0gVlqn-q5LMJbGIsqOrzru4yowQz67dz2yc"", ""'ESC'!AM3:AM139""),MATCH(D32,IMPORTRANGE(""1y0FWgjbB0gVlqn-q5LMJbGIsqOrzru4yowQz67dz2yc"", ""'ESC'!D3:D139""),0))"),2)</f>
        <v>2</v>
      </c>
      <c r="Z32" s="1"/>
      <c r="AA32" s="1"/>
      <c r="AB32" s="1"/>
      <c r="AC32" s="1"/>
      <c r="AD32" s="1"/>
    </row>
    <row r="33" spans="1:30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29">
        <v>0</v>
      </c>
      <c r="Q33" s="29">
        <v>1</v>
      </c>
      <c r="R33" s="181"/>
      <c r="S33" s="181"/>
      <c r="T33" s="181"/>
      <c r="U33" s="181"/>
      <c r="V33" s="181"/>
      <c r="W33" s="181"/>
      <c r="X33" s="29">
        <v>1</v>
      </c>
      <c r="Y33" s="2">
        <f ca="1">IFERROR(__xludf.DUMMYFUNCTION("INDEX(IMPORTRANGE(""1y0FWgjbB0gVlqn-q5LMJbGIsqOrzru4yowQz67dz2yc"", ""'ESC'!AM3:AM139""),MATCH(D33,IMPORTRANGE(""1y0FWgjbB0gVlqn-q5LMJbGIsqOrzru4yowQz67dz2yc"", ""'ESC'!D3:D139""),0))"),2)</f>
        <v>2</v>
      </c>
      <c r="Z33" s="1"/>
      <c r="AA33" s="1"/>
      <c r="AB33" s="1"/>
      <c r="AC33" s="1"/>
      <c r="AD33" s="1"/>
    </row>
    <row r="34" spans="1:30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2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5.2868317708983179</v>
      </c>
      <c r="Q34" s="23">
        <f t="shared" si="7"/>
        <v>16.917861666874614</v>
      </c>
      <c r="R34" s="250">
        <v>12.3</v>
      </c>
      <c r="S34" s="250">
        <v>2.8</v>
      </c>
      <c r="T34" s="250">
        <v>8.9</v>
      </c>
      <c r="U34" s="250">
        <v>0.9</v>
      </c>
      <c r="V34" s="250">
        <v>3</v>
      </c>
      <c r="W34" s="250">
        <v>3</v>
      </c>
      <c r="X34" s="23">
        <f>(SUM(X23:X33)/X$2)*100000</f>
        <v>8.9824362038135668</v>
      </c>
      <c r="Y34" s="24">
        <f ca="1">IFERROR(__xludf.DUMMYFUNCTION("INDEX(IMPORTRANGE(""1y0FWgjbB0gVlqn-q5LMJbGIsqOrzru4yowQz67dz2yc"", ""'ESC'!AM3:AM139""),MATCH(D34,IMPORTRANGE(""1y0FWgjbB0gVlqn-q5LMJbGIsqOrzru4yowQz67dz2yc"", ""'ESC'!D3:D139""),0))"),23.1872190377512)</f>
        <v>23.187219037751198</v>
      </c>
      <c r="Z34" s="1"/>
      <c r="AA34" s="1"/>
      <c r="AB34" s="1"/>
      <c r="AC34" s="1"/>
      <c r="AD34" s="1"/>
    </row>
    <row r="35" spans="1:30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1">
        <v>44469</v>
      </c>
      <c r="H35" s="11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138494</v>
      </c>
      <c r="Q35" s="12">
        <v>138494</v>
      </c>
      <c r="R35" s="181"/>
      <c r="S35" s="181"/>
      <c r="T35" s="181"/>
      <c r="U35" s="181"/>
      <c r="V35" s="181"/>
      <c r="W35" s="181"/>
      <c r="X35" s="12">
        <v>138494</v>
      </c>
      <c r="Y35" s="12">
        <f ca="1">IFERROR(__xludf.DUMMYFUNCTION("INDEX(IMPORTRANGE(""1y0FWgjbB0gVlqn-q5LMJbGIsqOrzru4yowQz67dz2yc"", ""'ESC'!AM3:AM139""),MATCH(D35,IMPORTRANGE(""1y0FWgjbB0gVlqn-q5LMJbGIsqOrzru4yowQz67dz2yc"", ""'ESC'!D3:D139""),0))"),178382)</f>
        <v>178382</v>
      </c>
      <c r="Z35" s="1"/>
      <c r="AA35" s="1"/>
      <c r="AB35" s="1"/>
      <c r="AC35" s="1"/>
      <c r="AD35" s="1"/>
    </row>
    <row r="36" spans="1:30">
      <c r="A36" s="7" t="s">
        <v>119</v>
      </c>
      <c r="B36" s="7" t="s">
        <v>120</v>
      </c>
      <c r="C36" s="1" t="s">
        <v>30</v>
      </c>
      <c r="D36" s="7" t="s">
        <v>123</v>
      </c>
      <c r="E36" s="7" t="s">
        <v>38</v>
      </c>
      <c r="F36" s="2" t="s">
        <v>124</v>
      </c>
      <c r="G36" s="11">
        <v>44469</v>
      </c>
      <c r="H36" s="11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/>
      <c r="Q36" s="12"/>
      <c r="R36" s="181"/>
      <c r="S36" s="181"/>
      <c r="T36" s="181"/>
      <c r="U36" s="181"/>
      <c r="V36" s="181"/>
      <c r="W36" s="181"/>
      <c r="X36" s="12">
        <v>0</v>
      </c>
      <c r="Y36" s="2">
        <f ca="1">IFERROR(__xludf.DUMMYFUNCTION("INDEX(IMPORTRANGE(""1y0FWgjbB0gVlqn-q5LMJbGIsqOrzru4yowQz67dz2yc"", ""'ESC'!AM3:AM139""),MATCH(D36,IMPORTRANGE(""1y0FWgjbB0gVlqn-q5LMJbGIsqOrzru4yowQz67dz2yc"", ""'ESC'!D3:D139""),0))"),0)</f>
        <v>0</v>
      </c>
      <c r="Z36" s="1"/>
      <c r="AA36" s="1"/>
      <c r="AB36" s="1"/>
      <c r="AC36" s="1"/>
      <c r="AD36" s="1"/>
    </row>
    <row r="37" spans="1:30">
      <c r="A37" s="7" t="s">
        <v>119</v>
      </c>
      <c r="B37" s="7" t="s">
        <v>120</v>
      </c>
      <c r="C37" s="1" t="s">
        <v>36</v>
      </c>
      <c r="D37" s="7" t="s">
        <v>125</v>
      </c>
      <c r="E37" s="7" t="s">
        <v>38</v>
      </c>
      <c r="F37" s="2" t="s">
        <v>126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8">P36/P35</f>
        <v>0</v>
      </c>
      <c r="Q37" s="15">
        <f t="shared" si="8"/>
        <v>0</v>
      </c>
      <c r="R37" s="251"/>
      <c r="S37" s="251"/>
      <c r="T37" s="251"/>
      <c r="U37" s="251"/>
      <c r="V37" s="251"/>
      <c r="W37" s="251"/>
      <c r="X37" s="15">
        <f>X36/X35</f>
        <v>0</v>
      </c>
      <c r="Y37" s="15">
        <f ca="1">IFERROR(__xludf.DUMMYFUNCTION("INDEX(IMPORTRANGE(""1y0FWgjbB0gVlqn-q5LMJbGIsqOrzru4yowQz67dz2yc"", ""'ESC'!AM3:AM139""),MATCH(D37,IMPORTRANGE(""1y0FWgjbB0gVlqn-q5LMJbGIsqOrzru4yowQz67dz2yc"", ""'ESC'!D3:D139""),0))"),0)</f>
        <v>0</v>
      </c>
      <c r="Z37" s="1"/>
      <c r="AA37" s="1"/>
      <c r="AB37" s="1"/>
      <c r="AC37" s="1"/>
      <c r="AD37" s="1"/>
    </row>
    <row r="38" spans="1:30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2" t="s">
        <v>129</v>
      </c>
      <c r="G38" s="2" t="s">
        <v>56</v>
      </c>
      <c r="H38" s="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12">
        <v>0</v>
      </c>
      <c r="R38" s="252">
        <v>1</v>
      </c>
      <c r="S38" s="252">
        <v>1</v>
      </c>
      <c r="T38" s="252">
        <v>1</v>
      </c>
      <c r="U38" s="252">
        <v>1</v>
      </c>
      <c r="V38" s="252">
        <v>1</v>
      </c>
      <c r="W38" s="12">
        <v>3</v>
      </c>
      <c r="X38" s="12">
        <v>1</v>
      </c>
      <c r="Y38" s="2">
        <f ca="1">IFERROR(__xludf.DUMMYFUNCTION("INDEX(IMPORTRANGE(""1y0FWgjbB0gVlqn-q5LMJbGIsqOrzru4yowQz67dz2yc"", ""'ESC'!AM3:AM139""),MATCH(D38,IMPORTRANGE(""1y0FWgjbB0gVlqn-q5LMJbGIsqOrzru4yowQz67dz2yc"", ""'ESC'!D3:D139""),0))"),1)</f>
        <v>1</v>
      </c>
      <c r="Z38" s="1"/>
      <c r="AA38" s="1"/>
      <c r="AB38" s="1"/>
      <c r="AC38" s="1"/>
      <c r="AD38" s="1"/>
    </row>
    <row r="39" spans="1:30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2" t="s">
        <v>135</v>
      </c>
      <c r="G39" s="2" t="s">
        <v>56</v>
      </c>
      <c r="H39" s="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3405</v>
      </c>
      <c r="Q39" s="12">
        <v>3665</v>
      </c>
      <c r="R39" s="253">
        <v>1000</v>
      </c>
      <c r="S39" s="253">
        <v>500</v>
      </c>
      <c r="T39" s="253">
        <v>1000</v>
      </c>
      <c r="U39" s="253">
        <v>500</v>
      </c>
      <c r="V39" s="253">
        <v>1000</v>
      </c>
      <c r="W39" s="253">
        <v>3000</v>
      </c>
      <c r="X39" s="12">
        <v>186</v>
      </c>
      <c r="Y39" s="2">
        <f ca="1">IFERROR(__xludf.DUMMYFUNCTION("INDEX(IMPORTRANGE(""1y0FWgjbB0gVlqn-q5LMJbGIsqOrzru4yowQz67dz2yc"", ""'ESC'!AM3:AM139""),MATCH(D39,IMPORTRANGE(""1y0FWgjbB0gVlqn-q5LMJbGIsqOrzru4yowQz67dz2yc"", ""'ESC'!D3:D139""),0))"),513)</f>
        <v>513</v>
      </c>
      <c r="Z39" s="1"/>
      <c r="AA39" s="1"/>
      <c r="AB39" s="1"/>
      <c r="AC39" s="1"/>
      <c r="AD39" s="1" t="s">
        <v>417</v>
      </c>
    </row>
    <row r="40" spans="1:30">
      <c r="A40" s="7" t="s">
        <v>119</v>
      </c>
      <c r="B40" s="7" t="s">
        <v>136</v>
      </c>
      <c r="C40" s="1" t="s">
        <v>30</v>
      </c>
      <c r="D40" s="7" t="s">
        <v>137</v>
      </c>
      <c r="E40" s="7" t="s">
        <v>38</v>
      </c>
      <c r="F40" s="2" t="s">
        <v>138</v>
      </c>
      <c r="G40" s="2" t="s">
        <v>56</v>
      </c>
      <c r="H40" s="2" t="s">
        <v>57</v>
      </c>
      <c r="I40" s="2" t="s">
        <v>58</v>
      </c>
      <c r="J40" s="2" t="s">
        <v>59</v>
      </c>
      <c r="K40" s="2" t="s">
        <v>130</v>
      </c>
      <c r="L40" s="2" t="s">
        <v>61</v>
      </c>
      <c r="M40" s="2" t="s">
        <v>131</v>
      </c>
      <c r="N40" s="2" t="s">
        <v>63</v>
      </c>
      <c r="O40" s="2" t="s">
        <v>132</v>
      </c>
      <c r="P40" s="12">
        <v>0</v>
      </c>
      <c r="Q40" s="12">
        <v>1</v>
      </c>
      <c r="R40" s="181"/>
      <c r="S40" s="181"/>
      <c r="T40" s="181"/>
      <c r="U40" s="181"/>
      <c r="V40" s="181"/>
      <c r="W40" s="181"/>
      <c r="X40" s="12">
        <v>0</v>
      </c>
      <c r="Y40" s="2">
        <f ca="1">IFERROR(__xludf.DUMMYFUNCTION("INDEX(IMPORTRANGE(""1y0FWgjbB0gVlqn-q5LMJbGIsqOrzru4yowQz67dz2yc"", ""'ESC'!AM3:AM139""),MATCH(D40,IMPORTRANGE(""1y0FWgjbB0gVlqn-q5LMJbGIsqOrzru4yowQz67dz2yc"", ""'ESC'!D3:D139""),0))"),1)</f>
        <v>1</v>
      </c>
      <c r="Z40" s="1"/>
      <c r="AA40" s="1"/>
      <c r="AB40" s="1"/>
      <c r="AC40" s="1"/>
      <c r="AD40" s="1"/>
    </row>
    <row r="41" spans="1:30">
      <c r="A41" s="7" t="s">
        <v>119</v>
      </c>
      <c r="B41" s="7" t="s">
        <v>136</v>
      </c>
      <c r="C41" s="1" t="s">
        <v>30</v>
      </c>
      <c r="D41" s="7" t="s">
        <v>139</v>
      </c>
      <c r="E41" s="7" t="s">
        <v>38</v>
      </c>
      <c r="F41" s="2" t="s">
        <v>140</v>
      </c>
      <c r="G41" s="2" t="s">
        <v>56</v>
      </c>
      <c r="H41" s="2" t="s">
        <v>57</v>
      </c>
      <c r="I41" s="2" t="s">
        <v>58</v>
      </c>
      <c r="J41" s="2" t="s">
        <v>59</v>
      </c>
      <c r="K41" s="2" t="s">
        <v>130</v>
      </c>
      <c r="L41" s="2" t="s">
        <v>61</v>
      </c>
      <c r="M41" s="2" t="s">
        <v>131</v>
      </c>
      <c r="N41" s="2" t="s">
        <v>63</v>
      </c>
      <c r="O41" s="2" t="s">
        <v>132</v>
      </c>
      <c r="P41" s="12"/>
      <c r="Q41" s="12"/>
      <c r="R41" s="181"/>
      <c r="S41" s="181"/>
      <c r="T41" s="181"/>
      <c r="U41" s="181"/>
      <c r="V41" s="181"/>
      <c r="W41" s="181"/>
      <c r="X41" s="12"/>
      <c r="Y41" s="2">
        <f ca="1">IFERROR(__xludf.DUMMYFUNCTION("INDEX(IMPORTRANGE(""1y0FWgjbB0gVlqn-q5LMJbGIsqOrzru4yowQz67dz2yc"", ""'ESC'!AM3:AM139""),MATCH(D41,IMPORTRANGE(""1y0FWgjbB0gVlqn-q5LMJbGIsqOrzru4yowQz67dz2yc"", ""'ESC'!D3:D139""),0))"),0)</f>
        <v>0</v>
      </c>
      <c r="Z41" s="1"/>
      <c r="AA41" s="1"/>
      <c r="AB41" s="1"/>
      <c r="AC41" s="1"/>
      <c r="AD41" s="1"/>
    </row>
    <row r="42" spans="1:30">
      <c r="A42" s="7" t="s">
        <v>119</v>
      </c>
      <c r="B42" s="7" t="s">
        <v>136</v>
      </c>
      <c r="C42" s="1" t="s">
        <v>30</v>
      </c>
      <c r="D42" s="7" t="s">
        <v>141</v>
      </c>
      <c r="E42" s="7" t="s">
        <v>38</v>
      </c>
      <c r="F42" s="2" t="s">
        <v>142</v>
      </c>
      <c r="G42" s="2" t="s">
        <v>56</v>
      </c>
      <c r="H42" s="2" t="s">
        <v>57</v>
      </c>
      <c r="I42" s="2" t="s">
        <v>58</v>
      </c>
      <c r="J42" s="2" t="s">
        <v>59</v>
      </c>
      <c r="K42" s="2" t="s">
        <v>130</v>
      </c>
      <c r="L42" s="2" t="s">
        <v>61</v>
      </c>
      <c r="M42" s="2" t="s">
        <v>131</v>
      </c>
      <c r="N42" s="2" t="s">
        <v>63</v>
      </c>
      <c r="O42" s="2" t="s">
        <v>132</v>
      </c>
      <c r="P42" s="12">
        <v>1</v>
      </c>
      <c r="Q42" s="12">
        <v>13</v>
      </c>
      <c r="R42" s="181"/>
      <c r="S42" s="181"/>
      <c r="T42" s="181"/>
      <c r="U42" s="181"/>
      <c r="V42" s="181"/>
      <c r="W42" s="181"/>
      <c r="X42" s="12">
        <v>0</v>
      </c>
      <c r="Y42" s="2">
        <f ca="1">IFERROR(__xludf.DUMMYFUNCTION("INDEX(IMPORTRANGE(""1y0FWgjbB0gVlqn-q5LMJbGIsqOrzru4yowQz67dz2yc"", ""'ESC'!AM3:AM139""),MATCH(D42,IMPORTRANGE(""1y0FWgjbB0gVlqn-q5LMJbGIsqOrzru4yowQz67dz2yc"", ""'ESC'!D3:D139""),0))"),0)</f>
        <v>0</v>
      </c>
      <c r="Z42" s="1"/>
      <c r="AA42" s="1"/>
      <c r="AB42" s="1"/>
      <c r="AC42" s="1"/>
      <c r="AD42" s="1"/>
    </row>
    <row r="43" spans="1:30">
      <c r="A43" s="7" t="s">
        <v>119</v>
      </c>
      <c r="B43" s="7" t="s">
        <v>136</v>
      </c>
      <c r="C43" s="1" t="s">
        <v>30</v>
      </c>
      <c r="D43" s="7" t="s">
        <v>143</v>
      </c>
      <c r="E43" s="7" t="s">
        <v>38</v>
      </c>
      <c r="F43" s="2" t="s">
        <v>144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130</v>
      </c>
      <c r="L43" s="2" t="s">
        <v>61</v>
      </c>
      <c r="M43" s="2" t="s">
        <v>131</v>
      </c>
      <c r="N43" s="2" t="s">
        <v>63</v>
      </c>
      <c r="O43" s="2" t="s">
        <v>132</v>
      </c>
      <c r="P43" s="12"/>
      <c r="Q43" s="12"/>
      <c r="R43" s="181"/>
      <c r="S43" s="181"/>
      <c r="T43" s="181"/>
      <c r="U43" s="181"/>
      <c r="V43" s="181"/>
      <c r="W43" s="181"/>
      <c r="X43" s="12"/>
      <c r="Y43" s="2">
        <f ca="1">IFERROR(__xludf.DUMMYFUNCTION("INDEX(IMPORTRANGE(""1y0FWgjbB0gVlqn-q5LMJbGIsqOrzru4yowQz67dz2yc"", ""'ESC'!AM3:AM139""),MATCH(D43,IMPORTRANGE(""1y0FWgjbB0gVlqn-q5LMJbGIsqOrzru4yowQz67dz2yc"", ""'ESC'!D3:D139""),0))"),0)</f>
        <v>0</v>
      </c>
      <c r="Z43" s="1"/>
      <c r="AA43" s="1"/>
      <c r="AB43" s="1"/>
      <c r="AC43" s="1"/>
      <c r="AD43" s="1"/>
    </row>
    <row r="44" spans="1:30">
      <c r="A44" s="7" t="s">
        <v>119</v>
      </c>
      <c r="B44" s="7" t="s">
        <v>136</v>
      </c>
      <c r="C44" s="1" t="s">
        <v>36</v>
      </c>
      <c r="D44" s="7" t="s">
        <v>145</v>
      </c>
      <c r="E44" s="7" t="s">
        <v>38</v>
      </c>
      <c r="F44" s="2" t="s">
        <v>146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130</v>
      </c>
      <c r="L44" s="2" t="s">
        <v>61</v>
      </c>
      <c r="M44" s="2" t="s">
        <v>131</v>
      </c>
      <c r="N44" s="2" t="s">
        <v>63</v>
      </c>
      <c r="O44" s="2" t="s">
        <v>132</v>
      </c>
      <c r="P44" s="12">
        <v>1</v>
      </c>
      <c r="Q44" s="12">
        <v>14</v>
      </c>
      <c r="R44" s="250">
        <v>2</v>
      </c>
      <c r="S44" s="250">
        <v>2</v>
      </c>
      <c r="T44" s="250">
        <v>3</v>
      </c>
      <c r="U44" s="250">
        <v>1</v>
      </c>
      <c r="V44" s="250">
        <v>2</v>
      </c>
      <c r="W44" s="250">
        <v>7</v>
      </c>
      <c r="X44" s="12">
        <v>0</v>
      </c>
      <c r="Y44" s="2">
        <f ca="1">IFERROR(__xludf.DUMMYFUNCTION("INDEX(IMPORTRANGE(""1y0FWgjbB0gVlqn-q5LMJbGIsqOrzru4yowQz67dz2yc"", ""'ESC'!AM3:AM139""),MATCH(D44,IMPORTRANGE(""1y0FWgjbB0gVlqn-q5LMJbGIsqOrzru4yowQz67dz2yc"", ""'ESC'!D3:D139""),0))"),1)</f>
        <v>1</v>
      </c>
      <c r="Z44" s="1"/>
      <c r="AA44" s="1"/>
      <c r="AB44" s="1"/>
      <c r="AC44" s="1"/>
      <c r="AD44" s="1"/>
    </row>
    <row r="45" spans="1:30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2"/>
      <c r="G45" s="11">
        <v>44469</v>
      </c>
      <c r="H45" s="11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150</v>
      </c>
      <c r="Q45" s="30" t="s">
        <v>150</v>
      </c>
      <c r="R45" s="1" t="s">
        <v>151</v>
      </c>
      <c r="S45" s="1" t="s">
        <v>151</v>
      </c>
      <c r="T45" s="1" t="s">
        <v>151</v>
      </c>
      <c r="U45" s="1" t="s">
        <v>151</v>
      </c>
      <c r="V45" s="1" t="s">
        <v>151</v>
      </c>
      <c r="W45" s="1" t="s">
        <v>151</v>
      </c>
      <c r="X45" s="2" t="s">
        <v>153</v>
      </c>
      <c r="Y45" s="2" t="str">
        <f ca="1">IFERROR(__xludf.DUMMYFUNCTION("INDEX(IMPORTRANGE(""1y0FWgjbB0gVlqn-q5LMJbGIsqOrzru4yowQz67dz2yc"", ""'ESC'!AM3:AM139""),MATCH(D45,IMPORTRANGE(""1y0FWgjbB0gVlqn-q5LMJbGIsqOrzru4yowQz67dz2yc"", ""'ESC'!D3:D139""),0))"),"Sí")</f>
        <v>Sí</v>
      </c>
      <c r="Z45" s="1"/>
      <c r="AA45" s="1"/>
      <c r="AB45" s="1"/>
      <c r="AC45" s="1"/>
      <c r="AD45" s="1"/>
    </row>
    <row r="46" spans="1:30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2"/>
      <c r="G46" s="11">
        <v>44469</v>
      </c>
      <c r="H46" s="11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150</v>
      </c>
      <c r="Q46" s="2" t="s">
        <v>150</v>
      </c>
      <c r="R46" s="1" t="s">
        <v>151</v>
      </c>
      <c r="S46" s="1" t="s">
        <v>151</v>
      </c>
      <c r="T46" s="1" t="s">
        <v>151</v>
      </c>
      <c r="U46" s="1" t="s">
        <v>151</v>
      </c>
      <c r="V46" s="1" t="s">
        <v>151</v>
      </c>
      <c r="W46" s="1" t="s">
        <v>151</v>
      </c>
      <c r="X46" s="2" t="s">
        <v>153</v>
      </c>
      <c r="Y46" s="2" t="str">
        <f ca="1">IFERROR(__xludf.DUMMYFUNCTION("INDEX(IMPORTRANGE(""1y0FWgjbB0gVlqn-q5LMJbGIsqOrzru4yowQz67dz2yc"", ""'ESC'!AM3:AM139""),MATCH(D46,IMPORTRANGE(""1y0FWgjbB0gVlqn-q5LMJbGIsqOrzru4yowQz67dz2yc"", ""'ESC'!D3:D139""),0))"),"Sí")</f>
        <v>Sí</v>
      </c>
      <c r="Z46" s="1"/>
      <c r="AA46" s="1"/>
      <c r="AB46" s="1"/>
      <c r="AC46" s="1"/>
      <c r="AD46" s="1"/>
    </row>
    <row r="47" spans="1:30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2"/>
      <c r="G47" s="11">
        <v>44469</v>
      </c>
      <c r="H47" s="11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418</v>
      </c>
      <c r="Q47" s="2" t="s">
        <v>418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153</v>
      </c>
      <c r="Y47" s="2" t="str">
        <f ca="1">IFERROR(__xludf.DUMMYFUNCTION("INDEX(IMPORTRANGE(""1y0FWgjbB0gVlqn-q5LMJbGIsqOrzru4yowQz67dz2yc"", ""'ESC'!AM3:AM139""),MATCH(D47,IMPORTRANGE(""1y0FWgjbB0gVlqn-q5LMJbGIsqOrzru4yowQz67dz2yc"", ""'ESC'!D3:D139""),0))"),"Sí")</f>
        <v>Sí</v>
      </c>
      <c r="Z47" s="1"/>
      <c r="AA47" s="1"/>
      <c r="AB47" s="1"/>
      <c r="AC47" s="1"/>
      <c r="AD47" s="1"/>
    </row>
    <row r="48" spans="1:30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2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>
        <f t="shared" ref="P48:Q48" si="9">COUNTIF(P45:P47,"Sí")*(1/3)</f>
        <v>0.33333333333333331</v>
      </c>
      <c r="Q48" s="30">
        <f t="shared" si="9"/>
        <v>0.33333333333333331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30">
        <f>COUNTIF(X45:X47,"Sí")*(1/3)</f>
        <v>1</v>
      </c>
      <c r="Y48" s="2">
        <f ca="1">IFERROR(__xludf.DUMMYFUNCTION("INDEX(IMPORTRANGE(""1y0FWgjbB0gVlqn-q5LMJbGIsqOrzru4yowQz67dz2yc"", ""'ESC'!AM3:AM139""),MATCH(D48,IMPORTRANGE(""1y0FWgjbB0gVlqn-q5LMJbGIsqOrzru4yowQz67dz2yc"", ""'ESC'!D3:D139""),0))"),1)</f>
        <v>1</v>
      </c>
      <c r="Z48" s="1"/>
      <c r="AA48" s="1"/>
      <c r="AB48" s="1"/>
      <c r="AC48" s="1"/>
      <c r="AD48" s="1"/>
    </row>
    <row r="49" spans="1:30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2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0</v>
      </c>
      <c r="Q49" s="12">
        <v>0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12">
        <v>0</v>
      </c>
      <c r="Y49" s="2">
        <f ca="1">IFERROR(__xludf.DUMMYFUNCTION("INDEX(IMPORTRANGE(""1y0FWgjbB0gVlqn-q5LMJbGIsqOrzru4yowQz67dz2yc"", ""'ESC'!AM3:AM139""),MATCH(D49,IMPORTRANGE(""1y0FWgjbB0gVlqn-q5LMJbGIsqOrzru4yowQz67dz2yc"", ""'ESC'!D3:D139""),0))"),1)</f>
        <v>1</v>
      </c>
      <c r="Z49" s="1"/>
      <c r="AA49" s="1"/>
      <c r="AB49" s="1"/>
      <c r="AC49" s="1"/>
      <c r="AD49" s="1"/>
    </row>
    <row r="50" spans="1:30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2" t="s">
        <v>163</v>
      </c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2</v>
      </c>
      <c r="Q50" s="12">
        <v>2</v>
      </c>
      <c r="R50" s="181"/>
      <c r="S50" s="181"/>
      <c r="T50" s="181"/>
      <c r="U50" s="181"/>
      <c r="V50" s="181"/>
      <c r="W50" s="181"/>
      <c r="X50" s="12">
        <v>3</v>
      </c>
      <c r="Y50" s="2">
        <f ca="1">IFERROR(__xludf.DUMMYFUNCTION("INDEX(IMPORTRANGE(""1y0FWgjbB0gVlqn-q5LMJbGIsqOrzru4yowQz67dz2yc"", ""'ESC'!AM3:AM139""),MATCH(D50,IMPORTRANGE(""1y0FWgjbB0gVlqn-q5LMJbGIsqOrzru4yowQz67dz2yc"", ""'ESC'!D3:D139""),0))"),3)</f>
        <v>3</v>
      </c>
      <c r="Z50" s="1"/>
      <c r="AA50" s="1"/>
      <c r="AB50" s="1"/>
      <c r="AC50" s="1"/>
      <c r="AD50" s="1"/>
    </row>
    <row r="51" spans="1:30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2" t="s">
        <v>165</v>
      </c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1</v>
      </c>
      <c r="Q51" s="12">
        <v>1</v>
      </c>
      <c r="R51" s="181"/>
      <c r="S51" s="181"/>
      <c r="T51" s="181"/>
      <c r="U51" s="181"/>
      <c r="V51" s="181"/>
      <c r="W51" s="181"/>
      <c r="X51" s="12">
        <v>2</v>
      </c>
      <c r="Y51" s="2">
        <f ca="1">IFERROR(__xludf.DUMMYFUNCTION("INDEX(IMPORTRANGE(""1y0FWgjbB0gVlqn-q5LMJbGIsqOrzru4yowQz67dz2yc"", ""'ESC'!AM3:AM139""),MATCH(D51,IMPORTRANGE(""1y0FWgjbB0gVlqn-q5LMJbGIsqOrzru4yowQz67dz2yc"", ""'ESC'!D3:D139""),0))"),1)</f>
        <v>1</v>
      </c>
      <c r="Z51" s="1"/>
      <c r="AA51" s="1"/>
      <c r="AB51" s="1"/>
      <c r="AC51" s="1"/>
      <c r="AD51" s="1"/>
    </row>
    <row r="52" spans="1:30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2" t="s">
        <v>167</v>
      </c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5">
        <f t="shared" ref="P52:Q52" si="10">P51/P50</f>
        <v>0.5</v>
      </c>
      <c r="Q52" s="15">
        <f t="shared" si="10"/>
        <v>0.5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5">
        <f>X51/X50</f>
        <v>0.66666666666666663</v>
      </c>
      <c r="Y52" s="2">
        <f ca="1">IFERROR(__xludf.DUMMYFUNCTION("INDEX(IMPORTRANGE(""1y0FWgjbB0gVlqn-q5LMJbGIsqOrzru4yowQz67dz2yc"", ""'ESC'!AM3:AM139""),MATCH(D52,IMPORTRANGE(""1y0FWgjbB0gVlqn-q5LMJbGIsqOrzru4yowQz67dz2yc"", ""'ESC'!D3:D139""),0))"),0.333333333333333)</f>
        <v>0.33333333333333298</v>
      </c>
      <c r="Z52" s="1"/>
      <c r="AA52" s="1"/>
      <c r="AB52" s="1"/>
      <c r="AC52" s="1"/>
      <c r="AD52" s="1"/>
    </row>
    <row r="53" spans="1:30">
      <c r="A53" s="7" t="s">
        <v>147</v>
      </c>
      <c r="B53" s="7" t="s">
        <v>168</v>
      </c>
      <c r="C53" s="1" t="s">
        <v>30</v>
      </c>
      <c r="D53" s="7" t="s">
        <v>169</v>
      </c>
      <c r="E53" s="7" t="s">
        <v>38</v>
      </c>
      <c r="F53" s="2" t="s">
        <v>170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33067</v>
      </c>
      <c r="Q53" s="12">
        <v>33067</v>
      </c>
      <c r="R53" s="181"/>
      <c r="S53" s="181"/>
      <c r="T53" s="181"/>
      <c r="U53" s="181"/>
      <c r="V53" s="181"/>
      <c r="W53" s="181"/>
      <c r="X53" s="12">
        <v>33067</v>
      </c>
      <c r="Y53" s="12">
        <f ca="1">IFERROR(__xludf.DUMMYFUNCTION("INDEX(IMPORTRANGE(""1y0FWgjbB0gVlqn-q5LMJbGIsqOrzru4yowQz67dz2yc"", ""'ESC'!AM3:AM139""),MATCH(D53,IMPORTRANGE(""1y0FWgjbB0gVlqn-q5LMJbGIsqOrzru4yowQz67dz2yc"", ""'ESC'!D3:D139""),0))"),33118)</f>
        <v>33118</v>
      </c>
      <c r="Z53" s="1"/>
      <c r="AA53" s="1"/>
      <c r="AB53" s="1"/>
      <c r="AC53" s="1"/>
      <c r="AD53" s="1"/>
    </row>
    <row r="54" spans="1:30">
      <c r="A54" s="7" t="s">
        <v>147</v>
      </c>
      <c r="B54" s="7" t="s">
        <v>168</v>
      </c>
      <c r="C54" s="1" t="s">
        <v>30</v>
      </c>
      <c r="D54" s="7" t="s">
        <v>171</v>
      </c>
      <c r="E54" s="7" t="s">
        <v>38</v>
      </c>
      <c r="F54" s="2" t="s">
        <v>172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33097</v>
      </c>
      <c r="Q54" s="12">
        <v>33097</v>
      </c>
      <c r="R54" s="181"/>
      <c r="S54" s="181"/>
      <c r="T54" s="181"/>
      <c r="U54" s="181"/>
      <c r="V54" s="181"/>
      <c r="W54" s="181"/>
      <c r="X54" s="12">
        <v>33097</v>
      </c>
      <c r="Y54" s="12">
        <f ca="1">IFERROR(__xludf.DUMMYFUNCTION("INDEX(IMPORTRANGE(""1y0FWgjbB0gVlqn-q5LMJbGIsqOrzru4yowQz67dz2yc"", ""'ESC'!AM3:AM139""),MATCH(D54,IMPORTRANGE(""1y0FWgjbB0gVlqn-q5LMJbGIsqOrzru4yowQz67dz2yc"", ""'ESC'!D3:D139""),0))"),33158)</f>
        <v>33158</v>
      </c>
      <c r="Z54" s="1"/>
      <c r="AA54" s="1"/>
      <c r="AB54" s="1"/>
      <c r="AC54" s="1"/>
      <c r="AD54" s="1"/>
    </row>
    <row r="55" spans="1:30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2" t="s">
        <v>174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1">P53/P54</f>
        <v>0.99909357343565885</v>
      </c>
      <c r="Q55" s="15">
        <f t="shared" si="11"/>
        <v>0.99909357343565885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X53/X54</f>
        <v>0.99909357343565885</v>
      </c>
      <c r="Y55" s="15">
        <f ca="1">IFERROR(__xludf.DUMMYFUNCTION("INDEX(IMPORTRANGE(""1y0FWgjbB0gVlqn-q5LMJbGIsqOrzru4yowQz67dz2yc"", ""'ESC'!AM3:AM139""),MATCH(D55,IMPORTRANGE(""1y0FWgjbB0gVlqn-q5LMJbGIsqOrzru4yowQz67dz2yc"", ""'ESC'!D3:D139""),0))"),0.998793654623318)</f>
        <v>0.99879365462331804</v>
      </c>
      <c r="Z55" s="1"/>
      <c r="AA55" s="1"/>
      <c r="AB55" s="1"/>
      <c r="AC55" s="1"/>
      <c r="AD55" s="1"/>
    </row>
    <row r="56" spans="1:30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2" t="s">
        <v>176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138494</v>
      </c>
      <c r="Q56" s="12">
        <v>138494</v>
      </c>
      <c r="R56" s="181"/>
      <c r="S56" s="181"/>
      <c r="T56" s="181"/>
      <c r="U56" s="181"/>
      <c r="V56" s="181"/>
      <c r="W56" s="181"/>
      <c r="X56" s="12">
        <v>138494</v>
      </c>
      <c r="Y56" s="12">
        <f ca="1">IFERROR(__xludf.DUMMYFUNCTION("INDEX(IMPORTRANGE(""1y0FWgjbB0gVlqn-q5LMJbGIsqOrzru4yowQz67dz2yc"", ""'ESC'!AM3:AM139""),MATCH(D56,IMPORTRANGE(""1y0FWgjbB0gVlqn-q5LMJbGIsqOrzru4yowQz67dz2yc"", ""'ESC'!D3:D139""),0))"),144464)</f>
        <v>144464</v>
      </c>
      <c r="Z56" s="1"/>
      <c r="AA56" s="1"/>
      <c r="AB56" s="1"/>
      <c r="AC56" s="1"/>
      <c r="AD56" s="1"/>
    </row>
    <row r="57" spans="1:30">
      <c r="A57" s="7" t="s">
        <v>147</v>
      </c>
      <c r="B57" s="7" t="s">
        <v>168</v>
      </c>
      <c r="C57" s="1" t="s">
        <v>36</v>
      </c>
      <c r="D57" s="7" t="s">
        <v>177</v>
      </c>
      <c r="E57" s="7" t="s">
        <v>38</v>
      </c>
      <c r="F57" s="2" t="s">
        <v>178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2">P56/P35</f>
        <v>1</v>
      </c>
      <c r="Q57" s="15">
        <f t="shared" si="12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26">
        <f>X56/X35</f>
        <v>1</v>
      </c>
      <c r="Y57" s="15">
        <f ca="1">IFERROR(__xludf.DUMMYFUNCTION("INDEX(IMPORTRANGE(""1y0FWgjbB0gVlqn-q5LMJbGIsqOrzru4yowQz67dz2yc"", ""'ESC'!AM3:AM139""),MATCH(D57,IMPORTRANGE(""1y0FWgjbB0gVlqn-q5LMJbGIsqOrzru4yowQz67dz2yc"", ""'ESC'!D3:D139""),0))"),0.80985749683264)</f>
        <v>0.80985749683263997</v>
      </c>
      <c r="Z57" s="1"/>
      <c r="AA57" s="1"/>
      <c r="AB57" s="1"/>
      <c r="AC57" s="1"/>
      <c r="AD57" s="1"/>
    </row>
    <row r="58" spans="1:30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2" t="s">
        <v>180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23">
        <v>8356776.6900000004</v>
      </c>
      <c r="Q58" s="23">
        <v>8356776.6900000004</v>
      </c>
      <c r="R58" s="181"/>
      <c r="S58" s="181"/>
      <c r="T58" s="181"/>
      <c r="U58" s="181"/>
      <c r="V58" s="181"/>
      <c r="W58" s="181"/>
      <c r="X58" s="23">
        <v>8356776.6900000004</v>
      </c>
      <c r="Y58" s="23">
        <f ca="1">IFERROR(__xludf.DUMMYFUNCTION("INDEX(IMPORTRANGE(""1y0FWgjbB0gVlqn-q5LMJbGIsqOrzru4yowQz67dz2yc"", ""'ESC'!AM3:AM139""),MATCH(D58,IMPORTRANGE(""1y0FWgjbB0gVlqn-q5LMJbGIsqOrzru4yowQz67dz2yc"", ""'ESC'!D3:D139""),0))"),8412306.69)</f>
        <v>8412306.6899999995</v>
      </c>
      <c r="Z58" s="1"/>
      <c r="AA58" s="1"/>
      <c r="AB58" s="1"/>
      <c r="AC58" s="1"/>
      <c r="AD58" s="1"/>
    </row>
    <row r="59" spans="1:30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2" t="s">
        <v>182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23">
        <v>9334019.4000000004</v>
      </c>
      <c r="Q59" s="23">
        <v>9334019.4000000004</v>
      </c>
      <c r="R59" s="181"/>
      <c r="S59" s="181"/>
      <c r="T59" s="181"/>
      <c r="U59" s="181"/>
      <c r="V59" s="181"/>
      <c r="W59" s="181"/>
      <c r="X59" s="23">
        <v>9334019.4000000004</v>
      </c>
      <c r="Y59" s="23">
        <f ca="1">IFERROR(__xludf.DUMMYFUNCTION("INDEX(IMPORTRANGE(""1y0FWgjbB0gVlqn-q5LMJbGIsqOrzru4yowQz67dz2yc"", ""'ESC'!AM3:AM139""),MATCH(D59,IMPORTRANGE(""1y0FWgjbB0gVlqn-q5LMJbGIsqOrzru4yowQz67dz2yc"", ""'ESC'!D3:D139""),0))"),9334019.38999999)</f>
        <v>9334019.3899999894</v>
      </c>
      <c r="Z59" s="1"/>
      <c r="AA59" s="1"/>
      <c r="AB59" s="1"/>
      <c r="AC59" s="1"/>
      <c r="AD59" s="1"/>
    </row>
    <row r="60" spans="1:30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9" t="s">
        <v>184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3">P58/P59</f>
        <v>0.89530311989709388</v>
      </c>
      <c r="Q60" s="15">
        <f t="shared" si="13"/>
        <v>0.89530311989709388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0.89530311989709388</v>
      </c>
      <c r="Y60" s="26">
        <f ca="1">IFERROR(__xludf.DUMMYFUNCTION("INDEX(IMPORTRANGE(""1y0FWgjbB0gVlqn-q5LMJbGIsqOrzru4yowQz67dz2yc"", ""'ESC'!AM3:AM139""),MATCH(D60,IMPORTRANGE(""1y0FWgjbB0gVlqn-q5LMJbGIsqOrzru4yowQz67dz2yc"", ""'ESC'!D3:D139""),0))"),0.901252326410691)</f>
        <v>0.90125232641069097</v>
      </c>
      <c r="Z60" s="1"/>
      <c r="AA60" s="1"/>
      <c r="AB60" s="1"/>
      <c r="AC60" s="1"/>
      <c r="AD60" s="1"/>
    </row>
    <row r="61" spans="1:30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9" t="s">
        <v>186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23">
        <v>39992.800000000003</v>
      </c>
      <c r="Q61" s="23">
        <v>39992.800000000003</v>
      </c>
      <c r="R61" s="181"/>
      <c r="S61" s="181"/>
      <c r="T61" s="181"/>
      <c r="U61" s="181"/>
      <c r="V61" s="181"/>
      <c r="W61" s="181"/>
      <c r="X61" s="23">
        <v>39992.800000000003</v>
      </c>
      <c r="Y61" s="23">
        <f ca="1">IFERROR(__xludf.DUMMYFUNCTION("INDEX(IMPORTRANGE(""1y0FWgjbB0gVlqn-q5LMJbGIsqOrzru4yowQz67dz2yc"", ""'ESC'!AM3:AM139""),MATCH(D61,IMPORTRANGE(""1y0FWgjbB0gVlqn-q5LMJbGIsqOrzru4yowQz67dz2yc"", ""'ESC'!D3:D139""),0))"),41172.03)</f>
        <v>41172.03</v>
      </c>
      <c r="Z61" s="1"/>
      <c r="AA61" s="1"/>
      <c r="AB61" s="1"/>
      <c r="AC61" s="1"/>
      <c r="AD61" s="1"/>
    </row>
    <row r="62" spans="1:30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9" t="s">
        <v>188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23">
        <v>44787</v>
      </c>
      <c r="Q62" s="23">
        <v>44787</v>
      </c>
      <c r="R62" s="181"/>
      <c r="S62" s="181"/>
      <c r="T62" s="181"/>
      <c r="U62" s="181"/>
      <c r="V62" s="181"/>
      <c r="W62" s="181"/>
      <c r="X62" s="23">
        <v>44787</v>
      </c>
      <c r="Y62" s="23">
        <f ca="1">IFERROR(__xludf.DUMMYFUNCTION("INDEX(IMPORTRANGE(""1y0FWgjbB0gVlqn-q5LMJbGIsqOrzru4yowQz67dz2yc"", ""'ESC'!AM3:AM139""),MATCH(D62,IMPORTRANGE(""1y0FWgjbB0gVlqn-q5LMJbGIsqOrzru4yowQz67dz2yc"", ""'ESC'!D3:D139""),0))"),44787)</f>
        <v>44787</v>
      </c>
      <c r="Z62" s="1"/>
      <c r="AA62" s="1"/>
      <c r="AB62" s="1"/>
      <c r="AC62" s="1"/>
      <c r="AD62" s="1"/>
    </row>
    <row r="63" spans="1:30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9" t="s">
        <v>190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4">P61/P62</f>
        <v>0.89295554513586539</v>
      </c>
      <c r="Q63" s="15">
        <f t="shared" si="14"/>
        <v>0.89295554513586539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0.89295554513586539</v>
      </c>
      <c r="Y63" s="15">
        <f ca="1">IFERROR(__xludf.DUMMYFUNCTION("INDEX(IMPORTRANGE(""1y0FWgjbB0gVlqn-q5LMJbGIsqOrzru4yowQz67dz2yc"", ""'ESC'!AM3:AM139""),MATCH(D63,IMPORTRANGE(""1y0FWgjbB0gVlqn-q5LMJbGIsqOrzru4yowQz67dz2yc"", ""'ESC'!D3:D139""),0))"),0.919285283676066)</f>
        <v>0.91928528367606599</v>
      </c>
      <c r="Z63" s="1"/>
      <c r="AA63" s="1"/>
      <c r="AB63" s="1"/>
      <c r="AC63" s="1"/>
      <c r="AD63" s="1"/>
    </row>
    <row r="64" spans="1:30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9" t="s">
        <v>192</v>
      </c>
      <c r="G64" s="2" t="s">
        <v>56</v>
      </c>
      <c r="H64" s="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12">
        <v>0</v>
      </c>
      <c r="Q64" s="12">
        <v>0</v>
      </c>
      <c r="R64" s="181"/>
      <c r="S64" s="181"/>
      <c r="T64" s="181"/>
      <c r="U64" s="181"/>
      <c r="V64" s="181"/>
      <c r="W64" s="181"/>
      <c r="X64" s="12">
        <v>0</v>
      </c>
      <c r="Y64" s="2">
        <f ca="1">IFERROR(__xludf.DUMMYFUNCTION("INDEX(IMPORTRANGE(""1y0FWgjbB0gVlqn-q5LMJbGIsqOrzru4yowQz67dz2yc"", ""'ESC'!AM3:AM139""),MATCH(D64,IMPORTRANGE(""1y0FWgjbB0gVlqn-q5LMJbGIsqOrzru4yowQz67dz2yc"", ""'ESC'!D3:D139""),0))"),2.6)</f>
        <v>2.6</v>
      </c>
      <c r="Z64" s="1"/>
      <c r="AA64" s="1"/>
      <c r="AB64" s="1"/>
      <c r="AC64" s="1"/>
      <c r="AD64" s="1"/>
    </row>
    <row r="65" spans="1:30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9" t="s">
        <v>194</v>
      </c>
      <c r="G65" s="2" t="s">
        <v>56</v>
      </c>
      <c r="H65" s="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12">
        <v>0</v>
      </c>
      <c r="Q65" s="12">
        <v>0</v>
      </c>
      <c r="R65" s="181"/>
      <c r="S65" s="181"/>
      <c r="T65" s="181"/>
      <c r="U65" s="181"/>
      <c r="V65" s="181"/>
      <c r="W65" s="181"/>
      <c r="X65" s="12">
        <v>0</v>
      </c>
      <c r="Y65" s="2">
        <f ca="1">IFERROR(__xludf.DUMMYFUNCTION("INDEX(IMPORTRANGE(""1y0FWgjbB0gVlqn-q5LMJbGIsqOrzru4yowQz67dz2yc"", ""'ESC'!AM3:AM139""),MATCH(D65,IMPORTRANGE(""1y0FWgjbB0gVlqn-q5LMJbGIsqOrzru4yowQz67dz2yc"", ""'ESC'!D3:D139""),0))"),14.7)</f>
        <v>14.7</v>
      </c>
      <c r="Z65" s="1"/>
      <c r="AA65" s="1"/>
      <c r="AB65" s="1"/>
      <c r="AC65" s="1"/>
      <c r="AD65" s="1"/>
    </row>
    <row r="66" spans="1:30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9" t="s">
        <v>196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 t="s">
        <v>150</v>
      </c>
      <c r="Q66" s="12" t="s">
        <v>150</v>
      </c>
      <c r="R66" s="181"/>
      <c r="S66" s="181"/>
      <c r="T66" s="181"/>
      <c r="U66" s="181"/>
      <c r="V66" s="181"/>
      <c r="W66" s="181"/>
      <c r="X66" s="12" t="s">
        <v>150</v>
      </c>
      <c r="Y66" s="2" t="str">
        <f ca="1">IFERROR(__xludf.DUMMYFUNCTION("INDEX(IMPORTRANGE(""1y0FWgjbB0gVlqn-q5LMJbGIsqOrzru4yowQz67dz2yc"", ""'ESC'!AM3:AM139""),MATCH(D66,IMPORTRANGE(""1y0FWgjbB0gVlqn-q5LMJbGIsqOrzru4yowQz67dz2yc"", ""'ESC'!D3:D139""),0))"),"")</f>
        <v/>
      </c>
      <c r="Z66" s="1"/>
      <c r="AA66" s="1"/>
      <c r="AB66" s="1"/>
      <c r="AC66" s="1"/>
      <c r="AD66" s="1"/>
    </row>
    <row r="67" spans="1:30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9" t="s">
        <v>198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f>P64+P65</f>
        <v>0</v>
      </c>
      <c r="Q67" s="23">
        <v>0</v>
      </c>
      <c r="R67" s="2">
        <v>7.7</v>
      </c>
      <c r="S67" s="2">
        <v>3.9</v>
      </c>
      <c r="T67" s="2">
        <v>7.7</v>
      </c>
      <c r="U67" s="2">
        <v>3.9</v>
      </c>
      <c r="V67" s="2">
        <v>7.7</v>
      </c>
      <c r="W67" s="2">
        <v>23.2</v>
      </c>
      <c r="X67" s="23">
        <v>0</v>
      </c>
      <c r="Y67" s="23">
        <f ca="1">IFERROR(__xludf.DUMMYFUNCTION("INDEX(IMPORTRANGE(""1y0FWgjbB0gVlqn-q5LMJbGIsqOrzru4yowQz67dz2yc"", ""'ESC'!AM3:AM139""),MATCH(D67,IMPORTRANGE(""1y0FWgjbB0gVlqn-q5LMJbGIsqOrzru4yowQz67dz2yc"", ""'ESC'!D3:D139""),0))"),17.3)</f>
        <v>17.3</v>
      </c>
      <c r="Z67" s="1"/>
      <c r="AA67" s="1"/>
      <c r="AB67" s="1"/>
      <c r="AC67" s="1"/>
      <c r="AD67" s="1"/>
    </row>
    <row r="68" spans="1:30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9" t="s">
        <v>202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">
        <v>5.04</v>
      </c>
      <c r="Q68" s="2">
        <v>5.04</v>
      </c>
      <c r="R68" s="2">
        <v>6.4720000000000004</v>
      </c>
      <c r="S68" s="2">
        <v>7.9039999999999999</v>
      </c>
      <c r="T68" s="2">
        <v>9.3360000000000003</v>
      </c>
      <c r="U68" s="2">
        <v>10.768000000000001</v>
      </c>
      <c r="V68" s="2">
        <v>12.2</v>
      </c>
      <c r="W68" s="2">
        <v>12.2</v>
      </c>
      <c r="X68" s="2">
        <v>5.04</v>
      </c>
      <c r="Y68" s="23">
        <f ca="1">IFERROR(__xludf.DUMMYFUNCTION("INDEX(IMPORTRANGE(""1y0FWgjbB0gVlqn-q5LMJbGIsqOrzru4yowQz67dz2yc"", ""'ESC'!AM3:AM139""),MATCH(D68,IMPORTRANGE(""1y0FWgjbB0gVlqn-q5LMJbGIsqOrzru4yowQz67dz2yc"", ""'ESC'!D3:D139""),0))"),3.88)</f>
        <v>3.88</v>
      </c>
      <c r="Z68" s="1"/>
      <c r="AA68" s="1"/>
      <c r="AB68" s="1"/>
      <c r="AC68" s="1"/>
      <c r="AD68" s="1"/>
    </row>
    <row r="69" spans="1:30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9" t="s">
        <v>204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250"/>
      <c r="S69" s="250"/>
      <c r="T69" s="250"/>
      <c r="U69" s="250"/>
      <c r="V69" s="250"/>
      <c r="W69" s="250"/>
      <c r="X69" s="2">
        <v>0</v>
      </c>
      <c r="Y69" s="23">
        <f ca="1">IFERROR(__xludf.DUMMYFUNCTION("INDEX(IMPORTRANGE(""1y0FWgjbB0gVlqn-q5LMJbGIsqOrzru4yowQz67dz2yc"", ""'ESC'!AM3:AM139""),MATCH(D69,IMPORTRANGE(""1y0FWgjbB0gVlqn-q5LMJbGIsqOrzru4yowQz67dz2yc"", ""'ESC'!D3:D139""),0))"),0)</f>
        <v>0</v>
      </c>
      <c r="Z69" s="1"/>
      <c r="AA69" s="1"/>
      <c r="AB69" s="1"/>
      <c r="AC69" s="1"/>
      <c r="AD69" s="1"/>
    </row>
    <row r="70" spans="1:30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250"/>
      <c r="S70" s="250"/>
      <c r="T70" s="250"/>
      <c r="U70" s="250"/>
      <c r="V70" s="250"/>
      <c r="W70" s="250"/>
      <c r="X70" s="2">
        <v>0</v>
      </c>
      <c r="Y70" s="23">
        <f ca="1">IFERROR(__xludf.DUMMYFUNCTION("INDEX(IMPORTRANGE(""1y0FWgjbB0gVlqn-q5LMJbGIsqOrzru4yowQz67dz2yc"", ""'ESC'!AM3:AM139""),MATCH(D70,IMPORTRANGE(""1y0FWgjbB0gVlqn-q5LMJbGIsqOrzru4yowQz67dz2yc"", ""'ESC'!D3:D139""),0))"),26000)</f>
        <v>26000</v>
      </c>
      <c r="Z70" s="255"/>
      <c r="AA70" s="1"/>
      <c r="AB70" s="1"/>
      <c r="AC70" s="1"/>
      <c r="AD70" s="1"/>
    </row>
    <row r="71" spans="1:30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" t="s">
        <v>56</v>
      </c>
      <c r="H71" s="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250"/>
      <c r="S71" s="250"/>
      <c r="T71" s="250"/>
      <c r="U71" s="250"/>
      <c r="V71" s="250"/>
      <c r="W71" s="250"/>
      <c r="X71" s="2">
        <v>0</v>
      </c>
      <c r="Y71" s="23">
        <f ca="1">IFERROR(__xludf.DUMMYFUNCTION("INDEX(IMPORTRANGE(""1y0FWgjbB0gVlqn-q5LMJbGIsqOrzru4yowQz67dz2yc"", ""'ESC'!AM3:AM139""),MATCH(D71,IMPORTRANGE(""1y0FWgjbB0gVlqn-q5LMJbGIsqOrzru4yowQz67dz2yc"", ""'ESC'!D3:D139""),0))"),0)</f>
        <v>0</v>
      </c>
      <c r="Z71" s="1"/>
      <c r="AA71" s="1"/>
      <c r="AB71" s="1"/>
      <c r="AC71" s="1"/>
      <c r="AD71" s="1"/>
    </row>
    <row r="72" spans="1:30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256">
        <v>25000</v>
      </c>
      <c r="S72" s="256">
        <v>12500</v>
      </c>
      <c r="T72" s="256">
        <v>25000</v>
      </c>
      <c r="U72" s="256">
        <v>12500</v>
      </c>
      <c r="V72" s="256">
        <v>25000</v>
      </c>
      <c r="W72" s="256">
        <v>75000</v>
      </c>
      <c r="X72" s="2">
        <v>0</v>
      </c>
      <c r="Y72" s="23">
        <f ca="1">IFERROR(__xludf.DUMMYFUNCTION("INDEX(IMPORTRANGE(""1y0FWgjbB0gVlqn-q5LMJbGIsqOrzru4yowQz67dz2yc"", ""'ESC'!AM3:AM139""),MATCH(D72,IMPORTRANGE(""1y0FWgjbB0gVlqn-q5LMJbGIsqOrzru4yowQz67dz2yc"", ""'ESC'!D3:D139""),0))"),26000)</f>
        <v>26000</v>
      </c>
      <c r="Z72" s="1"/>
      <c r="AA72" s="1"/>
      <c r="AB72" s="1"/>
      <c r="AC72" s="1"/>
      <c r="AD72" s="1"/>
    </row>
    <row r="73" spans="1:30">
      <c r="A73" s="7" t="s">
        <v>199</v>
      </c>
      <c r="B73" s="7" t="s">
        <v>200</v>
      </c>
      <c r="C73" s="1" t="s">
        <v>30</v>
      </c>
      <c r="D73" s="7" t="s">
        <v>211</v>
      </c>
      <c r="E73" s="7" t="s">
        <v>38</v>
      </c>
      <c r="F73" s="9" t="s">
        <v>212</v>
      </c>
      <c r="G73" s="7" t="s">
        <v>213</v>
      </c>
      <c r="H73" s="1" t="s">
        <v>214</v>
      </c>
      <c r="I73" s="7" t="s">
        <v>215</v>
      </c>
      <c r="J73" s="181"/>
      <c r="K73" s="7" t="s">
        <v>216</v>
      </c>
      <c r="L73" s="181"/>
      <c r="M73" s="7" t="s">
        <v>217</v>
      </c>
      <c r="N73" s="1" t="s">
        <v>218</v>
      </c>
      <c r="O73" s="1" t="s">
        <v>218</v>
      </c>
      <c r="P73" s="50">
        <v>67162250.939999998</v>
      </c>
      <c r="Q73" s="50">
        <v>67162250.939999998</v>
      </c>
      <c r="R73" s="181"/>
      <c r="S73" s="181"/>
      <c r="T73" s="181"/>
      <c r="U73" s="181"/>
      <c r="V73" s="181"/>
      <c r="W73" s="181"/>
      <c r="X73" s="50">
        <v>67162250.939999998</v>
      </c>
      <c r="Y73" s="184" t="str">
        <f ca="1">IFERROR(__xludf.DUMMYFUNCTION("INDEX(IMPORTRANGE(""1y0FWgjbB0gVlqn-q5LMJbGIsqOrzru4yowQz67dz2yc"", ""'ESC'!AM3:AM139""),MATCH(D73,IMPORTRANGE(""1y0FWgjbB0gVlqn-q5LMJbGIsqOrzru4yowQz67dz2yc"", ""'ESC'!D3:D139""),0))"),"")</f>
        <v/>
      </c>
      <c r="Z73" s="1"/>
      <c r="AA73" s="1"/>
      <c r="AB73" s="1"/>
      <c r="AC73" s="1"/>
      <c r="AD73" s="1"/>
    </row>
    <row r="74" spans="1:30">
      <c r="A74" s="7" t="s">
        <v>199</v>
      </c>
      <c r="B74" s="7" t="s">
        <v>200</v>
      </c>
      <c r="C74" s="1" t="s">
        <v>30</v>
      </c>
      <c r="D74" s="7" t="s">
        <v>219</v>
      </c>
      <c r="E74" s="7" t="s">
        <v>38</v>
      </c>
      <c r="F74" s="9" t="s">
        <v>220</v>
      </c>
      <c r="G74" s="7" t="s">
        <v>213</v>
      </c>
      <c r="H74" s="1" t="s">
        <v>214</v>
      </c>
      <c r="I74" s="7" t="s">
        <v>215</v>
      </c>
      <c r="J74" s="181"/>
      <c r="K74" s="7" t="s">
        <v>216</v>
      </c>
      <c r="L74" s="181"/>
      <c r="M74" s="7" t="s">
        <v>217</v>
      </c>
      <c r="N74" s="1" t="s">
        <v>218</v>
      </c>
      <c r="O74" s="1" t="s">
        <v>218</v>
      </c>
      <c r="P74" s="50">
        <v>1887769.8</v>
      </c>
      <c r="Q74" s="50">
        <v>1887769.8</v>
      </c>
      <c r="R74" s="181"/>
      <c r="S74" s="181"/>
      <c r="T74" s="181"/>
      <c r="U74" s="181"/>
      <c r="V74" s="181"/>
      <c r="W74" s="181"/>
      <c r="X74" s="50">
        <v>1887769.8</v>
      </c>
      <c r="Y74" s="184" t="str">
        <f ca="1">IFERROR(__xludf.DUMMYFUNCTION("INDEX(IMPORTRANGE(""1y0FWgjbB0gVlqn-q5LMJbGIsqOrzru4yowQz67dz2yc"", ""'ESC'!AM3:AM139""),MATCH(D74,IMPORTRANGE(""1y0FWgjbB0gVlqn-q5LMJbGIsqOrzru4yowQz67dz2yc"", ""'ESC'!D3:D139""),0))"),"")</f>
        <v/>
      </c>
      <c r="Z74" s="1"/>
      <c r="AA74" s="1"/>
      <c r="AB74" s="1"/>
      <c r="AC74" s="1"/>
      <c r="AD74" s="1"/>
    </row>
    <row r="75" spans="1:30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7" t="s">
        <v>213</v>
      </c>
      <c r="H75" s="1" t="s">
        <v>214</v>
      </c>
      <c r="I75" s="7" t="s">
        <v>215</v>
      </c>
      <c r="J75" s="181"/>
      <c r="K75" s="7" t="s">
        <v>216</v>
      </c>
      <c r="L75" s="181"/>
      <c r="M75" s="7" t="s">
        <v>217</v>
      </c>
      <c r="N75" s="1" t="s">
        <v>218</v>
      </c>
      <c r="O75" s="1" t="s">
        <v>218</v>
      </c>
      <c r="P75" s="15">
        <f t="shared" ref="P75:Q75" si="15">P74/P73</f>
        <v>2.8107601719401219E-2</v>
      </c>
      <c r="Q75" s="15">
        <f t="shared" si="15"/>
        <v>2.8107601719401219E-2</v>
      </c>
      <c r="R75" s="250"/>
      <c r="S75" s="250"/>
      <c r="T75" s="250"/>
      <c r="U75" s="250"/>
      <c r="V75" s="250"/>
      <c r="W75" s="250"/>
      <c r="X75" s="15">
        <f>X74/X73</f>
        <v>2.8107601719401219E-2</v>
      </c>
      <c r="Y75" s="179" t="str">
        <f ca="1">IFERROR(__xludf.DUMMYFUNCTION("INDEX(IMPORTRANGE(""1y0FWgjbB0gVlqn-q5LMJbGIsqOrzru4yowQz67dz2yc"", ""'ESC'!AM3:AM139""),MATCH(D75,IMPORTRANGE(""1y0FWgjbB0gVlqn-q5LMJbGIsqOrzru4yowQz67dz2yc"", ""'ESC'!D3:D139""),0))"),"")</f>
        <v/>
      </c>
      <c r="Z75" s="1"/>
      <c r="AA75" s="1"/>
      <c r="AB75" s="1"/>
      <c r="AC75" s="1"/>
      <c r="AD75" s="1"/>
    </row>
    <row r="76" spans="1:30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0</v>
      </c>
      <c r="Q76" s="12">
        <v>0</v>
      </c>
      <c r="R76" s="250"/>
      <c r="S76" s="250"/>
      <c r="T76" s="250"/>
      <c r="U76" s="250"/>
      <c r="V76" s="250"/>
      <c r="W76" s="250"/>
      <c r="X76" s="12">
        <v>0</v>
      </c>
      <c r="Y76" s="2">
        <f ca="1">IFERROR(__xludf.DUMMYFUNCTION("INDEX(IMPORTRANGE(""1y0FWgjbB0gVlqn-q5LMJbGIsqOrzru4yowQz67dz2yc"", ""'ESC'!AM3:AM139""),MATCH(D76,IMPORTRANGE(""1y0FWgjbB0gVlqn-q5LMJbGIsqOrzru4yowQz67dz2yc"", ""'ESC'!D3:D139""),0))"),0)</f>
        <v>0</v>
      </c>
      <c r="Z76" s="1"/>
      <c r="AA76" s="1"/>
      <c r="AB76" s="1"/>
      <c r="AC76" s="1"/>
      <c r="AD76" s="1"/>
    </row>
    <row r="77" spans="1:30">
      <c r="A77" s="7" t="s">
        <v>199</v>
      </c>
      <c r="B77" s="7" t="s">
        <v>200</v>
      </c>
      <c r="C77" s="1" t="s">
        <v>30</v>
      </c>
      <c r="D77" s="7" t="s">
        <v>225</v>
      </c>
      <c r="E77" s="7" t="s">
        <v>38</v>
      </c>
      <c r="F77" s="9" t="s">
        <v>182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0</v>
      </c>
      <c r="Q77" s="12">
        <v>0</v>
      </c>
      <c r="R77" s="250"/>
      <c r="S77" s="250"/>
      <c r="T77" s="250"/>
      <c r="U77" s="250"/>
      <c r="V77" s="250"/>
      <c r="W77" s="250"/>
      <c r="X77" s="12">
        <v>0</v>
      </c>
      <c r="Y77" s="2">
        <f ca="1">IFERROR(__xludf.DUMMYFUNCTION("INDEX(IMPORTRANGE(""1y0FWgjbB0gVlqn-q5LMJbGIsqOrzru4yowQz67dz2yc"", ""'ESC'!AM3:AM139""),MATCH(D77,IMPORTRANGE(""1y0FWgjbB0gVlqn-q5LMJbGIsqOrzru4yowQz67dz2yc"", ""'ESC'!D3:D139""),0))"),0)</f>
        <v>0</v>
      </c>
      <c r="Z77" s="1"/>
      <c r="AA77" s="1"/>
      <c r="AB77" s="1"/>
      <c r="AC77" s="1"/>
      <c r="AD77" s="1"/>
    </row>
    <row r="78" spans="1:30">
      <c r="A78" s="7" t="s">
        <v>199</v>
      </c>
      <c r="B78" s="7" t="s">
        <v>200</v>
      </c>
      <c r="C78" s="1" t="s">
        <v>36</v>
      </c>
      <c r="D78" s="7" t="s">
        <v>226</v>
      </c>
      <c r="E78" s="7" t="s">
        <v>38</v>
      </c>
      <c r="F78" s="9" t="s">
        <v>227</v>
      </c>
      <c r="G78" s="2" t="s">
        <v>56</v>
      </c>
      <c r="H78" s="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v>0</v>
      </c>
      <c r="Q78" s="12">
        <v>0</v>
      </c>
      <c r="R78" s="256">
        <v>3</v>
      </c>
      <c r="S78" s="256">
        <v>2</v>
      </c>
      <c r="T78" s="256">
        <v>4</v>
      </c>
      <c r="U78" s="256">
        <v>2</v>
      </c>
      <c r="V78" s="256">
        <v>4</v>
      </c>
      <c r="W78" s="256">
        <v>11</v>
      </c>
      <c r="X78" s="12">
        <v>0</v>
      </c>
      <c r="Y78" s="2">
        <f ca="1">IFERROR(__xludf.DUMMYFUNCTION("INDEX(IMPORTRANGE(""1y0FWgjbB0gVlqn-q5LMJbGIsqOrzru4yowQz67dz2yc"", ""'ESC'!AM3:AM139""),MATCH(D78,IMPORTRANGE(""1y0FWgjbB0gVlqn-q5LMJbGIsqOrzru4yowQz67dz2yc"", ""'ESC'!D3:D139""),0))"),0)</f>
        <v>0</v>
      </c>
      <c r="Z78" s="1"/>
      <c r="AA78" s="1"/>
      <c r="AB78" s="1"/>
      <c r="AC78" s="1"/>
      <c r="AD78" s="1"/>
    </row>
    <row r="79" spans="1:30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" t="s">
        <v>231</v>
      </c>
      <c r="H79" s="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69</v>
      </c>
      <c r="Q79" s="12">
        <v>94</v>
      </c>
      <c r="R79" s="181"/>
      <c r="S79" s="181"/>
      <c r="T79" s="181"/>
      <c r="U79" s="181"/>
      <c r="V79" s="181"/>
      <c r="W79" s="181"/>
      <c r="X79" s="12">
        <v>60</v>
      </c>
      <c r="Y79" s="2">
        <f ca="1">IFERROR(__xludf.DUMMYFUNCTION("INDEX(IMPORTRANGE(""1y0FWgjbB0gVlqn-q5LMJbGIsqOrzru4yowQz67dz2yc"", ""'ESC'!AM3:AM139""),MATCH(D79,IMPORTRANGE(""1y0FWgjbB0gVlqn-q5LMJbGIsqOrzru4yowQz67dz2yc"", ""'ESC'!D3:D139""),0))"),149)</f>
        <v>149</v>
      </c>
      <c r="Z79" s="1"/>
      <c r="AA79" s="1"/>
      <c r="AB79" s="1"/>
      <c r="AC79" s="1"/>
      <c r="AD79" s="1"/>
    </row>
    <row r="80" spans="1:30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" t="s">
        <v>231</v>
      </c>
      <c r="H80" s="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11</v>
      </c>
      <c r="Q80" s="12">
        <v>18</v>
      </c>
      <c r="R80" s="181"/>
      <c r="S80" s="181"/>
      <c r="T80" s="181"/>
      <c r="U80" s="181"/>
      <c r="V80" s="181"/>
      <c r="W80" s="181"/>
      <c r="X80" s="12">
        <v>11</v>
      </c>
      <c r="Y80" s="2">
        <f ca="1">IFERROR(__xludf.DUMMYFUNCTION("INDEX(IMPORTRANGE(""1y0FWgjbB0gVlqn-q5LMJbGIsqOrzru4yowQz67dz2yc"", ""'ESC'!AM3:AM139""),MATCH(D80,IMPORTRANGE(""1y0FWgjbB0gVlqn-q5LMJbGIsqOrzru4yowQz67dz2yc"", ""'ESC'!D3:D139""),0))"),33)</f>
        <v>33</v>
      </c>
      <c r="Z80" s="1"/>
      <c r="AA80" s="1"/>
      <c r="AB80" s="1"/>
      <c r="AC80" s="1"/>
      <c r="AD80" s="1"/>
    </row>
    <row r="81" spans="1:30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" t="s">
        <v>231</v>
      </c>
      <c r="H81" s="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1018</v>
      </c>
      <c r="Q81" s="12">
        <v>2197</v>
      </c>
      <c r="R81" s="181"/>
      <c r="S81" s="181"/>
      <c r="T81" s="181"/>
      <c r="U81" s="181"/>
      <c r="V81" s="181"/>
      <c r="W81" s="181"/>
      <c r="X81" s="12">
        <v>1459</v>
      </c>
      <c r="Y81" s="12">
        <f ca="1">IFERROR(__xludf.DUMMYFUNCTION("INDEX(IMPORTRANGE(""1y0FWgjbB0gVlqn-q5LMJbGIsqOrzru4yowQz67dz2yc"", ""'ESC'!AM3:AM139""),MATCH(D81,IMPORTRANGE(""1y0FWgjbB0gVlqn-q5LMJbGIsqOrzru4yowQz67dz2yc"", ""'ESC'!D3:D139""),0))"),3886)</f>
        <v>3886</v>
      </c>
      <c r="Z81" s="1"/>
      <c r="AA81" s="1"/>
      <c r="AB81" s="1"/>
      <c r="AC81" s="1"/>
      <c r="AD81" s="1"/>
    </row>
    <row r="82" spans="1:30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58</v>
      </c>
      <c r="Q82" s="12">
        <v>97</v>
      </c>
      <c r="R82" s="181"/>
      <c r="S82" s="181"/>
      <c r="T82" s="181"/>
      <c r="U82" s="181"/>
      <c r="V82" s="181"/>
      <c r="W82" s="181"/>
      <c r="X82" s="12">
        <v>231</v>
      </c>
      <c r="Y82" s="2">
        <f ca="1">IFERROR(__xludf.DUMMYFUNCTION("INDEX(IMPORTRANGE(""1y0FWgjbB0gVlqn-q5LMJbGIsqOrzru4yowQz67dz2yc"", ""'ESC'!AM3:AM139""),MATCH(D82,IMPORTRANGE(""1y0FWgjbB0gVlqn-q5LMJbGIsqOrzru4yowQz67dz2yc"", ""'ESC'!D3:D139""),0))"),537)</f>
        <v>537</v>
      </c>
      <c r="Z82" s="1"/>
      <c r="AA82" s="1"/>
      <c r="AB82" s="1"/>
      <c r="AC82" s="1"/>
      <c r="AD82" s="1"/>
    </row>
    <row r="83" spans="1:30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547</v>
      </c>
      <c r="Q83" s="12">
        <v>759</v>
      </c>
      <c r="R83" s="181"/>
      <c r="S83" s="181"/>
      <c r="T83" s="181"/>
      <c r="U83" s="181"/>
      <c r="V83" s="181"/>
      <c r="W83" s="181"/>
      <c r="X83" s="12">
        <v>171</v>
      </c>
      <c r="Y83" s="2">
        <f ca="1">IFERROR(__xludf.DUMMYFUNCTION("INDEX(IMPORTRANGE(""1y0FWgjbB0gVlqn-q5LMJbGIsqOrzru4yowQz67dz2yc"", ""'ESC'!AM3:AM139""),MATCH(D83,IMPORTRANGE(""1y0FWgjbB0gVlqn-q5LMJbGIsqOrzru4yowQz67dz2yc"", ""'ESC'!D3:D139""),0))"),171)</f>
        <v>171</v>
      </c>
      <c r="Z83" s="1"/>
      <c r="AA83" s="1"/>
      <c r="AB83" s="1"/>
      <c r="AC83" s="1"/>
      <c r="AD83" s="1"/>
    </row>
    <row r="84" spans="1:30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f t="shared" ref="P84:Q84" si="16">SUM(P79:P83)</f>
        <v>1703</v>
      </c>
      <c r="Q84" s="12">
        <f t="shared" si="16"/>
        <v>3165</v>
      </c>
      <c r="R84" s="250">
        <v>3154</v>
      </c>
      <c r="S84" s="250">
        <v>1692</v>
      </c>
      <c r="T84" s="250">
        <v>3144</v>
      </c>
      <c r="U84" s="250">
        <v>1686</v>
      </c>
      <c r="V84" s="250">
        <v>3133</v>
      </c>
      <c r="W84" s="250">
        <v>3133</v>
      </c>
      <c r="X84" s="12">
        <f>SUM(X79:X83)</f>
        <v>1932</v>
      </c>
      <c r="Y84" s="12">
        <f ca="1">IFERROR(__xludf.DUMMYFUNCTION("INDEX(IMPORTRANGE(""1y0FWgjbB0gVlqn-q5LMJbGIsqOrzru4yowQz67dz2yc"", ""'ESC'!AM3:AM139""),MATCH(D84,IMPORTRANGE(""1y0FWgjbB0gVlqn-q5LMJbGIsqOrzru4yowQz67dz2yc"", ""'ESC'!D3:D139""),0))"),4776)</f>
        <v>4776</v>
      </c>
      <c r="Z84" s="1"/>
      <c r="AA84" s="1"/>
      <c r="AB84" s="1"/>
      <c r="AC84" s="1"/>
      <c r="AD84" s="1"/>
    </row>
    <row r="85" spans="1:30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" t="s">
        <v>56</v>
      </c>
      <c r="H85" s="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2">
        <v>0</v>
      </c>
      <c r="Q85" s="2">
        <v>0</v>
      </c>
      <c r="R85" s="250">
        <v>1</v>
      </c>
      <c r="S85" s="250">
        <v>2</v>
      </c>
      <c r="T85" s="250">
        <v>2</v>
      </c>
      <c r="U85" s="250">
        <v>3</v>
      </c>
      <c r="V85" s="250">
        <v>3</v>
      </c>
      <c r="W85" s="250">
        <v>3</v>
      </c>
      <c r="X85" s="2">
        <v>0</v>
      </c>
      <c r="Y85" s="2">
        <f ca="1">IFERROR(__xludf.DUMMYFUNCTION("INDEX(IMPORTRANGE(""1y0FWgjbB0gVlqn-q5LMJbGIsqOrzru4yowQz67dz2yc"", ""'ESC'!AM3:AM139""),MATCH(D85,IMPORTRANGE(""1y0FWgjbB0gVlqn-q5LMJbGIsqOrzru4yowQz67dz2yc"", ""'ESC'!D3:D139""),0))"),0)</f>
        <v>0</v>
      </c>
      <c r="Z85" s="1"/>
      <c r="AA85" s="1"/>
      <c r="AB85" s="1"/>
      <c r="AC85" s="1"/>
      <c r="AD85" s="1"/>
    </row>
    <row r="86" spans="1:30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1">
        <v>44469</v>
      </c>
      <c r="H86" s="11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29">
        <v>1</v>
      </c>
      <c r="Q86" s="29">
        <v>1</v>
      </c>
      <c r="R86" s="250">
        <v>4</v>
      </c>
      <c r="S86" s="250">
        <v>6</v>
      </c>
      <c r="T86" s="250">
        <v>8</v>
      </c>
      <c r="U86" s="250">
        <v>11</v>
      </c>
      <c r="V86" s="250">
        <v>13</v>
      </c>
      <c r="W86" s="250">
        <v>13</v>
      </c>
      <c r="X86" s="257">
        <v>1</v>
      </c>
      <c r="Y86" s="2">
        <f ca="1">IFERROR(__xludf.DUMMYFUNCTION("INDEX(IMPORTRANGE(""1y0FWgjbB0gVlqn-q5LMJbGIsqOrzru4yowQz67dz2yc"", ""'ESC'!AM3:AM139""),MATCH(D86,IMPORTRANGE(""1y0FWgjbB0gVlqn-q5LMJbGIsqOrzru4yowQz67dz2yc"", ""'ESC'!D3:D139""),0))"),0)</f>
        <v>0</v>
      </c>
      <c r="Z86" s="1"/>
      <c r="AA86" s="1"/>
      <c r="AB86" s="1"/>
      <c r="AC86" s="1"/>
      <c r="AD86" s="1"/>
    </row>
    <row r="87" spans="1:30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1">
        <v>44469</v>
      </c>
      <c r="H87" s="11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100</v>
      </c>
      <c r="Q87" s="12">
        <v>100</v>
      </c>
      <c r="R87" s="258">
        <v>100</v>
      </c>
      <c r="S87" s="258">
        <v>100</v>
      </c>
      <c r="T87" s="258">
        <v>100</v>
      </c>
      <c r="U87" s="258">
        <v>100</v>
      </c>
      <c r="V87" s="258">
        <v>100</v>
      </c>
      <c r="W87" s="258">
        <v>100</v>
      </c>
      <c r="X87" s="12">
        <v>100</v>
      </c>
      <c r="Y87" s="24">
        <f ca="1">IFERROR(__xludf.DUMMYFUNCTION("INDEX(IMPORTRANGE(""1y0FWgjbB0gVlqn-q5LMJbGIsqOrzru4yowQz67dz2yc"", ""'ESC'!AM3:AM139""),MATCH(D87,IMPORTRANGE(""1y0FWgjbB0gVlqn-q5LMJbGIsqOrzru4yowQz67dz2yc"", ""'ESC'!D3:D139""),0))"),96.43)</f>
        <v>96.43</v>
      </c>
      <c r="Z87" s="1"/>
      <c r="AA87" s="1"/>
      <c r="AB87" s="1"/>
      <c r="AC87" s="1"/>
      <c r="AD87" s="1"/>
    </row>
    <row r="88" spans="1:30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1">
        <v>44469</v>
      </c>
      <c r="H88" s="11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8">
        <v>0</v>
      </c>
      <c r="Q88" s="18">
        <v>0</v>
      </c>
      <c r="R88" s="258">
        <v>4</v>
      </c>
      <c r="S88" s="258">
        <v>4</v>
      </c>
      <c r="T88" s="258">
        <v>4</v>
      </c>
      <c r="U88" s="258">
        <v>4</v>
      </c>
      <c r="V88" s="258">
        <v>4</v>
      </c>
      <c r="W88" s="258">
        <v>4</v>
      </c>
      <c r="X88" s="18">
        <v>0</v>
      </c>
      <c r="Y88" s="2">
        <f ca="1">IFERROR(__xludf.DUMMYFUNCTION("INDEX(IMPORTRANGE(""1y0FWgjbB0gVlqn-q5LMJbGIsqOrzru4yowQz67dz2yc"", ""'ESC'!AM3:AM139""),MATCH(D88,IMPORTRANGE(""1y0FWgjbB0gVlqn-q5LMJbGIsqOrzru4yowQz67dz2yc"", ""'ESC'!D3:D139""),0))"),0)</f>
        <v>0</v>
      </c>
      <c r="Z88" s="1"/>
      <c r="AA88" s="1"/>
      <c r="AB88" s="1"/>
      <c r="AC88" s="1"/>
      <c r="AD88" s="1"/>
    </row>
    <row r="89" spans="1:30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1">
        <v>44469</v>
      </c>
      <c r="H89" s="180"/>
      <c r="I89" s="11">
        <v>44651</v>
      </c>
      <c r="J89" s="181"/>
      <c r="K89" s="11">
        <v>45016</v>
      </c>
      <c r="L89" s="181"/>
      <c r="M89" s="11">
        <v>45382</v>
      </c>
      <c r="N89" s="181"/>
      <c r="O89" s="11">
        <v>45565</v>
      </c>
      <c r="P89" s="254"/>
      <c r="Q89" s="254"/>
      <c r="R89" s="181"/>
      <c r="S89" s="181"/>
      <c r="T89" s="181"/>
      <c r="U89" s="181"/>
      <c r="V89" s="181"/>
      <c r="W89" s="181"/>
      <c r="X89" s="2">
        <v>3</v>
      </c>
      <c r="Y89" s="2">
        <f ca="1">IFERROR(__xludf.DUMMYFUNCTION("INDEX(IMPORTRANGE(""1y0FWgjbB0gVlqn-q5LMJbGIsqOrzru4yowQz67dz2yc"", ""'ESC'!AM3:AM139""),MATCH(D89,IMPORTRANGE(""1y0FWgjbB0gVlqn-q5LMJbGIsqOrzru4yowQz67dz2yc"", ""'ESC'!D3:D139""),0))"),3)</f>
        <v>3</v>
      </c>
      <c r="Z89" s="1"/>
      <c r="AA89" s="1"/>
      <c r="AB89" s="1"/>
      <c r="AC89" s="1"/>
      <c r="AD89" s="1"/>
    </row>
    <row r="90" spans="1:30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1">
        <v>44469</v>
      </c>
      <c r="H90" s="181"/>
      <c r="I90" s="11">
        <v>44651</v>
      </c>
      <c r="J90" s="181"/>
      <c r="K90" s="11">
        <v>45016</v>
      </c>
      <c r="L90" s="181"/>
      <c r="M90" s="11">
        <v>45382</v>
      </c>
      <c r="N90" s="181"/>
      <c r="O90" s="11">
        <v>45565</v>
      </c>
      <c r="P90" s="254"/>
      <c r="Q90" s="254"/>
      <c r="R90" s="181"/>
      <c r="S90" s="181"/>
      <c r="T90" s="181"/>
      <c r="U90" s="181"/>
      <c r="V90" s="181"/>
      <c r="W90" s="181"/>
      <c r="X90" s="2">
        <v>14</v>
      </c>
      <c r="Y90" s="2">
        <f ca="1">IFERROR(__xludf.DUMMYFUNCTION("INDEX(IMPORTRANGE(""1y0FWgjbB0gVlqn-q5LMJbGIsqOrzru4yowQz67dz2yc"", ""'ESC'!AM3:AM139""),MATCH(D90,IMPORTRANGE(""1y0FWgjbB0gVlqn-q5LMJbGIsqOrzru4yowQz67dz2yc"", ""'ESC'!D3:D139""),0))"),15)</f>
        <v>15</v>
      </c>
      <c r="Z90" s="1"/>
      <c r="AA90" s="1"/>
      <c r="AB90" s="1"/>
      <c r="AC90" s="1"/>
      <c r="AD90" s="1"/>
    </row>
    <row r="91" spans="1:30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1">
        <v>44469</v>
      </c>
      <c r="H91" s="181"/>
      <c r="I91" s="11">
        <v>44651</v>
      </c>
      <c r="J91" s="181"/>
      <c r="K91" s="11">
        <v>45016</v>
      </c>
      <c r="L91" s="181"/>
      <c r="M91" s="11">
        <v>45382</v>
      </c>
      <c r="N91" s="181"/>
      <c r="O91" s="11">
        <v>45565</v>
      </c>
      <c r="P91" s="254"/>
      <c r="Q91" s="254"/>
      <c r="R91" s="181"/>
      <c r="S91" s="181"/>
      <c r="T91" s="181"/>
      <c r="U91" s="181"/>
      <c r="V91" s="181"/>
      <c r="W91" s="181"/>
      <c r="X91" s="2">
        <v>0</v>
      </c>
      <c r="Y91" s="2">
        <f ca="1">IFERROR(__xludf.DUMMYFUNCTION("INDEX(IMPORTRANGE(""1y0FWgjbB0gVlqn-q5LMJbGIsqOrzru4yowQz67dz2yc"", ""'ESC'!AM3:AM139""),MATCH(D91,IMPORTRANGE(""1y0FWgjbB0gVlqn-q5LMJbGIsqOrzru4yowQz67dz2yc"", ""'ESC'!D3:D139""),0))"),0)</f>
        <v>0</v>
      </c>
      <c r="Z91" s="1"/>
      <c r="AA91" s="1"/>
      <c r="AB91" s="1"/>
      <c r="AC91" s="1"/>
      <c r="AD91" s="1"/>
    </row>
    <row r="92" spans="1:30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1">
        <v>44469</v>
      </c>
      <c r="H92" s="181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254"/>
      <c r="Q92" s="254"/>
      <c r="R92" s="181"/>
      <c r="S92" s="181"/>
      <c r="T92" s="181"/>
      <c r="U92" s="181"/>
      <c r="V92" s="181"/>
      <c r="W92" s="181"/>
      <c r="X92" s="2">
        <v>0</v>
      </c>
      <c r="Y92" s="2">
        <f ca="1">IFERROR(__xludf.DUMMYFUNCTION("INDEX(IMPORTRANGE(""1y0FWgjbB0gVlqn-q5LMJbGIsqOrzru4yowQz67dz2yc"", ""'ESC'!AM3:AM139""),MATCH(D92,IMPORTRANGE(""1y0FWgjbB0gVlqn-q5LMJbGIsqOrzru4yowQz67dz2yc"", ""'ESC'!D3:D139""),0))"),0)</f>
        <v>0</v>
      </c>
      <c r="Z92" s="1"/>
      <c r="AA92" s="1"/>
      <c r="AB92" s="1"/>
      <c r="AC92" s="1"/>
      <c r="AD92" s="1"/>
    </row>
    <row r="93" spans="1:30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1">
        <v>44469</v>
      </c>
      <c r="H93" s="181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254"/>
      <c r="Q93" s="254"/>
      <c r="R93" s="181"/>
      <c r="S93" s="181"/>
      <c r="T93" s="181"/>
      <c r="U93" s="181"/>
      <c r="V93" s="181"/>
      <c r="W93" s="181"/>
      <c r="X93" s="2">
        <v>16</v>
      </c>
      <c r="Y93" s="2">
        <f ca="1">IFERROR(__xludf.DUMMYFUNCTION("INDEX(IMPORTRANGE(""1y0FWgjbB0gVlqn-q5LMJbGIsqOrzru4yowQz67dz2yc"", ""'ESC'!AM3:AM139""),MATCH(D93,IMPORTRANGE(""1y0FWgjbB0gVlqn-q5LMJbGIsqOrzru4yowQz67dz2yc"", ""'ESC'!D3:D139""),0))"),17)</f>
        <v>17</v>
      </c>
      <c r="Z93" s="1"/>
      <c r="AA93" s="1"/>
      <c r="AB93" s="1"/>
      <c r="AC93" s="1"/>
      <c r="AD93" s="1"/>
    </row>
    <row r="94" spans="1:30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1">
        <v>44469</v>
      </c>
      <c r="H94" s="181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254"/>
      <c r="Q94" s="254"/>
      <c r="R94" s="181"/>
      <c r="S94" s="181"/>
      <c r="T94" s="181"/>
      <c r="U94" s="181"/>
      <c r="V94" s="181"/>
      <c r="W94" s="181"/>
      <c r="X94" s="2">
        <v>50</v>
      </c>
      <c r="Y94" s="2">
        <f ca="1">IFERROR(__xludf.DUMMYFUNCTION("INDEX(IMPORTRANGE(""1y0FWgjbB0gVlqn-q5LMJbGIsqOrzru4yowQz67dz2yc"", ""'ESC'!AM3:AM139""),MATCH(D94,IMPORTRANGE(""1y0FWgjbB0gVlqn-q5LMJbGIsqOrzru4yowQz67dz2yc"", ""'ESC'!D3:D139""),0))"),50)</f>
        <v>50</v>
      </c>
      <c r="Z94" s="1"/>
      <c r="AA94" s="1"/>
      <c r="AB94" s="1"/>
      <c r="AC94" s="1"/>
      <c r="AD94" s="1"/>
    </row>
    <row r="95" spans="1:30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1">
        <v>44469</v>
      </c>
      <c r="H95" s="181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254"/>
      <c r="Q95" s="254"/>
      <c r="R95" s="259">
        <v>0.5</v>
      </c>
      <c r="S95" s="259">
        <v>0.5</v>
      </c>
      <c r="T95" s="259">
        <v>0.5</v>
      </c>
      <c r="U95" s="259">
        <v>0.5</v>
      </c>
      <c r="V95" s="259">
        <v>0.5</v>
      </c>
      <c r="W95" s="259">
        <v>0.5</v>
      </c>
      <c r="X95" s="15">
        <f>SUM(X89,X91,X93)/SUM(X90,X92,X94)</f>
        <v>0.296875</v>
      </c>
      <c r="Y95" s="15">
        <f ca="1">IFERROR(__xludf.DUMMYFUNCTION("INDEX(IMPORTRANGE(""1y0FWgjbB0gVlqn-q5LMJbGIsqOrzru4yowQz67dz2yc"", ""'ESC'!AM3:AM139""),MATCH(D95,IMPORTRANGE(""1y0FWgjbB0gVlqn-q5LMJbGIsqOrzru4yowQz67dz2yc"", ""'ESC'!D3:D139""),0))"),0.307692307692307)</f>
        <v>0.30769230769230699</v>
      </c>
      <c r="Z95" s="1"/>
      <c r="AA95" s="1"/>
      <c r="AB95" s="1"/>
      <c r="AC95" s="1"/>
      <c r="AD95" s="1"/>
    </row>
    <row r="96" spans="1:30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83" t="s">
        <v>213</v>
      </c>
      <c r="H96" s="1" t="s">
        <v>214</v>
      </c>
      <c r="I96" s="7" t="s">
        <v>215</v>
      </c>
      <c r="J96" s="181"/>
      <c r="K96" s="7" t="s">
        <v>216</v>
      </c>
      <c r="L96" s="181"/>
      <c r="M96" s="7" t="s">
        <v>217</v>
      </c>
      <c r="N96" s="1" t="s">
        <v>218</v>
      </c>
      <c r="O96" s="1" t="s">
        <v>218</v>
      </c>
      <c r="P96" s="36">
        <v>481128007.70999998</v>
      </c>
      <c r="Q96" s="36">
        <v>481128007.70999998</v>
      </c>
      <c r="R96" s="181"/>
      <c r="S96" s="181"/>
      <c r="T96" s="181"/>
      <c r="U96" s="181"/>
      <c r="V96" s="181"/>
      <c r="W96" s="181"/>
      <c r="X96" s="36">
        <v>481128007.70999998</v>
      </c>
      <c r="Y96" s="178" t="str">
        <f ca="1">IFERROR(__xludf.DUMMYFUNCTION("INDEX(IMPORTRANGE(""1y0FWgjbB0gVlqn-q5LMJbGIsqOrzru4yowQz67dz2yc"", ""'ESC'!AM3:AM139""),MATCH(D96,IMPORTRANGE(""1y0FWgjbB0gVlqn-q5LMJbGIsqOrzru4yowQz67dz2yc"", ""'ESC'!D3:D139""),0))"),"")</f>
        <v/>
      </c>
      <c r="Z96" s="1"/>
      <c r="AA96" s="1"/>
      <c r="AB96" s="1"/>
      <c r="AC96" s="1"/>
      <c r="AD96" s="1"/>
    </row>
    <row r="97" spans="1:30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7" t="s">
        <v>213</v>
      </c>
      <c r="H97" s="1" t="s">
        <v>214</v>
      </c>
      <c r="I97" s="7" t="s">
        <v>215</v>
      </c>
      <c r="J97" s="181"/>
      <c r="K97" s="7" t="s">
        <v>216</v>
      </c>
      <c r="L97" s="181"/>
      <c r="M97" s="7" t="s">
        <v>217</v>
      </c>
      <c r="N97" s="1" t="s">
        <v>218</v>
      </c>
      <c r="O97" s="1" t="s">
        <v>218</v>
      </c>
      <c r="P97" s="36">
        <v>1449594972.8199999</v>
      </c>
      <c r="Q97" s="36">
        <v>1449594972.8199999</v>
      </c>
      <c r="R97" s="181"/>
      <c r="S97" s="181"/>
      <c r="T97" s="181"/>
      <c r="U97" s="181"/>
      <c r="V97" s="181"/>
      <c r="W97" s="181"/>
      <c r="X97" s="36">
        <v>1449594972.8199999</v>
      </c>
      <c r="Y97" s="178" t="str">
        <f ca="1">IFERROR(__xludf.DUMMYFUNCTION("INDEX(IMPORTRANGE(""1y0FWgjbB0gVlqn-q5LMJbGIsqOrzru4yowQz67dz2yc"", ""'ESC'!AM3:AM139""),MATCH(D97,IMPORTRANGE(""1y0FWgjbB0gVlqn-q5LMJbGIsqOrzru4yowQz67dz2yc"", ""'ESC'!D3:D139""),0))"),"")</f>
        <v/>
      </c>
      <c r="Z97" s="1"/>
      <c r="AA97" s="1"/>
      <c r="AB97" s="1"/>
      <c r="AC97" s="1"/>
      <c r="AD97" s="1"/>
    </row>
    <row r="98" spans="1:30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7" t="s">
        <v>213</v>
      </c>
      <c r="H98" s="1" t="s">
        <v>214</v>
      </c>
      <c r="I98" s="7" t="s">
        <v>215</v>
      </c>
      <c r="J98" s="181"/>
      <c r="K98" s="7" t="s">
        <v>216</v>
      </c>
      <c r="L98" s="181"/>
      <c r="M98" s="7" t="s">
        <v>217</v>
      </c>
      <c r="N98" s="1" t="s">
        <v>218</v>
      </c>
      <c r="O98" s="1" t="s">
        <v>218</v>
      </c>
      <c r="P98" s="15">
        <f t="shared" ref="P98:Q98" si="17">P96/P97</f>
        <v>0.33190512986812276</v>
      </c>
      <c r="Q98" s="15">
        <f t="shared" si="17"/>
        <v>0.33190512986812276</v>
      </c>
      <c r="R98" s="250"/>
      <c r="S98" s="250"/>
      <c r="T98" s="250"/>
      <c r="U98" s="250"/>
      <c r="V98" s="250"/>
      <c r="W98" s="250"/>
      <c r="X98" s="15">
        <f>X96/X97</f>
        <v>0.33190512986812276</v>
      </c>
      <c r="Y98" s="179" t="str">
        <f ca="1">IFERROR(__xludf.DUMMYFUNCTION("INDEX(IMPORTRANGE(""1y0FWgjbB0gVlqn-q5LMJbGIsqOrzru4yowQz67dz2yc"", ""'ESC'!AM3:AM139""),MATCH(D98,IMPORTRANGE(""1y0FWgjbB0gVlqn-q5LMJbGIsqOrzru4yowQz67dz2yc"", ""'ESC'!D3:D139""),0))"),"")</f>
        <v/>
      </c>
      <c r="Z98" s="1"/>
      <c r="AA98" s="1"/>
      <c r="AB98" s="1"/>
      <c r="AC98" s="1"/>
      <c r="AD98" s="1"/>
    </row>
    <row r="99" spans="1:30">
      <c r="A99" s="7" t="s">
        <v>275</v>
      </c>
      <c r="B99" s="7" t="s">
        <v>284</v>
      </c>
      <c r="C99" s="1" t="s">
        <v>30</v>
      </c>
      <c r="D99" s="7" t="s">
        <v>285</v>
      </c>
      <c r="E99" s="7" t="s">
        <v>278</v>
      </c>
      <c r="F99" s="9" t="s">
        <v>286</v>
      </c>
      <c r="G99" s="7" t="s">
        <v>213</v>
      </c>
      <c r="H99" s="1" t="s">
        <v>214</v>
      </c>
      <c r="I99" s="7" t="s">
        <v>215</v>
      </c>
      <c r="J99" s="181"/>
      <c r="K99" s="7" t="s">
        <v>216</v>
      </c>
      <c r="L99" s="181"/>
      <c r="M99" s="7" t="s">
        <v>217</v>
      </c>
      <c r="N99" s="1" t="s">
        <v>218</v>
      </c>
      <c r="O99" s="1" t="s">
        <v>218</v>
      </c>
      <c r="P99" s="36">
        <v>909571624</v>
      </c>
      <c r="Q99" s="36">
        <v>909571624</v>
      </c>
      <c r="R99" s="181"/>
      <c r="S99" s="181"/>
      <c r="T99" s="181"/>
      <c r="U99" s="181"/>
      <c r="V99" s="181"/>
      <c r="W99" s="181"/>
      <c r="X99" s="36">
        <v>909571624</v>
      </c>
      <c r="Y99" s="178" t="str">
        <f ca="1">IFERROR(__xludf.DUMMYFUNCTION("INDEX(IMPORTRANGE(""1y0FWgjbB0gVlqn-q5LMJbGIsqOrzru4yowQz67dz2yc"", ""'ESC'!AM3:AM139""),MATCH(D99,IMPORTRANGE(""1y0FWgjbB0gVlqn-q5LMJbGIsqOrzru4yowQz67dz2yc"", ""'ESC'!D3:D139""),0))"),"")</f>
        <v/>
      </c>
      <c r="Z99" s="1"/>
      <c r="AA99" s="1"/>
      <c r="AB99" s="1"/>
      <c r="AC99" s="1"/>
      <c r="AD99" s="1"/>
    </row>
    <row r="100" spans="1:30">
      <c r="A100" s="7" t="s">
        <v>275</v>
      </c>
      <c r="B100" s="7" t="s">
        <v>276</v>
      </c>
      <c r="C100" s="1" t="s">
        <v>36</v>
      </c>
      <c r="D100" s="7" t="s">
        <v>287</v>
      </c>
      <c r="E100" s="7" t="s">
        <v>278</v>
      </c>
      <c r="F100" s="9" t="s">
        <v>288</v>
      </c>
      <c r="G100" s="7" t="s">
        <v>213</v>
      </c>
      <c r="H100" s="1" t="s">
        <v>214</v>
      </c>
      <c r="I100" s="7" t="s">
        <v>215</v>
      </c>
      <c r="J100" s="181"/>
      <c r="K100" s="7" t="s">
        <v>216</v>
      </c>
      <c r="L100" s="181"/>
      <c r="M100" s="7" t="s">
        <v>217</v>
      </c>
      <c r="N100" s="1" t="s">
        <v>218</v>
      </c>
      <c r="O100" s="1" t="s">
        <v>218</v>
      </c>
      <c r="P100" s="15">
        <f t="shared" ref="P100:Q100" si="18">P96/P99</f>
        <v>0.52896110104463856</v>
      </c>
      <c r="Q100" s="15">
        <f t="shared" si="18"/>
        <v>0.52896110104463856</v>
      </c>
      <c r="R100" s="250"/>
      <c r="S100" s="250"/>
      <c r="T100" s="250"/>
      <c r="U100" s="250"/>
      <c r="V100" s="250"/>
      <c r="W100" s="250"/>
      <c r="X100" s="15">
        <f>X96/X99</f>
        <v>0.52896110104463856</v>
      </c>
      <c r="Y100" s="179" t="str">
        <f ca="1">IFERROR(__xludf.DUMMYFUNCTION("INDEX(IMPORTRANGE(""1y0FWgjbB0gVlqn-q5LMJbGIsqOrzru4yowQz67dz2yc"", ""'ESC'!AM3:AM139""),MATCH(D100,IMPORTRANGE(""1y0FWgjbB0gVlqn-q5LMJbGIsqOrzru4yowQz67dz2yc"", ""'ESC'!D3:D139""),0))"),"")</f>
        <v/>
      </c>
      <c r="Z100" s="1"/>
      <c r="AA100" s="1"/>
      <c r="AB100" s="1"/>
      <c r="AC100" s="1"/>
      <c r="AD100" s="1"/>
    </row>
    <row r="101" spans="1:30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7" t="s">
        <v>254</v>
      </c>
      <c r="H101" s="7" t="s">
        <v>254</v>
      </c>
      <c r="I101" s="7" t="s">
        <v>254</v>
      </c>
      <c r="J101" s="181"/>
      <c r="K101" s="7" t="s">
        <v>255</v>
      </c>
      <c r="L101" s="181"/>
      <c r="M101" s="7" t="s">
        <v>256</v>
      </c>
      <c r="N101" s="260">
        <v>45536</v>
      </c>
      <c r="O101" s="1" t="s">
        <v>218</v>
      </c>
      <c r="P101" s="12">
        <v>169250</v>
      </c>
      <c r="Q101" s="12">
        <v>169250</v>
      </c>
      <c r="R101" s="181"/>
      <c r="S101" s="181"/>
      <c r="T101" s="181"/>
      <c r="U101" s="181"/>
      <c r="V101" s="181"/>
      <c r="W101" s="181"/>
      <c r="X101" s="12">
        <v>169250</v>
      </c>
      <c r="Y101" s="6" t="str">
        <f ca="1">IFERROR(__xludf.DUMMYFUNCTION("INDEX(IMPORTRANGE(""1y0FWgjbB0gVlqn-q5LMJbGIsqOrzru4yowQz67dz2yc"", ""'ESC'!AM3:AM139""),MATCH(D101,IMPORTRANGE(""1y0FWgjbB0gVlqn-q5LMJbGIsqOrzru4yowQz67dz2yc"", ""'ESC'!D3:D139""),0))"),"")</f>
        <v/>
      </c>
      <c r="Z101" s="1"/>
      <c r="AA101" s="1"/>
      <c r="AB101" s="1"/>
      <c r="AC101" s="1"/>
      <c r="AD101" s="1"/>
    </row>
    <row r="102" spans="1:30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7" t="s">
        <v>213</v>
      </c>
      <c r="H102" s="1" t="s">
        <v>214</v>
      </c>
      <c r="I102" s="7" t="s">
        <v>215</v>
      </c>
      <c r="J102" s="181"/>
      <c r="K102" s="7" t="s">
        <v>216</v>
      </c>
      <c r="L102" s="181"/>
      <c r="M102" s="7" t="s">
        <v>217</v>
      </c>
      <c r="N102" s="1" t="s">
        <v>218</v>
      </c>
      <c r="O102" s="1" t="s">
        <v>218</v>
      </c>
      <c r="P102" s="12">
        <v>73270</v>
      </c>
      <c r="Q102" s="12">
        <v>73270</v>
      </c>
      <c r="R102" s="181"/>
      <c r="S102" s="181"/>
      <c r="T102" s="181"/>
      <c r="U102" s="181"/>
      <c r="V102" s="181"/>
      <c r="W102" s="181"/>
      <c r="X102" s="12">
        <v>73270</v>
      </c>
      <c r="Y102" s="6" t="str">
        <f ca="1">IFERROR(__xludf.DUMMYFUNCTION("INDEX(IMPORTRANGE(""1y0FWgjbB0gVlqn-q5LMJbGIsqOrzru4yowQz67dz2yc"", ""'ESC'!AM3:AM139""),MATCH(D102,IMPORTRANGE(""1y0FWgjbB0gVlqn-q5LMJbGIsqOrzru4yowQz67dz2yc"", ""'ESC'!D3:D139""),0))"),"")</f>
        <v/>
      </c>
      <c r="Z102" s="1"/>
      <c r="AA102" s="1"/>
      <c r="AB102" s="1"/>
      <c r="AC102" s="1"/>
      <c r="AD102" s="1"/>
    </row>
    <row r="103" spans="1:30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7" t="s">
        <v>213</v>
      </c>
      <c r="H103" s="1" t="s">
        <v>214</v>
      </c>
      <c r="I103" s="7" t="s">
        <v>215</v>
      </c>
      <c r="J103" s="181"/>
      <c r="K103" s="7" t="s">
        <v>216</v>
      </c>
      <c r="L103" s="181"/>
      <c r="M103" s="7" t="s">
        <v>217</v>
      </c>
      <c r="N103" s="1" t="s">
        <v>218</v>
      </c>
      <c r="O103" s="1" t="s">
        <v>218</v>
      </c>
      <c r="P103" s="15">
        <f t="shared" ref="P103:Q103" si="19">P102/P101</f>
        <v>0.43290989660265877</v>
      </c>
      <c r="Q103" s="15">
        <f t="shared" si="19"/>
        <v>0.43290989660265877</v>
      </c>
      <c r="R103" s="250"/>
      <c r="S103" s="250"/>
      <c r="T103" s="250"/>
      <c r="U103" s="250"/>
      <c r="V103" s="250"/>
      <c r="W103" s="250"/>
      <c r="X103" s="15">
        <f>X102/X101</f>
        <v>0.43290989660265877</v>
      </c>
      <c r="Y103" s="179" t="str">
        <f ca="1">IFERROR(__xludf.DUMMYFUNCTION("INDEX(IMPORTRANGE(""1y0FWgjbB0gVlqn-q5LMJbGIsqOrzru4yowQz67dz2yc"", ""'ESC'!AM3:AM139""),MATCH(D103,IMPORTRANGE(""1y0FWgjbB0gVlqn-q5LMJbGIsqOrzru4yowQz67dz2yc"", ""'ESC'!D3:D139""),0))"),"")</f>
        <v/>
      </c>
      <c r="Z103" s="1"/>
      <c r="AA103" s="1"/>
      <c r="AB103" s="1"/>
      <c r="AC103" s="1"/>
      <c r="AD103" s="1"/>
    </row>
    <row r="104" spans="1:30">
      <c r="A104" s="7" t="s">
        <v>275</v>
      </c>
      <c r="B104" s="7" t="s">
        <v>276</v>
      </c>
      <c r="C104" s="7" t="s">
        <v>30</v>
      </c>
      <c r="D104" s="7" t="s">
        <v>294</v>
      </c>
      <c r="E104" s="7" t="s">
        <v>38</v>
      </c>
      <c r="F104" s="9" t="s">
        <v>295</v>
      </c>
      <c r="G104" s="7" t="s">
        <v>213</v>
      </c>
      <c r="H104" s="1" t="s">
        <v>214</v>
      </c>
      <c r="I104" s="7" t="s">
        <v>215</v>
      </c>
      <c r="J104" s="181"/>
      <c r="K104" s="7" t="s">
        <v>216</v>
      </c>
      <c r="L104" s="181"/>
      <c r="M104" s="7" t="s">
        <v>217</v>
      </c>
      <c r="N104" s="1" t="s">
        <v>218</v>
      </c>
      <c r="O104" s="1" t="s">
        <v>218</v>
      </c>
      <c r="P104" s="36"/>
      <c r="Q104" s="36"/>
      <c r="R104" s="250"/>
      <c r="S104" s="250"/>
      <c r="T104" s="250"/>
      <c r="U104" s="250"/>
      <c r="V104" s="250"/>
      <c r="W104" s="250"/>
      <c r="X104" s="36"/>
      <c r="Y104" s="4" t="str">
        <f ca="1">IFERROR(__xludf.DUMMYFUNCTION("INDEX(IMPORTRANGE(""1y0FWgjbB0gVlqn-q5LMJbGIsqOrzru4yowQz67dz2yc"", ""'ESC'!AM3:AM139""),MATCH(D104,IMPORTRANGE(""1y0FWgjbB0gVlqn-q5LMJbGIsqOrzru4yowQz67dz2yc"", ""'ESC'!D3:D139""),0))"),"")</f>
        <v/>
      </c>
      <c r="Z104" s="1"/>
      <c r="AA104" s="1"/>
      <c r="AB104" s="1"/>
      <c r="AC104" s="1"/>
      <c r="AD104" s="1"/>
    </row>
    <row r="105" spans="1:30">
      <c r="A105" s="7" t="s">
        <v>275</v>
      </c>
      <c r="B105" s="7" t="s">
        <v>276</v>
      </c>
      <c r="C105" s="7" t="s">
        <v>36</v>
      </c>
      <c r="D105" s="7" t="s">
        <v>296</v>
      </c>
      <c r="E105" s="7" t="s">
        <v>38</v>
      </c>
      <c r="F105" s="9" t="s">
        <v>297</v>
      </c>
      <c r="G105" s="7" t="s">
        <v>213</v>
      </c>
      <c r="H105" s="1" t="s">
        <v>214</v>
      </c>
      <c r="I105" s="7" t="s">
        <v>215</v>
      </c>
      <c r="J105" s="181"/>
      <c r="K105" s="7" t="s">
        <v>216</v>
      </c>
      <c r="L105" s="181"/>
      <c r="M105" s="7" t="s">
        <v>217</v>
      </c>
      <c r="N105" s="1" t="s">
        <v>218</v>
      </c>
      <c r="O105" s="1" t="s">
        <v>218</v>
      </c>
      <c r="P105" s="36">
        <v>151349507.40000001</v>
      </c>
      <c r="Q105" s="36">
        <v>151349507.40000001</v>
      </c>
      <c r="R105" s="250"/>
      <c r="S105" s="250"/>
      <c r="T105" s="250"/>
      <c r="U105" s="250"/>
      <c r="V105" s="250"/>
      <c r="W105" s="250"/>
      <c r="X105" s="36">
        <v>151349507.40000001</v>
      </c>
      <c r="Y105" s="178" t="str">
        <f ca="1">IFERROR(__xludf.DUMMYFUNCTION("INDEX(IMPORTRANGE(""1y0FWgjbB0gVlqn-q5LMJbGIsqOrzru4yowQz67dz2yc"", ""'ESC'!AM3:AM139""),MATCH(D105,IMPORTRANGE(""1y0FWgjbB0gVlqn-q5LMJbGIsqOrzru4yowQz67dz2yc"", ""'ESC'!D3:D139""),0))"),"")</f>
        <v/>
      </c>
      <c r="Z105" s="1"/>
      <c r="AA105" s="1"/>
      <c r="AB105" s="1"/>
      <c r="AC105" s="1"/>
      <c r="AD105" s="1"/>
    </row>
    <row r="106" spans="1:30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7" t="s">
        <v>213</v>
      </c>
      <c r="H106" s="1" t="s">
        <v>214</v>
      </c>
      <c r="I106" s="7" t="s">
        <v>215</v>
      </c>
      <c r="J106" s="181"/>
      <c r="K106" s="7" t="s">
        <v>216</v>
      </c>
      <c r="L106" s="181"/>
      <c r="M106" s="7" t="s">
        <v>217</v>
      </c>
      <c r="N106" s="1" t="s">
        <v>218</v>
      </c>
      <c r="O106" s="1" t="s">
        <v>218</v>
      </c>
      <c r="P106" s="36">
        <v>1302702294.1300001</v>
      </c>
      <c r="Q106" s="36">
        <v>1302702294.1300001</v>
      </c>
      <c r="R106" s="181"/>
      <c r="S106" s="181"/>
      <c r="T106" s="181"/>
      <c r="U106" s="181"/>
      <c r="V106" s="181"/>
      <c r="W106" s="181"/>
      <c r="X106" s="36">
        <v>1302702294.1300001</v>
      </c>
      <c r="Y106" s="178" t="str">
        <f ca="1">IFERROR(__xludf.DUMMYFUNCTION("INDEX(IMPORTRANGE(""1y0FWgjbB0gVlqn-q5LMJbGIsqOrzru4yowQz67dz2yc"", ""'ESC'!AM3:AM139""),MATCH(D106,IMPORTRANGE(""1y0FWgjbB0gVlqn-q5LMJbGIsqOrzru4yowQz67dz2yc"", ""'ESC'!D3:D139""),0))"),"")</f>
        <v/>
      </c>
      <c r="Z106" s="1"/>
      <c r="AA106" s="1"/>
      <c r="AB106" s="1"/>
      <c r="AC106" s="1"/>
      <c r="AD106" s="1"/>
    </row>
    <row r="107" spans="1:30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7" t="s">
        <v>213</v>
      </c>
      <c r="H107" s="1" t="s">
        <v>214</v>
      </c>
      <c r="I107" s="7" t="s">
        <v>215</v>
      </c>
      <c r="J107" s="181"/>
      <c r="K107" s="7" t="s">
        <v>216</v>
      </c>
      <c r="L107" s="181"/>
      <c r="M107" s="7" t="s">
        <v>217</v>
      </c>
      <c r="N107" s="1" t="s">
        <v>218</v>
      </c>
      <c r="O107" s="1" t="s">
        <v>218</v>
      </c>
      <c r="P107" s="15">
        <f t="shared" ref="P107:Q107" si="20">P99/P106</f>
        <v>0.69821910047947722</v>
      </c>
      <c r="Q107" s="15">
        <f t="shared" si="20"/>
        <v>0.69821910047947722</v>
      </c>
      <c r="R107" s="250"/>
      <c r="S107" s="250"/>
      <c r="T107" s="250"/>
      <c r="U107" s="250"/>
      <c r="V107" s="250"/>
      <c r="W107" s="261">
        <v>0.65</v>
      </c>
      <c r="X107" s="15">
        <f>X99/X106</f>
        <v>0.69821910047947722</v>
      </c>
      <c r="Y107" s="179" t="str">
        <f ca="1">IFERROR(__xludf.DUMMYFUNCTION("INDEX(IMPORTRANGE(""1y0FWgjbB0gVlqn-q5LMJbGIsqOrzru4yowQz67dz2yc"", ""'ESC'!AM3:AM139""),MATCH(D107,IMPORTRANGE(""1y0FWgjbB0gVlqn-q5LMJbGIsqOrzru4yowQz67dz2yc"", ""'ESC'!D3:D139""),0))"),"")</f>
        <v/>
      </c>
      <c r="Z107" s="1"/>
      <c r="AA107" s="1"/>
      <c r="AB107" s="1"/>
      <c r="AC107" s="1"/>
      <c r="AD107" s="1"/>
    </row>
    <row r="108" spans="1:30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1" t="s">
        <v>307</v>
      </c>
      <c r="H108" s="181"/>
      <c r="I108" s="1" t="s">
        <v>254</v>
      </c>
      <c r="J108" s="181"/>
      <c r="K108" s="1" t="s">
        <v>255</v>
      </c>
      <c r="L108" s="181"/>
      <c r="M108" s="1" t="s">
        <v>256</v>
      </c>
      <c r="N108" s="49">
        <v>45473</v>
      </c>
      <c r="O108" s="1"/>
      <c r="P108" s="2" t="s">
        <v>308</v>
      </c>
      <c r="Q108" s="2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1" t="s">
        <v>308</v>
      </c>
      <c r="X108" s="2" t="s">
        <v>308</v>
      </c>
      <c r="Y108" s="4" t="str">
        <f ca="1">IFERROR(__xludf.DUMMYFUNCTION("INDEX(IMPORTRANGE(""1y0FWgjbB0gVlqn-q5LMJbGIsqOrzru4yowQz67dz2yc"", ""'ESC'!AM3:AM139""),MATCH(D108,IMPORTRANGE(""1y0FWgjbB0gVlqn-q5LMJbGIsqOrzru4yowQz67dz2yc"", ""'ESC'!D3:D139""),0))"),"")</f>
        <v/>
      </c>
      <c r="Z108" s="1"/>
      <c r="AA108" s="1"/>
      <c r="AB108" s="1"/>
      <c r="AC108" s="1"/>
      <c r="AD108" s="1"/>
    </row>
    <row r="109" spans="1:30">
      <c r="A109" s="1"/>
      <c r="B109" s="1"/>
      <c r="C109" s="1"/>
      <c r="D109" s="1"/>
      <c r="E109" s="1"/>
      <c r="F109" s="1"/>
      <c r="G109" s="11" t="s">
        <v>307</v>
      </c>
      <c r="H109" s="181"/>
      <c r="I109" s="1"/>
      <c r="J109" s="1"/>
      <c r="K109" s="1"/>
      <c r="L109" s="1"/>
      <c r="M109" s="1"/>
      <c r="N109" s="1"/>
      <c r="O109" s="1"/>
      <c r="P109" s="2"/>
      <c r="Q109" s="2"/>
      <c r="R109" s="250"/>
      <c r="S109" s="250"/>
      <c r="T109" s="250"/>
      <c r="U109" s="250"/>
      <c r="V109" s="250"/>
      <c r="W109" s="250"/>
      <c r="X109" s="2"/>
      <c r="Y109" s="1"/>
      <c r="Z109" s="1"/>
      <c r="AA109" s="1"/>
      <c r="AB109" s="1"/>
      <c r="AC109" s="1"/>
      <c r="AD109" s="1"/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5E85-256E-9646-B6A9-58FE332E1BC5}">
  <dimension ref="A1:Z1013"/>
  <sheetViews>
    <sheetView workbookViewId="0">
      <selection activeCell="C2" sqref="C2"/>
    </sheetView>
  </sheetViews>
  <sheetFormatPr baseColWidth="10" defaultColWidth="12.5" defaultRowHeight="16"/>
  <cols>
    <col min="1" max="1" width="12.5" style="118"/>
    <col min="2" max="2" width="19.5" customWidth="1"/>
    <col min="3" max="3" width="27.5" customWidth="1"/>
    <col min="6" max="6" width="13.1640625" customWidth="1"/>
    <col min="8" max="8" width="14.5" customWidth="1"/>
    <col min="13" max="13" width="12.5" style="118"/>
  </cols>
  <sheetData>
    <row r="1" spans="1:26" ht="60" customHeight="1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 spans="1:26" ht="91">
      <c r="A2" s="121" t="s">
        <v>34</v>
      </c>
      <c r="B2" s="72" t="s">
        <v>35</v>
      </c>
      <c r="C2" s="71" t="s">
        <v>37</v>
      </c>
      <c r="D2" s="75">
        <v>44469</v>
      </c>
      <c r="E2" s="123">
        <f>VLOOKUP(C2,'BD EVA 1 ESC'!$D$3:$Q$108,14,0)</f>
        <v>531</v>
      </c>
      <c r="F2" s="75">
        <v>44834</v>
      </c>
      <c r="G2" s="123">
        <f ca="1">VLOOKUP(C2,'BD EVA 1 ESC'!$D$3:$Y$108,22,0)</f>
        <v>534</v>
      </c>
      <c r="H2" s="123">
        <f>VLOOKUP(C2,'BD EVA 1 ESC'!$D$3:$R$108,15,0)</f>
        <v>555</v>
      </c>
      <c r="I2" s="78">
        <f ca="1">IF(G2&gt;=E2,G2/H2,0)</f>
        <v>0.96216216216216222</v>
      </c>
      <c r="J2" s="72" t="s">
        <v>316</v>
      </c>
      <c r="K2" s="81">
        <v>2.7</v>
      </c>
      <c r="L2" s="81">
        <f t="shared" ref="L2:L10" ca="1" si="0">IF(I2&lt;0,0,IF(I2&gt;1,K2,I2*K2))</f>
        <v>2.5978378378378379</v>
      </c>
      <c r="M2" s="124">
        <f ca="1">SUM(L2:L4)</f>
        <v>8.7491486992610579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6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ESC'!$D$3:$Q$108,14,0)</f>
        <v>0.89077212806026362</v>
      </c>
      <c r="F3" s="75">
        <v>44834</v>
      </c>
      <c r="G3" s="126">
        <f ca="1">VLOOKUP(C3,'BD EVA 1 ESC'!$D$3:$Y$108,22,0)</f>
        <v>0.92883895131086103</v>
      </c>
      <c r="H3" s="125">
        <f>VLOOKUP(C3,'BD EVA 1 ESC'!$D$3:$R$108,15,0)</f>
        <v>1</v>
      </c>
      <c r="I3" s="77">
        <f t="shared" ref="I3:I5" ca="1" si="1">G3/H3</f>
        <v>0.92883895131086103</v>
      </c>
      <c r="J3" s="75" t="s">
        <v>318</v>
      </c>
      <c r="K3" s="81">
        <v>3.8</v>
      </c>
      <c r="L3" s="81">
        <f t="shared" ca="1" si="0"/>
        <v>3.5295880149812717</v>
      </c>
      <c r="M3" s="14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52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ESC'!$D$3:$Q$108,14,0)</f>
        <v>0</v>
      </c>
      <c r="F4" s="75">
        <v>44834</v>
      </c>
      <c r="G4" s="126">
        <f ca="1">VLOOKUP(C4,'BD EVA 1 ESC'!$D$3:$Y$108,22,0)</f>
        <v>1.4981273408239701E-2</v>
      </c>
      <c r="H4" s="125">
        <f>VLOOKUP(C4,'BD EVA 1 ESC'!$D$3:$R$108,15,0)</f>
        <v>0.02</v>
      </c>
      <c r="I4" s="77">
        <f t="shared" ca="1" si="1"/>
        <v>0.74906367041198496</v>
      </c>
      <c r="J4" s="75" t="s">
        <v>318</v>
      </c>
      <c r="K4" s="81">
        <v>3.5</v>
      </c>
      <c r="L4" s="81">
        <f t="shared" ca="1" si="0"/>
        <v>2.6217228464419473</v>
      </c>
      <c r="M4" s="14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52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ESC'!$D$3:$Q$108,14,0)</f>
        <v>0</v>
      </c>
      <c r="F5" s="72" t="s">
        <v>59</v>
      </c>
      <c r="G5" s="126">
        <f ca="1">VLOOKUP(C5,'BD EVA 1 ESC'!$D$3:$Y$108,22,0)</f>
        <v>3.8814396612561697E-2</v>
      </c>
      <c r="H5" s="125">
        <f>VLOOKUP(C5,'BD EVA 1 ESC'!$D$3:$R$108,15,0)</f>
        <v>0.03</v>
      </c>
      <c r="I5" s="77">
        <f t="shared" ca="1" si="1"/>
        <v>1.2938132204187234</v>
      </c>
      <c r="J5" s="75" t="s">
        <v>318</v>
      </c>
      <c r="K5" s="129">
        <f>3.25*0.488</f>
        <v>1.5859999999999999</v>
      </c>
      <c r="L5" s="129">
        <f t="shared" ca="1" si="0"/>
        <v>1.5859999999999999</v>
      </c>
      <c r="M5" s="130">
        <f ca="1">SUM(L5:L10)</f>
        <v>1.5859999999999999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9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ESC'!$D$3:$Q$108,14,0)</f>
        <v>17.129334937710546</v>
      </c>
      <c r="F6" s="72" t="s">
        <v>59</v>
      </c>
      <c r="G6" s="132">
        <f ca="1">VLOOKUP(C6,'BD EVA 1 ESC'!$D$3:$Y$108,22,0)</f>
        <v>22.7694313073413</v>
      </c>
      <c r="H6" s="123">
        <f>VLOOKUP(C6,'BD EVA 1 ESC'!$D$3:$R$108,15,0)</f>
        <v>14.1</v>
      </c>
      <c r="I6" s="78">
        <f t="shared" ref="I6:I10" ca="1" si="2">(G6-E6)/(H6-E6)</f>
        <v>-1.861826600756574</v>
      </c>
      <c r="J6" s="71" t="s">
        <v>319</v>
      </c>
      <c r="K6" s="129">
        <f>3.5*0.488</f>
        <v>1.708</v>
      </c>
      <c r="L6" s="129">
        <f t="shared" ca="1" si="0"/>
        <v>0</v>
      </c>
      <c r="M6" s="14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9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ESC'!$D$3:$Q$108,14,0)</f>
        <v>303.46414364956343</v>
      </c>
      <c r="F7" s="72" t="s">
        <v>59</v>
      </c>
      <c r="G7" s="129">
        <f ca="1">VLOOKUP(C7,'BD EVA 1 ESC'!$D$3:$Y$108,22,0)</f>
        <v>378.306789886194</v>
      </c>
      <c r="H7" s="123">
        <f>VLOOKUP(C7,'BD EVA 1 ESC'!$D$3:$R$108,15,0)</f>
        <v>261.60000000000002</v>
      </c>
      <c r="I7" s="78">
        <f t="shared" ca="1" si="2"/>
        <v>-1.7877505595987773</v>
      </c>
      <c r="J7" s="71" t="s">
        <v>319</v>
      </c>
      <c r="K7" s="129">
        <f>3.25*0.488</f>
        <v>1.5859999999999999</v>
      </c>
      <c r="L7" s="129">
        <f t="shared" ca="1" si="0"/>
        <v>0</v>
      </c>
      <c r="M7" s="147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9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ESC'!$D$3:$Q$108,14,0)</f>
        <v>828.97522167685622</v>
      </c>
      <c r="F8" s="72" t="s">
        <v>59</v>
      </c>
      <c r="G8" s="129">
        <f ca="1">VLOOKUP(C8,'BD EVA 1 ESC'!$D$3:$Y$108,22,0)</f>
        <v>1026.71334748241</v>
      </c>
      <c r="H8" s="123">
        <f>VLOOKUP(C8,'BD EVA 1 ESC'!$D$3:$R$108,15,0)</f>
        <v>692</v>
      </c>
      <c r="I8" s="78">
        <f t="shared" ca="1" si="2"/>
        <v>-1.4436050796986168</v>
      </c>
      <c r="J8" s="71" t="s">
        <v>319</v>
      </c>
      <c r="K8" s="129">
        <f t="shared" ref="K8:K10" si="3">10/3*0.512</f>
        <v>1.7066666666666668</v>
      </c>
      <c r="L8" s="129">
        <f t="shared" ca="1" si="0"/>
        <v>0</v>
      </c>
      <c r="M8" s="14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9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ESC'!$D$3:$Q$108,14,0)</f>
        <v>155.00990752273867</v>
      </c>
      <c r="F9" s="72" t="s">
        <v>59</v>
      </c>
      <c r="G9" s="129">
        <f ca="1">VLOOKUP(C9,'BD EVA 1 ESC'!$D$3:$Y$108,22,0)</f>
        <v>173.799695850532</v>
      </c>
      <c r="H9" s="123">
        <f>VLOOKUP(C9,'BD EVA 1 ESC'!$D$3:$R$108,15,0)</f>
        <v>127.7</v>
      </c>
      <c r="I9" s="78">
        <f t="shared" ca="1" si="2"/>
        <v>-0.6880209430276778</v>
      </c>
      <c r="J9" s="71" t="s">
        <v>319</v>
      </c>
      <c r="K9" s="129">
        <f t="shared" si="3"/>
        <v>1.7066666666666668</v>
      </c>
      <c r="L9" s="129">
        <f t="shared" ca="1" si="0"/>
        <v>0</v>
      </c>
      <c r="M9" s="14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52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ESC'!$D$3:$Q$108,14,0)</f>
        <v>16.917861666874614</v>
      </c>
      <c r="F10" s="72" t="s">
        <v>59</v>
      </c>
      <c r="G10" s="129">
        <f ca="1">VLOOKUP(C10,'BD EVA 1 ESC'!$D$3:$Y$108,22,0)</f>
        <v>23.187219037751198</v>
      </c>
      <c r="H10" s="123">
        <f>VLOOKUP(C10,'BD EVA 1 ESC'!$D$3:$R$108,15,0)</f>
        <v>12.3</v>
      </c>
      <c r="I10" s="78">
        <f t="shared" ca="1" si="2"/>
        <v>-1.357632130006984</v>
      </c>
      <c r="J10" s="71" t="s">
        <v>319</v>
      </c>
      <c r="K10" s="129">
        <f t="shared" si="3"/>
        <v>1.7066666666666668</v>
      </c>
      <c r="L10" s="129">
        <f t="shared" ca="1" si="0"/>
        <v>0</v>
      </c>
      <c r="M10" s="14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5" customHeight="1">
      <c r="A11" s="121" t="s">
        <v>119</v>
      </c>
      <c r="B11" s="72" t="s">
        <v>120</v>
      </c>
      <c r="C11" s="71" t="s">
        <v>125</v>
      </c>
      <c r="D11" s="75">
        <v>44469</v>
      </c>
      <c r="E11" s="126">
        <f>VLOOKUP(C11,'BD EVA 1 ESC'!$D$3:$Q$108,14,0)</f>
        <v>0</v>
      </c>
      <c r="F11" s="75">
        <v>44834</v>
      </c>
      <c r="G11" s="219">
        <f ca="1">VLOOKUP(C11,'BD EVA 1 ESC'!$D$3:$Y$108,22,0)</f>
        <v>0</v>
      </c>
      <c r="H11" s="88">
        <f>VLOOKUP(C11,'BD EVA 1 ESC'!$D$3:$R$108,15,0)</f>
        <v>0</v>
      </c>
      <c r="I11" s="135" t="str">
        <f ca="1">IFERROR(G11/H11,"")</f>
        <v/>
      </c>
      <c r="J11" s="103" t="s">
        <v>318</v>
      </c>
      <c r="K11" s="87" t="s">
        <v>320</v>
      </c>
      <c r="L11" s="283"/>
      <c r="M11" s="130">
        <f ca="1">SUM(L11:L14)</f>
        <v>6.5903000000000009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0" customHeight="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ESC'!$D$3:$Q$108,14,0)</f>
        <v>0</v>
      </c>
      <c r="F12" s="71" t="s">
        <v>59</v>
      </c>
      <c r="G12" s="72">
        <f ca="1">VLOOKUP(C12,'BD EVA 1 ESC'!$D$3:$Y$108,22,0)</f>
        <v>1</v>
      </c>
      <c r="H12" s="72">
        <f>VLOOKUP(C12,'BD EVA 1 ESC'!$D$3:$R$108,15,0)</f>
        <v>1</v>
      </c>
      <c r="I12" s="78">
        <f t="shared" ref="I12:I14" ca="1" si="4">G12/H12</f>
        <v>1</v>
      </c>
      <c r="J12" s="75" t="s">
        <v>318</v>
      </c>
      <c r="K12" s="71">
        <f t="shared" ref="K12:K13" si="5">2.4+2.1/3</f>
        <v>3.1</v>
      </c>
      <c r="L12" s="209">
        <f t="shared" ref="L12:L30" ca="1" si="6">IF(I12&lt;0,0,IF(I12&gt;1,K12,I12*K12))</f>
        <v>3.1</v>
      </c>
      <c r="M12" s="14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6" customHeight="1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ESC'!$D$3:$Q$108,14,0)</f>
        <v>3665</v>
      </c>
      <c r="F13" s="71" t="s">
        <v>59</v>
      </c>
      <c r="G13" s="72">
        <f ca="1">VLOOKUP(C13,'BD EVA 1 ESC'!$D$3:$Y$108,22,0)</f>
        <v>513</v>
      </c>
      <c r="H13" s="212">
        <f>VLOOKUP(C13,'BD EVA 1 ESC'!$D$3:$R$108,15,0)</f>
        <v>1000</v>
      </c>
      <c r="I13" s="78">
        <f t="shared" ca="1" si="4"/>
        <v>0.51300000000000001</v>
      </c>
      <c r="J13" s="75" t="s">
        <v>318</v>
      </c>
      <c r="K13" s="71">
        <f t="shared" si="5"/>
        <v>3.1</v>
      </c>
      <c r="L13" s="209">
        <f t="shared" ca="1" si="6"/>
        <v>1.5903</v>
      </c>
      <c r="M13" s="14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8" customHeight="1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ESC'!$D$3:$Q$108,14,0)</f>
        <v>14</v>
      </c>
      <c r="F14" s="71" t="s">
        <v>59</v>
      </c>
      <c r="G14" s="72">
        <f ca="1">VLOOKUP(C14,'BD EVA 1 ESC'!$D$3:$Y$108,22,0)</f>
        <v>1</v>
      </c>
      <c r="H14" s="284">
        <f>VLOOKUP(C14,'BD EVA 1 ESC'!$D$3:$R$108,15,0)</f>
        <v>2</v>
      </c>
      <c r="I14" s="78">
        <f t="shared" ca="1" si="4"/>
        <v>0.5</v>
      </c>
      <c r="J14" s="75" t="s">
        <v>318</v>
      </c>
      <c r="K14" s="71">
        <f>3.1+2.1/3</f>
        <v>3.8000000000000003</v>
      </c>
      <c r="L14" s="209">
        <f t="shared" ca="1" si="6"/>
        <v>1.9000000000000001</v>
      </c>
      <c r="M14" s="14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75" customHeight="1">
      <c r="A15" s="121" t="s">
        <v>147</v>
      </c>
      <c r="B15" s="72" t="s">
        <v>148</v>
      </c>
      <c r="C15" s="72" t="s">
        <v>156</v>
      </c>
      <c r="D15" s="75">
        <v>44469</v>
      </c>
      <c r="E15" s="139">
        <f>VLOOKUP(C15,'BD EVA 1 ESC'!$D$3:$Q$108,14,0)</f>
        <v>0.33333333333333331</v>
      </c>
      <c r="F15" s="75">
        <v>44834</v>
      </c>
      <c r="G15" s="123">
        <f ca="1">VLOOKUP(C15,'BD EVA 1 ESC'!$D$3:$Y$108,22,0)</f>
        <v>1</v>
      </c>
      <c r="H15" s="123" t="str">
        <f>VLOOKUP(C15,'BD EVA 1 ESC'!$D$3:$R$108,15,0)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7">G15/1</f>
        <v>1</v>
      </c>
      <c r="J15" s="75" t="s">
        <v>318</v>
      </c>
      <c r="K15" s="71">
        <v>1.5</v>
      </c>
      <c r="L15" s="129">
        <f t="shared" ca="1" si="6"/>
        <v>1.5</v>
      </c>
      <c r="M15" s="130">
        <f ca="1">SUM(L15:L22)</f>
        <v>9.3030317464676582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6">
      <c r="A16" s="121" t="s">
        <v>147</v>
      </c>
      <c r="B16" s="72" t="s">
        <v>148</v>
      </c>
      <c r="C16" s="72" t="s">
        <v>158</v>
      </c>
      <c r="D16" s="75">
        <v>44469</v>
      </c>
      <c r="E16" s="137">
        <f>VLOOKUP(C16,'BD EVA 1 ESC'!$D$3:$Q$108,14,0)</f>
        <v>0</v>
      </c>
      <c r="F16" s="75">
        <v>44834</v>
      </c>
      <c r="G16" s="123">
        <f ca="1">VLOOKUP(C16,'BD EVA 1 ESC'!$D$3:$Y$108,22,0)</f>
        <v>1</v>
      </c>
      <c r="H16" s="123" t="str">
        <f>VLOOKUP(C16,'BD EVA 1 ESC'!$D$3:$R$108,15,0)</f>
        <v>Actualizado al 2017</v>
      </c>
      <c r="I16" s="125">
        <f t="shared" ca="1" si="7"/>
        <v>1</v>
      </c>
      <c r="J16" s="75" t="s">
        <v>318</v>
      </c>
      <c r="K16" s="71">
        <v>1.5</v>
      </c>
      <c r="L16" s="129">
        <f t="shared" ca="1" si="6"/>
        <v>1.5</v>
      </c>
      <c r="M16" s="147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39">
      <c r="A17" s="121" t="s">
        <v>147</v>
      </c>
      <c r="B17" s="72" t="s">
        <v>148</v>
      </c>
      <c r="C17" s="72" t="s">
        <v>166</v>
      </c>
      <c r="D17" s="75">
        <v>44469</v>
      </c>
      <c r="E17" s="126">
        <f>VLOOKUP(C17,'BD EVA 1 ESC'!$D$3:$Q$108,14,0)</f>
        <v>0.5</v>
      </c>
      <c r="F17" s="75">
        <v>44834</v>
      </c>
      <c r="G17" s="126">
        <f ca="1">VLOOKUP(C17,'BD EVA 1 ESC'!$D$3:$Y$108,22,0)</f>
        <v>0.33333333333333298</v>
      </c>
      <c r="H17" s="125">
        <f>VLOOKUP(C17,'BD EVA 1 ESC'!$D$3:$R$108,15,0)</f>
        <v>1</v>
      </c>
      <c r="I17" s="125">
        <f t="shared" ref="I17:I25" ca="1" si="8">G17/H17</f>
        <v>0.33333333333333298</v>
      </c>
      <c r="J17" s="75" t="s">
        <v>318</v>
      </c>
      <c r="K17" s="71">
        <v>0.3</v>
      </c>
      <c r="L17" s="129">
        <f t="shared" ca="1" si="6"/>
        <v>9.9999999999999895E-2</v>
      </c>
      <c r="M17" s="14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6">
      <c r="A18" s="121" t="s">
        <v>147</v>
      </c>
      <c r="B18" s="72" t="s">
        <v>168</v>
      </c>
      <c r="C18" s="72" t="s">
        <v>173</v>
      </c>
      <c r="D18" s="75">
        <v>44469</v>
      </c>
      <c r="E18" s="126">
        <f>VLOOKUP(C18,'BD EVA 1 ESC'!$D$3:$Q$108,14,0)</f>
        <v>0.99909357343565885</v>
      </c>
      <c r="F18" s="75">
        <v>44834</v>
      </c>
      <c r="G18" s="126">
        <f ca="1">VLOOKUP(C18,'BD EVA 1 ESC'!$D$3:$Y$108,22,0)</f>
        <v>0.99879365462331804</v>
      </c>
      <c r="H18" s="125">
        <f>VLOOKUP(C18,'BD EVA 1 ESC'!$D$3:$R$108,15,0)</f>
        <v>1</v>
      </c>
      <c r="I18" s="125">
        <f t="shared" ca="1" si="8"/>
        <v>0.99879365462331804</v>
      </c>
      <c r="J18" s="75" t="s">
        <v>318</v>
      </c>
      <c r="K18" s="71">
        <v>1.5</v>
      </c>
      <c r="L18" s="129">
        <f t="shared" ca="1" si="6"/>
        <v>1.4981904819349769</v>
      </c>
      <c r="M18" s="147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52">
      <c r="A19" s="121" t="s">
        <v>147</v>
      </c>
      <c r="B19" s="72" t="s">
        <v>168</v>
      </c>
      <c r="C19" s="71" t="s">
        <v>177</v>
      </c>
      <c r="D19" s="75">
        <v>44469</v>
      </c>
      <c r="E19" s="126">
        <f>VLOOKUP(C19,'BD EVA 1 ESC'!$D$3:$Q$108,14,0)</f>
        <v>1</v>
      </c>
      <c r="F19" s="75">
        <v>44834</v>
      </c>
      <c r="G19" s="126">
        <f ca="1">VLOOKUP(C19,'BD EVA 1 ESC'!$D$3:$Y$108,22,0)</f>
        <v>0.80985749683263997</v>
      </c>
      <c r="H19" s="125">
        <f>VLOOKUP(C19,'BD EVA 1 ESC'!$D$3:$R$108,15,0)</f>
        <v>1</v>
      </c>
      <c r="I19" s="125">
        <f t="shared" ca="1" si="8"/>
        <v>0.80985749683263997</v>
      </c>
      <c r="J19" s="75" t="s">
        <v>318</v>
      </c>
      <c r="K19" s="71">
        <v>1.5</v>
      </c>
      <c r="L19" s="129">
        <f t="shared" ca="1" si="6"/>
        <v>1.21478624524896</v>
      </c>
      <c r="M19" s="14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9">
      <c r="A20" s="121" t="s">
        <v>147</v>
      </c>
      <c r="B20" s="72" t="s">
        <v>168</v>
      </c>
      <c r="C20" s="72" t="s">
        <v>183</v>
      </c>
      <c r="D20" s="75">
        <v>44469</v>
      </c>
      <c r="E20" s="126">
        <f>VLOOKUP(C20,'BD EVA 1 ESC'!$D$3:$Q$108,14,0)</f>
        <v>0.89530311989709388</v>
      </c>
      <c r="F20" s="75">
        <v>44834</v>
      </c>
      <c r="G20" s="128">
        <f ca="1">VLOOKUP(C20,'BD EVA 1 ESC'!$D$3:$Y$108,22,0)</f>
        <v>0.90125232641069097</v>
      </c>
      <c r="H20" s="125">
        <f>VLOOKUP(C20,'BD EVA 1 ESC'!$D$3:$R$108,15,0)</f>
        <v>1</v>
      </c>
      <c r="I20" s="125">
        <f t="shared" ca="1" si="8"/>
        <v>0.90125232641069097</v>
      </c>
      <c r="J20" s="75" t="s">
        <v>318</v>
      </c>
      <c r="K20" s="71">
        <v>0.9</v>
      </c>
      <c r="L20" s="129">
        <f t="shared" ca="1" si="6"/>
        <v>0.81112709376962189</v>
      </c>
      <c r="M20" s="14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6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ESC'!$D$3:$Q$108,14,0)</f>
        <v>0.89295554513586539</v>
      </c>
      <c r="F21" s="75">
        <v>44834</v>
      </c>
      <c r="G21" s="126">
        <f ca="1">VLOOKUP(C21,'BD EVA 1 ESC'!$D$3:$Y$108,22,0)</f>
        <v>0.91928528367606599</v>
      </c>
      <c r="H21" s="125">
        <f>VLOOKUP(C21,'BD EVA 1 ESC'!$D$3:$R$108,15,0)</f>
        <v>1</v>
      </c>
      <c r="I21" s="125">
        <f t="shared" ca="1" si="8"/>
        <v>0.91928528367606599</v>
      </c>
      <c r="J21" s="75" t="s">
        <v>318</v>
      </c>
      <c r="K21" s="71">
        <v>1.5</v>
      </c>
      <c r="L21" s="129">
        <f t="shared" ca="1" si="6"/>
        <v>1.3789279255140989</v>
      </c>
      <c r="M21" s="14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6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ESC'!$D$3:$Q$108,14,0)</f>
        <v>0</v>
      </c>
      <c r="F22" s="71" t="s">
        <v>59</v>
      </c>
      <c r="G22" s="131">
        <f ca="1">VLOOKUP(C22,'BD EVA 1 ESC'!$D$3:$Y$108,22,0)</f>
        <v>17.3</v>
      </c>
      <c r="H22" s="123">
        <f>VLOOKUP(C22,'BD EVA 1 ESC'!$D$3:$R$108,15,0)</f>
        <v>7.7</v>
      </c>
      <c r="I22" s="125">
        <f t="shared" ca="1" si="8"/>
        <v>2.2467532467532467</v>
      </c>
      <c r="J22" s="75" t="s">
        <v>318</v>
      </c>
      <c r="K22" s="71">
        <v>1.3</v>
      </c>
      <c r="L22" s="129">
        <f t="shared" ca="1" si="6"/>
        <v>1.3</v>
      </c>
      <c r="M22" s="14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65">
      <c r="A23" s="121" t="s">
        <v>199</v>
      </c>
      <c r="B23" s="72" t="s">
        <v>200</v>
      </c>
      <c r="C23" s="72" t="s">
        <v>201</v>
      </c>
      <c r="D23" s="75">
        <v>44469</v>
      </c>
      <c r="E23" s="123">
        <f>VLOOKUP(C23,'BD EVA 1 ESC'!$D$3:$Q$108,14,0)</f>
        <v>5.04</v>
      </c>
      <c r="F23" s="75">
        <v>44834</v>
      </c>
      <c r="G23" s="140">
        <f ca="1">VLOOKUP(C23,'BD EVA 1 ESC'!$D$3:$Y$108,22,0)</f>
        <v>3.88</v>
      </c>
      <c r="H23" s="123">
        <f>VLOOKUP(C23,'BD EVA 1 ESC'!$D$3:$R$108,15,0)</f>
        <v>6.4720000000000004</v>
      </c>
      <c r="I23" s="125">
        <f t="shared" ca="1" si="8"/>
        <v>0.59950556242274411</v>
      </c>
      <c r="J23" s="75" t="s">
        <v>318</v>
      </c>
      <c r="K23" s="82">
        <v>2.645</v>
      </c>
      <c r="L23" s="129">
        <f t="shared" ca="1" si="6"/>
        <v>1.5856922126081581</v>
      </c>
      <c r="M23" s="130">
        <f ca="1">SUM(L23:L26)</f>
        <v>3.9196922126081581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9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ESC'!$D$3:$Q$108,14,0)</f>
        <v>0</v>
      </c>
      <c r="F24" s="71" t="s">
        <v>59</v>
      </c>
      <c r="G24" s="137">
        <f ca="1">VLOOKUP(C24,'BD EVA 1 ESC'!$D$3:$Y$108,22,0)</f>
        <v>26000</v>
      </c>
      <c r="H24" s="137">
        <f>VLOOKUP(C24,'BD EVA 1 ESC'!$D$3:$R$108,15,0)</f>
        <v>25000</v>
      </c>
      <c r="I24" s="125">
        <f t="shared" ca="1" si="8"/>
        <v>1.04</v>
      </c>
      <c r="J24" s="75" t="s">
        <v>318</v>
      </c>
      <c r="K24" s="82">
        <v>2.3340000000000001</v>
      </c>
      <c r="L24" s="129">
        <f t="shared" ca="1" si="6"/>
        <v>2.3340000000000001</v>
      </c>
      <c r="M24" s="14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9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ESC'!$D$3:$Q$108,14,0)</f>
        <v>0</v>
      </c>
      <c r="F25" s="71" t="s">
        <v>59</v>
      </c>
      <c r="G25" s="123">
        <f ca="1">VLOOKUP(C25,'BD EVA 1 ESC'!$D$3:$Y$108,22,0)</f>
        <v>0</v>
      </c>
      <c r="H25" s="123">
        <f>VLOOKUP(C25,'BD EVA 1 ESC'!$D$3:$R$108,15,0)</f>
        <v>3</v>
      </c>
      <c r="I25" s="125">
        <f t="shared" ca="1" si="8"/>
        <v>0</v>
      </c>
      <c r="J25" s="75" t="s">
        <v>318</v>
      </c>
      <c r="K25" s="82">
        <v>2.8010000000000002</v>
      </c>
      <c r="L25" s="129">
        <f t="shared" ca="1" si="6"/>
        <v>0</v>
      </c>
      <c r="M25" s="14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9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ESC'!$D$3:$Q$108,14,0)</f>
        <v>3165</v>
      </c>
      <c r="F26" s="71" t="s">
        <v>59</v>
      </c>
      <c r="G26" s="137">
        <f ca="1">VLOOKUP(C26,'BD EVA 1 ESC'!$D$3:$Y$108,22,0)</f>
        <v>4776</v>
      </c>
      <c r="H26" s="123">
        <f>VLOOKUP(C26,'BD EVA 1 ESC'!$D$3:$R$108,15,0)</f>
        <v>3154</v>
      </c>
      <c r="I26" s="78">
        <f ca="1">(G26-E26)/(H26-E26)</f>
        <v>-146.45454545454547</v>
      </c>
      <c r="J26" s="71" t="s">
        <v>319</v>
      </c>
      <c r="K26" s="82">
        <v>2.2200000000000002</v>
      </c>
      <c r="L26" s="129">
        <f t="shared" ca="1" si="6"/>
        <v>0</v>
      </c>
      <c r="M26" s="14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78">
      <c r="A27" s="121" t="s">
        <v>243</v>
      </c>
      <c r="B27" s="72" t="s">
        <v>244</v>
      </c>
      <c r="C27" s="72" t="s">
        <v>245</v>
      </c>
      <c r="D27" s="71" t="s">
        <v>57</v>
      </c>
      <c r="E27" s="123">
        <f>VLOOKUP(C27,'BD EVA 1 ESC'!$D$3:$Q$108,14,0)</f>
        <v>0</v>
      </c>
      <c r="F27" s="71" t="s">
        <v>59</v>
      </c>
      <c r="G27" s="123">
        <f ca="1">VLOOKUP(C27,'BD EVA 1 ESC'!$D$3:$Y$108,22,0)</f>
        <v>0</v>
      </c>
      <c r="H27" s="123">
        <f>VLOOKUP(C27,'BD EVA 1 ESC'!$D$3:$R$108,15,0)</f>
        <v>1</v>
      </c>
      <c r="I27" s="78">
        <f t="shared" ref="I27:I30" ca="1" si="9">G27/H27</f>
        <v>0</v>
      </c>
      <c r="J27" s="75" t="s">
        <v>318</v>
      </c>
      <c r="K27" s="71">
        <v>2.5</v>
      </c>
      <c r="L27" s="129">
        <f t="shared" ca="1" si="6"/>
        <v>0</v>
      </c>
      <c r="M27" s="130">
        <f ca="1">SUM(L27:L30)</f>
        <v>2.4107500000000002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6">
      <c r="A28" s="121" t="s">
        <v>243</v>
      </c>
      <c r="B28" s="72" t="s">
        <v>247</v>
      </c>
      <c r="C28" s="72" t="s">
        <v>248</v>
      </c>
      <c r="D28" s="75">
        <v>44469</v>
      </c>
      <c r="E28" s="138">
        <f>VLOOKUP(C28,'BD EVA 1 ESC'!$D$3:$Q$108,14,0)</f>
        <v>1</v>
      </c>
      <c r="F28" s="75">
        <v>44834</v>
      </c>
      <c r="G28" s="123">
        <f ca="1">VLOOKUP(C28,'BD EVA 1 ESC'!$D$3:$Y$108,22,0)</f>
        <v>0</v>
      </c>
      <c r="H28" s="123">
        <f>VLOOKUP(C28,'BD EVA 1 ESC'!$D$3:$R$108,15,0)</f>
        <v>4</v>
      </c>
      <c r="I28" s="78">
        <f t="shared" ca="1" si="9"/>
        <v>0</v>
      </c>
      <c r="J28" s="75" t="s">
        <v>318</v>
      </c>
      <c r="K28" s="71">
        <v>2.5</v>
      </c>
      <c r="L28" s="129">
        <f t="shared" ca="1" si="6"/>
        <v>0</v>
      </c>
      <c r="M28" s="14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6">
      <c r="A29" s="121" t="s">
        <v>243</v>
      </c>
      <c r="B29" s="72" t="s">
        <v>250</v>
      </c>
      <c r="C29" s="72" t="s">
        <v>251</v>
      </c>
      <c r="D29" s="75">
        <v>44469</v>
      </c>
      <c r="E29" s="137">
        <f>VLOOKUP(C29,'BD EVA 1 ESC'!$D$3:$Q$108,14,0)</f>
        <v>100</v>
      </c>
      <c r="F29" s="75">
        <v>44713</v>
      </c>
      <c r="G29" s="129">
        <f ca="1">VLOOKUP(C29,'BD EVA 1 ESC'!$D$3:$Y$108,22,0)</f>
        <v>96.43</v>
      </c>
      <c r="H29" s="123">
        <f>VLOOKUP(C29,'BD EVA 1 ESC'!$D$3:$R$108,15,0)</f>
        <v>100</v>
      </c>
      <c r="I29" s="78">
        <f t="shared" ca="1" si="9"/>
        <v>0.96430000000000005</v>
      </c>
      <c r="J29" s="75" t="s">
        <v>318</v>
      </c>
      <c r="K29" s="71">
        <v>2.5</v>
      </c>
      <c r="L29" s="129">
        <f t="shared" ca="1" si="6"/>
        <v>2.4107500000000002</v>
      </c>
      <c r="M29" s="14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17">
      <c r="A30" s="121" t="s">
        <v>243</v>
      </c>
      <c r="B30" s="72" t="s">
        <v>257</v>
      </c>
      <c r="C30" s="72" t="s">
        <v>258</v>
      </c>
      <c r="D30" s="75">
        <v>44469</v>
      </c>
      <c r="E30" s="123">
        <f>VLOOKUP(C30,'BD EVA 1 ESC'!$D$3:$Q$108,14,0)</f>
        <v>0</v>
      </c>
      <c r="F30" s="75">
        <v>44834</v>
      </c>
      <c r="G30" s="123">
        <f ca="1">VLOOKUP(C30,'BD EVA 1 ESC'!$D$3:$Y$108,22,0)</f>
        <v>0</v>
      </c>
      <c r="H30" s="123">
        <f>VLOOKUP(C30,'BD EVA 1 ESC'!$D$3:$R$108,15,0)</f>
        <v>4</v>
      </c>
      <c r="I30" s="78">
        <f t="shared" ca="1" si="9"/>
        <v>0</v>
      </c>
      <c r="J30" s="75" t="s">
        <v>318</v>
      </c>
      <c r="K30" s="71">
        <v>2.5</v>
      </c>
      <c r="L30" s="129">
        <f t="shared" ca="1" si="6"/>
        <v>0</v>
      </c>
      <c r="M30" s="14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85"/>
      <c r="B31" s="2"/>
      <c r="C31" s="2"/>
      <c r="D31" s="65"/>
      <c r="E31" s="2"/>
      <c r="F31" s="65"/>
      <c r="G31" s="65"/>
      <c r="H31" s="65"/>
      <c r="I31" s="2"/>
      <c r="J31" s="2"/>
      <c r="K31" s="2"/>
      <c r="L31" s="2"/>
      <c r="M31" s="285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85"/>
      <c r="B32" s="2"/>
      <c r="C32" s="2"/>
      <c r="D32" s="65"/>
      <c r="E32" s="2"/>
      <c r="F32" s="65"/>
      <c r="G32" s="2"/>
      <c r="H32" s="2"/>
      <c r="I32" s="2"/>
      <c r="J32" s="2"/>
      <c r="K32" s="2"/>
      <c r="L32" s="2"/>
      <c r="M32" s="285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85"/>
      <c r="B33" s="2"/>
      <c r="C33" s="2"/>
      <c r="D33" s="65"/>
      <c r="E33" s="2"/>
      <c r="F33" s="65"/>
      <c r="G33" s="2"/>
      <c r="H33" s="2"/>
      <c r="I33" s="2"/>
      <c r="J33" s="2"/>
      <c r="K33" s="2"/>
      <c r="L33" s="2"/>
      <c r="M33" s="285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85"/>
      <c r="B34" s="2"/>
      <c r="C34" s="2"/>
      <c r="D34" s="65"/>
      <c r="E34" s="2"/>
      <c r="F34" s="65"/>
      <c r="G34" s="2"/>
      <c r="H34" s="2"/>
      <c r="I34" s="2"/>
      <c r="J34" s="2"/>
      <c r="K34" s="2"/>
      <c r="L34" s="2"/>
      <c r="M34" s="285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85"/>
      <c r="B35" s="2"/>
      <c r="C35" s="2"/>
      <c r="D35" s="65"/>
      <c r="E35" s="2"/>
      <c r="F35" s="65"/>
      <c r="G35" s="2"/>
      <c r="H35" s="2"/>
      <c r="I35" s="2"/>
      <c r="J35" s="2"/>
      <c r="K35" s="2"/>
      <c r="L35" s="2"/>
      <c r="M35" s="285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85"/>
      <c r="B36" s="2"/>
      <c r="C36" s="2"/>
      <c r="D36" s="65"/>
      <c r="E36" s="2"/>
      <c r="F36" s="65"/>
      <c r="G36" s="2"/>
      <c r="H36" s="2"/>
      <c r="I36" s="2"/>
      <c r="J36" s="2"/>
      <c r="K36" s="2"/>
      <c r="L36" s="2"/>
      <c r="M36" s="285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85"/>
      <c r="B37" s="2"/>
      <c r="C37" s="2"/>
      <c r="D37" s="65"/>
      <c r="E37" s="2"/>
      <c r="F37" s="67"/>
      <c r="G37" s="2"/>
      <c r="H37" s="2"/>
      <c r="I37" s="2"/>
      <c r="J37" s="2"/>
      <c r="K37" s="2"/>
      <c r="L37" s="2"/>
      <c r="M37" s="285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85"/>
      <c r="B38" s="2"/>
      <c r="C38" s="2"/>
      <c r="D38" s="65"/>
      <c r="E38" s="2"/>
      <c r="F38" s="67"/>
      <c r="G38" s="2"/>
      <c r="H38" s="2"/>
      <c r="I38" s="2"/>
      <c r="J38" s="2"/>
      <c r="K38" s="2"/>
      <c r="L38" s="2"/>
      <c r="M38" s="285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85"/>
      <c r="B39" s="2"/>
      <c r="C39" s="2"/>
      <c r="D39" s="65"/>
      <c r="E39" s="2"/>
      <c r="F39" s="67"/>
      <c r="G39" s="2"/>
      <c r="H39" s="2"/>
      <c r="I39" s="2"/>
      <c r="J39" s="2"/>
      <c r="K39" s="2"/>
      <c r="L39" s="2"/>
      <c r="M39" s="285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85"/>
      <c r="B40" s="2"/>
      <c r="C40" s="2"/>
      <c r="D40" s="65"/>
      <c r="E40" s="2"/>
      <c r="F40" s="67"/>
      <c r="G40" s="2"/>
      <c r="H40" s="2"/>
      <c r="I40" s="2"/>
      <c r="J40" s="2"/>
      <c r="K40" s="2"/>
      <c r="L40" s="2"/>
      <c r="M40" s="285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85"/>
      <c r="B41" s="2"/>
      <c r="C41" s="2"/>
      <c r="D41" s="65"/>
      <c r="E41" s="2"/>
      <c r="F41" s="67"/>
      <c r="G41" s="2"/>
      <c r="H41" s="2"/>
      <c r="I41" s="2"/>
      <c r="J41" s="2"/>
      <c r="K41" s="2"/>
      <c r="L41" s="2"/>
      <c r="M41" s="285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85"/>
      <c r="B42" s="2"/>
      <c r="C42" s="2"/>
      <c r="D42" s="65"/>
      <c r="E42" s="2"/>
      <c r="F42" s="67"/>
      <c r="G42" s="2"/>
      <c r="H42" s="2"/>
      <c r="I42" s="2"/>
      <c r="J42" s="2"/>
      <c r="K42" s="2"/>
      <c r="L42" s="2"/>
      <c r="M42" s="285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85"/>
      <c r="B43" s="2"/>
      <c r="C43" s="2"/>
      <c r="D43" s="65"/>
      <c r="E43" s="2"/>
      <c r="F43" s="67"/>
      <c r="G43" s="2"/>
      <c r="H43" s="2"/>
      <c r="I43" s="2"/>
      <c r="J43" s="2"/>
      <c r="K43" s="2"/>
      <c r="L43" s="2"/>
      <c r="M43" s="285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85"/>
      <c r="B44" s="2"/>
      <c r="C44" s="2"/>
      <c r="D44" s="65"/>
      <c r="E44" s="2"/>
      <c r="F44" s="67"/>
      <c r="G44" s="2"/>
      <c r="H44" s="2"/>
      <c r="I44" s="2"/>
      <c r="J44" s="2"/>
      <c r="K44" s="2"/>
      <c r="L44" s="2"/>
      <c r="M44" s="28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85"/>
      <c r="B45" s="2"/>
      <c r="C45" s="2"/>
      <c r="D45" s="65"/>
      <c r="E45" s="2"/>
      <c r="F45" s="67"/>
      <c r="G45" s="2"/>
      <c r="H45" s="2"/>
      <c r="I45" s="2"/>
      <c r="J45" s="2"/>
      <c r="K45" s="2"/>
      <c r="L45" s="2"/>
      <c r="M45" s="28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85"/>
      <c r="B46" s="2"/>
      <c r="C46" s="2"/>
      <c r="D46" s="65"/>
      <c r="E46" s="2"/>
      <c r="F46" s="67"/>
      <c r="G46" s="2"/>
      <c r="H46" s="2"/>
      <c r="I46" s="2"/>
      <c r="J46" s="2"/>
      <c r="K46" s="2"/>
      <c r="L46" s="2"/>
      <c r="M46" s="285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85"/>
      <c r="B47" s="2"/>
      <c r="C47" s="2"/>
      <c r="D47" s="65"/>
      <c r="E47" s="2"/>
      <c r="F47" s="67"/>
      <c r="G47" s="2"/>
      <c r="H47" s="2"/>
      <c r="I47" s="2"/>
      <c r="J47" s="2"/>
      <c r="K47" s="2"/>
      <c r="L47" s="2"/>
      <c r="M47" s="285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85"/>
      <c r="B48" s="2"/>
      <c r="C48" s="2"/>
      <c r="D48" s="65"/>
      <c r="E48" s="2"/>
      <c r="F48" s="67"/>
      <c r="G48" s="2"/>
      <c r="H48" s="2"/>
      <c r="I48" s="2"/>
      <c r="J48" s="2"/>
      <c r="K48" s="2"/>
      <c r="L48" s="2"/>
      <c r="M48" s="285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85"/>
      <c r="B49" s="2"/>
      <c r="C49" s="2"/>
      <c r="D49" s="65"/>
      <c r="E49" s="2"/>
      <c r="F49" s="67"/>
      <c r="G49" s="2"/>
      <c r="H49" s="2"/>
      <c r="I49" s="2"/>
      <c r="J49" s="2"/>
      <c r="K49" s="2"/>
      <c r="L49" s="2"/>
      <c r="M49" s="285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85"/>
      <c r="B50" s="2"/>
      <c r="C50" s="2"/>
      <c r="D50" s="65"/>
      <c r="E50" s="2"/>
      <c r="F50" s="67"/>
      <c r="G50" s="2"/>
      <c r="H50" s="2"/>
      <c r="I50" s="2"/>
      <c r="J50" s="2"/>
      <c r="K50" s="2"/>
      <c r="L50" s="2"/>
      <c r="M50" s="285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85"/>
      <c r="B51" s="2"/>
      <c r="C51" s="2"/>
      <c r="D51" s="65"/>
      <c r="E51" s="2"/>
      <c r="F51" s="67"/>
      <c r="G51" s="2"/>
      <c r="H51" s="2"/>
      <c r="I51" s="2"/>
      <c r="J51" s="2"/>
      <c r="K51" s="2"/>
      <c r="L51" s="2"/>
      <c r="M51" s="285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85"/>
      <c r="B52" s="2"/>
      <c r="C52" s="2"/>
      <c r="D52" s="65"/>
      <c r="E52" s="2"/>
      <c r="F52" s="67"/>
      <c r="G52" s="2"/>
      <c r="H52" s="2"/>
      <c r="I52" s="2"/>
      <c r="J52" s="2"/>
      <c r="K52" s="2"/>
      <c r="L52" s="2"/>
      <c r="M52" s="285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85"/>
      <c r="B53" s="2"/>
      <c r="C53" s="2"/>
      <c r="D53" s="65"/>
      <c r="E53" s="2"/>
      <c r="F53" s="67"/>
      <c r="G53" s="2"/>
      <c r="H53" s="2"/>
      <c r="I53" s="2"/>
      <c r="J53" s="2"/>
      <c r="K53" s="2"/>
      <c r="L53" s="2"/>
      <c r="M53" s="285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85"/>
      <c r="B54" s="2"/>
      <c r="C54" s="2"/>
      <c r="D54" s="65"/>
      <c r="E54" s="2"/>
      <c r="F54" s="67"/>
      <c r="G54" s="2"/>
      <c r="H54" s="2"/>
      <c r="I54" s="2"/>
      <c r="J54" s="2"/>
      <c r="K54" s="2"/>
      <c r="L54" s="2"/>
      <c r="M54" s="285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85"/>
      <c r="B55" s="2"/>
      <c r="C55" s="2"/>
      <c r="D55" s="65"/>
      <c r="E55" s="2"/>
      <c r="F55" s="67"/>
      <c r="G55" s="2"/>
      <c r="H55" s="2"/>
      <c r="I55" s="2"/>
      <c r="J55" s="2"/>
      <c r="K55" s="2"/>
      <c r="L55" s="2"/>
      <c r="M55" s="285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85"/>
      <c r="B56" s="2"/>
      <c r="C56" s="2"/>
      <c r="D56" s="65"/>
      <c r="E56" s="2"/>
      <c r="F56" s="65"/>
      <c r="G56" s="2"/>
      <c r="H56" s="2"/>
      <c r="I56" s="2"/>
      <c r="J56" s="2"/>
      <c r="K56" s="2"/>
      <c r="L56" s="2"/>
      <c r="M56" s="285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85"/>
      <c r="B57" s="2"/>
      <c r="C57" s="2"/>
      <c r="D57" s="65"/>
      <c r="E57" s="2"/>
      <c r="F57" s="65"/>
      <c r="G57" s="2"/>
      <c r="H57" s="2"/>
      <c r="I57" s="2"/>
      <c r="J57" s="2"/>
      <c r="K57" s="2"/>
      <c r="L57" s="2"/>
      <c r="M57" s="285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85"/>
      <c r="B58" s="2"/>
      <c r="C58" s="2"/>
      <c r="D58" s="65"/>
      <c r="E58" s="2"/>
      <c r="F58" s="67"/>
      <c r="G58" s="2"/>
      <c r="H58" s="2"/>
      <c r="I58" s="2"/>
      <c r="J58" s="2"/>
      <c r="K58" s="2"/>
      <c r="L58" s="2"/>
      <c r="M58" s="285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85"/>
      <c r="B59" s="2"/>
      <c r="C59" s="2"/>
      <c r="D59" s="65"/>
      <c r="E59" s="2"/>
      <c r="F59" s="65"/>
      <c r="G59" s="2"/>
      <c r="H59" s="2"/>
      <c r="I59" s="2"/>
      <c r="J59" s="2"/>
      <c r="K59" s="2"/>
      <c r="L59" s="2"/>
      <c r="M59" s="285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85"/>
      <c r="B60" s="2"/>
      <c r="C60" s="2"/>
      <c r="D60" s="65"/>
      <c r="E60" s="2"/>
      <c r="F60" s="67"/>
      <c r="G60" s="2"/>
      <c r="H60" s="2"/>
      <c r="I60" s="2"/>
      <c r="J60" s="2"/>
      <c r="K60" s="2"/>
      <c r="L60" s="2"/>
      <c r="M60" s="285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85"/>
      <c r="B61" s="2"/>
      <c r="C61" s="2"/>
      <c r="D61" s="65"/>
      <c r="E61" s="2"/>
      <c r="F61" s="65"/>
      <c r="G61" s="2"/>
      <c r="H61" s="2"/>
      <c r="I61" s="2"/>
      <c r="J61" s="2"/>
      <c r="K61" s="2"/>
      <c r="L61" s="2"/>
      <c r="M61" s="285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85"/>
      <c r="B62" s="2"/>
      <c r="C62" s="2"/>
      <c r="D62" s="65"/>
      <c r="E62" s="2"/>
      <c r="F62" s="65"/>
      <c r="G62" s="2"/>
      <c r="H62" s="2"/>
      <c r="I62" s="2"/>
      <c r="J62" s="2"/>
      <c r="K62" s="2"/>
      <c r="L62" s="2"/>
      <c r="M62" s="285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85"/>
      <c r="B63" s="2"/>
      <c r="C63" s="2"/>
      <c r="D63" s="65"/>
      <c r="E63" s="2"/>
      <c r="F63" s="65"/>
      <c r="G63" s="2"/>
      <c r="H63" s="2"/>
      <c r="I63" s="2"/>
      <c r="J63" s="2"/>
      <c r="K63" s="2"/>
      <c r="L63" s="2"/>
      <c r="M63" s="285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85"/>
      <c r="B64" s="2"/>
      <c r="C64" s="2"/>
      <c r="D64" s="65"/>
      <c r="E64" s="2"/>
      <c r="F64" s="65"/>
      <c r="G64" s="2"/>
      <c r="H64" s="2"/>
      <c r="I64" s="2"/>
      <c r="J64" s="2"/>
      <c r="K64" s="2"/>
      <c r="L64" s="2"/>
      <c r="M64" s="285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85"/>
      <c r="B65" s="2"/>
      <c r="C65" s="2"/>
      <c r="D65" s="65"/>
      <c r="E65" s="2"/>
      <c r="F65" s="65"/>
      <c r="G65" s="2"/>
      <c r="H65" s="2"/>
      <c r="I65" s="2"/>
      <c r="J65" s="2"/>
      <c r="K65" s="2"/>
      <c r="L65" s="2"/>
      <c r="M65" s="285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85"/>
      <c r="B66" s="2"/>
      <c r="C66" s="2"/>
      <c r="D66" s="65"/>
      <c r="E66" s="2"/>
      <c r="F66" s="65"/>
      <c r="G66" s="2"/>
      <c r="H66" s="2"/>
      <c r="I66" s="2"/>
      <c r="J66" s="2"/>
      <c r="K66" s="2"/>
      <c r="L66" s="2"/>
      <c r="M66" s="285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85"/>
      <c r="B67" s="2"/>
      <c r="C67" s="2"/>
      <c r="D67" s="65"/>
      <c r="E67" s="2"/>
      <c r="F67" s="65"/>
      <c r="G67" s="2"/>
      <c r="H67" s="2"/>
      <c r="I67" s="2"/>
      <c r="J67" s="2"/>
      <c r="K67" s="2"/>
      <c r="L67" s="2"/>
      <c r="M67" s="285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85"/>
      <c r="B68" s="2"/>
      <c r="C68" s="2"/>
      <c r="D68" s="65"/>
      <c r="E68" s="2"/>
      <c r="F68" s="65"/>
      <c r="G68" s="2"/>
      <c r="H68" s="2"/>
      <c r="I68" s="2"/>
      <c r="J68" s="2"/>
      <c r="K68" s="2"/>
      <c r="L68" s="2"/>
      <c r="M68" s="285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85"/>
      <c r="B69" s="2"/>
      <c r="C69" s="2"/>
      <c r="D69" s="65"/>
      <c r="E69" s="2"/>
      <c r="F69" s="65"/>
      <c r="G69" s="2"/>
      <c r="H69" s="2"/>
      <c r="I69" s="2"/>
      <c r="J69" s="2"/>
      <c r="K69" s="2"/>
      <c r="L69" s="2"/>
      <c r="M69" s="285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85"/>
      <c r="B70" s="2"/>
      <c r="C70" s="2"/>
      <c r="D70" s="65"/>
      <c r="E70" s="2"/>
      <c r="F70" s="65"/>
      <c r="G70" s="2"/>
      <c r="H70" s="2"/>
      <c r="I70" s="2"/>
      <c r="J70" s="2"/>
      <c r="K70" s="2"/>
      <c r="L70" s="2"/>
      <c r="M70" s="285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85"/>
      <c r="B71" s="2"/>
      <c r="C71" s="2"/>
      <c r="D71" s="65"/>
      <c r="E71" s="2"/>
      <c r="F71" s="65"/>
      <c r="G71" s="2"/>
      <c r="H71" s="2"/>
      <c r="I71" s="2"/>
      <c r="J71" s="2"/>
      <c r="K71" s="2"/>
      <c r="L71" s="2"/>
      <c r="M71" s="285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85"/>
      <c r="B72" s="2"/>
      <c r="C72" s="2"/>
      <c r="D72" s="65"/>
      <c r="E72" s="2"/>
      <c r="F72" s="65"/>
      <c r="G72" s="2"/>
      <c r="H72" s="2"/>
      <c r="I72" s="2"/>
      <c r="J72" s="2"/>
      <c r="K72" s="2"/>
      <c r="L72" s="2"/>
      <c r="M72" s="285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85"/>
      <c r="B73" s="2"/>
      <c r="C73" s="2"/>
      <c r="D73" s="65"/>
      <c r="E73" s="2"/>
      <c r="F73" s="65"/>
      <c r="G73" s="2"/>
      <c r="H73" s="2"/>
      <c r="I73" s="2"/>
      <c r="J73" s="2"/>
      <c r="K73" s="2"/>
      <c r="L73" s="2"/>
      <c r="M73" s="285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85"/>
      <c r="B74" s="2"/>
      <c r="C74" s="2"/>
      <c r="D74" s="65"/>
      <c r="E74" s="2"/>
      <c r="F74" s="65"/>
      <c r="G74" s="2"/>
      <c r="H74" s="2"/>
      <c r="I74" s="2"/>
      <c r="J74" s="2"/>
      <c r="K74" s="2"/>
      <c r="L74" s="2"/>
      <c r="M74" s="285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85"/>
      <c r="B75" s="2"/>
      <c r="C75" s="2"/>
      <c r="D75" s="65"/>
      <c r="E75" s="2"/>
      <c r="F75" s="65"/>
      <c r="G75" s="2"/>
      <c r="H75" s="2"/>
      <c r="I75" s="2"/>
      <c r="J75" s="2"/>
      <c r="K75" s="2"/>
      <c r="L75" s="2"/>
      <c r="M75" s="285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85"/>
      <c r="B76" s="2"/>
      <c r="C76" s="2"/>
      <c r="D76" s="65"/>
      <c r="E76" s="2"/>
      <c r="F76" s="65"/>
      <c r="G76" s="2"/>
      <c r="H76" s="2"/>
      <c r="I76" s="2"/>
      <c r="J76" s="2"/>
      <c r="K76" s="2"/>
      <c r="L76" s="2"/>
      <c r="M76" s="285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85"/>
      <c r="B77" s="2"/>
      <c r="C77" s="2"/>
      <c r="D77" s="65"/>
      <c r="E77" s="2"/>
      <c r="F77" s="65"/>
      <c r="G77" s="2"/>
      <c r="H77" s="2"/>
      <c r="I77" s="2"/>
      <c r="J77" s="2"/>
      <c r="K77" s="2"/>
      <c r="L77" s="2"/>
      <c r="M77" s="285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85"/>
      <c r="B78" s="2"/>
      <c r="C78" s="2"/>
      <c r="D78" s="65"/>
      <c r="E78" s="2"/>
      <c r="F78" s="68"/>
      <c r="G78" s="2"/>
      <c r="H78" s="2"/>
      <c r="I78" s="2"/>
      <c r="J78" s="2"/>
      <c r="K78" s="2"/>
      <c r="L78" s="2"/>
      <c r="M78" s="285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85"/>
      <c r="B79" s="2"/>
      <c r="C79" s="2"/>
      <c r="D79" s="65"/>
      <c r="E79" s="2"/>
      <c r="F79" s="68"/>
      <c r="G79" s="2"/>
      <c r="H79" s="2"/>
      <c r="I79" s="2"/>
      <c r="J79" s="2"/>
      <c r="K79" s="2"/>
      <c r="L79" s="2"/>
      <c r="M79" s="285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85"/>
      <c r="B80" s="2"/>
      <c r="C80" s="2"/>
      <c r="D80" s="65"/>
      <c r="E80" s="2"/>
      <c r="F80" s="68"/>
      <c r="G80" s="2"/>
      <c r="H80" s="2"/>
      <c r="I80" s="2"/>
      <c r="J80" s="2"/>
      <c r="K80" s="2"/>
      <c r="L80" s="2"/>
      <c r="M80" s="285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85"/>
      <c r="B81" s="2"/>
      <c r="C81" s="2"/>
      <c r="D81" s="65"/>
      <c r="E81" s="2"/>
      <c r="F81" s="65"/>
      <c r="G81" s="2"/>
      <c r="H81" s="2"/>
      <c r="I81" s="2"/>
      <c r="J81" s="2"/>
      <c r="K81" s="2"/>
      <c r="L81" s="2"/>
      <c r="M81" s="285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85"/>
      <c r="B82" s="2"/>
      <c r="C82" s="2"/>
      <c r="D82" s="65"/>
      <c r="E82" s="2"/>
      <c r="F82" s="65"/>
      <c r="G82" s="2"/>
      <c r="H82" s="2"/>
      <c r="I82" s="2"/>
      <c r="J82" s="2"/>
      <c r="K82" s="2"/>
      <c r="L82" s="2"/>
      <c r="M82" s="285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85"/>
      <c r="B83" s="2"/>
      <c r="C83" s="2"/>
      <c r="D83" s="65"/>
      <c r="E83" s="2"/>
      <c r="F83" s="65"/>
      <c r="G83" s="2"/>
      <c r="H83" s="2"/>
      <c r="I83" s="2"/>
      <c r="J83" s="2"/>
      <c r="K83" s="2"/>
      <c r="L83" s="2"/>
      <c r="M83" s="285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85"/>
      <c r="B84" s="2"/>
      <c r="C84" s="2"/>
      <c r="D84" s="65"/>
      <c r="E84" s="2"/>
      <c r="F84" s="65"/>
      <c r="G84" s="2"/>
      <c r="H84" s="2"/>
      <c r="I84" s="2"/>
      <c r="J84" s="2"/>
      <c r="K84" s="2"/>
      <c r="L84" s="2"/>
      <c r="M84" s="285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85"/>
      <c r="B85" s="2"/>
      <c r="C85" s="2"/>
      <c r="D85" s="65"/>
      <c r="E85" s="2"/>
      <c r="F85" s="65"/>
      <c r="G85" s="2"/>
      <c r="H85" s="2"/>
      <c r="I85" s="2"/>
      <c r="J85" s="2"/>
      <c r="K85" s="2"/>
      <c r="L85" s="2"/>
      <c r="M85" s="285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85"/>
      <c r="B86" s="2"/>
      <c r="C86" s="2"/>
      <c r="D86" s="65"/>
      <c r="E86" s="2"/>
      <c r="F86" s="65"/>
      <c r="G86" s="2"/>
      <c r="H86" s="2"/>
      <c r="I86" s="2"/>
      <c r="J86" s="2"/>
      <c r="K86" s="2"/>
      <c r="L86" s="2"/>
      <c r="M86" s="285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85"/>
      <c r="B87" s="2"/>
      <c r="C87" s="2"/>
      <c r="D87" s="65"/>
      <c r="E87" s="2"/>
      <c r="F87" s="65"/>
      <c r="G87" s="2"/>
      <c r="H87" s="2"/>
      <c r="I87" s="2"/>
      <c r="J87" s="2"/>
      <c r="K87" s="2"/>
      <c r="L87" s="2"/>
      <c r="M87" s="285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85"/>
      <c r="B88" s="2"/>
      <c r="C88" s="2"/>
      <c r="D88" s="65"/>
      <c r="E88" s="2"/>
      <c r="F88" s="65"/>
      <c r="G88" s="2"/>
      <c r="H88" s="2"/>
      <c r="I88" s="2"/>
      <c r="J88" s="2"/>
      <c r="K88" s="2"/>
      <c r="L88" s="2"/>
      <c r="M88" s="285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85"/>
      <c r="B89" s="2"/>
      <c r="C89" s="2"/>
      <c r="D89" s="65"/>
      <c r="E89" s="2"/>
      <c r="F89" s="65"/>
      <c r="G89" s="2"/>
      <c r="H89" s="2"/>
      <c r="I89" s="2"/>
      <c r="J89" s="2"/>
      <c r="K89" s="2"/>
      <c r="L89" s="2"/>
      <c r="M89" s="285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85"/>
      <c r="B90" s="2"/>
      <c r="C90" s="2"/>
      <c r="D90" s="65"/>
      <c r="E90" s="2"/>
      <c r="F90" s="65"/>
      <c r="G90" s="2"/>
      <c r="H90" s="2"/>
      <c r="I90" s="2"/>
      <c r="J90" s="2"/>
      <c r="K90" s="2"/>
      <c r="L90" s="2"/>
      <c r="M90" s="285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85"/>
      <c r="B91" s="2"/>
      <c r="C91" s="2"/>
      <c r="D91" s="65"/>
      <c r="E91" s="2"/>
      <c r="F91" s="65"/>
      <c r="G91" s="2"/>
      <c r="H91" s="2"/>
      <c r="I91" s="2"/>
      <c r="J91" s="2"/>
      <c r="K91" s="2"/>
      <c r="L91" s="2"/>
      <c r="M91" s="285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85"/>
      <c r="B92" s="2"/>
      <c r="C92" s="2"/>
      <c r="D92" s="65"/>
      <c r="E92" s="2"/>
      <c r="F92" s="65"/>
      <c r="G92" s="2"/>
      <c r="H92" s="2"/>
      <c r="I92" s="2"/>
      <c r="J92" s="2"/>
      <c r="K92" s="2"/>
      <c r="L92" s="2"/>
      <c r="M92" s="285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85"/>
      <c r="B93" s="2"/>
      <c r="C93" s="2"/>
      <c r="D93" s="65"/>
      <c r="E93" s="2"/>
      <c r="F93" s="65"/>
      <c r="G93" s="2"/>
      <c r="H93" s="2"/>
      <c r="I93" s="2"/>
      <c r="J93" s="2"/>
      <c r="K93" s="2"/>
      <c r="L93" s="2"/>
      <c r="M93" s="285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85"/>
      <c r="B94" s="2"/>
      <c r="C94" s="2"/>
      <c r="D94" s="65"/>
      <c r="E94" s="2"/>
      <c r="F94" s="65"/>
      <c r="G94" s="2"/>
      <c r="H94" s="2"/>
      <c r="I94" s="2"/>
      <c r="J94" s="2"/>
      <c r="K94" s="2"/>
      <c r="L94" s="2"/>
      <c r="M94" s="285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85"/>
      <c r="B95" s="2"/>
      <c r="C95" s="2"/>
      <c r="D95" s="65"/>
      <c r="E95" s="2"/>
      <c r="F95" s="65"/>
      <c r="G95" s="2"/>
      <c r="H95" s="2"/>
      <c r="I95" s="2"/>
      <c r="J95" s="2"/>
      <c r="K95" s="2"/>
      <c r="L95" s="2"/>
      <c r="M95" s="285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85"/>
      <c r="B96" s="2"/>
      <c r="C96" s="2"/>
      <c r="D96" s="65"/>
      <c r="E96" s="2"/>
      <c r="F96" s="65"/>
      <c r="G96" s="2"/>
      <c r="H96" s="2"/>
      <c r="I96" s="2"/>
      <c r="J96" s="2"/>
      <c r="K96" s="2"/>
      <c r="L96" s="2"/>
      <c r="M96" s="285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85"/>
      <c r="B97" s="2"/>
      <c r="C97" s="2"/>
      <c r="D97" s="65"/>
      <c r="E97" s="2"/>
      <c r="F97" s="65"/>
      <c r="G97" s="2"/>
      <c r="H97" s="2"/>
      <c r="I97" s="2"/>
      <c r="J97" s="2"/>
      <c r="K97" s="2"/>
      <c r="L97" s="2"/>
      <c r="M97" s="285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85"/>
      <c r="B98" s="2"/>
      <c r="C98" s="2"/>
      <c r="D98" s="65"/>
      <c r="E98" s="2"/>
      <c r="F98" s="65"/>
      <c r="G98" s="2"/>
      <c r="H98" s="2"/>
      <c r="I98" s="2"/>
      <c r="J98" s="2"/>
      <c r="K98" s="2"/>
      <c r="L98" s="2"/>
      <c r="M98" s="285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85"/>
      <c r="B99" s="2"/>
      <c r="C99" s="2"/>
      <c r="D99" s="65"/>
      <c r="E99" s="2"/>
      <c r="F99" s="65"/>
      <c r="G99" s="2"/>
      <c r="H99" s="2"/>
      <c r="I99" s="2"/>
      <c r="J99" s="2"/>
      <c r="K99" s="2"/>
      <c r="L99" s="2"/>
      <c r="M99" s="285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85"/>
      <c r="B100" s="2"/>
      <c r="C100" s="2"/>
      <c r="D100" s="65"/>
      <c r="E100" s="2"/>
      <c r="F100" s="65"/>
      <c r="G100" s="2"/>
      <c r="H100" s="2"/>
      <c r="I100" s="2"/>
      <c r="J100" s="2"/>
      <c r="K100" s="2"/>
      <c r="L100" s="2"/>
      <c r="M100" s="285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85"/>
      <c r="B101" s="2"/>
      <c r="C101" s="2"/>
      <c r="D101" s="65"/>
      <c r="E101" s="2"/>
      <c r="F101" s="65"/>
      <c r="G101" s="2"/>
      <c r="H101" s="2"/>
      <c r="I101" s="2"/>
      <c r="J101" s="2"/>
      <c r="K101" s="2"/>
      <c r="L101" s="2"/>
      <c r="M101" s="285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85"/>
      <c r="B102" s="2"/>
      <c r="C102" s="2"/>
      <c r="D102" s="65"/>
      <c r="E102" s="2"/>
      <c r="F102" s="65"/>
      <c r="G102" s="2"/>
      <c r="H102" s="2"/>
      <c r="I102" s="2"/>
      <c r="J102" s="2"/>
      <c r="K102" s="2"/>
      <c r="L102" s="2"/>
      <c r="M102" s="285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85"/>
      <c r="B103" s="2"/>
      <c r="C103" s="2"/>
      <c r="D103" s="65"/>
      <c r="E103" s="2"/>
      <c r="F103" s="65"/>
      <c r="G103" s="2"/>
      <c r="H103" s="2"/>
      <c r="I103" s="2"/>
      <c r="J103" s="2"/>
      <c r="K103" s="2"/>
      <c r="L103" s="2"/>
      <c r="M103" s="285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85"/>
      <c r="B104" s="2"/>
      <c r="C104" s="2"/>
      <c r="D104" s="65"/>
      <c r="E104" s="2"/>
      <c r="F104" s="65"/>
      <c r="G104" s="2"/>
      <c r="H104" s="2"/>
      <c r="I104" s="2"/>
      <c r="J104" s="2"/>
      <c r="K104" s="2"/>
      <c r="L104" s="2"/>
      <c r="M104" s="285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85"/>
      <c r="B105" s="2"/>
      <c r="C105" s="2"/>
      <c r="D105" s="65"/>
      <c r="E105" s="2"/>
      <c r="F105" s="65"/>
      <c r="G105" s="2"/>
      <c r="H105" s="2"/>
      <c r="I105" s="2"/>
      <c r="J105" s="2"/>
      <c r="K105" s="2"/>
      <c r="L105" s="2"/>
      <c r="M105" s="285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85"/>
      <c r="B106" s="2"/>
      <c r="C106" s="2"/>
      <c r="D106" s="65"/>
      <c r="E106" s="2"/>
      <c r="F106" s="65"/>
      <c r="G106" s="2"/>
      <c r="H106" s="2"/>
      <c r="I106" s="2"/>
      <c r="J106" s="2"/>
      <c r="K106" s="2"/>
      <c r="L106" s="2"/>
      <c r="M106" s="285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85"/>
      <c r="B107" s="2"/>
      <c r="C107" s="2"/>
      <c r="D107" s="65"/>
      <c r="E107" s="2"/>
      <c r="F107" s="65"/>
      <c r="G107" s="2"/>
      <c r="H107" s="2"/>
      <c r="I107" s="2"/>
      <c r="J107" s="2"/>
      <c r="K107" s="2"/>
      <c r="L107" s="2"/>
      <c r="M107" s="285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85"/>
      <c r="B108" s="2"/>
      <c r="C108" s="2"/>
      <c r="D108" s="65"/>
      <c r="E108" s="2"/>
      <c r="F108" s="65"/>
      <c r="G108" s="2"/>
      <c r="H108" s="2"/>
      <c r="I108" s="2"/>
      <c r="J108" s="2"/>
      <c r="K108" s="2"/>
      <c r="L108" s="2"/>
      <c r="M108" s="285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85"/>
      <c r="B109" s="2"/>
      <c r="C109" s="2"/>
      <c r="D109" s="65"/>
      <c r="E109" s="2"/>
      <c r="F109" s="65"/>
      <c r="G109" s="2"/>
      <c r="H109" s="2"/>
      <c r="I109" s="2"/>
      <c r="J109" s="2"/>
      <c r="K109" s="2"/>
      <c r="L109" s="2"/>
      <c r="M109" s="285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85"/>
      <c r="B110" s="2"/>
      <c r="C110" s="2"/>
      <c r="D110" s="65"/>
      <c r="E110" s="2"/>
      <c r="F110" s="65"/>
      <c r="G110" s="2"/>
      <c r="H110" s="2"/>
      <c r="I110" s="2"/>
      <c r="J110" s="2"/>
      <c r="K110" s="2"/>
      <c r="L110" s="2"/>
      <c r="M110" s="285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85"/>
      <c r="B111" s="2"/>
      <c r="C111" s="2"/>
      <c r="D111" s="65"/>
      <c r="E111" s="2"/>
      <c r="F111" s="65"/>
      <c r="G111" s="2"/>
      <c r="H111" s="2"/>
      <c r="I111" s="2"/>
      <c r="J111" s="2"/>
      <c r="K111" s="2"/>
      <c r="L111" s="2"/>
      <c r="M111" s="285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85"/>
      <c r="B112" s="2"/>
      <c r="C112" s="2"/>
      <c r="D112" s="65"/>
      <c r="E112" s="2"/>
      <c r="F112" s="65"/>
      <c r="G112" s="2"/>
      <c r="H112" s="2"/>
      <c r="I112" s="2"/>
      <c r="J112" s="2"/>
      <c r="K112" s="2"/>
      <c r="L112" s="2"/>
      <c r="M112" s="285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85"/>
      <c r="B113" s="2"/>
      <c r="C113" s="2"/>
      <c r="D113" s="65"/>
      <c r="E113" s="2"/>
      <c r="F113" s="65"/>
      <c r="G113" s="2"/>
      <c r="H113" s="2"/>
      <c r="I113" s="2"/>
      <c r="J113" s="2"/>
      <c r="K113" s="2"/>
      <c r="L113" s="2"/>
      <c r="M113" s="285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85"/>
      <c r="B114" s="2"/>
      <c r="C114" s="2"/>
      <c r="D114" s="65"/>
      <c r="E114" s="2"/>
      <c r="F114" s="65"/>
      <c r="G114" s="2"/>
      <c r="H114" s="2"/>
      <c r="I114" s="2"/>
      <c r="J114" s="2"/>
      <c r="K114" s="2"/>
      <c r="L114" s="2"/>
      <c r="M114" s="285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85"/>
      <c r="B115" s="2"/>
      <c r="C115" s="2"/>
      <c r="D115" s="65"/>
      <c r="E115" s="2"/>
      <c r="F115" s="65"/>
      <c r="G115" s="2"/>
      <c r="H115" s="2"/>
      <c r="I115" s="2"/>
      <c r="J115" s="2"/>
      <c r="K115" s="2"/>
      <c r="L115" s="2"/>
      <c r="M115" s="285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85"/>
      <c r="B116" s="2"/>
      <c r="C116" s="2"/>
      <c r="D116" s="65"/>
      <c r="E116" s="2"/>
      <c r="F116" s="65"/>
      <c r="G116" s="2"/>
      <c r="H116" s="2"/>
      <c r="I116" s="2"/>
      <c r="J116" s="2"/>
      <c r="K116" s="2"/>
      <c r="L116" s="2"/>
      <c r="M116" s="285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85"/>
      <c r="B117" s="2"/>
      <c r="C117" s="2"/>
      <c r="D117" s="65"/>
      <c r="E117" s="2"/>
      <c r="F117" s="65"/>
      <c r="G117" s="2"/>
      <c r="H117" s="2"/>
      <c r="I117" s="2"/>
      <c r="J117" s="2"/>
      <c r="K117" s="2"/>
      <c r="L117" s="2"/>
      <c r="M117" s="285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85"/>
      <c r="B118" s="2"/>
      <c r="C118" s="2"/>
      <c r="D118" s="65"/>
      <c r="E118" s="2"/>
      <c r="F118" s="65"/>
      <c r="G118" s="2"/>
      <c r="H118" s="2"/>
      <c r="I118" s="2"/>
      <c r="J118" s="2"/>
      <c r="K118" s="2"/>
      <c r="L118" s="2"/>
      <c r="M118" s="285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85"/>
      <c r="B119" s="2"/>
      <c r="C119" s="2"/>
      <c r="D119" s="65"/>
      <c r="E119" s="2"/>
      <c r="F119" s="65"/>
      <c r="G119" s="2"/>
      <c r="H119" s="2"/>
      <c r="I119" s="2"/>
      <c r="J119" s="2"/>
      <c r="K119" s="2"/>
      <c r="L119" s="2"/>
      <c r="M119" s="285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85"/>
      <c r="B120" s="2"/>
      <c r="C120" s="2"/>
      <c r="D120" s="65"/>
      <c r="E120" s="2"/>
      <c r="F120" s="65"/>
      <c r="G120" s="2"/>
      <c r="H120" s="2"/>
      <c r="I120" s="2"/>
      <c r="J120" s="2"/>
      <c r="K120" s="2"/>
      <c r="L120" s="2"/>
      <c r="M120" s="285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85"/>
      <c r="B121" s="2"/>
      <c r="C121" s="2"/>
      <c r="D121" s="65"/>
      <c r="E121" s="2"/>
      <c r="F121" s="65"/>
      <c r="G121" s="2"/>
      <c r="H121" s="2"/>
      <c r="I121" s="2"/>
      <c r="J121" s="2"/>
      <c r="K121" s="2"/>
      <c r="L121" s="2"/>
      <c r="M121" s="285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85"/>
      <c r="B122" s="2"/>
      <c r="C122" s="2"/>
      <c r="D122" s="65"/>
      <c r="E122" s="2"/>
      <c r="F122" s="65"/>
      <c r="G122" s="2"/>
      <c r="H122" s="2"/>
      <c r="I122" s="2"/>
      <c r="J122" s="2"/>
      <c r="K122" s="2"/>
      <c r="L122" s="2"/>
      <c r="M122" s="285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85"/>
      <c r="B123" s="2"/>
      <c r="C123" s="2"/>
      <c r="D123" s="65"/>
      <c r="E123" s="2"/>
      <c r="F123" s="65"/>
      <c r="G123" s="2"/>
      <c r="H123" s="2"/>
      <c r="I123" s="2"/>
      <c r="J123" s="2"/>
      <c r="K123" s="2"/>
      <c r="L123" s="2"/>
      <c r="M123" s="285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85"/>
      <c r="B124" s="2"/>
      <c r="C124" s="2"/>
      <c r="D124" s="65"/>
      <c r="E124" s="2"/>
      <c r="F124" s="65"/>
      <c r="G124" s="2"/>
      <c r="H124" s="2"/>
      <c r="I124" s="2"/>
      <c r="J124" s="2"/>
      <c r="K124" s="2"/>
      <c r="L124" s="2"/>
      <c r="M124" s="285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85"/>
      <c r="B125" s="2"/>
      <c r="C125" s="2"/>
      <c r="D125" s="65"/>
      <c r="E125" s="2"/>
      <c r="F125" s="65"/>
      <c r="G125" s="2"/>
      <c r="H125" s="2"/>
      <c r="I125" s="2"/>
      <c r="J125" s="2"/>
      <c r="K125" s="2"/>
      <c r="L125" s="2"/>
      <c r="M125" s="285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85"/>
      <c r="B126" s="2"/>
      <c r="C126" s="2"/>
      <c r="D126" s="65"/>
      <c r="E126" s="2"/>
      <c r="F126" s="65"/>
      <c r="G126" s="2"/>
      <c r="H126" s="2"/>
      <c r="I126" s="2"/>
      <c r="J126" s="2"/>
      <c r="K126" s="2"/>
      <c r="L126" s="2"/>
      <c r="M126" s="285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85"/>
      <c r="B127" s="2"/>
      <c r="C127" s="2"/>
      <c r="D127" s="65"/>
      <c r="E127" s="2"/>
      <c r="F127" s="65"/>
      <c r="G127" s="2"/>
      <c r="H127" s="2"/>
      <c r="I127" s="2"/>
      <c r="J127" s="2"/>
      <c r="K127" s="2"/>
      <c r="L127" s="2"/>
      <c r="M127" s="285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85"/>
      <c r="B128" s="2"/>
      <c r="C128" s="2"/>
      <c r="D128" s="65"/>
      <c r="E128" s="2"/>
      <c r="F128" s="65"/>
      <c r="G128" s="2"/>
      <c r="H128" s="2"/>
      <c r="I128" s="2"/>
      <c r="J128" s="2"/>
      <c r="K128" s="2"/>
      <c r="L128" s="2"/>
      <c r="M128" s="285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85"/>
      <c r="B129" s="2"/>
      <c r="C129" s="2"/>
      <c r="D129" s="65"/>
      <c r="E129" s="2"/>
      <c r="F129" s="65"/>
      <c r="G129" s="2"/>
      <c r="H129" s="2"/>
      <c r="I129" s="2"/>
      <c r="J129" s="2"/>
      <c r="K129" s="2"/>
      <c r="L129" s="2"/>
      <c r="M129" s="285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85"/>
      <c r="B130" s="2"/>
      <c r="C130" s="2"/>
      <c r="D130" s="65"/>
      <c r="E130" s="2"/>
      <c r="F130" s="65"/>
      <c r="G130" s="2"/>
      <c r="H130" s="2"/>
      <c r="I130" s="2"/>
      <c r="J130" s="2"/>
      <c r="K130" s="2"/>
      <c r="L130" s="2"/>
      <c r="M130" s="285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85"/>
      <c r="B131" s="2"/>
      <c r="C131" s="2"/>
      <c r="D131" s="65"/>
      <c r="E131" s="2"/>
      <c r="F131" s="65"/>
      <c r="G131" s="2"/>
      <c r="H131" s="2"/>
      <c r="I131" s="2"/>
      <c r="J131" s="2"/>
      <c r="K131" s="2"/>
      <c r="L131" s="2"/>
      <c r="M131" s="285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85"/>
      <c r="B132" s="2"/>
      <c r="C132" s="2"/>
      <c r="D132" s="65"/>
      <c r="E132" s="2"/>
      <c r="F132" s="65"/>
      <c r="G132" s="2"/>
      <c r="H132" s="2"/>
      <c r="I132" s="2"/>
      <c r="J132" s="2"/>
      <c r="K132" s="2"/>
      <c r="L132" s="2"/>
      <c r="M132" s="285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85"/>
      <c r="B133" s="2"/>
      <c r="C133" s="2"/>
      <c r="D133" s="65"/>
      <c r="E133" s="2"/>
      <c r="F133" s="65"/>
      <c r="G133" s="2"/>
      <c r="H133" s="2"/>
      <c r="I133" s="2"/>
      <c r="J133" s="2"/>
      <c r="K133" s="2"/>
      <c r="L133" s="2"/>
      <c r="M133" s="285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85"/>
      <c r="B134" s="2"/>
      <c r="C134" s="2"/>
      <c r="D134" s="65"/>
      <c r="E134" s="2"/>
      <c r="F134" s="65"/>
      <c r="G134" s="2"/>
      <c r="H134" s="2"/>
      <c r="I134" s="2"/>
      <c r="J134" s="2"/>
      <c r="K134" s="2"/>
      <c r="L134" s="2"/>
      <c r="M134" s="285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85"/>
      <c r="B135" s="2"/>
      <c r="C135" s="2"/>
      <c r="D135" s="65"/>
      <c r="E135" s="2"/>
      <c r="F135" s="65"/>
      <c r="G135" s="2"/>
      <c r="H135" s="2"/>
      <c r="I135" s="2"/>
      <c r="J135" s="2"/>
      <c r="K135" s="2"/>
      <c r="L135" s="2"/>
      <c r="M135" s="285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85"/>
      <c r="B136" s="2"/>
      <c r="C136" s="2"/>
      <c r="D136" s="65"/>
      <c r="E136" s="2"/>
      <c r="F136" s="65"/>
      <c r="G136" s="2"/>
      <c r="H136" s="2"/>
      <c r="I136" s="2"/>
      <c r="J136" s="2"/>
      <c r="K136" s="2"/>
      <c r="L136" s="2"/>
      <c r="M136" s="285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85"/>
      <c r="B137" s="2"/>
      <c r="C137" s="2"/>
      <c r="D137" s="65"/>
      <c r="E137" s="2"/>
      <c r="F137" s="65"/>
      <c r="G137" s="2"/>
      <c r="H137" s="2"/>
      <c r="I137" s="2"/>
      <c r="J137" s="2"/>
      <c r="K137" s="2"/>
      <c r="L137" s="2"/>
      <c r="M137" s="285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85"/>
      <c r="B138" s="2"/>
      <c r="C138" s="2"/>
      <c r="D138" s="65"/>
      <c r="E138" s="2"/>
      <c r="F138" s="65"/>
      <c r="G138" s="2"/>
      <c r="H138" s="2"/>
      <c r="I138" s="2"/>
      <c r="J138" s="2"/>
      <c r="K138" s="2"/>
      <c r="L138" s="2"/>
      <c r="M138" s="285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85"/>
      <c r="B139" s="2"/>
      <c r="C139" s="2"/>
      <c r="D139" s="65"/>
      <c r="E139" s="2"/>
      <c r="F139" s="65"/>
      <c r="G139" s="2"/>
      <c r="H139" s="2"/>
      <c r="I139" s="2"/>
      <c r="J139" s="2"/>
      <c r="K139" s="2"/>
      <c r="L139" s="2"/>
      <c r="M139" s="285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85"/>
      <c r="B140" s="2"/>
      <c r="C140" s="2"/>
      <c r="D140" s="65"/>
      <c r="E140" s="2"/>
      <c r="F140" s="65"/>
      <c r="G140" s="2"/>
      <c r="H140" s="2"/>
      <c r="I140" s="2"/>
      <c r="J140" s="2"/>
      <c r="K140" s="2"/>
      <c r="L140" s="2"/>
      <c r="M140" s="285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85"/>
      <c r="B141" s="2"/>
      <c r="C141" s="2"/>
      <c r="D141" s="65"/>
      <c r="E141" s="2"/>
      <c r="F141" s="65"/>
      <c r="G141" s="2"/>
      <c r="H141" s="2"/>
      <c r="I141" s="2"/>
      <c r="J141" s="2"/>
      <c r="K141" s="2"/>
      <c r="L141" s="2"/>
      <c r="M141" s="285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85"/>
      <c r="B142" s="2"/>
      <c r="C142" s="2"/>
      <c r="D142" s="65"/>
      <c r="E142" s="2"/>
      <c r="F142" s="65"/>
      <c r="G142" s="2"/>
      <c r="H142" s="2"/>
      <c r="I142" s="2"/>
      <c r="J142" s="2"/>
      <c r="K142" s="2"/>
      <c r="L142" s="2"/>
      <c r="M142" s="285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85"/>
      <c r="B143" s="2"/>
      <c r="C143" s="2"/>
      <c r="D143" s="65"/>
      <c r="E143" s="2"/>
      <c r="F143" s="65"/>
      <c r="G143" s="2"/>
      <c r="H143" s="2"/>
      <c r="I143" s="2"/>
      <c r="J143" s="2"/>
      <c r="K143" s="2"/>
      <c r="L143" s="2"/>
      <c r="M143" s="285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85"/>
      <c r="B144" s="2"/>
      <c r="C144" s="2"/>
      <c r="D144" s="65"/>
      <c r="E144" s="2"/>
      <c r="F144" s="65"/>
      <c r="G144" s="2"/>
      <c r="H144" s="2"/>
      <c r="I144" s="2"/>
      <c r="J144" s="2"/>
      <c r="K144" s="2"/>
      <c r="L144" s="2"/>
      <c r="M144" s="285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85"/>
      <c r="B145" s="2"/>
      <c r="C145" s="2"/>
      <c r="D145" s="65"/>
      <c r="E145" s="2"/>
      <c r="F145" s="65"/>
      <c r="G145" s="2"/>
      <c r="H145" s="2"/>
      <c r="I145" s="2"/>
      <c r="J145" s="2"/>
      <c r="K145" s="2"/>
      <c r="L145" s="2"/>
      <c r="M145" s="285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85"/>
      <c r="B146" s="2"/>
      <c r="C146" s="2"/>
      <c r="D146" s="65"/>
      <c r="E146" s="2"/>
      <c r="F146" s="65"/>
      <c r="G146" s="2"/>
      <c r="H146" s="2"/>
      <c r="I146" s="2"/>
      <c r="J146" s="2"/>
      <c r="K146" s="2"/>
      <c r="L146" s="2"/>
      <c r="M146" s="285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85"/>
      <c r="B147" s="2"/>
      <c r="C147" s="2"/>
      <c r="D147" s="65"/>
      <c r="E147" s="2"/>
      <c r="F147" s="65"/>
      <c r="G147" s="2"/>
      <c r="H147" s="2"/>
      <c r="I147" s="2"/>
      <c r="J147" s="2"/>
      <c r="K147" s="2"/>
      <c r="L147" s="2"/>
      <c r="M147" s="285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85"/>
      <c r="B148" s="2"/>
      <c r="C148" s="2"/>
      <c r="D148" s="65"/>
      <c r="E148" s="2"/>
      <c r="F148" s="65"/>
      <c r="G148" s="2"/>
      <c r="H148" s="2"/>
      <c r="I148" s="2"/>
      <c r="J148" s="2"/>
      <c r="K148" s="2"/>
      <c r="L148" s="2"/>
      <c r="M148" s="285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85"/>
      <c r="B149" s="2"/>
      <c r="C149" s="2"/>
      <c r="D149" s="65"/>
      <c r="E149" s="2"/>
      <c r="F149" s="65"/>
      <c r="G149" s="2"/>
      <c r="H149" s="2"/>
      <c r="I149" s="2"/>
      <c r="J149" s="2"/>
      <c r="K149" s="2"/>
      <c r="L149" s="2"/>
      <c r="M149" s="285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85"/>
      <c r="B150" s="2"/>
      <c r="C150" s="2"/>
      <c r="D150" s="65"/>
      <c r="E150" s="2"/>
      <c r="F150" s="65"/>
      <c r="G150" s="2"/>
      <c r="H150" s="2"/>
      <c r="I150" s="2"/>
      <c r="J150" s="2"/>
      <c r="K150" s="2"/>
      <c r="L150" s="2"/>
      <c r="M150" s="285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85"/>
      <c r="B151" s="2"/>
      <c r="C151" s="2"/>
      <c r="D151" s="65"/>
      <c r="E151" s="2"/>
      <c r="F151" s="65"/>
      <c r="G151" s="2"/>
      <c r="H151" s="2"/>
      <c r="I151" s="2"/>
      <c r="J151" s="2"/>
      <c r="K151" s="2"/>
      <c r="L151" s="2"/>
      <c r="M151" s="285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85"/>
      <c r="B152" s="2"/>
      <c r="C152" s="2"/>
      <c r="D152" s="65"/>
      <c r="E152" s="2"/>
      <c r="F152" s="65"/>
      <c r="G152" s="2"/>
      <c r="H152" s="2"/>
      <c r="I152" s="2"/>
      <c r="J152" s="2"/>
      <c r="K152" s="2"/>
      <c r="L152" s="2"/>
      <c r="M152" s="285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85"/>
      <c r="B153" s="2"/>
      <c r="C153" s="2"/>
      <c r="D153" s="65"/>
      <c r="E153" s="2"/>
      <c r="F153" s="65"/>
      <c r="G153" s="2"/>
      <c r="H153" s="2"/>
      <c r="I153" s="2"/>
      <c r="J153" s="2"/>
      <c r="K153" s="2"/>
      <c r="L153" s="2"/>
      <c r="M153" s="285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85"/>
      <c r="B154" s="2"/>
      <c r="C154" s="2"/>
      <c r="D154" s="65"/>
      <c r="E154" s="2"/>
      <c r="F154" s="65"/>
      <c r="G154" s="2"/>
      <c r="H154" s="2"/>
      <c r="I154" s="2"/>
      <c r="J154" s="2"/>
      <c r="K154" s="2"/>
      <c r="L154" s="2"/>
      <c r="M154" s="285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85"/>
      <c r="B155" s="2"/>
      <c r="C155" s="2"/>
      <c r="D155" s="65"/>
      <c r="E155" s="2"/>
      <c r="F155" s="65"/>
      <c r="G155" s="2"/>
      <c r="H155" s="2"/>
      <c r="I155" s="2"/>
      <c r="J155" s="2"/>
      <c r="K155" s="2"/>
      <c r="L155" s="2"/>
      <c r="M155" s="285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85"/>
      <c r="B156" s="2"/>
      <c r="C156" s="2"/>
      <c r="D156" s="65"/>
      <c r="E156" s="2"/>
      <c r="F156" s="65"/>
      <c r="G156" s="2"/>
      <c r="H156" s="2"/>
      <c r="I156" s="2"/>
      <c r="J156" s="2"/>
      <c r="K156" s="2"/>
      <c r="L156" s="2"/>
      <c r="M156" s="285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85"/>
      <c r="B157" s="2"/>
      <c r="C157" s="2"/>
      <c r="D157" s="65"/>
      <c r="E157" s="2"/>
      <c r="F157" s="65"/>
      <c r="G157" s="2"/>
      <c r="H157" s="2"/>
      <c r="I157" s="2"/>
      <c r="J157" s="2"/>
      <c r="K157" s="2"/>
      <c r="L157" s="2"/>
      <c r="M157" s="285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85"/>
      <c r="B158" s="2"/>
      <c r="C158" s="2"/>
      <c r="D158" s="65"/>
      <c r="E158" s="2"/>
      <c r="F158" s="65"/>
      <c r="G158" s="2"/>
      <c r="H158" s="2"/>
      <c r="I158" s="2"/>
      <c r="J158" s="2"/>
      <c r="K158" s="2"/>
      <c r="L158" s="2"/>
      <c r="M158" s="285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85"/>
      <c r="B159" s="2"/>
      <c r="C159" s="2"/>
      <c r="D159" s="65"/>
      <c r="E159" s="2"/>
      <c r="F159" s="65"/>
      <c r="G159" s="2"/>
      <c r="H159" s="2"/>
      <c r="I159" s="2"/>
      <c r="J159" s="2"/>
      <c r="K159" s="2"/>
      <c r="L159" s="2"/>
      <c r="M159" s="285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85"/>
      <c r="B160" s="2"/>
      <c r="C160" s="2"/>
      <c r="D160" s="65"/>
      <c r="E160" s="2"/>
      <c r="F160" s="65"/>
      <c r="G160" s="2"/>
      <c r="H160" s="2"/>
      <c r="I160" s="2"/>
      <c r="J160" s="2"/>
      <c r="K160" s="2"/>
      <c r="L160" s="2"/>
      <c r="M160" s="285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85"/>
      <c r="B161" s="2"/>
      <c r="C161" s="2"/>
      <c r="D161" s="65"/>
      <c r="E161" s="2"/>
      <c r="F161" s="65"/>
      <c r="G161" s="2"/>
      <c r="H161" s="2"/>
      <c r="I161" s="2"/>
      <c r="J161" s="2"/>
      <c r="K161" s="2"/>
      <c r="L161" s="2"/>
      <c r="M161" s="285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85"/>
      <c r="B162" s="2"/>
      <c r="C162" s="2"/>
      <c r="D162" s="65"/>
      <c r="E162" s="2"/>
      <c r="F162" s="65"/>
      <c r="G162" s="2"/>
      <c r="H162" s="2"/>
      <c r="I162" s="2"/>
      <c r="J162" s="2"/>
      <c r="K162" s="2"/>
      <c r="L162" s="2"/>
      <c r="M162" s="285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85"/>
      <c r="B163" s="2"/>
      <c r="C163" s="2"/>
      <c r="D163" s="65"/>
      <c r="E163" s="2"/>
      <c r="F163" s="65"/>
      <c r="G163" s="2"/>
      <c r="H163" s="2"/>
      <c r="I163" s="2"/>
      <c r="J163" s="2"/>
      <c r="K163" s="2"/>
      <c r="L163" s="2"/>
      <c r="M163" s="285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85"/>
      <c r="B164" s="2"/>
      <c r="C164" s="2"/>
      <c r="D164" s="65"/>
      <c r="E164" s="2"/>
      <c r="F164" s="65"/>
      <c r="G164" s="2"/>
      <c r="H164" s="2"/>
      <c r="I164" s="2"/>
      <c r="J164" s="2"/>
      <c r="K164" s="2"/>
      <c r="L164" s="2"/>
      <c r="M164" s="285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85"/>
      <c r="B165" s="2"/>
      <c r="C165" s="2"/>
      <c r="D165" s="65"/>
      <c r="E165" s="2"/>
      <c r="F165" s="65"/>
      <c r="G165" s="2"/>
      <c r="H165" s="2"/>
      <c r="I165" s="2"/>
      <c r="J165" s="2"/>
      <c r="K165" s="2"/>
      <c r="L165" s="2"/>
      <c r="M165" s="285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85"/>
      <c r="B166" s="2"/>
      <c r="C166" s="2"/>
      <c r="D166" s="65"/>
      <c r="E166" s="2"/>
      <c r="F166" s="65"/>
      <c r="G166" s="2"/>
      <c r="H166" s="2"/>
      <c r="I166" s="2"/>
      <c r="J166" s="2"/>
      <c r="K166" s="2"/>
      <c r="L166" s="2"/>
      <c r="M166" s="285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85"/>
      <c r="B167" s="2"/>
      <c r="C167" s="2"/>
      <c r="D167" s="65"/>
      <c r="E167" s="2"/>
      <c r="F167" s="65"/>
      <c r="G167" s="2"/>
      <c r="H167" s="2"/>
      <c r="I167" s="2"/>
      <c r="J167" s="2"/>
      <c r="K167" s="2"/>
      <c r="L167" s="2"/>
      <c r="M167" s="285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85"/>
      <c r="B168" s="2"/>
      <c r="C168" s="2"/>
      <c r="D168" s="65"/>
      <c r="E168" s="2"/>
      <c r="F168" s="65"/>
      <c r="G168" s="2"/>
      <c r="H168" s="2"/>
      <c r="I168" s="2"/>
      <c r="J168" s="2"/>
      <c r="K168" s="2"/>
      <c r="L168" s="2"/>
      <c r="M168" s="285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85"/>
      <c r="B169" s="2"/>
      <c r="C169" s="2"/>
      <c r="D169" s="65"/>
      <c r="E169" s="2"/>
      <c r="F169" s="65"/>
      <c r="G169" s="2"/>
      <c r="H169" s="2"/>
      <c r="I169" s="2"/>
      <c r="J169" s="2"/>
      <c r="K169" s="2"/>
      <c r="L169" s="2"/>
      <c r="M169" s="285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85"/>
      <c r="B170" s="2"/>
      <c r="C170" s="2"/>
      <c r="D170" s="65"/>
      <c r="E170" s="2"/>
      <c r="F170" s="65"/>
      <c r="G170" s="2"/>
      <c r="H170" s="2"/>
      <c r="I170" s="2"/>
      <c r="J170" s="2"/>
      <c r="K170" s="2"/>
      <c r="L170" s="2"/>
      <c r="M170" s="285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85"/>
      <c r="B171" s="2"/>
      <c r="C171" s="2"/>
      <c r="D171" s="65"/>
      <c r="E171" s="2"/>
      <c r="F171" s="65"/>
      <c r="G171" s="2"/>
      <c r="H171" s="2"/>
      <c r="I171" s="2"/>
      <c r="J171" s="2"/>
      <c r="K171" s="2"/>
      <c r="L171" s="2"/>
      <c r="M171" s="285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85"/>
      <c r="B172" s="2"/>
      <c r="C172" s="2"/>
      <c r="D172" s="65"/>
      <c r="E172" s="2"/>
      <c r="F172" s="65"/>
      <c r="G172" s="2"/>
      <c r="H172" s="2"/>
      <c r="I172" s="2"/>
      <c r="J172" s="2"/>
      <c r="K172" s="2"/>
      <c r="L172" s="2"/>
      <c r="M172" s="285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85"/>
      <c r="B173" s="2"/>
      <c r="C173" s="2"/>
      <c r="D173" s="65"/>
      <c r="E173" s="2"/>
      <c r="F173" s="65"/>
      <c r="G173" s="2"/>
      <c r="H173" s="2"/>
      <c r="I173" s="2"/>
      <c r="J173" s="2"/>
      <c r="K173" s="2"/>
      <c r="L173" s="2"/>
      <c r="M173" s="285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85"/>
      <c r="B174" s="2"/>
      <c r="C174" s="2"/>
      <c r="D174" s="65"/>
      <c r="E174" s="2"/>
      <c r="F174" s="65"/>
      <c r="G174" s="2"/>
      <c r="H174" s="2"/>
      <c r="I174" s="2"/>
      <c r="J174" s="2"/>
      <c r="K174" s="2"/>
      <c r="L174" s="2"/>
      <c r="M174" s="285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85"/>
      <c r="B175" s="2"/>
      <c r="C175" s="2"/>
      <c r="D175" s="65"/>
      <c r="E175" s="2"/>
      <c r="F175" s="65"/>
      <c r="G175" s="2"/>
      <c r="H175" s="2"/>
      <c r="I175" s="2"/>
      <c r="J175" s="2"/>
      <c r="K175" s="2"/>
      <c r="L175" s="2"/>
      <c r="M175" s="285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85"/>
      <c r="B176" s="2"/>
      <c r="C176" s="2"/>
      <c r="D176" s="65"/>
      <c r="E176" s="2"/>
      <c r="F176" s="65"/>
      <c r="G176" s="2"/>
      <c r="H176" s="2"/>
      <c r="I176" s="2"/>
      <c r="J176" s="2"/>
      <c r="K176" s="2"/>
      <c r="L176" s="2"/>
      <c r="M176" s="285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85"/>
      <c r="B177" s="2"/>
      <c r="C177" s="2"/>
      <c r="D177" s="65"/>
      <c r="E177" s="2"/>
      <c r="F177" s="65"/>
      <c r="G177" s="2"/>
      <c r="H177" s="2"/>
      <c r="I177" s="2"/>
      <c r="J177" s="2"/>
      <c r="K177" s="2"/>
      <c r="L177" s="2"/>
      <c r="M177" s="285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85"/>
      <c r="B178" s="2"/>
      <c r="C178" s="2"/>
      <c r="D178" s="65"/>
      <c r="E178" s="2"/>
      <c r="F178" s="65"/>
      <c r="G178" s="2"/>
      <c r="H178" s="2"/>
      <c r="I178" s="2"/>
      <c r="J178" s="2"/>
      <c r="K178" s="2"/>
      <c r="L178" s="2"/>
      <c r="M178" s="285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85"/>
      <c r="B179" s="2"/>
      <c r="C179" s="2"/>
      <c r="D179" s="65"/>
      <c r="E179" s="2"/>
      <c r="F179" s="65"/>
      <c r="G179" s="2"/>
      <c r="H179" s="2"/>
      <c r="I179" s="2"/>
      <c r="J179" s="2"/>
      <c r="K179" s="2"/>
      <c r="L179" s="2"/>
      <c r="M179" s="285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85"/>
      <c r="B180" s="2"/>
      <c r="C180" s="2"/>
      <c r="D180" s="65"/>
      <c r="E180" s="2"/>
      <c r="F180" s="65"/>
      <c r="G180" s="2"/>
      <c r="H180" s="2"/>
      <c r="I180" s="2"/>
      <c r="J180" s="2"/>
      <c r="K180" s="2"/>
      <c r="L180" s="2"/>
      <c r="M180" s="285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85"/>
      <c r="B181" s="2"/>
      <c r="C181" s="2"/>
      <c r="D181" s="65"/>
      <c r="E181" s="2"/>
      <c r="F181" s="65"/>
      <c r="G181" s="2"/>
      <c r="H181" s="2"/>
      <c r="I181" s="2"/>
      <c r="J181" s="2"/>
      <c r="K181" s="2"/>
      <c r="L181" s="2"/>
      <c r="M181" s="285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85"/>
      <c r="B182" s="2"/>
      <c r="C182" s="2"/>
      <c r="D182" s="65"/>
      <c r="E182" s="2"/>
      <c r="F182" s="65"/>
      <c r="G182" s="2"/>
      <c r="H182" s="2"/>
      <c r="I182" s="2"/>
      <c r="J182" s="2"/>
      <c r="K182" s="2"/>
      <c r="L182" s="2"/>
      <c r="M182" s="285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85"/>
      <c r="B183" s="2"/>
      <c r="C183" s="2"/>
      <c r="D183" s="65"/>
      <c r="E183" s="2"/>
      <c r="F183" s="65"/>
      <c r="G183" s="2"/>
      <c r="H183" s="2"/>
      <c r="I183" s="2"/>
      <c r="J183" s="2"/>
      <c r="K183" s="2"/>
      <c r="L183" s="2"/>
      <c r="M183" s="285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85"/>
      <c r="B184" s="2"/>
      <c r="C184" s="2"/>
      <c r="D184" s="65"/>
      <c r="E184" s="2"/>
      <c r="F184" s="65"/>
      <c r="G184" s="2"/>
      <c r="H184" s="2"/>
      <c r="I184" s="2"/>
      <c r="J184" s="2"/>
      <c r="K184" s="2"/>
      <c r="L184" s="2"/>
      <c r="M184" s="285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85"/>
      <c r="B185" s="2"/>
      <c r="C185" s="2"/>
      <c r="D185" s="65"/>
      <c r="E185" s="2"/>
      <c r="F185" s="65"/>
      <c r="G185" s="2"/>
      <c r="H185" s="2"/>
      <c r="I185" s="2"/>
      <c r="J185" s="2"/>
      <c r="K185" s="2"/>
      <c r="L185" s="2"/>
      <c r="M185" s="285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85"/>
      <c r="B186" s="2"/>
      <c r="C186" s="2"/>
      <c r="D186" s="65"/>
      <c r="E186" s="2"/>
      <c r="F186" s="65"/>
      <c r="G186" s="2"/>
      <c r="H186" s="2"/>
      <c r="I186" s="2"/>
      <c r="J186" s="2"/>
      <c r="K186" s="2"/>
      <c r="L186" s="2"/>
      <c r="M186" s="285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85"/>
      <c r="B187" s="2"/>
      <c r="C187" s="2"/>
      <c r="D187" s="65"/>
      <c r="E187" s="2"/>
      <c r="F187" s="65"/>
      <c r="G187" s="2"/>
      <c r="H187" s="2"/>
      <c r="I187" s="2"/>
      <c r="J187" s="2"/>
      <c r="K187" s="2"/>
      <c r="L187" s="2"/>
      <c r="M187" s="285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85"/>
      <c r="B188" s="2"/>
      <c r="C188" s="2"/>
      <c r="D188" s="65"/>
      <c r="E188" s="2"/>
      <c r="F188" s="65"/>
      <c r="G188" s="2"/>
      <c r="H188" s="2"/>
      <c r="I188" s="2"/>
      <c r="J188" s="2"/>
      <c r="K188" s="2"/>
      <c r="L188" s="2"/>
      <c r="M188" s="285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85"/>
      <c r="B189" s="2"/>
      <c r="C189" s="2"/>
      <c r="D189" s="65"/>
      <c r="E189" s="2"/>
      <c r="F189" s="65"/>
      <c r="G189" s="2"/>
      <c r="H189" s="2"/>
      <c r="I189" s="2"/>
      <c r="J189" s="2"/>
      <c r="K189" s="2"/>
      <c r="L189" s="2"/>
      <c r="M189" s="285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85"/>
      <c r="B190" s="2"/>
      <c r="C190" s="2"/>
      <c r="D190" s="65"/>
      <c r="E190" s="2"/>
      <c r="F190" s="65"/>
      <c r="G190" s="2"/>
      <c r="H190" s="2"/>
      <c r="I190" s="2"/>
      <c r="J190" s="2"/>
      <c r="K190" s="2"/>
      <c r="L190" s="2"/>
      <c r="M190" s="285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85"/>
      <c r="B191" s="2"/>
      <c r="C191" s="2"/>
      <c r="D191" s="65"/>
      <c r="E191" s="2"/>
      <c r="F191" s="65"/>
      <c r="G191" s="2"/>
      <c r="H191" s="2"/>
      <c r="I191" s="2"/>
      <c r="J191" s="2"/>
      <c r="K191" s="2"/>
      <c r="L191" s="2"/>
      <c r="M191" s="285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85"/>
      <c r="B192" s="2"/>
      <c r="C192" s="2"/>
      <c r="D192" s="65"/>
      <c r="E192" s="2"/>
      <c r="F192" s="65"/>
      <c r="G192" s="2"/>
      <c r="H192" s="2"/>
      <c r="I192" s="2"/>
      <c r="J192" s="2"/>
      <c r="K192" s="2"/>
      <c r="L192" s="2"/>
      <c r="M192" s="285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85"/>
      <c r="B193" s="2"/>
      <c r="C193" s="2"/>
      <c r="D193" s="65"/>
      <c r="E193" s="2"/>
      <c r="F193" s="65"/>
      <c r="G193" s="2"/>
      <c r="H193" s="2"/>
      <c r="I193" s="2"/>
      <c r="J193" s="2"/>
      <c r="K193" s="2"/>
      <c r="L193" s="2"/>
      <c r="M193" s="285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85"/>
      <c r="B194" s="2"/>
      <c r="C194" s="2"/>
      <c r="D194" s="65"/>
      <c r="E194" s="2"/>
      <c r="F194" s="65"/>
      <c r="G194" s="2"/>
      <c r="H194" s="2"/>
      <c r="I194" s="2"/>
      <c r="J194" s="2"/>
      <c r="K194" s="2"/>
      <c r="L194" s="2"/>
      <c r="M194" s="285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85"/>
      <c r="B195" s="2"/>
      <c r="C195" s="2"/>
      <c r="D195" s="65"/>
      <c r="E195" s="2"/>
      <c r="F195" s="65"/>
      <c r="G195" s="2"/>
      <c r="H195" s="2"/>
      <c r="I195" s="2"/>
      <c r="J195" s="2"/>
      <c r="K195" s="2"/>
      <c r="L195" s="2"/>
      <c r="M195" s="285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85"/>
      <c r="B196" s="2"/>
      <c r="C196" s="2"/>
      <c r="D196" s="65"/>
      <c r="E196" s="2"/>
      <c r="F196" s="65"/>
      <c r="G196" s="2"/>
      <c r="H196" s="2"/>
      <c r="I196" s="2"/>
      <c r="J196" s="2"/>
      <c r="K196" s="2"/>
      <c r="L196" s="2"/>
      <c r="M196" s="285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85"/>
      <c r="B197" s="2"/>
      <c r="C197" s="2"/>
      <c r="D197" s="65"/>
      <c r="E197" s="2"/>
      <c r="F197" s="65"/>
      <c r="G197" s="2"/>
      <c r="H197" s="2"/>
      <c r="I197" s="2"/>
      <c r="J197" s="2"/>
      <c r="K197" s="2"/>
      <c r="L197" s="2"/>
      <c r="M197" s="285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85"/>
      <c r="B198" s="2"/>
      <c r="C198" s="2"/>
      <c r="D198" s="65"/>
      <c r="E198" s="2"/>
      <c r="F198" s="65"/>
      <c r="G198" s="2"/>
      <c r="H198" s="2"/>
      <c r="I198" s="2"/>
      <c r="J198" s="2"/>
      <c r="K198" s="2"/>
      <c r="L198" s="2"/>
      <c r="M198" s="285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85"/>
      <c r="B199" s="2"/>
      <c r="C199" s="2"/>
      <c r="D199" s="65"/>
      <c r="E199" s="2"/>
      <c r="F199" s="65"/>
      <c r="G199" s="2"/>
      <c r="H199" s="2"/>
      <c r="I199" s="2"/>
      <c r="J199" s="2"/>
      <c r="K199" s="2"/>
      <c r="L199" s="2"/>
      <c r="M199" s="285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85"/>
      <c r="B200" s="2"/>
      <c r="C200" s="2"/>
      <c r="D200" s="65"/>
      <c r="E200" s="2"/>
      <c r="F200" s="65"/>
      <c r="G200" s="2"/>
      <c r="H200" s="2"/>
      <c r="I200" s="2"/>
      <c r="J200" s="2"/>
      <c r="K200" s="2"/>
      <c r="L200" s="2"/>
      <c r="M200" s="285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85"/>
      <c r="B201" s="2"/>
      <c r="C201" s="2"/>
      <c r="D201" s="65"/>
      <c r="E201" s="2"/>
      <c r="F201" s="65"/>
      <c r="G201" s="2"/>
      <c r="H201" s="2"/>
      <c r="I201" s="2"/>
      <c r="J201" s="2"/>
      <c r="K201" s="2"/>
      <c r="L201" s="2"/>
      <c r="M201" s="285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85"/>
      <c r="B202" s="2"/>
      <c r="C202" s="2"/>
      <c r="D202" s="65"/>
      <c r="E202" s="2"/>
      <c r="F202" s="65"/>
      <c r="G202" s="2"/>
      <c r="H202" s="2"/>
      <c r="I202" s="2"/>
      <c r="J202" s="2"/>
      <c r="K202" s="2"/>
      <c r="L202" s="2"/>
      <c r="M202" s="285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85"/>
      <c r="B203" s="2"/>
      <c r="C203" s="2"/>
      <c r="D203" s="65"/>
      <c r="E203" s="2"/>
      <c r="F203" s="65"/>
      <c r="G203" s="2"/>
      <c r="H203" s="2"/>
      <c r="I203" s="2"/>
      <c r="J203" s="2"/>
      <c r="K203" s="2"/>
      <c r="L203" s="2"/>
      <c r="M203" s="285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85"/>
      <c r="B204" s="2"/>
      <c r="C204" s="2"/>
      <c r="D204" s="65"/>
      <c r="E204" s="2"/>
      <c r="F204" s="65"/>
      <c r="G204" s="2"/>
      <c r="H204" s="2"/>
      <c r="I204" s="2"/>
      <c r="J204" s="2"/>
      <c r="K204" s="2"/>
      <c r="L204" s="2"/>
      <c r="M204" s="285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85"/>
      <c r="B205" s="2"/>
      <c r="C205" s="2"/>
      <c r="D205" s="65"/>
      <c r="E205" s="2"/>
      <c r="F205" s="65"/>
      <c r="G205" s="2"/>
      <c r="H205" s="2"/>
      <c r="I205" s="2"/>
      <c r="J205" s="2"/>
      <c r="K205" s="2"/>
      <c r="L205" s="2"/>
      <c r="M205" s="285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85"/>
      <c r="B206" s="2"/>
      <c r="C206" s="2"/>
      <c r="D206" s="65"/>
      <c r="E206" s="2"/>
      <c r="F206" s="65"/>
      <c r="G206" s="2"/>
      <c r="H206" s="2"/>
      <c r="I206" s="2"/>
      <c r="J206" s="2"/>
      <c r="K206" s="2"/>
      <c r="L206" s="2"/>
      <c r="M206" s="285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85"/>
      <c r="B207" s="2"/>
      <c r="C207" s="2"/>
      <c r="D207" s="65"/>
      <c r="E207" s="2"/>
      <c r="F207" s="65"/>
      <c r="G207" s="2"/>
      <c r="H207" s="2"/>
      <c r="I207" s="2"/>
      <c r="J207" s="2"/>
      <c r="K207" s="2"/>
      <c r="L207" s="2"/>
      <c r="M207" s="285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85"/>
      <c r="B208" s="2"/>
      <c r="C208" s="2"/>
      <c r="D208" s="65"/>
      <c r="E208" s="2"/>
      <c r="F208" s="65"/>
      <c r="G208" s="2"/>
      <c r="H208" s="2"/>
      <c r="I208" s="2"/>
      <c r="J208" s="2"/>
      <c r="K208" s="2"/>
      <c r="L208" s="2"/>
      <c r="M208" s="285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85"/>
      <c r="B209" s="2"/>
      <c r="C209" s="2"/>
      <c r="D209" s="65"/>
      <c r="E209" s="2"/>
      <c r="F209" s="65"/>
      <c r="G209" s="2"/>
      <c r="H209" s="2"/>
      <c r="I209" s="2"/>
      <c r="J209" s="2"/>
      <c r="K209" s="2"/>
      <c r="L209" s="2"/>
      <c r="M209" s="285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85"/>
      <c r="B210" s="2"/>
      <c r="C210" s="2"/>
      <c r="D210" s="65"/>
      <c r="E210" s="2"/>
      <c r="F210" s="65"/>
      <c r="G210" s="2"/>
      <c r="H210" s="2"/>
      <c r="I210" s="2"/>
      <c r="J210" s="2"/>
      <c r="K210" s="2"/>
      <c r="L210" s="2"/>
      <c r="M210" s="285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85"/>
      <c r="B211" s="2"/>
      <c r="C211" s="2"/>
      <c r="D211" s="65"/>
      <c r="E211" s="2"/>
      <c r="F211" s="65"/>
      <c r="G211" s="2"/>
      <c r="H211" s="2"/>
      <c r="I211" s="2"/>
      <c r="J211" s="2"/>
      <c r="K211" s="2"/>
      <c r="L211" s="2"/>
      <c r="M211" s="285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85"/>
      <c r="B212" s="2"/>
      <c r="C212" s="2"/>
      <c r="D212" s="65"/>
      <c r="E212" s="2"/>
      <c r="F212" s="65"/>
      <c r="G212" s="2"/>
      <c r="H212" s="2"/>
      <c r="I212" s="2"/>
      <c r="J212" s="2"/>
      <c r="K212" s="2"/>
      <c r="L212" s="2"/>
      <c r="M212" s="285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85"/>
      <c r="B213" s="2"/>
      <c r="C213" s="2"/>
      <c r="D213" s="65"/>
      <c r="E213" s="2"/>
      <c r="F213" s="65"/>
      <c r="G213" s="2"/>
      <c r="H213" s="2"/>
      <c r="I213" s="2"/>
      <c r="J213" s="2"/>
      <c r="K213" s="2"/>
      <c r="L213" s="2"/>
      <c r="M213" s="285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85"/>
      <c r="B214" s="2"/>
      <c r="C214" s="2"/>
      <c r="D214" s="65"/>
      <c r="E214" s="2"/>
      <c r="F214" s="65"/>
      <c r="G214" s="2"/>
      <c r="H214" s="2"/>
      <c r="I214" s="2"/>
      <c r="J214" s="2"/>
      <c r="K214" s="2"/>
      <c r="L214" s="2"/>
      <c r="M214" s="285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85"/>
      <c r="B215" s="2"/>
      <c r="C215" s="2"/>
      <c r="D215" s="65"/>
      <c r="E215" s="2"/>
      <c r="F215" s="65"/>
      <c r="G215" s="2"/>
      <c r="H215" s="2"/>
      <c r="I215" s="2"/>
      <c r="J215" s="2"/>
      <c r="K215" s="2"/>
      <c r="L215" s="2"/>
      <c r="M215" s="285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85"/>
      <c r="B216" s="2"/>
      <c r="C216" s="2"/>
      <c r="D216" s="65"/>
      <c r="E216" s="2"/>
      <c r="F216" s="65"/>
      <c r="G216" s="2"/>
      <c r="H216" s="2"/>
      <c r="I216" s="2"/>
      <c r="J216" s="2"/>
      <c r="K216" s="2"/>
      <c r="L216" s="2"/>
      <c r="M216" s="285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85"/>
      <c r="B217" s="2"/>
      <c r="C217" s="2"/>
      <c r="D217" s="65"/>
      <c r="E217" s="2"/>
      <c r="F217" s="65"/>
      <c r="G217" s="2"/>
      <c r="H217" s="2"/>
      <c r="I217" s="2"/>
      <c r="J217" s="2"/>
      <c r="K217" s="2"/>
      <c r="L217" s="2"/>
      <c r="M217" s="285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85"/>
      <c r="B218" s="2"/>
      <c r="C218" s="2"/>
      <c r="D218" s="65"/>
      <c r="E218" s="2"/>
      <c r="F218" s="65"/>
      <c r="G218" s="2"/>
      <c r="H218" s="2"/>
      <c r="I218" s="2"/>
      <c r="J218" s="2"/>
      <c r="K218" s="2"/>
      <c r="L218" s="2"/>
      <c r="M218" s="285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85"/>
      <c r="B219" s="2"/>
      <c r="C219" s="2"/>
      <c r="D219" s="65"/>
      <c r="E219" s="2"/>
      <c r="F219" s="65"/>
      <c r="G219" s="2"/>
      <c r="H219" s="2"/>
      <c r="I219" s="2"/>
      <c r="J219" s="2"/>
      <c r="K219" s="2"/>
      <c r="L219" s="2"/>
      <c r="M219" s="285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85"/>
      <c r="B220" s="2"/>
      <c r="C220" s="2"/>
      <c r="D220" s="65"/>
      <c r="E220" s="2"/>
      <c r="F220" s="65"/>
      <c r="G220" s="2"/>
      <c r="H220" s="2"/>
      <c r="I220" s="2"/>
      <c r="J220" s="2"/>
      <c r="K220" s="2"/>
      <c r="L220" s="2"/>
      <c r="M220" s="285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85"/>
      <c r="B221" s="2"/>
      <c r="C221" s="2"/>
      <c r="D221" s="65"/>
      <c r="E221" s="2"/>
      <c r="F221" s="65"/>
      <c r="G221" s="2"/>
      <c r="H221" s="2"/>
      <c r="I221" s="2"/>
      <c r="J221" s="2"/>
      <c r="K221" s="2"/>
      <c r="L221" s="2"/>
      <c r="M221" s="285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85"/>
      <c r="B222" s="2"/>
      <c r="C222" s="2"/>
      <c r="D222" s="65"/>
      <c r="E222" s="2"/>
      <c r="F222" s="65"/>
      <c r="G222" s="2"/>
      <c r="H222" s="2"/>
      <c r="I222" s="2"/>
      <c r="J222" s="2"/>
      <c r="K222" s="2"/>
      <c r="L222" s="2"/>
      <c r="M222" s="285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85"/>
      <c r="B223" s="2"/>
      <c r="C223" s="2"/>
      <c r="D223" s="65"/>
      <c r="E223" s="2"/>
      <c r="F223" s="65"/>
      <c r="G223" s="2"/>
      <c r="H223" s="2"/>
      <c r="I223" s="2"/>
      <c r="J223" s="2"/>
      <c r="K223" s="2"/>
      <c r="L223" s="2"/>
      <c r="M223" s="285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85"/>
      <c r="B224" s="2"/>
      <c r="C224" s="2"/>
      <c r="D224" s="65"/>
      <c r="E224" s="2"/>
      <c r="F224" s="65"/>
      <c r="G224" s="2"/>
      <c r="H224" s="2"/>
      <c r="I224" s="2"/>
      <c r="J224" s="2"/>
      <c r="K224" s="2"/>
      <c r="L224" s="2"/>
      <c r="M224" s="285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85"/>
      <c r="B225" s="2"/>
      <c r="C225" s="2"/>
      <c r="D225" s="65"/>
      <c r="E225" s="2"/>
      <c r="F225" s="65"/>
      <c r="G225" s="2"/>
      <c r="H225" s="2"/>
      <c r="I225" s="2"/>
      <c r="J225" s="2"/>
      <c r="K225" s="2"/>
      <c r="L225" s="2"/>
      <c r="M225" s="285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85"/>
      <c r="B226" s="2"/>
      <c r="C226" s="2"/>
      <c r="D226" s="65"/>
      <c r="E226" s="2"/>
      <c r="F226" s="65"/>
      <c r="G226" s="2"/>
      <c r="H226" s="2"/>
      <c r="I226" s="2"/>
      <c r="J226" s="2"/>
      <c r="K226" s="2"/>
      <c r="L226" s="2"/>
      <c r="M226" s="285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85"/>
      <c r="B227" s="2"/>
      <c r="C227" s="2"/>
      <c r="D227" s="65"/>
      <c r="E227" s="2"/>
      <c r="F227" s="65"/>
      <c r="G227" s="2"/>
      <c r="H227" s="2"/>
      <c r="I227" s="2"/>
      <c r="J227" s="2"/>
      <c r="K227" s="2"/>
      <c r="L227" s="2"/>
      <c r="M227" s="285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85"/>
      <c r="B228" s="2"/>
      <c r="C228" s="2"/>
      <c r="D228" s="65"/>
      <c r="E228" s="2"/>
      <c r="F228" s="65"/>
      <c r="G228" s="2"/>
      <c r="H228" s="2"/>
      <c r="I228" s="2"/>
      <c r="J228" s="2"/>
      <c r="K228" s="2"/>
      <c r="L228" s="2"/>
      <c r="M228" s="285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85"/>
      <c r="B229" s="2"/>
      <c r="C229" s="2"/>
      <c r="D229" s="65"/>
      <c r="E229" s="2"/>
      <c r="F229" s="65"/>
      <c r="G229" s="2"/>
      <c r="H229" s="2"/>
      <c r="I229" s="2"/>
      <c r="J229" s="2"/>
      <c r="K229" s="2"/>
      <c r="L229" s="2"/>
      <c r="M229" s="285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85"/>
      <c r="B230" s="2"/>
      <c r="C230" s="2"/>
      <c r="D230" s="65"/>
      <c r="E230" s="2"/>
      <c r="F230" s="65"/>
      <c r="G230" s="2"/>
      <c r="H230" s="2"/>
      <c r="I230" s="2"/>
      <c r="J230" s="2"/>
      <c r="K230" s="2"/>
      <c r="L230" s="2"/>
      <c r="M230" s="285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85"/>
      <c r="B231" s="2"/>
      <c r="C231" s="2"/>
      <c r="D231" s="65"/>
      <c r="E231" s="2"/>
      <c r="F231" s="65"/>
      <c r="G231" s="2"/>
      <c r="H231" s="2"/>
      <c r="I231" s="2"/>
      <c r="J231" s="2"/>
      <c r="K231" s="2"/>
      <c r="L231" s="2"/>
      <c r="M231" s="285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85"/>
      <c r="B232" s="2"/>
      <c r="C232" s="2"/>
      <c r="D232" s="65"/>
      <c r="E232" s="2"/>
      <c r="F232" s="65"/>
      <c r="G232" s="2"/>
      <c r="H232" s="2"/>
      <c r="I232" s="2"/>
      <c r="J232" s="2"/>
      <c r="K232" s="2"/>
      <c r="L232" s="2"/>
      <c r="M232" s="285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85"/>
      <c r="B233" s="2"/>
      <c r="C233" s="2"/>
      <c r="D233" s="65"/>
      <c r="E233" s="2"/>
      <c r="F233" s="65"/>
      <c r="G233" s="2"/>
      <c r="H233" s="2"/>
      <c r="I233" s="2"/>
      <c r="J233" s="2"/>
      <c r="K233" s="2"/>
      <c r="L233" s="2"/>
      <c r="M233" s="285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85"/>
      <c r="B234" s="2"/>
      <c r="C234" s="2"/>
      <c r="D234" s="65"/>
      <c r="E234" s="2"/>
      <c r="F234" s="65"/>
      <c r="G234" s="2"/>
      <c r="H234" s="2"/>
      <c r="I234" s="2"/>
      <c r="J234" s="2"/>
      <c r="K234" s="2"/>
      <c r="L234" s="2"/>
      <c r="M234" s="285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85"/>
      <c r="B235" s="2"/>
      <c r="C235" s="2"/>
      <c r="D235" s="65"/>
      <c r="E235" s="2"/>
      <c r="F235" s="65"/>
      <c r="G235" s="2"/>
      <c r="H235" s="2"/>
      <c r="I235" s="2"/>
      <c r="J235" s="2"/>
      <c r="K235" s="2"/>
      <c r="L235" s="2"/>
      <c r="M235" s="285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85"/>
      <c r="B236" s="2"/>
      <c r="C236" s="2"/>
      <c r="D236" s="65"/>
      <c r="E236" s="2"/>
      <c r="F236" s="65"/>
      <c r="G236" s="2"/>
      <c r="H236" s="2"/>
      <c r="I236" s="2"/>
      <c r="J236" s="2"/>
      <c r="K236" s="2"/>
      <c r="L236" s="2"/>
      <c r="M236" s="285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85"/>
      <c r="B237" s="2"/>
      <c r="C237" s="2"/>
      <c r="D237" s="65"/>
      <c r="E237" s="2"/>
      <c r="F237" s="65"/>
      <c r="G237" s="2"/>
      <c r="H237" s="2"/>
      <c r="I237" s="2"/>
      <c r="J237" s="2"/>
      <c r="K237" s="2"/>
      <c r="L237" s="2"/>
      <c r="M237" s="285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85"/>
      <c r="B238" s="2"/>
      <c r="C238" s="2"/>
      <c r="D238" s="65"/>
      <c r="E238" s="2"/>
      <c r="F238" s="65"/>
      <c r="G238" s="2"/>
      <c r="H238" s="2"/>
      <c r="I238" s="2"/>
      <c r="J238" s="2"/>
      <c r="K238" s="2"/>
      <c r="L238" s="2"/>
      <c r="M238" s="285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85"/>
      <c r="B239" s="2"/>
      <c r="C239" s="2"/>
      <c r="D239" s="65"/>
      <c r="E239" s="2"/>
      <c r="F239" s="65"/>
      <c r="G239" s="2"/>
      <c r="H239" s="2"/>
      <c r="I239" s="2"/>
      <c r="J239" s="2"/>
      <c r="K239" s="2"/>
      <c r="L239" s="2"/>
      <c r="M239" s="285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85"/>
      <c r="B240" s="2"/>
      <c r="C240" s="2"/>
      <c r="D240" s="65"/>
      <c r="E240" s="2"/>
      <c r="F240" s="65"/>
      <c r="G240" s="2"/>
      <c r="H240" s="2"/>
      <c r="I240" s="2"/>
      <c r="J240" s="2"/>
      <c r="K240" s="2"/>
      <c r="L240" s="2"/>
      <c r="M240" s="285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85"/>
      <c r="B241" s="2"/>
      <c r="C241" s="2"/>
      <c r="D241" s="65"/>
      <c r="E241" s="2"/>
      <c r="F241" s="65"/>
      <c r="G241" s="2"/>
      <c r="H241" s="2"/>
      <c r="I241" s="2"/>
      <c r="J241" s="2"/>
      <c r="K241" s="2"/>
      <c r="L241" s="2"/>
      <c r="M241" s="285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85"/>
      <c r="B242" s="2"/>
      <c r="C242" s="2"/>
      <c r="D242" s="65"/>
      <c r="E242" s="2"/>
      <c r="F242" s="65"/>
      <c r="G242" s="2"/>
      <c r="H242" s="2"/>
      <c r="I242" s="2"/>
      <c r="J242" s="2"/>
      <c r="K242" s="2"/>
      <c r="L242" s="2"/>
      <c r="M242" s="285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85"/>
      <c r="B243" s="2"/>
      <c r="C243" s="2"/>
      <c r="D243" s="65"/>
      <c r="E243" s="2"/>
      <c r="F243" s="65"/>
      <c r="G243" s="2"/>
      <c r="H243" s="2"/>
      <c r="I243" s="2"/>
      <c r="J243" s="2"/>
      <c r="K243" s="2"/>
      <c r="L243" s="2"/>
      <c r="M243" s="285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85"/>
      <c r="B244" s="2"/>
      <c r="C244" s="2"/>
      <c r="D244" s="65"/>
      <c r="E244" s="2"/>
      <c r="F244" s="65"/>
      <c r="G244" s="2"/>
      <c r="H244" s="2"/>
      <c r="I244" s="2"/>
      <c r="J244" s="2"/>
      <c r="K244" s="2"/>
      <c r="L244" s="2"/>
      <c r="M244" s="285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85"/>
      <c r="B245" s="2"/>
      <c r="C245" s="2"/>
      <c r="D245" s="65"/>
      <c r="E245" s="2"/>
      <c r="F245" s="65"/>
      <c r="G245" s="2"/>
      <c r="H245" s="2"/>
      <c r="I245" s="2"/>
      <c r="J245" s="2"/>
      <c r="K245" s="2"/>
      <c r="L245" s="2"/>
      <c r="M245" s="285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85"/>
      <c r="B246" s="2"/>
      <c r="C246" s="2"/>
      <c r="D246" s="65"/>
      <c r="E246" s="2"/>
      <c r="F246" s="65"/>
      <c r="G246" s="2"/>
      <c r="H246" s="2"/>
      <c r="I246" s="2"/>
      <c r="J246" s="2"/>
      <c r="K246" s="2"/>
      <c r="L246" s="2"/>
      <c r="M246" s="285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85"/>
      <c r="B247" s="2"/>
      <c r="C247" s="2"/>
      <c r="D247" s="65"/>
      <c r="E247" s="2"/>
      <c r="F247" s="65"/>
      <c r="G247" s="2"/>
      <c r="H247" s="2"/>
      <c r="I247" s="2"/>
      <c r="J247" s="2"/>
      <c r="K247" s="2"/>
      <c r="L247" s="2"/>
      <c r="M247" s="285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85"/>
      <c r="B248" s="2"/>
      <c r="C248" s="2"/>
      <c r="D248" s="65"/>
      <c r="E248" s="2"/>
      <c r="F248" s="65"/>
      <c r="G248" s="2"/>
      <c r="H248" s="2"/>
      <c r="I248" s="2"/>
      <c r="J248" s="2"/>
      <c r="K248" s="2"/>
      <c r="L248" s="2"/>
      <c r="M248" s="285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85"/>
      <c r="B249" s="2"/>
      <c r="C249" s="2"/>
      <c r="D249" s="65"/>
      <c r="E249" s="2"/>
      <c r="F249" s="65"/>
      <c r="G249" s="2"/>
      <c r="H249" s="2"/>
      <c r="I249" s="2"/>
      <c r="J249" s="2"/>
      <c r="K249" s="2"/>
      <c r="L249" s="2"/>
      <c r="M249" s="285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85"/>
      <c r="B250" s="2"/>
      <c r="C250" s="2"/>
      <c r="D250" s="65"/>
      <c r="E250" s="2"/>
      <c r="F250" s="65"/>
      <c r="G250" s="2"/>
      <c r="H250" s="2"/>
      <c r="I250" s="2"/>
      <c r="J250" s="2"/>
      <c r="K250" s="2"/>
      <c r="L250" s="2"/>
      <c r="M250" s="285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85"/>
      <c r="B251" s="2"/>
      <c r="C251" s="2"/>
      <c r="D251" s="65"/>
      <c r="E251" s="2"/>
      <c r="F251" s="65"/>
      <c r="G251" s="2"/>
      <c r="H251" s="2"/>
      <c r="I251" s="2"/>
      <c r="J251" s="2"/>
      <c r="K251" s="2"/>
      <c r="L251" s="2"/>
      <c r="M251" s="285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85"/>
      <c r="B252" s="2"/>
      <c r="C252" s="2"/>
      <c r="D252" s="65"/>
      <c r="E252" s="2"/>
      <c r="F252" s="65"/>
      <c r="G252" s="2"/>
      <c r="H252" s="2"/>
      <c r="I252" s="2"/>
      <c r="J252" s="2"/>
      <c r="K252" s="2"/>
      <c r="L252" s="2"/>
      <c r="M252" s="285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85"/>
      <c r="B253" s="2"/>
      <c r="C253" s="2"/>
      <c r="D253" s="65"/>
      <c r="E253" s="2"/>
      <c r="F253" s="65"/>
      <c r="G253" s="2"/>
      <c r="H253" s="2"/>
      <c r="I253" s="2"/>
      <c r="J253" s="2"/>
      <c r="K253" s="2"/>
      <c r="L253" s="2"/>
      <c r="M253" s="285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85"/>
      <c r="B254" s="2"/>
      <c r="C254" s="2"/>
      <c r="D254" s="65"/>
      <c r="E254" s="2"/>
      <c r="F254" s="65"/>
      <c r="G254" s="2"/>
      <c r="H254" s="2"/>
      <c r="I254" s="2"/>
      <c r="J254" s="2"/>
      <c r="K254" s="2"/>
      <c r="L254" s="2"/>
      <c r="M254" s="285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85"/>
      <c r="B255" s="2"/>
      <c r="C255" s="2"/>
      <c r="D255" s="65"/>
      <c r="E255" s="2"/>
      <c r="F255" s="65"/>
      <c r="G255" s="2"/>
      <c r="H255" s="2"/>
      <c r="I255" s="2"/>
      <c r="J255" s="2"/>
      <c r="K255" s="2"/>
      <c r="L255" s="2"/>
      <c r="M255" s="285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85"/>
      <c r="B256" s="2"/>
      <c r="C256" s="2"/>
      <c r="D256" s="65"/>
      <c r="E256" s="2"/>
      <c r="F256" s="65"/>
      <c r="G256" s="2"/>
      <c r="H256" s="2"/>
      <c r="I256" s="2"/>
      <c r="J256" s="2"/>
      <c r="K256" s="2"/>
      <c r="L256" s="2"/>
      <c r="M256" s="285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85"/>
      <c r="B257" s="2"/>
      <c r="C257" s="2"/>
      <c r="D257" s="65"/>
      <c r="E257" s="2"/>
      <c r="F257" s="65"/>
      <c r="G257" s="2"/>
      <c r="H257" s="2"/>
      <c r="I257" s="2"/>
      <c r="J257" s="2"/>
      <c r="K257" s="2"/>
      <c r="L257" s="2"/>
      <c r="M257" s="285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85"/>
      <c r="B258" s="2"/>
      <c r="C258" s="2"/>
      <c r="D258" s="65"/>
      <c r="E258" s="2"/>
      <c r="F258" s="65"/>
      <c r="G258" s="2"/>
      <c r="H258" s="2"/>
      <c r="I258" s="2"/>
      <c r="J258" s="2"/>
      <c r="K258" s="2"/>
      <c r="L258" s="2"/>
      <c r="M258" s="285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85"/>
      <c r="B259" s="2"/>
      <c r="C259" s="2"/>
      <c r="D259" s="65"/>
      <c r="E259" s="2"/>
      <c r="F259" s="65"/>
      <c r="G259" s="2"/>
      <c r="H259" s="2"/>
      <c r="I259" s="2"/>
      <c r="J259" s="2"/>
      <c r="K259" s="2"/>
      <c r="L259" s="2"/>
      <c r="M259" s="285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85"/>
      <c r="B260" s="2"/>
      <c r="C260" s="2"/>
      <c r="D260" s="65"/>
      <c r="E260" s="2"/>
      <c r="F260" s="65"/>
      <c r="G260" s="2"/>
      <c r="H260" s="2"/>
      <c r="I260" s="2"/>
      <c r="J260" s="2"/>
      <c r="K260" s="2"/>
      <c r="L260" s="2"/>
      <c r="M260" s="285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85"/>
      <c r="B261" s="2"/>
      <c r="C261" s="2"/>
      <c r="D261" s="65"/>
      <c r="E261" s="2"/>
      <c r="F261" s="65"/>
      <c r="G261" s="2"/>
      <c r="H261" s="2"/>
      <c r="I261" s="2"/>
      <c r="J261" s="2"/>
      <c r="K261" s="2"/>
      <c r="L261" s="2"/>
      <c r="M261" s="285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85"/>
      <c r="B262" s="2"/>
      <c r="C262" s="2"/>
      <c r="D262" s="65"/>
      <c r="E262" s="2"/>
      <c r="F262" s="65"/>
      <c r="G262" s="2"/>
      <c r="H262" s="2"/>
      <c r="I262" s="2"/>
      <c r="J262" s="2"/>
      <c r="K262" s="2"/>
      <c r="L262" s="2"/>
      <c r="M262" s="285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85"/>
      <c r="B263" s="2"/>
      <c r="C263" s="2"/>
      <c r="D263" s="65"/>
      <c r="E263" s="2"/>
      <c r="F263" s="65"/>
      <c r="G263" s="2"/>
      <c r="H263" s="2"/>
      <c r="I263" s="2"/>
      <c r="J263" s="2"/>
      <c r="K263" s="2"/>
      <c r="L263" s="2"/>
      <c r="M263" s="285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85"/>
      <c r="B264" s="2"/>
      <c r="C264" s="2"/>
      <c r="D264" s="65"/>
      <c r="E264" s="2"/>
      <c r="F264" s="65"/>
      <c r="G264" s="2"/>
      <c r="H264" s="2"/>
      <c r="I264" s="2"/>
      <c r="J264" s="2"/>
      <c r="K264" s="2"/>
      <c r="L264" s="2"/>
      <c r="M264" s="285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85"/>
      <c r="B265" s="2"/>
      <c r="C265" s="2"/>
      <c r="D265" s="65"/>
      <c r="E265" s="2"/>
      <c r="F265" s="65"/>
      <c r="G265" s="2"/>
      <c r="H265" s="2"/>
      <c r="I265" s="2"/>
      <c r="J265" s="2"/>
      <c r="K265" s="2"/>
      <c r="L265" s="2"/>
      <c r="M265" s="285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85"/>
      <c r="B266" s="2"/>
      <c r="C266" s="2"/>
      <c r="D266" s="65"/>
      <c r="E266" s="2"/>
      <c r="F266" s="65"/>
      <c r="G266" s="2"/>
      <c r="H266" s="2"/>
      <c r="I266" s="2"/>
      <c r="J266" s="2"/>
      <c r="K266" s="2"/>
      <c r="L266" s="2"/>
      <c r="M266" s="285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85"/>
      <c r="B267" s="2"/>
      <c r="C267" s="2"/>
      <c r="D267" s="65"/>
      <c r="E267" s="2"/>
      <c r="F267" s="65"/>
      <c r="G267" s="2"/>
      <c r="H267" s="2"/>
      <c r="I267" s="2"/>
      <c r="J267" s="2"/>
      <c r="K267" s="2"/>
      <c r="L267" s="2"/>
      <c r="M267" s="285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85"/>
      <c r="B268" s="2"/>
      <c r="C268" s="2"/>
      <c r="D268" s="65"/>
      <c r="E268" s="2"/>
      <c r="F268" s="65"/>
      <c r="G268" s="2"/>
      <c r="H268" s="2"/>
      <c r="I268" s="2"/>
      <c r="J268" s="2"/>
      <c r="K268" s="2"/>
      <c r="L268" s="2"/>
      <c r="M268" s="285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85"/>
      <c r="B269" s="2"/>
      <c r="C269" s="2"/>
      <c r="D269" s="65"/>
      <c r="E269" s="2"/>
      <c r="F269" s="65"/>
      <c r="G269" s="2"/>
      <c r="H269" s="2"/>
      <c r="I269" s="2"/>
      <c r="J269" s="2"/>
      <c r="K269" s="2"/>
      <c r="L269" s="2"/>
      <c r="M269" s="285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85"/>
      <c r="B270" s="2"/>
      <c r="C270" s="2"/>
      <c r="D270" s="65"/>
      <c r="E270" s="2"/>
      <c r="F270" s="65"/>
      <c r="G270" s="2"/>
      <c r="H270" s="2"/>
      <c r="I270" s="2"/>
      <c r="J270" s="2"/>
      <c r="K270" s="2"/>
      <c r="L270" s="2"/>
      <c r="M270" s="285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85"/>
      <c r="B271" s="2"/>
      <c r="C271" s="2"/>
      <c r="D271" s="65"/>
      <c r="E271" s="2"/>
      <c r="F271" s="65"/>
      <c r="G271" s="2"/>
      <c r="H271" s="2"/>
      <c r="I271" s="2"/>
      <c r="J271" s="2"/>
      <c r="K271" s="2"/>
      <c r="L271" s="2"/>
      <c r="M271" s="285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85"/>
      <c r="B272" s="2"/>
      <c r="C272" s="2"/>
      <c r="D272" s="65"/>
      <c r="E272" s="2"/>
      <c r="F272" s="65"/>
      <c r="G272" s="2"/>
      <c r="H272" s="2"/>
      <c r="I272" s="2"/>
      <c r="J272" s="2"/>
      <c r="K272" s="2"/>
      <c r="L272" s="2"/>
      <c r="M272" s="285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85"/>
      <c r="B273" s="2"/>
      <c r="C273" s="2"/>
      <c r="D273" s="65"/>
      <c r="E273" s="2"/>
      <c r="F273" s="65"/>
      <c r="G273" s="2"/>
      <c r="H273" s="2"/>
      <c r="I273" s="2"/>
      <c r="J273" s="2"/>
      <c r="K273" s="2"/>
      <c r="L273" s="2"/>
      <c r="M273" s="285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85"/>
      <c r="B274" s="2"/>
      <c r="C274" s="2"/>
      <c r="D274" s="65"/>
      <c r="E274" s="2"/>
      <c r="F274" s="65"/>
      <c r="G274" s="2"/>
      <c r="H274" s="2"/>
      <c r="I274" s="2"/>
      <c r="J274" s="2"/>
      <c r="K274" s="2"/>
      <c r="L274" s="2"/>
      <c r="M274" s="285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85"/>
      <c r="B275" s="2"/>
      <c r="C275" s="2"/>
      <c r="D275" s="65"/>
      <c r="E275" s="2"/>
      <c r="F275" s="65"/>
      <c r="G275" s="2"/>
      <c r="H275" s="2"/>
      <c r="I275" s="2"/>
      <c r="J275" s="2"/>
      <c r="K275" s="2"/>
      <c r="L275" s="2"/>
      <c r="M275" s="285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85"/>
      <c r="B276" s="2"/>
      <c r="C276" s="2"/>
      <c r="D276" s="65"/>
      <c r="E276" s="2"/>
      <c r="F276" s="65"/>
      <c r="G276" s="2"/>
      <c r="H276" s="2"/>
      <c r="I276" s="2"/>
      <c r="J276" s="2"/>
      <c r="K276" s="2"/>
      <c r="L276" s="2"/>
      <c r="M276" s="285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85"/>
      <c r="B277" s="2"/>
      <c r="C277" s="2"/>
      <c r="D277" s="65"/>
      <c r="E277" s="2"/>
      <c r="F277" s="65"/>
      <c r="G277" s="2"/>
      <c r="H277" s="2"/>
      <c r="I277" s="2"/>
      <c r="J277" s="2"/>
      <c r="K277" s="2"/>
      <c r="L277" s="2"/>
      <c r="M277" s="285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85"/>
      <c r="B278" s="2"/>
      <c r="C278" s="2"/>
      <c r="D278" s="65"/>
      <c r="E278" s="2"/>
      <c r="F278" s="65"/>
      <c r="G278" s="2"/>
      <c r="H278" s="2"/>
      <c r="I278" s="2"/>
      <c r="J278" s="2"/>
      <c r="K278" s="2"/>
      <c r="L278" s="2"/>
      <c r="M278" s="285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85"/>
      <c r="B279" s="2"/>
      <c r="C279" s="2"/>
      <c r="D279" s="65"/>
      <c r="E279" s="2"/>
      <c r="F279" s="65"/>
      <c r="G279" s="2"/>
      <c r="H279" s="2"/>
      <c r="I279" s="2"/>
      <c r="J279" s="2"/>
      <c r="K279" s="2"/>
      <c r="L279" s="2"/>
      <c r="M279" s="285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85"/>
      <c r="B280" s="2"/>
      <c r="C280" s="2"/>
      <c r="D280" s="65"/>
      <c r="E280" s="2"/>
      <c r="F280" s="65"/>
      <c r="G280" s="2"/>
      <c r="H280" s="2"/>
      <c r="I280" s="2"/>
      <c r="J280" s="2"/>
      <c r="K280" s="2"/>
      <c r="L280" s="2"/>
      <c r="M280" s="285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85"/>
      <c r="B281" s="2"/>
      <c r="C281" s="2"/>
      <c r="D281" s="65"/>
      <c r="E281" s="2"/>
      <c r="F281" s="65"/>
      <c r="G281" s="2"/>
      <c r="H281" s="2"/>
      <c r="I281" s="2"/>
      <c r="J281" s="2"/>
      <c r="K281" s="2"/>
      <c r="L281" s="2"/>
      <c r="M281" s="285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85"/>
      <c r="B282" s="2"/>
      <c r="C282" s="2"/>
      <c r="D282" s="65"/>
      <c r="E282" s="2"/>
      <c r="F282" s="65"/>
      <c r="G282" s="2"/>
      <c r="H282" s="2"/>
      <c r="I282" s="2"/>
      <c r="J282" s="2"/>
      <c r="K282" s="2"/>
      <c r="L282" s="2"/>
      <c r="M282" s="285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85"/>
      <c r="B283" s="2"/>
      <c r="C283" s="2"/>
      <c r="D283" s="65"/>
      <c r="E283" s="2"/>
      <c r="F283" s="65"/>
      <c r="G283" s="2"/>
      <c r="H283" s="2"/>
      <c r="I283" s="2"/>
      <c r="J283" s="2"/>
      <c r="K283" s="2"/>
      <c r="L283" s="2"/>
      <c r="M283" s="285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85"/>
      <c r="B284" s="2"/>
      <c r="C284" s="2"/>
      <c r="D284" s="65"/>
      <c r="E284" s="2"/>
      <c r="F284" s="65"/>
      <c r="G284" s="2"/>
      <c r="H284" s="2"/>
      <c r="I284" s="2"/>
      <c r="J284" s="2"/>
      <c r="K284" s="2"/>
      <c r="L284" s="2"/>
      <c r="M284" s="285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85"/>
      <c r="B285" s="2"/>
      <c r="C285" s="2"/>
      <c r="D285" s="65"/>
      <c r="E285" s="2"/>
      <c r="F285" s="65"/>
      <c r="G285" s="2"/>
      <c r="H285" s="2"/>
      <c r="I285" s="2"/>
      <c r="J285" s="2"/>
      <c r="K285" s="2"/>
      <c r="L285" s="2"/>
      <c r="M285" s="285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85"/>
      <c r="B286" s="2"/>
      <c r="C286" s="2"/>
      <c r="D286" s="65"/>
      <c r="E286" s="2"/>
      <c r="F286" s="65"/>
      <c r="G286" s="2"/>
      <c r="H286" s="2"/>
      <c r="I286" s="2"/>
      <c r="J286" s="2"/>
      <c r="K286" s="2"/>
      <c r="L286" s="2"/>
      <c r="M286" s="285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85"/>
      <c r="B287" s="2"/>
      <c r="C287" s="2"/>
      <c r="D287" s="65"/>
      <c r="E287" s="2"/>
      <c r="F287" s="65"/>
      <c r="G287" s="2"/>
      <c r="H287" s="2"/>
      <c r="I287" s="2"/>
      <c r="J287" s="2"/>
      <c r="K287" s="2"/>
      <c r="L287" s="2"/>
      <c r="M287" s="285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85"/>
      <c r="B288" s="2"/>
      <c r="C288" s="2"/>
      <c r="D288" s="65"/>
      <c r="E288" s="2"/>
      <c r="F288" s="65"/>
      <c r="G288" s="2"/>
      <c r="H288" s="2"/>
      <c r="I288" s="2"/>
      <c r="J288" s="2"/>
      <c r="K288" s="2"/>
      <c r="L288" s="2"/>
      <c r="M288" s="285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85"/>
      <c r="B289" s="2"/>
      <c r="C289" s="2"/>
      <c r="D289" s="65"/>
      <c r="E289" s="2"/>
      <c r="F289" s="65"/>
      <c r="G289" s="2"/>
      <c r="H289" s="2"/>
      <c r="I289" s="2"/>
      <c r="J289" s="2"/>
      <c r="K289" s="2"/>
      <c r="L289" s="2"/>
      <c r="M289" s="285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85"/>
      <c r="B290" s="2"/>
      <c r="C290" s="2"/>
      <c r="D290" s="65"/>
      <c r="E290" s="2"/>
      <c r="F290" s="65"/>
      <c r="G290" s="2"/>
      <c r="H290" s="2"/>
      <c r="I290" s="2"/>
      <c r="J290" s="2"/>
      <c r="K290" s="2"/>
      <c r="L290" s="2"/>
      <c r="M290" s="285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85"/>
      <c r="B291" s="2"/>
      <c r="C291" s="2"/>
      <c r="D291" s="65"/>
      <c r="E291" s="2"/>
      <c r="F291" s="65"/>
      <c r="G291" s="2"/>
      <c r="H291" s="2"/>
      <c r="I291" s="2"/>
      <c r="J291" s="2"/>
      <c r="K291" s="2"/>
      <c r="L291" s="2"/>
      <c r="M291" s="285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85"/>
      <c r="B292" s="2"/>
      <c r="C292" s="2"/>
      <c r="D292" s="65"/>
      <c r="E292" s="2"/>
      <c r="F292" s="65"/>
      <c r="G292" s="2"/>
      <c r="H292" s="2"/>
      <c r="I292" s="2"/>
      <c r="J292" s="2"/>
      <c r="K292" s="2"/>
      <c r="L292" s="2"/>
      <c r="M292" s="285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85"/>
      <c r="B293" s="2"/>
      <c r="C293" s="2"/>
      <c r="D293" s="65"/>
      <c r="E293" s="2"/>
      <c r="F293" s="65"/>
      <c r="G293" s="2"/>
      <c r="H293" s="2"/>
      <c r="I293" s="2"/>
      <c r="J293" s="2"/>
      <c r="K293" s="2"/>
      <c r="L293" s="2"/>
      <c r="M293" s="285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85"/>
      <c r="B294" s="2"/>
      <c r="C294" s="2"/>
      <c r="D294" s="65"/>
      <c r="E294" s="2"/>
      <c r="F294" s="65"/>
      <c r="G294" s="2"/>
      <c r="H294" s="2"/>
      <c r="I294" s="2"/>
      <c r="J294" s="2"/>
      <c r="K294" s="2"/>
      <c r="L294" s="2"/>
      <c r="M294" s="285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85"/>
      <c r="B295" s="2"/>
      <c r="C295" s="2"/>
      <c r="D295" s="65"/>
      <c r="E295" s="2"/>
      <c r="F295" s="65"/>
      <c r="G295" s="2"/>
      <c r="H295" s="2"/>
      <c r="I295" s="2"/>
      <c r="J295" s="2"/>
      <c r="K295" s="2"/>
      <c r="L295" s="2"/>
      <c r="M295" s="285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85"/>
      <c r="B296" s="2"/>
      <c r="C296" s="2"/>
      <c r="D296" s="65"/>
      <c r="E296" s="2"/>
      <c r="F296" s="65"/>
      <c r="G296" s="2"/>
      <c r="H296" s="2"/>
      <c r="I296" s="2"/>
      <c r="J296" s="2"/>
      <c r="K296" s="2"/>
      <c r="L296" s="2"/>
      <c r="M296" s="285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85"/>
      <c r="B297" s="2"/>
      <c r="C297" s="2"/>
      <c r="D297" s="65"/>
      <c r="E297" s="2"/>
      <c r="F297" s="65"/>
      <c r="G297" s="2"/>
      <c r="H297" s="2"/>
      <c r="I297" s="2"/>
      <c r="J297" s="2"/>
      <c r="K297" s="2"/>
      <c r="L297" s="2"/>
      <c r="M297" s="285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85"/>
      <c r="B298" s="2"/>
      <c r="C298" s="2"/>
      <c r="D298" s="65"/>
      <c r="E298" s="2"/>
      <c r="F298" s="65"/>
      <c r="G298" s="2"/>
      <c r="H298" s="2"/>
      <c r="I298" s="2"/>
      <c r="J298" s="2"/>
      <c r="K298" s="2"/>
      <c r="L298" s="2"/>
      <c r="M298" s="285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85"/>
      <c r="B299" s="2"/>
      <c r="C299" s="2"/>
      <c r="D299" s="65"/>
      <c r="E299" s="2"/>
      <c r="F299" s="65"/>
      <c r="G299" s="2"/>
      <c r="H299" s="2"/>
      <c r="I299" s="2"/>
      <c r="J299" s="2"/>
      <c r="K299" s="2"/>
      <c r="L299" s="2"/>
      <c r="M299" s="285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85"/>
      <c r="B300" s="2"/>
      <c r="C300" s="2"/>
      <c r="D300" s="65"/>
      <c r="E300" s="2"/>
      <c r="F300" s="65"/>
      <c r="G300" s="2"/>
      <c r="H300" s="2"/>
      <c r="I300" s="2"/>
      <c r="J300" s="2"/>
      <c r="K300" s="2"/>
      <c r="L300" s="2"/>
      <c r="M300" s="285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85"/>
      <c r="B301" s="2"/>
      <c r="C301" s="2"/>
      <c r="D301" s="65"/>
      <c r="E301" s="2"/>
      <c r="F301" s="65"/>
      <c r="G301" s="2"/>
      <c r="H301" s="2"/>
      <c r="I301" s="2"/>
      <c r="J301" s="2"/>
      <c r="K301" s="2"/>
      <c r="L301" s="2"/>
      <c r="M301" s="285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85"/>
      <c r="B302" s="2"/>
      <c r="C302" s="2"/>
      <c r="D302" s="65"/>
      <c r="E302" s="2"/>
      <c r="F302" s="65"/>
      <c r="G302" s="2"/>
      <c r="H302" s="2"/>
      <c r="I302" s="2"/>
      <c r="J302" s="2"/>
      <c r="K302" s="2"/>
      <c r="L302" s="2"/>
      <c r="M302" s="285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85"/>
      <c r="B303" s="2"/>
      <c r="C303" s="2"/>
      <c r="D303" s="65"/>
      <c r="E303" s="2"/>
      <c r="F303" s="65"/>
      <c r="G303" s="2"/>
      <c r="H303" s="2"/>
      <c r="I303" s="2"/>
      <c r="J303" s="2"/>
      <c r="K303" s="2"/>
      <c r="L303" s="2"/>
      <c r="M303" s="285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85"/>
      <c r="B304" s="2"/>
      <c r="C304" s="2"/>
      <c r="D304" s="65"/>
      <c r="E304" s="2"/>
      <c r="F304" s="65"/>
      <c r="G304" s="2"/>
      <c r="H304" s="2"/>
      <c r="I304" s="2"/>
      <c r="J304" s="2"/>
      <c r="K304" s="2"/>
      <c r="L304" s="2"/>
      <c r="M304" s="285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85"/>
      <c r="B305" s="2"/>
      <c r="C305" s="2"/>
      <c r="D305" s="65"/>
      <c r="E305" s="2"/>
      <c r="F305" s="65"/>
      <c r="G305" s="2"/>
      <c r="H305" s="2"/>
      <c r="I305" s="2"/>
      <c r="J305" s="2"/>
      <c r="K305" s="2"/>
      <c r="L305" s="2"/>
      <c r="M305" s="285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85"/>
      <c r="B306" s="2"/>
      <c r="C306" s="2"/>
      <c r="D306" s="65"/>
      <c r="E306" s="2"/>
      <c r="F306" s="65"/>
      <c r="G306" s="2"/>
      <c r="H306" s="2"/>
      <c r="I306" s="2"/>
      <c r="J306" s="2"/>
      <c r="K306" s="2"/>
      <c r="L306" s="2"/>
      <c r="M306" s="285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85"/>
      <c r="B307" s="2"/>
      <c r="C307" s="2"/>
      <c r="D307" s="65"/>
      <c r="E307" s="2"/>
      <c r="F307" s="65"/>
      <c r="G307" s="2"/>
      <c r="H307" s="2"/>
      <c r="I307" s="2"/>
      <c r="J307" s="2"/>
      <c r="K307" s="2"/>
      <c r="L307" s="2"/>
      <c r="M307" s="285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85"/>
      <c r="B308" s="2"/>
      <c r="C308" s="2"/>
      <c r="D308" s="65"/>
      <c r="E308" s="2"/>
      <c r="F308" s="65"/>
      <c r="G308" s="2"/>
      <c r="H308" s="2"/>
      <c r="I308" s="2"/>
      <c r="J308" s="2"/>
      <c r="K308" s="2"/>
      <c r="L308" s="2"/>
      <c r="M308" s="285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85"/>
      <c r="B309" s="2"/>
      <c r="C309" s="2"/>
      <c r="D309" s="65"/>
      <c r="E309" s="2"/>
      <c r="F309" s="65"/>
      <c r="G309" s="2"/>
      <c r="H309" s="2"/>
      <c r="I309" s="2"/>
      <c r="J309" s="2"/>
      <c r="K309" s="2"/>
      <c r="L309" s="2"/>
      <c r="M309" s="285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85"/>
      <c r="B310" s="2"/>
      <c r="C310" s="2"/>
      <c r="D310" s="65"/>
      <c r="E310" s="2"/>
      <c r="F310" s="65"/>
      <c r="G310" s="2"/>
      <c r="H310" s="2"/>
      <c r="I310" s="2"/>
      <c r="J310" s="2"/>
      <c r="K310" s="2"/>
      <c r="L310" s="2"/>
      <c r="M310" s="285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85"/>
      <c r="B311" s="2"/>
      <c r="C311" s="2"/>
      <c r="D311" s="65"/>
      <c r="E311" s="2"/>
      <c r="F311" s="65"/>
      <c r="G311" s="2"/>
      <c r="H311" s="2"/>
      <c r="I311" s="2"/>
      <c r="J311" s="2"/>
      <c r="K311" s="2"/>
      <c r="L311" s="2"/>
      <c r="M311" s="285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85"/>
      <c r="B312" s="2"/>
      <c r="C312" s="2"/>
      <c r="D312" s="65"/>
      <c r="E312" s="2"/>
      <c r="F312" s="65"/>
      <c r="G312" s="2"/>
      <c r="H312" s="2"/>
      <c r="I312" s="2"/>
      <c r="J312" s="2"/>
      <c r="K312" s="2"/>
      <c r="L312" s="2"/>
      <c r="M312" s="285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85"/>
      <c r="B313" s="2"/>
      <c r="C313" s="2"/>
      <c r="D313" s="65"/>
      <c r="E313" s="2"/>
      <c r="F313" s="65"/>
      <c r="G313" s="2"/>
      <c r="H313" s="2"/>
      <c r="I313" s="2"/>
      <c r="J313" s="2"/>
      <c r="K313" s="2"/>
      <c r="L313" s="2"/>
      <c r="M313" s="285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85"/>
      <c r="B314" s="2"/>
      <c r="C314" s="2"/>
      <c r="D314" s="65"/>
      <c r="E314" s="2"/>
      <c r="F314" s="65"/>
      <c r="G314" s="2"/>
      <c r="H314" s="2"/>
      <c r="I314" s="2"/>
      <c r="J314" s="2"/>
      <c r="K314" s="2"/>
      <c r="L314" s="2"/>
      <c r="M314" s="285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85"/>
      <c r="B315" s="2"/>
      <c r="C315" s="2"/>
      <c r="D315" s="65"/>
      <c r="E315" s="2"/>
      <c r="F315" s="65"/>
      <c r="G315" s="2"/>
      <c r="H315" s="2"/>
      <c r="I315" s="2"/>
      <c r="J315" s="2"/>
      <c r="K315" s="2"/>
      <c r="L315" s="2"/>
      <c r="M315" s="285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85"/>
      <c r="B316" s="2"/>
      <c r="C316" s="2"/>
      <c r="D316" s="65"/>
      <c r="E316" s="2"/>
      <c r="F316" s="65"/>
      <c r="G316" s="2"/>
      <c r="H316" s="2"/>
      <c r="I316" s="2"/>
      <c r="J316" s="2"/>
      <c r="K316" s="2"/>
      <c r="L316" s="2"/>
      <c r="M316" s="285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85"/>
      <c r="B317" s="2"/>
      <c r="C317" s="2"/>
      <c r="D317" s="65"/>
      <c r="E317" s="2"/>
      <c r="F317" s="65"/>
      <c r="G317" s="2"/>
      <c r="H317" s="2"/>
      <c r="I317" s="2"/>
      <c r="J317" s="2"/>
      <c r="K317" s="2"/>
      <c r="L317" s="2"/>
      <c r="M317" s="285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85"/>
      <c r="B318" s="2"/>
      <c r="C318" s="2"/>
      <c r="D318" s="65"/>
      <c r="E318" s="2"/>
      <c r="F318" s="65"/>
      <c r="G318" s="2"/>
      <c r="H318" s="2"/>
      <c r="I318" s="2"/>
      <c r="J318" s="2"/>
      <c r="K318" s="2"/>
      <c r="L318" s="2"/>
      <c r="M318" s="285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85"/>
      <c r="B319" s="2"/>
      <c r="C319" s="2"/>
      <c r="D319" s="65"/>
      <c r="E319" s="2"/>
      <c r="F319" s="65"/>
      <c r="G319" s="2"/>
      <c r="H319" s="2"/>
      <c r="I319" s="2"/>
      <c r="J319" s="2"/>
      <c r="K319" s="2"/>
      <c r="L319" s="2"/>
      <c r="M319" s="285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85"/>
      <c r="B320" s="2"/>
      <c r="C320" s="2"/>
      <c r="D320" s="65"/>
      <c r="E320" s="2"/>
      <c r="F320" s="65"/>
      <c r="G320" s="2"/>
      <c r="H320" s="2"/>
      <c r="I320" s="2"/>
      <c r="J320" s="2"/>
      <c r="K320" s="2"/>
      <c r="L320" s="2"/>
      <c r="M320" s="285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85"/>
      <c r="B321" s="2"/>
      <c r="C321" s="2"/>
      <c r="D321" s="65"/>
      <c r="E321" s="2"/>
      <c r="F321" s="65"/>
      <c r="G321" s="2"/>
      <c r="H321" s="2"/>
      <c r="I321" s="2"/>
      <c r="J321" s="2"/>
      <c r="K321" s="2"/>
      <c r="L321" s="2"/>
      <c r="M321" s="285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85"/>
      <c r="B322" s="2"/>
      <c r="C322" s="2"/>
      <c r="D322" s="65"/>
      <c r="E322" s="2"/>
      <c r="F322" s="65"/>
      <c r="G322" s="2"/>
      <c r="H322" s="2"/>
      <c r="I322" s="2"/>
      <c r="J322" s="2"/>
      <c r="K322" s="2"/>
      <c r="L322" s="2"/>
      <c r="M322" s="285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85"/>
      <c r="B323" s="2"/>
      <c r="C323" s="2"/>
      <c r="D323" s="65"/>
      <c r="E323" s="2"/>
      <c r="F323" s="65"/>
      <c r="G323" s="2"/>
      <c r="H323" s="2"/>
      <c r="I323" s="2"/>
      <c r="J323" s="2"/>
      <c r="K323" s="2"/>
      <c r="L323" s="2"/>
      <c r="M323" s="285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85"/>
      <c r="B324" s="2"/>
      <c r="C324" s="2"/>
      <c r="D324" s="65"/>
      <c r="E324" s="2"/>
      <c r="F324" s="65"/>
      <c r="G324" s="2"/>
      <c r="H324" s="2"/>
      <c r="I324" s="2"/>
      <c r="J324" s="2"/>
      <c r="K324" s="2"/>
      <c r="L324" s="2"/>
      <c r="M324" s="285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85"/>
      <c r="B325" s="2"/>
      <c r="C325" s="2"/>
      <c r="D325" s="65"/>
      <c r="E325" s="2"/>
      <c r="F325" s="65"/>
      <c r="G325" s="2"/>
      <c r="H325" s="2"/>
      <c r="I325" s="2"/>
      <c r="J325" s="2"/>
      <c r="K325" s="2"/>
      <c r="L325" s="2"/>
      <c r="M325" s="285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85"/>
      <c r="B326" s="2"/>
      <c r="C326" s="2"/>
      <c r="D326" s="65"/>
      <c r="E326" s="2"/>
      <c r="F326" s="65"/>
      <c r="G326" s="2"/>
      <c r="H326" s="2"/>
      <c r="I326" s="2"/>
      <c r="J326" s="2"/>
      <c r="K326" s="2"/>
      <c r="L326" s="2"/>
      <c r="M326" s="285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85"/>
      <c r="B327" s="2"/>
      <c r="C327" s="2"/>
      <c r="D327" s="65"/>
      <c r="E327" s="2"/>
      <c r="F327" s="65"/>
      <c r="G327" s="2"/>
      <c r="H327" s="2"/>
      <c r="I327" s="2"/>
      <c r="J327" s="2"/>
      <c r="K327" s="2"/>
      <c r="L327" s="2"/>
      <c r="M327" s="285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85"/>
      <c r="B328" s="2"/>
      <c r="C328" s="2"/>
      <c r="D328" s="65"/>
      <c r="E328" s="2"/>
      <c r="F328" s="65"/>
      <c r="G328" s="2"/>
      <c r="H328" s="2"/>
      <c r="I328" s="2"/>
      <c r="J328" s="2"/>
      <c r="K328" s="2"/>
      <c r="L328" s="2"/>
      <c r="M328" s="285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85"/>
      <c r="B329" s="2"/>
      <c r="C329" s="2"/>
      <c r="D329" s="65"/>
      <c r="E329" s="2"/>
      <c r="F329" s="65"/>
      <c r="G329" s="2"/>
      <c r="H329" s="2"/>
      <c r="I329" s="2"/>
      <c r="J329" s="2"/>
      <c r="K329" s="2"/>
      <c r="L329" s="2"/>
      <c r="M329" s="285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85"/>
      <c r="B330" s="2"/>
      <c r="C330" s="2"/>
      <c r="D330" s="65"/>
      <c r="E330" s="2"/>
      <c r="F330" s="65"/>
      <c r="G330" s="2"/>
      <c r="H330" s="2"/>
      <c r="I330" s="2"/>
      <c r="J330" s="2"/>
      <c r="K330" s="2"/>
      <c r="L330" s="2"/>
      <c r="M330" s="285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85"/>
      <c r="B331" s="2"/>
      <c r="C331" s="2"/>
      <c r="D331" s="65"/>
      <c r="E331" s="2"/>
      <c r="F331" s="65"/>
      <c r="G331" s="2"/>
      <c r="H331" s="2"/>
      <c r="I331" s="2"/>
      <c r="J331" s="2"/>
      <c r="K331" s="2"/>
      <c r="L331" s="2"/>
      <c r="M331" s="285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85"/>
      <c r="B332" s="2"/>
      <c r="C332" s="2"/>
      <c r="D332" s="65"/>
      <c r="E332" s="2"/>
      <c r="F332" s="65"/>
      <c r="G332" s="2"/>
      <c r="H332" s="2"/>
      <c r="I332" s="2"/>
      <c r="J332" s="2"/>
      <c r="K332" s="2"/>
      <c r="L332" s="2"/>
      <c r="M332" s="285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85"/>
      <c r="B333" s="2"/>
      <c r="C333" s="2"/>
      <c r="D333" s="65"/>
      <c r="E333" s="2"/>
      <c r="F333" s="65"/>
      <c r="G333" s="2"/>
      <c r="H333" s="2"/>
      <c r="I333" s="2"/>
      <c r="J333" s="2"/>
      <c r="K333" s="2"/>
      <c r="L333" s="2"/>
      <c r="M333" s="285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85"/>
      <c r="B334" s="2"/>
      <c r="C334" s="2"/>
      <c r="D334" s="65"/>
      <c r="E334" s="2"/>
      <c r="F334" s="65"/>
      <c r="G334" s="2"/>
      <c r="H334" s="2"/>
      <c r="I334" s="2"/>
      <c r="J334" s="2"/>
      <c r="K334" s="2"/>
      <c r="L334" s="2"/>
      <c r="M334" s="285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85"/>
      <c r="B335" s="2"/>
      <c r="C335" s="2"/>
      <c r="D335" s="65"/>
      <c r="E335" s="2"/>
      <c r="F335" s="65"/>
      <c r="G335" s="2"/>
      <c r="H335" s="2"/>
      <c r="I335" s="2"/>
      <c r="J335" s="2"/>
      <c r="K335" s="2"/>
      <c r="L335" s="2"/>
      <c r="M335" s="285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85"/>
      <c r="B336" s="2"/>
      <c r="C336" s="2"/>
      <c r="D336" s="65"/>
      <c r="E336" s="2"/>
      <c r="F336" s="65"/>
      <c r="G336" s="2"/>
      <c r="H336" s="2"/>
      <c r="I336" s="2"/>
      <c r="J336" s="2"/>
      <c r="K336" s="2"/>
      <c r="L336" s="2"/>
      <c r="M336" s="285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85"/>
      <c r="B337" s="2"/>
      <c r="C337" s="2"/>
      <c r="D337" s="65"/>
      <c r="E337" s="2"/>
      <c r="F337" s="65"/>
      <c r="G337" s="2"/>
      <c r="H337" s="2"/>
      <c r="I337" s="2"/>
      <c r="J337" s="2"/>
      <c r="K337" s="2"/>
      <c r="L337" s="2"/>
      <c r="M337" s="285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85"/>
      <c r="B338" s="2"/>
      <c r="C338" s="2"/>
      <c r="D338" s="65"/>
      <c r="E338" s="2"/>
      <c r="F338" s="65"/>
      <c r="G338" s="2"/>
      <c r="H338" s="2"/>
      <c r="I338" s="2"/>
      <c r="J338" s="2"/>
      <c r="K338" s="2"/>
      <c r="L338" s="2"/>
      <c r="M338" s="285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85"/>
      <c r="B339" s="2"/>
      <c r="C339" s="2"/>
      <c r="D339" s="65"/>
      <c r="E339" s="2"/>
      <c r="F339" s="65"/>
      <c r="G339" s="2"/>
      <c r="H339" s="2"/>
      <c r="I339" s="2"/>
      <c r="J339" s="2"/>
      <c r="K339" s="2"/>
      <c r="L339" s="2"/>
      <c r="M339" s="285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85"/>
      <c r="B340" s="2"/>
      <c r="C340" s="2"/>
      <c r="D340" s="65"/>
      <c r="E340" s="2"/>
      <c r="F340" s="65"/>
      <c r="G340" s="2"/>
      <c r="H340" s="2"/>
      <c r="I340" s="2"/>
      <c r="J340" s="2"/>
      <c r="K340" s="2"/>
      <c r="L340" s="2"/>
      <c r="M340" s="285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85"/>
      <c r="B341" s="2"/>
      <c r="C341" s="2"/>
      <c r="D341" s="65"/>
      <c r="E341" s="2"/>
      <c r="F341" s="65"/>
      <c r="G341" s="2"/>
      <c r="H341" s="2"/>
      <c r="I341" s="2"/>
      <c r="J341" s="2"/>
      <c r="K341" s="2"/>
      <c r="L341" s="2"/>
      <c r="M341" s="285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85"/>
      <c r="B342" s="2"/>
      <c r="C342" s="2"/>
      <c r="D342" s="65"/>
      <c r="E342" s="2"/>
      <c r="F342" s="65"/>
      <c r="G342" s="2"/>
      <c r="H342" s="2"/>
      <c r="I342" s="2"/>
      <c r="J342" s="2"/>
      <c r="K342" s="2"/>
      <c r="L342" s="2"/>
      <c r="M342" s="285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85"/>
      <c r="B343" s="2"/>
      <c r="C343" s="2"/>
      <c r="D343" s="65"/>
      <c r="E343" s="2"/>
      <c r="F343" s="65"/>
      <c r="G343" s="2"/>
      <c r="H343" s="2"/>
      <c r="I343" s="2"/>
      <c r="J343" s="2"/>
      <c r="K343" s="2"/>
      <c r="L343" s="2"/>
      <c r="M343" s="285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85"/>
      <c r="B344" s="2"/>
      <c r="C344" s="2"/>
      <c r="D344" s="65"/>
      <c r="E344" s="2"/>
      <c r="F344" s="65"/>
      <c r="G344" s="2"/>
      <c r="H344" s="2"/>
      <c r="I344" s="2"/>
      <c r="J344" s="2"/>
      <c r="K344" s="2"/>
      <c r="L344" s="2"/>
      <c r="M344" s="285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85"/>
      <c r="B345" s="2"/>
      <c r="C345" s="2"/>
      <c r="D345" s="65"/>
      <c r="E345" s="2"/>
      <c r="F345" s="65"/>
      <c r="G345" s="2"/>
      <c r="H345" s="2"/>
      <c r="I345" s="2"/>
      <c r="J345" s="2"/>
      <c r="K345" s="2"/>
      <c r="L345" s="2"/>
      <c r="M345" s="285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85"/>
      <c r="B346" s="2"/>
      <c r="C346" s="2"/>
      <c r="D346" s="65"/>
      <c r="E346" s="2"/>
      <c r="F346" s="65"/>
      <c r="G346" s="2"/>
      <c r="H346" s="2"/>
      <c r="I346" s="2"/>
      <c r="J346" s="2"/>
      <c r="K346" s="2"/>
      <c r="L346" s="2"/>
      <c r="M346" s="285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85"/>
      <c r="B347" s="2"/>
      <c r="C347" s="2"/>
      <c r="D347" s="65"/>
      <c r="E347" s="2"/>
      <c r="F347" s="65"/>
      <c r="G347" s="2"/>
      <c r="H347" s="2"/>
      <c r="I347" s="2"/>
      <c r="J347" s="2"/>
      <c r="K347" s="2"/>
      <c r="L347" s="2"/>
      <c r="M347" s="285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85"/>
      <c r="B348" s="2"/>
      <c r="C348" s="2"/>
      <c r="D348" s="65"/>
      <c r="E348" s="2"/>
      <c r="F348" s="65"/>
      <c r="G348" s="2"/>
      <c r="H348" s="2"/>
      <c r="I348" s="2"/>
      <c r="J348" s="2"/>
      <c r="K348" s="2"/>
      <c r="L348" s="2"/>
      <c r="M348" s="285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85"/>
      <c r="B349" s="2"/>
      <c r="C349" s="2"/>
      <c r="D349" s="65"/>
      <c r="E349" s="2"/>
      <c r="F349" s="65"/>
      <c r="G349" s="2"/>
      <c r="H349" s="2"/>
      <c r="I349" s="2"/>
      <c r="J349" s="2"/>
      <c r="K349" s="2"/>
      <c r="L349" s="2"/>
      <c r="M349" s="285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85"/>
      <c r="B350" s="2"/>
      <c r="C350" s="2"/>
      <c r="D350" s="65"/>
      <c r="E350" s="2"/>
      <c r="F350" s="65"/>
      <c r="G350" s="2"/>
      <c r="H350" s="2"/>
      <c r="I350" s="2"/>
      <c r="J350" s="2"/>
      <c r="K350" s="2"/>
      <c r="L350" s="2"/>
      <c r="M350" s="285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85"/>
      <c r="B351" s="2"/>
      <c r="C351" s="2"/>
      <c r="D351" s="65"/>
      <c r="E351" s="2"/>
      <c r="F351" s="65"/>
      <c r="G351" s="2"/>
      <c r="H351" s="2"/>
      <c r="I351" s="2"/>
      <c r="J351" s="2"/>
      <c r="K351" s="2"/>
      <c r="L351" s="2"/>
      <c r="M351" s="285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85"/>
      <c r="B352" s="2"/>
      <c r="C352" s="2"/>
      <c r="D352" s="65"/>
      <c r="E352" s="2"/>
      <c r="F352" s="65"/>
      <c r="G352" s="2"/>
      <c r="H352" s="2"/>
      <c r="I352" s="2"/>
      <c r="J352" s="2"/>
      <c r="K352" s="2"/>
      <c r="L352" s="2"/>
      <c r="M352" s="285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85"/>
      <c r="B353" s="2"/>
      <c r="C353" s="2"/>
      <c r="D353" s="65"/>
      <c r="E353" s="2"/>
      <c r="F353" s="65"/>
      <c r="G353" s="2"/>
      <c r="H353" s="2"/>
      <c r="I353" s="2"/>
      <c r="J353" s="2"/>
      <c r="K353" s="2"/>
      <c r="L353" s="2"/>
      <c r="M353" s="285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85"/>
      <c r="B354" s="2"/>
      <c r="C354" s="2"/>
      <c r="D354" s="65"/>
      <c r="E354" s="2"/>
      <c r="F354" s="65"/>
      <c r="G354" s="2"/>
      <c r="H354" s="2"/>
      <c r="I354" s="2"/>
      <c r="J354" s="2"/>
      <c r="K354" s="2"/>
      <c r="L354" s="2"/>
      <c r="M354" s="285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85"/>
      <c r="B355" s="2"/>
      <c r="C355" s="2"/>
      <c r="D355" s="65"/>
      <c r="E355" s="2"/>
      <c r="F355" s="65"/>
      <c r="G355" s="2"/>
      <c r="H355" s="2"/>
      <c r="I355" s="2"/>
      <c r="J355" s="2"/>
      <c r="K355" s="2"/>
      <c r="L355" s="2"/>
      <c r="M355" s="285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85"/>
      <c r="B356" s="2"/>
      <c r="C356" s="2"/>
      <c r="D356" s="65"/>
      <c r="E356" s="2"/>
      <c r="F356" s="65"/>
      <c r="G356" s="2"/>
      <c r="H356" s="2"/>
      <c r="I356" s="2"/>
      <c r="J356" s="2"/>
      <c r="K356" s="2"/>
      <c r="L356" s="2"/>
      <c r="M356" s="285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85"/>
      <c r="B357" s="2"/>
      <c r="C357" s="2"/>
      <c r="D357" s="65"/>
      <c r="E357" s="2"/>
      <c r="F357" s="65"/>
      <c r="G357" s="2"/>
      <c r="H357" s="2"/>
      <c r="I357" s="2"/>
      <c r="J357" s="2"/>
      <c r="K357" s="2"/>
      <c r="L357" s="2"/>
      <c r="M357" s="285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85"/>
      <c r="B358" s="2"/>
      <c r="C358" s="2"/>
      <c r="D358" s="65"/>
      <c r="E358" s="2"/>
      <c r="F358" s="65"/>
      <c r="G358" s="2"/>
      <c r="H358" s="2"/>
      <c r="I358" s="2"/>
      <c r="J358" s="2"/>
      <c r="K358" s="2"/>
      <c r="L358" s="2"/>
      <c r="M358" s="285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85"/>
      <c r="B359" s="2"/>
      <c r="C359" s="2"/>
      <c r="D359" s="65"/>
      <c r="E359" s="2"/>
      <c r="F359" s="65"/>
      <c r="G359" s="2"/>
      <c r="H359" s="2"/>
      <c r="I359" s="2"/>
      <c r="J359" s="2"/>
      <c r="K359" s="2"/>
      <c r="L359" s="2"/>
      <c r="M359" s="285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85"/>
      <c r="B360" s="2"/>
      <c r="C360" s="2"/>
      <c r="D360" s="65"/>
      <c r="E360" s="2"/>
      <c r="F360" s="65"/>
      <c r="G360" s="2"/>
      <c r="H360" s="2"/>
      <c r="I360" s="2"/>
      <c r="J360" s="2"/>
      <c r="K360" s="2"/>
      <c r="L360" s="2"/>
      <c r="M360" s="285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85"/>
      <c r="B361" s="2"/>
      <c r="C361" s="2"/>
      <c r="D361" s="65"/>
      <c r="E361" s="2"/>
      <c r="F361" s="65"/>
      <c r="G361" s="2"/>
      <c r="H361" s="2"/>
      <c r="I361" s="2"/>
      <c r="J361" s="2"/>
      <c r="K361" s="2"/>
      <c r="L361" s="2"/>
      <c r="M361" s="285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85"/>
      <c r="B362" s="2"/>
      <c r="C362" s="2"/>
      <c r="D362" s="65"/>
      <c r="E362" s="2"/>
      <c r="F362" s="65"/>
      <c r="G362" s="2"/>
      <c r="H362" s="2"/>
      <c r="I362" s="2"/>
      <c r="J362" s="2"/>
      <c r="K362" s="2"/>
      <c r="L362" s="2"/>
      <c r="M362" s="285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85"/>
      <c r="B363" s="2"/>
      <c r="C363" s="2"/>
      <c r="D363" s="65"/>
      <c r="E363" s="2"/>
      <c r="F363" s="65"/>
      <c r="G363" s="2"/>
      <c r="H363" s="2"/>
      <c r="I363" s="2"/>
      <c r="J363" s="2"/>
      <c r="K363" s="2"/>
      <c r="L363" s="2"/>
      <c r="M363" s="285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85"/>
      <c r="B364" s="2"/>
      <c r="C364" s="2"/>
      <c r="D364" s="65"/>
      <c r="E364" s="2"/>
      <c r="F364" s="65"/>
      <c r="G364" s="2"/>
      <c r="H364" s="2"/>
      <c r="I364" s="2"/>
      <c r="J364" s="2"/>
      <c r="K364" s="2"/>
      <c r="L364" s="2"/>
      <c r="M364" s="285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85"/>
      <c r="B365" s="2"/>
      <c r="C365" s="2"/>
      <c r="D365" s="65"/>
      <c r="E365" s="2"/>
      <c r="F365" s="65"/>
      <c r="G365" s="2"/>
      <c r="H365" s="2"/>
      <c r="I365" s="2"/>
      <c r="J365" s="2"/>
      <c r="K365" s="2"/>
      <c r="L365" s="2"/>
      <c r="M365" s="285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85"/>
      <c r="B366" s="2"/>
      <c r="C366" s="2"/>
      <c r="D366" s="65"/>
      <c r="E366" s="2"/>
      <c r="F366" s="65"/>
      <c r="G366" s="2"/>
      <c r="H366" s="2"/>
      <c r="I366" s="2"/>
      <c r="J366" s="2"/>
      <c r="K366" s="2"/>
      <c r="L366" s="2"/>
      <c r="M366" s="285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85"/>
      <c r="B367" s="2"/>
      <c r="C367" s="2"/>
      <c r="D367" s="65"/>
      <c r="E367" s="2"/>
      <c r="F367" s="65"/>
      <c r="G367" s="2"/>
      <c r="H367" s="2"/>
      <c r="I367" s="2"/>
      <c r="J367" s="2"/>
      <c r="K367" s="2"/>
      <c r="L367" s="2"/>
      <c r="M367" s="285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85"/>
      <c r="B368" s="2"/>
      <c r="C368" s="2"/>
      <c r="D368" s="65"/>
      <c r="E368" s="2"/>
      <c r="F368" s="65"/>
      <c r="G368" s="2"/>
      <c r="H368" s="2"/>
      <c r="I368" s="2"/>
      <c r="J368" s="2"/>
      <c r="K368" s="2"/>
      <c r="L368" s="2"/>
      <c r="M368" s="285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85"/>
      <c r="B369" s="2"/>
      <c r="C369" s="2"/>
      <c r="D369" s="65"/>
      <c r="E369" s="2"/>
      <c r="F369" s="65"/>
      <c r="G369" s="2"/>
      <c r="H369" s="2"/>
      <c r="I369" s="2"/>
      <c r="J369" s="2"/>
      <c r="K369" s="2"/>
      <c r="L369" s="2"/>
      <c r="M369" s="285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85"/>
      <c r="B370" s="2"/>
      <c r="C370" s="2"/>
      <c r="D370" s="65"/>
      <c r="E370" s="2"/>
      <c r="F370" s="65"/>
      <c r="G370" s="2"/>
      <c r="H370" s="2"/>
      <c r="I370" s="2"/>
      <c r="J370" s="2"/>
      <c r="K370" s="2"/>
      <c r="L370" s="2"/>
      <c r="M370" s="285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85"/>
      <c r="B371" s="2"/>
      <c r="C371" s="2"/>
      <c r="D371" s="65"/>
      <c r="E371" s="2"/>
      <c r="F371" s="65"/>
      <c r="G371" s="2"/>
      <c r="H371" s="2"/>
      <c r="I371" s="2"/>
      <c r="J371" s="2"/>
      <c r="K371" s="2"/>
      <c r="L371" s="2"/>
      <c r="M371" s="285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85"/>
      <c r="B372" s="2"/>
      <c r="C372" s="2"/>
      <c r="D372" s="65"/>
      <c r="E372" s="2"/>
      <c r="F372" s="65"/>
      <c r="G372" s="2"/>
      <c r="H372" s="2"/>
      <c r="I372" s="2"/>
      <c r="J372" s="2"/>
      <c r="K372" s="2"/>
      <c r="L372" s="2"/>
      <c r="M372" s="285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85"/>
      <c r="B373" s="2"/>
      <c r="C373" s="2"/>
      <c r="D373" s="65"/>
      <c r="E373" s="2"/>
      <c r="F373" s="65"/>
      <c r="G373" s="2"/>
      <c r="H373" s="2"/>
      <c r="I373" s="2"/>
      <c r="J373" s="2"/>
      <c r="K373" s="2"/>
      <c r="L373" s="2"/>
      <c r="M373" s="285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85"/>
      <c r="B374" s="2"/>
      <c r="C374" s="2"/>
      <c r="D374" s="65"/>
      <c r="E374" s="2"/>
      <c r="F374" s="65"/>
      <c r="G374" s="2"/>
      <c r="H374" s="2"/>
      <c r="I374" s="2"/>
      <c r="J374" s="2"/>
      <c r="K374" s="2"/>
      <c r="L374" s="2"/>
      <c r="M374" s="285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85"/>
      <c r="B375" s="2"/>
      <c r="C375" s="2"/>
      <c r="D375" s="65"/>
      <c r="E375" s="2"/>
      <c r="F375" s="65"/>
      <c r="G375" s="2"/>
      <c r="H375" s="2"/>
      <c r="I375" s="2"/>
      <c r="J375" s="2"/>
      <c r="K375" s="2"/>
      <c r="L375" s="2"/>
      <c r="M375" s="285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85"/>
      <c r="B376" s="2"/>
      <c r="C376" s="2"/>
      <c r="D376" s="65"/>
      <c r="E376" s="2"/>
      <c r="F376" s="65"/>
      <c r="G376" s="2"/>
      <c r="H376" s="2"/>
      <c r="I376" s="2"/>
      <c r="J376" s="2"/>
      <c r="K376" s="2"/>
      <c r="L376" s="2"/>
      <c r="M376" s="285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85"/>
      <c r="B377" s="2"/>
      <c r="C377" s="2"/>
      <c r="D377" s="65"/>
      <c r="E377" s="2"/>
      <c r="F377" s="65"/>
      <c r="G377" s="2"/>
      <c r="H377" s="2"/>
      <c r="I377" s="2"/>
      <c r="J377" s="2"/>
      <c r="K377" s="2"/>
      <c r="L377" s="2"/>
      <c r="M377" s="285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85"/>
      <c r="B378" s="2"/>
      <c r="C378" s="2"/>
      <c r="D378" s="65"/>
      <c r="E378" s="2"/>
      <c r="F378" s="65"/>
      <c r="G378" s="2"/>
      <c r="H378" s="2"/>
      <c r="I378" s="2"/>
      <c r="J378" s="2"/>
      <c r="K378" s="2"/>
      <c r="L378" s="2"/>
      <c r="M378" s="285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85"/>
      <c r="B379" s="2"/>
      <c r="C379" s="2"/>
      <c r="D379" s="65"/>
      <c r="E379" s="2"/>
      <c r="F379" s="65"/>
      <c r="G379" s="2"/>
      <c r="H379" s="2"/>
      <c r="I379" s="2"/>
      <c r="J379" s="2"/>
      <c r="K379" s="2"/>
      <c r="L379" s="2"/>
      <c r="M379" s="285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85"/>
      <c r="B380" s="2"/>
      <c r="C380" s="2"/>
      <c r="D380" s="65"/>
      <c r="E380" s="2"/>
      <c r="F380" s="65"/>
      <c r="G380" s="2"/>
      <c r="H380" s="2"/>
      <c r="I380" s="2"/>
      <c r="J380" s="2"/>
      <c r="K380" s="2"/>
      <c r="L380" s="2"/>
      <c r="M380" s="285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85"/>
      <c r="B381" s="2"/>
      <c r="C381" s="2"/>
      <c r="D381" s="65"/>
      <c r="E381" s="2"/>
      <c r="F381" s="65"/>
      <c r="G381" s="2"/>
      <c r="H381" s="2"/>
      <c r="I381" s="2"/>
      <c r="J381" s="2"/>
      <c r="K381" s="2"/>
      <c r="L381" s="2"/>
      <c r="M381" s="285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85"/>
      <c r="B382" s="2"/>
      <c r="C382" s="2"/>
      <c r="D382" s="65"/>
      <c r="E382" s="2"/>
      <c r="F382" s="65"/>
      <c r="G382" s="2"/>
      <c r="H382" s="2"/>
      <c r="I382" s="2"/>
      <c r="J382" s="2"/>
      <c r="K382" s="2"/>
      <c r="L382" s="2"/>
      <c r="M382" s="285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85"/>
      <c r="B383" s="2"/>
      <c r="C383" s="2"/>
      <c r="D383" s="65"/>
      <c r="E383" s="2"/>
      <c r="F383" s="65"/>
      <c r="G383" s="2"/>
      <c r="H383" s="2"/>
      <c r="I383" s="2"/>
      <c r="J383" s="2"/>
      <c r="K383" s="2"/>
      <c r="L383" s="2"/>
      <c r="M383" s="285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85"/>
      <c r="B384" s="2"/>
      <c r="C384" s="2"/>
      <c r="D384" s="65"/>
      <c r="E384" s="2"/>
      <c r="F384" s="65"/>
      <c r="G384" s="2"/>
      <c r="H384" s="2"/>
      <c r="I384" s="2"/>
      <c r="J384" s="2"/>
      <c r="K384" s="2"/>
      <c r="L384" s="2"/>
      <c r="M384" s="285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85"/>
      <c r="B385" s="2"/>
      <c r="C385" s="2"/>
      <c r="D385" s="65"/>
      <c r="E385" s="2"/>
      <c r="F385" s="65"/>
      <c r="G385" s="2"/>
      <c r="H385" s="2"/>
      <c r="I385" s="2"/>
      <c r="J385" s="2"/>
      <c r="K385" s="2"/>
      <c r="L385" s="2"/>
      <c r="M385" s="285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85"/>
      <c r="B386" s="2"/>
      <c r="C386" s="2"/>
      <c r="D386" s="65"/>
      <c r="E386" s="2"/>
      <c r="F386" s="65"/>
      <c r="G386" s="2"/>
      <c r="H386" s="2"/>
      <c r="I386" s="2"/>
      <c r="J386" s="2"/>
      <c r="K386" s="2"/>
      <c r="L386" s="2"/>
      <c r="M386" s="285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85"/>
      <c r="B387" s="2"/>
      <c r="C387" s="2"/>
      <c r="D387" s="65"/>
      <c r="E387" s="2"/>
      <c r="F387" s="65"/>
      <c r="G387" s="2"/>
      <c r="H387" s="2"/>
      <c r="I387" s="2"/>
      <c r="J387" s="2"/>
      <c r="K387" s="2"/>
      <c r="L387" s="2"/>
      <c r="M387" s="285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85"/>
      <c r="B388" s="2"/>
      <c r="C388" s="2"/>
      <c r="D388" s="65"/>
      <c r="E388" s="2"/>
      <c r="F388" s="65"/>
      <c r="G388" s="2"/>
      <c r="H388" s="2"/>
      <c r="I388" s="2"/>
      <c r="J388" s="2"/>
      <c r="K388" s="2"/>
      <c r="L388" s="2"/>
      <c r="M388" s="285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85"/>
      <c r="B389" s="2"/>
      <c r="C389" s="2"/>
      <c r="D389" s="65"/>
      <c r="E389" s="2"/>
      <c r="F389" s="65"/>
      <c r="G389" s="2"/>
      <c r="H389" s="2"/>
      <c r="I389" s="2"/>
      <c r="J389" s="2"/>
      <c r="K389" s="2"/>
      <c r="L389" s="2"/>
      <c r="M389" s="285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85"/>
      <c r="B390" s="2"/>
      <c r="C390" s="2"/>
      <c r="D390" s="65"/>
      <c r="E390" s="2"/>
      <c r="F390" s="65"/>
      <c r="G390" s="2"/>
      <c r="H390" s="2"/>
      <c r="I390" s="2"/>
      <c r="J390" s="2"/>
      <c r="K390" s="2"/>
      <c r="L390" s="2"/>
      <c r="M390" s="285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85"/>
      <c r="B391" s="2"/>
      <c r="C391" s="2"/>
      <c r="D391" s="65"/>
      <c r="E391" s="2"/>
      <c r="F391" s="65"/>
      <c r="G391" s="2"/>
      <c r="H391" s="2"/>
      <c r="I391" s="2"/>
      <c r="J391" s="2"/>
      <c r="K391" s="2"/>
      <c r="L391" s="2"/>
      <c r="M391" s="285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85"/>
      <c r="B392" s="2"/>
      <c r="C392" s="2"/>
      <c r="D392" s="65"/>
      <c r="E392" s="2"/>
      <c r="F392" s="65"/>
      <c r="G392" s="2"/>
      <c r="H392" s="2"/>
      <c r="I392" s="2"/>
      <c r="J392" s="2"/>
      <c r="K392" s="2"/>
      <c r="L392" s="2"/>
      <c r="M392" s="285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85"/>
      <c r="B393" s="2"/>
      <c r="C393" s="2"/>
      <c r="D393" s="65"/>
      <c r="E393" s="2"/>
      <c r="F393" s="65"/>
      <c r="G393" s="2"/>
      <c r="H393" s="2"/>
      <c r="I393" s="2"/>
      <c r="J393" s="2"/>
      <c r="K393" s="2"/>
      <c r="L393" s="2"/>
      <c r="M393" s="285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85"/>
      <c r="B394" s="2"/>
      <c r="C394" s="2"/>
      <c r="D394" s="65"/>
      <c r="E394" s="2"/>
      <c r="F394" s="65"/>
      <c r="G394" s="2"/>
      <c r="H394" s="2"/>
      <c r="I394" s="2"/>
      <c r="J394" s="2"/>
      <c r="K394" s="2"/>
      <c r="L394" s="2"/>
      <c r="M394" s="285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85"/>
      <c r="B395" s="2"/>
      <c r="C395" s="2"/>
      <c r="D395" s="65"/>
      <c r="E395" s="2"/>
      <c r="F395" s="65"/>
      <c r="G395" s="2"/>
      <c r="H395" s="2"/>
      <c r="I395" s="2"/>
      <c r="J395" s="2"/>
      <c r="K395" s="2"/>
      <c r="L395" s="2"/>
      <c r="M395" s="285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85"/>
      <c r="B396" s="2"/>
      <c r="C396" s="2"/>
      <c r="D396" s="65"/>
      <c r="E396" s="2"/>
      <c r="F396" s="65"/>
      <c r="G396" s="2"/>
      <c r="H396" s="2"/>
      <c r="I396" s="2"/>
      <c r="J396" s="2"/>
      <c r="K396" s="2"/>
      <c r="L396" s="2"/>
      <c r="M396" s="285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85"/>
      <c r="B397" s="2"/>
      <c r="C397" s="2"/>
      <c r="D397" s="65"/>
      <c r="E397" s="2"/>
      <c r="F397" s="65"/>
      <c r="G397" s="2"/>
      <c r="H397" s="2"/>
      <c r="I397" s="2"/>
      <c r="J397" s="2"/>
      <c r="K397" s="2"/>
      <c r="L397" s="2"/>
      <c r="M397" s="285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85"/>
      <c r="B398" s="2"/>
      <c r="C398" s="2"/>
      <c r="D398" s="65"/>
      <c r="E398" s="2"/>
      <c r="F398" s="65"/>
      <c r="G398" s="2"/>
      <c r="H398" s="2"/>
      <c r="I398" s="2"/>
      <c r="J398" s="2"/>
      <c r="K398" s="2"/>
      <c r="L398" s="2"/>
      <c r="M398" s="285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85"/>
      <c r="B399" s="2"/>
      <c r="C399" s="2"/>
      <c r="D399" s="65"/>
      <c r="E399" s="2"/>
      <c r="F399" s="65"/>
      <c r="G399" s="2"/>
      <c r="H399" s="2"/>
      <c r="I399" s="2"/>
      <c r="J399" s="2"/>
      <c r="K399" s="2"/>
      <c r="L399" s="2"/>
      <c r="M399" s="285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85"/>
      <c r="B400" s="2"/>
      <c r="C400" s="2"/>
      <c r="D400" s="65"/>
      <c r="E400" s="2"/>
      <c r="F400" s="65"/>
      <c r="G400" s="2"/>
      <c r="H400" s="2"/>
      <c r="I400" s="2"/>
      <c r="J400" s="2"/>
      <c r="K400" s="2"/>
      <c r="L400" s="2"/>
      <c r="M400" s="285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85"/>
      <c r="B401" s="2"/>
      <c r="C401" s="2"/>
      <c r="D401" s="65"/>
      <c r="E401" s="2"/>
      <c r="F401" s="65"/>
      <c r="G401" s="2"/>
      <c r="H401" s="2"/>
      <c r="I401" s="2"/>
      <c r="J401" s="2"/>
      <c r="K401" s="2"/>
      <c r="L401" s="2"/>
      <c r="M401" s="285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85"/>
      <c r="B402" s="2"/>
      <c r="C402" s="2"/>
      <c r="D402" s="65"/>
      <c r="E402" s="2"/>
      <c r="F402" s="65"/>
      <c r="G402" s="2"/>
      <c r="H402" s="2"/>
      <c r="I402" s="2"/>
      <c r="J402" s="2"/>
      <c r="K402" s="2"/>
      <c r="L402" s="2"/>
      <c r="M402" s="285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85"/>
      <c r="B403" s="2"/>
      <c r="C403" s="2"/>
      <c r="D403" s="65"/>
      <c r="E403" s="2"/>
      <c r="F403" s="65"/>
      <c r="G403" s="2"/>
      <c r="H403" s="2"/>
      <c r="I403" s="2"/>
      <c r="J403" s="2"/>
      <c r="K403" s="2"/>
      <c r="L403" s="2"/>
      <c r="M403" s="285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85"/>
      <c r="B404" s="2"/>
      <c r="C404" s="2"/>
      <c r="D404" s="65"/>
      <c r="E404" s="2"/>
      <c r="F404" s="65"/>
      <c r="G404" s="2"/>
      <c r="H404" s="2"/>
      <c r="I404" s="2"/>
      <c r="J404" s="2"/>
      <c r="K404" s="2"/>
      <c r="L404" s="2"/>
      <c r="M404" s="285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85"/>
      <c r="B405" s="2"/>
      <c r="C405" s="2"/>
      <c r="D405" s="65"/>
      <c r="E405" s="2"/>
      <c r="F405" s="65"/>
      <c r="G405" s="2"/>
      <c r="H405" s="2"/>
      <c r="I405" s="2"/>
      <c r="J405" s="2"/>
      <c r="K405" s="2"/>
      <c r="L405" s="2"/>
      <c r="M405" s="285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85"/>
      <c r="B406" s="2"/>
      <c r="C406" s="2"/>
      <c r="D406" s="65"/>
      <c r="E406" s="2"/>
      <c r="F406" s="65"/>
      <c r="G406" s="2"/>
      <c r="H406" s="2"/>
      <c r="I406" s="2"/>
      <c r="J406" s="2"/>
      <c r="K406" s="2"/>
      <c r="L406" s="2"/>
      <c r="M406" s="285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85"/>
      <c r="B407" s="2"/>
      <c r="C407" s="2"/>
      <c r="D407" s="65"/>
      <c r="E407" s="2"/>
      <c r="F407" s="65"/>
      <c r="G407" s="2"/>
      <c r="H407" s="2"/>
      <c r="I407" s="2"/>
      <c r="J407" s="2"/>
      <c r="K407" s="2"/>
      <c r="L407" s="2"/>
      <c r="M407" s="285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85"/>
      <c r="B408" s="2"/>
      <c r="C408" s="2"/>
      <c r="D408" s="65"/>
      <c r="E408" s="2"/>
      <c r="F408" s="65"/>
      <c r="G408" s="2"/>
      <c r="H408" s="2"/>
      <c r="I408" s="2"/>
      <c r="J408" s="2"/>
      <c r="K408" s="2"/>
      <c r="L408" s="2"/>
      <c r="M408" s="285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85"/>
      <c r="B409" s="2"/>
      <c r="C409" s="2"/>
      <c r="D409" s="65"/>
      <c r="E409" s="2"/>
      <c r="F409" s="65"/>
      <c r="G409" s="2"/>
      <c r="H409" s="2"/>
      <c r="I409" s="2"/>
      <c r="J409" s="2"/>
      <c r="K409" s="2"/>
      <c r="L409" s="2"/>
      <c r="M409" s="285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85"/>
      <c r="B410" s="2"/>
      <c r="C410" s="2"/>
      <c r="D410" s="65"/>
      <c r="E410" s="2"/>
      <c r="F410" s="65"/>
      <c r="G410" s="2"/>
      <c r="H410" s="2"/>
      <c r="I410" s="2"/>
      <c r="J410" s="2"/>
      <c r="K410" s="2"/>
      <c r="L410" s="2"/>
      <c r="M410" s="285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85"/>
      <c r="B411" s="2"/>
      <c r="C411" s="2"/>
      <c r="D411" s="65"/>
      <c r="E411" s="2"/>
      <c r="F411" s="65"/>
      <c r="G411" s="2"/>
      <c r="H411" s="2"/>
      <c r="I411" s="2"/>
      <c r="J411" s="2"/>
      <c r="K411" s="2"/>
      <c r="L411" s="2"/>
      <c r="M411" s="285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85"/>
      <c r="B412" s="2"/>
      <c r="C412" s="2"/>
      <c r="D412" s="65"/>
      <c r="E412" s="2"/>
      <c r="F412" s="65"/>
      <c r="G412" s="2"/>
      <c r="H412" s="2"/>
      <c r="I412" s="2"/>
      <c r="J412" s="2"/>
      <c r="K412" s="2"/>
      <c r="L412" s="2"/>
      <c r="M412" s="285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85"/>
      <c r="B413" s="2"/>
      <c r="C413" s="2"/>
      <c r="D413" s="65"/>
      <c r="E413" s="2"/>
      <c r="F413" s="65"/>
      <c r="G413" s="2"/>
      <c r="H413" s="2"/>
      <c r="I413" s="2"/>
      <c r="J413" s="2"/>
      <c r="K413" s="2"/>
      <c r="L413" s="2"/>
      <c r="M413" s="285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85"/>
      <c r="B414" s="2"/>
      <c r="C414" s="2"/>
      <c r="D414" s="65"/>
      <c r="E414" s="2"/>
      <c r="F414" s="65"/>
      <c r="G414" s="2"/>
      <c r="H414" s="2"/>
      <c r="I414" s="2"/>
      <c r="J414" s="2"/>
      <c r="K414" s="2"/>
      <c r="L414" s="2"/>
      <c r="M414" s="285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85"/>
      <c r="B415" s="2"/>
      <c r="C415" s="2"/>
      <c r="D415" s="65"/>
      <c r="E415" s="2"/>
      <c r="F415" s="65"/>
      <c r="G415" s="2"/>
      <c r="H415" s="2"/>
      <c r="I415" s="2"/>
      <c r="J415" s="2"/>
      <c r="K415" s="2"/>
      <c r="L415" s="2"/>
      <c r="M415" s="285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85"/>
      <c r="B416" s="2"/>
      <c r="C416" s="2"/>
      <c r="D416" s="65"/>
      <c r="E416" s="2"/>
      <c r="F416" s="65"/>
      <c r="G416" s="2"/>
      <c r="H416" s="2"/>
      <c r="I416" s="2"/>
      <c r="J416" s="2"/>
      <c r="K416" s="2"/>
      <c r="L416" s="2"/>
      <c r="M416" s="285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85"/>
      <c r="B417" s="2"/>
      <c r="C417" s="2"/>
      <c r="D417" s="65"/>
      <c r="E417" s="2"/>
      <c r="F417" s="65"/>
      <c r="G417" s="2"/>
      <c r="H417" s="2"/>
      <c r="I417" s="2"/>
      <c r="J417" s="2"/>
      <c r="K417" s="2"/>
      <c r="L417" s="2"/>
      <c r="M417" s="285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85"/>
      <c r="B418" s="2"/>
      <c r="C418" s="2"/>
      <c r="D418" s="65"/>
      <c r="E418" s="2"/>
      <c r="F418" s="65"/>
      <c r="G418" s="2"/>
      <c r="H418" s="2"/>
      <c r="I418" s="2"/>
      <c r="J418" s="2"/>
      <c r="K418" s="2"/>
      <c r="L418" s="2"/>
      <c r="M418" s="285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85"/>
      <c r="B419" s="2"/>
      <c r="C419" s="2"/>
      <c r="D419" s="65"/>
      <c r="E419" s="2"/>
      <c r="F419" s="65"/>
      <c r="G419" s="2"/>
      <c r="H419" s="2"/>
      <c r="I419" s="2"/>
      <c r="J419" s="2"/>
      <c r="K419" s="2"/>
      <c r="L419" s="2"/>
      <c r="M419" s="285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85"/>
      <c r="B420" s="2"/>
      <c r="C420" s="2"/>
      <c r="D420" s="65"/>
      <c r="E420" s="2"/>
      <c r="F420" s="65"/>
      <c r="G420" s="2"/>
      <c r="H420" s="2"/>
      <c r="I420" s="2"/>
      <c r="J420" s="2"/>
      <c r="K420" s="2"/>
      <c r="L420" s="2"/>
      <c r="M420" s="285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85"/>
      <c r="B421" s="2"/>
      <c r="C421" s="2"/>
      <c r="D421" s="65"/>
      <c r="E421" s="2"/>
      <c r="F421" s="65"/>
      <c r="G421" s="2"/>
      <c r="H421" s="2"/>
      <c r="I421" s="2"/>
      <c r="J421" s="2"/>
      <c r="K421" s="2"/>
      <c r="L421" s="2"/>
      <c r="M421" s="285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85"/>
      <c r="B422" s="2"/>
      <c r="C422" s="2"/>
      <c r="D422" s="65"/>
      <c r="E422" s="2"/>
      <c r="F422" s="65"/>
      <c r="G422" s="2"/>
      <c r="H422" s="2"/>
      <c r="I422" s="2"/>
      <c r="J422" s="2"/>
      <c r="K422" s="2"/>
      <c r="L422" s="2"/>
      <c r="M422" s="285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85"/>
      <c r="B423" s="2"/>
      <c r="C423" s="2"/>
      <c r="D423" s="65"/>
      <c r="E423" s="2"/>
      <c r="F423" s="65"/>
      <c r="G423" s="2"/>
      <c r="H423" s="2"/>
      <c r="I423" s="2"/>
      <c r="J423" s="2"/>
      <c r="K423" s="2"/>
      <c r="L423" s="2"/>
      <c r="M423" s="285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85"/>
      <c r="B424" s="2"/>
      <c r="C424" s="2"/>
      <c r="D424" s="65"/>
      <c r="E424" s="2"/>
      <c r="F424" s="65"/>
      <c r="G424" s="2"/>
      <c r="H424" s="2"/>
      <c r="I424" s="2"/>
      <c r="J424" s="2"/>
      <c r="K424" s="2"/>
      <c r="L424" s="2"/>
      <c r="M424" s="285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85"/>
      <c r="B425" s="2"/>
      <c r="C425" s="2"/>
      <c r="D425" s="65"/>
      <c r="E425" s="2"/>
      <c r="F425" s="65"/>
      <c r="G425" s="2"/>
      <c r="H425" s="2"/>
      <c r="I425" s="2"/>
      <c r="J425" s="2"/>
      <c r="K425" s="2"/>
      <c r="L425" s="2"/>
      <c r="M425" s="285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85"/>
      <c r="B426" s="2"/>
      <c r="C426" s="2"/>
      <c r="D426" s="65"/>
      <c r="E426" s="2"/>
      <c r="F426" s="65"/>
      <c r="G426" s="2"/>
      <c r="H426" s="2"/>
      <c r="I426" s="2"/>
      <c r="J426" s="2"/>
      <c r="K426" s="2"/>
      <c r="L426" s="2"/>
      <c r="M426" s="285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85"/>
      <c r="B427" s="2"/>
      <c r="C427" s="2"/>
      <c r="D427" s="65"/>
      <c r="E427" s="2"/>
      <c r="F427" s="65"/>
      <c r="G427" s="2"/>
      <c r="H427" s="2"/>
      <c r="I427" s="2"/>
      <c r="J427" s="2"/>
      <c r="K427" s="2"/>
      <c r="L427" s="2"/>
      <c r="M427" s="285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85"/>
      <c r="B428" s="2"/>
      <c r="C428" s="2"/>
      <c r="D428" s="65"/>
      <c r="E428" s="2"/>
      <c r="F428" s="65"/>
      <c r="G428" s="2"/>
      <c r="H428" s="2"/>
      <c r="I428" s="2"/>
      <c r="J428" s="2"/>
      <c r="K428" s="2"/>
      <c r="L428" s="2"/>
      <c r="M428" s="285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85"/>
      <c r="B429" s="2"/>
      <c r="C429" s="2"/>
      <c r="D429" s="65"/>
      <c r="E429" s="2"/>
      <c r="F429" s="65"/>
      <c r="G429" s="2"/>
      <c r="H429" s="2"/>
      <c r="I429" s="2"/>
      <c r="J429" s="2"/>
      <c r="K429" s="2"/>
      <c r="L429" s="2"/>
      <c r="M429" s="285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85"/>
      <c r="B430" s="2"/>
      <c r="C430" s="2"/>
      <c r="D430" s="65"/>
      <c r="E430" s="2"/>
      <c r="F430" s="65"/>
      <c r="G430" s="2"/>
      <c r="H430" s="2"/>
      <c r="I430" s="2"/>
      <c r="J430" s="2"/>
      <c r="K430" s="2"/>
      <c r="L430" s="2"/>
      <c r="M430" s="285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85"/>
      <c r="B431" s="2"/>
      <c r="C431" s="2"/>
      <c r="D431" s="65"/>
      <c r="E431" s="2"/>
      <c r="F431" s="65"/>
      <c r="G431" s="2"/>
      <c r="H431" s="2"/>
      <c r="I431" s="2"/>
      <c r="J431" s="2"/>
      <c r="K431" s="2"/>
      <c r="L431" s="2"/>
      <c r="M431" s="285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85"/>
      <c r="B432" s="2"/>
      <c r="C432" s="2"/>
      <c r="D432" s="65"/>
      <c r="E432" s="2"/>
      <c r="F432" s="65"/>
      <c r="G432" s="2"/>
      <c r="H432" s="2"/>
      <c r="I432" s="2"/>
      <c r="J432" s="2"/>
      <c r="K432" s="2"/>
      <c r="L432" s="2"/>
      <c r="M432" s="285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85"/>
      <c r="B433" s="2"/>
      <c r="C433" s="2"/>
      <c r="D433" s="65"/>
      <c r="E433" s="2"/>
      <c r="F433" s="65"/>
      <c r="G433" s="2"/>
      <c r="H433" s="2"/>
      <c r="I433" s="2"/>
      <c r="J433" s="2"/>
      <c r="K433" s="2"/>
      <c r="L433" s="2"/>
      <c r="M433" s="285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85"/>
      <c r="B434" s="2"/>
      <c r="C434" s="2"/>
      <c r="D434" s="65"/>
      <c r="E434" s="2"/>
      <c r="F434" s="65"/>
      <c r="G434" s="2"/>
      <c r="H434" s="2"/>
      <c r="I434" s="2"/>
      <c r="J434" s="2"/>
      <c r="K434" s="2"/>
      <c r="L434" s="2"/>
      <c r="M434" s="285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85"/>
      <c r="B435" s="2"/>
      <c r="C435" s="2"/>
      <c r="D435" s="65"/>
      <c r="E435" s="2"/>
      <c r="F435" s="65"/>
      <c r="G435" s="2"/>
      <c r="H435" s="2"/>
      <c r="I435" s="2"/>
      <c r="J435" s="2"/>
      <c r="K435" s="2"/>
      <c r="L435" s="2"/>
      <c r="M435" s="285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85"/>
      <c r="B436" s="2"/>
      <c r="C436" s="2"/>
      <c r="D436" s="65"/>
      <c r="E436" s="2"/>
      <c r="F436" s="65"/>
      <c r="G436" s="2"/>
      <c r="H436" s="2"/>
      <c r="I436" s="2"/>
      <c r="J436" s="2"/>
      <c r="K436" s="2"/>
      <c r="L436" s="2"/>
      <c r="M436" s="285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85"/>
      <c r="B437" s="2"/>
      <c r="C437" s="2"/>
      <c r="D437" s="65"/>
      <c r="E437" s="2"/>
      <c r="F437" s="65"/>
      <c r="G437" s="2"/>
      <c r="H437" s="2"/>
      <c r="I437" s="2"/>
      <c r="J437" s="2"/>
      <c r="K437" s="2"/>
      <c r="L437" s="2"/>
      <c r="M437" s="285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85"/>
      <c r="B438" s="2"/>
      <c r="C438" s="2"/>
      <c r="D438" s="65"/>
      <c r="E438" s="2"/>
      <c r="F438" s="65"/>
      <c r="G438" s="2"/>
      <c r="H438" s="2"/>
      <c r="I438" s="2"/>
      <c r="J438" s="2"/>
      <c r="K438" s="2"/>
      <c r="L438" s="2"/>
      <c r="M438" s="285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85"/>
      <c r="B439" s="2"/>
      <c r="C439" s="2"/>
      <c r="D439" s="65"/>
      <c r="E439" s="2"/>
      <c r="F439" s="65"/>
      <c r="G439" s="2"/>
      <c r="H439" s="2"/>
      <c r="I439" s="2"/>
      <c r="J439" s="2"/>
      <c r="K439" s="2"/>
      <c r="L439" s="2"/>
      <c r="M439" s="285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85"/>
      <c r="B440" s="2"/>
      <c r="C440" s="2"/>
      <c r="D440" s="65"/>
      <c r="E440" s="2"/>
      <c r="F440" s="65"/>
      <c r="G440" s="2"/>
      <c r="H440" s="2"/>
      <c r="I440" s="2"/>
      <c r="J440" s="2"/>
      <c r="K440" s="2"/>
      <c r="L440" s="2"/>
      <c r="M440" s="285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85"/>
      <c r="B441" s="2"/>
      <c r="C441" s="2"/>
      <c r="D441" s="65"/>
      <c r="E441" s="2"/>
      <c r="F441" s="65"/>
      <c r="G441" s="2"/>
      <c r="H441" s="2"/>
      <c r="I441" s="2"/>
      <c r="J441" s="2"/>
      <c r="K441" s="2"/>
      <c r="L441" s="2"/>
      <c r="M441" s="285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85"/>
      <c r="B442" s="2"/>
      <c r="C442" s="2"/>
      <c r="D442" s="65"/>
      <c r="E442" s="2"/>
      <c r="F442" s="65"/>
      <c r="G442" s="2"/>
      <c r="H442" s="2"/>
      <c r="I442" s="2"/>
      <c r="J442" s="2"/>
      <c r="K442" s="2"/>
      <c r="L442" s="2"/>
      <c r="M442" s="285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85"/>
      <c r="B443" s="2"/>
      <c r="C443" s="2"/>
      <c r="D443" s="65"/>
      <c r="E443" s="2"/>
      <c r="F443" s="65"/>
      <c r="G443" s="2"/>
      <c r="H443" s="2"/>
      <c r="I443" s="2"/>
      <c r="J443" s="2"/>
      <c r="K443" s="2"/>
      <c r="L443" s="2"/>
      <c r="M443" s="285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85"/>
      <c r="B444" s="2"/>
      <c r="C444" s="2"/>
      <c r="D444" s="65"/>
      <c r="E444" s="2"/>
      <c r="F444" s="65"/>
      <c r="G444" s="2"/>
      <c r="H444" s="2"/>
      <c r="I444" s="2"/>
      <c r="J444" s="2"/>
      <c r="K444" s="2"/>
      <c r="L444" s="2"/>
      <c r="M444" s="285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85"/>
      <c r="B445" s="2"/>
      <c r="C445" s="2"/>
      <c r="D445" s="65"/>
      <c r="E445" s="2"/>
      <c r="F445" s="65"/>
      <c r="G445" s="2"/>
      <c r="H445" s="2"/>
      <c r="I445" s="2"/>
      <c r="J445" s="2"/>
      <c r="K445" s="2"/>
      <c r="L445" s="2"/>
      <c r="M445" s="285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85"/>
      <c r="B446" s="2"/>
      <c r="C446" s="2"/>
      <c r="D446" s="65"/>
      <c r="E446" s="2"/>
      <c r="F446" s="65"/>
      <c r="G446" s="2"/>
      <c r="H446" s="2"/>
      <c r="I446" s="2"/>
      <c r="J446" s="2"/>
      <c r="K446" s="2"/>
      <c r="L446" s="2"/>
      <c r="M446" s="285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85"/>
      <c r="B447" s="2"/>
      <c r="C447" s="2"/>
      <c r="D447" s="65"/>
      <c r="E447" s="2"/>
      <c r="F447" s="65"/>
      <c r="G447" s="2"/>
      <c r="H447" s="2"/>
      <c r="I447" s="2"/>
      <c r="J447" s="2"/>
      <c r="K447" s="2"/>
      <c r="L447" s="2"/>
      <c r="M447" s="285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85"/>
      <c r="B448" s="2"/>
      <c r="C448" s="2"/>
      <c r="D448" s="65"/>
      <c r="E448" s="2"/>
      <c r="F448" s="65"/>
      <c r="G448" s="2"/>
      <c r="H448" s="2"/>
      <c r="I448" s="2"/>
      <c r="J448" s="2"/>
      <c r="K448" s="2"/>
      <c r="L448" s="2"/>
      <c r="M448" s="285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85"/>
      <c r="B449" s="2"/>
      <c r="C449" s="2"/>
      <c r="D449" s="65"/>
      <c r="E449" s="2"/>
      <c r="F449" s="65"/>
      <c r="G449" s="2"/>
      <c r="H449" s="2"/>
      <c r="I449" s="2"/>
      <c r="J449" s="2"/>
      <c r="K449" s="2"/>
      <c r="L449" s="2"/>
      <c r="M449" s="285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85"/>
      <c r="B450" s="2"/>
      <c r="C450" s="2"/>
      <c r="D450" s="65"/>
      <c r="E450" s="2"/>
      <c r="F450" s="65"/>
      <c r="G450" s="2"/>
      <c r="H450" s="2"/>
      <c r="I450" s="2"/>
      <c r="J450" s="2"/>
      <c r="K450" s="2"/>
      <c r="L450" s="2"/>
      <c r="M450" s="285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85"/>
      <c r="B451" s="2"/>
      <c r="C451" s="2"/>
      <c r="D451" s="65"/>
      <c r="E451" s="2"/>
      <c r="F451" s="65"/>
      <c r="G451" s="2"/>
      <c r="H451" s="2"/>
      <c r="I451" s="2"/>
      <c r="J451" s="2"/>
      <c r="K451" s="2"/>
      <c r="L451" s="2"/>
      <c r="M451" s="285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85"/>
      <c r="B452" s="2"/>
      <c r="C452" s="2"/>
      <c r="D452" s="65"/>
      <c r="E452" s="2"/>
      <c r="F452" s="65"/>
      <c r="G452" s="2"/>
      <c r="H452" s="2"/>
      <c r="I452" s="2"/>
      <c r="J452" s="2"/>
      <c r="K452" s="2"/>
      <c r="L452" s="2"/>
      <c r="M452" s="285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85"/>
      <c r="B453" s="2"/>
      <c r="C453" s="2"/>
      <c r="D453" s="65"/>
      <c r="E453" s="2"/>
      <c r="F453" s="65"/>
      <c r="G453" s="2"/>
      <c r="H453" s="2"/>
      <c r="I453" s="2"/>
      <c r="J453" s="2"/>
      <c r="K453" s="2"/>
      <c r="L453" s="2"/>
      <c r="M453" s="285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85"/>
      <c r="B454" s="2"/>
      <c r="C454" s="2"/>
      <c r="D454" s="65"/>
      <c r="E454" s="2"/>
      <c r="F454" s="65"/>
      <c r="G454" s="2"/>
      <c r="H454" s="2"/>
      <c r="I454" s="2"/>
      <c r="J454" s="2"/>
      <c r="K454" s="2"/>
      <c r="L454" s="2"/>
      <c r="M454" s="285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85"/>
      <c r="B455" s="2"/>
      <c r="C455" s="2"/>
      <c r="D455" s="65"/>
      <c r="E455" s="2"/>
      <c r="F455" s="65"/>
      <c r="G455" s="2"/>
      <c r="H455" s="2"/>
      <c r="I455" s="2"/>
      <c r="J455" s="2"/>
      <c r="K455" s="2"/>
      <c r="L455" s="2"/>
      <c r="M455" s="285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85"/>
      <c r="B456" s="2"/>
      <c r="C456" s="2"/>
      <c r="D456" s="65"/>
      <c r="E456" s="2"/>
      <c r="F456" s="65"/>
      <c r="G456" s="2"/>
      <c r="H456" s="2"/>
      <c r="I456" s="2"/>
      <c r="J456" s="2"/>
      <c r="K456" s="2"/>
      <c r="L456" s="2"/>
      <c r="M456" s="285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85"/>
      <c r="B457" s="2"/>
      <c r="C457" s="2"/>
      <c r="D457" s="65"/>
      <c r="E457" s="2"/>
      <c r="F457" s="65"/>
      <c r="G457" s="2"/>
      <c r="H457" s="2"/>
      <c r="I457" s="2"/>
      <c r="J457" s="2"/>
      <c r="K457" s="2"/>
      <c r="L457" s="2"/>
      <c r="M457" s="285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85"/>
      <c r="B458" s="2"/>
      <c r="C458" s="2"/>
      <c r="D458" s="65"/>
      <c r="E458" s="2"/>
      <c r="F458" s="65"/>
      <c r="G458" s="2"/>
      <c r="H458" s="2"/>
      <c r="I458" s="2"/>
      <c r="J458" s="2"/>
      <c r="K458" s="2"/>
      <c r="L458" s="2"/>
      <c r="M458" s="285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85"/>
      <c r="B459" s="2"/>
      <c r="C459" s="2"/>
      <c r="D459" s="65"/>
      <c r="E459" s="2"/>
      <c r="F459" s="65"/>
      <c r="G459" s="2"/>
      <c r="H459" s="2"/>
      <c r="I459" s="2"/>
      <c r="J459" s="2"/>
      <c r="K459" s="2"/>
      <c r="L459" s="2"/>
      <c r="M459" s="285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85"/>
      <c r="B460" s="2"/>
      <c r="C460" s="2"/>
      <c r="D460" s="65"/>
      <c r="E460" s="2"/>
      <c r="F460" s="65"/>
      <c r="G460" s="2"/>
      <c r="H460" s="2"/>
      <c r="I460" s="2"/>
      <c r="J460" s="2"/>
      <c r="K460" s="2"/>
      <c r="L460" s="2"/>
      <c r="M460" s="285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85"/>
      <c r="B461" s="2"/>
      <c r="C461" s="2"/>
      <c r="D461" s="65"/>
      <c r="E461" s="2"/>
      <c r="F461" s="65"/>
      <c r="G461" s="2"/>
      <c r="H461" s="2"/>
      <c r="I461" s="2"/>
      <c r="J461" s="2"/>
      <c r="K461" s="2"/>
      <c r="L461" s="2"/>
      <c r="M461" s="285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85"/>
      <c r="B462" s="2"/>
      <c r="C462" s="2"/>
      <c r="D462" s="65"/>
      <c r="E462" s="2"/>
      <c r="F462" s="65"/>
      <c r="G462" s="2"/>
      <c r="H462" s="2"/>
      <c r="I462" s="2"/>
      <c r="J462" s="2"/>
      <c r="K462" s="2"/>
      <c r="L462" s="2"/>
      <c r="M462" s="285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85"/>
      <c r="B463" s="2"/>
      <c r="C463" s="2"/>
      <c r="D463" s="65"/>
      <c r="E463" s="2"/>
      <c r="F463" s="65"/>
      <c r="G463" s="2"/>
      <c r="H463" s="2"/>
      <c r="I463" s="2"/>
      <c r="J463" s="2"/>
      <c r="K463" s="2"/>
      <c r="L463" s="2"/>
      <c r="M463" s="285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85"/>
      <c r="B464" s="2"/>
      <c r="C464" s="2"/>
      <c r="D464" s="65"/>
      <c r="E464" s="2"/>
      <c r="F464" s="65"/>
      <c r="G464" s="2"/>
      <c r="H464" s="2"/>
      <c r="I464" s="2"/>
      <c r="J464" s="2"/>
      <c r="K464" s="2"/>
      <c r="L464" s="2"/>
      <c r="M464" s="285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85"/>
      <c r="B465" s="2"/>
      <c r="C465" s="2"/>
      <c r="D465" s="65"/>
      <c r="E465" s="2"/>
      <c r="F465" s="65"/>
      <c r="G465" s="2"/>
      <c r="H465" s="2"/>
      <c r="I465" s="2"/>
      <c r="J465" s="2"/>
      <c r="K465" s="2"/>
      <c r="L465" s="2"/>
      <c r="M465" s="285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85"/>
      <c r="B466" s="2"/>
      <c r="C466" s="2"/>
      <c r="D466" s="65"/>
      <c r="E466" s="2"/>
      <c r="F466" s="65"/>
      <c r="G466" s="2"/>
      <c r="H466" s="2"/>
      <c r="I466" s="2"/>
      <c r="J466" s="2"/>
      <c r="K466" s="2"/>
      <c r="L466" s="2"/>
      <c r="M466" s="285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85"/>
      <c r="B467" s="2"/>
      <c r="C467" s="2"/>
      <c r="D467" s="65"/>
      <c r="E467" s="2"/>
      <c r="F467" s="65"/>
      <c r="G467" s="2"/>
      <c r="H467" s="2"/>
      <c r="I467" s="2"/>
      <c r="J467" s="2"/>
      <c r="K467" s="2"/>
      <c r="L467" s="2"/>
      <c r="M467" s="285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85"/>
      <c r="B468" s="2"/>
      <c r="C468" s="2"/>
      <c r="D468" s="65"/>
      <c r="E468" s="2"/>
      <c r="F468" s="65"/>
      <c r="G468" s="2"/>
      <c r="H468" s="2"/>
      <c r="I468" s="2"/>
      <c r="J468" s="2"/>
      <c r="K468" s="2"/>
      <c r="L468" s="2"/>
      <c r="M468" s="285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85"/>
      <c r="B469" s="2"/>
      <c r="C469" s="2"/>
      <c r="D469" s="65"/>
      <c r="E469" s="2"/>
      <c r="F469" s="65"/>
      <c r="G469" s="2"/>
      <c r="H469" s="2"/>
      <c r="I469" s="2"/>
      <c r="J469" s="2"/>
      <c r="K469" s="2"/>
      <c r="L469" s="2"/>
      <c r="M469" s="285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85"/>
      <c r="B470" s="2"/>
      <c r="C470" s="2"/>
      <c r="D470" s="65"/>
      <c r="E470" s="2"/>
      <c r="F470" s="65"/>
      <c r="G470" s="2"/>
      <c r="H470" s="2"/>
      <c r="I470" s="2"/>
      <c r="J470" s="2"/>
      <c r="K470" s="2"/>
      <c r="L470" s="2"/>
      <c r="M470" s="285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85"/>
      <c r="B471" s="2"/>
      <c r="C471" s="2"/>
      <c r="D471" s="65"/>
      <c r="E471" s="2"/>
      <c r="F471" s="65"/>
      <c r="G471" s="2"/>
      <c r="H471" s="2"/>
      <c r="I471" s="2"/>
      <c r="J471" s="2"/>
      <c r="K471" s="2"/>
      <c r="L471" s="2"/>
      <c r="M471" s="285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85"/>
      <c r="B472" s="2"/>
      <c r="C472" s="2"/>
      <c r="D472" s="65"/>
      <c r="E472" s="2"/>
      <c r="F472" s="65"/>
      <c r="G472" s="2"/>
      <c r="H472" s="2"/>
      <c r="I472" s="2"/>
      <c r="J472" s="2"/>
      <c r="K472" s="2"/>
      <c r="L472" s="2"/>
      <c r="M472" s="285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85"/>
      <c r="B473" s="2"/>
      <c r="C473" s="2"/>
      <c r="D473" s="65"/>
      <c r="E473" s="2"/>
      <c r="F473" s="65"/>
      <c r="G473" s="2"/>
      <c r="H473" s="2"/>
      <c r="I473" s="2"/>
      <c r="J473" s="2"/>
      <c r="K473" s="2"/>
      <c r="L473" s="2"/>
      <c r="M473" s="285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85"/>
      <c r="B474" s="2"/>
      <c r="C474" s="2"/>
      <c r="D474" s="65"/>
      <c r="E474" s="2"/>
      <c r="F474" s="65"/>
      <c r="G474" s="2"/>
      <c r="H474" s="2"/>
      <c r="I474" s="2"/>
      <c r="J474" s="2"/>
      <c r="K474" s="2"/>
      <c r="L474" s="2"/>
      <c r="M474" s="285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85"/>
      <c r="B475" s="2"/>
      <c r="C475" s="2"/>
      <c r="D475" s="65"/>
      <c r="E475" s="2"/>
      <c r="F475" s="65"/>
      <c r="G475" s="2"/>
      <c r="H475" s="2"/>
      <c r="I475" s="2"/>
      <c r="J475" s="2"/>
      <c r="K475" s="2"/>
      <c r="L475" s="2"/>
      <c r="M475" s="285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85"/>
      <c r="B476" s="2"/>
      <c r="C476" s="2"/>
      <c r="D476" s="65"/>
      <c r="E476" s="2"/>
      <c r="F476" s="65"/>
      <c r="G476" s="2"/>
      <c r="H476" s="2"/>
      <c r="I476" s="2"/>
      <c r="J476" s="2"/>
      <c r="K476" s="2"/>
      <c r="L476" s="2"/>
      <c r="M476" s="285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85"/>
      <c r="B477" s="2"/>
      <c r="C477" s="2"/>
      <c r="D477" s="65"/>
      <c r="E477" s="2"/>
      <c r="F477" s="65"/>
      <c r="G477" s="2"/>
      <c r="H477" s="2"/>
      <c r="I477" s="2"/>
      <c r="J477" s="2"/>
      <c r="K477" s="2"/>
      <c r="L477" s="2"/>
      <c r="M477" s="285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85"/>
      <c r="B478" s="2"/>
      <c r="C478" s="2"/>
      <c r="D478" s="65"/>
      <c r="E478" s="2"/>
      <c r="F478" s="65"/>
      <c r="G478" s="2"/>
      <c r="H478" s="2"/>
      <c r="I478" s="2"/>
      <c r="J478" s="2"/>
      <c r="K478" s="2"/>
      <c r="L478" s="2"/>
      <c r="M478" s="285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85"/>
      <c r="B479" s="2"/>
      <c r="C479" s="2"/>
      <c r="D479" s="65"/>
      <c r="E479" s="2"/>
      <c r="F479" s="65"/>
      <c r="G479" s="2"/>
      <c r="H479" s="2"/>
      <c r="I479" s="2"/>
      <c r="J479" s="2"/>
      <c r="K479" s="2"/>
      <c r="L479" s="2"/>
      <c r="M479" s="285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85"/>
      <c r="B480" s="2"/>
      <c r="C480" s="2"/>
      <c r="D480" s="65"/>
      <c r="E480" s="2"/>
      <c r="F480" s="65"/>
      <c r="G480" s="2"/>
      <c r="H480" s="2"/>
      <c r="I480" s="2"/>
      <c r="J480" s="2"/>
      <c r="K480" s="2"/>
      <c r="L480" s="2"/>
      <c r="M480" s="285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85"/>
      <c r="B481" s="2"/>
      <c r="C481" s="2"/>
      <c r="D481" s="65"/>
      <c r="E481" s="2"/>
      <c r="F481" s="65"/>
      <c r="G481" s="2"/>
      <c r="H481" s="2"/>
      <c r="I481" s="2"/>
      <c r="J481" s="2"/>
      <c r="K481" s="2"/>
      <c r="L481" s="2"/>
      <c r="M481" s="285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85"/>
      <c r="B482" s="2"/>
      <c r="C482" s="2"/>
      <c r="D482" s="65"/>
      <c r="E482" s="2"/>
      <c r="F482" s="65"/>
      <c r="G482" s="2"/>
      <c r="H482" s="2"/>
      <c r="I482" s="2"/>
      <c r="J482" s="2"/>
      <c r="K482" s="2"/>
      <c r="L482" s="2"/>
      <c r="M482" s="285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85"/>
      <c r="B483" s="2"/>
      <c r="C483" s="2"/>
      <c r="D483" s="65"/>
      <c r="E483" s="2"/>
      <c r="F483" s="65"/>
      <c r="G483" s="2"/>
      <c r="H483" s="2"/>
      <c r="I483" s="2"/>
      <c r="J483" s="2"/>
      <c r="K483" s="2"/>
      <c r="L483" s="2"/>
      <c r="M483" s="285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85"/>
      <c r="B484" s="2"/>
      <c r="C484" s="2"/>
      <c r="D484" s="65"/>
      <c r="E484" s="2"/>
      <c r="F484" s="65"/>
      <c r="G484" s="2"/>
      <c r="H484" s="2"/>
      <c r="I484" s="2"/>
      <c r="J484" s="2"/>
      <c r="K484" s="2"/>
      <c r="L484" s="2"/>
      <c r="M484" s="285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85"/>
      <c r="B485" s="2"/>
      <c r="C485" s="2"/>
      <c r="D485" s="65"/>
      <c r="E485" s="2"/>
      <c r="F485" s="65"/>
      <c r="G485" s="2"/>
      <c r="H485" s="2"/>
      <c r="I485" s="2"/>
      <c r="J485" s="2"/>
      <c r="K485" s="2"/>
      <c r="L485" s="2"/>
      <c r="M485" s="285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85"/>
      <c r="B486" s="2"/>
      <c r="C486" s="2"/>
      <c r="D486" s="65"/>
      <c r="E486" s="2"/>
      <c r="F486" s="65"/>
      <c r="G486" s="2"/>
      <c r="H486" s="2"/>
      <c r="I486" s="2"/>
      <c r="J486" s="2"/>
      <c r="K486" s="2"/>
      <c r="L486" s="2"/>
      <c r="M486" s="285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85"/>
      <c r="B487" s="2"/>
      <c r="C487" s="2"/>
      <c r="D487" s="65"/>
      <c r="E487" s="2"/>
      <c r="F487" s="65"/>
      <c r="G487" s="2"/>
      <c r="H487" s="2"/>
      <c r="I487" s="2"/>
      <c r="J487" s="2"/>
      <c r="K487" s="2"/>
      <c r="L487" s="2"/>
      <c r="M487" s="285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85"/>
      <c r="B488" s="2"/>
      <c r="C488" s="2"/>
      <c r="D488" s="65"/>
      <c r="E488" s="2"/>
      <c r="F488" s="65"/>
      <c r="G488" s="2"/>
      <c r="H488" s="2"/>
      <c r="I488" s="2"/>
      <c r="J488" s="2"/>
      <c r="K488" s="2"/>
      <c r="L488" s="2"/>
      <c r="M488" s="285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85"/>
      <c r="B489" s="2"/>
      <c r="C489" s="2"/>
      <c r="D489" s="65"/>
      <c r="E489" s="2"/>
      <c r="F489" s="65"/>
      <c r="G489" s="2"/>
      <c r="H489" s="2"/>
      <c r="I489" s="2"/>
      <c r="J489" s="2"/>
      <c r="K489" s="2"/>
      <c r="L489" s="2"/>
      <c r="M489" s="285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85"/>
      <c r="B490" s="2"/>
      <c r="C490" s="2"/>
      <c r="D490" s="65"/>
      <c r="E490" s="2"/>
      <c r="F490" s="65"/>
      <c r="G490" s="2"/>
      <c r="H490" s="2"/>
      <c r="I490" s="2"/>
      <c r="J490" s="2"/>
      <c r="K490" s="2"/>
      <c r="L490" s="2"/>
      <c r="M490" s="285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85"/>
      <c r="B491" s="2"/>
      <c r="C491" s="2"/>
      <c r="D491" s="65"/>
      <c r="E491" s="2"/>
      <c r="F491" s="65"/>
      <c r="G491" s="2"/>
      <c r="H491" s="2"/>
      <c r="I491" s="2"/>
      <c r="J491" s="2"/>
      <c r="K491" s="2"/>
      <c r="L491" s="2"/>
      <c r="M491" s="285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85"/>
      <c r="B492" s="2"/>
      <c r="C492" s="2"/>
      <c r="D492" s="65"/>
      <c r="E492" s="2"/>
      <c r="F492" s="65"/>
      <c r="G492" s="2"/>
      <c r="H492" s="2"/>
      <c r="I492" s="2"/>
      <c r="J492" s="2"/>
      <c r="K492" s="2"/>
      <c r="L492" s="2"/>
      <c r="M492" s="285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85"/>
      <c r="B493" s="2"/>
      <c r="C493" s="2"/>
      <c r="D493" s="65"/>
      <c r="E493" s="2"/>
      <c r="F493" s="65"/>
      <c r="G493" s="2"/>
      <c r="H493" s="2"/>
      <c r="I493" s="2"/>
      <c r="J493" s="2"/>
      <c r="K493" s="2"/>
      <c r="L493" s="2"/>
      <c r="M493" s="285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85"/>
      <c r="B494" s="2"/>
      <c r="C494" s="2"/>
      <c r="D494" s="65"/>
      <c r="E494" s="2"/>
      <c r="F494" s="65"/>
      <c r="G494" s="2"/>
      <c r="H494" s="2"/>
      <c r="I494" s="2"/>
      <c r="J494" s="2"/>
      <c r="K494" s="2"/>
      <c r="L494" s="2"/>
      <c r="M494" s="285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85"/>
      <c r="B495" s="2"/>
      <c r="C495" s="2"/>
      <c r="D495" s="65"/>
      <c r="E495" s="2"/>
      <c r="F495" s="65"/>
      <c r="G495" s="2"/>
      <c r="H495" s="2"/>
      <c r="I495" s="2"/>
      <c r="J495" s="2"/>
      <c r="K495" s="2"/>
      <c r="L495" s="2"/>
      <c r="M495" s="285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85"/>
      <c r="B496" s="2"/>
      <c r="C496" s="2"/>
      <c r="D496" s="65"/>
      <c r="E496" s="2"/>
      <c r="F496" s="65"/>
      <c r="G496" s="2"/>
      <c r="H496" s="2"/>
      <c r="I496" s="2"/>
      <c r="J496" s="2"/>
      <c r="K496" s="2"/>
      <c r="L496" s="2"/>
      <c r="M496" s="285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85"/>
      <c r="B497" s="2"/>
      <c r="C497" s="2"/>
      <c r="D497" s="65"/>
      <c r="E497" s="2"/>
      <c r="F497" s="65"/>
      <c r="G497" s="2"/>
      <c r="H497" s="2"/>
      <c r="I497" s="2"/>
      <c r="J497" s="2"/>
      <c r="K497" s="2"/>
      <c r="L497" s="2"/>
      <c r="M497" s="285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85"/>
      <c r="B498" s="2"/>
      <c r="C498" s="2"/>
      <c r="D498" s="65"/>
      <c r="E498" s="2"/>
      <c r="F498" s="65"/>
      <c r="G498" s="2"/>
      <c r="H498" s="2"/>
      <c r="I498" s="2"/>
      <c r="J498" s="2"/>
      <c r="K498" s="2"/>
      <c r="L498" s="2"/>
      <c r="M498" s="285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85"/>
      <c r="B499" s="2"/>
      <c r="C499" s="2"/>
      <c r="D499" s="65"/>
      <c r="E499" s="2"/>
      <c r="F499" s="65"/>
      <c r="G499" s="2"/>
      <c r="H499" s="2"/>
      <c r="I499" s="2"/>
      <c r="J499" s="2"/>
      <c r="K499" s="2"/>
      <c r="L499" s="2"/>
      <c r="M499" s="285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85"/>
      <c r="B500" s="2"/>
      <c r="C500" s="2"/>
      <c r="D500" s="65"/>
      <c r="E500" s="2"/>
      <c r="F500" s="65"/>
      <c r="G500" s="2"/>
      <c r="H500" s="2"/>
      <c r="I500" s="2"/>
      <c r="J500" s="2"/>
      <c r="K500" s="2"/>
      <c r="L500" s="2"/>
      <c r="M500" s="285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85"/>
      <c r="B501" s="2"/>
      <c r="C501" s="2"/>
      <c r="D501" s="65"/>
      <c r="E501" s="2"/>
      <c r="F501" s="65"/>
      <c r="G501" s="2"/>
      <c r="H501" s="2"/>
      <c r="I501" s="2"/>
      <c r="J501" s="2"/>
      <c r="K501" s="2"/>
      <c r="L501" s="2"/>
      <c r="M501" s="285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85"/>
      <c r="B502" s="2"/>
      <c r="C502" s="2"/>
      <c r="D502" s="65"/>
      <c r="E502" s="2"/>
      <c r="F502" s="65"/>
      <c r="G502" s="2"/>
      <c r="H502" s="2"/>
      <c r="I502" s="2"/>
      <c r="J502" s="2"/>
      <c r="K502" s="2"/>
      <c r="L502" s="2"/>
      <c r="M502" s="285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85"/>
      <c r="B503" s="2"/>
      <c r="C503" s="2"/>
      <c r="D503" s="65"/>
      <c r="E503" s="2"/>
      <c r="F503" s="65"/>
      <c r="G503" s="2"/>
      <c r="H503" s="2"/>
      <c r="I503" s="2"/>
      <c r="J503" s="2"/>
      <c r="K503" s="2"/>
      <c r="L503" s="2"/>
      <c r="M503" s="285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85"/>
      <c r="B504" s="2"/>
      <c r="C504" s="2"/>
      <c r="D504" s="65"/>
      <c r="E504" s="2"/>
      <c r="F504" s="65"/>
      <c r="G504" s="2"/>
      <c r="H504" s="2"/>
      <c r="I504" s="2"/>
      <c r="J504" s="2"/>
      <c r="K504" s="2"/>
      <c r="L504" s="2"/>
      <c r="M504" s="285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85"/>
      <c r="B505" s="2"/>
      <c r="C505" s="2"/>
      <c r="D505" s="65"/>
      <c r="E505" s="2"/>
      <c r="F505" s="65"/>
      <c r="G505" s="2"/>
      <c r="H505" s="2"/>
      <c r="I505" s="2"/>
      <c r="J505" s="2"/>
      <c r="K505" s="2"/>
      <c r="L505" s="2"/>
      <c r="M505" s="285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85"/>
      <c r="B506" s="2"/>
      <c r="C506" s="2"/>
      <c r="D506" s="65"/>
      <c r="E506" s="2"/>
      <c r="F506" s="65"/>
      <c r="G506" s="2"/>
      <c r="H506" s="2"/>
      <c r="I506" s="2"/>
      <c r="J506" s="2"/>
      <c r="K506" s="2"/>
      <c r="L506" s="2"/>
      <c r="M506" s="285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85"/>
      <c r="B507" s="2"/>
      <c r="C507" s="2"/>
      <c r="D507" s="65"/>
      <c r="E507" s="2"/>
      <c r="F507" s="65"/>
      <c r="G507" s="2"/>
      <c r="H507" s="2"/>
      <c r="I507" s="2"/>
      <c r="J507" s="2"/>
      <c r="K507" s="2"/>
      <c r="L507" s="2"/>
      <c r="M507" s="285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85"/>
      <c r="B508" s="2"/>
      <c r="C508" s="2"/>
      <c r="D508" s="65"/>
      <c r="E508" s="2"/>
      <c r="F508" s="65"/>
      <c r="G508" s="2"/>
      <c r="H508" s="2"/>
      <c r="I508" s="2"/>
      <c r="J508" s="2"/>
      <c r="K508" s="2"/>
      <c r="L508" s="2"/>
      <c r="M508" s="285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85"/>
      <c r="B509" s="2"/>
      <c r="C509" s="2"/>
      <c r="D509" s="65"/>
      <c r="E509" s="2"/>
      <c r="F509" s="65"/>
      <c r="G509" s="2"/>
      <c r="H509" s="2"/>
      <c r="I509" s="2"/>
      <c r="J509" s="2"/>
      <c r="K509" s="2"/>
      <c r="L509" s="2"/>
      <c r="M509" s="285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85"/>
      <c r="B510" s="2"/>
      <c r="C510" s="2"/>
      <c r="D510" s="65"/>
      <c r="E510" s="2"/>
      <c r="F510" s="65"/>
      <c r="G510" s="2"/>
      <c r="H510" s="2"/>
      <c r="I510" s="2"/>
      <c r="J510" s="2"/>
      <c r="K510" s="2"/>
      <c r="L510" s="2"/>
      <c r="M510" s="285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85"/>
      <c r="B511" s="2"/>
      <c r="C511" s="2"/>
      <c r="D511" s="65"/>
      <c r="E511" s="2"/>
      <c r="F511" s="65"/>
      <c r="G511" s="2"/>
      <c r="H511" s="2"/>
      <c r="I511" s="2"/>
      <c r="J511" s="2"/>
      <c r="K511" s="2"/>
      <c r="L511" s="2"/>
      <c r="M511" s="285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85"/>
      <c r="B512" s="2"/>
      <c r="C512" s="2"/>
      <c r="D512" s="65"/>
      <c r="E512" s="2"/>
      <c r="F512" s="65"/>
      <c r="G512" s="2"/>
      <c r="H512" s="2"/>
      <c r="I512" s="2"/>
      <c r="J512" s="2"/>
      <c r="K512" s="2"/>
      <c r="L512" s="2"/>
      <c r="M512" s="285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85"/>
      <c r="B513" s="2"/>
      <c r="C513" s="2"/>
      <c r="D513" s="65"/>
      <c r="E513" s="2"/>
      <c r="F513" s="65"/>
      <c r="G513" s="2"/>
      <c r="H513" s="2"/>
      <c r="I513" s="2"/>
      <c r="J513" s="2"/>
      <c r="K513" s="2"/>
      <c r="L513" s="2"/>
      <c r="M513" s="285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85"/>
      <c r="B514" s="2"/>
      <c r="C514" s="2"/>
      <c r="D514" s="65"/>
      <c r="E514" s="2"/>
      <c r="F514" s="65"/>
      <c r="G514" s="2"/>
      <c r="H514" s="2"/>
      <c r="I514" s="2"/>
      <c r="J514" s="2"/>
      <c r="K514" s="2"/>
      <c r="L514" s="2"/>
      <c r="M514" s="285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85"/>
      <c r="B515" s="2"/>
      <c r="C515" s="2"/>
      <c r="D515" s="65"/>
      <c r="E515" s="2"/>
      <c r="F515" s="65"/>
      <c r="G515" s="2"/>
      <c r="H515" s="2"/>
      <c r="I515" s="2"/>
      <c r="J515" s="2"/>
      <c r="K515" s="2"/>
      <c r="L515" s="2"/>
      <c r="M515" s="285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85"/>
      <c r="B516" s="2"/>
      <c r="C516" s="2"/>
      <c r="D516" s="65"/>
      <c r="E516" s="2"/>
      <c r="F516" s="65"/>
      <c r="G516" s="2"/>
      <c r="H516" s="2"/>
      <c r="I516" s="2"/>
      <c r="J516" s="2"/>
      <c r="K516" s="2"/>
      <c r="L516" s="2"/>
      <c r="M516" s="285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85"/>
      <c r="B517" s="2"/>
      <c r="C517" s="2"/>
      <c r="D517" s="65"/>
      <c r="E517" s="2"/>
      <c r="F517" s="65"/>
      <c r="G517" s="2"/>
      <c r="H517" s="2"/>
      <c r="I517" s="2"/>
      <c r="J517" s="2"/>
      <c r="K517" s="2"/>
      <c r="L517" s="2"/>
      <c r="M517" s="285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85"/>
      <c r="B518" s="2"/>
      <c r="C518" s="2"/>
      <c r="D518" s="65"/>
      <c r="E518" s="2"/>
      <c r="F518" s="65"/>
      <c r="G518" s="2"/>
      <c r="H518" s="2"/>
      <c r="I518" s="2"/>
      <c r="J518" s="2"/>
      <c r="K518" s="2"/>
      <c r="L518" s="2"/>
      <c r="M518" s="285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85"/>
      <c r="B519" s="2"/>
      <c r="C519" s="2"/>
      <c r="D519" s="65"/>
      <c r="E519" s="2"/>
      <c r="F519" s="65"/>
      <c r="G519" s="2"/>
      <c r="H519" s="2"/>
      <c r="I519" s="2"/>
      <c r="J519" s="2"/>
      <c r="K519" s="2"/>
      <c r="L519" s="2"/>
      <c r="M519" s="285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85"/>
      <c r="B520" s="2"/>
      <c r="C520" s="2"/>
      <c r="D520" s="65"/>
      <c r="E520" s="2"/>
      <c r="F520" s="65"/>
      <c r="G520" s="2"/>
      <c r="H520" s="2"/>
      <c r="I520" s="2"/>
      <c r="J520" s="2"/>
      <c r="K520" s="2"/>
      <c r="L520" s="2"/>
      <c r="M520" s="285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85"/>
      <c r="B521" s="2"/>
      <c r="C521" s="2"/>
      <c r="D521" s="65"/>
      <c r="E521" s="2"/>
      <c r="F521" s="65"/>
      <c r="G521" s="2"/>
      <c r="H521" s="2"/>
      <c r="I521" s="2"/>
      <c r="J521" s="2"/>
      <c r="K521" s="2"/>
      <c r="L521" s="2"/>
      <c r="M521" s="285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85"/>
      <c r="B522" s="2"/>
      <c r="C522" s="2"/>
      <c r="D522" s="65"/>
      <c r="E522" s="2"/>
      <c r="F522" s="65"/>
      <c r="G522" s="2"/>
      <c r="H522" s="2"/>
      <c r="I522" s="2"/>
      <c r="J522" s="2"/>
      <c r="K522" s="2"/>
      <c r="L522" s="2"/>
      <c r="M522" s="285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85"/>
      <c r="B523" s="2"/>
      <c r="C523" s="2"/>
      <c r="D523" s="65"/>
      <c r="E523" s="2"/>
      <c r="F523" s="65"/>
      <c r="G523" s="2"/>
      <c r="H523" s="2"/>
      <c r="I523" s="2"/>
      <c r="J523" s="2"/>
      <c r="K523" s="2"/>
      <c r="L523" s="2"/>
      <c r="M523" s="285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85"/>
      <c r="B524" s="2"/>
      <c r="C524" s="2"/>
      <c r="D524" s="65"/>
      <c r="E524" s="2"/>
      <c r="F524" s="65"/>
      <c r="G524" s="2"/>
      <c r="H524" s="2"/>
      <c r="I524" s="2"/>
      <c r="J524" s="2"/>
      <c r="K524" s="2"/>
      <c r="L524" s="2"/>
      <c r="M524" s="285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85"/>
      <c r="B525" s="2"/>
      <c r="C525" s="2"/>
      <c r="D525" s="65"/>
      <c r="E525" s="2"/>
      <c r="F525" s="65"/>
      <c r="G525" s="2"/>
      <c r="H525" s="2"/>
      <c r="I525" s="2"/>
      <c r="J525" s="2"/>
      <c r="K525" s="2"/>
      <c r="L525" s="2"/>
      <c r="M525" s="285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85"/>
      <c r="B526" s="2"/>
      <c r="C526" s="2"/>
      <c r="D526" s="65"/>
      <c r="E526" s="2"/>
      <c r="F526" s="65"/>
      <c r="G526" s="2"/>
      <c r="H526" s="2"/>
      <c r="I526" s="2"/>
      <c r="J526" s="2"/>
      <c r="K526" s="2"/>
      <c r="L526" s="2"/>
      <c r="M526" s="285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85"/>
      <c r="B527" s="2"/>
      <c r="C527" s="2"/>
      <c r="D527" s="65"/>
      <c r="E527" s="2"/>
      <c r="F527" s="65"/>
      <c r="G527" s="2"/>
      <c r="H527" s="2"/>
      <c r="I527" s="2"/>
      <c r="J527" s="2"/>
      <c r="K527" s="2"/>
      <c r="L527" s="2"/>
      <c r="M527" s="285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85"/>
      <c r="B528" s="2"/>
      <c r="C528" s="2"/>
      <c r="D528" s="65"/>
      <c r="E528" s="2"/>
      <c r="F528" s="65"/>
      <c r="G528" s="2"/>
      <c r="H528" s="2"/>
      <c r="I528" s="2"/>
      <c r="J528" s="2"/>
      <c r="K528" s="2"/>
      <c r="L528" s="2"/>
      <c r="M528" s="285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85"/>
      <c r="B529" s="2"/>
      <c r="C529" s="2"/>
      <c r="D529" s="65"/>
      <c r="E529" s="2"/>
      <c r="F529" s="65"/>
      <c r="G529" s="2"/>
      <c r="H529" s="2"/>
      <c r="I529" s="2"/>
      <c r="J529" s="2"/>
      <c r="K529" s="2"/>
      <c r="L529" s="2"/>
      <c r="M529" s="285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85"/>
      <c r="B530" s="2"/>
      <c r="C530" s="2"/>
      <c r="D530" s="65"/>
      <c r="E530" s="2"/>
      <c r="F530" s="65"/>
      <c r="G530" s="2"/>
      <c r="H530" s="2"/>
      <c r="I530" s="2"/>
      <c r="J530" s="2"/>
      <c r="K530" s="2"/>
      <c r="L530" s="2"/>
      <c r="M530" s="285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85"/>
      <c r="B531" s="2"/>
      <c r="C531" s="2"/>
      <c r="D531" s="65"/>
      <c r="E531" s="2"/>
      <c r="F531" s="65"/>
      <c r="G531" s="2"/>
      <c r="H531" s="2"/>
      <c r="I531" s="2"/>
      <c r="J531" s="2"/>
      <c r="K531" s="2"/>
      <c r="L531" s="2"/>
      <c r="M531" s="285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85"/>
      <c r="B532" s="2"/>
      <c r="C532" s="2"/>
      <c r="D532" s="65"/>
      <c r="E532" s="2"/>
      <c r="F532" s="65"/>
      <c r="G532" s="2"/>
      <c r="H532" s="2"/>
      <c r="I532" s="2"/>
      <c r="J532" s="2"/>
      <c r="K532" s="2"/>
      <c r="L532" s="2"/>
      <c r="M532" s="285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85"/>
      <c r="B533" s="2"/>
      <c r="C533" s="2"/>
      <c r="D533" s="65"/>
      <c r="E533" s="2"/>
      <c r="F533" s="65"/>
      <c r="G533" s="2"/>
      <c r="H533" s="2"/>
      <c r="I533" s="2"/>
      <c r="J533" s="2"/>
      <c r="K533" s="2"/>
      <c r="L533" s="2"/>
      <c r="M533" s="285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85"/>
      <c r="B534" s="2"/>
      <c r="C534" s="2"/>
      <c r="D534" s="65"/>
      <c r="E534" s="2"/>
      <c r="F534" s="65"/>
      <c r="G534" s="2"/>
      <c r="H534" s="2"/>
      <c r="I534" s="2"/>
      <c r="J534" s="2"/>
      <c r="K534" s="2"/>
      <c r="L534" s="2"/>
      <c r="M534" s="285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85"/>
      <c r="B535" s="2"/>
      <c r="C535" s="2"/>
      <c r="D535" s="65"/>
      <c r="E535" s="2"/>
      <c r="F535" s="65"/>
      <c r="G535" s="2"/>
      <c r="H535" s="2"/>
      <c r="I535" s="2"/>
      <c r="J535" s="2"/>
      <c r="K535" s="2"/>
      <c r="L535" s="2"/>
      <c r="M535" s="285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85"/>
      <c r="B536" s="2"/>
      <c r="C536" s="2"/>
      <c r="D536" s="65"/>
      <c r="E536" s="2"/>
      <c r="F536" s="65"/>
      <c r="G536" s="2"/>
      <c r="H536" s="2"/>
      <c r="I536" s="2"/>
      <c r="J536" s="2"/>
      <c r="K536" s="2"/>
      <c r="L536" s="2"/>
      <c r="M536" s="285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85"/>
      <c r="B537" s="2"/>
      <c r="C537" s="2"/>
      <c r="D537" s="65"/>
      <c r="E537" s="2"/>
      <c r="F537" s="65"/>
      <c r="G537" s="2"/>
      <c r="H537" s="2"/>
      <c r="I537" s="2"/>
      <c r="J537" s="2"/>
      <c r="K537" s="2"/>
      <c r="L537" s="2"/>
      <c r="M537" s="285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85"/>
      <c r="B538" s="2"/>
      <c r="C538" s="2"/>
      <c r="D538" s="65"/>
      <c r="E538" s="2"/>
      <c r="F538" s="65"/>
      <c r="G538" s="2"/>
      <c r="H538" s="2"/>
      <c r="I538" s="2"/>
      <c r="J538" s="2"/>
      <c r="K538" s="2"/>
      <c r="L538" s="2"/>
      <c r="M538" s="285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85"/>
      <c r="B539" s="2"/>
      <c r="C539" s="2"/>
      <c r="D539" s="65"/>
      <c r="E539" s="2"/>
      <c r="F539" s="65"/>
      <c r="G539" s="2"/>
      <c r="H539" s="2"/>
      <c r="I539" s="2"/>
      <c r="J539" s="2"/>
      <c r="K539" s="2"/>
      <c r="L539" s="2"/>
      <c r="M539" s="285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85"/>
      <c r="B540" s="2"/>
      <c r="C540" s="2"/>
      <c r="D540" s="65"/>
      <c r="E540" s="2"/>
      <c r="F540" s="65"/>
      <c r="G540" s="2"/>
      <c r="H540" s="2"/>
      <c r="I540" s="2"/>
      <c r="J540" s="2"/>
      <c r="K540" s="2"/>
      <c r="L540" s="2"/>
      <c r="M540" s="285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85"/>
      <c r="B541" s="2"/>
      <c r="C541" s="2"/>
      <c r="D541" s="65"/>
      <c r="E541" s="2"/>
      <c r="F541" s="65"/>
      <c r="G541" s="2"/>
      <c r="H541" s="2"/>
      <c r="I541" s="2"/>
      <c r="J541" s="2"/>
      <c r="K541" s="2"/>
      <c r="L541" s="2"/>
      <c r="M541" s="285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85"/>
      <c r="B542" s="2"/>
      <c r="C542" s="2"/>
      <c r="D542" s="65"/>
      <c r="E542" s="2"/>
      <c r="F542" s="65"/>
      <c r="G542" s="2"/>
      <c r="H542" s="2"/>
      <c r="I542" s="2"/>
      <c r="J542" s="2"/>
      <c r="K542" s="2"/>
      <c r="L542" s="2"/>
      <c r="M542" s="285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85"/>
      <c r="B543" s="2"/>
      <c r="C543" s="2"/>
      <c r="D543" s="65"/>
      <c r="E543" s="2"/>
      <c r="F543" s="65"/>
      <c r="G543" s="2"/>
      <c r="H543" s="2"/>
      <c r="I543" s="2"/>
      <c r="J543" s="2"/>
      <c r="K543" s="2"/>
      <c r="L543" s="2"/>
      <c r="M543" s="285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85"/>
      <c r="B544" s="2"/>
      <c r="C544" s="2"/>
      <c r="D544" s="65"/>
      <c r="E544" s="2"/>
      <c r="F544" s="65"/>
      <c r="G544" s="2"/>
      <c r="H544" s="2"/>
      <c r="I544" s="2"/>
      <c r="J544" s="2"/>
      <c r="K544" s="2"/>
      <c r="L544" s="2"/>
      <c r="M544" s="285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85"/>
      <c r="B545" s="2"/>
      <c r="C545" s="2"/>
      <c r="D545" s="65"/>
      <c r="E545" s="2"/>
      <c r="F545" s="65"/>
      <c r="G545" s="2"/>
      <c r="H545" s="2"/>
      <c r="I545" s="2"/>
      <c r="J545" s="2"/>
      <c r="K545" s="2"/>
      <c r="L545" s="2"/>
      <c r="M545" s="285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85"/>
      <c r="B546" s="2"/>
      <c r="C546" s="2"/>
      <c r="D546" s="65"/>
      <c r="E546" s="2"/>
      <c r="F546" s="65"/>
      <c r="G546" s="2"/>
      <c r="H546" s="2"/>
      <c r="I546" s="2"/>
      <c r="J546" s="2"/>
      <c r="K546" s="2"/>
      <c r="L546" s="2"/>
      <c r="M546" s="285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85"/>
      <c r="B547" s="2"/>
      <c r="C547" s="2"/>
      <c r="D547" s="65"/>
      <c r="E547" s="2"/>
      <c r="F547" s="65"/>
      <c r="G547" s="2"/>
      <c r="H547" s="2"/>
      <c r="I547" s="2"/>
      <c r="J547" s="2"/>
      <c r="K547" s="2"/>
      <c r="L547" s="2"/>
      <c r="M547" s="285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85"/>
      <c r="B548" s="2"/>
      <c r="C548" s="2"/>
      <c r="D548" s="65"/>
      <c r="E548" s="2"/>
      <c r="F548" s="65"/>
      <c r="G548" s="2"/>
      <c r="H548" s="2"/>
      <c r="I548" s="2"/>
      <c r="J548" s="2"/>
      <c r="K548" s="2"/>
      <c r="L548" s="2"/>
      <c r="M548" s="285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85"/>
      <c r="B549" s="2"/>
      <c r="C549" s="2"/>
      <c r="D549" s="65"/>
      <c r="E549" s="2"/>
      <c r="F549" s="65"/>
      <c r="G549" s="2"/>
      <c r="H549" s="2"/>
      <c r="I549" s="2"/>
      <c r="J549" s="2"/>
      <c r="K549" s="2"/>
      <c r="L549" s="2"/>
      <c r="M549" s="285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85"/>
      <c r="B550" s="2"/>
      <c r="C550" s="2"/>
      <c r="D550" s="65"/>
      <c r="E550" s="2"/>
      <c r="F550" s="65"/>
      <c r="G550" s="2"/>
      <c r="H550" s="2"/>
      <c r="I550" s="2"/>
      <c r="J550" s="2"/>
      <c r="K550" s="2"/>
      <c r="L550" s="2"/>
      <c r="M550" s="285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85"/>
      <c r="B551" s="2"/>
      <c r="C551" s="2"/>
      <c r="D551" s="65"/>
      <c r="E551" s="2"/>
      <c r="F551" s="65"/>
      <c r="G551" s="2"/>
      <c r="H551" s="2"/>
      <c r="I551" s="2"/>
      <c r="J551" s="2"/>
      <c r="K551" s="2"/>
      <c r="L551" s="2"/>
      <c r="M551" s="285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85"/>
      <c r="B552" s="2"/>
      <c r="C552" s="2"/>
      <c r="D552" s="65"/>
      <c r="E552" s="2"/>
      <c r="F552" s="65"/>
      <c r="G552" s="2"/>
      <c r="H552" s="2"/>
      <c r="I552" s="2"/>
      <c r="J552" s="2"/>
      <c r="K552" s="2"/>
      <c r="L552" s="2"/>
      <c r="M552" s="285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85"/>
      <c r="B553" s="2"/>
      <c r="C553" s="2"/>
      <c r="D553" s="65"/>
      <c r="E553" s="2"/>
      <c r="F553" s="65"/>
      <c r="G553" s="2"/>
      <c r="H553" s="2"/>
      <c r="I553" s="2"/>
      <c r="J553" s="2"/>
      <c r="K553" s="2"/>
      <c r="L553" s="2"/>
      <c r="M553" s="285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85"/>
      <c r="B554" s="2"/>
      <c r="C554" s="2"/>
      <c r="D554" s="65"/>
      <c r="E554" s="2"/>
      <c r="F554" s="65"/>
      <c r="G554" s="2"/>
      <c r="H554" s="2"/>
      <c r="I554" s="2"/>
      <c r="J554" s="2"/>
      <c r="K554" s="2"/>
      <c r="L554" s="2"/>
      <c r="M554" s="285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85"/>
      <c r="B555" s="2"/>
      <c r="C555" s="2"/>
      <c r="D555" s="65"/>
      <c r="E555" s="2"/>
      <c r="F555" s="65"/>
      <c r="G555" s="2"/>
      <c r="H555" s="2"/>
      <c r="I555" s="2"/>
      <c r="J555" s="2"/>
      <c r="K555" s="2"/>
      <c r="L555" s="2"/>
      <c r="M555" s="285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85"/>
      <c r="B556" s="2"/>
      <c r="C556" s="2"/>
      <c r="D556" s="65"/>
      <c r="E556" s="2"/>
      <c r="F556" s="65"/>
      <c r="G556" s="2"/>
      <c r="H556" s="2"/>
      <c r="I556" s="2"/>
      <c r="J556" s="2"/>
      <c r="K556" s="2"/>
      <c r="L556" s="2"/>
      <c r="M556" s="285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85"/>
      <c r="B557" s="2"/>
      <c r="C557" s="2"/>
      <c r="D557" s="65"/>
      <c r="E557" s="2"/>
      <c r="F557" s="65"/>
      <c r="G557" s="2"/>
      <c r="H557" s="2"/>
      <c r="I557" s="2"/>
      <c r="J557" s="2"/>
      <c r="K557" s="2"/>
      <c r="L557" s="2"/>
      <c r="M557" s="285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85"/>
      <c r="B558" s="2"/>
      <c r="C558" s="2"/>
      <c r="D558" s="65"/>
      <c r="E558" s="2"/>
      <c r="F558" s="65"/>
      <c r="G558" s="2"/>
      <c r="H558" s="2"/>
      <c r="I558" s="2"/>
      <c r="J558" s="2"/>
      <c r="K558" s="2"/>
      <c r="L558" s="2"/>
      <c r="M558" s="285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85"/>
      <c r="B559" s="2"/>
      <c r="C559" s="2"/>
      <c r="D559" s="65"/>
      <c r="E559" s="2"/>
      <c r="F559" s="65"/>
      <c r="G559" s="2"/>
      <c r="H559" s="2"/>
      <c r="I559" s="2"/>
      <c r="J559" s="2"/>
      <c r="K559" s="2"/>
      <c r="L559" s="2"/>
      <c r="M559" s="285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85"/>
      <c r="B560" s="2"/>
      <c r="C560" s="2"/>
      <c r="D560" s="65"/>
      <c r="E560" s="2"/>
      <c r="F560" s="65"/>
      <c r="G560" s="2"/>
      <c r="H560" s="2"/>
      <c r="I560" s="2"/>
      <c r="J560" s="2"/>
      <c r="K560" s="2"/>
      <c r="L560" s="2"/>
      <c r="M560" s="285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85"/>
      <c r="B561" s="2"/>
      <c r="C561" s="2"/>
      <c r="D561" s="65"/>
      <c r="E561" s="2"/>
      <c r="F561" s="65"/>
      <c r="G561" s="2"/>
      <c r="H561" s="2"/>
      <c r="I561" s="2"/>
      <c r="J561" s="2"/>
      <c r="K561" s="2"/>
      <c r="L561" s="2"/>
      <c r="M561" s="285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85"/>
      <c r="B562" s="2"/>
      <c r="C562" s="2"/>
      <c r="D562" s="65"/>
      <c r="E562" s="2"/>
      <c r="F562" s="65"/>
      <c r="G562" s="2"/>
      <c r="H562" s="2"/>
      <c r="I562" s="2"/>
      <c r="J562" s="2"/>
      <c r="K562" s="2"/>
      <c r="L562" s="2"/>
      <c r="M562" s="285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85"/>
      <c r="B563" s="2"/>
      <c r="C563" s="2"/>
      <c r="D563" s="65"/>
      <c r="E563" s="2"/>
      <c r="F563" s="65"/>
      <c r="G563" s="2"/>
      <c r="H563" s="2"/>
      <c r="I563" s="2"/>
      <c r="J563" s="2"/>
      <c r="K563" s="2"/>
      <c r="L563" s="2"/>
      <c r="M563" s="285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85"/>
      <c r="B564" s="2"/>
      <c r="C564" s="2"/>
      <c r="D564" s="65"/>
      <c r="E564" s="2"/>
      <c r="F564" s="65"/>
      <c r="G564" s="2"/>
      <c r="H564" s="2"/>
      <c r="I564" s="2"/>
      <c r="J564" s="2"/>
      <c r="K564" s="2"/>
      <c r="L564" s="2"/>
      <c r="M564" s="285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85"/>
      <c r="B565" s="2"/>
      <c r="C565" s="2"/>
      <c r="D565" s="65"/>
      <c r="E565" s="2"/>
      <c r="F565" s="65"/>
      <c r="G565" s="2"/>
      <c r="H565" s="2"/>
      <c r="I565" s="2"/>
      <c r="J565" s="2"/>
      <c r="K565" s="2"/>
      <c r="L565" s="2"/>
      <c r="M565" s="285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85"/>
      <c r="B566" s="2"/>
      <c r="C566" s="2"/>
      <c r="D566" s="65"/>
      <c r="E566" s="2"/>
      <c r="F566" s="65"/>
      <c r="G566" s="2"/>
      <c r="H566" s="2"/>
      <c r="I566" s="2"/>
      <c r="J566" s="2"/>
      <c r="K566" s="2"/>
      <c r="L566" s="2"/>
      <c r="M566" s="285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85"/>
      <c r="B567" s="2"/>
      <c r="C567" s="2"/>
      <c r="D567" s="65"/>
      <c r="E567" s="2"/>
      <c r="F567" s="65"/>
      <c r="G567" s="2"/>
      <c r="H567" s="2"/>
      <c r="I567" s="2"/>
      <c r="J567" s="2"/>
      <c r="K567" s="2"/>
      <c r="L567" s="2"/>
      <c r="M567" s="285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85"/>
      <c r="B568" s="2"/>
      <c r="C568" s="2"/>
      <c r="D568" s="65"/>
      <c r="E568" s="2"/>
      <c r="F568" s="65"/>
      <c r="G568" s="2"/>
      <c r="H568" s="2"/>
      <c r="I568" s="2"/>
      <c r="J568" s="2"/>
      <c r="K568" s="2"/>
      <c r="L568" s="2"/>
      <c r="M568" s="285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85"/>
      <c r="B569" s="2"/>
      <c r="C569" s="2"/>
      <c r="D569" s="65"/>
      <c r="E569" s="2"/>
      <c r="F569" s="65"/>
      <c r="G569" s="2"/>
      <c r="H569" s="2"/>
      <c r="I569" s="2"/>
      <c r="J569" s="2"/>
      <c r="K569" s="2"/>
      <c r="L569" s="2"/>
      <c r="M569" s="285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85"/>
      <c r="B570" s="2"/>
      <c r="C570" s="2"/>
      <c r="D570" s="65"/>
      <c r="E570" s="2"/>
      <c r="F570" s="65"/>
      <c r="G570" s="2"/>
      <c r="H570" s="2"/>
      <c r="I570" s="2"/>
      <c r="J570" s="2"/>
      <c r="K570" s="2"/>
      <c r="L570" s="2"/>
      <c r="M570" s="285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85"/>
      <c r="B571" s="2"/>
      <c r="C571" s="2"/>
      <c r="D571" s="65"/>
      <c r="E571" s="2"/>
      <c r="F571" s="65"/>
      <c r="G571" s="2"/>
      <c r="H571" s="2"/>
      <c r="I571" s="2"/>
      <c r="J571" s="2"/>
      <c r="K571" s="2"/>
      <c r="L571" s="2"/>
      <c r="M571" s="285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85"/>
      <c r="B572" s="2"/>
      <c r="C572" s="2"/>
      <c r="D572" s="65"/>
      <c r="E572" s="2"/>
      <c r="F572" s="65"/>
      <c r="G572" s="2"/>
      <c r="H572" s="2"/>
      <c r="I572" s="2"/>
      <c r="J572" s="2"/>
      <c r="K572" s="2"/>
      <c r="L572" s="2"/>
      <c r="M572" s="285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85"/>
      <c r="B573" s="2"/>
      <c r="C573" s="2"/>
      <c r="D573" s="65"/>
      <c r="E573" s="2"/>
      <c r="F573" s="65"/>
      <c r="G573" s="2"/>
      <c r="H573" s="2"/>
      <c r="I573" s="2"/>
      <c r="J573" s="2"/>
      <c r="K573" s="2"/>
      <c r="L573" s="2"/>
      <c r="M573" s="285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85"/>
      <c r="B574" s="2"/>
      <c r="C574" s="2"/>
      <c r="D574" s="65"/>
      <c r="E574" s="2"/>
      <c r="F574" s="65"/>
      <c r="G574" s="2"/>
      <c r="H574" s="2"/>
      <c r="I574" s="2"/>
      <c r="J574" s="2"/>
      <c r="K574" s="2"/>
      <c r="L574" s="2"/>
      <c r="M574" s="285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85"/>
      <c r="B575" s="2"/>
      <c r="C575" s="2"/>
      <c r="D575" s="65"/>
      <c r="E575" s="2"/>
      <c r="F575" s="65"/>
      <c r="G575" s="2"/>
      <c r="H575" s="2"/>
      <c r="I575" s="2"/>
      <c r="J575" s="2"/>
      <c r="K575" s="2"/>
      <c r="L575" s="2"/>
      <c r="M575" s="285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85"/>
      <c r="B576" s="2"/>
      <c r="C576" s="2"/>
      <c r="D576" s="65"/>
      <c r="E576" s="2"/>
      <c r="F576" s="65"/>
      <c r="G576" s="2"/>
      <c r="H576" s="2"/>
      <c r="I576" s="2"/>
      <c r="J576" s="2"/>
      <c r="K576" s="2"/>
      <c r="L576" s="2"/>
      <c r="M576" s="285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85"/>
      <c r="B577" s="2"/>
      <c r="C577" s="2"/>
      <c r="D577" s="65"/>
      <c r="E577" s="2"/>
      <c r="F577" s="65"/>
      <c r="G577" s="2"/>
      <c r="H577" s="2"/>
      <c r="I577" s="2"/>
      <c r="J577" s="2"/>
      <c r="K577" s="2"/>
      <c r="L577" s="2"/>
      <c r="M577" s="285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85"/>
      <c r="B578" s="2"/>
      <c r="C578" s="2"/>
      <c r="D578" s="65"/>
      <c r="E578" s="2"/>
      <c r="F578" s="65"/>
      <c r="G578" s="2"/>
      <c r="H578" s="2"/>
      <c r="I578" s="2"/>
      <c r="J578" s="2"/>
      <c r="K578" s="2"/>
      <c r="L578" s="2"/>
      <c r="M578" s="285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85"/>
      <c r="B579" s="2"/>
      <c r="C579" s="2"/>
      <c r="D579" s="65"/>
      <c r="E579" s="2"/>
      <c r="F579" s="65"/>
      <c r="G579" s="2"/>
      <c r="H579" s="2"/>
      <c r="I579" s="2"/>
      <c r="J579" s="2"/>
      <c r="K579" s="2"/>
      <c r="L579" s="2"/>
      <c r="M579" s="285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85"/>
      <c r="B580" s="2"/>
      <c r="C580" s="2"/>
      <c r="D580" s="65"/>
      <c r="E580" s="2"/>
      <c r="F580" s="65"/>
      <c r="G580" s="2"/>
      <c r="H580" s="2"/>
      <c r="I580" s="2"/>
      <c r="J580" s="2"/>
      <c r="K580" s="2"/>
      <c r="L580" s="2"/>
      <c r="M580" s="285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85"/>
      <c r="B581" s="2"/>
      <c r="C581" s="2"/>
      <c r="D581" s="65"/>
      <c r="E581" s="2"/>
      <c r="F581" s="65"/>
      <c r="G581" s="2"/>
      <c r="H581" s="2"/>
      <c r="I581" s="2"/>
      <c r="J581" s="2"/>
      <c r="K581" s="2"/>
      <c r="L581" s="2"/>
      <c r="M581" s="285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85"/>
      <c r="B582" s="2"/>
      <c r="C582" s="2"/>
      <c r="D582" s="65"/>
      <c r="E582" s="2"/>
      <c r="F582" s="65"/>
      <c r="G582" s="2"/>
      <c r="H582" s="2"/>
      <c r="I582" s="2"/>
      <c r="J582" s="2"/>
      <c r="K582" s="2"/>
      <c r="L582" s="2"/>
      <c r="M582" s="285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85"/>
      <c r="B583" s="2"/>
      <c r="C583" s="2"/>
      <c r="D583" s="65"/>
      <c r="E583" s="2"/>
      <c r="F583" s="65"/>
      <c r="G583" s="2"/>
      <c r="H583" s="2"/>
      <c r="I583" s="2"/>
      <c r="J583" s="2"/>
      <c r="K583" s="2"/>
      <c r="L583" s="2"/>
      <c r="M583" s="285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85"/>
      <c r="B584" s="2"/>
      <c r="C584" s="2"/>
      <c r="D584" s="65"/>
      <c r="E584" s="2"/>
      <c r="F584" s="65"/>
      <c r="G584" s="2"/>
      <c r="H584" s="2"/>
      <c r="I584" s="2"/>
      <c r="J584" s="2"/>
      <c r="K584" s="2"/>
      <c r="L584" s="2"/>
      <c r="M584" s="285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85"/>
      <c r="B585" s="2"/>
      <c r="C585" s="2"/>
      <c r="D585" s="65"/>
      <c r="E585" s="2"/>
      <c r="F585" s="65"/>
      <c r="G585" s="2"/>
      <c r="H585" s="2"/>
      <c r="I585" s="2"/>
      <c r="J585" s="2"/>
      <c r="K585" s="2"/>
      <c r="L585" s="2"/>
      <c r="M585" s="285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85"/>
      <c r="B586" s="2"/>
      <c r="C586" s="2"/>
      <c r="D586" s="65"/>
      <c r="E586" s="2"/>
      <c r="F586" s="65"/>
      <c r="G586" s="2"/>
      <c r="H586" s="2"/>
      <c r="I586" s="2"/>
      <c r="J586" s="2"/>
      <c r="K586" s="2"/>
      <c r="L586" s="2"/>
      <c r="M586" s="285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85"/>
      <c r="B587" s="2"/>
      <c r="C587" s="2"/>
      <c r="D587" s="65"/>
      <c r="E587" s="2"/>
      <c r="F587" s="65"/>
      <c r="G587" s="2"/>
      <c r="H587" s="2"/>
      <c r="I587" s="2"/>
      <c r="J587" s="2"/>
      <c r="K587" s="2"/>
      <c r="L587" s="2"/>
      <c r="M587" s="285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85"/>
      <c r="B588" s="2"/>
      <c r="C588" s="2"/>
      <c r="D588" s="65"/>
      <c r="E588" s="2"/>
      <c r="F588" s="65"/>
      <c r="G588" s="2"/>
      <c r="H588" s="2"/>
      <c r="I588" s="2"/>
      <c r="J588" s="2"/>
      <c r="K588" s="2"/>
      <c r="L588" s="2"/>
      <c r="M588" s="285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85"/>
      <c r="B589" s="2"/>
      <c r="C589" s="2"/>
      <c r="D589" s="65"/>
      <c r="E589" s="2"/>
      <c r="F589" s="65"/>
      <c r="G589" s="2"/>
      <c r="H589" s="2"/>
      <c r="I589" s="2"/>
      <c r="J589" s="2"/>
      <c r="K589" s="2"/>
      <c r="L589" s="2"/>
      <c r="M589" s="285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85"/>
      <c r="B590" s="2"/>
      <c r="C590" s="2"/>
      <c r="D590" s="65"/>
      <c r="E590" s="2"/>
      <c r="F590" s="65"/>
      <c r="G590" s="2"/>
      <c r="H590" s="2"/>
      <c r="I590" s="2"/>
      <c r="J590" s="2"/>
      <c r="K590" s="2"/>
      <c r="L590" s="2"/>
      <c r="M590" s="285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85"/>
      <c r="B591" s="2"/>
      <c r="C591" s="2"/>
      <c r="D591" s="65"/>
      <c r="E591" s="2"/>
      <c r="F591" s="65"/>
      <c r="G591" s="2"/>
      <c r="H591" s="2"/>
      <c r="I591" s="2"/>
      <c r="J591" s="2"/>
      <c r="K591" s="2"/>
      <c r="L591" s="2"/>
      <c r="M591" s="285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85"/>
      <c r="B592" s="2"/>
      <c r="C592" s="2"/>
      <c r="D592" s="65"/>
      <c r="E592" s="2"/>
      <c r="F592" s="65"/>
      <c r="G592" s="2"/>
      <c r="H592" s="2"/>
      <c r="I592" s="2"/>
      <c r="J592" s="2"/>
      <c r="K592" s="2"/>
      <c r="L592" s="2"/>
      <c r="M592" s="285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85"/>
      <c r="B593" s="2"/>
      <c r="C593" s="2"/>
      <c r="D593" s="65"/>
      <c r="E593" s="2"/>
      <c r="F593" s="65"/>
      <c r="G593" s="2"/>
      <c r="H593" s="2"/>
      <c r="I593" s="2"/>
      <c r="J593" s="2"/>
      <c r="K593" s="2"/>
      <c r="L593" s="2"/>
      <c r="M593" s="285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85"/>
      <c r="B594" s="2"/>
      <c r="C594" s="2"/>
      <c r="D594" s="65"/>
      <c r="E594" s="2"/>
      <c r="F594" s="65"/>
      <c r="G594" s="2"/>
      <c r="H594" s="2"/>
      <c r="I594" s="2"/>
      <c r="J594" s="2"/>
      <c r="K594" s="2"/>
      <c r="L594" s="2"/>
      <c r="M594" s="285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85"/>
      <c r="B595" s="2"/>
      <c r="C595" s="2"/>
      <c r="D595" s="65"/>
      <c r="E595" s="2"/>
      <c r="F595" s="65"/>
      <c r="G595" s="2"/>
      <c r="H595" s="2"/>
      <c r="I595" s="2"/>
      <c r="J595" s="2"/>
      <c r="K595" s="2"/>
      <c r="L595" s="2"/>
      <c r="M595" s="285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85"/>
      <c r="B596" s="2"/>
      <c r="C596" s="2"/>
      <c r="D596" s="65"/>
      <c r="E596" s="2"/>
      <c r="F596" s="65"/>
      <c r="G596" s="2"/>
      <c r="H596" s="2"/>
      <c r="I596" s="2"/>
      <c r="J596" s="2"/>
      <c r="K596" s="2"/>
      <c r="L596" s="2"/>
      <c r="M596" s="285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85"/>
      <c r="B597" s="2"/>
      <c r="C597" s="2"/>
      <c r="D597" s="65"/>
      <c r="E597" s="2"/>
      <c r="F597" s="65"/>
      <c r="G597" s="2"/>
      <c r="H597" s="2"/>
      <c r="I597" s="2"/>
      <c r="J597" s="2"/>
      <c r="K597" s="2"/>
      <c r="L597" s="2"/>
      <c r="M597" s="285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85"/>
      <c r="B598" s="2"/>
      <c r="C598" s="2"/>
      <c r="D598" s="65"/>
      <c r="E598" s="2"/>
      <c r="F598" s="65"/>
      <c r="G598" s="2"/>
      <c r="H598" s="2"/>
      <c r="I598" s="2"/>
      <c r="J598" s="2"/>
      <c r="K598" s="2"/>
      <c r="L598" s="2"/>
      <c r="M598" s="285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85"/>
      <c r="B599" s="2"/>
      <c r="C599" s="2"/>
      <c r="D599" s="65"/>
      <c r="E599" s="2"/>
      <c r="F599" s="65"/>
      <c r="G599" s="2"/>
      <c r="H599" s="2"/>
      <c r="I599" s="2"/>
      <c r="J599" s="2"/>
      <c r="K599" s="2"/>
      <c r="L599" s="2"/>
      <c r="M599" s="285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85"/>
      <c r="B600" s="2"/>
      <c r="C600" s="2"/>
      <c r="D600" s="65"/>
      <c r="E600" s="2"/>
      <c r="F600" s="65"/>
      <c r="G600" s="2"/>
      <c r="H600" s="2"/>
      <c r="I600" s="2"/>
      <c r="J600" s="2"/>
      <c r="K600" s="2"/>
      <c r="L600" s="2"/>
      <c r="M600" s="285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85"/>
      <c r="B601" s="2"/>
      <c r="C601" s="2"/>
      <c r="D601" s="65"/>
      <c r="E601" s="2"/>
      <c r="F601" s="65"/>
      <c r="G601" s="2"/>
      <c r="H601" s="2"/>
      <c r="I601" s="2"/>
      <c r="J601" s="2"/>
      <c r="K601" s="2"/>
      <c r="L601" s="2"/>
      <c r="M601" s="285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85"/>
      <c r="B602" s="2"/>
      <c r="C602" s="2"/>
      <c r="D602" s="65"/>
      <c r="E602" s="2"/>
      <c r="F602" s="65"/>
      <c r="G602" s="2"/>
      <c r="H602" s="2"/>
      <c r="I602" s="2"/>
      <c r="J602" s="2"/>
      <c r="K602" s="2"/>
      <c r="L602" s="2"/>
      <c r="M602" s="285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85"/>
      <c r="B603" s="2"/>
      <c r="C603" s="2"/>
      <c r="D603" s="65"/>
      <c r="E603" s="2"/>
      <c r="F603" s="65"/>
      <c r="G603" s="2"/>
      <c r="H603" s="2"/>
      <c r="I603" s="2"/>
      <c r="J603" s="2"/>
      <c r="K603" s="2"/>
      <c r="L603" s="2"/>
      <c r="M603" s="285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85"/>
      <c r="B604" s="2"/>
      <c r="C604" s="2"/>
      <c r="D604" s="65"/>
      <c r="E604" s="2"/>
      <c r="F604" s="65"/>
      <c r="G604" s="2"/>
      <c r="H604" s="2"/>
      <c r="I604" s="2"/>
      <c r="J604" s="2"/>
      <c r="K604" s="2"/>
      <c r="L604" s="2"/>
      <c r="M604" s="285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85"/>
      <c r="B605" s="2"/>
      <c r="C605" s="2"/>
      <c r="D605" s="65"/>
      <c r="E605" s="2"/>
      <c r="F605" s="65"/>
      <c r="G605" s="2"/>
      <c r="H605" s="2"/>
      <c r="I605" s="2"/>
      <c r="J605" s="2"/>
      <c r="K605" s="2"/>
      <c r="L605" s="2"/>
      <c r="M605" s="285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85"/>
      <c r="B606" s="2"/>
      <c r="C606" s="2"/>
      <c r="D606" s="65"/>
      <c r="E606" s="2"/>
      <c r="F606" s="65"/>
      <c r="G606" s="2"/>
      <c r="H606" s="2"/>
      <c r="I606" s="2"/>
      <c r="J606" s="2"/>
      <c r="K606" s="2"/>
      <c r="L606" s="2"/>
      <c r="M606" s="285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85"/>
      <c r="B607" s="2"/>
      <c r="C607" s="2"/>
      <c r="D607" s="65"/>
      <c r="E607" s="2"/>
      <c r="F607" s="65"/>
      <c r="G607" s="2"/>
      <c r="H607" s="2"/>
      <c r="I607" s="2"/>
      <c r="J607" s="2"/>
      <c r="K607" s="2"/>
      <c r="L607" s="2"/>
      <c r="M607" s="285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85"/>
      <c r="B608" s="2"/>
      <c r="C608" s="2"/>
      <c r="D608" s="65"/>
      <c r="E608" s="2"/>
      <c r="F608" s="65"/>
      <c r="G608" s="2"/>
      <c r="H608" s="2"/>
      <c r="I608" s="2"/>
      <c r="J608" s="2"/>
      <c r="K608" s="2"/>
      <c r="L608" s="2"/>
      <c r="M608" s="285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85"/>
      <c r="B609" s="2"/>
      <c r="C609" s="2"/>
      <c r="D609" s="65"/>
      <c r="E609" s="2"/>
      <c r="F609" s="65"/>
      <c r="G609" s="2"/>
      <c r="H609" s="2"/>
      <c r="I609" s="2"/>
      <c r="J609" s="2"/>
      <c r="K609" s="2"/>
      <c r="L609" s="2"/>
      <c r="M609" s="285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85"/>
      <c r="B610" s="2"/>
      <c r="C610" s="2"/>
      <c r="D610" s="65"/>
      <c r="E610" s="2"/>
      <c r="F610" s="65"/>
      <c r="G610" s="2"/>
      <c r="H610" s="2"/>
      <c r="I610" s="2"/>
      <c r="J610" s="2"/>
      <c r="K610" s="2"/>
      <c r="L610" s="2"/>
      <c r="M610" s="285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85"/>
      <c r="B611" s="2"/>
      <c r="C611" s="2"/>
      <c r="D611" s="65"/>
      <c r="E611" s="2"/>
      <c r="F611" s="65"/>
      <c r="G611" s="2"/>
      <c r="H611" s="2"/>
      <c r="I611" s="2"/>
      <c r="J611" s="2"/>
      <c r="K611" s="2"/>
      <c r="L611" s="2"/>
      <c r="M611" s="285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85"/>
      <c r="B612" s="2"/>
      <c r="C612" s="2"/>
      <c r="D612" s="65"/>
      <c r="E612" s="2"/>
      <c r="F612" s="65"/>
      <c r="G612" s="2"/>
      <c r="H612" s="2"/>
      <c r="I612" s="2"/>
      <c r="J612" s="2"/>
      <c r="K612" s="2"/>
      <c r="L612" s="2"/>
      <c r="M612" s="285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85"/>
      <c r="B613" s="2"/>
      <c r="C613" s="2"/>
      <c r="D613" s="65"/>
      <c r="E613" s="2"/>
      <c r="F613" s="65"/>
      <c r="G613" s="2"/>
      <c r="H613" s="2"/>
      <c r="I613" s="2"/>
      <c r="J613" s="2"/>
      <c r="K613" s="2"/>
      <c r="L613" s="2"/>
      <c r="M613" s="285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85"/>
      <c r="B614" s="2"/>
      <c r="C614" s="2"/>
      <c r="D614" s="65"/>
      <c r="E614" s="2"/>
      <c r="F614" s="65"/>
      <c r="G614" s="2"/>
      <c r="H614" s="2"/>
      <c r="I614" s="2"/>
      <c r="J614" s="2"/>
      <c r="K614" s="2"/>
      <c r="L614" s="2"/>
      <c r="M614" s="285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85"/>
      <c r="B615" s="2"/>
      <c r="C615" s="2"/>
      <c r="D615" s="65"/>
      <c r="E615" s="2"/>
      <c r="F615" s="65"/>
      <c r="G615" s="2"/>
      <c r="H615" s="2"/>
      <c r="I615" s="2"/>
      <c r="J615" s="2"/>
      <c r="K615" s="2"/>
      <c r="L615" s="2"/>
      <c r="M615" s="285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85"/>
      <c r="B616" s="2"/>
      <c r="C616" s="2"/>
      <c r="D616" s="65"/>
      <c r="E616" s="2"/>
      <c r="F616" s="65"/>
      <c r="G616" s="2"/>
      <c r="H616" s="2"/>
      <c r="I616" s="2"/>
      <c r="J616" s="2"/>
      <c r="K616" s="2"/>
      <c r="L616" s="2"/>
      <c r="M616" s="285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85"/>
      <c r="B617" s="2"/>
      <c r="C617" s="2"/>
      <c r="D617" s="65"/>
      <c r="E617" s="2"/>
      <c r="F617" s="65"/>
      <c r="G617" s="2"/>
      <c r="H617" s="2"/>
      <c r="I617" s="2"/>
      <c r="J617" s="2"/>
      <c r="K617" s="2"/>
      <c r="L617" s="2"/>
      <c r="M617" s="285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85"/>
      <c r="B618" s="2"/>
      <c r="C618" s="2"/>
      <c r="D618" s="65"/>
      <c r="E618" s="2"/>
      <c r="F618" s="65"/>
      <c r="G618" s="2"/>
      <c r="H618" s="2"/>
      <c r="I618" s="2"/>
      <c r="J618" s="2"/>
      <c r="K618" s="2"/>
      <c r="L618" s="2"/>
      <c r="M618" s="285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85"/>
      <c r="B619" s="2"/>
      <c r="C619" s="2"/>
      <c r="D619" s="65"/>
      <c r="E619" s="2"/>
      <c r="F619" s="65"/>
      <c r="G619" s="2"/>
      <c r="H619" s="2"/>
      <c r="I619" s="2"/>
      <c r="J619" s="2"/>
      <c r="K619" s="2"/>
      <c r="L619" s="2"/>
      <c r="M619" s="285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85"/>
      <c r="B620" s="2"/>
      <c r="C620" s="2"/>
      <c r="D620" s="65"/>
      <c r="E620" s="2"/>
      <c r="F620" s="65"/>
      <c r="G620" s="2"/>
      <c r="H620" s="2"/>
      <c r="I620" s="2"/>
      <c r="J620" s="2"/>
      <c r="K620" s="2"/>
      <c r="L620" s="2"/>
      <c r="M620" s="285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85"/>
      <c r="B621" s="2"/>
      <c r="C621" s="2"/>
      <c r="D621" s="65"/>
      <c r="E621" s="2"/>
      <c r="F621" s="65"/>
      <c r="G621" s="2"/>
      <c r="H621" s="2"/>
      <c r="I621" s="2"/>
      <c r="J621" s="2"/>
      <c r="K621" s="2"/>
      <c r="L621" s="2"/>
      <c r="M621" s="285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85"/>
      <c r="B622" s="2"/>
      <c r="C622" s="2"/>
      <c r="D622" s="65"/>
      <c r="E622" s="2"/>
      <c r="F622" s="65"/>
      <c r="G622" s="2"/>
      <c r="H622" s="2"/>
      <c r="I622" s="2"/>
      <c r="J622" s="2"/>
      <c r="K622" s="2"/>
      <c r="L622" s="2"/>
      <c r="M622" s="285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85"/>
      <c r="B623" s="2"/>
      <c r="C623" s="2"/>
      <c r="D623" s="65"/>
      <c r="E623" s="2"/>
      <c r="F623" s="65"/>
      <c r="G623" s="2"/>
      <c r="H623" s="2"/>
      <c r="I623" s="2"/>
      <c r="J623" s="2"/>
      <c r="K623" s="2"/>
      <c r="L623" s="2"/>
      <c r="M623" s="285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85"/>
      <c r="B624" s="2"/>
      <c r="C624" s="2"/>
      <c r="D624" s="65"/>
      <c r="E624" s="2"/>
      <c r="F624" s="65"/>
      <c r="G624" s="2"/>
      <c r="H624" s="2"/>
      <c r="I624" s="2"/>
      <c r="J624" s="2"/>
      <c r="K624" s="2"/>
      <c r="L624" s="2"/>
      <c r="M624" s="285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85"/>
      <c r="B625" s="2"/>
      <c r="C625" s="2"/>
      <c r="D625" s="65"/>
      <c r="E625" s="2"/>
      <c r="F625" s="65"/>
      <c r="G625" s="2"/>
      <c r="H625" s="2"/>
      <c r="I625" s="2"/>
      <c r="J625" s="2"/>
      <c r="K625" s="2"/>
      <c r="L625" s="2"/>
      <c r="M625" s="285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85"/>
      <c r="B626" s="2"/>
      <c r="C626" s="2"/>
      <c r="D626" s="65"/>
      <c r="E626" s="2"/>
      <c r="F626" s="65"/>
      <c r="G626" s="2"/>
      <c r="H626" s="2"/>
      <c r="I626" s="2"/>
      <c r="J626" s="2"/>
      <c r="K626" s="2"/>
      <c r="L626" s="2"/>
      <c r="M626" s="285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85"/>
      <c r="B627" s="2"/>
      <c r="C627" s="2"/>
      <c r="D627" s="65"/>
      <c r="E627" s="2"/>
      <c r="F627" s="65"/>
      <c r="G627" s="2"/>
      <c r="H627" s="2"/>
      <c r="I627" s="2"/>
      <c r="J627" s="2"/>
      <c r="K627" s="2"/>
      <c r="L627" s="2"/>
      <c r="M627" s="285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85"/>
      <c r="B628" s="2"/>
      <c r="C628" s="2"/>
      <c r="D628" s="65"/>
      <c r="E628" s="2"/>
      <c r="F628" s="65"/>
      <c r="G628" s="2"/>
      <c r="H628" s="2"/>
      <c r="I628" s="2"/>
      <c r="J628" s="2"/>
      <c r="K628" s="2"/>
      <c r="L628" s="2"/>
      <c r="M628" s="285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85"/>
      <c r="B629" s="2"/>
      <c r="C629" s="2"/>
      <c r="D629" s="65"/>
      <c r="E629" s="2"/>
      <c r="F629" s="65"/>
      <c r="G629" s="2"/>
      <c r="H629" s="2"/>
      <c r="I629" s="2"/>
      <c r="J629" s="2"/>
      <c r="K629" s="2"/>
      <c r="L629" s="2"/>
      <c r="M629" s="285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85"/>
      <c r="B630" s="2"/>
      <c r="C630" s="2"/>
      <c r="D630" s="65"/>
      <c r="E630" s="2"/>
      <c r="F630" s="65"/>
      <c r="G630" s="2"/>
      <c r="H630" s="2"/>
      <c r="I630" s="2"/>
      <c r="J630" s="2"/>
      <c r="K630" s="2"/>
      <c r="L630" s="2"/>
      <c r="M630" s="285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85"/>
      <c r="B631" s="2"/>
      <c r="C631" s="2"/>
      <c r="D631" s="65"/>
      <c r="E631" s="2"/>
      <c r="F631" s="65"/>
      <c r="G631" s="2"/>
      <c r="H631" s="2"/>
      <c r="I631" s="2"/>
      <c r="J631" s="2"/>
      <c r="K631" s="2"/>
      <c r="L631" s="2"/>
      <c r="M631" s="285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85"/>
      <c r="B632" s="2"/>
      <c r="C632" s="2"/>
      <c r="D632" s="65"/>
      <c r="E632" s="2"/>
      <c r="F632" s="65"/>
      <c r="G632" s="2"/>
      <c r="H632" s="2"/>
      <c r="I632" s="2"/>
      <c r="J632" s="2"/>
      <c r="K632" s="2"/>
      <c r="L632" s="2"/>
      <c r="M632" s="285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85"/>
      <c r="B633" s="2"/>
      <c r="C633" s="2"/>
      <c r="D633" s="65"/>
      <c r="E633" s="2"/>
      <c r="F633" s="65"/>
      <c r="G633" s="2"/>
      <c r="H633" s="2"/>
      <c r="I633" s="2"/>
      <c r="J633" s="2"/>
      <c r="K633" s="2"/>
      <c r="L633" s="2"/>
      <c r="M633" s="285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85"/>
      <c r="B634" s="2"/>
      <c r="C634" s="2"/>
      <c r="D634" s="65"/>
      <c r="E634" s="2"/>
      <c r="F634" s="65"/>
      <c r="G634" s="2"/>
      <c r="H634" s="2"/>
      <c r="I634" s="2"/>
      <c r="J634" s="2"/>
      <c r="K634" s="2"/>
      <c r="L634" s="2"/>
      <c r="M634" s="285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85"/>
      <c r="B635" s="2"/>
      <c r="C635" s="2"/>
      <c r="D635" s="65"/>
      <c r="E635" s="2"/>
      <c r="F635" s="65"/>
      <c r="G635" s="2"/>
      <c r="H635" s="2"/>
      <c r="I635" s="2"/>
      <c r="J635" s="2"/>
      <c r="K635" s="2"/>
      <c r="L635" s="2"/>
      <c r="M635" s="285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85"/>
      <c r="B636" s="2"/>
      <c r="C636" s="2"/>
      <c r="D636" s="65"/>
      <c r="E636" s="2"/>
      <c r="F636" s="65"/>
      <c r="G636" s="2"/>
      <c r="H636" s="2"/>
      <c r="I636" s="2"/>
      <c r="J636" s="2"/>
      <c r="K636" s="2"/>
      <c r="L636" s="2"/>
      <c r="M636" s="285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85"/>
      <c r="B637" s="2"/>
      <c r="C637" s="2"/>
      <c r="D637" s="65"/>
      <c r="E637" s="2"/>
      <c r="F637" s="65"/>
      <c r="G637" s="2"/>
      <c r="H637" s="2"/>
      <c r="I637" s="2"/>
      <c r="J637" s="2"/>
      <c r="K637" s="2"/>
      <c r="L637" s="2"/>
      <c r="M637" s="285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85"/>
      <c r="B638" s="2"/>
      <c r="C638" s="2"/>
      <c r="D638" s="65"/>
      <c r="E638" s="2"/>
      <c r="F638" s="65"/>
      <c r="G638" s="2"/>
      <c r="H638" s="2"/>
      <c r="I638" s="2"/>
      <c r="J638" s="2"/>
      <c r="K638" s="2"/>
      <c r="L638" s="2"/>
      <c r="M638" s="285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85"/>
      <c r="B639" s="2"/>
      <c r="C639" s="2"/>
      <c r="D639" s="65"/>
      <c r="E639" s="2"/>
      <c r="F639" s="65"/>
      <c r="G639" s="2"/>
      <c r="H639" s="2"/>
      <c r="I639" s="2"/>
      <c r="J639" s="2"/>
      <c r="K639" s="2"/>
      <c r="L639" s="2"/>
      <c r="M639" s="285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85"/>
      <c r="B640" s="2"/>
      <c r="C640" s="2"/>
      <c r="D640" s="65"/>
      <c r="E640" s="2"/>
      <c r="F640" s="65"/>
      <c r="G640" s="2"/>
      <c r="H640" s="2"/>
      <c r="I640" s="2"/>
      <c r="J640" s="2"/>
      <c r="K640" s="2"/>
      <c r="L640" s="2"/>
      <c r="M640" s="285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85"/>
      <c r="B641" s="2"/>
      <c r="C641" s="2"/>
      <c r="D641" s="65"/>
      <c r="E641" s="2"/>
      <c r="F641" s="65"/>
      <c r="G641" s="2"/>
      <c r="H641" s="2"/>
      <c r="I641" s="2"/>
      <c r="J641" s="2"/>
      <c r="K641" s="2"/>
      <c r="L641" s="2"/>
      <c r="M641" s="285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85"/>
      <c r="B642" s="2"/>
      <c r="C642" s="2"/>
      <c r="D642" s="65"/>
      <c r="E642" s="2"/>
      <c r="F642" s="65"/>
      <c r="G642" s="2"/>
      <c r="H642" s="2"/>
      <c r="I642" s="2"/>
      <c r="J642" s="2"/>
      <c r="K642" s="2"/>
      <c r="L642" s="2"/>
      <c r="M642" s="285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85"/>
      <c r="B643" s="2"/>
      <c r="C643" s="2"/>
      <c r="D643" s="65"/>
      <c r="E643" s="2"/>
      <c r="F643" s="65"/>
      <c r="G643" s="2"/>
      <c r="H643" s="2"/>
      <c r="I643" s="2"/>
      <c r="J643" s="2"/>
      <c r="K643" s="2"/>
      <c r="L643" s="2"/>
      <c r="M643" s="285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85"/>
      <c r="B644" s="2"/>
      <c r="C644" s="2"/>
      <c r="D644" s="65"/>
      <c r="E644" s="2"/>
      <c r="F644" s="65"/>
      <c r="G644" s="2"/>
      <c r="H644" s="2"/>
      <c r="I644" s="2"/>
      <c r="J644" s="2"/>
      <c r="K644" s="2"/>
      <c r="L644" s="2"/>
      <c r="M644" s="285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85"/>
      <c r="B645" s="2"/>
      <c r="C645" s="2"/>
      <c r="D645" s="65"/>
      <c r="E645" s="2"/>
      <c r="F645" s="65"/>
      <c r="G645" s="2"/>
      <c r="H645" s="2"/>
      <c r="I645" s="2"/>
      <c r="J645" s="2"/>
      <c r="K645" s="2"/>
      <c r="L645" s="2"/>
      <c r="M645" s="285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85"/>
      <c r="B646" s="2"/>
      <c r="C646" s="2"/>
      <c r="D646" s="65"/>
      <c r="E646" s="2"/>
      <c r="F646" s="65"/>
      <c r="G646" s="2"/>
      <c r="H646" s="2"/>
      <c r="I646" s="2"/>
      <c r="J646" s="2"/>
      <c r="K646" s="2"/>
      <c r="L646" s="2"/>
      <c r="M646" s="285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85"/>
      <c r="B647" s="2"/>
      <c r="C647" s="2"/>
      <c r="D647" s="65"/>
      <c r="E647" s="2"/>
      <c r="F647" s="65"/>
      <c r="G647" s="2"/>
      <c r="H647" s="2"/>
      <c r="I647" s="2"/>
      <c r="J647" s="2"/>
      <c r="K647" s="2"/>
      <c r="L647" s="2"/>
      <c r="M647" s="285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85"/>
      <c r="B648" s="2"/>
      <c r="C648" s="2"/>
      <c r="D648" s="65"/>
      <c r="E648" s="2"/>
      <c r="F648" s="65"/>
      <c r="G648" s="2"/>
      <c r="H648" s="2"/>
      <c r="I648" s="2"/>
      <c r="J648" s="2"/>
      <c r="K648" s="2"/>
      <c r="L648" s="2"/>
      <c r="M648" s="285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85"/>
      <c r="B649" s="2"/>
      <c r="C649" s="2"/>
      <c r="D649" s="65"/>
      <c r="E649" s="2"/>
      <c r="F649" s="65"/>
      <c r="G649" s="2"/>
      <c r="H649" s="2"/>
      <c r="I649" s="2"/>
      <c r="J649" s="2"/>
      <c r="K649" s="2"/>
      <c r="L649" s="2"/>
      <c r="M649" s="285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85"/>
      <c r="B650" s="2"/>
      <c r="C650" s="2"/>
      <c r="D650" s="65"/>
      <c r="E650" s="2"/>
      <c r="F650" s="65"/>
      <c r="G650" s="2"/>
      <c r="H650" s="2"/>
      <c r="I650" s="2"/>
      <c r="J650" s="2"/>
      <c r="K650" s="2"/>
      <c r="L650" s="2"/>
      <c r="M650" s="285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85"/>
      <c r="B651" s="2"/>
      <c r="C651" s="2"/>
      <c r="D651" s="65"/>
      <c r="E651" s="2"/>
      <c r="F651" s="65"/>
      <c r="G651" s="2"/>
      <c r="H651" s="2"/>
      <c r="I651" s="2"/>
      <c r="J651" s="2"/>
      <c r="K651" s="2"/>
      <c r="L651" s="2"/>
      <c r="M651" s="285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85"/>
      <c r="B652" s="2"/>
      <c r="C652" s="2"/>
      <c r="D652" s="65"/>
      <c r="E652" s="2"/>
      <c r="F652" s="65"/>
      <c r="G652" s="2"/>
      <c r="H652" s="2"/>
      <c r="I652" s="2"/>
      <c r="J652" s="2"/>
      <c r="K652" s="2"/>
      <c r="L652" s="2"/>
      <c r="M652" s="285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85"/>
      <c r="B653" s="2"/>
      <c r="C653" s="2"/>
      <c r="D653" s="65"/>
      <c r="E653" s="2"/>
      <c r="F653" s="65"/>
      <c r="G653" s="2"/>
      <c r="H653" s="2"/>
      <c r="I653" s="2"/>
      <c r="J653" s="2"/>
      <c r="K653" s="2"/>
      <c r="L653" s="2"/>
      <c r="M653" s="285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85"/>
      <c r="B654" s="2"/>
      <c r="C654" s="2"/>
      <c r="D654" s="65"/>
      <c r="E654" s="2"/>
      <c r="F654" s="65"/>
      <c r="G654" s="2"/>
      <c r="H654" s="2"/>
      <c r="I654" s="2"/>
      <c r="J654" s="2"/>
      <c r="K654" s="2"/>
      <c r="L654" s="2"/>
      <c r="M654" s="285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85"/>
      <c r="B655" s="2"/>
      <c r="C655" s="2"/>
      <c r="D655" s="65"/>
      <c r="E655" s="2"/>
      <c r="F655" s="65"/>
      <c r="G655" s="2"/>
      <c r="H655" s="2"/>
      <c r="I655" s="2"/>
      <c r="J655" s="2"/>
      <c r="K655" s="2"/>
      <c r="L655" s="2"/>
      <c r="M655" s="285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85"/>
      <c r="B656" s="2"/>
      <c r="C656" s="2"/>
      <c r="D656" s="65"/>
      <c r="E656" s="2"/>
      <c r="F656" s="65"/>
      <c r="G656" s="2"/>
      <c r="H656" s="2"/>
      <c r="I656" s="2"/>
      <c r="J656" s="2"/>
      <c r="K656" s="2"/>
      <c r="L656" s="2"/>
      <c r="M656" s="285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85"/>
      <c r="B657" s="2"/>
      <c r="C657" s="2"/>
      <c r="D657" s="65"/>
      <c r="E657" s="2"/>
      <c r="F657" s="65"/>
      <c r="G657" s="2"/>
      <c r="H657" s="2"/>
      <c r="I657" s="2"/>
      <c r="J657" s="2"/>
      <c r="K657" s="2"/>
      <c r="L657" s="2"/>
      <c r="M657" s="285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85"/>
      <c r="B658" s="2"/>
      <c r="C658" s="2"/>
      <c r="D658" s="65"/>
      <c r="E658" s="2"/>
      <c r="F658" s="65"/>
      <c r="G658" s="2"/>
      <c r="H658" s="2"/>
      <c r="I658" s="2"/>
      <c r="J658" s="2"/>
      <c r="K658" s="2"/>
      <c r="L658" s="2"/>
      <c r="M658" s="285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85"/>
      <c r="B659" s="2"/>
      <c r="C659" s="2"/>
      <c r="D659" s="65"/>
      <c r="E659" s="2"/>
      <c r="F659" s="65"/>
      <c r="G659" s="2"/>
      <c r="H659" s="2"/>
      <c r="I659" s="2"/>
      <c r="J659" s="2"/>
      <c r="K659" s="2"/>
      <c r="L659" s="2"/>
      <c r="M659" s="285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85"/>
      <c r="B660" s="2"/>
      <c r="C660" s="2"/>
      <c r="D660" s="65"/>
      <c r="E660" s="2"/>
      <c r="F660" s="65"/>
      <c r="G660" s="2"/>
      <c r="H660" s="2"/>
      <c r="I660" s="2"/>
      <c r="J660" s="2"/>
      <c r="K660" s="2"/>
      <c r="L660" s="2"/>
      <c r="M660" s="285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85"/>
      <c r="B661" s="2"/>
      <c r="C661" s="2"/>
      <c r="D661" s="65"/>
      <c r="E661" s="2"/>
      <c r="F661" s="65"/>
      <c r="G661" s="2"/>
      <c r="H661" s="2"/>
      <c r="I661" s="2"/>
      <c r="J661" s="2"/>
      <c r="K661" s="2"/>
      <c r="L661" s="2"/>
      <c r="M661" s="285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85"/>
      <c r="B662" s="2"/>
      <c r="C662" s="2"/>
      <c r="D662" s="65"/>
      <c r="E662" s="2"/>
      <c r="F662" s="65"/>
      <c r="G662" s="2"/>
      <c r="H662" s="2"/>
      <c r="I662" s="2"/>
      <c r="J662" s="2"/>
      <c r="K662" s="2"/>
      <c r="L662" s="2"/>
      <c r="M662" s="285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85"/>
      <c r="B663" s="2"/>
      <c r="C663" s="2"/>
      <c r="D663" s="65"/>
      <c r="E663" s="2"/>
      <c r="F663" s="65"/>
      <c r="G663" s="2"/>
      <c r="H663" s="2"/>
      <c r="I663" s="2"/>
      <c r="J663" s="2"/>
      <c r="K663" s="2"/>
      <c r="L663" s="2"/>
      <c r="M663" s="285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85"/>
      <c r="B664" s="2"/>
      <c r="C664" s="2"/>
      <c r="D664" s="65"/>
      <c r="E664" s="2"/>
      <c r="F664" s="65"/>
      <c r="G664" s="2"/>
      <c r="H664" s="2"/>
      <c r="I664" s="2"/>
      <c r="J664" s="2"/>
      <c r="K664" s="2"/>
      <c r="L664" s="2"/>
      <c r="M664" s="285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85"/>
      <c r="B665" s="2"/>
      <c r="C665" s="2"/>
      <c r="D665" s="65"/>
      <c r="E665" s="2"/>
      <c r="F665" s="65"/>
      <c r="G665" s="2"/>
      <c r="H665" s="2"/>
      <c r="I665" s="2"/>
      <c r="J665" s="2"/>
      <c r="K665" s="2"/>
      <c r="L665" s="2"/>
      <c r="M665" s="285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85"/>
      <c r="B666" s="2"/>
      <c r="C666" s="2"/>
      <c r="D666" s="65"/>
      <c r="E666" s="2"/>
      <c r="F666" s="65"/>
      <c r="G666" s="2"/>
      <c r="H666" s="2"/>
      <c r="I666" s="2"/>
      <c r="J666" s="2"/>
      <c r="K666" s="2"/>
      <c r="L666" s="2"/>
      <c r="M666" s="285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85"/>
      <c r="B667" s="2"/>
      <c r="C667" s="2"/>
      <c r="D667" s="65"/>
      <c r="E667" s="2"/>
      <c r="F667" s="65"/>
      <c r="G667" s="2"/>
      <c r="H667" s="2"/>
      <c r="I667" s="2"/>
      <c r="J667" s="2"/>
      <c r="K667" s="2"/>
      <c r="L667" s="2"/>
      <c r="M667" s="285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85"/>
      <c r="B668" s="2"/>
      <c r="C668" s="2"/>
      <c r="D668" s="65"/>
      <c r="E668" s="2"/>
      <c r="F668" s="65"/>
      <c r="G668" s="2"/>
      <c r="H668" s="2"/>
      <c r="I668" s="2"/>
      <c r="J668" s="2"/>
      <c r="K668" s="2"/>
      <c r="L668" s="2"/>
      <c r="M668" s="285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85"/>
      <c r="B669" s="2"/>
      <c r="C669" s="2"/>
      <c r="D669" s="65"/>
      <c r="E669" s="2"/>
      <c r="F669" s="65"/>
      <c r="G669" s="2"/>
      <c r="H669" s="2"/>
      <c r="I669" s="2"/>
      <c r="J669" s="2"/>
      <c r="K669" s="2"/>
      <c r="L669" s="2"/>
      <c r="M669" s="285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85"/>
      <c r="B670" s="2"/>
      <c r="C670" s="2"/>
      <c r="D670" s="65"/>
      <c r="E670" s="2"/>
      <c r="F670" s="65"/>
      <c r="G670" s="2"/>
      <c r="H670" s="2"/>
      <c r="I670" s="2"/>
      <c r="J670" s="2"/>
      <c r="K670" s="2"/>
      <c r="L670" s="2"/>
      <c r="M670" s="285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85"/>
      <c r="B671" s="2"/>
      <c r="C671" s="2"/>
      <c r="D671" s="65"/>
      <c r="E671" s="2"/>
      <c r="F671" s="65"/>
      <c r="G671" s="2"/>
      <c r="H671" s="2"/>
      <c r="I671" s="2"/>
      <c r="J671" s="2"/>
      <c r="K671" s="2"/>
      <c r="L671" s="2"/>
      <c r="M671" s="285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85"/>
      <c r="B672" s="2"/>
      <c r="C672" s="2"/>
      <c r="D672" s="65"/>
      <c r="E672" s="2"/>
      <c r="F672" s="65"/>
      <c r="G672" s="2"/>
      <c r="H672" s="2"/>
      <c r="I672" s="2"/>
      <c r="J672" s="2"/>
      <c r="K672" s="2"/>
      <c r="L672" s="2"/>
      <c r="M672" s="285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85"/>
      <c r="B673" s="2"/>
      <c r="C673" s="2"/>
      <c r="D673" s="65"/>
      <c r="E673" s="2"/>
      <c r="F673" s="65"/>
      <c r="G673" s="2"/>
      <c r="H673" s="2"/>
      <c r="I673" s="2"/>
      <c r="J673" s="2"/>
      <c r="K673" s="2"/>
      <c r="L673" s="2"/>
      <c r="M673" s="285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85"/>
      <c r="B674" s="2"/>
      <c r="C674" s="2"/>
      <c r="D674" s="65"/>
      <c r="E674" s="2"/>
      <c r="F674" s="65"/>
      <c r="G674" s="2"/>
      <c r="H674" s="2"/>
      <c r="I674" s="2"/>
      <c r="J674" s="2"/>
      <c r="K674" s="2"/>
      <c r="L674" s="2"/>
      <c r="M674" s="285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85"/>
      <c r="B675" s="2"/>
      <c r="C675" s="2"/>
      <c r="D675" s="65"/>
      <c r="E675" s="2"/>
      <c r="F675" s="65"/>
      <c r="G675" s="2"/>
      <c r="H675" s="2"/>
      <c r="I675" s="2"/>
      <c r="J675" s="2"/>
      <c r="K675" s="2"/>
      <c r="L675" s="2"/>
      <c r="M675" s="285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85"/>
      <c r="B676" s="2"/>
      <c r="C676" s="2"/>
      <c r="D676" s="65"/>
      <c r="E676" s="2"/>
      <c r="F676" s="65"/>
      <c r="G676" s="2"/>
      <c r="H676" s="2"/>
      <c r="I676" s="2"/>
      <c r="J676" s="2"/>
      <c r="K676" s="2"/>
      <c r="L676" s="2"/>
      <c r="M676" s="285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85"/>
      <c r="B677" s="2"/>
      <c r="C677" s="2"/>
      <c r="D677" s="65"/>
      <c r="E677" s="2"/>
      <c r="F677" s="65"/>
      <c r="G677" s="2"/>
      <c r="H677" s="2"/>
      <c r="I677" s="2"/>
      <c r="J677" s="2"/>
      <c r="K677" s="2"/>
      <c r="L677" s="2"/>
      <c r="M677" s="285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85"/>
      <c r="B678" s="2"/>
      <c r="C678" s="2"/>
      <c r="D678" s="65"/>
      <c r="E678" s="2"/>
      <c r="F678" s="65"/>
      <c r="G678" s="2"/>
      <c r="H678" s="2"/>
      <c r="I678" s="2"/>
      <c r="J678" s="2"/>
      <c r="K678" s="2"/>
      <c r="L678" s="2"/>
      <c r="M678" s="285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85"/>
      <c r="B679" s="2"/>
      <c r="C679" s="2"/>
      <c r="D679" s="65"/>
      <c r="E679" s="2"/>
      <c r="F679" s="65"/>
      <c r="G679" s="2"/>
      <c r="H679" s="2"/>
      <c r="I679" s="2"/>
      <c r="J679" s="2"/>
      <c r="K679" s="2"/>
      <c r="L679" s="2"/>
      <c r="M679" s="285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85"/>
      <c r="B680" s="2"/>
      <c r="C680" s="2"/>
      <c r="D680" s="65"/>
      <c r="E680" s="2"/>
      <c r="F680" s="65"/>
      <c r="G680" s="2"/>
      <c r="H680" s="2"/>
      <c r="I680" s="2"/>
      <c r="J680" s="2"/>
      <c r="K680" s="2"/>
      <c r="L680" s="2"/>
      <c r="M680" s="285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85"/>
      <c r="B681" s="2"/>
      <c r="C681" s="2"/>
      <c r="D681" s="65"/>
      <c r="E681" s="2"/>
      <c r="F681" s="65"/>
      <c r="G681" s="2"/>
      <c r="H681" s="2"/>
      <c r="I681" s="2"/>
      <c r="J681" s="2"/>
      <c r="K681" s="2"/>
      <c r="L681" s="2"/>
      <c r="M681" s="285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85"/>
      <c r="B682" s="2"/>
      <c r="C682" s="2"/>
      <c r="D682" s="65"/>
      <c r="E682" s="2"/>
      <c r="F682" s="65"/>
      <c r="G682" s="2"/>
      <c r="H682" s="2"/>
      <c r="I682" s="2"/>
      <c r="J682" s="2"/>
      <c r="K682" s="2"/>
      <c r="L682" s="2"/>
      <c r="M682" s="285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85"/>
      <c r="B683" s="2"/>
      <c r="C683" s="2"/>
      <c r="D683" s="65"/>
      <c r="E683" s="2"/>
      <c r="F683" s="65"/>
      <c r="G683" s="2"/>
      <c r="H683" s="2"/>
      <c r="I683" s="2"/>
      <c r="J683" s="2"/>
      <c r="K683" s="2"/>
      <c r="L683" s="2"/>
      <c r="M683" s="285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85"/>
      <c r="B684" s="2"/>
      <c r="C684" s="2"/>
      <c r="D684" s="65"/>
      <c r="E684" s="2"/>
      <c r="F684" s="65"/>
      <c r="G684" s="2"/>
      <c r="H684" s="2"/>
      <c r="I684" s="2"/>
      <c r="J684" s="2"/>
      <c r="K684" s="2"/>
      <c r="L684" s="2"/>
      <c r="M684" s="285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85"/>
      <c r="B685" s="2"/>
      <c r="C685" s="2"/>
      <c r="D685" s="65"/>
      <c r="E685" s="2"/>
      <c r="F685" s="65"/>
      <c r="G685" s="2"/>
      <c r="H685" s="2"/>
      <c r="I685" s="2"/>
      <c r="J685" s="2"/>
      <c r="K685" s="2"/>
      <c r="L685" s="2"/>
      <c r="M685" s="285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85"/>
      <c r="B686" s="2"/>
      <c r="C686" s="2"/>
      <c r="D686" s="65"/>
      <c r="E686" s="2"/>
      <c r="F686" s="65"/>
      <c r="G686" s="2"/>
      <c r="H686" s="2"/>
      <c r="I686" s="2"/>
      <c r="J686" s="2"/>
      <c r="K686" s="2"/>
      <c r="L686" s="2"/>
      <c r="M686" s="285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85"/>
      <c r="B687" s="2"/>
      <c r="C687" s="2"/>
      <c r="D687" s="65"/>
      <c r="E687" s="2"/>
      <c r="F687" s="65"/>
      <c r="G687" s="2"/>
      <c r="H687" s="2"/>
      <c r="I687" s="2"/>
      <c r="J687" s="2"/>
      <c r="K687" s="2"/>
      <c r="L687" s="2"/>
      <c r="M687" s="285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85"/>
      <c r="B688" s="2"/>
      <c r="C688" s="2"/>
      <c r="D688" s="65"/>
      <c r="E688" s="2"/>
      <c r="F688" s="65"/>
      <c r="G688" s="2"/>
      <c r="H688" s="2"/>
      <c r="I688" s="2"/>
      <c r="J688" s="2"/>
      <c r="K688" s="2"/>
      <c r="L688" s="2"/>
      <c r="M688" s="285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85"/>
      <c r="B689" s="2"/>
      <c r="C689" s="2"/>
      <c r="D689" s="65"/>
      <c r="E689" s="2"/>
      <c r="F689" s="65"/>
      <c r="G689" s="2"/>
      <c r="H689" s="2"/>
      <c r="I689" s="2"/>
      <c r="J689" s="2"/>
      <c r="K689" s="2"/>
      <c r="L689" s="2"/>
      <c r="M689" s="285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85"/>
      <c r="B690" s="2"/>
      <c r="C690" s="2"/>
      <c r="D690" s="65"/>
      <c r="E690" s="2"/>
      <c r="F690" s="65"/>
      <c r="G690" s="2"/>
      <c r="H690" s="2"/>
      <c r="I690" s="2"/>
      <c r="J690" s="2"/>
      <c r="K690" s="2"/>
      <c r="L690" s="2"/>
      <c r="M690" s="285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85"/>
      <c r="B691" s="2"/>
      <c r="C691" s="2"/>
      <c r="D691" s="65"/>
      <c r="E691" s="2"/>
      <c r="F691" s="65"/>
      <c r="G691" s="2"/>
      <c r="H691" s="2"/>
      <c r="I691" s="2"/>
      <c r="J691" s="2"/>
      <c r="K691" s="2"/>
      <c r="L691" s="2"/>
      <c r="M691" s="285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85"/>
      <c r="B692" s="2"/>
      <c r="C692" s="2"/>
      <c r="D692" s="65"/>
      <c r="E692" s="2"/>
      <c r="F692" s="65"/>
      <c r="G692" s="2"/>
      <c r="H692" s="2"/>
      <c r="I692" s="2"/>
      <c r="J692" s="2"/>
      <c r="K692" s="2"/>
      <c r="L692" s="2"/>
      <c r="M692" s="285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85"/>
      <c r="B693" s="2"/>
      <c r="C693" s="2"/>
      <c r="D693" s="65"/>
      <c r="E693" s="2"/>
      <c r="F693" s="65"/>
      <c r="G693" s="2"/>
      <c r="H693" s="2"/>
      <c r="I693" s="2"/>
      <c r="J693" s="2"/>
      <c r="K693" s="2"/>
      <c r="L693" s="2"/>
      <c r="M693" s="285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85"/>
      <c r="B694" s="2"/>
      <c r="C694" s="2"/>
      <c r="D694" s="65"/>
      <c r="E694" s="2"/>
      <c r="F694" s="65"/>
      <c r="G694" s="2"/>
      <c r="H694" s="2"/>
      <c r="I694" s="2"/>
      <c r="J694" s="2"/>
      <c r="K694" s="2"/>
      <c r="L694" s="2"/>
      <c r="M694" s="285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85"/>
      <c r="B695" s="2"/>
      <c r="C695" s="2"/>
      <c r="D695" s="65"/>
      <c r="E695" s="2"/>
      <c r="F695" s="65"/>
      <c r="G695" s="2"/>
      <c r="H695" s="2"/>
      <c r="I695" s="2"/>
      <c r="J695" s="2"/>
      <c r="K695" s="2"/>
      <c r="L695" s="2"/>
      <c r="M695" s="285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85"/>
      <c r="B696" s="2"/>
      <c r="C696" s="2"/>
      <c r="D696" s="65"/>
      <c r="E696" s="2"/>
      <c r="F696" s="65"/>
      <c r="G696" s="2"/>
      <c r="H696" s="2"/>
      <c r="I696" s="2"/>
      <c r="J696" s="2"/>
      <c r="K696" s="2"/>
      <c r="L696" s="2"/>
      <c r="M696" s="285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85"/>
      <c r="B697" s="2"/>
      <c r="C697" s="2"/>
      <c r="D697" s="65"/>
      <c r="E697" s="2"/>
      <c r="F697" s="65"/>
      <c r="G697" s="2"/>
      <c r="H697" s="2"/>
      <c r="I697" s="2"/>
      <c r="J697" s="2"/>
      <c r="K697" s="2"/>
      <c r="L697" s="2"/>
      <c r="M697" s="285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85"/>
      <c r="B698" s="2"/>
      <c r="C698" s="2"/>
      <c r="D698" s="65"/>
      <c r="E698" s="2"/>
      <c r="F698" s="65"/>
      <c r="G698" s="2"/>
      <c r="H698" s="2"/>
      <c r="I698" s="2"/>
      <c r="J698" s="2"/>
      <c r="K698" s="2"/>
      <c r="L698" s="2"/>
      <c r="M698" s="285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85"/>
      <c r="B699" s="2"/>
      <c r="C699" s="2"/>
      <c r="D699" s="65"/>
      <c r="E699" s="2"/>
      <c r="F699" s="65"/>
      <c r="G699" s="2"/>
      <c r="H699" s="2"/>
      <c r="I699" s="2"/>
      <c r="J699" s="2"/>
      <c r="K699" s="2"/>
      <c r="L699" s="2"/>
      <c r="M699" s="285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85"/>
      <c r="B700" s="2"/>
      <c r="C700" s="2"/>
      <c r="D700" s="65"/>
      <c r="E700" s="2"/>
      <c r="F700" s="65"/>
      <c r="G700" s="2"/>
      <c r="H700" s="2"/>
      <c r="I700" s="2"/>
      <c r="J700" s="2"/>
      <c r="K700" s="2"/>
      <c r="L700" s="2"/>
      <c r="M700" s="285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85"/>
      <c r="B701" s="2"/>
      <c r="C701" s="2"/>
      <c r="D701" s="65"/>
      <c r="E701" s="2"/>
      <c r="F701" s="65"/>
      <c r="G701" s="2"/>
      <c r="H701" s="2"/>
      <c r="I701" s="2"/>
      <c r="J701" s="2"/>
      <c r="K701" s="2"/>
      <c r="L701" s="2"/>
      <c r="M701" s="285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85"/>
      <c r="B702" s="2"/>
      <c r="C702" s="2"/>
      <c r="D702" s="65"/>
      <c r="E702" s="2"/>
      <c r="F702" s="65"/>
      <c r="G702" s="2"/>
      <c r="H702" s="2"/>
      <c r="I702" s="2"/>
      <c r="J702" s="2"/>
      <c r="K702" s="2"/>
      <c r="L702" s="2"/>
      <c r="M702" s="285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85"/>
      <c r="B703" s="2"/>
      <c r="C703" s="2"/>
      <c r="D703" s="65"/>
      <c r="E703" s="2"/>
      <c r="F703" s="65"/>
      <c r="G703" s="2"/>
      <c r="H703" s="2"/>
      <c r="I703" s="2"/>
      <c r="J703" s="2"/>
      <c r="K703" s="2"/>
      <c r="L703" s="2"/>
      <c r="M703" s="285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85"/>
      <c r="B704" s="2"/>
      <c r="C704" s="2"/>
      <c r="D704" s="65"/>
      <c r="E704" s="2"/>
      <c r="F704" s="65"/>
      <c r="G704" s="2"/>
      <c r="H704" s="2"/>
      <c r="I704" s="2"/>
      <c r="J704" s="2"/>
      <c r="K704" s="2"/>
      <c r="L704" s="2"/>
      <c r="M704" s="285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85"/>
      <c r="B705" s="2"/>
      <c r="C705" s="2"/>
      <c r="D705" s="65"/>
      <c r="E705" s="2"/>
      <c r="F705" s="65"/>
      <c r="G705" s="2"/>
      <c r="H705" s="2"/>
      <c r="I705" s="2"/>
      <c r="J705" s="2"/>
      <c r="K705" s="2"/>
      <c r="L705" s="2"/>
      <c r="M705" s="285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85"/>
      <c r="B706" s="2"/>
      <c r="C706" s="2"/>
      <c r="D706" s="65"/>
      <c r="E706" s="2"/>
      <c r="F706" s="65"/>
      <c r="G706" s="2"/>
      <c r="H706" s="2"/>
      <c r="I706" s="2"/>
      <c r="J706" s="2"/>
      <c r="K706" s="2"/>
      <c r="L706" s="2"/>
      <c r="M706" s="285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85"/>
      <c r="B707" s="2"/>
      <c r="C707" s="2"/>
      <c r="D707" s="65"/>
      <c r="E707" s="2"/>
      <c r="F707" s="65"/>
      <c r="G707" s="2"/>
      <c r="H707" s="2"/>
      <c r="I707" s="2"/>
      <c r="J707" s="2"/>
      <c r="K707" s="2"/>
      <c r="L707" s="2"/>
      <c r="M707" s="285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85"/>
      <c r="B708" s="2"/>
      <c r="C708" s="2"/>
      <c r="D708" s="65"/>
      <c r="E708" s="2"/>
      <c r="F708" s="65"/>
      <c r="G708" s="2"/>
      <c r="H708" s="2"/>
      <c r="I708" s="2"/>
      <c r="J708" s="2"/>
      <c r="K708" s="2"/>
      <c r="L708" s="2"/>
      <c r="M708" s="285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85"/>
      <c r="B709" s="2"/>
      <c r="C709" s="2"/>
      <c r="D709" s="65"/>
      <c r="E709" s="2"/>
      <c r="F709" s="65"/>
      <c r="G709" s="2"/>
      <c r="H709" s="2"/>
      <c r="I709" s="2"/>
      <c r="J709" s="2"/>
      <c r="K709" s="2"/>
      <c r="L709" s="2"/>
      <c r="M709" s="285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85"/>
      <c r="B710" s="2"/>
      <c r="C710" s="2"/>
      <c r="D710" s="65"/>
      <c r="E710" s="2"/>
      <c r="F710" s="65"/>
      <c r="G710" s="2"/>
      <c r="H710" s="2"/>
      <c r="I710" s="2"/>
      <c r="J710" s="2"/>
      <c r="K710" s="2"/>
      <c r="L710" s="2"/>
      <c r="M710" s="285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85"/>
      <c r="B711" s="2"/>
      <c r="C711" s="2"/>
      <c r="D711" s="65"/>
      <c r="E711" s="2"/>
      <c r="F711" s="65"/>
      <c r="G711" s="2"/>
      <c r="H711" s="2"/>
      <c r="I711" s="2"/>
      <c r="J711" s="2"/>
      <c r="K711" s="2"/>
      <c r="L711" s="2"/>
      <c r="M711" s="285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85"/>
      <c r="B712" s="2"/>
      <c r="C712" s="2"/>
      <c r="D712" s="65"/>
      <c r="E712" s="2"/>
      <c r="F712" s="65"/>
      <c r="G712" s="2"/>
      <c r="H712" s="2"/>
      <c r="I712" s="2"/>
      <c r="J712" s="2"/>
      <c r="K712" s="2"/>
      <c r="L712" s="2"/>
      <c r="M712" s="285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85"/>
      <c r="B713" s="2"/>
      <c r="C713" s="2"/>
      <c r="D713" s="65"/>
      <c r="E713" s="2"/>
      <c r="F713" s="65"/>
      <c r="G713" s="2"/>
      <c r="H713" s="2"/>
      <c r="I713" s="2"/>
      <c r="J713" s="2"/>
      <c r="K713" s="2"/>
      <c r="L713" s="2"/>
      <c r="M713" s="285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85"/>
      <c r="B714" s="2"/>
      <c r="C714" s="2"/>
      <c r="D714" s="65"/>
      <c r="E714" s="2"/>
      <c r="F714" s="65"/>
      <c r="G714" s="2"/>
      <c r="H714" s="2"/>
      <c r="I714" s="2"/>
      <c r="J714" s="2"/>
      <c r="K714" s="2"/>
      <c r="L714" s="2"/>
      <c r="M714" s="285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85"/>
      <c r="B715" s="2"/>
      <c r="C715" s="2"/>
      <c r="D715" s="65"/>
      <c r="E715" s="2"/>
      <c r="F715" s="65"/>
      <c r="G715" s="2"/>
      <c r="H715" s="2"/>
      <c r="I715" s="2"/>
      <c r="J715" s="2"/>
      <c r="K715" s="2"/>
      <c r="L715" s="2"/>
      <c r="M715" s="285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85"/>
      <c r="B716" s="2"/>
      <c r="C716" s="2"/>
      <c r="D716" s="65"/>
      <c r="E716" s="2"/>
      <c r="F716" s="65"/>
      <c r="G716" s="2"/>
      <c r="H716" s="2"/>
      <c r="I716" s="2"/>
      <c r="J716" s="2"/>
      <c r="K716" s="2"/>
      <c r="L716" s="2"/>
      <c r="M716" s="285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85"/>
      <c r="B717" s="2"/>
      <c r="C717" s="2"/>
      <c r="D717" s="65"/>
      <c r="E717" s="2"/>
      <c r="F717" s="65"/>
      <c r="G717" s="2"/>
      <c r="H717" s="2"/>
      <c r="I717" s="2"/>
      <c r="J717" s="2"/>
      <c r="K717" s="2"/>
      <c r="L717" s="2"/>
      <c r="M717" s="285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85"/>
      <c r="B718" s="2"/>
      <c r="C718" s="2"/>
      <c r="D718" s="65"/>
      <c r="E718" s="2"/>
      <c r="F718" s="65"/>
      <c r="G718" s="2"/>
      <c r="H718" s="2"/>
      <c r="I718" s="2"/>
      <c r="J718" s="2"/>
      <c r="K718" s="2"/>
      <c r="L718" s="2"/>
      <c r="M718" s="285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85"/>
      <c r="B719" s="2"/>
      <c r="C719" s="2"/>
      <c r="D719" s="65"/>
      <c r="E719" s="2"/>
      <c r="F719" s="65"/>
      <c r="G719" s="2"/>
      <c r="H719" s="2"/>
      <c r="I719" s="2"/>
      <c r="J719" s="2"/>
      <c r="K719" s="2"/>
      <c r="L719" s="2"/>
      <c r="M719" s="285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85"/>
      <c r="B720" s="2"/>
      <c r="C720" s="2"/>
      <c r="D720" s="65"/>
      <c r="E720" s="2"/>
      <c r="F720" s="65"/>
      <c r="G720" s="2"/>
      <c r="H720" s="2"/>
      <c r="I720" s="2"/>
      <c r="J720" s="2"/>
      <c r="K720" s="2"/>
      <c r="L720" s="2"/>
      <c r="M720" s="285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85"/>
      <c r="B721" s="2"/>
      <c r="C721" s="2"/>
      <c r="D721" s="65"/>
      <c r="E721" s="2"/>
      <c r="F721" s="65"/>
      <c r="G721" s="2"/>
      <c r="H721" s="2"/>
      <c r="I721" s="2"/>
      <c r="J721" s="2"/>
      <c r="K721" s="2"/>
      <c r="L721" s="2"/>
      <c r="M721" s="285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85"/>
      <c r="B722" s="2"/>
      <c r="C722" s="2"/>
      <c r="D722" s="65"/>
      <c r="E722" s="2"/>
      <c r="F722" s="65"/>
      <c r="G722" s="2"/>
      <c r="H722" s="2"/>
      <c r="I722" s="2"/>
      <c r="J722" s="2"/>
      <c r="K722" s="2"/>
      <c r="L722" s="2"/>
      <c r="M722" s="285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85"/>
      <c r="B723" s="2"/>
      <c r="C723" s="2"/>
      <c r="D723" s="65"/>
      <c r="E723" s="2"/>
      <c r="F723" s="65"/>
      <c r="G723" s="2"/>
      <c r="H723" s="2"/>
      <c r="I723" s="2"/>
      <c r="J723" s="2"/>
      <c r="K723" s="2"/>
      <c r="L723" s="2"/>
      <c r="M723" s="285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85"/>
      <c r="B724" s="2"/>
      <c r="C724" s="2"/>
      <c r="D724" s="65"/>
      <c r="E724" s="2"/>
      <c r="F724" s="65"/>
      <c r="G724" s="2"/>
      <c r="H724" s="2"/>
      <c r="I724" s="2"/>
      <c r="J724" s="2"/>
      <c r="K724" s="2"/>
      <c r="L724" s="2"/>
      <c r="M724" s="285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85"/>
      <c r="B725" s="2"/>
      <c r="C725" s="2"/>
      <c r="D725" s="65"/>
      <c r="E725" s="2"/>
      <c r="F725" s="65"/>
      <c r="G725" s="2"/>
      <c r="H725" s="2"/>
      <c r="I725" s="2"/>
      <c r="J725" s="2"/>
      <c r="K725" s="2"/>
      <c r="L725" s="2"/>
      <c r="M725" s="285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85"/>
      <c r="B726" s="2"/>
      <c r="C726" s="2"/>
      <c r="D726" s="65"/>
      <c r="E726" s="2"/>
      <c r="F726" s="65"/>
      <c r="G726" s="2"/>
      <c r="H726" s="2"/>
      <c r="I726" s="2"/>
      <c r="J726" s="2"/>
      <c r="K726" s="2"/>
      <c r="L726" s="2"/>
      <c r="M726" s="285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85"/>
      <c r="B727" s="2"/>
      <c r="C727" s="2"/>
      <c r="D727" s="65"/>
      <c r="E727" s="2"/>
      <c r="F727" s="65"/>
      <c r="G727" s="2"/>
      <c r="H727" s="2"/>
      <c r="I727" s="2"/>
      <c r="J727" s="2"/>
      <c r="K727" s="2"/>
      <c r="L727" s="2"/>
      <c r="M727" s="285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85"/>
      <c r="B728" s="2"/>
      <c r="C728" s="2"/>
      <c r="D728" s="65"/>
      <c r="E728" s="2"/>
      <c r="F728" s="65"/>
      <c r="G728" s="2"/>
      <c r="H728" s="2"/>
      <c r="I728" s="2"/>
      <c r="J728" s="2"/>
      <c r="K728" s="2"/>
      <c r="L728" s="2"/>
      <c r="M728" s="285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85"/>
      <c r="B729" s="2"/>
      <c r="C729" s="2"/>
      <c r="D729" s="65"/>
      <c r="E729" s="2"/>
      <c r="F729" s="65"/>
      <c r="G729" s="2"/>
      <c r="H729" s="2"/>
      <c r="I729" s="2"/>
      <c r="J729" s="2"/>
      <c r="K729" s="2"/>
      <c r="L729" s="2"/>
      <c r="M729" s="285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85"/>
      <c r="B730" s="2"/>
      <c r="C730" s="2"/>
      <c r="D730" s="65"/>
      <c r="E730" s="2"/>
      <c r="F730" s="65"/>
      <c r="G730" s="2"/>
      <c r="H730" s="2"/>
      <c r="I730" s="2"/>
      <c r="J730" s="2"/>
      <c r="K730" s="2"/>
      <c r="L730" s="2"/>
      <c r="M730" s="285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85"/>
      <c r="B731" s="2"/>
      <c r="C731" s="2"/>
      <c r="D731" s="65"/>
      <c r="E731" s="2"/>
      <c r="F731" s="65"/>
      <c r="G731" s="2"/>
      <c r="H731" s="2"/>
      <c r="I731" s="2"/>
      <c r="J731" s="2"/>
      <c r="K731" s="2"/>
      <c r="L731" s="2"/>
      <c r="M731" s="285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85"/>
      <c r="B732" s="2"/>
      <c r="C732" s="2"/>
      <c r="D732" s="65"/>
      <c r="E732" s="2"/>
      <c r="F732" s="65"/>
      <c r="G732" s="2"/>
      <c r="H732" s="2"/>
      <c r="I732" s="2"/>
      <c r="J732" s="2"/>
      <c r="K732" s="2"/>
      <c r="L732" s="2"/>
      <c r="M732" s="285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85"/>
      <c r="B733" s="2"/>
      <c r="C733" s="2"/>
      <c r="D733" s="65"/>
      <c r="E733" s="2"/>
      <c r="F733" s="65"/>
      <c r="G733" s="2"/>
      <c r="H733" s="2"/>
      <c r="I733" s="2"/>
      <c r="J733" s="2"/>
      <c r="K733" s="2"/>
      <c r="L733" s="2"/>
      <c r="M733" s="285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85"/>
      <c r="B734" s="2"/>
      <c r="C734" s="2"/>
      <c r="D734" s="65"/>
      <c r="E734" s="2"/>
      <c r="F734" s="65"/>
      <c r="G734" s="2"/>
      <c r="H734" s="2"/>
      <c r="I734" s="2"/>
      <c r="J734" s="2"/>
      <c r="K734" s="2"/>
      <c r="L734" s="2"/>
      <c r="M734" s="285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85"/>
      <c r="B735" s="2"/>
      <c r="C735" s="2"/>
      <c r="D735" s="65"/>
      <c r="E735" s="2"/>
      <c r="F735" s="65"/>
      <c r="G735" s="2"/>
      <c r="H735" s="2"/>
      <c r="I735" s="2"/>
      <c r="J735" s="2"/>
      <c r="K735" s="2"/>
      <c r="L735" s="2"/>
      <c r="M735" s="285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85"/>
      <c r="B736" s="2"/>
      <c r="C736" s="2"/>
      <c r="D736" s="65"/>
      <c r="E736" s="2"/>
      <c r="F736" s="65"/>
      <c r="G736" s="2"/>
      <c r="H736" s="2"/>
      <c r="I736" s="2"/>
      <c r="J736" s="2"/>
      <c r="K736" s="2"/>
      <c r="L736" s="2"/>
      <c r="M736" s="285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85"/>
      <c r="B737" s="2"/>
      <c r="C737" s="2"/>
      <c r="D737" s="65"/>
      <c r="E737" s="2"/>
      <c r="F737" s="65"/>
      <c r="G737" s="2"/>
      <c r="H737" s="2"/>
      <c r="I737" s="2"/>
      <c r="J737" s="2"/>
      <c r="K737" s="2"/>
      <c r="L737" s="2"/>
      <c r="M737" s="285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85"/>
      <c r="B738" s="2"/>
      <c r="C738" s="2"/>
      <c r="D738" s="65"/>
      <c r="E738" s="2"/>
      <c r="F738" s="65"/>
      <c r="G738" s="2"/>
      <c r="H738" s="2"/>
      <c r="I738" s="2"/>
      <c r="J738" s="2"/>
      <c r="K738" s="2"/>
      <c r="L738" s="2"/>
      <c r="M738" s="285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85"/>
      <c r="B739" s="2"/>
      <c r="C739" s="2"/>
      <c r="D739" s="65"/>
      <c r="E739" s="2"/>
      <c r="F739" s="65"/>
      <c r="G739" s="2"/>
      <c r="H739" s="2"/>
      <c r="I739" s="2"/>
      <c r="J739" s="2"/>
      <c r="K739" s="2"/>
      <c r="L739" s="2"/>
      <c r="M739" s="285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85"/>
      <c r="B740" s="2"/>
      <c r="C740" s="2"/>
      <c r="D740" s="65"/>
      <c r="E740" s="2"/>
      <c r="F740" s="65"/>
      <c r="G740" s="2"/>
      <c r="H740" s="2"/>
      <c r="I740" s="2"/>
      <c r="J740" s="2"/>
      <c r="K740" s="2"/>
      <c r="L740" s="2"/>
      <c r="M740" s="285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85"/>
      <c r="B741" s="2"/>
      <c r="C741" s="2"/>
      <c r="D741" s="65"/>
      <c r="E741" s="2"/>
      <c r="F741" s="65"/>
      <c r="G741" s="2"/>
      <c r="H741" s="2"/>
      <c r="I741" s="2"/>
      <c r="J741" s="2"/>
      <c r="K741" s="2"/>
      <c r="L741" s="2"/>
      <c r="M741" s="285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85"/>
      <c r="B742" s="2"/>
      <c r="C742" s="2"/>
      <c r="D742" s="65"/>
      <c r="E742" s="2"/>
      <c r="F742" s="65"/>
      <c r="G742" s="2"/>
      <c r="H742" s="2"/>
      <c r="I742" s="2"/>
      <c r="J742" s="2"/>
      <c r="K742" s="2"/>
      <c r="L742" s="2"/>
      <c r="M742" s="285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85"/>
      <c r="B743" s="2"/>
      <c r="C743" s="2"/>
      <c r="D743" s="65"/>
      <c r="E743" s="2"/>
      <c r="F743" s="65"/>
      <c r="G743" s="2"/>
      <c r="H743" s="2"/>
      <c r="I743" s="2"/>
      <c r="J743" s="2"/>
      <c r="K743" s="2"/>
      <c r="L743" s="2"/>
      <c r="M743" s="285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85"/>
      <c r="B744" s="2"/>
      <c r="C744" s="2"/>
      <c r="D744" s="65"/>
      <c r="E744" s="2"/>
      <c r="F744" s="65"/>
      <c r="G744" s="2"/>
      <c r="H744" s="2"/>
      <c r="I744" s="2"/>
      <c r="J744" s="2"/>
      <c r="K744" s="2"/>
      <c r="L744" s="2"/>
      <c r="M744" s="285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85"/>
      <c r="B745" s="2"/>
      <c r="C745" s="2"/>
      <c r="D745" s="65"/>
      <c r="E745" s="2"/>
      <c r="F745" s="65"/>
      <c r="G745" s="2"/>
      <c r="H745" s="2"/>
      <c r="I745" s="2"/>
      <c r="J745" s="2"/>
      <c r="K745" s="2"/>
      <c r="L745" s="2"/>
      <c r="M745" s="285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85"/>
      <c r="B746" s="2"/>
      <c r="C746" s="2"/>
      <c r="D746" s="65"/>
      <c r="E746" s="2"/>
      <c r="F746" s="65"/>
      <c r="G746" s="2"/>
      <c r="H746" s="2"/>
      <c r="I746" s="2"/>
      <c r="J746" s="2"/>
      <c r="K746" s="2"/>
      <c r="L746" s="2"/>
      <c r="M746" s="285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85"/>
      <c r="B747" s="2"/>
      <c r="C747" s="2"/>
      <c r="D747" s="65"/>
      <c r="E747" s="2"/>
      <c r="F747" s="65"/>
      <c r="G747" s="2"/>
      <c r="H747" s="2"/>
      <c r="I747" s="2"/>
      <c r="J747" s="2"/>
      <c r="K747" s="2"/>
      <c r="L747" s="2"/>
      <c r="M747" s="285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85"/>
      <c r="B748" s="2"/>
      <c r="C748" s="2"/>
      <c r="D748" s="65"/>
      <c r="E748" s="2"/>
      <c r="F748" s="65"/>
      <c r="G748" s="2"/>
      <c r="H748" s="2"/>
      <c r="I748" s="2"/>
      <c r="J748" s="2"/>
      <c r="K748" s="2"/>
      <c r="L748" s="2"/>
      <c r="M748" s="285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85"/>
      <c r="B749" s="2"/>
      <c r="C749" s="2"/>
      <c r="D749" s="65"/>
      <c r="E749" s="2"/>
      <c r="F749" s="65"/>
      <c r="G749" s="2"/>
      <c r="H749" s="2"/>
      <c r="I749" s="2"/>
      <c r="J749" s="2"/>
      <c r="K749" s="2"/>
      <c r="L749" s="2"/>
      <c r="M749" s="285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85"/>
      <c r="B750" s="2"/>
      <c r="C750" s="2"/>
      <c r="D750" s="65"/>
      <c r="E750" s="2"/>
      <c r="F750" s="65"/>
      <c r="G750" s="2"/>
      <c r="H750" s="2"/>
      <c r="I750" s="2"/>
      <c r="J750" s="2"/>
      <c r="K750" s="2"/>
      <c r="L750" s="2"/>
      <c r="M750" s="285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85"/>
      <c r="B751" s="2"/>
      <c r="C751" s="2"/>
      <c r="D751" s="65"/>
      <c r="E751" s="2"/>
      <c r="F751" s="65"/>
      <c r="G751" s="2"/>
      <c r="H751" s="2"/>
      <c r="I751" s="2"/>
      <c r="J751" s="2"/>
      <c r="K751" s="2"/>
      <c r="L751" s="2"/>
      <c r="M751" s="285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85"/>
      <c r="B752" s="2"/>
      <c r="C752" s="2"/>
      <c r="D752" s="65"/>
      <c r="E752" s="2"/>
      <c r="F752" s="65"/>
      <c r="G752" s="2"/>
      <c r="H752" s="2"/>
      <c r="I752" s="2"/>
      <c r="J752" s="2"/>
      <c r="K752" s="2"/>
      <c r="L752" s="2"/>
      <c r="M752" s="285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85"/>
      <c r="B753" s="2"/>
      <c r="C753" s="2"/>
      <c r="D753" s="65"/>
      <c r="E753" s="2"/>
      <c r="F753" s="65"/>
      <c r="G753" s="2"/>
      <c r="H753" s="2"/>
      <c r="I753" s="2"/>
      <c r="J753" s="2"/>
      <c r="K753" s="2"/>
      <c r="L753" s="2"/>
      <c r="M753" s="285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85"/>
      <c r="B754" s="2"/>
      <c r="C754" s="2"/>
      <c r="D754" s="65"/>
      <c r="E754" s="2"/>
      <c r="F754" s="65"/>
      <c r="G754" s="2"/>
      <c r="H754" s="2"/>
      <c r="I754" s="2"/>
      <c r="J754" s="2"/>
      <c r="K754" s="2"/>
      <c r="L754" s="2"/>
      <c r="M754" s="285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85"/>
      <c r="B755" s="2"/>
      <c r="C755" s="2"/>
      <c r="D755" s="65"/>
      <c r="E755" s="2"/>
      <c r="F755" s="65"/>
      <c r="G755" s="2"/>
      <c r="H755" s="2"/>
      <c r="I755" s="2"/>
      <c r="J755" s="2"/>
      <c r="K755" s="2"/>
      <c r="L755" s="2"/>
      <c r="M755" s="285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85"/>
      <c r="B756" s="2"/>
      <c r="C756" s="2"/>
      <c r="D756" s="65"/>
      <c r="E756" s="2"/>
      <c r="F756" s="65"/>
      <c r="G756" s="2"/>
      <c r="H756" s="2"/>
      <c r="I756" s="2"/>
      <c r="J756" s="2"/>
      <c r="K756" s="2"/>
      <c r="L756" s="2"/>
      <c r="M756" s="285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85"/>
      <c r="B757" s="2"/>
      <c r="C757" s="2"/>
      <c r="D757" s="65"/>
      <c r="E757" s="2"/>
      <c r="F757" s="65"/>
      <c r="G757" s="2"/>
      <c r="H757" s="2"/>
      <c r="I757" s="2"/>
      <c r="J757" s="2"/>
      <c r="K757" s="2"/>
      <c r="L757" s="2"/>
      <c r="M757" s="285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85"/>
      <c r="B758" s="2"/>
      <c r="C758" s="2"/>
      <c r="D758" s="65"/>
      <c r="E758" s="2"/>
      <c r="F758" s="65"/>
      <c r="G758" s="2"/>
      <c r="H758" s="2"/>
      <c r="I758" s="2"/>
      <c r="J758" s="2"/>
      <c r="K758" s="2"/>
      <c r="L758" s="2"/>
      <c r="M758" s="285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85"/>
      <c r="B759" s="2"/>
      <c r="C759" s="2"/>
      <c r="D759" s="65"/>
      <c r="E759" s="2"/>
      <c r="F759" s="65"/>
      <c r="G759" s="2"/>
      <c r="H759" s="2"/>
      <c r="I759" s="2"/>
      <c r="J759" s="2"/>
      <c r="K759" s="2"/>
      <c r="L759" s="2"/>
      <c r="M759" s="285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85"/>
      <c r="B760" s="2"/>
      <c r="C760" s="2"/>
      <c r="D760" s="65"/>
      <c r="E760" s="2"/>
      <c r="F760" s="65"/>
      <c r="G760" s="2"/>
      <c r="H760" s="2"/>
      <c r="I760" s="2"/>
      <c r="J760" s="2"/>
      <c r="K760" s="2"/>
      <c r="L760" s="2"/>
      <c r="M760" s="285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85"/>
      <c r="B761" s="2"/>
      <c r="C761" s="2"/>
      <c r="D761" s="65"/>
      <c r="E761" s="2"/>
      <c r="F761" s="65"/>
      <c r="G761" s="2"/>
      <c r="H761" s="2"/>
      <c r="I761" s="2"/>
      <c r="J761" s="2"/>
      <c r="K761" s="2"/>
      <c r="L761" s="2"/>
      <c r="M761" s="285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85"/>
      <c r="B762" s="2"/>
      <c r="C762" s="2"/>
      <c r="D762" s="65"/>
      <c r="E762" s="2"/>
      <c r="F762" s="65"/>
      <c r="G762" s="2"/>
      <c r="H762" s="2"/>
      <c r="I762" s="2"/>
      <c r="J762" s="2"/>
      <c r="K762" s="2"/>
      <c r="L762" s="2"/>
      <c r="M762" s="285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85"/>
      <c r="B763" s="2"/>
      <c r="C763" s="2"/>
      <c r="D763" s="65"/>
      <c r="E763" s="2"/>
      <c r="F763" s="65"/>
      <c r="G763" s="2"/>
      <c r="H763" s="2"/>
      <c r="I763" s="2"/>
      <c r="J763" s="2"/>
      <c r="K763" s="2"/>
      <c r="L763" s="2"/>
      <c r="M763" s="285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85"/>
      <c r="B764" s="2"/>
      <c r="C764" s="2"/>
      <c r="D764" s="65"/>
      <c r="E764" s="2"/>
      <c r="F764" s="65"/>
      <c r="G764" s="2"/>
      <c r="H764" s="2"/>
      <c r="I764" s="2"/>
      <c r="J764" s="2"/>
      <c r="K764" s="2"/>
      <c r="L764" s="2"/>
      <c r="M764" s="285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85"/>
      <c r="B765" s="2"/>
      <c r="C765" s="2"/>
      <c r="D765" s="65"/>
      <c r="E765" s="2"/>
      <c r="F765" s="65"/>
      <c r="G765" s="2"/>
      <c r="H765" s="2"/>
      <c r="I765" s="2"/>
      <c r="J765" s="2"/>
      <c r="K765" s="2"/>
      <c r="L765" s="2"/>
      <c r="M765" s="285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85"/>
      <c r="B766" s="2"/>
      <c r="C766" s="2"/>
      <c r="D766" s="65"/>
      <c r="E766" s="2"/>
      <c r="F766" s="65"/>
      <c r="G766" s="2"/>
      <c r="H766" s="2"/>
      <c r="I766" s="2"/>
      <c r="J766" s="2"/>
      <c r="K766" s="2"/>
      <c r="L766" s="2"/>
      <c r="M766" s="285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85"/>
      <c r="B767" s="2"/>
      <c r="C767" s="2"/>
      <c r="D767" s="65"/>
      <c r="E767" s="2"/>
      <c r="F767" s="65"/>
      <c r="G767" s="2"/>
      <c r="H767" s="2"/>
      <c r="I767" s="2"/>
      <c r="J767" s="2"/>
      <c r="K767" s="2"/>
      <c r="L767" s="2"/>
      <c r="M767" s="285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85"/>
      <c r="B768" s="2"/>
      <c r="C768" s="2"/>
      <c r="D768" s="65"/>
      <c r="E768" s="2"/>
      <c r="F768" s="65"/>
      <c r="G768" s="2"/>
      <c r="H768" s="2"/>
      <c r="I768" s="2"/>
      <c r="J768" s="2"/>
      <c r="K768" s="2"/>
      <c r="L768" s="2"/>
      <c r="M768" s="285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85"/>
      <c r="B769" s="2"/>
      <c r="C769" s="2"/>
      <c r="D769" s="65"/>
      <c r="E769" s="2"/>
      <c r="F769" s="65"/>
      <c r="G769" s="2"/>
      <c r="H769" s="2"/>
      <c r="I769" s="2"/>
      <c r="J769" s="2"/>
      <c r="K769" s="2"/>
      <c r="L769" s="2"/>
      <c r="M769" s="285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85"/>
      <c r="B770" s="2"/>
      <c r="C770" s="2"/>
      <c r="D770" s="65"/>
      <c r="E770" s="2"/>
      <c r="F770" s="65"/>
      <c r="G770" s="2"/>
      <c r="H770" s="2"/>
      <c r="I770" s="2"/>
      <c r="J770" s="2"/>
      <c r="K770" s="2"/>
      <c r="L770" s="2"/>
      <c r="M770" s="285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85"/>
      <c r="B771" s="2"/>
      <c r="C771" s="2"/>
      <c r="D771" s="65"/>
      <c r="E771" s="2"/>
      <c r="F771" s="65"/>
      <c r="G771" s="2"/>
      <c r="H771" s="2"/>
      <c r="I771" s="2"/>
      <c r="J771" s="2"/>
      <c r="K771" s="2"/>
      <c r="L771" s="2"/>
      <c r="M771" s="285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85"/>
      <c r="B772" s="2"/>
      <c r="C772" s="2"/>
      <c r="D772" s="65"/>
      <c r="E772" s="2"/>
      <c r="F772" s="65"/>
      <c r="G772" s="2"/>
      <c r="H772" s="2"/>
      <c r="I772" s="2"/>
      <c r="J772" s="2"/>
      <c r="K772" s="2"/>
      <c r="L772" s="2"/>
      <c r="M772" s="285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85"/>
      <c r="B773" s="2"/>
      <c r="C773" s="2"/>
      <c r="D773" s="65"/>
      <c r="E773" s="2"/>
      <c r="F773" s="65"/>
      <c r="G773" s="2"/>
      <c r="H773" s="2"/>
      <c r="I773" s="2"/>
      <c r="J773" s="2"/>
      <c r="K773" s="2"/>
      <c r="L773" s="2"/>
      <c r="M773" s="285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85"/>
      <c r="B774" s="2"/>
      <c r="C774" s="2"/>
      <c r="D774" s="65"/>
      <c r="E774" s="2"/>
      <c r="F774" s="65"/>
      <c r="G774" s="2"/>
      <c r="H774" s="2"/>
      <c r="I774" s="2"/>
      <c r="J774" s="2"/>
      <c r="K774" s="2"/>
      <c r="L774" s="2"/>
      <c r="M774" s="285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85"/>
      <c r="B775" s="2"/>
      <c r="C775" s="2"/>
      <c r="D775" s="65"/>
      <c r="E775" s="2"/>
      <c r="F775" s="65"/>
      <c r="G775" s="2"/>
      <c r="H775" s="2"/>
      <c r="I775" s="2"/>
      <c r="J775" s="2"/>
      <c r="K775" s="2"/>
      <c r="L775" s="2"/>
      <c r="M775" s="285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85"/>
      <c r="B776" s="2"/>
      <c r="C776" s="2"/>
      <c r="D776" s="65"/>
      <c r="E776" s="2"/>
      <c r="F776" s="65"/>
      <c r="G776" s="2"/>
      <c r="H776" s="2"/>
      <c r="I776" s="2"/>
      <c r="J776" s="2"/>
      <c r="K776" s="2"/>
      <c r="L776" s="2"/>
      <c r="M776" s="285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85"/>
      <c r="B777" s="2"/>
      <c r="C777" s="2"/>
      <c r="D777" s="65"/>
      <c r="E777" s="2"/>
      <c r="F777" s="65"/>
      <c r="G777" s="2"/>
      <c r="H777" s="2"/>
      <c r="I777" s="2"/>
      <c r="J777" s="2"/>
      <c r="K777" s="2"/>
      <c r="L777" s="2"/>
      <c r="M777" s="285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85"/>
      <c r="B778" s="2"/>
      <c r="C778" s="2"/>
      <c r="D778" s="65"/>
      <c r="E778" s="2"/>
      <c r="F778" s="65"/>
      <c r="G778" s="2"/>
      <c r="H778" s="2"/>
      <c r="I778" s="2"/>
      <c r="J778" s="2"/>
      <c r="K778" s="2"/>
      <c r="L778" s="2"/>
      <c r="M778" s="285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85"/>
      <c r="B779" s="2"/>
      <c r="C779" s="2"/>
      <c r="D779" s="65"/>
      <c r="E779" s="2"/>
      <c r="F779" s="65"/>
      <c r="G779" s="2"/>
      <c r="H779" s="2"/>
      <c r="I779" s="2"/>
      <c r="J779" s="2"/>
      <c r="K779" s="2"/>
      <c r="L779" s="2"/>
      <c r="M779" s="285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85"/>
      <c r="B780" s="2"/>
      <c r="C780" s="2"/>
      <c r="D780" s="65"/>
      <c r="E780" s="2"/>
      <c r="F780" s="65"/>
      <c r="G780" s="2"/>
      <c r="H780" s="2"/>
      <c r="I780" s="2"/>
      <c r="J780" s="2"/>
      <c r="K780" s="2"/>
      <c r="L780" s="2"/>
      <c r="M780" s="285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85"/>
      <c r="B781" s="2"/>
      <c r="C781" s="2"/>
      <c r="D781" s="65"/>
      <c r="E781" s="2"/>
      <c r="F781" s="65"/>
      <c r="G781" s="2"/>
      <c r="H781" s="2"/>
      <c r="I781" s="2"/>
      <c r="J781" s="2"/>
      <c r="K781" s="2"/>
      <c r="L781" s="2"/>
      <c r="M781" s="285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85"/>
      <c r="B782" s="2"/>
      <c r="C782" s="2"/>
      <c r="D782" s="65"/>
      <c r="E782" s="2"/>
      <c r="F782" s="65"/>
      <c r="G782" s="2"/>
      <c r="H782" s="2"/>
      <c r="I782" s="2"/>
      <c r="J782" s="2"/>
      <c r="K782" s="2"/>
      <c r="L782" s="2"/>
      <c r="M782" s="285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85"/>
      <c r="B783" s="2"/>
      <c r="C783" s="2"/>
      <c r="D783" s="65"/>
      <c r="E783" s="2"/>
      <c r="F783" s="65"/>
      <c r="G783" s="2"/>
      <c r="H783" s="2"/>
      <c r="I783" s="2"/>
      <c r="J783" s="2"/>
      <c r="K783" s="2"/>
      <c r="L783" s="2"/>
      <c r="M783" s="285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85"/>
      <c r="B784" s="2"/>
      <c r="C784" s="2"/>
      <c r="D784" s="65"/>
      <c r="E784" s="2"/>
      <c r="F784" s="65"/>
      <c r="G784" s="2"/>
      <c r="H784" s="2"/>
      <c r="I784" s="2"/>
      <c r="J784" s="2"/>
      <c r="K784" s="2"/>
      <c r="L784" s="2"/>
      <c r="M784" s="285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85"/>
      <c r="B785" s="2"/>
      <c r="C785" s="2"/>
      <c r="D785" s="65"/>
      <c r="E785" s="2"/>
      <c r="F785" s="65"/>
      <c r="G785" s="2"/>
      <c r="H785" s="2"/>
      <c r="I785" s="2"/>
      <c r="J785" s="2"/>
      <c r="K785" s="2"/>
      <c r="L785" s="2"/>
      <c r="M785" s="285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85"/>
      <c r="B786" s="2"/>
      <c r="C786" s="2"/>
      <c r="D786" s="65"/>
      <c r="E786" s="2"/>
      <c r="F786" s="65"/>
      <c r="G786" s="2"/>
      <c r="H786" s="2"/>
      <c r="I786" s="2"/>
      <c r="J786" s="2"/>
      <c r="K786" s="2"/>
      <c r="L786" s="2"/>
      <c r="M786" s="285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85"/>
      <c r="B787" s="2"/>
      <c r="C787" s="2"/>
      <c r="D787" s="65"/>
      <c r="E787" s="2"/>
      <c r="F787" s="65"/>
      <c r="G787" s="2"/>
      <c r="H787" s="2"/>
      <c r="I787" s="2"/>
      <c r="J787" s="2"/>
      <c r="K787" s="2"/>
      <c r="L787" s="2"/>
      <c r="M787" s="285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85"/>
      <c r="B788" s="2"/>
      <c r="C788" s="2"/>
      <c r="D788" s="65"/>
      <c r="E788" s="2"/>
      <c r="F788" s="65"/>
      <c r="G788" s="2"/>
      <c r="H788" s="2"/>
      <c r="I788" s="2"/>
      <c r="J788" s="2"/>
      <c r="K788" s="2"/>
      <c r="L788" s="2"/>
      <c r="M788" s="285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85"/>
      <c r="B789" s="2"/>
      <c r="C789" s="2"/>
      <c r="D789" s="65"/>
      <c r="E789" s="2"/>
      <c r="F789" s="65"/>
      <c r="G789" s="2"/>
      <c r="H789" s="2"/>
      <c r="I789" s="2"/>
      <c r="J789" s="2"/>
      <c r="K789" s="2"/>
      <c r="L789" s="2"/>
      <c r="M789" s="285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85"/>
      <c r="B790" s="2"/>
      <c r="C790" s="2"/>
      <c r="D790" s="65"/>
      <c r="E790" s="2"/>
      <c r="F790" s="65"/>
      <c r="G790" s="2"/>
      <c r="H790" s="2"/>
      <c r="I790" s="2"/>
      <c r="J790" s="2"/>
      <c r="K790" s="2"/>
      <c r="L790" s="2"/>
      <c r="M790" s="285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85"/>
      <c r="B791" s="2"/>
      <c r="C791" s="2"/>
      <c r="D791" s="65"/>
      <c r="E791" s="2"/>
      <c r="F791" s="65"/>
      <c r="G791" s="2"/>
      <c r="H791" s="2"/>
      <c r="I791" s="2"/>
      <c r="J791" s="2"/>
      <c r="K791" s="2"/>
      <c r="L791" s="2"/>
      <c r="M791" s="285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85"/>
      <c r="B792" s="2"/>
      <c r="C792" s="2"/>
      <c r="D792" s="65"/>
      <c r="E792" s="2"/>
      <c r="F792" s="65"/>
      <c r="G792" s="2"/>
      <c r="H792" s="2"/>
      <c r="I792" s="2"/>
      <c r="J792" s="2"/>
      <c r="K792" s="2"/>
      <c r="L792" s="2"/>
      <c r="M792" s="285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85"/>
      <c r="B793" s="2"/>
      <c r="C793" s="2"/>
      <c r="D793" s="65"/>
      <c r="E793" s="2"/>
      <c r="F793" s="65"/>
      <c r="G793" s="2"/>
      <c r="H793" s="2"/>
      <c r="I793" s="2"/>
      <c r="J793" s="2"/>
      <c r="K793" s="2"/>
      <c r="L793" s="2"/>
      <c r="M793" s="285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85"/>
      <c r="B794" s="2"/>
      <c r="C794" s="2"/>
      <c r="D794" s="65"/>
      <c r="E794" s="2"/>
      <c r="F794" s="65"/>
      <c r="G794" s="2"/>
      <c r="H794" s="2"/>
      <c r="I794" s="2"/>
      <c r="J794" s="2"/>
      <c r="K794" s="2"/>
      <c r="L794" s="2"/>
      <c r="M794" s="285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85"/>
      <c r="B795" s="2"/>
      <c r="C795" s="2"/>
      <c r="D795" s="65"/>
      <c r="E795" s="2"/>
      <c r="F795" s="65"/>
      <c r="G795" s="2"/>
      <c r="H795" s="2"/>
      <c r="I795" s="2"/>
      <c r="J795" s="2"/>
      <c r="K795" s="2"/>
      <c r="L795" s="2"/>
      <c r="M795" s="285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85"/>
      <c r="B796" s="2"/>
      <c r="C796" s="2"/>
      <c r="D796" s="65"/>
      <c r="E796" s="2"/>
      <c r="F796" s="65"/>
      <c r="G796" s="2"/>
      <c r="H796" s="2"/>
      <c r="I796" s="2"/>
      <c r="J796" s="2"/>
      <c r="K796" s="2"/>
      <c r="L796" s="2"/>
      <c r="M796" s="285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85"/>
      <c r="B797" s="2"/>
      <c r="C797" s="2"/>
      <c r="D797" s="65"/>
      <c r="E797" s="2"/>
      <c r="F797" s="65"/>
      <c r="G797" s="2"/>
      <c r="H797" s="2"/>
      <c r="I797" s="2"/>
      <c r="J797" s="2"/>
      <c r="K797" s="2"/>
      <c r="L797" s="2"/>
      <c r="M797" s="285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85"/>
      <c r="B798" s="2"/>
      <c r="C798" s="2"/>
      <c r="D798" s="65"/>
      <c r="E798" s="2"/>
      <c r="F798" s="65"/>
      <c r="G798" s="2"/>
      <c r="H798" s="2"/>
      <c r="I798" s="2"/>
      <c r="J798" s="2"/>
      <c r="K798" s="2"/>
      <c r="L798" s="2"/>
      <c r="M798" s="285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85"/>
      <c r="B799" s="2"/>
      <c r="C799" s="2"/>
      <c r="D799" s="65"/>
      <c r="E799" s="2"/>
      <c r="F799" s="65"/>
      <c r="G799" s="2"/>
      <c r="H799" s="2"/>
      <c r="I799" s="2"/>
      <c r="J799" s="2"/>
      <c r="K799" s="2"/>
      <c r="L799" s="2"/>
      <c r="M799" s="285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85"/>
      <c r="B800" s="2"/>
      <c r="C800" s="2"/>
      <c r="D800" s="65"/>
      <c r="E800" s="2"/>
      <c r="F800" s="65"/>
      <c r="G800" s="2"/>
      <c r="H800" s="2"/>
      <c r="I800" s="2"/>
      <c r="J800" s="2"/>
      <c r="K800" s="2"/>
      <c r="L800" s="2"/>
      <c r="M800" s="285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85"/>
      <c r="B801" s="2"/>
      <c r="C801" s="2"/>
      <c r="D801" s="65"/>
      <c r="E801" s="2"/>
      <c r="F801" s="65"/>
      <c r="G801" s="2"/>
      <c r="H801" s="2"/>
      <c r="I801" s="2"/>
      <c r="J801" s="2"/>
      <c r="K801" s="2"/>
      <c r="L801" s="2"/>
      <c r="M801" s="285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85"/>
      <c r="B802" s="2"/>
      <c r="C802" s="2"/>
      <c r="D802" s="65"/>
      <c r="E802" s="2"/>
      <c r="F802" s="65"/>
      <c r="G802" s="2"/>
      <c r="H802" s="2"/>
      <c r="I802" s="2"/>
      <c r="J802" s="2"/>
      <c r="K802" s="2"/>
      <c r="L802" s="2"/>
      <c r="M802" s="285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85"/>
      <c r="B803" s="2"/>
      <c r="C803" s="2"/>
      <c r="D803" s="65"/>
      <c r="E803" s="2"/>
      <c r="F803" s="65"/>
      <c r="G803" s="2"/>
      <c r="H803" s="2"/>
      <c r="I803" s="2"/>
      <c r="J803" s="2"/>
      <c r="K803" s="2"/>
      <c r="L803" s="2"/>
      <c r="M803" s="285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85"/>
      <c r="B804" s="2"/>
      <c r="C804" s="2"/>
      <c r="D804" s="65"/>
      <c r="E804" s="2"/>
      <c r="F804" s="65"/>
      <c r="G804" s="2"/>
      <c r="H804" s="2"/>
      <c r="I804" s="2"/>
      <c r="J804" s="2"/>
      <c r="K804" s="2"/>
      <c r="L804" s="2"/>
      <c r="M804" s="285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85"/>
      <c r="B805" s="2"/>
      <c r="C805" s="2"/>
      <c r="D805" s="65"/>
      <c r="E805" s="2"/>
      <c r="F805" s="65"/>
      <c r="G805" s="2"/>
      <c r="H805" s="2"/>
      <c r="I805" s="2"/>
      <c r="J805" s="2"/>
      <c r="K805" s="2"/>
      <c r="L805" s="2"/>
      <c r="M805" s="285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85"/>
      <c r="B806" s="2"/>
      <c r="C806" s="2"/>
      <c r="D806" s="65"/>
      <c r="E806" s="2"/>
      <c r="F806" s="65"/>
      <c r="G806" s="2"/>
      <c r="H806" s="2"/>
      <c r="I806" s="2"/>
      <c r="J806" s="2"/>
      <c r="K806" s="2"/>
      <c r="L806" s="2"/>
      <c r="M806" s="285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85"/>
      <c r="B807" s="2"/>
      <c r="C807" s="2"/>
      <c r="D807" s="65"/>
      <c r="E807" s="2"/>
      <c r="F807" s="65"/>
      <c r="G807" s="2"/>
      <c r="H807" s="2"/>
      <c r="I807" s="2"/>
      <c r="J807" s="2"/>
      <c r="K807" s="2"/>
      <c r="L807" s="2"/>
      <c r="M807" s="285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85"/>
      <c r="B808" s="2"/>
      <c r="C808" s="2"/>
      <c r="D808" s="65"/>
      <c r="E808" s="2"/>
      <c r="F808" s="65"/>
      <c r="G808" s="2"/>
      <c r="H808" s="2"/>
      <c r="I808" s="2"/>
      <c r="J808" s="2"/>
      <c r="K808" s="2"/>
      <c r="L808" s="2"/>
      <c r="M808" s="285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85"/>
      <c r="B809" s="2"/>
      <c r="C809" s="2"/>
      <c r="D809" s="65"/>
      <c r="E809" s="2"/>
      <c r="F809" s="65"/>
      <c r="G809" s="2"/>
      <c r="H809" s="2"/>
      <c r="I809" s="2"/>
      <c r="J809" s="2"/>
      <c r="K809" s="2"/>
      <c r="L809" s="2"/>
      <c r="M809" s="285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85"/>
      <c r="B810" s="2"/>
      <c r="C810" s="2"/>
      <c r="D810" s="65"/>
      <c r="E810" s="2"/>
      <c r="F810" s="65"/>
      <c r="G810" s="2"/>
      <c r="H810" s="2"/>
      <c r="I810" s="2"/>
      <c r="J810" s="2"/>
      <c r="K810" s="2"/>
      <c r="L810" s="2"/>
      <c r="M810" s="285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85"/>
      <c r="B811" s="2"/>
      <c r="C811" s="2"/>
      <c r="D811" s="65"/>
      <c r="E811" s="2"/>
      <c r="F811" s="65"/>
      <c r="G811" s="2"/>
      <c r="H811" s="2"/>
      <c r="I811" s="2"/>
      <c r="J811" s="2"/>
      <c r="K811" s="2"/>
      <c r="L811" s="2"/>
      <c r="M811" s="285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85"/>
      <c r="B812" s="2"/>
      <c r="C812" s="2"/>
      <c r="D812" s="65"/>
      <c r="E812" s="2"/>
      <c r="F812" s="65"/>
      <c r="G812" s="2"/>
      <c r="H812" s="2"/>
      <c r="I812" s="2"/>
      <c r="J812" s="2"/>
      <c r="K812" s="2"/>
      <c r="L812" s="2"/>
      <c r="M812" s="285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85"/>
      <c r="B813" s="2"/>
      <c r="C813" s="2"/>
      <c r="D813" s="65"/>
      <c r="E813" s="2"/>
      <c r="F813" s="65"/>
      <c r="G813" s="2"/>
      <c r="H813" s="2"/>
      <c r="I813" s="2"/>
      <c r="J813" s="2"/>
      <c r="K813" s="2"/>
      <c r="L813" s="2"/>
      <c r="M813" s="285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85"/>
      <c r="B814" s="2"/>
      <c r="C814" s="2"/>
      <c r="D814" s="65"/>
      <c r="E814" s="2"/>
      <c r="F814" s="65"/>
      <c r="G814" s="2"/>
      <c r="H814" s="2"/>
      <c r="I814" s="2"/>
      <c r="J814" s="2"/>
      <c r="K814" s="2"/>
      <c r="L814" s="2"/>
      <c r="M814" s="285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85"/>
      <c r="B815" s="2"/>
      <c r="C815" s="2"/>
      <c r="D815" s="65"/>
      <c r="E815" s="2"/>
      <c r="F815" s="65"/>
      <c r="G815" s="2"/>
      <c r="H815" s="2"/>
      <c r="I815" s="2"/>
      <c r="J815" s="2"/>
      <c r="K815" s="2"/>
      <c r="L815" s="2"/>
      <c r="M815" s="285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85"/>
      <c r="B816" s="2"/>
      <c r="C816" s="2"/>
      <c r="D816" s="65"/>
      <c r="E816" s="2"/>
      <c r="F816" s="65"/>
      <c r="G816" s="2"/>
      <c r="H816" s="2"/>
      <c r="I816" s="2"/>
      <c r="J816" s="2"/>
      <c r="K816" s="2"/>
      <c r="L816" s="2"/>
      <c r="M816" s="285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85"/>
      <c r="B817" s="2"/>
      <c r="C817" s="2"/>
      <c r="D817" s="65"/>
      <c r="E817" s="2"/>
      <c r="F817" s="65"/>
      <c r="G817" s="2"/>
      <c r="H817" s="2"/>
      <c r="I817" s="2"/>
      <c r="J817" s="2"/>
      <c r="K817" s="2"/>
      <c r="L817" s="2"/>
      <c r="M817" s="285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85"/>
      <c r="B818" s="2"/>
      <c r="C818" s="2"/>
      <c r="D818" s="65"/>
      <c r="E818" s="2"/>
      <c r="F818" s="65"/>
      <c r="G818" s="2"/>
      <c r="H818" s="2"/>
      <c r="I818" s="2"/>
      <c r="J818" s="2"/>
      <c r="K818" s="2"/>
      <c r="L818" s="2"/>
      <c r="M818" s="285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85"/>
      <c r="B819" s="2"/>
      <c r="C819" s="2"/>
      <c r="D819" s="65"/>
      <c r="E819" s="2"/>
      <c r="F819" s="65"/>
      <c r="G819" s="2"/>
      <c r="H819" s="2"/>
      <c r="I819" s="2"/>
      <c r="J819" s="2"/>
      <c r="K819" s="2"/>
      <c r="L819" s="2"/>
      <c r="M819" s="285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85"/>
      <c r="B820" s="2"/>
      <c r="C820" s="2"/>
      <c r="D820" s="65"/>
      <c r="E820" s="2"/>
      <c r="F820" s="65"/>
      <c r="G820" s="2"/>
      <c r="H820" s="2"/>
      <c r="I820" s="2"/>
      <c r="J820" s="2"/>
      <c r="K820" s="2"/>
      <c r="L820" s="2"/>
      <c r="M820" s="285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85"/>
      <c r="B821" s="2"/>
      <c r="C821" s="2"/>
      <c r="D821" s="65"/>
      <c r="E821" s="2"/>
      <c r="F821" s="65"/>
      <c r="G821" s="2"/>
      <c r="H821" s="2"/>
      <c r="I821" s="2"/>
      <c r="J821" s="2"/>
      <c r="K821" s="2"/>
      <c r="L821" s="2"/>
      <c r="M821" s="285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85"/>
      <c r="B822" s="2"/>
      <c r="C822" s="2"/>
      <c r="D822" s="65"/>
      <c r="E822" s="2"/>
      <c r="F822" s="65"/>
      <c r="G822" s="2"/>
      <c r="H822" s="2"/>
      <c r="I822" s="2"/>
      <c r="J822" s="2"/>
      <c r="K822" s="2"/>
      <c r="L822" s="2"/>
      <c r="M822" s="285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85"/>
      <c r="B823" s="2"/>
      <c r="C823" s="2"/>
      <c r="D823" s="65"/>
      <c r="E823" s="2"/>
      <c r="F823" s="65"/>
      <c r="G823" s="2"/>
      <c r="H823" s="2"/>
      <c r="I823" s="2"/>
      <c r="J823" s="2"/>
      <c r="K823" s="2"/>
      <c r="L823" s="2"/>
      <c r="M823" s="285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85"/>
      <c r="B824" s="2"/>
      <c r="C824" s="2"/>
      <c r="D824" s="65"/>
      <c r="E824" s="2"/>
      <c r="F824" s="65"/>
      <c r="G824" s="2"/>
      <c r="H824" s="2"/>
      <c r="I824" s="2"/>
      <c r="J824" s="2"/>
      <c r="K824" s="2"/>
      <c r="L824" s="2"/>
      <c r="M824" s="285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85"/>
      <c r="B825" s="2"/>
      <c r="C825" s="2"/>
      <c r="D825" s="65"/>
      <c r="E825" s="2"/>
      <c r="F825" s="65"/>
      <c r="G825" s="2"/>
      <c r="H825" s="2"/>
      <c r="I825" s="2"/>
      <c r="J825" s="2"/>
      <c r="K825" s="2"/>
      <c r="L825" s="2"/>
      <c r="M825" s="285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85"/>
      <c r="B826" s="2"/>
      <c r="C826" s="2"/>
      <c r="D826" s="65"/>
      <c r="E826" s="2"/>
      <c r="F826" s="65"/>
      <c r="G826" s="2"/>
      <c r="H826" s="2"/>
      <c r="I826" s="2"/>
      <c r="J826" s="2"/>
      <c r="K826" s="2"/>
      <c r="L826" s="2"/>
      <c r="M826" s="285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85"/>
      <c r="B827" s="2"/>
      <c r="C827" s="2"/>
      <c r="D827" s="65"/>
      <c r="E827" s="2"/>
      <c r="F827" s="65"/>
      <c r="G827" s="2"/>
      <c r="H827" s="2"/>
      <c r="I827" s="2"/>
      <c r="J827" s="2"/>
      <c r="K827" s="2"/>
      <c r="L827" s="2"/>
      <c r="M827" s="285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85"/>
      <c r="B828" s="2"/>
      <c r="C828" s="2"/>
      <c r="D828" s="65"/>
      <c r="E828" s="2"/>
      <c r="F828" s="65"/>
      <c r="G828" s="2"/>
      <c r="H828" s="2"/>
      <c r="I828" s="2"/>
      <c r="J828" s="2"/>
      <c r="K828" s="2"/>
      <c r="L828" s="2"/>
      <c r="M828" s="285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85"/>
      <c r="B829" s="2"/>
      <c r="C829" s="2"/>
      <c r="D829" s="65"/>
      <c r="E829" s="2"/>
      <c r="F829" s="65"/>
      <c r="G829" s="2"/>
      <c r="H829" s="2"/>
      <c r="I829" s="2"/>
      <c r="J829" s="2"/>
      <c r="K829" s="2"/>
      <c r="L829" s="2"/>
      <c r="M829" s="285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85"/>
      <c r="B830" s="2"/>
      <c r="C830" s="2"/>
      <c r="D830" s="65"/>
      <c r="E830" s="2"/>
      <c r="F830" s="65"/>
      <c r="G830" s="2"/>
      <c r="H830" s="2"/>
      <c r="I830" s="2"/>
      <c r="J830" s="2"/>
      <c r="K830" s="2"/>
      <c r="L830" s="2"/>
      <c r="M830" s="285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85"/>
      <c r="B831" s="2"/>
      <c r="C831" s="2"/>
      <c r="D831" s="65"/>
      <c r="E831" s="2"/>
      <c r="F831" s="65"/>
      <c r="G831" s="2"/>
      <c r="H831" s="2"/>
      <c r="I831" s="2"/>
      <c r="J831" s="2"/>
      <c r="K831" s="2"/>
      <c r="L831" s="2"/>
      <c r="M831" s="285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85"/>
      <c r="B832" s="2"/>
      <c r="C832" s="2"/>
      <c r="D832" s="65"/>
      <c r="E832" s="2"/>
      <c r="F832" s="65"/>
      <c r="G832" s="2"/>
      <c r="H832" s="2"/>
      <c r="I832" s="2"/>
      <c r="J832" s="2"/>
      <c r="K832" s="2"/>
      <c r="L832" s="2"/>
      <c r="M832" s="285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85"/>
      <c r="B833" s="2"/>
      <c r="C833" s="2"/>
      <c r="D833" s="65"/>
      <c r="E833" s="2"/>
      <c r="F833" s="65"/>
      <c r="G833" s="2"/>
      <c r="H833" s="2"/>
      <c r="I833" s="2"/>
      <c r="J833" s="2"/>
      <c r="K833" s="2"/>
      <c r="L833" s="2"/>
      <c r="M833" s="285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85"/>
      <c r="B834" s="2"/>
      <c r="C834" s="2"/>
      <c r="D834" s="65"/>
      <c r="E834" s="2"/>
      <c r="F834" s="65"/>
      <c r="G834" s="2"/>
      <c r="H834" s="2"/>
      <c r="I834" s="2"/>
      <c r="J834" s="2"/>
      <c r="K834" s="2"/>
      <c r="L834" s="2"/>
      <c r="M834" s="285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85"/>
      <c r="B835" s="2"/>
      <c r="C835" s="2"/>
      <c r="D835" s="65"/>
      <c r="E835" s="2"/>
      <c r="F835" s="65"/>
      <c r="G835" s="2"/>
      <c r="H835" s="2"/>
      <c r="I835" s="2"/>
      <c r="J835" s="2"/>
      <c r="K835" s="2"/>
      <c r="L835" s="2"/>
      <c r="M835" s="285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85"/>
      <c r="B836" s="2"/>
      <c r="C836" s="2"/>
      <c r="D836" s="65"/>
      <c r="E836" s="2"/>
      <c r="F836" s="65"/>
      <c r="G836" s="2"/>
      <c r="H836" s="2"/>
      <c r="I836" s="2"/>
      <c r="J836" s="2"/>
      <c r="K836" s="2"/>
      <c r="L836" s="2"/>
      <c r="M836" s="285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85"/>
      <c r="B837" s="2"/>
      <c r="C837" s="2"/>
      <c r="D837" s="65"/>
      <c r="E837" s="2"/>
      <c r="F837" s="65"/>
      <c r="G837" s="2"/>
      <c r="H837" s="2"/>
      <c r="I837" s="2"/>
      <c r="J837" s="2"/>
      <c r="K837" s="2"/>
      <c r="L837" s="2"/>
      <c r="M837" s="285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85"/>
      <c r="B838" s="2"/>
      <c r="C838" s="2"/>
      <c r="D838" s="65"/>
      <c r="E838" s="2"/>
      <c r="F838" s="65"/>
      <c r="G838" s="2"/>
      <c r="H838" s="2"/>
      <c r="I838" s="2"/>
      <c r="J838" s="2"/>
      <c r="K838" s="2"/>
      <c r="L838" s="2"/>
      <c r="M838" s="285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85"/>
      <c r="B839" s="2"/>
      <c r="C839" s="2"/>
      <c r="D839" s="65"/>
      <c r="E839" s="2"/>
      <c r="F839" s="65"/>
      <c r="G839" s="2"/>
      <c r="H839" s="2"/>
      <c r="I839" s="2"/>
      <c r="J839" s="2"/>
      <c r="K839" s="2"/>
      <c r="L839" s="2"/>
      <c r="M839" s="285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85"/>
      <c r="B840" s="2"/>
      <c r="C840" s="2"/>
      <c r="D840" s="65"/>
      <c r="E840" s="2"/>
      <c r="F840" s="65"/>
      <c r="G840" s="2"/>
      <c r="H840" s="2"/>
      <c r="I840" s="2"/>
      <c r="J840" s="2"/>
      <c r="K840" s="2"/>
      <c r="L840" s="2"/>
      <c r="M840" s="285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85"/>
      <c r="B841" s="2"/>
      <c r="C841" s="2"/>
      <c r="D841" s="65"/>
      <c r="E841" s="2"/>
      <c r="F841" s="65"/>
      <c r="G841" s="2"/>
      <c r="H841" s="2"/>
      <c r="I841" s="2"/>
      <c r="J841" s="2"/>
      <c r="K841" s="2"/>
      <c r="L841" s="2"/>
      <c r="M841" s="285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85"/>
      <c r="B842" s="2"/>
      <c r="C842" s="2"/>
      <c r="D842" s="65"/>
      <c r="E842" s="2"/>
      <c r="F842" s="65"/>
      <c r="G842" s="2"/>
      <c r="H842" s="2"/>
      <c r="I842" s="2"/>
      <c r="J842" s="2"/>
      <c r="K842" s="2"/>
      <c r="L842" s="2"/>
      <c r="M842" s="285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85"/>
      <c r="B843" s="2"/>
      <c r="C843" s="2"/>
      <c r="D843" s="65"/>
      <c r="E843" s="2"/>
      <c r="F843" s="65"/>
      <c r="G843" s="2"/>
      <c r="H843" s="2"/>
      <c r="I843" s="2"/>
      <c r="J843" s="2"/>
      <c r="K843" s="2"/>
      <c r="L843" s="2"/>
      <c r="M843" s="285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85"/>
      <c r="B844" s="2"/>
      <c r="C844" s="2"/>
      <c r="D844" s="65"/>
      <c r="E844" s="2"/>
      <c r="F844" s="65"/>
      <c r="G844" s="2"/>
      <c r="H844" s="2"/>
      <c r="I844" s="2"/>
      <c r="J844" s="2"/>
      <c r="K844" s="2"/>
      <c r="L844" s="2"/>
      <c r="M844" s="285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85"/>
      <c r="B845" s="2"/>
      <c r="C845" s="2"/>
      <c r="D845" s="65"/>
      <c r="E845" s="2"/>
      <c r="F845" s="65"/>
      <c r="G845" s="2"/>
      <c r="H845" s="2"/>
      <c r="I845" s="2"/>
      <c r="J845" s="2"/>
      <c r="K845" s="2"/>
      <c r="L845" s="2"/>
      <c r="M845" s="285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85"/>
      <c r="B846" s="2"/>
      <c r="C846" s="2"/>
      <c r="D846" s="65"/>
      <c r="E846" s="2"/>
      <c r="F846" s="65"/>
      <c r="G846" s="2"/>
      <c r="H846" s="2"/>
      <c r="I846" s="2"/>
      <c r="J846" s="2"/>
      <c r="K846" s="2"/>
      <c r="L846" s="2"/>
      <c r="M846" s="285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85"/>
      <c r="B847" s="2"/>
      <c r="C847" s="2"/>
      <c r="D847" s="65"/>
      <c r="E847" s="2"/>
      <c r="F847" s="65"/>
      <c r="G847" s="2"/>
      <c r="H847" s="2"/>
      <c r="I847" s="2"/>
      <c r="J847" s="2"/>
      <c r="K847" s="2"/>
      <c r="L847" s="2"/>
      <c r="M847" s="285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85"/>
      <c r="B848" s="2"/>
      <c r="C848" s="2"/>
      <c r="D848" s="65"/>
      <c r="E848" s="2"/>
      <c r="F848" s="65"/>
      <c r="G848" s="2"/>
      <c r="H848" s="2"/>
      <c r="I848" s="2"/>
      <c r="J848" s="2"/>
      <c r="K848" s="2"/>
      <c r="L848" s="2"/>
      <c r="M848" s="285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85"/>
      <c r="B849" s="2"/>
      <c r="C849" s="2"/>
      <c r="D849" s="65"/>
      <c r="E849" s="2"/>
      <c r="F849" s="65"/>
      <c r="G849" s="2"/>
      <c r="H849" s="2"/>
      <c r="I849" s="2"/>
      <c r="J849" s="2"/>
      <c r="K849" s="2"/>
      <c r="L849" s="2"/>
      <c r="M849" s="285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85"/>
      <c r="B850" s="2"/>
      <c r="C850" s="2"/>
      <c r="D850" s="65"/>
      <c r="E850" s="2"/>
      <c r="F850" s="65"/>
      <c r="G850" s="2"/>
      <c r="H850" s="2"/>
      <c r="I850" s="2"/>
      <c r="J850" s="2"/>
      <c r="K850" s="2"/>
      <c r="L850" s="2"/>
      <c r="M850" s="285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85"/>
      <c r="B851" s="2"/>
      <c r="C851" s="2"/>
      <c r="D851" s="65"/>
      <c r="E851" s="2"/>
      <c r="F851" s="65"/>
      <c r="G851" s="2"/>
      <c r="H851" s="2"/>
      <c r="I851" s="2"/>
      <c r="J851" s="2"/>
      <c r="K851" s="2"/>
      <c r="L851" s="2"/>
      <c r="M851" s="285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85"/>
      <c r="B852" s="2"/>
      <c r="C852" s="2"/>
      <c r="D852" s="65"/>
      <c r="E852" s="2"/>
      <c r="F852" s="65"/>
      <c r="G852" s="2"/>
      <c r="H852" s="2"/>
      <c r="I852" s="2"/>
      <c r="J852" s="2"/>
      <c r="K852" s="2"/>
      <c r="L852" s="2"/>
      <c r="M852" s="285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85"/>
      <c r="B853" s="2"/>
      <c r="C853" s="2"/>
      <c r="D853" s="65"/>
      <c r="E853" s="2"/>
      <c r="F853" s="65"/>
      <c r="G853" s="2"/>
      <c r="H853" s="2"/>
      <c r="I853" s="2"/>
      <c r="J853" s="2"/>
      <c r="K853" s="2"/>
      <c r="L853" s="2"/>
      <c r="M853" s="285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85"/>
      <c r="B854" s="2"/>
      <c r="C854" s="2"/>
      <c r="D854" s="65"/>
      <c r="E854" s="2"/>
      <c r="F854" s="65"/>
      <c r="G854" s="2"/>
      <c r="H854" s="2"/>
      <c r="I854" s="2"/>
      <c r="J854" s="2"/>
      <c r="K854" s="2"/>
      <c r="L854" s="2"/>
      <c r="M854" s="285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85"/>
      <c r="B855" s="2"/>
      <c r="C855" s="2"/>
      <c r="D855" s="65"/>
      <c r="E855" s="2"/>
      <c r="F855" s="65"/>
      <c r="G855" s="2"/>
      <c r="H855" s="2"/>
      <c r="I855" s="2"/>
      <c r="J855" s="2"/>
      <c r="K855" s="2"/>
      <c r="L855" s="2"/>
      <c r="M855" s="285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85"/>
      <c r="B856" s="2"/>
      <c r="C856" s="2"/>
      <c r="D856" s="65"/>
      <c r="E856" s="2"/>
      <c r="F856" s="65"/>
      <c r="G856" s="2"/>
      <c r="H856" s="2"/>
      <c r="I856" s="2"/>
      <c r="J856" s="2"/>
      <c r="K856" s="2"/>
      <c r="L856" s="2"/>
      <c r="M856" s="285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85"/>
      <c r="B857" s="2"/>
      <c r="C857" s="2"/>
      <c r="D857" s="65"/>
      <c r="E857" s="2"/>
      <c r="F857" s="65"/>
      <c r="G857" s="2"/>
      <c r="H857" s="2"/>
      <c r="I857" s="2"/>
      <c r="J857" s="2"/>
      <c r="K857" s="2"/>
      <c r="L857" s="2"/>
      <c r="M857" s="285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85"/>
      <c r="B858" s="2"/>
      <c r="C858" s="2"/>
      <c r="D858" s="65"/>
      <c r="E858" s="2"/>
      <c r="F858" s="65"/>
      <c r="G858" s="2"/>
      <c r="H858" s="2"/>
      <c r="I858" s="2"/>
      <c r="J858" s="2"/>
      <c r="K858" s="2"/>
      <c r="L858" s="2"/>
      <c r="M858" s="285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85"/>
      <c r="B859" s="2"/>
      <c r="C859" s="2"/>
      <c r="D859" s="65"/>
      <c r="E859" s="2"/>
      <c r="F859" s="65"/>
      <c r="G859" s="2"/>
      <c r="H859" s="2"/>
      <c r="I859" s="2"/>
      <c r="J859" s="2"/>
      <c r="K859" s="2"/>
      <c r="L859" s="2"/>
      <c r="M859" s="285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85"/>
      <c r="B860" s="2"/>
      <c r="C860" s="2"/>
      <c r="D860" s="65"/>
      <c r="E860" s="2"/>
      <c r="F860" s="65"/>
      <c r="G860" s="2"/>
      <c r="H860" s="2"/>
      <c r="I860" s="2"/>
      <c r="J860" s="2"/>
      <c r="K860" s="2"/>
      <c r="L860" s="2"/>
      <c r="M860" s="285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85"/>
      <c r="B861" s="2"/>
      <c r="C861" s="2"/>
      <c r="D861" s="65"/>
      <c r="E861" s="2"/>
      <c r="F861" s="65"/>
      <c r="G861" s="2"/>
      <c r="H861" s="2"/>
      <c r="I861" s="2"/>
      <c r="J861" s="2"/>
      <c r="K861" s="2"/>
      <c r="L861" s="2"/>
      <c r="M861" s="285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85"/>
      <c r="B862" s="2"/>
      <c r="C862" s="2"/>
      <c r="D862" s="65"/>
      <c r="E862" s="2"/>
      <c r="F862" s="65"/>
      <c r="G862" s="2"/>
      <c r="H862" s="2"/>
      <c r="I862" s="2"/>
      <c r="J862" s="2"/>
      <c r="K862" s="2"/>
      <c r="L862" s="2"/>
      <c r="M862" s="285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85"/>
      <c r="B863" s="2"/>
      <c r="C863" s="2"/>
      <c r="D863" s="65"/>
      <c r="E863" s="2"/>
      <c r="F863" s="65"/>
      <c r="G863" s="2"/>
      <c r="H863" s="2"/>
      <c r="I863" s="2"/>
      <c r="J863" s="2"/>
      <c r="K863" s="2"/>
      <c r="L863" s="2"/>
      <c r="M863" s="285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85"/>
      <c r="B864" s="2"/>
      <c r="C864" s="2"/>
      <c r="D864" s="65"/>
      <c r="E864" s="2"/>
      <c r="F864" s="65"/>
      <c r="G864" s="2"/>
      <c r="H864" s="2"/>
      <c r="I864" s="2"/>
      <c r="J864" s="2"/>
      <c r="K864" s="2"/>
      <c r="L864" s="2"/>
      <c r="M864" s="285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85"/>
      <c r="B865" s="2"/>
      <c r="C865" s="2"/>
      <c r="D865" s="65"/>
      <c r="E865" s="2"/>
      <c r="F865" s="65"/>
      <c r="G865" s="2"/>
      <c r="H865" s="2"/>
      <c r="I865" s="2"/>
      <c r="J865" s="2"/>
      <c r="K865" s="2"/>
      <c r="L865" s="2"/>
      <c r="M865" s="285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85"/>
      <c r="B866" s="2"/>
      <c r="C866" s="2"/>
      <c r="D866" s="65"/>
      <c r="E866" s="2"/>
      <c r="F866" s="65"/>
      <c r="G866" s="2"/>
      <c r="H866" s="2"/>
      <c r="I866" s="2"/>
      <c r="J866" s="2"/>
      <c r="K866" s="2"/>
      <c r="L866" s="2"/>
      <c r="M866" s="285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85"/>
      <c r="B867" s="2"/>
      <c r="C867" s="2"/>
      <c r="D867" s="65"/>
      <c r="E867" s="2"/>
      <c r="F867" s="65"/>
      <c r="G867" s="2"/>
      <c r="H867" s="2"/>
      <c r="I867" s="2"/>
      <c r="J867" s="2"/>
      <c r="K867" s="2"/>
      <c r="L867" s="2"/>
      <c r="M867" s="285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85"/>
      <c r="B868" s="2"/>
      <c r="C868" s="2"/>
      <c r="D868" s="65"/>
      <c r="E868" s="2"/>
      <c r="F868" s="65"/>
      <c r="G868" s="2"/>
      <c r="H868" s="2"/>
      <c r="I868" s="2"/>
      <c r="J868" s="2"/>
      <c r="K868" s="2"/>
      <c r="L868" s="2"/>
      <c r="M868" s="285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85"/>
      <c r="B869" s="2"/>
      <c r="C869" s="2"/>
      <c r="D869" s="65"/>
      <c r="E869" s="2"/>
      <c r="F869" s="65"/>
      <c r="G869" s="2"/>
      <c r="H869" s="2"/>
      <c r="I869" s="2"/>
      <c r="J869" s="2"/>
      <c r="K869" s="2"/>
      <c r="L869" s="2"/>
      <c r="M869" s="285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85"/>
      <c r="B870" s="2"/>
      <c r="C870" s="2"/>
      <c r="D870" s="65"/>
      <c r="E870" s="2"/>
      <c r="F870" s="65"/>
      <c r="G870" s="2"/>
      <c r="H870" s="2"/>
      <c r="I870" s="2"/>
      <c r="J870" s="2"/>
      <c r="K870" s="2"/>
      <c r="L870" s="2"/>
      <c r="M870" s="285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85"/>
      <c r="B871" s="2"/>
      <c r="C871" s="2"/>
      <c r="D871" s="65"/>
      <c r="E871" s="2"/>
      <c r="F871" s="65"/>
      <c r="G871" s="2"/>
      <c r="H871" s="2"/>
      <c r="I871" s="2"/>
      <c r="J871" s="2"/>
      <c r="K871" s="2"/>
      <c r="L871" s="2"/>
      <c r="M871" s="285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85"/>
      <c r="B872" s="2"/>
      <c r="C872" s="2"/>
      <c r="D872" s="65"/>
      <c r="E872" s="2"/>
      <c r="F872" s="65"/>
      <c r="G872" s="2"/>
      <c r="H872" s="2"/>
      <c r="I872" s="2"/>
      <c r="J872" s="2"/>
      <c r="K872" s="2"/>
      <c r="L872" s="2"/>
      <c r="M872" s="285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85"/>
      <c r="B873" s="2"/>
      <c r="C873" s="2"/>
      <c r="D873" s="65"/>
      <c r="E873" s="2"/>
      <c r="F873" s="65"/>
      <c r="G873" s="2"/>
      <c r="H873" s="2"/>
      <c r="I873" s="2"/>
      <c r="J873" s="2"/>
      <c r="K873" s="2"/>
      <c r="L873" s="2"/>
      <c r="M873" s="285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85"/>
      <c r="B874" s="2"/>
      <c r="C874" s="2"/>
      <c r="D874" s="65"/>
      <c r="E874" s="2"/>
      <c r="F874" s="65"/>
      <c r="G874" s="2"/>
      <c r="H874" s="2"/>
      <c r="I874" s="2"/>
      <c r="J874" s="2"/>
      <c r="K874" s="2"/>
      <c r="L874" s="2"/>
      <c r="M874" s="285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85"/>
      <c r="B875" s="2"/>
      <c r="C875" s="2"/>
      <c r="D875" s="65"/>
      <c r="E875" s="2"/>
      <c r="F875" s="65"/>
      <c r="G875" s="2"/>
      <c r="H875" s="2"/>
      <c r="I875" s="2"/>
      <c r="J875" s="2"/>
      <c r="K875" s="2"/>
      <c r="L875" s="2"/>
      <c r="M875" s="285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85"/>
      <c r="B876" s="2"/>
      <c r="C876" s="2"/>
      <c r="D876" s="65"/>
      <c r="E876" s="2"/>
      <c r="F876" s="65"/>
      <c r="G876" s="2"/>
      <c r="H876" s="2"/>
      <c r="I876" s="2"/>
      <c r="J876" s="2"/>
      <c r="K876" s="2"/>
      <c r="L876" s="2"/>
      <c r="M876" s="285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85"/>
      <c r="B877" s="2"/>
      <c r="C877" s="2"/>
      <c r="D877" s="65"/>
      <c r="E877" s="2"/>
      <c r="F877" s="65"/>
      <c r="G877" s="2"/>
      <c r="H877" s="2"/>
      <c r="I877" s="2"/>
      <c r="J877" s="2"/>
      <c r="K877" s="2"/>
      <c r="L877" s="2"/>
      <c r="M877" s="285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85"/>
      <c r="B878" s="2"/>
      <c r="C878" s="2"/>
      <c r="D878" s="65"/>
      <c r="E878" s="2"/>
      <c r="F878" s="65"/>
      <c r="G878" s="2"/>
      <c r="H878" s="2"/>
      <c r="I878" s="2"/>
      <c r="J878" s="2"/>
      <c r="K878" s="2"/>
      <c r="L878" s="2"/>
      <c r="M878" s="285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85"/>
      <c r="B879" s="2"/>
      <c r="C879" s="2"/>
      <c r="D879" s="65"/>
      <c r="E879" s="2"/>
      <c r="F879" s="65"/>
      <c r="G879" s="2"/>
      <c r="H879" s="2"/>
      <c r="I879" s="2"/>
      <c r="J879" s="2"/>
      <c r="K879" s="2"/>
      <c r="L879" s="2"/>
      <c r="M879" s="285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85"/>
      <c r="B880" s="2"/>
      <c r="C880" s="2"/>
      <c r="D880" s="65"/>
      <c r="E880" s="2"/>
      <c r="F880" s="65"/>
      <c r="G880" s="2"/>
      <c r="H880" s="2"/>
      <c r="I880" s="2"/>
      <c r="J880" s="2"/>
      <c r="K880" s="2"/>
      <c r="L880" s="2"/>
      <c r="M880" s="285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85"/>
      <c r="B881" s="2"/>
      <c r="C881" s="2"/>
      <c r="D881" s="65"/>
      <c r="E881" s="2"/>
      <c r="F881" s="65"/>
      <c r="G881" s="2"/>
      <c r="H881" s="2"/>
      <c r="I881" s="2"/>
      <c r="J881" s="2"/>
      <c r="K881" s="2"/>
      <c r="L881" s="2"/>
      <c r="M881" s="285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85"/>
      <c r="B882" s="2"/>
      <c r="C882" s="2"/>
      <c r="D882" s="65"/>
      <c r="E882" s="2"/>
      <c r="F882" s="65"/>
      <c r="G882" s="2"/>
      <c r="H882" s="2"/>
      <c r="I882" s="2"/>
      <c r="J882" s="2"/>
      <c r="K882" s="2"/>
      <c r="L882" s="2"/>
      <c r="M882" s="285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85"/>
      <c r="B883" s="2"/>
      <c r="C883" s="2"/>
      <c r="D883" s="65"/>
      <c r="E883" s="2"/>
      <c r="F883" s="65"/>
      <c r="G883" s="2"/>
      <c r="H883" s="2"/>
      <c r="I883" s="2"/>
      <c r="J883" s="2"/>
      <c r="K883" s="2"/>
      <c r="L883" s="2"/>
      <c r="M883" s="285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85"/>
      <c r="B884" s="2"/>
      <c r="C884" s="2"/>
      <c r="D884" s="65"/>
      <c r="E884" s="2"/>
      <c r="F884" s="65"/>
      <c r="G884" s="2"/>
      <c r="H884" s="2"/>
      <c r="I884" s="2"/>
      <c r="J884" s="2"/>
      <c r="K884" s="2"/>
      <c r="L884" s="2"/>
      <c r="M884" s="285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85"/>
      <c r="B885" s="2"/>
      <c r="C885" s="2"/>
      <c r="D885" s="65"/>
      <c r="E885" s="2"/>
      <c r="F885" s="65"/>
      <c r="G885" s="2"/>
      <c r="H885" s="2"/>
      <c r="I885" s="2"/>
      <c r="J885" s="2"/>
      <c r="K885" s="2"/>
      <c r="L885" s="2"/>
      <c r="M885" s="285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85"/>
      <c r="B886" s="2"/>
      <c r="C886" s="2"/>
      <c r="D886" s="65"/>
      <c r="E886" s="2"/>
      <c r="F886" s="65"/>
      <c r="G886" s="2"/>
      <c r="H886" s="2"/>
      <c r="I886" s="2"/>
      <c r="J886" s="2"/>
      <c r="K886" s="2"/>
      <c r="L886" s="2"/>
      <c r="M886" s="285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85"/>
      <c r="B887" s="2"/>
      <c r="C887" s="2"/>
      <c r="D887" s="65"/>
      <c r="E887" s="2"/>
      <c r="F887" s="65"/>
      <c r="G887" s="2"/>
      <c r="H887" s="2"/>
      <c r="I887" s="2"/>
      <c r="J887" s="2"/>
      <c r="K887" s="2"/>
      <c r="L887" s="2"/>
      <c r="M887" s="285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85"/>
      <c r="B888" s="2"/>
      <c r="C888" s="2"/>
      <c r="D888" s="65"/>
      <c r="E888" s="2"/>
      <c r="F888" s="65"/>
      <c r="G888" s="2"/>
      <c r="H888" s="2"/>
      <c r="I888" s="2"/>
      <c r="J888" s="2"/>
      <c r="K888" s="2"/>
      <c r="L888" s="2"/>
      <c r="M888" s="285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85"/>
      <c r="B889" s="2"/>
      <c r="C889" s="2"/>
      <c r="D889" s="65"/>
      <c r="E889" s="2"/>
      <c r="F889" s="65"/>
      <c r="G889" s="2"/>
      <c r="H889" s="2"/>
      <c r="I889" s="2"/>
      <c r="J889" s="2"/>
      <c r="K889" s="2"/>
      <c r="L889" s="2"/>
      <c r="M889" s="285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85"/>
      <c r="B890" s="2"/>
      <c r="C890" s="2"/>
      <c r="D890" s="65"/>
      <c r="E890" s="2"/>
      <c r="F890" s="65"/>
      <c r="G890" s="2"/>
      <c r="H890" s="2"/>
      <c r="I890" s="2"/>
      <c r="J890" s="2"/>
      <c r="K890" s="2"/>
      <c r="L890" s="2"/>
      <c r="M890" s="285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85"/>
      <c r="B891" s="2"/>
      <c r="C891" s="2"/>
      <c r="D891" s="65"/>
      <c r="E891" s="2"/>
      <c r="F891" s="65"/>
      <c r="G891" s="2"/>
      <c r="H891" s="2"/>
      <c r="I891" s="2"/>
      <c r="J891" s="2"/>
      <c r="K891" s="2"/>
      <c r="L891" s="2"/>
      <c r="M891" s="285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85"/>
      <c r="B892" s="2"/>
      <c r="C892" s="2"/>
      <c r="D892" s="65"/>
      <c r="E892" s="2"/>
      <c r="F892" s="65"/>
      <c r="G892" s="2"/>
      <c r="H892" s="2"/>
      <c r="I892" s="2"/>
      <c r="J892" s="2"/>
      <c r="K892" s="2"/>
      <c r="L892" s="2"/>
      <c r="M892" s="285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85"/>
      <c r="B893" s="2"/>
      <c r="C893" s="2"/>
      <c r="D893" s="65"/>
      <c r="E893" s="2"/>
      <c r="F893" s="65"/>
      <c r="G893" s="2"/>
      <c r="H893" s="2"/>
      <c r="I893" s="2"/>
      <c r="J893" s="2"/>
      <c r="K893" s="2"/>
      <c r="L893" s="2"/>
      <c r="M893" s="285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85"/>
      <c r="B894" s="2"/>
      <c r="C894" s="2"/>
      <c r="D894" s="65"/>
      <c r="E894" s="2"/>
      <c r="F894" s="65"/>
      <c r="G894" s="2"/>
      <c r="H894" s="2"/>
      <c r="I894" s="2"/>
      <c r="J894" s="2"/>
      <c r="K894" s="2"/>
      <c r="L894" s="2"/>
      <c r="M894" s="285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85"/>
      <c r="B895" s="2"/>
      <c r="C895" s="2"/>
      <c r="D895" s="65"/>
      <c r="E895" s="2"/>
      <c r="F895" s="65"/>
      <c r="G895" s="2"/>
      <c r="H895" s="2"/>
      <c r="I895" s="2"/>
      <c r="J895" s="2"/>
      <c r="K895" s="2"/>
      <c r="L895" s="2"/>
      <c r="M895" s="285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85"/>
      <c r="B896" s="2"/>
      <c r="C896" s="2"/>
      <c r="D896" s="65"/>
      <c r="E896" s="2"/>
      <c r="F896" s="65"/>
      <c r="G896" s="2"/>
      <c r="H896" s="2"/>
      <c r="I896" s="2"/>
      <c r="J896" s="2"/>
      <c r="K896" s="2"/>
      <c r="L896" s="2"/>
      <c r="M896" s="285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85"/>
      <c r="B897" s="2"/>
      <c r="C897" s="2"/>
      <c r="D897" s="65"/>
      <c r="E897" s="2"/>
      <c r="F897" s="65"/>
      <c r="G897" s="2"/>
      <c r="H897" s="2"/>
      <c r="I897" s="2"/>
      <c r="J897" s="2"/>
      <c r="K897" s="2"/>
      <c r="L897" s="2"/>
      <c r="M897" s="285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85"/>
      <c r="B898" s="2"/>
      <c r="C898" s="2"/>
      <c r="D898" s="65"/>
      <c r="E898" s="2"/>
      <c r="F898" s="65"/>
      <c r="G898" s="2"/>
      <c r="H898" s="2"/>
      <c r="I898" s="2"/>
      <c r="J898" s="2"/>
      <c r="K898" s="2"/>
      <c r="L898" s="2"/>
      <c r="M898" s="285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85"/>
      <c r="B899" s="2"/>
      <c r="C899" s="2"/>
      <c r="D899" s="65"/>
      <c r="E899" s="2"/>
      <c r="F899" s="65"/>
      <c r="G899" s="2"/>
      <c r="H899" s="2"/>
      <c r="I899" s="2"/>
      <c r="J899" s="2"/>
      <c r="K899" s="2"/>
      <c r="L899" s="2"/>
      <c r="M899" s="285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85"/>
      <c r="B900" s="2"/>
      <c r="C900" s="2"/>
      <c r="D900" s="65"/>
      <c r="E900" s="2"/>
      <c r="F900" s="65"/>
      <c r="G900" s="2"/>
      <c r="H900" s="2"/>
      <c r="I900" s="2"/>
      <c r="J900" s="2"/>
      <c r="K900" s="2"/>
      <c r="L900" s="2"/>
      <c r="M900" s="285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85"/>
      <c r="B901" s="2"/>
      <c r="C901" s="2"/>
      <c r="D901" s="65"/>
      <c r="E901" s="2"/>
      <c r="F901" s="65"/>
      <c r="G901" s="2"/>
      <c r="H901" s="2"/>
      <c r="I901" s="2"/>
      <c r="J901" s="2"/>
      <c r="K901" s="2"/>
      <c r="L901" s="2"/>
      <c r="M901" s="285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85"/>
      <c r="B902" s="2"/>
      <c r="C902" s="2"/>
      <c r="D902" s="65"/>
      <c r="E902" s="2"/>
      <c r="F902" s="65"/>
      <c r="G902" s="2"/>
      <c r="H902" s="2"/>
      <c r="I902" s="2"/>
      <c r="J902" s="2"/>
      <c r="K902" s="2"/>
      <c r="L902" s="2"/>
      <c r="M902" s="285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85"/>
      <c r="B903" s="2"/>
      <c r="C903" s="2"/>
      <c r="D903" s="65"/>
      <c r="E903" s="2"/>
      <c r="F903" s="65"/>
      <c r="G903" s="2"/>
      <c r="H903" s="2"/>
      <c r="I903" s="2"/>
      <c r="J903" s="2"/>
      <c r="K903" s="2"/>
      <c r="L903" s="2"/>
      <c r="M903" s="285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85"/>
      <c r="B904" s="2"/>
      <c r="C904" s="2"/>
      <c r="D904" s="65"/>
      <c r="E904" s="2"/>
      <c r="F904" s="65"/>
      <c r="G904" s="2"/>
      <c r="H904" s="2"/>
      <c r="I904" s="2"/>
      <c r="J904" s="2"/>
      <c r="K904" s="2"/>
      <c r="L904" s="2"/>
      <c r="M904" s="285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85"/>
      <c r="B905" s="2"/>
      <c r="C905" s="2"/>
      <c r="D905" s="65"/>
      <c r="E905" s="2"/>
      <c r="F905" s="65"/>
      <c r="G905" s="2"/>
      <c r="H905" s="2"/>
      <c r="I905" s="2"/>
      <c r="J905" s="2"/>
      <c r="K905" s="2"/>
      <c r="L905" s="2"/>
      <c r="M905" s="285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85"/>
      <c r="B906" s="2"/>
      <c r="C906" s="2"/>
      <c r="D906" s="65"/>
      <c r="E906" s="2"/>
      <c r="F906" s="65"/>
      <c r="G906" s="2"/>
      <c r="H906" s="2"/>
      <c r="I906" s="2"/>
      <c r="J906" s="2"/>
      <c r="K906" s="2"/>
      <c r="L906" s="2"/>
      <c r="M906" s="285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85"/>
      <c r="B907" s="2"/>
      <c r="C907" s="2"/>
      <c r="D907" s="65"/>
      <c r="E907" s="2"/>
      <c r="F907" s="65"/>
      <c r="G907" s="2"/>
      <c r="H907" s="2"/>
      <c r="I907" s="2"/>
      <c r="J907" s="2"/>
      <c r="K907" s="2"/>
      <c r="L907" s="2"/>
      <c r="M907" s="285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85"/>
      <c r="B908" s="2"/>
      <c r="C908" s="2"/>
      <c r="D908" s="65"/>
      <c r="E908" s="2"/>
      <c r="F908" s="65"/>
      <c r="G908" s="2"/>
      <c r="H908" s="2"/>
      <c r="I908" s="2"/>
      <c r="J908" s="2"/>
      <c r="K908" s="2"/>
      <c r="L908" s="2"/>
      <c r="M908" s="285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85"/>
      <c r="B909" s="2"/>
      <c r="C909" s="2"/>
      <c r="D909" s="65"/>
      <c r="E909" s="2"/>
      <c r="F909" s="65"/>
      <c r="G909" s="2"/>
      <c r="H909" s="2"/>
      <c r="I909" s="2"/>
      <c r="J909" s="2"/>
      <c r="K909" s="2"/>
      <c r="L909" s="2"/>
      <c r="M909" s="285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85"/>
      <c r="B910" s="2"/>
      <c r="C910" s="2"/>
      <c r="D910" s="65"/>
      <c r="E910" s="2"/>
      <c r="F910" s="65"/>
      <c r="G910" s="2"/>
      <c r="H910" s="2"/>
      <c r="I910" s="2"/>
      <c r="J910" s="2"/>
      <c r="K910" s="2"/>
      <c r="L910" s="2"/>
      <c r="M910" s="285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85"/>
      <c r="B911" s="2"/>
      <c r="C911" s="2"/>
      <c r="D911" s="65"/>
      <c r="E911" s="2"/>
      <c r="F911" s="65"/>
      <c r="G911" s="2"/>
      <c r="H911" s="2"/>
      <c r="I911" s="2"/>
      <c r="J911" s="2"/>
      <c r="K911" s="2"/>
      <c r="L911" s="2"/>
      <c r="M911" s="285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85"/>
      <c r="B912" s="2"/>
      <c r="C912" s="2"/>
      <c r="D912" s="65"/>
      <c r="E912" s="2"/>
      <c r="F912" s="65"/>
      <c r="G912" s="2"/>
      <c r="H912" s="2"/>
      <c r="I912" s="2"/>
      <c r="J912" s="2"/>
      <c r="K912" s="2"/>
      <c r="L912" s="2"/>
      <c r="M912" s="285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85"/>
      <c r="B913" s="2"/>
      <c r="C913" s="2"/>
      <c r="D913" s="65"/>
      <c r="E913" s="2"/>
      <c r="F913" s="65"/>
      <c r="G913" s="2"/>
      <c r="H913" s="2"/>
      <c r="I913" s="2"/>
      <c r="J913" s="2"/>
      <c r="K913" s="2"/>
      <c r="L913" s="2"/>
      <c r="M913" s="285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85"/>
      <c r="B914" s="2"/>
      <c r="C914" s="2"/>
      <c r="D914" s="65"/>
      <c r="E914" s="2"/>
      <c r="F914" s="65"/>
      <c r="G914" s="2"/>
      <c r="H914" s="2"/>
      <c r="I914" s="2"/>
      <c r="J914" s="2"/>
      <c r="K914" s="2"/>
      <c r="L914" s="2"/>
      <c r="M914" s="285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85"/>
      <c r="B915" s="2"/>
      <c r="C915" s="2"/>
      <c r="D915" s="65"/>
      <c r="E915" s="2"/>
      <c r="F915" s="65"/>
      <c r="G915" s="2"/>
      <c r="H915" s="2"/>
      <c r="I915" s="2"/>
      <c r="J915" s="2"/>
      <c r="K915" s="2"/>
      <c r="L915" s="2"/>
      <c r="M915" s="285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85"/>
      <c r="B916" s="2"/>
      <c r="C916" s="2"/>
      <c r="D916" s="65"/>
      <c r="E916" s="2"/>
      <c r="F916" s="65"/>
      <c r="G916" s="2"/>
      <c r="H916" s="2"/>
      <c r="I916" s="2"/>
      <c r="J916" s="2"/>
      <c r="K916" s="2"/>
      <c r="L916" s="2"/>
      <c r="M916" s="285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85"/>
      <c r="B917" s="2"/>
      <c r="C917" s="2"/>
      <c r="D917" s="65"/>
      <c r="E917" s="2"/>
      <c r="F917" s="65"/>
      <c r="G917" s="2"/>
      <c r="H917" s="2"/>
      <c r="I917" s="2"/>
      <c r="J917" s="2"/>
      <c r="K917" s="2"/>
      <c r="L917" s="2"/>
      <c r="M917" s="285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85"/>
      <c r="B918" s="2"/>
      <c r="C918" s="2"/>
      <c r="D918" s="65"/>
      <c r="E918" s="2"/>
      <c r="F918" s="65"/>
      <c r="G918" s="2"/>
      <c r="H918" s="2"/>
      <c r="I918" s="2"/>
      <c r="J918" s="2"/>
      <c r="K918" s="2"/>
      <c r="L918" s="2"/>
      <c r="M918" s="285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85"/>
      <c r="B919" s="2"/>
      <c r="C919" s="2"/>
      <c r="D919" s="65"/>
      <c r="E919" s="2"/>
      <c r="F919" s="65"/>
      <c r="G919" s="2"/>
      <c r="H919" s="2"/>
      <c r="I919" s="2"/>
      <c r="J919" s="2"/>
      <c r="K919" s="2"/>
      <c r="L919" s="2"/>
      <c r="M919" s="285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85"/>
      <c r="B920" s="2"/>
      <c r="C920" s="2"/>
      <c r="D920" s="65"/>
      <c r="E920" s="2"/>
      <c r="F920" s="65"/>
      <c r="G920" s="2"/>
      <c r="H920" s="2"/>
      <c r="I920" s="2"/>
      <c r="J920" s="2"/>
      <c r="K920" s="2"/>
      <c r="L920" s="2"/>
      <c r="M920" s="285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85"/>
      <c r="B921" s="2"/>
      <c r="C921" s="2"/>
      <c r="D921" s="65"/>
      <c r="E921" s="2"/>
      <c r="F921" s="65"/>
      <c r="G921" s="2"/>
      <c r="H921" s="2"/>
      <c r="I921" s="2"/>
      <c r="J921" s="2"/>
      <c r="K921" s="2"/>
      <c r="L921" s="2"/>
      <c r="M921" s="285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85"/>
      <c r="B922" s="2"/>
      <c r="C922" s="2"/>
      <c r="D922" s="65"/>
      <c r="E922" s="2"/>
      <c r="F922" s="65"/>
      <c r="G922" s="2"/>
      <c r="H922" s="2"/>
      <c r="I922" s="2"/>
      <c r="J922" s="2"/>
      <c r="K922" s="2"/>
      <c r="L922" s="2"/>
      <c r="M922" s="285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85"/>
      <c r="B923" s="2"/>
      <c r="C923" s="2"/>
      <c r="D923" s="65"/>
      <c r="E923" s="2"/>
      <c r="F923" s="65"/>
      <c r="G923" s="2"/>
      <c r="H923" s="2"/>
      <c r="I923" s="2"/>
      <c r="J923" s="2"/>
      <c r="K923" s="2"/>
      <c r="L923" s="2"/>
      <c r="M923" s="285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85"/>
      <c r="B924" s="2"/>
      <c r="C924" s="2"/>
      <c r="D924" s="65"/>
      <c r="E924" s="2"/>
      <c r="F924" s="65"/>
      <c r="G924" s="2"/>
      <c r="H924" s="2"/>
      <c r="I924" s="2"/>
      <c r="J924" s="2"/>
      <c r="K924" s="2"/>
      <c r="L924" s="2"/>
      <c r="M924" s="285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85"/>
      <c r="B925" s="2"/>
      <c r="C925" s="2"/>
      <c r="D925" s="65"/>
      <c r="E925" s="2"/>
      <c r="F925" s="65"/>
      <c r="G925" s="2"/>
      <c r="H925" s="2"/>
      <c r="I925" s="2"/>
      <c r="J925" s="2"/>
      <c r="K925" s="2"/>
      <c r="L925" s="2"/>
      <c r="M925" s="285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85"/>
      <c r="B926" s="2"/>
      <c r="C926" s="2"/>
      <c r="D926" s="65"/>
      <c r="E926" s="2"/>
      <c r="F926" s="65"/>
      <c r="G926" s="2"/>
      <c r="H926" s="2"/>
      <c r="I926" s="2"/>
      <c r="J926" s="2"/>
      <c r="K926" s="2"/>
      <c r="L926" s="2"/>
      <c r="M926" s="285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85"/>
      <c r="B927" s="2"/>
      <c r="C927" s="2"/>
      <c r="D927" s="65"/>
      <c r="E927" s="2"/>
      <c r="F927" s="65"/>
      <c r="G927" s="2"/>
      <c r="H927" s="2"/>
      <c r="I927" s="2"/>
      <c r="J927" s="2"/>
      <c r="K927" s="2"/>
      <c r="L927" s="2"/>
      <c r="M927" s="285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85"/>
      <c r="B928" s="2"/>
      <c r="C928" s="2"/>
      <c r="D928" s="65"/>
      <c r="E928" s="2"/>
      <c r="F928" s="65"/>
      <c r="G928" s="2"/>
      <c r="H928" s="2"/>
      <c r="I928" s="2"/>
      <c r="J928" s="2"/>
      <c r="K928" s="2"/>
      <c r="L928" s="2"/>
      <c r="M928" s="285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85"/>
      <c r="B929" s="2"/>
      <c r="C929" s="2"/>
      <c r="D929" s="65"/>
      <c r="E929" s="2"/>
      <c r="F929" s="65"/>
      <c r="G929" s="2"/>
      <c r="H929" s="2"/>
      <c r="I929" s="2"/>
      <c r="J929" s="2"/>
      <c r="K929" s="2"/>
      <c r="L929" s="2"/>
      <c r="M929" s="285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85"/>
      <c r="B930" s="2"/>
      <c r="C930" s="2"/>
      <c r="D930" s="65"/>
      <c r="E930" s="2"/>
      <c r="F930" s="65"/>
      <c r="G930" s="2"/>
      <c r="H930" s="2"/>
      <c r="I930" s="2"/>
      <c r="J930" s="2"/>
      <c r="K930" s="2"/>
      <c r="L930" s="2"/>
      <c r="M930" s="285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85"/>
      <c r="B931" s="2"/>
      <c r="C931" s="2"/>
      <c r="D931" s="65"/>
      <c r="E931" s="2"/>
      <c r="F931" s="65"/>
      <c r="G931" s="2"/>
      <c r="H931" s="2"/>
      <c r="I931" s="2"/>
      <c r="J931" s="2"/>
      <c r="K931" s="2"/>
      <c r="L931" s="2"/>
      <c r="M931" s="285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85"/>
      <c r="B932" s="2"/>
      <c r="C932" s="2"/>
      <c r="D932" s="65"/>
      <c r="E932" s="2"/>
      <c r="F932" s="65"/>
      <c r="G932" s="2"/>
      <c r="H932" s="2"/>
      <c r="I932" s="2"/>
      <c r="J932" s="2"/>
      <c r="K932" s="2"/>
      <c r="L932" s="2"/>
      <c r="M932" s="285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85"/>
      <c r="B933" s="2"/>
      <c r="C933" s="2"/>
      <c r="D933" s="65"/>
      <c r="E933" s="2"/>
      <c r="F933" s="65"/>
      <c r="G933" s="2"/>
      <c r="H933" s="2"/>
      <c r="I933" s="2"/>
      <c r="J933" s="2"/>
      <c r="K933" s="2"/>
      <c r="L933" s="2"/>
      <c r="M933" s="285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85"/>
      <c r="B934" s="2"/>
      <c r="C934" s="2"/>
      <c r="D934" s="65"/>
      <c r="E934" s="2"/>
      <c r="F934" s="65"/>
      <c r="G934" s="2"/>
      <c r="H934" s="2"/>
      <c r="I934" s="2"/>
      <c r="J934" s="2"/>
      <c r="K934" s="2"/>
      <c r="L934" s="2"/>
      <c r="M934" s="285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85"/>
      <c r="B935" s="2"/>
      <c r="C935" s="2"/>
      <c r="D935" s="65"/>
      <c r="E935" s="2"/>
      <c r="F935" s="65"/>
      <c r="G935" s="2"/>
      <c r="H935" s="2"/>
      <c r="I935" s="2"/>
      <c r="J935" s="2"/>
      <c r="K935" s="2"/>
      <c r="L935" s="2"/>
      <c r="M935" s="285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85"/>
      <c r="B936" s="2"/>
      <c r="C936" s="2"/>
      <c r="D936" s="65"/>
      <c r="E936" s="2"/>
      <c r="F936" s="65"/>
      <c r="G936" s="2"/>
      <c r="H936" s="2"/>
      <c r="I936" s="2"/>
      <c r="J936" s="2"/>
      <c r="K936" s="2"/>
      <c r="L936" s="2"/>
      <c r="M936" s="285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85"/>
      <c r="B937" s="2"/>
      <c r="C937" s="2"/>
      <c r="D937" s="65"/>
      <c r="E937" s="2"/>
      <c r="F937" s="65"/>
      <c r="G937" s="2"/>
      <c r="H937" s="2"/>
      <c r="I937" s="2"/>
      <c r="J937" s="2"/>
      <c r="K937" s="2"/>
      <c r="L937" s="2"/>
      <c r="M937" s="285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85"/>
      <c r="B938" s="2"/>
      <c r="C938" s="2"/>
      <c r="D938" s="65"/>
      <c r="E938" s="2"/>
      <c r="F938" s="65"/>
      <c r="G938" s="2"/>
      <c r="H938" s="2"/>
      <c r="I938" s="2"/>
      <c r="J938" s="2"/>
      <c r="K938" s="2"/>
      <c r="L938" s="2"/>
      <c r="M938" s="285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85"/>
      <c r="B939" s="2"/>
      <c r="C939" s="2"/>
      <c r="D939" s="65"/>
      <c r="E939" s="2"/>
      <c r="F939" s="65"/>
      <c r="G939" s="2"/>
      <c r="H939" s="2"/>
      <c r="I939" s="2"/>
      <c r="J939" s="2"/>
      <c r="K939" s="2"/>
      <c r="L939" s="2"/>
      <c r="M939" s="285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85"/>
      <c r="B940" s="2"/>
      <c r="C940" s="2"/>
      <c r="D940" s="65"/>
      <c r="E940" s="2"/>
      <c r="F940" s="65"/>
      <c r="G940" s="2"/>
      <c r="H940" s="2"/>
      <c r="I940" s="2"/>
      <c r="J940" s="2"/>
      <c r="K940" s="2"/>
      <c r="L940" s="2"/>
      <c r="M940" s="285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85"/>
      <c r="B941" s="2"/>
      <c r="C941" s="2"/>
      <c r="D941" s="65"/>
      <c r="E941" s="2"/>
      <c r="F941" s="65"/>
      <c r="G941" s="2"/>
      <c r="H941" s="2"/>
      <c r="I941" s="2"/>
      <c r="J941" s="2"/>
      <c r="K941" s="2"/>
      <c r="L941" s="2"/>
      <c r="M941" s="285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85"/>
      <c r="B942" s="2"/>
      <c r="C942" s="2"/>
      <c r="D942" s="65"/>
      <c r="E942" s="2"/>
      <c r="F942" s="65"/>
      <c r="G942" s="2"/>
      <c r="H942" s="2"/>
      <c r="I942" s="2"/>
      <c r="J942" s="2"/>
      <c r="K942" s="2"/>
      <c r="L942" s="2"/>
      <c r="M942" s="285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85"/>
      <c r="B943" s="2"/>
      <c r="C943" s="2"/>
      <c r="D943" s="65"/>
      <c r="E943" s="2"/>
      <c r="F943" s="65"/>
      <c r="G943" s="2"/>
      <c r="H943" s="2"/>
      <c r="I943" s="2"/>
      <c r="J943" s="2"/>
      <c r="K943" s="2"/>
      <c r="L943" s="2"/>
      <c r="M943" s="285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85"/>
      <c r="B944" s="2"/>
      <c r="C944" s="2"/>
      <c r="D944" s="65"/>
      <c r="E944" s="2"/>
      <c r="F944" s="65"/>
      <c r="G944" s="2"/>
      <c r="H944" s="2"/>
      <c r="I944" s="2"/>
      <c r="J944" s="2"/>
      <c r="K944" s="2"/>
      <c r="L944" s="2"/>
      <c r="M944" s="285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85"/>
      <c r="B945" s="2"/>
      <c r="C945" s="2"/>
      <c r="D945" s="65"/>
      <c r="E945" s="2"/>
      <c r="F945" s="65"/>
      <c r="G945" s="2"/>
      <c r="H945" s="2"/>
      <c r="I945" s="2"/>
      <c r="J945" s="2"/>
      <c r="K945" s="2"/>
      <c r="L945" s="2"/>
      <c r="M945" s="285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85"/>
      <c r="B946" s="2"/>
      <c r="C946" s="2"/>
      <c r="D946" s="65"/>
      <c r="E946" s="2"/>
      <c r="F946" s="65"/>
      <c r="G946" s="2"/>
      <c r="H946" s="2"/>
      <c r="I946" s="2"/>
      <c r="J946" s="2"/>
      <c r="K946" s="2"/>
      <c r="L946" s="2"/>
      <c r="M946" s="285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85"/>
      <c r="B947" s="2"/>
      <c r="C947" s="2"/>
      <c r="D947" s="65"/>
      <c r="E947" s="2"/>
      <c r="F947" s="65"/>
      <c r="G947" s="2"/>
      <c r="H947" s="2"/>
      <c r="I947" s="2"/>
      <c r="J947" s="2"/>
      <c r="K947" s="2"/>
      <c r="L947" s="2"/>
      <c r="M947" s="285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85"/>
      <c r="B948" s="2"/>
      <c r="C948" s="2"/>
      <c r="D948" s="65"/>
      <c r="E948" s="2"/>
      <c r="F948" s="65"/>
      <c r="G948" s="2"/>
      <c r="H948" s="2"/>
      <c r="I948" s="2"/>
      <c r="J948" s="2"/>
      <c r="K948" s="2"/>
      <c r="L948" s="2"/>
      <c r="M948" s="285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85"/>
      <c r="B949" s="2"/>
      <c r="C949" s="2"/>
      <c r="D949" s="65"/>
      <c r="E949" s="2"/>
      <c r="F949" s="65"/>
      <c r="G949" s="2"/>
      <c r="H949" s="2"/>
      <c r="I949" s="2"/>
      <c r="J949" s="2"/>
      <c r="K949" s="2"/>
      <c r="L949" s="2"/>
      <c r="M949" s="285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85"/>
      <c r="B950" s="2"/>
      <c r="C950" s="2"/>
      <c r="D950" s="65"/>
      <c r="E950" s="2"/>
      <c r="F950" s="65"/>
      <c r="G950" s="2"/>
      <c r="H950" s="2"/>
      <c r="I950" s="2"/>
      <c r="J950" s="2"/>
      <c r="K950" s="2"/>
      <c r="L950" s="2"/>
      <c r="M950" s="285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85"/>
      <c r="B951" s="2"/>
      <c r="C951" s="2"/>
      <c r="D951" s="65"/>
      <c r="E951" s="2"/>
      <c r="F951" s="65"/>
      <c r="G951" s="2"/>
      <c r="H951" s="2"/>
      <c r="I951" s="2"/>
      <c r="J951" s="2"/>
      <c r="K951" s="2"/>
      <c r="L951" s="2"/>
      <c r="M951" s="285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85"/>
      <c r="B952" s="2"/>
      <c r="C952" s="2"/>
      <c r="D952" s="65"/>
      <c r="E952" s="2"/>
      <c r="F952" s="65"/>
      <c r="G952" s="2"/>
      <c r="H952" s="2"/>
      <c r="I952" s="2"/>
      <c r="J952" s="2"/>
      <c r="K952" s="2"/>
      <c r="L952" s="2"/>
      <c r="M952" s="285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85"/>
      <c r="B953" s="2"/>
      <c r="C953" s="2"/>
      <c r="D953" s="65"/>
      <c r="E953" s="2"/>
      <c r="F953" s="65"/>
      <c r="G953" s="2"/>
      <c r="H953" s="2"/>
      <c r="I953" s="2"/>
      <c r="J953" s="2"/>
      <c r="K953" s="2"/>
      <c r="L953" s="2"/>
      <c r="M953" s="285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85"/>
      <c r="B954" s="2"/>
      <c r="C954" s="2"/>
      <c r="D954" s="65"/>
      <c r="E954" s="2"/>
      <c r="F954" s="65"/>
      <c r="G954" s="2"/>
      <c r="H954" s="2"/>
      <c r="I954" s="2"/>
      <c r="J954" s="2"/>
      <c r="K954" s="2"/>
      <c r="L954" s="2"/>
      <c r="M954" s="285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85"/>
      <c r="B955" s="2"/>
      <c r="C955" s="2"/>
      <c r="D955" s="65"/>
      <c r="E955" s="2"/>
      <c r="F955" s="65"/>
      <c r="G955" s="2"/>
      <c r="H955" s="2"/>
      <c r="I955" s="2"/>
      <c r="J955" s="2"/>
      <c r="K955" s="2"/>
      <c r="L955" s="2"/>
      <c r="M955" s="285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85"/>
      <c r="B956" s="2"/>
      <c r="C956" s="2"/>
      <c r="D956" s="65"/>
      <c r="E956" s="2"/>
      <c r="F956" s="65"/>
      <c r="G956" s="2"/>
      <c r="H956" s="2"/>
      <c r="I956" s="2"/>
      <c r="J956" s="2"/>
      <c r="K956" s="2"/>
      <c r="L956" s="2"/>
      <c r="M956" s="285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85"/>
      <c r="B957" s="2"/>
      <c r="C957" s="2"/>
      <c r="D957" s="65"/>
      <c r="E957" s="2"/>
      <c r="F957" s="65"/>
      <c r="G957" s="2"/>
      <c r="H957" s="2"/>
      <c r="I957" s="2"/>
      <c r="J957" s="2"/>
      <c r="K957" s="2"/>
      <c r="L957" s="2"/>
      <c r="M957" s="285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85"/>
      <c r="B958" s="2"/>
      <c r="C958" s="2"/>
      <c r="D958" s="65"/>
      <c r="E958" s="2"/>
      <c r="F958" s="65"/>
      <c r="G958" s="2"/>
      <c r="H958" s="2"/>
      <c r="I958" s="2"/>
      <c r="J958" s="2"/>
      <c r="K958" s="2"/>
      <c r="L958" s="2"/>
      <c r="M958" s="285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85"/>
      <c r="B959" s="2"/>
      <c r="C959" s="2"/>
      <c r="D959" s="65"/>
      <c r="E959" s="2"/>
      <c r="F959" s="65"/>
      <c r="G959" s="2"/>
      <c r="H959" s="2"/>
      <c r="I959" s="2"/>
      <c r="J959" s="2"/>
      <c r="K959" s="2"/>
      <c r="L959" s="2"/>
      <c r="M959" s="285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85"/>
      <c r="B960" s="2"/>
      <c r="C960" s="2"/>
      <c r="D960" s="65"/>
      <c r="E960" s="2"/>
      <c r="F960" s="65"/>
      <c r="G960" s="2"/>
      <c r="H960" s="2"/>
      <c r="I960" s="2"/>
      <c r="J960" s="2"/>
      <c r="K960" s="2"/>
      <c r="L960" s="2"/>
      <c r="M960" s="285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85"/>
      <c r="B961" s="2"/>
      <c r="C961" s="2"/>
      <c r="D961" s="65"/>
      <c r="E961" s="2"/>
      <c r="F961" s="65"/>
      <c r="G961" s="2"/>
      <c r="H961" s="2"/>
      <c r="I961" s="2"/>
      <c r="J961" s="2"/>
      <c r="K961" s="2"/>
      <c r="L961" s="2"/>
      <c r="M961" s="285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85"/>
      <c r="B962" s="2"/>
      <c r="C962" s="2"/>
      <c r="D962" s="65"/>
      <c r="E962" s="2"/>
      <c r="F962" s="65"/>
      <c r="G962" s="2"/>
      <c r="H962" s="2"/>
      <c r="I962" s="2"/>
      <c r="J962" s="2"/>
      <c r="K962" s="2"/>
      <c r="L962" s="2"/>
      <c r="M962" s="285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85"/>
      <c r="B963" s="2"/>
      <c r="C963" s="2"/>
      <c r="D963" s="65"/>
      <c r="E963" s="2"/>
      <c r="F963" s="65"/>
      <c r="G963" s="2"/>
      <c r="H963" s="2"/>
      <c r="I963" s="2"/>
      <c r="J963" s="2"/>
      <c r="K963" s="2"/>
      <c r="L963" s="2"/>
      <c r="M963" s="285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85"/>
      <c r="B964" s="2"/>
      <c r="C964" s="2"/>
      <c r="D964" s="65"/>
      <c r="E964" s="2"/>
      <c r="F964" s="65"/>
      <c r="G964" s="2"/>
      <c r="H964" s="2"/>
      <c r="I964" s="2"/>
      <c r="J964" s="2"/>
      <c r="K964" s="2"/>
      <c r="L964" s="2"/>
      <c r="M964" s="285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85"/>
      <c r="B965" s="2"/>
      <c r="C965" s="2"/>
      <c r="D965" s="65"/>
      <c r="E965" s="2"/>
      <c r="F965" s="65"/>
      <c r="G965" s="2"/>
      <c r="H965" s="2"/>
      <c r="I965" s="2"/>
      <c r="J965" s="2"/>
      <c r="K965" s="2"/>
      <c r="L965" s="2"/>
      <c r="M965" s="285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85"/>
      <c r="B966" s="2"/>
      <c r="C966" s="2"/>
      <c r="D966" s="65"/>
      <c r="E966" s="2"/>
      <c r="F966" s="65"/>
      <c r="G966" s="2"/>
      <c r="H966" s="2"/>
      <c r="I966" s="2"/>
      <c r="J966" s="2"/>
      <c r="K966" s="2"/>
      <c r="L966" s="2"/>
      <c r="M966" s="285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85"/>
      <c r="B967" s="2"/>
      <c r="C967" s="2"/>
      <c r="D967" s="65"/>
      <c r="E967" s="2"/>
      <c r="F967" s="65"/>
      <c r="G967" s="2"/>
      <c r="H967" s="2"/>
      <c r="I967" s="2"/>
      <c r="J967" s="2"/>
      <c r="K967" s="2"/>
      <c r="L967" s="2"/>
      <c r="M967" s="285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85"/>
      <c r="B968" s="2"/>
      <c r="C968" s="2"/>
      <c r="D968" s="65"/>
      <c r="E968" s="2"/>
      <c r="F968" s="65"/>
      <c r="G968" s="2"/>
      <c r="H968" s="2"/>
      <c r="I968" s="2"/>
      <c r="J968" s="2"/>
      <c r="K968" s="2"/>
      <c r="L968" s="2"/>
      <c r="M968" s="285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85"/>
      <c r="B969" s="2"/>
      <c r="C969" s="2"/>
      <c r="D969" s="65"/>
      <c r="E969" s="2"/>
      <c r="F969" s="65"/>
      <c r="G969" s="2"/>
      <c r="H969" s="2"/>
      <c r="I969" s="2"/>
      <c r="J969" s="2"/>
      <c r="K969" s="2"/>
      <c r="L969" s="2"/>
      <c r="M969" s="285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85"/>
      <c r="B970" s="2"/>
      <c r="C970" s="2"/>
      <c r="D970" s="65"/>
      <c r="E970" s="2"/>
      <c r="F970" s="65"/>
      <c r="G970" s="2"/>
      <c r="H970" s="2"/>
      <c r="I970" s="2"/>
      <c r="J970" s="2"/>
      <c r="K970" s="2"/>
      <c r="L970" s="2"/>
      <c r="M970" s="285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85"/>
      <c r="B971" s="2"/>
      <c r="C971" s="2"/>
      <c r="D971" s="65"/>
      <c r="E971" s="2"/>
      <c r="F971" s="65"/>
      <c r="G971" s="2"/>
      <c r="H971" s="2"/>
      <c r="I971" s="2"/>
      <c r="J971" s="2"/>
      <c r="K971" s="2"/>
      <c r="L971" s="2"/>
      <c r="M971" s="285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85"/>
      <c r="B972" s="2"/>
      <c r="C972" s="2"/>
      <c r="D972" s="65"/>
      <c r="E972" s="2"/>
      <c r="F972" s="65"/>
      <c r="G972" s="2"/>
      <c r="H972" s="2"/>
      <c r="I972" s="2"/>
      <c r="J972" s="2"/>
      <c r="K972" s="2"/>
      <c r="L972" s="2"/>
      <c r="M972" s="285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85"/>
      <c r="B973" s="2"/>
      <c r="C973" s="2"/>
      <c r="D973" s="65"/>
      <c r="E973" s="2"/>
      <c r="F973" s="65"/>
      <c r="G973" s="2"/>
      <c r="H973" s="2"/>
      <c r="I973" s="2"/>
      <c r="J973" s="2"/>
      <c r="K973" s="2"/>
      <c r="L973" s="2"/>
      <c r="M973" s="285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85"/>
      <c r="B974" s="2"/>
      <c r="C974" s="2"/>
      <c r="D974" s="65"/>
      <c r="E974" s="2"/>
      <c r="F974" s="65"/>
      <c r="G974" s="2"/>
      <c r="H974" s="2"/>
      <c r="I974" s="2"/>
      <c r="J974" s="2"/>
      <c r="K974" s="2"/>
      <c r="L974" s="2"/>
      <c r="M974" s="285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85"/>
      <c r="B975" s="2"/>
      <c r="C975" s="2"/>
      <c r="D975" s="65"/>
      <c r="E975" s="2"/>
      <c r="F975" s="65"/>
      <c r="G975" s="2"/>
      <c r="H975" s="2"/>
      <c r="I975" s="2"/>
      <c r="J975" s="2"/>
      <c r="K975" s="2"/>
      <c r="L975" s="2"/>
      <c r="M975" s="285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85"/>
      <c r="B976" s="2"/>
      <c r="C976" s="2"/>
      <c r="D976" s="65"/>
      <c r="E976" s="2"/>
      <c r="F976" s="65"/>
      <c r="G976" s="2"/>
      <c r="H976" s="2"/>
      <c r="I976" s="2"/>
      <c r="J976" s="2"/>
      <c r="K976" s="2"/>
      <c r="L976" s="2"/>
      <c r="M976" s="285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85"/>
      <c r="B977" s="2"/>
      <c r="C977" s="2"/>
      <c r="D977" s="65"/>
      <c r="E977" s="2"/>
      <c r="F977" s="65"/>
      <c r="G977" s="2"/>
      <c r="H977" s="2"/>
      <c r="I977" s="2"/>
      <c r="J977" s="2"/>
      <c r="K977" s="2"/>
      <c r="L977" s="2"/>
      <c r="M977" s="285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85"/>
      <c r="B978" s="2"/>
      <c r="C978" s="2"/>
      <c r="D978" s="65"/>
      <c r="E978" s="2"/>
      <c r="F978" s="65"/>
      <c r="G978" s="2"/>
      <c r="H978" s="2"/>
      <c r="I978" s="2"/>
      <c r="J978" s="2"/>
      <c r="K978" s="2"/>
      <c r="L978" s="2"/>
      <c r="M978" s="285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85"/>
      <c r="B979" s="2"/>
      <c r="C979" s="2"/>
      <c r="D979" s="65"/>
      <c r="E979" s="2"/>
      <c r="F979" s="65"/>
      <c r="G979" s="2"/>
      <c r="H979" s="2"/>
      <c r="I979" s="2"/>
      <c r="J979" s="2"/>
      <c r="K979" s="2"/>
      <c r="L979" s="2"/>
      <c r="M979" s="285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85"/>
      <c r="B980" s="2"/>
      <c r="C980" s="2"/>
      <c r="D980" s="65"/>
      <c r="E980" s="2"/>
      <c r="F980" s="65"/>
      <c r="G980" s="2"/>
      <c r="H980" s="2"/>
      <c r="I980" s="2"/>
      <c r="J980" s="2"/>
      <c r="K980" s="2"/>
      <c r="L980" s="2"/>
      <c r="M980" s="285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85"/>
      <c r="B981" s="2"/>
      <c r="C981" s="2"/>
      <c r="D981" s="65"/>
      <c r="E981" s="2"/>
      <c r="F981" s="65"/>
      <c r="G981" s="2"/>
      <c r="H981" s="2"/>
      <c r="I981" s="2"/>
      <c r="J981" s="2"/>
      <c r="K981" s="2"/>
      <c r="L981" s="2"/>
      <c r="M981" s="285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85"/>
      <c r="B982" s="2"/>
      <c r="C982" s="2"/>
      <c r="D982" s="65"/>
      <c r="E982" s="2"/>
      <c r="F982" s="65"/>
      <c r="G982" s="2"/>
      <c r="H982" s="2"/>
      <c r="I982" s="2"/>
      <c r="J982" s="2"/>
      <c r="K982" s="2"/>
      <c r="L982" s="2"/>
      <c r="M982" s="285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85"/>
      <c r="B983" s="2"/>
      <c r="C983" s="2"/>
      <c r="D983" s="65"/>
      <c r="E983" s="2"/>
      <c r="F983" s="65"/>
      <c r="G983" s="2"/>
      <c r="H983" s="2"/>
      <c r="I983" s="2"/>
      <c r="J983" s="2"/>
      <c r="K983" s="2"/>
      <c r="L983" s="2"/>
      <c r="M983" s="285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85"/>
      <c r="B984" s="2"/>
      <c r="C984" s="2"/>
      <c r="D984" s="65"/>
      <c r="E984" s="2"/>
      <c r="F984" s="65"/>
      <c r="G984" s="2"/>
      <c r="H984" s="2"/>
      <c r="I984" s="2"/>
      <c r="J984" s="2"/>
      <c r="K984" s="2"/>
      <c r="L984" s="2"/>
      <c r="M984" s="285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85"/>
      <c r="B985" s="2"/>
      <c r="C985" s="2"/>
      <c r="D985" s="65"/>
      <c r="E985" s="2"/>
      <c r="F985" s="65"/>
      <c r="G985" s="2"/>
      <c r="H985" s="2"/>
      <c r="I985" s="2"/>
      <c r="J985" s="2"/>
      <c r="K985" s="2"/>
      <c r="L985" s="2"/>
      <c r="M985" s="285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85"/>
      <c r="B986" s="2"/>
      <c r="C986" s="2"/>
      <c r="D986" s="65"/>
      <c r="E986" s="2"/>
      <c r="F986" s="65"/>
      <c r="G986" s="2"/>
      <c r="H986" s="2"/>
      <c r="I986" s="2"/>
      <c r="J986" s="2"/>
      <c r="K986" s="2"/>
      <c r="L986" s="2"/>
      <c r="M986" s="285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85"/>
      <c r="B987" s="2"/>
      <c r="C987" s="2"/>
      <c r="D987" s="65"/>
      <c r="E987" s="2"/>
      <c r="F987" s="65"/>
      <c r="G987" s="2"/>
      <c r="H987" s="2"/>
      <c r="I987" s="2"/>
      <c r="J987" s="2"/>
      <c r="K987" s="2"/>
      <c r="L987" s="2"/>
      <c r="M987" s="285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85"/>
      <c r="B988" s="2"/>
      <c r="C988" s="2"/>
      <c r="D988" s="65"/>
      <c r="E988" s="2"/>
      <c r="F988" s="65"/>
      <c r="G988" s="2"/>
      <c r="H988" s="2"/>
      <c r="I988" s="2"/>
      <c r="J988" s="2"/>
      <c r="K988" s="2"/>
      <c r="L988" s="2"/>
      <c r="M988" s="285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85"/>
      <c r="B989" s="2"/>
      <c r="C989" s="2"/>
      <c r="D989" s="65"/>
      <c r="E989" s="2"/>
      <c r="F989" s="65"/>
      <c r="G989" s="2"/>
      <c r="H989" s="2"/>
      <c r="I989" s="2"/>
      <c r="J989" s="2"/>
      <c r="K989" s="2"/>
      <c r="L989" s="2"/>
      <c r="M989" s="285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85"/>
      <c r="B990" s="2"/>
      <c r="C990" s="2"/>
      <c r="D990" s="65"/>
      <c r="E990" s="2"/>
      <c r="F990" s="65"/>
      <c r="G990" s="2"/>
      <c r="H990" s="2"/>
      <c r="I990" s="2"/>
      <c r="J990" s="2"/>
      <c r="K990" s="2"/>
      <c r="L990" s="2"/>
      <c r="M990" s="285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85"/>
      <c r="B991" s="2"/>
      <c r="C991" s="2"/>
      <c r="D991" s="65"/>
      <c r="E991" s="2"/>
      <c r="F991" s="65"/>
      <c r="G991" s="2"/>
      <c r="H991" s="2"/>
      <c r="I991" s="2"/>
      <c r="J991" s="2"/>
      <c r="K991" s="2"/>
      <c r="L991" s="2"/>
      <c r="M991" s="285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85"/>
      <c r="B992" s="2"/>
      <c r="C992" s="2"/>
      <c r="D992" s="65"/>
      <c r="E992" s="2"/>
      <c r="F992" s="65"/>
      <c r="G992" s="2"/>
      <c r="H992" s="2"/>
      <c r="I992" s="2"/>
      <c r="J992" s="2"/>
      <c r="K992" s="2"/>
      <c r="L992" s="2"/>
      <c r="M992" s="285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85"/>
      <c r="B993" s="2"/>
      <c r="C993" s="2"/>
      <c r="D993" s="65"/>
      <c r="E993" s="2"/>
      <c r="F993" s="65"/>
      <c r="G993" s="2"/>
      <c r="H993" s="2"/>
      <c r="I993" s="2"/>
      <c r="J993" s="2"/>
      <c r="K993" s="2"/>
      <c r="L993" s="2"/>
      <c r="M993" s="285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85"/>
      <c r="B994" s="2"/>
      <c r="C994" s="2"/>
      <c r="D994" s="65"/>
      <c r="E994" s="2"/>
      <c r="F994" s="65"/>
      <c r="G994" s="2"/>
      <c r="H994" s="2"/>
      <c r="I994" s="2"/>
      <c r="J994" s="2"/>
      <c r="K994" s="2"/>
      <c r="L994" s="2"/>
      <c r="M994" s="285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85"/>
      <c r="B995" s="2"/>
      <c r="C995" s="2"/>
      <c r="D995" s="65"/>
      <c r="E995" s="2"/>
      <c r="F995" s="65"/>
      <c r="G995" s="2"/>
      <c r="H995" s="2"/>
      <c r="I995" s="2"/>
      <c r="J995" s="2"/>
      <c r="K995" s="2"/>
      <c r="L995" s="2"/>
      <c r="M995" s="285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85"/>
      <c r="B996" s="2"/>
      <c r="C996" s="2"/>
      <c r="D996" s="65"/>
      <c r="E996" s="2"/>
      <c r="F996" s="65"/>
      <c r="G996" s="2"/>
      <c r="H996" s="2"/>
      <c r="I996" s="2"/>
      <c r="J996" s="2"/>
      <c r="K996" s="2"/>
      <c r="L996" s="2"/>
      <c r="M996" s="285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85"/>
      <c r="B997" s="2"/>
      <c r="C997" s="2"/>
      <c r="D997" s="65"/>
      <c r="E997" s="2"/>
      <c r="F997" s="65"/>
      <c r="G997" s="2"/>
      <c r="H997" s="2"/>
      <c r="I997" s="2"/>
      <c r="J997" s="2"/>
      <c r="K997" s="2"/>
      <c r="L997" s="2"/>
      <c r="M997" s="285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85"/>
      <c r="B998" s="2"/>
      <c r="C998" s="2"/>
      <c r="D998" s="65"/>
      <c r="E998" s="2"/>
      <c r="F998" s="65"/>
      <c r="G998" s="2"/>
      <c r="H998" s="2"/>
      <c r="I998" s="2"/>
      <c r="J998" s="2"/>
      <c r="K998" s="2"/>
      <c r="L998" s="2"/>
      <c r="M998" s="285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85"/>
      <c r="B999" s="2"/>
      <c r="C999" s="2"/>
      <c r="D999" s="65"/>
      <c r="E999" s="2"/>
      <c r="F999" s="65"/>
      <c r="G999" s="2"/>
      <c r="H999" s="2"/>
      <c r="I999" s="2"/>
      <c r="J999" s="2"/>
      <c r="K999" s="2"/>
      <c r="L999" s="2"/>
      <c r="M999" s="285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85"/>
      <c r="B1000" s="2"/>
      <c r="C1000" s="2"/>
      <c r="D1000" s="65"/>
      <c r="E1000" s="2"/>
      <c r="F1000" s="65"/>
      <c r="G1000" s="2"/>
      <c r="H1000" s="2"/>
      <c r="I1000" s="2"/>
      <c r="J1000" s="2"/>
      <c r="K1000" s="2"/>
      <c r="L1000" s="2"/>
      <c r="M1000" s="285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>
      <c r="A1001" s="285"/>
      <c r="B1001" s="2"/>
      <c r="C1001" s="2"/>
      <c r="D1001" s="65"/>
      <c r="E1001" s="2"/>
      <c r="F1001" s="65"/>
      <c r="G1001" s="2"/>
      <c r="H1001" s="2"/>
      <c r="I1001" s="2"/>
      <c r="J1001" s="2"/>
      <c r="K1001" s="2"/>
      <c r="L1001" s="2"/>
      <c r="M1001" s="285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>
      <c r="A1002" s="285"/>
      <c r="B1002" s="2"/>
      <c r="C1002" s="2"/>
      <c r="D1002" s="65"/>
      <c r="E1002" s="2"/>
      <c r="F1002" s="65"/>
      <c r="G1002" s="2"/>
      <c r="H1002" s="2"/>
      <c r="I1002" s="2"/>
      <c r="J1002" s="2"/>
      <c r="K1002" s="2"/>
      <c r="L1002" s="2"/>
      <c r="M1002" s="285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>
      <c r="A1003" s="285"/>
      <c r="B1003" s="2"/>
      <c r="C1003" s="2"/>
      <c r="D1003" s="65"/>
      <c r="E1003" s="2"/>
      <c r="F1003" s="65"/>
      <c r="G1003" s="2"/>
      <c r="H1003" s="2"/>
      <c r="I1003" s="2"/>
      <c r="J1003" s="2"/>
      <c r="K1003" s="2"/>
      <c r="L1003" s="2"/>
      <c r="M1003" s="285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>
      <c r="A1004" s="285"/>
      <c r="B1004" s="2"/>
      <c r="C1004" s="2"/>
      <c r="D1004" s="65"/>
      <c r="E1004" s="2"/>
      <c r="F1004" s="65"/>
      <c r="G1004" s="2"/>
      <c r="H1004" s="2"/>
      <c r="I1004" s="2"/>
      <c r="J1004" s="2"/>
      <c r="K1004" s="2"/>
      <c r="L1004" s="2"/>
      <c r="M1004" s="285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>
      <c r="A1005" s="285"/>
      <c r="B1005" s="2"/>
      <c r="C1005" s="2"/>
      <c r="D1005" s="65"/>
      <c r="E1005" s="2"/>
      <c r="F1005" s="65"/>
      <c r="G1005" s="2"/>
      <c r="H1005" s="2"/>
      <c r="I1005" s="2"/>
      <c r="J1005" s="2"/>
      <c r="K1005" s="2"/>
      <c r="L1005" s="2"/>
      <c r="M1005" s="285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>
      <c r="A1006" s="285"/>
      <c r="B1006" s="2"/>
      <c r="C1006" s="2"/>
      <c r="D1006" s="65"/>
      <c r="E1006" s="2"/>
      <c r="F1006" s="65"/>
      <c r="G1006" s="2"/>
      <c r="H1006" s="2"/>
      <c r="I1006" s="2"/>
      <c r="J1006" s="2"/>
      <c r="K1006" s="2"/>
      <c r="L1006" s="2"/>
      <c r="M1006" s="285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>
      <c r="A1007" s="285"/>
      <c r="B1007" s="2"/>
      <c r="C1007" s="2"/>
      <c r="D1007" s="65"/>
      <c r="E1007" s="2"/>
      <c r="F1007" s="65"/>
      <c r="G1007" s="2"/>
      <c r="H1007" s="2"/>
      <c r="I1007" s="2"/>
      <c r="J1007" s="2"/>
      <c r="K1007" s="2"/>
      <c r="L1007" s="2"/>
      <c r="M1007" s="285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>
      <c r="A1008" s="285"/>
      <c r="B1008" s="2"/>
      <c r="C1008" s="2"/>
      <c r="D1008" s="65"/>
      <c r="E1008" s="2"/>
      <c r="F1008" s="65"/>
      <c r="G1008" s="2"/>
      <c r="H1008" s="2"/>
      <c r="I1008" s="2"/>
      <c r="J1008" s="2"/>
      <c r="K1008" s="2"/>
      <c r="L1008" s="2"/>
      <c r="M1008" s="285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>
      <c r="A1009" s="285"/>
      <c r="B1009" s="2"/>
      <c r="C1009" s="2"/>
      <c r="D1009" s="65"/>
      <c r="E1009" s="2"/>
      <c r="F1009" s="65"/>
      <c r="G1009" s="2"/>
      <c r="H1009" s="2"/>
      <c r="I1009" s="2"/>
      <c r="J1009" s="2"/>
      <c r="K1009" s="2"/>
      <c r="L1009" s="2"/>
      <c r="M1009" s="285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>
      <c r="A1010" s="285"/>
      <c r="B1010" s="2"/>
      <c r="C1010" s="2"/>
      <c r="D1010" s="65"/>
      <c r="E1010" s="2"/>
      <c r="F1010" s="65"/>
      <c r="G1010" s="2"/>
      <c r="H1010" s="2"/>
      <c r="I1010" s="2"/>
      <c r="J1010" s="2"/>
      <c r="K1010" s="2"/>
      <c r="L1010" s="2"/>
      <c r="M1010" s="285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>
      <c r="A1011" s="285"/>
      <c r="B1011" s="2"/>
      <c r="C1011" s="2"/>
      <c r="D1011" s="65"/>
      <c r="E1011" s="2"/>
      <c r="F1011" s="65"/>
      <c r="G1011" s="2"/>
      <c r="H1011" s="2"/>
      <c r="I1011" s="2"/>
      <c r="J1011" s="2"/>
      <c r="K1011" s="2"/>
      <c r="L1011" s="2"/>
      <c r="M1011" s="285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>
      <c r="A1012" s="285"/>
      <c r="B1012" s="2"/>
      <c r="C1012" s="2"/>
      <c r="D1012" s="65"/>
      <c r="E1012" s="2"/>
      <c r="F1012" s="65"/>
      <c r="G1012" s="2"/>
      <c r="H1012" s="2"/>
      <c r="I1012" s="2"/>
      <c r="J1012" s="2"/>
      <c r="K1012" s="2"/>
      <c r="L1012" s="2"/>
      <c r="M1012" s="285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>
      <c r="A1013" s="285"/>
      <c r="B1013" s="2"/>
      <c r="C1013" s="2"/>
      <c r="D1013" s="65"/>
      <c r="E1013" s="2"/>
      <c r="F1013" s="65"/>
      <c r="G1013" s="2"/>
      <c r="H1013" s="2"/>
      <c r="I1013" s="2"/>
      <c r="J1013" s="2"/>
      <c r="K1013" s="2"/>
      <c r="L1013" s="2"/>
      <c r="M1013" s="285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8CF23-BD7B-F144-BC8C-70733DFC7F3C}">
  <dimension ref="A1:AD112"/>
  <sheetViews>
    <sheetView workbookViewId="0"/>
  </sheetViews>
  <sheetFormatPr baseColWidth="10" defaultRowHeight="16"/>
  <sheetData>
    <row r="1" spans="1:30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  <c r="AD1" s="65"/>
    </row>
    <row r="2" spans="1:30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472873</v>
      </c>
      <c r="Q2" s="12">
        <v>472873</v>
      </c>
      <c r="R2" s="4"/>
      <c r="S2" s="6"/>
      <c r="T2" s="6"/>
      <c r="U2" s="6"/>
      <c r="V2" s="6"/>
      <c r="W2" s="6"/>
      <c r="X2" s="12">
        <v>478712</v>
      </c>
      <c r="Y2" s="12">
        <v>478712</v>
      </c>
      <c r="Z2" s="12">
        <v>483816</v>
      </c>
      <c r="AA2" s="5">
        <v>483816</v>
      </c>
      <c r="AB2" s="5">
        <v>488156</v>
      </c>
      <c r="AC2" s="5">
        <v>488156</v>
      </c>
      <c r="AD2" s="1"/>
    </row>
    <row r="3" spans="1:30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531</v>
      </c>
      <c r="Q3" s="2">
        <v>531</v>
      </c>
      <c r="R3" s="2">
        <v>555</v>
      </c>
      <c r="S3" s="2">
        <v>579</v>
      </c>
      <c r="T3" s="2">
        <v>602</v>
      </c>
      <c r="U3" s="2">
        <v>626</v>
      </c>
      <c r="V3" s="2">
        <v>650</v>
      </c>
      <c r="W3" s="2">
        <v>650</v>
      </c>
      <c r="X3" s="2">
        <v>542</v>
      </c>
      <c r="Y3" s="2">
        <f ca="1">IFERROR(__xludf.DUMMYFUNCTION("INDEX(IMPORTRANGE(""1y0FWgjbB0gVlqn-q5LMJbGIsqOrzru4yowQz67dz2yc"", ""'ESC'!BH3:BH139""),MATCH(D3,IMPORTRANGE(""1y0FWgjbB0gVlqn-q5LMJbGIsqOrzru4yowQz67dz2yc"", ""'ESC'!D3:D139""),0))"),534)</f>
        <v>534</v>
      </c>
      <c r="Z3" s="2">
        <f ca="1">IFERROR(__xludf.DUMMYFUNCTION("INDEX(IMPORTRANGE(""1y0FWgjbB0gVlqn-q5LMJbGIsqOrzru4yowQz67dz2yc"", ""'ESC'!BI3:BI139""),MATCH(D3,IMPORTRANGE(""1y0FWgjbB0gVlqn-q5LMJbGIsqOrzru4yowQz67dz2yc"", ""'ESC'!D3:D139""),0))"),540)</f>
        <v>540</v>
      </c>
      <c r="AA3" s="1"/>
      <c r="AB3" s="1"/>
      <c r="AC3" s="1"/>
      <c r="AD3" s="1"/>
    </row>
    <row r="4" spans="1:30">
      <c r="A4" s="7" t="s">
        <v>34</v>
      </c>
      <c r="B4" s="7" t="s">
        <v>40</v>
      </c>
      <c r="C4" s="1" t="s">
        <v>30</v>
      </c>
      <c r="D4" s="156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473</v>
      </c>
      <c r="Q4" s="2">
        <v>473</v>
      </c>
      <c r="R4" s="4"/>
      <c r="S4" s="4"/>
      <c r="T4" s="4"/>
      <c r="U4" s="4"/>
      <c r="V4" s="4"/>
      <c r="W4" s="4"/>
      <c r="X4" s="2">
        <v>512</v>
      </c>
      <c r="Y4" s="2">
        <f ca="1">IFERROR(__xludf.DUMMYFUNCTION("INDEX(IMPORTRANGE(""1y0FWgjbB0gVlqn-q5LMJbGIsqOrzru4yowQz67dz2yc"", ""'ESC'!BH3:BH139""),MATCH(D4,IMPORTRANGE(""1y0FWgjbB0gVlqn-q5LMJbGIsqOrzru4yowQz67dz2yc"", ""'ESC'!D3:D139""),0))"),496)</f>
        <v>496</v>
      </c>
      <c r="Z4" s="2">
        <f ca="1">IFERROR(__xludf.DUMMYFUNCTION("INDEX(IMPORTRANGE(""1y0FWgjbB0gVlqn-q5LMJbGIsqOrzru4yowQz67dz2yc"", ""'ESC'!BI3:BI139""),MATCH(D4,IMPORTRANGE(""1y0FWgjbB0gVlqn-q5LMJbGIsqOrzru4yowQz67dz2yc"", ""'ESC'!D3:D139""),0))"),504)</f>
        <v>504</v>
      </c>
      <c r="AA4" s="1"/>
      <c r="AB4" s="1"/>
      <c r="AC4" s="1"/>
      <c r="AD4" s="1"/>
    </row>
    <row r="5" spans="1:30">
      <c r="A5" s="7" t="s">
        <v>34</v>
      </c>
      <c r="B5" s="7" t="s">
        <v>40</v>
      </c>
      <c r="C5" s="1" t="s">
        <v>36</v>
      </c>
      <c r="D5" s="156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0.89077212806026362</v>
      </c>
      <c r="Q5" s="15">
        <f t="shared" si="0"/>
        <v>0.89077212806026362</v>
      </c>
      <c r="R5" s="31" t="s">
        <v>327</v>
      </c>
      <c r="S5" s="31" t="s">
        <v>327</v>
      </c>
      <c r="T5" s="31" t="s">
        <v>327</v>
      </c>
      <c r="U5" s="31" t="s">
        <v>327</v>
      </c>
      <c r="V5" s="31" t="s">
        <v>327</v>
      </c>
      <c r="W5" s="31" t="s">
        <v>327</v>
      </c>
      <c r="X5" s="15">
        <f>X4/X3</f>
        <v>0.94464944649446492</v>
      </c>
      <c r="Y5" s="15">
        <f ca="1">IFERROR(__xludf.DUMMYFUNCTION("INDEX(IMPORTRANGE(""1y0FWgjbB0gVlqn-q5LMJbGIsqOrzru4yowQz67dz2yc"", ""'ESC'!BH3:BH139""),MATCH(D5,IMPORTRANGE(""1y0FWgjbB0gVlqn-q5LMJbGIsqOrzru4yowQz67dz2yc"", ""'ESC'!D3:D139""),0))"),0.928838951310861)</f>
        <v>0.92883895131086103</v>
      </c>
      <c r="Z5" s="15">
        <f ca="1">IFERROR(__xludf.DUMMYFUNCTION("INDEX(IMPORTRANGE(""1y0FWgjbB0gVlqn-q5LMJbGIsqOrzru4yowQz67dz2yc"", ""'ESC'!BI3:BI139""),MATCH(D5,IMPORTRANGE(""1y0FWgjbB0gVlqn-q5LMJbGIsqOrzru4yowQz67dz2yc"", ""'ESC'!D3:D139""),0))"),0.933333333333333)</f>
        <v>0.93333333333333302</v>
      </c>
      <c r="AA5" s="1"/>
      <c r="AB5" s="1"/>
      <c r="AC5" s="1"/>
      <c r="AD5" s="1"/>
    </row>
    <row r="6" spans="1:30">
      <c r="A6" s="7" t="s">
        <v>34</v>
      </c>
      <c r="B6" s="7" t="s">
        <v>45</v>
      </c>
      <c r="C6" s="1" t="s">
        <v>30</v>
      </c>
      <c r="D6" s="156" t="s">
        <v>328</v>
      </c>
      <c r="E6" s="155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14"/>
      <c r="X6" s="2"/>
      <c r="Y6" s="2">
        <f ca="1">IFERROR(__xludf.DUMMYFUNCTION("INDEX(IMPORTRANGE(""1y0FWgjbB0gVlqn-q5LMJbGIsqOrzru4yowQz67dz2yc"", ""'ESC'!BH3:BH139""),MATCH(D6,IMPORTRANGE(""1y0FWgjbB0gVlqn-q5LMJbGIsqOrzru4yowQz67dz2yc"", ""'ESC'!D3:D139""),0))"),8)</f>
        <v>8</v>
      </c>
      <c r="Z6" s="2">
        <f ca="1">IFERROR(__xludf.DUMMYFUNCTION("INDEX(IMPORTRANGE(""1y0FWgjbB0gVlqn-q5LMJbGIsqOrzru4yowQz67dz2yc"", ""'ESC'!BI3:BI139""),MATCH(D6,IMPORTRANGE(""1y0FWgjbB0gVlqn-q5LMJbGIsqOrzru4yowQz67dz2yc"", ""'ESC'!D3:D139""),0))"),0)</f>
        <v>0</v>
      </c>
      <c r="AA6" s="1"/>
      <c r="AB6" s="1"/>
      <c r="AC6" s="1"/>
      <c r="AD6" s="1"/>
    </row>
    <row r="7" spans="1:30">
      <c r="A7" s="155" t="s">
        <v>34</v>
      </c>
      <c r="B7" s="155" t="s">
        <v>45</v>
      </c>
      <c r="C7" s="156" t="s">
        <v>30</v>
      </c>
      <c r="D7" s="156" t="s">
        <v>329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5"/>
      <c r="Q7" s="15"/>
      <c r="R7" s="2"/>
      <c r="S7" s="2">
        <f>7%/5</f>
        <v>1.4000000000000002E-2</v>
      </c>
      <c r="T7" s="2"/>
      <c r="U7" s="2"/>
      <c r="V7" s="2"/>
      <c r="W7" s="14">
        <v>7.0000000000000007E-2</v>
      </c>
      <c r="X7" s="15"/>
      <c r="Y7" s="2" t="str">
        <f ca="1">IFERROR(__xludf.DUMMYFUNCTION("INDEX(IMPORTRANGE(""1y0FWgjbB0gVlqn-q5LMJbGIsqOrzru4yowQz67dz2yc"", ""'ESC'!BH3:BH139""),MATCH(D7,IMPORTRANGE(""1y0FWgjbB0gVlqn-q5LMJbGIsqOrzru4yowQz67dz2yc"", ""'ESC'!D3:D139""),0))"),"")</f>
        <v/>
      </c>
      <c r="Z7" s="2">
        <f ca="1">IFERROR(__xludf.DUMMYFUNCTION("INDEX(IMPORTRANGE(""1y0FWgjbB0gVlqn-q5LMJbGIsqOrzru4yowQz67dz2yc"", ""'ESC'!BI3:BI139""),MATCH(D7,IMPORTRANGE(""1y0FWgjbB0gVlqn-q5LMJbGIsqOrzru4yowQz67dz2yc"", ""'ESC'!D3:D139""),0))"),0)</f>
        <v>0</v>
      </c>
      <c r="AA7" s="1"/>
      <c r="AB7" s="1"/>
      <c r="AC7" s="1"/>
      <c r="AD7" s="1"/>
    </row>
    <row r="8" spans="1:30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P6/P2</f>
        <v>0</v>
      </c>
      <c r="Q8" s="15">
        <f t="shared" si="1"/>
        <v>0</v>
      </c>
      <c r="R8" s="14">
        <v>0.02</v>
      </c>
      <c r="S8" s="14">
        <v>0.04</v>
      </c>
      <c r="T8" s="14">
        <v>0.06</v>
      </c>
      <c r="U8" s="14">
        <v>0.08</v>
      </c>
      <c r="V8" s="14">
        <v>0.1</v>
      </c>
      <c r="W8" s="14">
        <v>0.1</v>
      </c>
      <c r="X8" s="15">
        <f>X6/X2</f>
        <v>0</v>
      </c>
      <c r="Y8" s="15">
        <f ca="1">IFERROR(__xludf.DUMMYFUNCTION("INDEX(IMPORTRANGE(""1y0FWgjbB0gVlqn-q5LMJbGIsqOrzru4yowQz67dz2yc"", ""'ESC'!BH3:BH139""),MATCH(D8,IMPORTRANGE(""1y0FWgjbB0gVlqn-q5LMJbGIsqOrzru4yowQz67dz2yc"", ""'ESC'!D3:D139""),0))"),0.0149812734082397)</f>
        <v>1.4981273408239701E-2</v>
      </c>
      <c r="Z8" s="15">
        <f ca="1">IFERROR(__xludf.DUMMYFUNCTION("INDEX(IMPORTRANGE(""1y0FWgjbB0gVlqn-q5LMJbGIsqOrzru4yowQz67dz2yc"", ""'ESC'!BI3:BI139""),MATCH(D8,IMPORTRANGE(""1y0FWgjbB0gVlqn-q5LMJbGIsqOrzru4yowQz67dz2yc"", ""'ESC'!D3:D139""),0))"),0)</f>
        <v>0</v>
      </c>
      <c r="AA8" s="1"/>
      <c r="AB8" s="1"/>
      <c r="AC8" s="1"/>
      <c r="AD8" s="1"/>
    </row>
    <row r="9" spans="1:30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">
        <v>0</v>
      </c>
      <c r="Q9" s="2">
        <v>0</v>
      </c>
      <c r="R9" s="4"/>
      <c r="S9" s="4"/>
      <c r="T9" s="4"/>
      <c r="U9" s="4"/>
      <c r="V9" s="4"/>
      <c r="W9" s="4"/>
      <c r="X9" s="2">
        <v>1</v>
      </c>
      <c r="Y9" s="2">
        <f ca="1">IFERROR(__xludf.DUMMYFUNCTION("INDEX(IMPORTRANGE(""1y0FWgjbB0gVlqn-q5LMJbGIsqOrzru4yowQz67dz2yc"", ""'ESC'!BH3:BH139""),MATCH(D9,IMPORTRANGE(""1y0FWgjbB0gVlqn-q5LMJbGIsqOrzru4yowQz67dz2yc"", ""'ESC'!D3:D139""),0))"),165)</f>
        <v>165</v>
      </c>
      <c r="Z9" s="2">
        <f ca="1">IFERROR(__xludf.DUMMYFUNCTION("INDEX(IMPORTRANGE(""1y0FWgjbB0gVlqn-q5LMJbGIsqOrzru4yowQz67dz2yc"", ""'ESC'!BI3:BI139""),MATCH(D9,IMPORTRANGE(""1y0FWgjbB0gVlqn-q5LMJbGIsqOrzru4yowQz67dz2yc"", ""'ESC'!D3:D139""),0))"),115)</f>
        <v>115</v>
      </c>
      <c r="AA9" s="1"/>
      <c r="AB9" s="1"/>
      <c r="AC9" s="1"/>
      <c r="AD9" s="1"/>
    </row>
    <row r="10" spans="1:30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2117</v>
      </c>
      <c r="Q10" s="12">
        <v>4034</v>
      </c>
      <c r="R10" s="4"/>
      <c r="S10" s="4"/>
      <c r="T10" s="4"/>
      <c r="U10" s="4"/>
      <c r="V10" s="4"/>
      <c r="W10" s="4"/>
      <c r="X10" s="12">
        <v>1931</v>
      </c>
      <c r="Y10" s="2">
        <f ca="1">IFERROR(__xludf.DUMMYFUNCTION("INDEX(IMPORTRANGE(""1y0FWgjbB0gVlqn-q5LMJbGIsqOrzru4yowQz67dz2yc"", ""'ESC'!BH3:BH139""),MATCH(D10,IMPORTRANGE(""1y0FWgjbB0gVlqn-q5LMJbGIsqOrzru4yowQz67dz2yc"", ""'ESC'!D3:D139""),0))"),4251)</f>
        <v>4251</v>
      </c>
      <c r="Z10" s="2">
        <f ca="1">IFERROR(__xludf.DUMMYFUNCTION("INDEX(IMPORTRANGE(""1y0FWgjbB0gVlqn-q5LMJbGIsqOrzru4yowQz67dz2yc"", ""'ESC'!BI3:BI139""),MATCH(D10,IMPORTRANGE(""1y0FWgjbB0gVlqn-q5LMJbGIsqOrzru4yowQz67dz2yc"", ""'ESC'!D3:D139""),0))"),1820)</f>
        <v>1820</v>
      </c>
      <c r="AA10" s="1"/>
      <c r="AB10" s="1"/>
      <c r="AC10" s="1"/>
      <c r="AD10" s="1"/>
    </row>
    <row r="11" spans="1:30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4">
        <v>0.03</v>
      </c>
      <c r="S11" s="14">
        <v>0.06</v>
      </c>
      <c r="T11" s="14">
        <v>0.09</v>
      </c>
      <c r="U11" s="14">
        <v>0.12</v>
      </c>
      <c r="V11" s="14">
        <v>0.15</v>
      </c>
      <c r="W11" s="14">
        <v>0.15</v>
      </c>
      <c r="X11" s="15">
        <f>X9/X10</f>
        <v>5.1786639047125837E-4</v>
      </c>
      <c r="Y11" s="15">
        <f ca="1">IFERROR(__xludf.DUMMYFUNCTION("INDEX(IMPORTRANGE(""1y0FWgjbB0gVlqn-q5LMJbGIsqOrzru4yowQz67dz2yc"", ""'ESC'!BH3:BH139""),MATCH(D11,IMPORTRANGE(""1y0FWgjbB0gVlqn-q5LMJbGIsqOrzru4yowQz67dz2yc"", ""'ESC'!D3:D139""),0))"),0.0388143966125617)</f>
        <v>3.8814396612561697E-2</v>
      </c>
      <c r="Z11" s="15">
        <f ca="1">IFERROR(__xludf.DUMMYFUNCTION("INDEX(IMPORTRANGE(""1y0FWgjbB0gVlqn-q5LMJbGIsqOrzru4yowQz67dz2yc"", ""'ESC'!BI3:BI139""),MATCH(D11,IMPORTRANGE(""1y0FWgjbB0gVlqn-q5LMJbGIsqOrzru4yowQz67dz2yc"", ""'ESC'!D3:D139""),0))"),0.0631868131868131)</f>
        <v>6.3186813186813101E-2</v>
      </c>
      <c r="AA11" s="1"/>
      <c r="AB11" s="1"/>
      <c r="AC11" s="1"/>
      <c r="AD11" s="1"/>
    </row>
    <row r="12" spans="1:30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34</v>
      </c>
      <c r="Q12" s="12">
        <v>81</v>
      </c>
      <c r="R12" s="4"/>
      <c r="S12" s="4"/>
      <c r="T12" s="4"/>
      <c r="U12" s="4"/>
      <c r="V12" s="4"/>
      <c r="W12" s="4"/>
      <c r="X12" s="12">
        <v>47</v>
      </c>
      <c r="Y12" s="2">
        <f ca="1">IFERROR(__xludf.DUMMYFUNCTION("INDEX(IMPORTRANGE(""1y0FWgjbB0gVlqn-q5LMJbGIsqOrzru4yowQz67dz2yc"", ""'ESC'!BH3:BH139""),MATCH(D12,IMPORTRANGE(""1y0FWgjbB0gVlqn-q5LMJbGIsqOrzru4yowQz67dz2yc"", ""'ESC'!D3:D139""),0))"),109)</f>
        <v>109</v>
      </c>
      <c r="Z12" s="2">
        <f ca="1">IFERROR(__xludf.DUMMYFUNCTION("INDEX(IMPORTRANGE(""1y0FWgjbB0gVlqn-q5LMJbGIsqOrzru4yowQz67dz2yc"", ""'ESC'!BI3:BI139""),MATCH(D12,IMPORTRANGE(""1y0FWgjbB0gVlqn-q5LMJbGIsqOrzru4yowQz67dz2yc"", ""'ESC'!D3:D139""),0))"),50)</f>
        <v>50</v>
      </c>
      <c r="AA12" s="1"/>
      <c r="AB12" s="1"/>
      <c r="AC12" s="1"/>
      <c r="AD12" s="1"/>
    </row>
    <row r="13" spans="1:30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7.1900912084217108</v>
      </c>
      <c r="Q13" s="23">
        <f t="shared" si="3"/>
        <v>17.129334937710546</v>
      </c>
      <c r="R13" s="2">
        <v>14.1</v>
      </c>
      <c r="S13" s="2">
        <v>4.9000000000000004</v>
      </c>
      <c r="T13" s="2">
        <v>11.6</v>
      </c>
      <c r="U13" s="2">
        <v>3.4</v>
      </c>
      <c r="V13" s="2">
        <v>8</v>
      </c>
      <c r="W13" s="2">
        <v>8</v>
      </c>
      <c r="X13" s="23">
        <f>(X12/X$2)*100000</f>
        <v>9.818011664633433</v>
      </c>
      <c r="Y13" s="23">
        <f ca="1">IFERROR(__xludf.DUMMYFUNCTION("INDEX(IMPORTRANGE(""1y0FWgjbB0gVlqn-q5LMJbGIsqOrzru4yowQz67dz2yc"", ""'ESC'!BH3:BH139""),MATCH(D13,IMPORTRANGE(""1y0FWgjbB0gVlqn-q5LMJbGIsqOrzru4yowQz67dz2yc"", ""'ESC'!D3:D139""),0))"),22.7694313073413)</f>
        <v>22.7694313073413</v>
      </c>
      <c r="Z13" s="23">
        <f ca="1">IFERROR(__xludf.DUMMYFUNCTION("INDEX(IMPORTRANGE(""1y0FWgjbB0gVlqn-q5LMJbGIsqOrzru4yowQz67dz2yc"", ""'ESC'!BI3:BI139""),MATCH(D13,IMPORTRANGE(""1y0FWgjbB0gVlqn-q5LMJbGIsqOrzru4yowQz67dz2yc"", ""'ESC'!D3:D139""),0))"),10.3345073333664)</f>
        <v>10.3345073333664</v>
      </c>
      <c r="AA13" s="1"/>
      <c r="AB13" s="1"/>
      <c r="AC13" s="1"/>
      <c r="AD13" s="1"/>
    </row>
    <row r="14" spans="1:30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231</v>
      </c>
      <c r="Q14" s="12">
        <v>407</v>
      </c>
      <c r="R14" s="4"/>
      <c r="S14" s="4"/>
      <c r="T14" s="4"/>
      <c r="U14" s="4"/>
      <c r="V14" s="4"/>
      <c r="W14" s="4"/>
      <c r="X14" s="12">
        <v>258</v>
      </c>
      <c r="Y14" s="2">
        <f ca="1">IFERROR(__xludf.DUMMYFUNCTION("INDEX(IMPORTRANGE(""1y0FWgjbB0gVlqn-q5LMJbGIsqOrzru4yowQz67dz2yc"", ""'ESC'!BH3:BH139""),MATCH(D14,IMPORTRANGE(""1y0FWgjbB0gVlqn-q5LMJbGIsqOrzru4yowQz67dz2yc"", ""'ESC'!D3:D139""),0))"),480)</f>
        <v>480</v>
      </c>
      <c r="Z14" s="2">
        <f ca="1">IFERROR(__xludf.DUMMYFUNCTION("INDEX(IMPORTRANGE(""1y0FWgjbB0gVlqn-q5LMJbGIsqOrzru4yowQz67dz2yc"", ""'ESC'!BI3:BI139""),MATCH(D14,IMPORTRANGE(""1y0FWgjbB0gVlqn-q5LMJbGIsqOrzru4yowQz67dz2yc"", ""'ESC'!D3:D139""),0))"),219)</f>
        <v>219</v>
      </c>
      <c r="AA14" s="1"/>
      <c r="AB14" s="1"/>
      <c r="AC14" s="1"/>
      <c r="AD14" s="1"/>
    </row>
    <row r="15" spans="1:30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282</v>
      </c>
      <c r="Q15" s="12">
        <v>618</v>
      </c>
      <c r="R15" s="4"/>
      <c r="S15" s="4"/>
      <c r="T15" s="4"/>
      <c r="U15" s="4"/>
      <c r="V15" s="4"/>
      <c r="W15" s="4"/>
      <c r="X15" s="12">
        <v>420</v>
      </c>
      <c r="Y15" s="2">
        <f ca="1">IFERROR(__xludf.DUMMYFUNCTION("INDEX(IMPORTRANGE(""1y0FWgjbB0gVlqn-q5LMJbGIsqOrzru4yowQz67dz2yc"", ""'ESC'!BH3:BH139""),MATCH(D15,IMPORTRANGE(""1y0FWgjbB0gVlqn-q5LMJbGIsqOrzru4yowQz67dz2yc"", ""'ESC'!D3:D139""),0))"),818)</f>
        <v>818</v>
      </c>
      <c r="Z15" s="2">
        <f ca="1">IFERROR(__xludf.DUMMYFUNCTION("INDEX(IMPORTRANGE(""1y0FWgjbB0gVlqn-q5LMJbGIsqOrzru4yowQz67dz2yc"", ""'ESC'!BI3:BI139""),MATCH(D15,IMPORTRANGE(""1y0FWgjbB0gVlqn-q5LMJbGIsqOrzru4yowQz67dz2yc"", ""'ESC'!D3:D139""),0))"),323)</f>
        <v>323</v>
      </c>
      <c r="AA15" s="1"/>
      <c r="AB15" s="1"/>
      <c r="AC15" s="1"/>
      <c r="AD15" s="1"/>
    </row>
    <row r="16" spans="1:30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126</v>
      </c>
      <c r="Q16" s="12">
        <v>279</v>
      </c>
      <c r="R16" s="4"/>
      <c r="S16" s="4"/>
      <c r="T16" s="4"/>
      <c r="U16" s="4"/>
      <c r="V16" s="4"/>
      <c r="W16" s="4"/>
      <c r="X16" s="12">
        <v>174</v>
      </c>
      <c r="Y16" s="2">
        <f ca="1">IFERROR(__xludf.DUMMYFUNCTION("INDEX(IMPORTRANGE(""1y0FWgjbB0gVlqn-q5LMJbGIsqOrzru4yowQz67dz2yc"", ""'ESC'!BH3:BH139""),MATCH(D16,IMPORTRANGE(""1y0FWgjbB0gVlqn-q5LMJbGIsqOrzru4yowQz67dz2yc"", ""'ESC'!D3:D139""),0))"),336)</f>
        <v>336</v>
      </c>
      <c r="Z16" s="2">
        <f ca="1">IFERROR(__xludf.DUMMYFUNCTION("INDEX(IMPORTRANGE(""1y0FWgjbB0gVlqn-q5LMJbGIsqOrzru4yowQz67dz2yc"", ""'ESC'!BI3:BI139""),MATCH(D16,IMPORTRANGE(""1y0FWgjbB0gVlqn-q5LMJbGIsqOrzru4yowQz67dz2yc"", ""'ESC'!D3:D139""),0))"),235)</f>
        <v>235</v>
      </c>
      <c r="AA16" s="1"/>
      <c r="AB16" s="1"/>
      <c r="AC16" s="1"/>
      <c r="AD16" s="1"/>
    </row>
    <row r="17" spans="1:30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131</v>
      </c>
      <c r="R17" s="4"/>
      <c r="S17" s="4"/>
      <c r="T17" s="4"/>
      <c r="U17" s="4"/>
      <c r="V17" s="4"/>
      <c r="W17" s="4"/>
      <c r="X17" s="12">
        <v>108</v>
      </c>
      <c r="Y17" s="2">
        <f ca="1">IFERROR(__xludf.DUMMYFUNCTION("INDEX(IMPORTRANGE(""1y0FWgjbB0gVlqn-q5LMJbGIsqOrzru4yowQz67dz2yc"", ""'ESC'!BH3:BH139""),MATCH(D17,IMPORTRANGE(""1y0FWgjbB0gVlqn-q5LMJbGIsqOrzru4yowQz67dz2yc"", ""'ESC'!D3:D139""),0))"),177)</f>
        <v>177</v>
      </c>
      <c r="Z17" s="2">
        <f ca="1">IFERROR(__xludf.DUMMYFUNCTION("INDEX(IMPORTRANGE(""1y0FWgjbB0gVlqn-q5LMJbGIsqOrzru4yowQz67dz2yc"", ""'ESC'!BI3:BI139""),MATCH(D17,IMPORTRANGE(""1y0FWgjbB0gVlqn-q5LMJbGIsqOrzru4yowQz67dz2yc"", ""'ESC'!D3:D139""),0))"),73)</f>
        <v>73</v>
      </c>
      <c r="AA17" s="1"/>
      <c r="AB17" s="1"/>
      <c r="AC17" s="1"/>
      <c r="AD17" s="1"/>
    </row>
    <row r="18" spans="1:30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149.51160248100442</v>
      </c>
      <c r="Q18" s="23">
        <f t="shared" si="4"/>
        <v>303.46414364956343</v>
      </c>
      <c r="R18" s="2">
        <v>261.60000000000002</v>
      </c>
      <c r="S18" s="2">
        <v>111.1</v>
      </c>
      <c r="T18" s="2">
        <v>225.6</v>
      </c>
      <c r="U18" s="2">
        <v>87.7</v>
      </c>
      <c r="V18" s="2">
        <v>178</v>
      </c>
      <c r="W18" s="2">
        <v>178</v>
      </c>
      <c r="X18" s="23">
        <f>(SUM(X14:X17)/X2)*100000</f>
        <v>200.53811059676801</v>
      </c>
      <c r="Y18" s="23">
        <f ca="1">IFERROR(__xludf.DUMMYFUNCTION("INDEX(IMPORTRANGE(""1y0FWgjbB0gVlqn-q5LMJbGIsqOrzru4yowQz67dz2yc"", ""'ESC'!BH3:BH139""),MATCH(D18,IMPORTRANGE(""1y0FWgjbB0gVlqn-q5LMJbGIsqOrzru4yowQz67dz2yc"", ""'ESC'!D3:D139""),0))"),378.306789886194)</f>
        <v>378.306789886194</v>
      </c>
      <c r="Z18" s="23">
        <f ca="1">IFERROR(__xludf.DUMMYFUNCTION("INDEX(IMPORTRANGE(""1y0FWgjbB0gVlqn-q5LMJbGIsqOrzru4yowQz67dz2yc"", ""'ESC'!BI3:BI139""),MATCH(D18,IMPORTRANGE(""1y0FWgjbB0gVlqn-q5LMJbGIsqOrzru4yowQz67dz2yc"", ""'ESC'!D3:D139""),0))"),175.686624667228)</f>
        <v>175.68662466722799</v>
      </c>
      <c r="AA18" s="1"/>
      <c r="AB18" s="1"/>
      <c r="AC18" s="1"/>
      <c r="AD18" s="1"/>
    </row>
    <row r="19" spans="1:30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1654</v>
      </c>
      <c r="Q19" s="12">
        <v>3920</v>
      </c>
      <c r="R19" s="4"/>
      <c r="S19" s="4"/>
      <c r="T19" s="4"/>
      <c r="U19" s="4"/>
      <c r="V19" s="4"/>
      <c r="W19" s="4"/>
      <c r="X19" s="12">
        <v>2141</v>
      </c>
      <c r="Y19" s="2">
        <f ca="1">IFERROR(__xludf.DUMMYFUNCTION("INDEX(IMPORTRANGE(""1y0FWgjbB0gVlqn-q5LMJbGIsqOrzru4yowQz67dz2yc"", ""'ESC'!BH3:BH139""),MATCH(D19,IMPORTRANGE(""1y0FWgjbB0gVlqn-q5LMJbGIsqOrzru4yowQz67dz2yc"", ""'ESC'!D3:D139""),0))"),4915)</f>
        <v>4915</v>
      </c>
      <c r="Z19" s="2">
        <f ca="1">IFERROR(__xludf.DUMMYFUNCTION("INDEX(IMPORTRANGE(""1y0FWgjbB0gVlqn-q5LMJbGIsqOrzru4yowQz67dz2yc"", ""'ESC'!BI3:BI139""),MATCH(D19,IMPORTRANGE(""1y0FWgjbB0gVlqn-q5LMJbGIsqOrzru4yowQz67dz2yc"", ""'ESC'!D3:D139""),0))"),2327)</f>
        <v>2327</v>
      </c>
      <c r="AA19" s="1"/>
      <c r="AB19" s="1"/>
      <c r="AC19" s="1"/>
      <c r="AD19" s="1"/>
    </row>
    <row r="20" spans="1:30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349.77678996263268</v>
      </c>
      <c r="Q20" s="23">
        <f t="shared" si="5"/>
        <v>828.97522167685622</v>
      </c>
      <c r="R20" s="2">
        <v>692</v>
      </c>
      <c r="S20" s="2">
        <v>243.7</v>
      </c>
      <c r="T20" s="2">
        <v>577.6</v>
      </c>
      <c r="U20" s="2">
        <v>176.4</v>
      </c>
      <c r="V20" s="2">
        <v>418</v>
      </c>
      <c r="W20" s="2">
        <v>418</v>
      </c>
      <c r="X20" s="23">
        <f>(X19/X$2)*100000</f>
        <v>447.2417654038336</v>
      </c>
      <c r="Y20" s="23">
        <f ca="1">IFERROR(__xludf.DUMMYFUNCTION("INDEX(IMPORTRANGE(""1y0FWgjbB0gVlqn-q5LMJbGIsqOrzru4yowQz67dz2yc"", ""'ESC'!BH3:BH139""),MATCH(D20,IMPORTRANGE(""1y0FWgjbB0gVlqn-q5LMJbGIsqOrzru4yowQz67dz2yc"", ""'ESC'!D3:D139""),0))"),1026.71334748241)</f>
        <v>1026.71334748241</v>
      </c>
      <c r="Z20" s="23">
        <f ca="1">IFERROR(__xludf.DUMMYFUNCTION("INDEX(IMPORTRANGE(""1y0FWgjbB0gVlqn-q5LMJbGIsqOrzru4yowQz67dz2yc"", ""'ESC'!BI3:BI139""),MATCH(D20,IMPORTRANGE(""1y0FWgjbB0gVlqn-q5LMJbGIsqOrzru4yowQz67dz2yc"", ""'ESC'!D3:D139""),0))"),480.967971294872)</f>
        <v>480.96797129487197</v>
      </c>
      <c r="AA20" s="1"/>
      <c r="AB20" s="1"/>
      <c r="AC20" s="1"/>
      <c r="AD20" s="1"/>
    </row>
    <row r="21" spans="1:30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326</v>
      </c>
      <c r="Q21" s="12">
        <v>733</v>
      </c>
      <c r="R21" s="4"/>
      <c r="S21" s="4"/>
      <c r="T21" s="4"/>
      <c r="U21" s="4"/>
      <c r="V21" s="4"/>
      <c r="W21" s="4"/>
      <c r="X21" s="12">
        <v>358</v>
      </c>
      <c r="Y21" s="2">
        <f ca="1">IFERROR(__xludf.DUMMYFUNCTION("INDEX(IMPORTRANGE(""1y0FWgjbB0gVlqn-q5LMJbGIsqOrzru4yowQz67dz2yc"", ""'ESC'!BH3:BH139""),MATCH(D21,IMPORTRANGE(""1y0FWgjbB0gVlqn-q5LMJbGIsqOrzru4yowQz67dz2yc"", ""'ESC'!D3:D139""),0))"),832)</f>
        <v>832</v>
      </c>
      <c r="Z21" s="2">
        <f ca="1">IFERROR(__xludf.DUMMYFUNCTION("INDEX(IMPORTRANGE(""1y0FWgjbB0gVlqn-q5LMJbGIsqOrzru4yowQz67dz2yc"", ""'ESC'!BI3:BI139""),MATCH(D21,IMPORTRANGE(""1y0FWgjbB0gVlqn-q5LMJbGIsqOrzru4yowQz67dz2yc"", ""'ESC'!D3:D139""),0))"),341)</f>
        <v>341</v>
      </c>
      <c r="AA21" s="1"/>
      <c r="AB21" s="1"/>
      <c r="AC21" s="1"/>
      <c r="AD21" s="1"/>
    </row>
    <row r="22" spans="1:30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68.94028629251406</v>
      </c>
      <c r="Q22" s="23">
        <f t="shared" si="6"/>
        <v>155.00990752273867</v>
      </c>
      <c r="R22" s="2">
        <v>127.7</v>
      </c>
      <c r="S22" s="2">
        <v>46.8</v>
      </c>
      <c r="T22" s="2">
        <v>105.2</v>
      </c>
      <c r="U22" s="2">
        <v>32.5</v>
      </c>
      <c r="V22" s="2">
        <v>73</v>
      </c>
      <c r="W22" s="2">
        <v>73</v>
      </c>
      <c r="X22" s="23">
        <f>(X21/X$2)*100000</f>
        <v>74.784003743378065</v>
      </c>
      <c r="Y22" s="23">
        <f ca="1">IFERROR(__xludf.DUMMYFUNCTION("INDEX(IMPORTRANGE(""1y0FWgjbB0gVlqn-q5LMJbGIsqOrzru4yowQz67dz2yc"", ""'ESC'!BH3:BH139""),MATCH(D22,IMPORTRANGE(""1y0FWgjbB0gVlqn-q5LMJbGIsqOrzru4yowQz67dz2yc"", ""'ESC'!D3:D139""),0))"),173.799695850532)</f>
        <v>173.799695850532</v>
      </c>
      <c r="Z22" s="23">
        <f ca="1">IFERROR(__xludf.DUMMYFUNCTION("INDEX(IMPORTRANGE(""1y0FWgjbB0gVlqn-q5LMJbGIsqOrzru4yowQz67dz2yc"", ""'ESC'!BI3:BI139""),MATCH(D22,IMPORTRANGE(""1y0FWgjbB0gVlqn-q5LMJbGIsqOrzru4yowQz67dz2yc"", ""'ESC'!D3:D139""),0))"),70.4813400135588)</f>
        <v>70.481340013558807</v>
      </c>
      <c r="AA22" s="1"/>
      <c r="AB22" s="1"/>
      <c r="AC22" s="1"/>
      <c r="AD22" s="1"/>
    </row>
    <row r="23" spans="1:30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9">
        <v>7</v>
      </c>
      <c r="Q23" s="29">
        <v>23</v>
      </c>
      <c r="R23" s="4"/>
      <c r="S23" s="4"/>
      <c r="T23" s="4"/>
      <c r="U23" s="4"/>
      <c r="V23" s="4"/>
      <c r="W23" s="4"/>
      <c r="X23" s="29">
        <v>16</v>
      </c>
      <c r="Y23" s="2">
        <f ca="1">IFERROR(__xludf.DUMMYFUNCTION("INDEX(IMPORTRANGE(""1y0FWgjbB0gVlqn-q5LMJbGIsqOrzru4yowQz67dz2yc"", ""'ESC'!BH3:BH139""),MATCH(D23,IMPORTRANGE(""1y0FWgjbB0gVlqn-q5LMJbGIsqOrzru4yowQz67dz2yc"", ""'ESC'!D3:D139""),0))"),37)</f>
        <v>37</v>
      </c>
      <c r="Z23" s="2">
        <f ca="1">IFERROR(__xludf.DUMMYFUNCTION("INDEX(IMPORTRANGE(""1y0FWgjbB0gVlqn-q5LMJbGIsqOrzru4yowQz67dz2yc"", ""'ESC'!BI3:BI139""),MATCH(D23,IMPORTRANGE(""1y0FWgjbB0gVlqn-q5LMJbGIsqOrzru4yowQz67dz2yc"", ""'ESC'!D3:D139""),0))"),22)</f>
        <v>22</v>
      </c>
      <c r="AA23" s="1"/>
      <c r="AB23" s="1"/>
      <c r="AC23" s="1"/>
      <c r="AD23" s="1"/>
    </row>
    <row r="24" spans="1:30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9">
        <v>6</v>
      </c>
      <c r="Q24" s="29">
        <v>21</v>
      </c>
      <c r="R24" s="4"/>
      <c r="S24" s="4"/>
      <c r="T24" s="4"/>
      <c r="U24" s="4"/>
      <c r="V24" s="4"/>
      <c r="W24" s="4"/>
      <c r="X24" s="29">
        <v>12</v>
      </c>
      <c r="Y24" s="2">
        <f ca="1">IFERROR(__xludf.DUMMYFUNCTION("INDEX(IMPORTRANGE(""1y0FWgjbB0gVlqn-q5LMJbGIsqOrzru4yowQz67dz2yc"", ""'ESC'!BH3:BH139""),MATCH(D24,IMPORTRANGE(""1y0FWgjbB0gVlqn-q5LMJbGIsqOrzru4yowQz67dz2yc"", ""'ESC'!D3:D139""),0))"),40)</f>
        <v>40</v>
      </c>
      <c r="Z24" s="2">
        <f ca="1">IFERROR(__xludf.DUMMYFUNCTION("INDEX(IMPORTRANGE(""1y0FWgjbB0gVlqn-q5LMJbGIsqOrzru4yowQz67dz2yc"", ""'ESC'!BI3:BI139""),MATCH(D24,IMPORTRANGE(""1y0FWgjbB0gVlqn-q5LMJbGIsqOrzru4yowQz67dz2yc"", ""'ESC'!D3:D139""),0))"),10)</f>
        <v>10</v>
      </c>
      <c r="AA24" s="1"/>
      <c r="AB24" s="1"/>
      <c r="AC24" s="1"/>
      <c r="AD24" s="1"/>
    </row>
    <row r="25" spans="1:30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9">
        <v>5</v>
      </c>
      <c r="Q25" s="29">
        <v>11</v>
      </c>
      <c r="R25" s="4"/>
      <c r="S25" s="4"/>
      <c r="T25" s="4"/>
      <c r="U25" s="4"/>
      <c r="V25" s="4"/>
      <c r="W25" s="4"/>
      <c r="X25" s="29">
        <v>3</v>
      </c>
      <c r="Y25" s="2">
        <f ca="1">IFERROR(__xludf.DUMMYFUNCTION("INDEX(IMPORTRANGE(""1y0FWgjbB0gVlqn-q5LMJbGIsqOrzru4yowQz67dz2yc"", ""'ESC'!BH3:BH139""),MATCH(D25,IMPORTRANGE(""1y0FWgjbB0gVlqn-q5LMJbGIsqOrzru4yowQz67dz2yc"", ""'ESC'!D3:D139""),0))"),10)</f>
        <v>10</v>
      </c>
      <c r="Z25" s="2">
        <f ca="1">IFERROR(__xludf.DUMMYFUNCTION("INDEX(IMPORTRANGE(""1y0FWgjbB0gVlqn-q5LMJbGIsqOrzru4yowQz67dz2yc"", ""'ESC'!BI3:BI139""),MATCH(D25,IMPORTRANGE(""1y0FWgjbB0gVlqn-q5LMJbGIsqOrzru4yowQz67dz2yc"", ""'ESC'!D3:D139""),0))"),1)</f>
        <v>1</v>
      </c>
      <c r="AA25" s="1"/>
      <c r="AB25" s="1"/>
      <c r="AC25" s="1"/>
      <c r="AD25" s="1"/>
    </row>
    <row r="26" spans="1:30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9">
        <v>0</v>
      </c>
      <c r="Q26" s="29">
        <v>0</v>
      </c>
      <c r="R26" s="4"/>
      <c r="S26" s="4"/>
      <c r="T26" s="4"/>
      <c r="U26" s="4"/>
      <c r="V26" s="4"/>
      <c r="W26" s="4"/>
      <c r="X26" s="29">
        <v>0</v>
      </c>
      <c r="Y26" s="2">
        <f ca="1">IFERROR(__xludf.DUMMYFUNCTION("INDEX(IMPORTRANGE(""1y0FWgjbB0gVlqn-q5LMJbGIsqOrzru4yowQz67dz2yc"", ""'ESC'!BH3:BH139""),MATCH(D26,IMPORTRANGE(""1y0FWgjbB0gVlqn-q5LMJbGIsqOrzru4yowQz67dz2yc"", ""'ESC'!D3:D139""),0))"),2)</f>
        <v>2</v>
      </c>
      <c r="Z26" s="2">
        <f ca="1">IFERROR(__xludf.DUMMYFUNCTION("INDEX(IMPORTRANGE(""1y0FWgjbB0gVlqn-q5LMJbGIsqOrzru4yowQz67dz2yc"", ""'ESC'!BI3:BI139""),MATCH(D26,IMPORTRANGE(""1y0FWgjbB0gVlqn-q5LMJbGIsqOrzru4yowQz67dz2yc"", ""'ESC'!D3:D139""),0))"),0)</f>
        <v>0</v>
      </c>
      <c r="AA26" s="1"/>
      <c r="AB26" s="1"/>
      <c r="AC26" s="1"/>
      <c r="AD26" s="1"/>
    </row>
    <row r="27" spans="1:30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29">
        <v>2</v>
      </c>
      <c r="Q27" s="29">
        <v>4</v>
      </c>
      <c r="R27" s="4"/>
      <c r="S27" s="4"/>
      <c r="T27" s="4"/>
      <c r="U27" s="4"/>
      <c r="V27" s="4"/>
      <c r="W27" s="4"/>
      <c r="X27" s="29">
        <v>1</v>
      </c>
      <c r="Y27" s="2">
        <f ca="1">IFERROR(__xludf.DUMMYFUNCTION("INDEX(IMPORTRANGE(""1y0FWgjbB0gVlqn-q5LMJbGIsqOrzru4yowQz67dz2yc"", ""'ESC'!BH3:BH139""),MATCH(D27,IMPORTRANGE(""1y0FWgjbB0gVlqn-q5LMJbGIsqOrzru4yowQz67dz2yc"", ""'ESC'!D3:D139""),0))"),4)</f>
        <v>4</v>
      </c>
      <c r="Z27" s="2">
        <f ca="1">IFERROR(__xludf.DUMMYFUNCTION("INDEX(IMPORTRANGE(""1y0FWgjbB0gVlqn-q5LMJbGIsqOrzru4yowQz67dz2yc"", ""'ESC'!BI3:BI139""),MATCH(D27,IMPORTRANGE(""1y0FWgjbB0gVlqn-q5LMJbGIsqOrzru4yowQz67dz2yc"", ""'ESC'!D3:D139""),0))"),6)</f>
        <v>6</v>
      </c>
      <c r="AA27" s="1"/>
      <c r="AB27" s="1"/>
      <c r="AC27" s="1"/>
      <c r="AD27" s="1"/>
    </row>
    <row r="28" spans="1:30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29">
        <v>0</v>
      </c>
      <c r="Q28" s="29">
        <v>0</v>
      </c>
      <c r="R28" s="4"/>
      <c r="S28" s="4"/>
      <c r="T28" s="4"/>
      <c r="U28" s="4"/>
      <c r="V28" s="4"/>
      <c r="W28" s="4"/>
      <c r="X28" s="29">
        <v>0</v>
      </c>
      <c r="Y28" s="2">
        <f ca="1">IFERROR(__xludf.DUMMYFUNCTION("INDEX(IMPORTRANGE(""1y0FWgjbB0gVlqn-q5LMJbGIsqOrzru4yowQz67dz2yc"", ""'ESC'!BH3:BH139""),MATCH(D28,IMPORTRANGE(""1y0FWgjbB0gVlqn-q5LMJbGIsqOrzru4yowQz67dz2yc"", ""'ESC'!D3:D139""),0))"),0)</f>
        <v>0</v>
      </c>
      <c r="Z28" s="2">
        <f ca="1">IFERROR(__xludf.DUMMYFUNCTION("INDEX(IMPORTRANGE(""1y0FWgjbB0gVlqn-q5LMJbGIsqOrzru4yowQz67dz2yc"", ""'ESC'!BI3:BI139""),MATCH(D28,IMPORTRANGE(""1y0FWgjbB0gVlqn-q5LMJbGIsqOrzru4yowQz67dz2yc"", ""'ESC'!D3:D139""),0))"),0)</f>
        <v>0</v>
      </c>
      <c r="AA28" s="1"/>
      <c r="AB28" s="1"/>
      <c r="AC28" s="1"/>
      <c r="AD28" s="1"/>
    </row>
    <row r="29" spans="1:30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29">
        <v>4</v>
      </c>
      <c r="Q29" s="29">
        <v>15</v>
      </c>
      <c r="R29" s="4"/>
      <c r="S29" s="4"/>
      <c r="T29" s="4"/>
      <c r="U29" s="4"/>
      <c r="V29" s="4"/>
      <c r="W29" s="4"/>
      <c r="X29" s="29">
        <v>7</v>
      </c>
      <c r="Y29" s="2">
        <f ca="1">IFERROR(__xludf.DUMMYFUNCTION("INDEX(IMPORTRANGE(""1y0FWgjbB0gVlqn-q5LMJbGIsqOrzru4yowQz67dz2yc"", ""'ESC'!BH3:BH139""),MATCH(D29,IMPORTRANGE(""1y0FWgjbB0gVlqn-q5LMJbGIsqOrzru4yowQz67dz2yc"", ""'ESC'!D3:D139""),0))"),12)</f>
        <v>12</v>
      </c>
      <c r="Z29" s="2">
        <f ca="1">IFERROR(__xludf.DUMMYFUNCTION("INDEX(IMPORTRANGE(""1y0FWgjbB0gVlqn-q5LMJbGIsqOrzru4yowQz67dz2yc"", ""'ESC'!BI3:BI139""),MATCH(D29,IMPORTRANGE(""1y0FWgjbB0gVlqn-q5LMJbGIsqOrzru4yowQz67dz2yc"", ""'ESC'!D3:D139""),0))"),5)</f>
        <v>5</v>
      </c>
      <c r="AA29" s="1"/>
      <c r="AB29" s="1"/>
      <c r="AC29" s="1"/>
      <c r="AD29" s="1"/>
    </row>
    <row r="30" spans="1:30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29">
        <v>1</v>
      </c>
      <c r="Q30" s="29">
        <v>3</v>
      </c>
      <c r="R30" s="4"/>
      <c r="S30" s="4"/>
      <c r="T30" s="4"/>
      <c r="U30" s="4"/>
      <c r="V30" s="4"/>
      <c r="W30" s="4"/>
      <c r="X30" s="29">
        <v>1</v>
      </c>
      <c r="Y30" s="2">
        <f ca="1">IFERROR(__xludf.DUMMYFUNCTION("INDEX(IMPORTRANGE(""1y0FWgjbB0gVlqn-q5LMJbGIsqOrzru4yowQz67dz2yc"", ""'ESC'!BH3:BH139""),MATCH(D30,IMPORTRANGE(""1y0FWgjbB0gVlqn-q5LMJbGIsqOrzru4yowQz67dz2yc"", ""'ESC'!D3:D139""),0))"),2)</f>
        <v>2</v>
      </c>
      <c r="Z30" s="2">
        <f ca="1">IFERROR(__xludf.DUMMYFUNCTION("INDEX(IMPORTRANGE(""1y0FWgjbB0gVlqn-q5LMJbGIsqOrzru4yowQz67dz2yc"", ""'ESC'!BI3:BI139""),MATCH(D30,IMPORTRANGE(""1y0FWgjbB0gVlqn-q5LMJbGIsqOrzru4yowQz67dz2yc"", ""'ESC'!D3:D139""),0))"),4)</f>
        <v>4</v>
      </c>
      <c r="AA30" s="1"/>
      <c r="AB30" s="1"/>
      <c r="AC30" s="1"/>
      <c r="AD30" s="1"/>
    </row>
    <row r="31" spans="1:30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29">
        <v>0</v>
      </c>
      <c r="Q31" s="29">
        <v>0</v>
      </c>
      <c r="R31" s="4"/>
      <c r="S31" s="4"/>
      <c r="T31" s="4"/>
      <c r="U31" s="4"/>
      <c r="V31" s="4"/>
      <c r="W31" s="4"/>
      <c r="X31" s="29">
        <v>0</v>
      </c>
      <c r="Y31" s="2">
        <f ca="1">IFERROR(__xludf.DUMMYFUNCTION("INDEX(IMPORTRANGE(""1y0FWgjbB0gVlqn-q5LMJbGIsqOrzru4yowQz67dz2yc"", ""'ESC'!BH3:BH139""),MATCH(D31,IMPORTRANGE(""1y0FWgjbB0gVlqn-q5LMJbGIsqOrzru4yowQz67dz2yc"", ""'ESC'!D3:D139""),0))"),0)</f>
        <v>0</v>
      </c>
      <c r="Z31" s="2">
        <f ca="1">IFERROR(__xludf.DUMMYFUNCTION("INDEX(IMPORTRANGE(""1y0FWgjbB0gVlqn-q5LMJbGIsqOrzru4yowQz67dz2yc"", ""'ESC'!BI3:BI139""),MATCH(D31,IMPORTRANGE(""1y0FWgjbB0gVlqn-q5LMJbGIsqOrzru4yowQz67dz2yc"", ""'ESC'!D3:D139""),0))"),0)</f>
        <v>0</v>
      </c>
      <c r="AA31" s="1"/>
      <c r="AB31" s="1"/>
      <c r="AC31" s="1"/>
      <c r="AD31" s="1"/>
    </row>
    <row r="32" spans="1:30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29">
        <v>0</v>
      </c>
      <c r="Q32" s="29">
        <v>2</v>
      </c>
      <c r="R32" s="4"/>
      <c r="S32" s="4"/>
      <c r="T32" s="4"/>
      <c r="U32" s="4"/>
      <c r="V32" s="4"/>
      <c r="W32" s="4"/>
      <c r="X32" s="29">
        <v>2</v>
      </c>
      <c r="Y32" s="2">
        <f ca="1">IFERROR(__xludf.DUMMYFUNCTION("INDEX(IMPORTRANGE(""1y0FWgjbB0gVlqn-q5LMJbGIsqOrzru4yowQz67dz2yc"", ""'ESC'!BH3:BH139""),MATCH(D32,IMPORTRANGE(""1y0FWgjbB0gVlqn-q5LMJbGIsqOrzru4yowQz67dz2yc"", ""'ESC'!D3:D139""),0))"),2)</f>
        <v>2</v>
      </c>
      <c r="Z32" s="2">
        <f ca="1">IFERROR(__xludf.DUMMYFUNCTION("INDEX(IMPORTRANGE(""1y0FWgjbB0gVlqn-q5LMJbGIsqOrzru4yowQz67dz2yc"", ""'ESC'!BI3:BI139""),MATCH(D32,IMPORTRANGE(""1y0FWgjbB0gVlqn-q5LMJbGIsqOrzru4yowQz67dz2yc"", ""'ESC'!D3:D139""),0))"),2)</f>
        <v>2</v>
      </c>
      <c r="AA32" s="1"/>
      <c r="AB32" s="1"/>
      <c r="AC32" s="1"/>
      <c r="AD32" s="1"/>
    </row>
    <row r="33" spans="1:30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29">
        <v>0</v>
      </c>
      <c r="Q33" s="29">
        <v>1</v>
      </c>
      <c r="R33" s="4"/>
      <c r="S33" s="4"/>
      <c r="T33" s="4"/>
      <c r="U33" s="4"/>
      <c r="V33" s="4"/>
      <c r="W33" s="4"/>
      <c r="X33" s="29">
        <v>1</v>
      </c>
      <c r="Y33" s="2">
        <f ca="1">IFERROR(__xludf.DUMMYFUNCTION("INDEX(IMPORTRANGE(""1y0FWgjbB0gVlqn-q5LMJbGIsqOrzru4yowQz67dz2yc"", ""'ESC'!BH3:BH139""),MATCH(D33,IMPORTRANGE(""1y0FWgjbB0gVlqn-q5LMJbGIsqOrzru4yowQz67dz2yc"", ""'ESC'!D3:D139""),0))"),2)</f>
        <v>2</v>
      </c>
      <c r="Z33" s="2">
        <f ca="1">IFERROR(__xludf.DUMMYFUNCTION("INDEX(IMPORTRANGE(""1y0FWgjbB0gVlqn-q5LMJbGIsqOrzru4yowQz67dz2yc"", ""'ESC'!BI3:BI139""),MATCH(D33,IMPORTRANGE(""1y0FWgjbB0gVlqn-q5LMJbGIsqOrzru4yowQz67dz2yc"", ""'ESC'!D3:D139""),0))"),1)</f>
        <v>1</v>
      </c>
      <c r="AA33" s="1"/>
      <c r="AB33" s="1"/>
      <c r="AC33" s="1"/>
      <c r="AD33" s="1"/>
    </row>
    <row r="34" spans="1:30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2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5.2868317708983179</v>
      </c>
      <c r="Q34" s="23">
        <f t="shared" si="7"/>
        <v>16.917861666874614</v>
      </c>
      <c r="R34" s="2">
        <v>12.3</v>
      </c>
      <c r="S34" s="2">
        <v>2.8</v>
      </c>
      <c r="T34" s="2">
        <v>8.9</v>
      </c>
      <c r="U34" s="2">
        <v>0.9</v>
      </c>
      <c r="V34" s="2">
        <v>3</v>
      </c>
      <c r="W34" s="2">
        <v>3</v>
      </c>
      <c r="X34" s="23">
        <f>(SUM(X23:X33)/X$2)*100000</f>
        <v>8.9824362038135668</v>
      </c>
      <c r="Y34" s="23">
        <f ca="1">IFERROR(__xludf.DUMMYFUNCTION("INDEX(IMPORTRANGE(""1y0FWgjbB0gVlqn-q5LMJbGIsqOrzru4yowQz67dz2yc"", ""'ESC'!BH3:BH139""),MATCH(D34,IMPORTRANGE(""1y0FWgjbB0gVlqn-q5LMJbGIsqOrzru4yowQz67dz2yc"", ""'ESC'!D3:D139""),0))"),23.1872190377512)</f>
        <v>23.187219037751198</v>
      </c>
      <c r="Z34" s="23">
        <f ca="1">IFERROR(__xludf.DUMMYFUNCTION("INDEX(IMPORTRANGE(""1y0FWgjbB0gVlqn-q5LMJbGIsqOrzru4yowQz67dz2yc"", ""'ESC'!BI3:BI139""),MATCH(D34,IMPORTRANGE(""1y0FWgjbB0gVlqn-q5LMJbGIsqOrzru4yowQz67dz2yc"", ""'ESC'!D3:D139""),0))"),10.5411974800337)</f>
        <v>10.5411974800337</v>
      </c>
      <c r="AA34" s="1"/>
      <c r="AB34" s="1"/>
      <c r="AC34" s="1"/>
      <c r="AD34" s="1"/>
    </row>
    <row r="35" spans="1:30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1">
        <v>44469</v>
      </c>
      <c r="H35" s="11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138494</v>
      </c>
      <c r="Q35" s="12">
        <v>138494</v>
      </c>
      <c r="R35" s="4"/>
      <c r="S35" s="4"/>
      <c r="T35" s="4"/>
      <c r="U35" s="4"/>
      <c r="V35" s="4"/>
      <c r="W35" s="4"/>
      <c r="X35" s="12">
        <v>138494</v>
      </c>
      <c r="Y35" s="12">
        <f ca="1">IFERROR(__xludf.DUMMYFUNCTION("INDEX(IMPORTRANGE(""1y0FWgjbB0gVlqn-q5LMJbGIsqOrzru4yowQz67dz2yc"", ""'ESC'!BH3:BH139""),MATCH(D35,IMPORTRANGE(""1y0FWgjbB0gVlqn-q5LMJbGIsqOrzru4yowQz67dz2yc"", ""'ESC'!D3:D139""),0))"),178382)</f>
        <v>178382</v>
      </c>
      <c r="Z35" s="12">
        <f ca="1">IFERROR(__xludf.DUMMYFUNCTION("INDEX(IMPORTRANGE(""1y0FWgjbB0gVlqn-q5LMJbGIsqOrzru4yowQz67dz2yc"", ""'ESC'!BI3:BI139""),MATCH(D35,IMPORTRANGE(""1y0FWgjbB0gVlqn-q5LMJbGIsqOrzru4yowQz67dz2yc"", ""'ESC'!D3:D139""),0))"),425077)</f>
        <v>425077</v>
      </c>
      <c r="AA35" s="1"/>
      <c r="AB35" s="1"/>
      <c r="AC35" s="1"/>
      <c r="AD35" s="1"/>
    </row>
    <row r="36" spans="1:30">
      <c r="A36" s="7" t="s">
        <v>119</v>
      </c>
      <c r="B36" s="7" t="s">
        <v>120</v>
      </c>
      <c r="C36" s="1" t="s">
        <v>30</v>
      </c>
      <c r="D36" s="7" t="s">
        <v>123</v>
      </c>
      <c r="E36" s="7" t="s">
        <v>38</v>
      </c>
      <c r="F36" s="2" t="s">
        <v>124</v>
      </c>
      <c r="G36" s="11">
        <v>44469</v>
      </c>
      <c r="H36" s="11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/>
      <c r="Q36" s="12"/>
      <c r="R36" s="4"/>
      <c r="S36" s="4"/>
      <c r="T36" s="4"/>
      <c r="U36" s="4"/>
      <c r="V36" s="4"/>
      <c r="W36" s="4"/>
      <c r="X36" s="12">
        <v>0</v>
      </c>
      <c r="Y36" s="2">
        <f ca="1">IFERROR(__xludf.DUMMYFUNCTION("INDEX(IMPORTRANGE(""1y0FWgjbB0gVlqn-q5LMJbGIsqOrzru4yowQz67dz2yc"", ""'ESC'!BH3:BH139""),MATCH(D36,IMPORTRANGE(""1y0FWgjbB0gVlqn-q5LMJbGIsqOrzru4yowQz67dz2yc"", ""'ESC'!D3:D139""),0))"),0)</f>
        <v>0</v>
      </c>
      <c r="Z36" s="12">
        <f ca="1">IFERROR(__xludf.DUMMYFUNCTION("INDEX(IMPORTRANGE(""1y0FWgjbB0gVlqn-q5LMJbGIsqOrzru4yowQz67dz2yc"", ""'ESC'!BI3:BI139""),MATCH(D36,IMPORTRANGE(""1y0FWgjbB0gVlqn-q5LMJbGIsqOrzru4yowQz67dz2yc"", ""'ESC'!D3:D139""),0))"),0)</f>
        <v>0</v>
      </c>
      <c r="AA36" s="1"/>
      <c r="AB36" s="1"/>
      <c r="AC36" s="1"/>
      <c r="AD36" s="1"/>
    </row>
    <row r="37" spans="1:30">
      <c r="A37" s="7" t="s">
        <v>119</v>
      </c>
      <c r="B37" s="7" t="s">
        <v>120</v>
      </c>
      <c r="C37" s="1" t="s">
        <v>36</v>
      </c>
      <c r="D37" s="7" t="s">
        <v>125</v>
      </c>
      <c r="E37" s="7" t="s">
        <v>38</v>
      </c>
      <c r="F37" s="2" t="s">
        <v>126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8">P36/P35</f>
        <v>0</v>
      </c>
      <c r="Q37" s="15">
        <f t="shared" si="8"/>
        <v>0</v>
      </c>
      <c r="R37" s="286"/>
      <c r="S37" s="286"/>
      <c r="T37" s="286"/>
      <c r="U37" s="286"/>
      <c r="V37" s="286"/>
      <c r="W37" s="286"/>
      <c r="X37" s="15">
        <f>X36/X35</f>
        <v>0</v>
      </c>
      <c r="Y37" s="15">
        <f ca="1">IFERROR(__xludf.DUMMYFUNCTION("INDEX(IMPORTRANGE(""1y0FWgjbB0gVlqn-q5LMJbGIsqOrzru4yowQz67dz2yc"", ""'ESC'!BH3:BH139""),MATCH(D37,IMPORTRANGE(""1y0FWgjbB0gVlqn-q5LMJbGIsqOrzru4yowQz67dz2yc"", ""'ESC'!D3:D139""),0))"),0)</f>
        <v>0</v>
      </c>
      <c r="Z37" s="15">
        <f ca="1">IFERROR(__xludf.DUMMYFUNCTION("INDEX(IMPORTRANGE(""1y0FWgjbB0gVlqn-q5LMJbGIsqOrzru4yowQz67dz2yc"", ""'ESC'!BI3:BI139""),MATCH(D37,IMPORTRANGE(""1y0FWgjbB0gVlqn-q5LMJbGIsqOrzru4yowQz67dz2yc"", ""'ESC'!D3:D139""),0))"),0)</f>
        <v>0</v>
      </c>
      <c r="AA37" s="1"/>
      <c r="AB37" s="1"/>
      <c r="AC37" s="1"/>
      <c r="AD37" s="1"/>
    </row>
    <row r="38" spans="1:30">
      <c r="A38" s="155" t="s">
        <v>119</v>
      </c>
      <c r="B38" s="155" t="s">
        <v>120</v>
      </c>
      <c r="C38" s="156" t="s">
        <v>30</v>
      </c>
      <c r="D38" s="155" t="s">
        <v>330</v>
      </c>
      <c r="E38" s="155" t="s">
        <v>38</v>
      </c>
      <c r="F38" s="22" t="s">
        <v>176</v>
      </c>
      <c r="G38" s="22" t="s">
        <v>56</v>
      </c>
      <c r="H38" s="22" t="s">
        <v>57</v>
      </c>
      <c r="I38" s="21" t="s">
        <v>58</v>
      </c>
      <c r="J38" s="21" t="s">
        <v>59</v>
      </c>
      <c r="K38" s="21" t="s">
        <v>60</v>
      </c>
      <c r="L38" s="21" t="s">
        <v>61</v>
      </c>
      <c r="M38" s="21" t="s">
        <v>62</v>
      </c>
      <c r="N38" s="21" t="s">
        <v>63</v>
      </c>
      <c r="O38" s="21" t="s">
        <v>63</v>
      </c>
      <c r="P38" s="12"/>
      <c r="Q38" s="12"/>
      <c r="R38" s="2"/>
      <c r="S38" s="2"/>
      <c r="T38" s="2"/>
      <c r="U38" s="2"/>
      <c r="V38" s="2"/>
      <c r="W38" s="12"/>
      <c r="X38" s="12"/>
      <c r="Y38" s="2"/>
      <c r="Z38" s="160">
        <f ca="1">IFERROR(__xludf.DUMMYFUNCTION("INDEX(IMPORTRANGE(""1y0FWgjbB0gVlqn-q5LMJbGIsqOrzru4yowQz67dz2yc"", ""'ESC'!BI3:BI139""),MATCH(D38,IMPORTRANGE(""1y0FWgjbB0gVlqn-q5LMJbGIsqOrzru4yowQz67dz2yc"", ""'ESC'!D3:D139""),0))"),23.1707499999999)</f>
        <v>23.170749999999899</v>
      </c>
      <c r="AA38" s="1"/>
      <c r="AB38" s="1"/>
      <c r="AC38" s="1"/>
      <c r="AD38" s="1"/>
    </row>
    <row r="39" spans="1:30">
      <c r="A39" s="155" t="s">
        <v>119</v>
      </c>
      <c r="B39" s="155" t="s">
        <v>120</v>
      </c>
      <c r="C39" s="156" t="s">
        <v>30</v>
      </c>
      <c r="D39" s="155" t="s">
        <v>331</v>
      </c>
      <c r="E39" s="155" t="s">
        <v>38</v>
      </c>
      <c r="F39" s="22" t="s">
        <v>332</v>
      </c>
      <c r="G39" s="22" t="s">
        <v>56</v>
      </c>
      <c r="H39" s="22" t="s">
        <v>57</v>
      </c>
      <c r="I39" s="21" t="s">
        <v>58</v>
      </c>
      <c r="J39" s="21" t="s">
        <v>59</v>
      </c>
      <c r="K39" s="21" t="s">
        <v>60</v>
      </c>
      <c r="L39" s="21" t="s">
        <v>61</v>
      </c>
      <c r="M39" s="21" t="s">
        <v>62</v>
      </c>
      <c r="N39" s="21" t="s">
        <v>63</v>
      </c>
      <c r="O39" s="21" t="s">
        <v>63</v>
      </c>
      <c r="P39" s="12"/>
      <c r="Q39" s="12"/>
      <c r="R39" s="2"/>
      <c r="S39" s="2"/>
      <c r="T39" s="2"/>
      <c r="U39" s="2"/>
      <c r="V39" s="2"/>
      <c r="W39" s="12"/>
      <c r="X39" s="12"/>
      <c r="Y39" s="2"/>
      <c r="Z39" s="12">
        <f ca="1">IFERROR(__xludf.DUMMYFUNCTION("INDEX(IMPORTRANGE(""1y0FWgjbB0gVlqn-q5LMJbGIsqOrzru4yowQz67dz2yc"", ""'ESC'!BI3:BI139""),MATCH(D39,IMPORTRANGE(""1y0FWgjbB0gVlqn-q5LMJbGIsqOrzru4yowQz67dz2yc"", ""'ESC'!D3:D139""),0))"),60338.1707999999)</f>
        <v>60338.170799999898</v>
      </c>
      <c r="AA39" s="1"/>
      <c r="AB39" s="1"/>
      <c r="AC39" s="1"/>
      <c r="AD39" s="1"/>
    </row>
    <row r="40" spans="1:30">
      <c r="A40" s="155" t="s">
        <v>119</v>
      </c>
      <c r="B40" s="155" t="s">
        <v>120</v>
      </c>
      <c r="C40" s="156" t="s">
        <v>36</v>
      </c>
      <c r="D40" s="155" t="s">
        <v>333</v>
      </c>
      <c r="E40" s="155" t="s">
        <v>38</v>
      </c>
      <c r="F40" s="22" t="s">
        <v>334</v>
      </c>
      <c r="G40" s="22" t="s">
        <v>56</v>
      </c>
      <c r="H40" s="22" t="s">
        <v>57</v>
      </c>
      <c r="I40" s="21" t="s">
        <v>58</v>
      </c>
      <c r="J40" s="21" t="s">
        <v>59</v>
      </c>
      <c r="K40" s="21" t="s">
        <v>60</v>
      </c>
      <c r="L40" s="21" t="s">
        <v>61</v>
      </c>
      <c r="M40" s="21" t="s">
        <v>62</v>
      </c>
      <c r="N40" s="21" t="s">
        <v>63</v>
      </c>
      <c r="O40" s="21" t="s">
        <v>63</v>
      </c>
      <c r="P40" s="12"/>
      <c r="Q40" s="12"/>
      <c r="R40" s="2"/>
      <c r="S40" s="26">
        <v>4.0000000000000002E-4</v>
      </c>
      <c r="T40" s="26">
        <v>5.0000000000000001E-4</v>
      </c>
      <c r="U40" s="26">
        <v>5.0000000000000001E-4</v>
      </c>
      <c r="V40" s="26">
        <v>5.9999999999999995E-4</v>
      </c>
      <c r="W40" s="26">
        <f>V40</f>
        <v>5.9999999999999995E-4</v>
      </c>
      <c r="X40" s="12"/>
      <c r="Y40" s="2"/>
      <c r="Z40" s="15">
        <f ca="1">IFERROR(__xludf.DUMMYFUNCTION("INDEX(IMPORTRANGE(""1y0FWgjbB0gVlqn-q5LMJbGIsqOrzru4yowQz67dz2yc"", ""'ESC'!BI3:BI139""),MATCH(D40,IMPORTRANGE(""1y0FWgjbB0gVlqn-q5LMJbGIsqOrzru4yowQz67dz2yc"", ""'ESC'!D3:D139""),0))"),0.000384014790186512)</f>
        <v>3.8401479018651199E-4</v>
      </c>
      <c r="AA40" s="1"/>
      <c r="AB40" s="1"/>
      <c r="AC40" s="1"/>
      <c r="AD40" s="1"/>
    </row>
    <row r="41" spans="1:30">
      <c r="A41" s="7" t="s">
        <v>119</v>
      </c>
      <c r="B41" s="7" t="s">
        <v>127</v>
      </c>
      <c r="C41" s="1" t="s">
        <v>36</v>
      </c>
      <c r="D41" s="7" t="s">
        <v>128</v>
      </c>
      <c r="E41" s="7" t="s">
        <v>38</v>
      </c>
      <c r="F41" s="2" t="s">
        <v>129</v>
      </c>
      <c r="G41" s="2" t="s">
        <v>56</v>
      </c>
      <c r="H41" s="2" t="s">
        <v>57</v>
      </c>
      <c r="I41" s="2" t="s">
        <v>58</v>
      </c>
      <c r="J41" s="22" t="s">
        <v>57</v>
      </c>
      <c r="K41" s="22" t="s">
        <v>58</v>
      </c>
      <c r="L41" s="22" t="s">
        <v>59</v>
      </c>
      <c r="M41" s="22" t="s">
        <v>335</v>
      </c>
      <c r="N41" s="22" t="s">
        <v>336</v>
      </c>
      <c r="O41" s="22" t="s">
        <v>337</v>
      </c>
      <c r="P41" s="262" t="s">
        <v>132</v>
      </c>
      <c r="Q41" s="262" t="s">
        <v>132</v>
      </c>
      <c r="R41" s="2">
        <v>1</v>
      </c>
      <c r="S41" s="2">
        <v>2</v>
      </c>
      <c r="T41" s="2">
        <v>2</v>
      </c>
      <c r="U41" s="2">
        <v>3</v>
      </c>
      <c r="V41" s="2">
        <v>3</v>
      </c>
      <c r="W41" s="12">
        <v>3</v>
      </c>
      <c r="X41" s="12">
        <v>1</v>
      </c>
      <c r="Y41" s="2">
        <f ca="1">IFERROR(__xludf.DUMMYFUNCTION("INDEX(IMPORTRANGE(""1y0FWgjbB0gVlqn-q5LMJbGIsqOrzru4yowQz67dz2yc"", ""'ESC'!BH3:BH139""),MATCH(D41,IMPORTRANGE(""1y0FWgjbB0gVlqn-q5LMJbGIsqOrzru4yowQz67dz2yc"", ""'ESC'!D3:D139""),0))"),1)</f>
        <v>1</v>
      </c>
      <c r="Z41" s="2">
        <f ca="1">IFERROR(__xludf.DUMMYFUNCTION("INDEX(IMPORTRANGE(""1y0FWgjbB0gVlqn-q5LMJbGIsqOrzru4yowQz67dz2yc"", ""'ESC'!BI3:BI139""),MATCH(D41,IMPORTRANGE(""1y0FWgjbB0gVlqn-q5LMJbGIsqOrzru4yowQz67dz2yc"", ""'ESC'!D3:D139""),0))"),1)</f>
        <v>1</v>
      </c>
      <c r="AA41" s="1"/>
      <c r="AB41" s="1"/>
      <c r="AC41" s="1"/>
      <c r="AD41" s="1"/>
    </row>
    <row r="42" spans="1:30">
      <c r="A42" s="7" t="s">
        <v>119</v>
      </c>
      <c r="B42" s="7" t="s">
        <v>133</v>
      </c>
      <c r="C42" s="1" t="s">
        <v>36</v>
      </c>
      <c r="D42" s="7" t="s">
        <v>134</v>
      </c>
      <c r="E42" s="7" t="s">
        <v>38</v>
      </c>
      <c r="F42" s="2" t="s">
        <v>135</v>
      </c>
      <c r="G42" s="2" t="s">
        <v>56</v>
      </c>
      <c r="H42" s="2" t="s">
        <v>57</v>
      </c>
      <c r="I42" s="2" t="s">
        <v>58</v>
      </c>
      <c r="J42" s="22" t="s">
        <v>57</v>
      </c>
      <c r="K42" s="22" t="s">
        <v>58</v>
      </c>
      <c r="L42" s="22" t="s">
        <v>59</v>
      </c>
      <c r="M42" s="22" t="s">
        <v>335</v>
      </c>
      <c r="N42" s="22" t="s">
        <v>336</v>
      </c>
      <c r="O42" s="22" t="s">
        <v>337</v>
      </c>
      <c r="P42" s="262" t="s">
        <v>132</v>
      </c>
      <c r="Q42" s="262" t="s">
        <v>132</v>
      </c>
      <c r="R42" s="12">
        <v>1000</v>
      </c>
      <c r="S42" s="12">
        <f>500+R42</f>
        <v>1500</v>
      </c>
      <c r="T42" s="12">
        <f t="shared" ref="T42:V42" si="9">S42+500</f>
        <v>2000</v>
      </c>
      <c r="U42" s="12">
        <f t="shared" si="9"/>
        <v>2500</v>
      </c>
      <c r="V42" s="12">
        <f t="shared" si="9"/>
        <v>3000</v>
      </c>
      <c r="W42" s="12">
        <v>3000</v>
      </c>
      <c r="X42" s="12">
        <v>186</v>
      </c>
      <c r="Y42" s="12">
        <f ca="1">IFERROR(__xludf.DUMMYFUNCTION("INDEX(IMPORTRANGE(""1y0FWgjbB0gVlqn-q5LMJbGIsqOrzru4yowQz67dz2yc"", ""'ESC'!BH3:BH139""),MATCH(D42,IMPORTRANGE(""1y0FWgjbB0gVlqn-q5LMJbGIsqOrzru4yowQz67dz2yc"", ""'ESC'!D3:D139""),0))"),513)</f>
        <v>513</v>
      </c>
      <c r="Z42" s="12">
        <f ca="1">IFERROR(__xludf.DUMMYFUNCTION("INDEX(IMPORTRANGE(""1y0FWgjbB0gVlqn-q5LMJbGIsqOrzru4yowQz67dz2yc"", ""'ESC'!BI3:BI139""),MATCH(D42,IMPORTRANGE(""1y0FWgjbB0gVlqn-q5LMJbGIsqOrzru4yowQz67dz2yc"", ""'ESC'!D3:D139""),0))"),1022)</f>
        <v>1022</v>
      </c>
      <c r="AA42" s="1"/>
      <c r="AB42" s="1"/>
      <c r="AC42" s="1"/>
      <c r="AD42" s="1" t="s">
        <v>417</v>
      </c>
    </row>
    <row r="43" spans="1:30">
      <c r="A43" s="7" t="s">
        <v>119</v>
      </c>
      <c r="B43" s="7" t="s">
        <v>136</v>
      </c>
      <c r="C43" s="1" t="s">
        <v>30</v>
      </c>
      <c r="D43" s="155" t="s">
        <v>137</v>
      </c>
      <c r="E43" s="7" t="s">
        <v>38</v>
      </c>
      <c r="F43" s="2" t="s">
        <v>138</v>
      </c>
      <c r="G43" s="2" t="s">
        <v>56</v>
      </c>
      <c r="H43" s="2" t="s">
        <v>57</v>
      </c>
      <c r="I43" s="2" t="s">
        <v>58</v>
      </c>
      <c r="J43" s="22" t="s">
        <v>57</v>
      </c>
      <c r="K43" s="22" t="s">
        <v>58</v>
      </c>
      <c r="L43" s="22" t="s">
        <v>59</v>
      </c>
      <c r="M43" s="22" t="s">
        <v>335</v>
      </c>
      <c r="N43" s="22" t="s">
        <v>336</v>
      </c>
      <c r="O43" s="22" t="s">
        <v>337</v>
      </c>
      <c r="P43" s="262" t="s">
        <v>132</v>
      </c>
      <c r="Q43" s="262" t="s">
        <v>132</v>
      </c>
      <c r="R43" s="4"/>
      <c r="S43" s="4"/>
      <c r="T43" s="4"/>
      <c r="U43" s="4"/>
      <c r="V43" s="4"/>
      <c r="W43" s="4"/>
      <c r="X43" s="12">
        <v>0</v>
      </c>
      <c r="Y43" s="2">
        <f ca="1">IFERROR(__xludf.DUMMYFUNCTION("INDEX(IMPORTRANGE(""1y0FWgjbB0gVlqn-q5LMJbGIsqOrzru4yowQz67dz2yc"", ""'ESC'!BH3:BH139""),MATCH(D43,IMPORTRANGE(""1y0FWgjbB0gVlqn-q5LMJbGIsqOrzru4yowQz67dz2yc"", ""'ESC'!D3:D139""),0))"),1)</f>
        <v>1</v>
      </c>
      <c r="Z43" s="2">
        <f ca="1">IFERROR(__xludf.DUMMYFUNCTION("INDEX(IMPORTRANGE(""1y0FWgjbB0gVlqn-q5LMJbGIsqOrzru4yowQz67dz2yc"", ""'ESC'!BI3:BI139""),MATCH(D43,IMPORTRANGE(""1y0FWgjbB0gVlqn-q5LMJbGIsqOrzru4yowQz67dz2yc"", ""'ESC'!D3:D139""),0))"),3)</f>
        <v>3</v>
      </c>
      <c r="AA43" s="1"/>
      <c r="AB43" s="1"/>
      <c r="AC43" s="1"/>
      <c r="AD43" s="1"/>
    </row>
    <row r="44" spans="1:30">
      <c r="A44" s="7" t="s">
        <v>119</v>
      </c>
      <c r="B44" s="7" t="s">
        <v>136</v>
      </c>
      <c r="C44" s="1" t="s">
        <v>30</v>
      </c>
      <c r="D44" s="155" t="s">
        <v>139</v>
      </c>
      <c r="E44" s="7" t="s">
        <v>38</v>
      </c>
      <c r="F44" s="2" t="s">
        <v>140</v>
      </c>
      <c r="G44" s="2" t="s">
        <v>56</v>
      </c>
      <c r="H44" s="2" t="s">
        <v>57</v>
      </c>
      <c r="I44" s="2" t="s">
        <v>58</v>
      </c>
      <c r="J44" s="22" t="s">
        <v>57</v>
      </c>
      <c r="K44" s="22" t="s">
        <v>58</v>
      </c>
      <c r="L44" s="22" t="s">
        <v>59</v>
      </c>
      <c r="M44" s="22" t="s">
        <v>335</v>
      </c>
      <c r="N44" s="22" t="s">
        <v>336</v>
      </c>
      <c r="O44" s="22" t="s">
        <v>337</v>
      </c>
      <c r="P44" s="262" t="s">
        <v>132</v>
      </c>
      <c r="Q44" s="262" t="s">
        <v>132</v>
      </c>
      <c r="R44" s="4"/>
      <c r="S44" s="4"/>
      <c r="T44" s="4"/>
      <c r="U44" s="4"/>
      <c r="V44" s="4"/>
      <c r="W44" s="4"/>
      <c r="X44" s="12"/>
      <c r="Y44" s="2">
        <f ca="1">IFERROR(__xludf.DUMMYFUNCTION("INDEX(IMPORTRANGE(""1y0FWgjbB0gVlqn-q5LMJbGIsqOrzru4yowQz67dz2yc"", ""'ESC'!BH3:BH139""),MATCH(D44,IMPORTRANGE(""1y0FWgjbB0gVlqn-q5LMJbGIsqOrzru4yowQz67dz2yc"", ""'ESC'!D3:D139""),0))"),0)</f>
        <v>0</v>
      </c>
      <c r="Z44" s="2">
        <f ca="1">IFERROR(__xludf.DUMMYFUNCTION("INDEX(IMPORTRANGE(""1y0FWgjbB0gVlqn-q5LMJbGIsqOrzru4yowQz67dz2yc"", ""'ESC'!BI3:BI139""),MATCH(D44,IMPORTRANGE(""1y0FWgjbB0gVlqn-q5LMJbGIsqOrzru4yowQz67dz2yc"", ""'ESC'!D3:D139""),0))"),0)</f>
        <v>0</v>
      </c>
      <c r="AA44" s="1"/>
      <c r="AB44" s="1"/>
      <c r="AC44" s="1"/>
      <c r="AD44" s="1"/>
    </row>
    <row r="45" spans="1:30">
      <c r="A45" s="7" t="s">
        <v>119</v>
      </c>
      <c r="B45" s="7" t="s">
        <v>136</v>
      </c>
      <c r="C45" s="1" t="s">
        <v>30</v>
      </c>
      <c r="D45" s="155" t="s">
        <v>141</v>
      </c>
      <c r="E45" s="7" t="s">
        <v>38</v>
      </c>
      <c r="F45" s="2" t="s">
        <v>142</v>
      </c>
      <c r="G45" s="2" t="s">
        <v>56</v>
      </c>
      <c r="H45" s="2" t="s">
        <v>57</v>
      </c>
      <c r="I45" s="2" t="s">
        <v>58</v>
      </c>
      <c r="J45" s="22" t="s">
        <v>57</v>
      </c>
      <c r="K45" s="22" t="s">
        <v>58</v>
      </c>
      <c r="L45" s="22" t="s">
        <v>59</v>
      </c>
      <c r="M45" s="22" t="s">
        <v>335</v>
      </c>
      <c r="N45" s="22" t="s">
        <v>336</v>
      </c>
      <c r="O45" s="22" t="s">
        <v>337</v>
      </c>
      <c r="P45" s="262" t="s">
        <v>132</v>
      </c>
      <c r="Q45" s="262" t="s">
        <v>132</v>
      </c>
      <c r="R45" s="4"/>
      <c r="S45" s="4"/>
      <c r="T45" s="4"/>
      <c r="U45" s="4"/>
      <c r="V45" s="4"/>
      <c r="W45" s="4"/>
      <c r="X45" s="12">
        <v>0</v>
      </c>
      <c r="Y45" s="2">
        <f ca="1">IFERROR(__xludf.DUMMYFUNCTION("INDEX(IMPORTRANGE(""1y0FWgjbB0gVlqn-q5LMJbGIsqOrzru4yowQz67dz2yc"", ""'ESC'!BH3:BH139""),MATCH(D45,IMPORTRANGE(""1y0FWgjbB0gVlqn-q5LMJbGIsqOrzru4yowQz67dz2yc"", ""'ESC'!D3:D139""),0))"),0)</f>
        <v>0</v>
      </c>
      <c r="Z45" s="2">
        <f ca="1">IFERROR(__xludf.DUMMYFUNCTION("INDEX(IMPORTRANGE(""1y0FWgjbB0gVlqn-q5LMJbGIsqOrzru4yowQz67dz2yc"", ""'ESC'!BI3:BI139""),MATCH(D45,IMPORTRANGE(""1y0FWgjbB0gVlqn-q5LMJbGIsqOrzru4yowQz67dz2yc"", ""'ESC'!D3:D139""),0))"),1)</f>
        <v>1</v>
      </c>
      <c r="AA45" s="1"/>
      <c r="AB45" s="1"/>
      <c r="AC45" s="1"/>
      <c r="AD45" s="1"/>
    </row>
    <row r="46" spans="1:30">
      <c r="A46" s="7" t="s">
        <v>119</v>
      </c>
      <c r="B46" s="7" t="s">
        <v>136</v>
      </c>
      <c r="C46" s="1" t="s">
        <v>30</v>
      </c>
      <c r="D46" s="155" t="s">
        <v>143</v>
      </c>
      <c r="E46" s="7" t="s">
        <v>38</v>
      </c>
      <c r="F46" s="2" t="s">
        <v>144</v>
      </c>
      <c r="G46" s="2" t="s">
        <v>56</v>
      </c>
      <c r="H46" s="2" t="s">
        <v>57</v>
      </c>
      <c r="I46" s="2" t="s">
        <v>58</v>
      </c>
      <c r="J46" s="22" t="s">
        <v>57</v>
      </c>
      <c r="K46" s="22" t="s">
        <v>58</v>
      </c>
      <c r="L46" s="22" t="s">
        <v>59</v>
      </c>
      <c r="M46" s="22" t="s">
        <v>335</v>
      </c>
      <c r="N46" s="22" t="s">
        <v>336</v>
      </c>
      <c r="O46" s="22" t="s">
        <v>337</v>
      </c>
      <c r="P46" s="262" t="s">
        <v>132</v>
      </c>
      <c r="Q46" s="262" t="s">
        <v>132</v>
      </c>
      <c r="R46" s="4"/>
      <c r="S46" s="4"/>
      <c r="T46" s="4"/>
      <c r="U46" s="4"/>
      <c r="V46" s="4"/>
      <c r="W46" s="4"/>
      <c r="X46" s="12"/>
      <c r="Y46" s="2">
        <f ca="1">IFERROR(__xludf.DUMMYFUNCTION("INDEX(IMPORTRANGE(""1y0FWgjbB0gVlqn-q5LMJbGIsqOrzru4yowQz67dz2yc"", ""'ESC'!BH3:BH139""),MATCH(D46,IMPORTRANGE(""1y0FWgjbB0gVlqn-q5LMJbGIsqOrzru4yowQz67dz2yc"", ""'ESC'!D3:D139""),0))"),0)</f>
        <v>0</v>
      </c>
      <c r="Z46" s="2">
        <f ca="1">IFERROR(__xludf.DUMMYFUNCTION("INDEX(IMPORTRANGE(""1y0FWgjbB0gVlqn-q5LMJbGIsqOrzru4yowQz67dz2yc"", ""'ESC'!BI3:BI139""),MATCH(D46,IMPORTRANGE(""1y0FWgjbB0gVlqn-q5LMJbGIsqOrzru4yowQz67dz2yc"", ""'ESC'!D3:D139""),0))"),0)</f>
        <v>0</v>
      </c>
      <c r="AA46" s="1"/>
      <c r="AB46" s="1"/>
      <c r="AC46" s="1"/>
      <c r="AD46" s="1"/>
    </row>
    <row r="47" spans="1:30">
      <c r="A47" s="7" t="s">
        <v>119</v>
      </c>
      <c r="B47" s="7" t="s">
        <v>136</v>
      </c>
      <c r="C47" s="1" t="s">
        <v>36</v>
      </c>
      <c r="D47" s="155" t="s">
        <v>145</v>
      </c>
      <c r="E47" s="7" t="s">
        <v>38</v>
      </c>
      <c r="F47" s="2" t="s">
        <v>146</v>
      </c>
      <c r="G47" s="2" t="s">
        <v>56</v>
      </c>
      <c r="H47" s="2" t="s">
        <v>57</v>
      </c>
      <c r="I47" s="2" t="s">
        <v>58</v>
      </c>
      <c r="J47" s="22" t="s">
        <v>57</v>
      </c>
      <c r="K47" s="22" t="s">
        <v>58</v>
      </c>
      <c r="L47" s="22" t="s">
        <v>59</v>
      </c>
      <c r="M47" s="22" t="s">
        <v>335</v>
      </c>
      <c r="N47" s="22" t="s">
        <v>336</v>
      </c>
      <c r="O47" s="22" t="s">
        <v>337</v>
      </c>
      <c r="P47" s="262" t="s">
        <v>132</v>
      </c>
      <c r="Q47" s="262" t="s">
        <v>132</v>
      </c>
      <c r="R47" s="2">
        <v>2</v>
      </c>
      <c r="S47" s="2">
        <v>2</v>
      </c>
      <c r="T47" s="2">
        <v>5</v>
      </c>
      <c r="U47" s="2">
        <v>6</v>
      </c>
      <c r="V47" s="2">
        <v>7</v>
      </c>
      <c r="W47" s="2">
        <v>7</v>
      </c>
      <c r="X47" s="12">
        <v>0</v>
      </c>
      <c r="Y47" s="2">
        <f ca="1">IFERROR(__xludf.DUMMYFUNCTION("INDEX(IMPORTRANGE(""1y0FWgjbB0gVlqn-q5LMJbGIsqOrzru4yowQz67dz2yc"", ""'ESC'!BH3:BH139""),MATCH(D47,IMPORTRANGE(""1y0FWgjbB0gVlqn-q5LMJbGIsqOrzru4yowQz67dz2yc"", ""'ESC'!D3:D139""),0))"),1)</f>
        <v>1</v>
      </c>
      <c r="Z47" s="2">
        <f ca="1">IFERROR(__xludf.DUMMYFUNCTION("INDEX(IMPORTRANGE(""1y0FWgjbB0gVlqn-q5LMJbGIsqOrzru4yowQz67dz2yc"", ""'ESC'!BI3:BI139""),MATCH(D47,IMPORTRANGE(""1y0FWgjbB0gVlqn-q5LMJbGIsqOrzru4yowQz67dz2yc"", ""'ESC'!D3:D139""),0))"),4)</f>
        <v>4</v>
      </c>
      <c r="AA47" s="1"/>
      <c r="AB47" s="1"/>
      <c r="AC47" s="1"/>
      <c r="AD47" s="1"/>
    </row>
    <row r="48" spans="1:30">
      <c r="A48" s="7" t="s">
        <v>147</v>
      </c>
      <c r="B48" s="7" t="s">
        <v>148</v>
      </c>
      <c r="C48" s="1" t="s">
        <v>30</v>
      </c>
      <c r="D48" s="7" t="s">
        <v>149</v>
      </c>
      <c r="E48" s="7" t="s">
        <v>38</v>
      </c>
      <c r="F48" s="2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150</v>
      </c>
      <c r="Q48" s="30" t="s">
        <v>150</v>
      </c>
      <c r="R48" s="2" t="s">
        <v>151</v>
      </c>
      <c r="S48" s="2" t="s">
        <v>151</v>
      </c>
      <c r="T48" s="2" t="s">
        <v>151</v>
      </c>
      <c r="U48" s="2" t="s">
        <v>151</v>
      </c>
      <c r="V48" s="2" t="s">
        <v>151</v>
      </c>
      <c r="W48" s="2" t="s">
        <v>151</v>
      </c>
      <c r="X48" s="2" t="s">
        <v>153</v>
      </c>
      <c r="Y48" s="2" t="str">
        <f ca="1">IFERROR(__xludf.DUMMYFUNCTION("INDEX(IMPORTRANGE(""1y0FWgjbB0gVlqn-q5LMJbGIsqOrzru4yowQz67dz2yc"", ""'ESC'!BH3:BH139""),MATCH(D48,IMPORTRANGE(""1y0FWgjbB0gVlqn-q5LMJbGIsqOrzru4yowQz67dz2yc"", ""'ESC'!D3:D139""),0))"),"")</f>
        <v/>
      </c>
      <c r="Z48" s="2" t="str">
        <f ca="1">IFERROR(__xludf.DUMMYFUNCTION("INDEX(IMPORTRANGE(""1y0FWgjbB0gVlqn-q5LMJbGIsqOrzru4yowQz67dz2yc"", ""'ESC'!BI3:BI139""),MATCH(D48,IMPORTRANGE(""1y0FWgjbB0gVlqn-q5LMJbGIsqOrzru4yowQz67dz2yc"", ""'ESC'!D3:D139""),0))"),"Sí")</f>
        <v>Sí</v>
      </c>
      <c r="AA48" s="1"/>
      <c r="AB48" s="1"/>
      <c r="AC48" s="1"/>
      <c r="AD48" s="1"/>
    </row>
    <row r="49" spans="1:30">
      <c r="A49" s="7" t="s">
        <v>147</v>
      </c>
      <c r="B49" s="7" t="s">
        <v>148</v>
      </c>
      <c r="C49" s="1" t="s">
        <v>30</v>
      </c>
      <c r="D49" s="7" t="s">
        <v>152</v>
      </c>
      <c r="E49" s="7" t="s">
        <v>38</v>
      </c>
      <c r="F49" s="2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150</v>
      </c>
      <c r="Q49" s="2" t="s">
        <v>150</v>
      </c>
      <c r="R49" s="2" t="s">
        <v>151</v>
      </c>
      <c r="S49" s="2" t="s">
        <v>151</v>
      </c>
      <c r="T49" s="2" t="s">
        <v>151</v>
      </c>
      <c r="U49" s="2" t="s">
        <v>151</v>
      </c>
      <c r="V49" s="2" t="s">
        <v>151</v>
      </c>
      <c r="W49" s="2" t="s">
        <v>151</v>
      </c>
      <c r="X49" s="2" t="s">
        <v>153</v>
      </c>
      <c r="Y49" s="2" t="str">
        <f ca="1">IFERROR(__xludf.DUMMYFUNCTION("INDEX(IMPORTRANGE(""1y0FWgjbB0gVlqn-q5LMJbGIsqOrzru4yowQz67dz2yc"", ""'ESC'!BH3:BH139""),MATCH(D49,IMPORTRANGE(""1y0FWgjbB0gVlqn-q5LMJbGIsqOrzru4yowQz67dz2yc"", ""'ESC'!D3:D139""),0))"),"")</f>
        <v/>
      </c>
      <c r="Z49" s="2" t="str">
        <f ca="1">IFERROR(__xludf.DUMMYFUNCTION("INDEX(IMPORTRANGE(""1y0FWgjbB0gVlqn-q5LMJbGIsqOrzru4yowQz67dz2yc"", ""'ESC'!BI3:BI139""),MATCH(D49,IMPORTRANGE(""1y0FWgjbB0gVlqn-q5LMJbGIsqOrzru4yowQz67dz2yc"", ""'ESC'!D3:D139""),0))"),"Sí")</f>
        <v>Sí</v>
      </c>
      <c r="AA49" s="1"/>
      <c r="AB49" s="1"/>
      <c r="AC49" s="1"/>
      <c r="AD49" s="1"/>
    </row>
    <row r="50" spans="1:30">
      <c r="A50" s="7" t="s">
        <v>147</v>
      </c>
      <c r="B50" s="7" t="s">
        <v>148</v>
      </c>
      <c r="C50" s="1" t="s">
        <v>30</v>
      </c>
      <c r="D50" s="7" t="s">
        <v>154</v>
      </c>
      <c r="E50" s="7" t="s">
        <v>38</v>
      </c>
      <c r="F50" s="2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418</v>
      </c>
      <c r="Q50" s="2" t="s">
        <v>418</v>
      </c>
      <c r="R50" s="2" t="s">
        <v>155</v>
      </c>
      <c r="S50" s="2" t="s">
        <v>155</v>
      </c>
      <c r="T50" s="2" t="s">
        <v>155</v>
      </c>
      <c r="U50" s="2" t="s">
        <v>155</v>
      </c>
      <c r="V50" s="2" t="s">
        <v>155</v>
      </c>
      <c r="W50" s="2" t="s">
        <v>155</v>
      </c>
      <c r="X50" s="2" t="s">
        <v>153</v>
      </c>
      <c r="Y50" s="2" t="str">
        <f ca="1">IFERROR(__xludf.DUMMYFUNCTION("INDEX(IMPORTRANGE(""1y0FWgjbB0gVlqn-q5LMJbGIsqOrzru4yowQz67dz2yc"", ""'ESC'!BH3:BH139""),MATCH(D50,IMPORTRANGE(""1y0FWgjbB0gVlqn-q5LMJbGIsqOrzru4yowQz67dz2yc"", ""'ESC'!D3:D139""),0))"),"")</f>
        <v/>
      </c>
      <c r="Z50" s="2" t="str">
        <f ca="1">IFERROR(__xludf.DUMMYFUNCTION("INDEX(IMPORTRANGE(""1y0FWgjbB0gVlqn-q5LMJbGIsqOrzru4yowQz67dz2yc"", ""'ESC'!BI3:BI139""),MATCH(D50,IMPORTRANGE(""1y0FWgjbB0gVlqn-q5LMJbGIsqOrzru4yowQz67dz2yc"", ""'ESC'!D3:D139""),0))"),"Sí")</f>
        <v>Sí</v>
      </c>
      <c r="AA50" s="1"/>
      <c r="AB50" s="1"/>
      <c r="AC50" s="1"/>
      <c r="AD50" s="1"/>
    </row>
    <row r="51" spans="1:30">
      <c r="A51" s="7" t="s">
        <v>147</v>
      </c>
      <c r="B51" s="7" t="s">
        <v>148</v>
      </c>
      <c r="C51" s="1" t="s">
        <v>36</v>
      </c>
      <c r="D51" s="7" t="s">
        <v>156</v>
      </c>
      <c r="E51" s="7" t="s">
        <v>38</v>
      </c>
      <c r="F51" s="2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>
        <f t="shared" ref="P51:Q51" si="10">COUNTIF(P48:P50,"Sí")*(1/3)</f>
        <v>0.33333333333333331</v>
      </c>
      <c r="Q51" s="30">
        <f t="shared" si="10"/>
        <v>0.33333333333333331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30">
        <f>COUNTIF(X48:X50,"Sí")*(1/3)</f>
        <v>1</v>
      </c>
      <c r="Y51" s="2">
        <f ca="1">IFERROR(__xludf.DUMMYFUNCTION("INDEX(IMPORTRANGE(""1y0FWgjbB0gVlqn-q5LMJbGIsqOrzru4yowQz67dz2yc"", ""'ESC'!BH3:BH139""),MATCH(D51,IMPORTRANGE(""1y0FWgjbB0gVlqn-q5LMJbGIsqOrzru4yowQz67dz2yc"", ""'ESC'!D3:D139""),0))"),0)</f>
        <v>0</v>
      </c>
      <c r="Z51" s="2">
        <f ca="1">IFERROR(__xludf.DUMMYFUNCTION("INDEX(IMPORTRANGE(""1y0FWgjbB0gVlqn-q5LMJbGIsqOrzru4yowQz67dz2yc"", ""'ESC'!BI3:BI139""),MATCH(D51,IMPORTRANGE(""1y0FWgjbB0gVlqn-q5LMJbGIsqOrzru4yowQz67dz2yc"", ""'ESC'!D3:D139""),0))"),1)</f>
        <v>1</v>
      </c>
      <c r="AA51" s="1"/>
      <c r="AB51" s="1"/>
      <c r="AC51" s="1"/>
      <c r="AD51" s="1"/>
    </row>
    <row r="52" spans="1:30">
      <c r="A52" s="7" t="s">
        <v>147</v>
      </c>
      <c r="B52" s="7" t="s">
        <v>148</v>
      </c>
      <c r="C52" s="1" t="s">
        <v>36</v>
      </c>
      <c r="D52" s="7" t="s">
        <v>158</v>
      </c>
      <c r="E52" s="7" t="s">
        <v>38</v>
      </c>
      <c r="F52" s="2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0</v>
      </c>
      <c r="Q52" s="12">
        <v>0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12">
        <v>0</v>
      </c>
      <c r="Y52" s="2">
        <f ca="1">IFERROR(__xludf.DUMMYFUNCTION("INDEX(IMPORTRANGE(""1y0FWgjbB0gVlqn-q5LMJbGIsqOrzru4yowQz67dz2yc"", ""'ESC'!BH3:BH139""),MATCH(D52,IMPORTRANGE(""1y0FWgjbB0gVlqn-q5LMJbGIsqOrzru4yowQz67dz2yc"", ""'ESC'!D3:D139""),0))"),0)</f>
        <v>0</v>
      </c>
      <c r="Z52" s="24">
        <f ca="1">IFERROR(__xludf.DUMMYFUNCTION("INDEX(IMPORTRANGE(""1y0FWgjbB0gVlqn-q5LMJbGIsqOrzru4yowQz67dz2yc"", ""'ESC'!BI3:BI139""),MATCH(D52,IMPORTRANGE(""1y0FWgjbB0gVlqn-q5LMJbGIsqOrzru4yowQz67dz2yc"", ""'ESC'!D3:D139""),0))"),0)</f>
        <v>0</v>
      </c>
      <c r="AA52" s="1"/>
      <c r="AB52" s="1"/>
      <c r="AC52" s="1"/>
      <c r="AD52" s="1"/>
    </row>
    <row r="53" spans="1:30">
      <c r="A53" s="7" t="s">
        <v>147</v>
      </c>
      <c r="B53" s="7" t="s">
        <v>148</v>
      </c>
      <c r="C53" s="1" t="s">
        <v>30</v>
      </c>
      <c r="D53" s="7" t="s">
        <v>162</v>
      </c>
      <c r="E53" s="7" t="s">
        <v>38</v>
      </c>
      <c r="F53" s="2" t="s">
        <v>163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2</v>
      </c>
      <c r="Q53" s="12">
        <v>2</v>
      </c>
      <c r="R53" s="4"/>
      <c r="S53" s="4"/>
      <c r="T53" s="4"/>
      <c r="U53" s="4"/>
      <c r="V53" s="4"/>
      <c r="W53" s="4"/>
      <c r="X53" s="12">
        <v>3</v>
      </c>
      <c r="Y53" s="2">
        <f ca="1">IFERROR(__xludf.DUMMYFUNCTION("INDEX(IMPORTRANGE(""1y0FWgjbB0gVlqn-q5LMJbGIsqOrzru4yowQz67dz2yc"", ""'ESC'!BH3:BH139""),MATCH(D53,IMPORTRANGE(""1y0FWgjbB0gVlqn-q5LMJbGIsqOrzru4yowQz67dz2yc"", ""'ESC'!D3:D139""),0))"),3)</f>
        <v>3</v>
      </c>
      <c r="Z53" s="2">
        <f ca="1">IFERROR(__xludf.DUMMYFUNCTION("INDEX(IMPORTRANGE(""1y0FWgjbB0gVlqn-q5LMJbGIsqOrzru4yowQz67dz2yc"", ""'ESC'!BI3:BI139""),MATCH(D53,IMPORTRANGE(""1y0FWgjbB0gVlqn-q5LMJbGIsqOrzru4yowQz67dz2yc"", ""'ESC'!D3:D139""),0))"),3)</f>
        <v>3</v>
      </c>
      <c r="AA53" s="1"/>
      <c r="AB53" s="1"/>
      <c r="AC53" s="1"/>
      <c r="AD53" s="1"/>
    </row>
    <row r="54" spans="1:30">
      <c r="A54" s="7" t="s">
        <v>147</v>
      </c>
      <c r="B54" s="7" t="s">
        <v>148</v>
      </c>
      <c r="C54" s="1" t="s">
        <v>30</v>
      </c>
      <c r="D54" s="7" t="s">
        <v>164</v>
      </c>
      <c r="E54" s="7" t="s">
        <v>38</v>
      </c>
      <c r="F54" s="2" t="s">
        <v>165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12">
        <v>1</v>
      </c>
      <c r="R54" s="4"/>
      <c r="S54" s="4"/>
      <c r="T54" s="4"/>
      <c r="U54" s="4"/>
      <c r="V54" s="4"/>
      <c r="W54" s="4"/>
      <c r="X54" s="12">
        <v>2</v>
      </c>
      <c r="Y54" s="2">
        <f ca="1">IFERROR(__xludf.DUMMYFUNCTION("INDEX(IMPORTRANGE(""1y0FWgjbB0gVlqn-q5LMJbGIsqOrzru4yowQz67dz2yc"", ""'ESC'!BH3:BH139""),MATCH(D54,IMPORTRANGE(""1y0FWgjbB0gVlqn-q5LMJbGIsqOrzru4yowQz67dz2yc"", ""'ESC'!D3:D139""),0))"),1)</f>
        <v>1</v>
      </c>
      <c r="Z54" s="2">
        <f ca="1">IFERROR(__xludf.DUMMYFUNCTION("INDEX(IMPORTRANGE(""1y0FWgjbB0gVlqn-q5LMJbGIsqOrzru4yowQz67dz2yc"", ""'ESC'!BI3:BI139""),MATCH(D54,IMPORTRANGE(""1y0FWgjbB0gVlqn-q5LMJbGIsqOrzru4yowQz67dz2yc"", ""'ESC'!D3:D139""),0))"),2)</f>
        <v>2</v>
      </c>
      <c r="AA54" s="1"/>
      <c r="AB54" s="1"/>
      <c r="AC54" s="1"/>
      <c r="AD54" s="1"/>
    </row>
    <row r="55" spans="1:30">
      <c r="A55" s="7" t="s">
        <v>147</v>
      </c>
      <c r="B55" s="7" t="s">
        <v>148</v>
      </c>
      <c r="C55" s="1" t="s">
        <v>36</v>
      </c>
      <c r="D55" s="7" t="s">
        <v>166</v>
      </c>
      <c r="E55" s="7" t="s">
        <v>38</v>
      </c>
      <c r="F55" s="2" t="s">
        <v>167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1">P54/P53</f>
        <v>0.5</v>
      </c>
      <c r="Q55" s="15">
        <f t="shared" si="11"/>
        <v>0.5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X54/X53</f>
        <v>0.66666666666666663</v>
      </c>
      <c r="Y55" s="15">
        <f ca="1">IFERROR(__xludf.DUMMYFUNCTION("INDEX(IMPORTRANGE(""1y0FWgjbB0gVlqn-q5LMJbGIsqOrzru4yowQz67dz2yc"", ""'ESC'!BH3:BH139""),MATCH(D55,IMPORTRANGE(""1y0FWgjbB0gVlqn-q5LMJbGIsqOrzru4yowQz67dz2yc"", ""'ESC'!D3:D139""),0))"),0.333333333333333)</f>
        <v>0.33333333333333298</v>
      </c>
      <c r="Z55" s="15">
        <f ca="1">IFERROR(__xludf.DUMMYFUNCTION("INDEX(IMPORTRANGE(""1y0FWgjbB0gVlqn-q5LMJbGIsqOrzru4yowQz67dz2yc"", ""'ESC'!BI3:BI139""),MATCH(D55,IMPORTRANGE(""1y0FWgjbB0gVlqn-q5LMJbGIsqOrzru4yowQz67dz2yc"", ""'ESC'!D3:D139""),0))"),0.666666666666666)</f>
        <v>0.66666666666666596</v>
      </c>
      <c r="AA55" s="1"/>
      <c r="AB55" s="1"/>
      <c r="AC55" s="1"/>
      <c r="AD55" s="1"/>
    </row>
    <row r="56" spans="1:30">
      <c r="A56" s="7" t="s">
        <v>147</v>
      </c>
      <c r="B56" s="7" t="s">
        <v>168</v>
      </c>
      <c r="C56" s="1" t="s">
        <v>30</v>
      </c>
      <c r="D56" s="155" t="s">
        <v>169</v>
      </c>
      <c r="E56" s="7" t="s">
        <v>38</v>
      </c>
      <c r="F56" s="2" t="s">
        <v>170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33067</v>
      </c>
      <c r="Q56" s="12">
        <v>33067</v>
      </c>
      <c r="R56" s="4"/>
      <c r="S56" s="4"/>
      <c r="T56" s="4"/>
      <c r="U56" s="4"/>
      <c r="V56" s="4"/>
      <c r="W56" s="4"/>
      <c r="X56" s="12">
        <v>33067</v>
      </c>
      <c r="Y56" s="12">
        <f ca="1">IFERROR(__xludf.DUMMYFUNCTION("INDEX(IMPORTRANGE(""1y0FWgjbB0gVlqn-q5LMJbGIsqOrzru4yowQz67dz2yc"", ""'ESC'!BH3:BH139""),MATCH(D56,IMPORTRANGE(""1y0FWgjbB0gVlqn-q5LMJbGIsqOrzru4yowQz67dz2yc"", ""'ESC'!D3:D139""),0))"),33118)</f>
        <v>33118</v>
      </c>
      <c r="Z56" s="12">
        <f ca="1">IFERROR(__xludf.DUMMYFUNCTION("INDEX(IMPORTRANGE(""1y0FWgjbB0gVlqn-q5LMJbGIsqOrzru4yowQz67dz2yc"", ""'ESC'!BI3:BI139""),MATCH(D56,IMPORTRANGE(""1y0FWgjbB0gVlqn-q5LMJbGIsqOrzru4yowQz67dz2yc"", ""'ESC'!D3:D139""),0))"),33158)</f>
        <v>33158</v>
      </c>
      <c r="AA56" s="1"/>
      <c r="AB56" s="1"/>
      <c r="AC56" s="1"/>
      <c r="AD56" s="1"/>
    </row>
    <row r="57" spans="1:30">
      <c r="A57" s="7" t="s">
        <v>147</v>
      </c>
      <c r="B57" s="7" t="s">
        <v>168</v>
      </c>
      <c r="C57" s="1" t="s">
        <v>30</v>
      </c>
      <c r="D57" s="155" t="s">
        <v>171</v>
      </c>
      <c r="E57" s="7" t="s">
        <v>38</v>
      </c>
      <c r="F57" s="2" t="s">
        <v>172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33097</v>
      </c>
      <c r="Q57" s="12">
        <v>33097</v>
      </c>
      <c r="R57" s="4"/>
      <c r="S57" s="4"/>
      <c r="T57" s="4"/>
      <c r="U57" s="4"/>
      <c r="V57" s="4"/>
      <c r="W57" s="4"/>
      <c r="X57" s="12">
        <v>33097</v>
      </c>
      <c r="Y57" s="12">
        <f ca="1">IFERROR(__xludf.DUMMYFUNCTION("INDEX(IMPORTRANGE(""1y0FWgjbB0gVlqn-q5LMJbGIsqOrzru4yowQz67dz2yc"", ""'ESC'!BH3:BH139""),MATCH(D57,IMPORTRANGE(""1y0FWgjbB0gVlqn-q5LMJbGIsqOrzru4yowQz67dz2yc"", ""'ESC'!D3:D139""),0))"),33158)</f>
        <v>33158</v>
      </c>
      <c r="Z57" s="12">
        <f ca="1">IFERROR(__xludf.DUMMYFUNCTION("INDEX(IMPORTRANGE(""1y0FWgjbB0gVlqn-q5LMJbGIsqOrzru4yowQz67dz2yc"", ""'ESC'!BI3:BI139""),MATCH(D57,IMPORTRANGE(""1y0FWgjbB0gVlqn-q5LMJbGIsqOrzru4yowQz67dz2yc"", ""'ESC'!D3:D139""),0))"),33203)</f>
        <v>33203</v>
      </c>
      <c r="AA57" s="1"/>
      <c r="AB57" s="1"/>
      <c r="AC57" s="1"/>
      <c r="AD57" s="1"/>
    </row>
    <row r="58" spans="1:30">
      <c r="A58" s="7" t="s">
        <v>147</v>
      </c>
      <c r="B58" s="7" t="s">
        <v>168</v>
      </c>
      <c r="C58" s="1" t="s">
        <v>36</v>
      </c>
      <c r="D58" s="7" t="s">
        <v>173</v>
      </c>
      <c r="E58" s="7" t="s">
        <v>38</v>
      </c>
      <c r="F58" s="2" t="s">
        <v>174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5">
        <f t="shared" ref="P58:Q58" si="12">P56/P57</f>
        <v>0.99909357343565885</v>
      </c>
      <c r="Q58" s="15">
        <f t="shared" si="12"/>
        <v>0.99909357343565885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5">
        <f t="shared" ref="X58:Y58" si="13">X56/X57</f>
        <v>0.99909357343565885</v>
      </c>
      <c r="Y58" s="15">
        <f t="shared" ca="1" si="13"/>
        <v>0.99879365462331871</v>
      </c>
      <c r="Z58" s="15">
        <f ca="1">IFERROR(__xludf.DUMMYFUNCTION("INDEX(IMPORTRANGE(""1y0FWgjbB0gVlqn-q5LMJbGIsqOrzru4yowQz67dz2yc"", ""'ESC'!BI3:BI139""),MATCH(D58,IMPORTRANGE(""1y0FWgjbB0gVlqn-q5LMJbGIsqOrzru4yowQz67dz2yc"", ""'ESC'!D3:D139""),0))"),0.99864470078005)</f>
        <v>0.99864470078004997</v>
      </c>
      <c r="AA58" s="1"/>
      <c r="AB58" s="1"/>
      <c r="AC58" s="1"/>
      <c r="AD58" s="1"/>
    </row>
    <row r="59" spans="1:30">
      <c r="A59" s="7" t="s">
        <v>147</v>
      </c>
      <c r="B59" s="7" t="s">
        <v>168</v>
      </c>
      <c r="C59" s="1" t="s">
        <v>30</v>
      </c>
      <c r="D59" s="7" t="s">
        <v>175</v>
      </c>
      <c r="E59" s="7" t="s">
        <v>38</v>
      </c>
      <c r="F59" s="2" t="s">
        <v>176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138494</v>
      </c>
      <c r="Q59" s="12">
        <v>138494</v>
      </c>
      <c r="R59" s="4"/>
      <c r="S59" s="4"/>
      <c r="T59" s="4"/>
      <c r="U59" s="4"/>
      <c r="V59" s="4"/>
      <c r="W59" s="4"/>
      <c r="X59" s="12">
        <v>138494</v>
      </c>
      <c r="Y59" s="12">
        <f ca="1">IFERROR(__xludf.DUMMYFUNCTION("INDEX(IMPORTRANGE(""1y0FWgjbB0gVlqn-q5LMJbGIsqOrzru4yowQz67dz2yc"", ""'ESC'!BH3:BH139""),MATCH(D59,IMPORTRANGE(""1y0FWgjbB0gVlqn-q5LMJbGIsqOrzru4yowQz67dz2yc"", ""'ESC'!D3:D139""),0))"),144464)</f>
        <v>144464</v>
      </c>
      <c r="Z59" s="12">
        <f ca="1">IFERROR(__xludf.DUMMYFUNCTION("INDEX(IMPORTRANGE(""1y0FWgjbB0gVlqn-q5LMJbGIsqOrzru4yowQz67dz2yc"", ""'ESC'!BI3:BI139""),MATCH(D59,IMPORTRANGE(""1y0FWgjbB0gVlqn-q5LMJbGIsqOrzru4yowQz67dz2yc"", ""'ESC'!D3:D139""),0))"),425077)</f>
        <v>425077</v>
      </c>
      <c r="AA59" s="1"/>
      <c r="AB59" s="1"/>
      <c r="AC59" s="1"/>
      <c r="AD59" s="1"/>
    </row>
    <row r="60" spans="1:30">
      <c r="A60" s="7" t="s">
        <v>147</v>
      </c>
      <c r="B60" s="7" t="s">
        <v>168</v>
      </c>
      <c r="C60" s="1" t="s">
        <v>36</v>
      </c>
      <c r="D60" s="7" t="s">
        <v>177</v>
      </c>
      <c r="E60" s="7" t="s">
        <v>38</v>
      </c>
      <c r="F60" s="2" t="s">
        <v>178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P59/P35</f>
        <v>1</v>
      </c>
      <c r="Q60" s="15">
        <f t="shared" si="14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26">
        <f t="shared" ref="X60:Y60" si="15">X59/X35</f>
        <v>1</v>
      </c>
      <c r="Y60" s="14">
        <f t="shared" ca="1" si="15"/>
        <v>0.80985749683264008</v>
      </c>
      <c r="Z60" s="14">
        <f ca="1">IFERROR(__xludf.DUMMYFUNCTION("INDEX(IMPORTRANGE(""1y0FWgjbB0gVlqn-q5LMJbGIsqOrzru4yowQz67dz2yc"", ""'ESC'!BI3:BI139""),MATCH(D60,IMPORTRANGE(""1y0FWgjbB0gVlqn-q5LMJbGIsqOrzru4yowQz67dz2yc"", ""'ESC'!D3:D139""),0))"),1)</f>
        <v>1</v>
      </c>
      <c r="AA60" s="1"/>
      <c r="AB60" s="1"/>
      <c r="AC60" s="1"/>
      <c r="AD60" s="1"/>
    </row>
    <row r="61" spans="1:30">
      <c r="A61" s="7" t="s">
        <v>147</v>
      </c>
      <c r="B61" s="7" t="s">
        <v>168</v>
      </c>
      <c r="C61" s="1" t="s">
        <v>30</v>
      </c>
      <c r="D61" s="7" t="s">
        <v>179</v>
      </c>
      <c r="E61" s="7" t="s">
        <v>38</v>
      </c>
      <c r="F61" s="2" t="s">
        <v>180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23">
        <v>8356776.6900000004</v>
      </c>
      <c r="Q61" s="23">
        <v>8356776.6900000004</v>
      </c>
      <c r="R61" s="4"/>
      <c r="S61" s="4"/>
      <c r="T61" s="4"/>
      <c r="U61" s="4"/>
      <c r="V61" s="4"/>
      <c r="W61" s="4"/>
      <c r="X61" s="23">
        <v>8356776.6900000004</v>
      </c>
      <c r="Y61" s="12">
        <f ca="1">IFERROR(__xludf.DUMMYFUNCTION("INDEX(IMPORTRANGE(""1y0FWgjbB0gVlqn-q5LMJbGIsqOrzru4yowQz67dz2yc"", ""'ESC'!BH3:BH139""),MATCH(D61,IMPORTRANGE(""1y0FWgjbB0gVlqn-q5LMJbGIsqOrzru4yowQz67dz2yc"", ""'ESC'!D3:D139""),0))"),8412306.69)</f>
        <v>8412306.6899999995</v>
      </c>
      <c r="Z61" s="12">
        <f ca="1">IFERROR(__xludf.DUMMYFUNCTION("INDEX(IMPORTRANGE(""1y0FWgjbB0gVlqn-q5LMJbGIsqOrzru4yowQz67dz2yc"", ""'ESC'!BI3:BI139""),MATCH(D61,IMPORTRANGE(""1y0FWgjbB0gVlqn-q5LMJbGIsqOrzru4yowQz67dz2yc"", ""'ESC'!D3:D139""),0))"),8429848.69)</f>
        <v>8429848.6899999995</v>
      </c>
      <c r="AA61" s="1"/>
      <c r="AB61" s="1"/>
      <c r="AC61" s="1"/>
      <c r="AD61" s="1"/>
    </row>
    <row r="62" spans="1:30">
      <c r="A62" s="7" t="s">
        <v>147</v>
      </c>
      <c r="B62" s="7" t="s">
        <v>168</v>
      </c>
      <c r="C62" s="1" t="s">
        <v>30</v>
      </c>
      <c r="D62" s="7" t="s">
        <v>181</v>
      </c>
      <c r="E62" s="7" t="s">
        <v>38</v>
      </c>
      <c r="F62" s="2" t="s">
        <v>182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23">
        <v>9334019.4000000004</v>
      </c>
      <c r="Q62" s="23">
        <v>9334019.4000000004</v>
      </c>
      <c r="R62" s="4"/>
      <c r="S62" s="4"/>
      <c r="T62" s="4"/>
      <c r="U62" s="4"/>
      <c r="V62" s="4"/>
      <c r="W62" s="4"/>
      <c r="X62" s="23">
        <v>9334019.4000000004</v>
      </c>
      <c r="Y62" s="12">
        <f ca="1">IFERROR(__xludf.DUMMYFUNCTION("INDEX(IMPORTRANGE(""1y0FWgjbB0gVlqn-q5LMJbGIsqOrzru4yowQz67dz2yc"", ""'ESC'!BH3:BH139""),MATCH(D62,IMPORTRANGE(""1y0FWgjbB0gVlqn-q5LMJbGIsqOrzru4yowQz67dz2yc"", ""'ESC'!D3:D139""),0))"),9334019.38999999)</f>
        <v>9334019.3899999894</v>
      </c>
      <c r="Z62" s="12">
        <f ca="1">IFERROR(__xludf.DUMMYFUNCTION("INDEX(IMPORTRANGE(""1y0FWgjbB0gVlqn-q5LMJbGIsqOrzru4yowQz67dz2yc"", ""'ESC'!BI3:BI139""),MATCH(D62,IMPORTRANGE(""1y0FWgjbB0gVlqn-q5LMJbGIsqOrzru4yowQz67dz2yc"", ""'ESC'!D3:D139""),0))"),9351561.38999999)</f>
        <v>9351561.3899999894</v>
      </c>
      <c r="AA62" s="1"/>
      <c r="AB62" s="1"/>
      <c r="AC62" s="1"/>
      <c r="AD62" s="1"/>
    </row>
    <row r="63" spans="1:30">
      <c r="A63" s="7" t="s">
        <v>147</v>
      </c>
      <c r="B63" s="7" t="s">
        <v>168</v>
      </c>
      <c r="C63" s="1" t="s">
        <v>36</v>
      </c>
      <c r="D63" s="7" t="s">
        <v>183</v>
      </c>
      <c r="E63" s="7" t="s">
        <v>38</v>
      </c>
      <c r="F63" s="9" t="s">
        <v>184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6">P61/P62</f>
        <v>0.89530311989709388</v>
      </c>
      <c r="Q63" s="15">
        <f t="shared" si="16"/>
        <v>0.89530311989709388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0.89530311989709388</v>
      </c>
      <c r="Y63" s="15">
        <f ca="1">IFERROR(__xludf.DUMMYFUNCTION("INDEX(IMPORTRANGE(""1y0FWgjbB0gVlqn-q5LMJbGIsqOrzru4yowQz67dz2yc"", ""'ESC'!BH3:BH139""),MATCH(D63,IMPORTRANGE(""1y0FWgjbB0gVlqn-q5LMJbGIsqOrzru4yowQz67dz2yc"", ""'ESC'!D3:D139""),0))"),0.901252326410691)</f>
        <v>0.90125232641069097</v>
      </c>
      <c r="Z63" s="15">
        <f ca="1">IFERROR(__xludf.DUMMYFUNCTION("INDEX(IMPORTRANGE(""1y0FWgjbB0gVlqn-q5LMJbGIsqOrzru4yowQz67dz2yc"", ""'ESC'!BI3:BI139""),MATCH(D63,IMPORTRANGE(""1y0FWgjbB0gVlqn-q5LMJbGIsqOrzru4yowQz67dz2yc"", ""'ESC'!D3:D139""),0))"),0.901437560899121)</f>
        <v>0.90143756089912097</v>
      </c>
      <c r="AA63" s="1"/>
      <c r="AB63" s="1"/>
      <c r="AC63" s="1"/>
      <c r="AD63" s="1"/>
    </row>
    <row r="64" spans="1:30">
      <c r="A64" s="7" t="s">
        <v>147</v>
      </c>
      <c r="B64" s="7" t="s">
        <v>168</v>
      </c>
      <c r="C64" s="1" t="s">
        <v>30</v>
      </c>
      <c r="D64" s="7" t="s">
        <v>185</v>
      </c>
      <c r="E64" s="7" t="s">
        <v>38</v>
      </c>
      <c r="F64" s="9" t="s">
        <v>186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23">
        <v>39992.800000000003</v>
      </c>
      <c r="Q64" s="23">
        <v>39992.800000000003</v>
      </c>
      <c r="R64" s="4"/>
      <c r="S64" s="4"/>
      <c r="T64" s="4"/>
      <c r="U64" s="4"/>
      <c r="V64" s="4"/>
      <c r="W64" s="4"/>
      <c r="X64" s="23">
        <v>39992.800000000003</v>
      </c>
      <c r="Y64" s="12">
        <f ca="1">IFERROR(__xludf.DUMMYFUNCTION("INDEX(IMPORTRANGE(""1y0FWgjbB0gVlqn-q5LMJbGIsqOrzru4yowQz67dz2yc"", ""'ESC'!BH3:BH139""),MATCH(D64,IMPORTRANGE(""1y0FWgjbB0gVlqn-q5LMJbGIsqOrzru4yowQz67dz2yc"", ""'ESC'!D3:D139""),0))"),41172.03)</f>
        <v>41172.03</v>
      </c>
      <c r="Z64" s="12">
        <f ca="1">IFERROR(__xludf.DUMMYFUNCTION("INDEX(IMPORTRANGE(""1y0FWgjbB0gVlqn-q5LMJbGIsqOrzru4yowQz67dz2yc"", ""'ESC'!BI3:BI139""),MATCH(D64,IMPORTRANGE(""1y0FWgjbB0gVlqn-q5LMJbGIsqOrzru4yowQz67dz2yc"", ""'ESC'!D3:D139""),0))"),41810.03)</f>
        <v>41810.03</v>
      </c>
      <c r="AA64" s="1"/>
      <c r="AB64" s="1"/>
      <c r="AC64" s="1"/>
      <c r="AD64" s="1"/>
    </row>
    <row r="65" spans="1:30">
      <c r="A65" s="7" t="s">
        <v>147</v>
      </c>
      <c r="B65" s="7" t="s">
        <v>168</v>
      </c>
      <c r="C65" s="1" t="s">
        <v>30</v>
      </c>
      <c r="D65" s="7" t="s">
        <v>187</v>
      </c>
      <c r="E65" s="7" t="s">
        <v>38</v>
      </c>
      <c r="F65" s="9" t="s">
        <v>188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23">
        <v>44787</v>
      </c>
      <c r="Q65" s="23">
        <v>44787</v>
      </c>
      <c r="R65" s="4"/>
      <c r="S65" s="4"/>
      <c r="T65" s="4"/>
      <c r="U65" s="4"/>
      <c r="V65" s="4"/>
      <c r="W65" s="4"/>
      <c r="X65" s="23">
        <v>44787</v>
      </c>
      <c r="Y65" s="12">
        <f ca="1">IFERROR(__xludf.DUMMYFUNCTION("INDEX(IMPORTRANGE(""1y0FWgjbB0gVlqn-q5LMJbGIsqOrzru4yowQz67dz2yc"", ""'ESC'!BH3:BH139""),MATCH(D65,IMPORTRANGE(""1y0FWgjbB0gVlqn-q5LMJbGIsqOrzru4yowQz67dz2yc"", ""'ESC'!D3:D139""),0))"),44787)</f>
        <v>44787</v>
      </c>
      <c r="Z65" s="12">
        <f ca="1">IFERROR(__xludf.DUMMYFUNCTION("INDEX(IMPORTRANGE(""1y0FWgjbB0gVlqn-q5LMJbGIsqOrzru4yowQz67dz2yc"", ""'ESC'!BI3:BI139""),MATCH(D65,IMPORTRANGE(""1y0FWgjbB0gVlqn-q5LMJbGIsqOrzru4yowQz67dz2yc"", ""'ESC'!D3:D139""),0))"),44787)</f>
        <v>44787</v>
      </c>
      <c r="AA65" s="1"/>
      <c r="AB65" s="1"/>
      <c r="AC65" s="1"/>
      <c r="AD65" s="1"/>
    </row>
    <row r="66" spans="1:30">
      <c r="A66" s="7" t="s">
        <v>147</v>
      </c>
      <c r="B66" s="7" t="s">
        <v>168</v>
      </c>
      <c r="C66" s="1" t="s">
        <v>36</v>
      </c>
      <c r="D66" s="7" t="s">
        <v>189</v>
      </c>
      <c r="E66" s="7" t="s">
        <v>38</v>
      </c>
      <c r="F66" s="9" t="s">
        <v>190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7">P64/P65</f>
        <v>0.89295554513586539</v>
      </c>
      <c r="Q66" s="15">
        <f t="shared" si="17"/>
        <v>0.89295554513586539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 t="shared" ref="X66:Y66" si="18">X64/X65</f>
        <v>0.89295554513586539</v>
      </c>
      <c r="Y66" s="15">
        <f t="shared" ca="1" si="18"/>
        <v>0.91928528367606666</v>
      </c>
      <c r="Z66" s="15">
        <f ca="1">IFERROR(__xludf.DUMMYFUNCTION("INDEX(IMPORTRANGE(""1y0FWgjbB0gVlqn-q5LMJbGIsqOrzru4yowQz67dz2yc"", ""'ESC'!BI3:BI139""),MATCH(D66,IMPORTRANGE(""1y0FWgjbB0gVlqn-q5LMJbGIsqOrzru4yowQz67dz2yc"", ""'ESC'!D3:D139""),0))"),0.933530488757898)</f>
        <v>0.93353048875789801</v>
      </c>
      <c r="AA66" s="1"/>
      <c r="AB66" s="1"/>
      <c r="AC66" s="1"/>
      <c r="AD66" s="1"/>
    </row>
    <row r="67" spans="1:30">
      <c r="A67" s="7" t="s">
        <v>147</v>
      </c>
      <c r="B67" s="7" t="s">
        <v>168</v>
      </c>
      <c r="C67" s="1" t="s">
        <v>30</v>
      </c>
      <c r="D67" s="7" t="s">
        <v>191</v>
      </c>
      <c r="E67" s="7" t="s">
        <v>38</v>
      </c>
      <c r="F67" s="9" t="s">
        <v>192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12">
        <v>0</v>
      </c>
      <c r="Q67" s="12">
        <v>0</v>
      </c>
      <c r="R67" s="4"/>
      <c r="S67" s="4"/>
      <c r="T67" s="4"/>
      <c r="U67" s="4"/>
      <c r="V67" s="4"/>
      <c r="W67" s="4"/>
      <c r="X67" s="12">
        <v>0</v>
      </c>
      <c r="Y67" s="24">
        <f ca="1">IFERROR(__xludf.DUMMYFUNCTION("INDEX(IMPORTRANGE(""1y0FWgjbB0gVlqn-q5LMJbGIsqOrzru4yowQz67dz2yc"", ""'ESC'!BH3:BH139""),MATCH(D67,IMPORTRANGE(""1y0FWgjbB0gVlqn-q5LMJbGIsqOrzru4yowQz67dz2yc"", ""'ESC'!D3:D139""),0))"),2.6)</f>
        <v>2.6</v>
      </c>
      <c r="Z67" s="24">
        <f ca="1">IFERROR(__xludf.DUMMYFUNCTION("INDEX(IMPORTRANGE(""1y0FWgjbB0gVlqn-q5LMJbGIsqOrzru4yowQz67dz2yc"", ""'ESC'!BI3:BI139""),MATCH(D67,IMPORTRANGE(""1y0FWgjbB0gVlqn-q5LMJbGIsqOrzru4yowQz67dz2yc"", ""'ESC'!D3:D139""),0))"),0.45)</f>
        <v>0.45</v>
      </c>
      <c r="AA67" s="1"/>
      <c r="AB67" s="1"/>
      <c r="AC67" s="1"/>
      <c r="AD67" s="1"/>
    </row>
    <row r="68" spans="1:30">
      <c r="A68" s="7" t="s">
        <v>147</v>
      </c>
      <c r="B68" s="7" t="s">
        <v>168</v>
      </c>
      <c r="C68" s="1" t="s">
        <v>30</v>
      </c>
      <c r="D68" s="7" t="s">
        <v>193</v>
      </c>
      <c r="E68" s="7" t="s">
        <v>38</v>
      </c>
      <c r="F68" s="9" t="s">
        <v>194</v>
      </c>
      <c r="G68" s="2" t="s">
        <v>56</v>
      </c>
      <c r="H68" s="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12">
        <v>0</v>
      </c>
      <c r="Q68" s="12">
        <v>0</v>
      </c>
      <c r="R68" s="4"/>
      <c r="S68" s="4"/>
      <c r="T68" s="4"/>
      <c r="U68" s="4"/>
      <c r="V68" s="4"/>
      <c r="W68" s="4"/>
      <c r="X68" s="12">
        <v>0</v>
      </c>
      <c r="Y68" s="2">
        <f ca="1">IFERROR(__xludf.DUMMYFUNCTION("INDEX(IMPORTRANGE(""1y0FWgjbB0gVlqn-q5LMJbGIsqOrzru4yowQz67dz2yc"", ""'ESC'!BH3:BH139""),MATCH(D68,IMPORTRANGE(""1y0FWgjbB0gVlqn-q5LMJbGIsqOrzru4yowQz67dz2yc"", ""'ESC'!D3:D139""),0))"),14.7)</f>
        <v>14.7</v>
      </c>
      <c r="Z68" s="2">
        <f ca="1">IFERROR(__xludf.DUMMYFUNCTION("INDEX(IMPORTRANGE(""1y0FWgjbB0gVlqn-q5LMJbGIsqOrzru4yowQz67dz2yc"", ""'ESC'!BI3:BI139""),MATCH(D68,IMPORTRANGE(""1y0FWgjbB0gVlqn-q5LMJbGIsqOrzru4yowQz67dz2yc"", ""'ESC'!D3:D139""),0))"),0)</f>
        <v>0</v>
      </c>
      <c r="AA68" s="1"/>
      <c r="AB68" s="1"/>
      <c r="AC68" s="1"/>
      <c r="AD68" s="1"/>
    </row>
    <row r="69" spans="1:30">
      <c r="A69" s="7" t="s">
        <v>147</v>
      </c>
      <c r="B69" s="7" t="s">
        <v>168</v>
      </c>
      <c r="C69" s="1" t="s">
        <v>30</v>
      </c>
      <c r="D69" s="7" t="s">
        <v>195</v>
      </c>
      <c r="E69" s="7" t="s">
        <v>38</v>
      </c>
      <c r="F69" s="9" t="s">
        <v>196</v>
      </c>
      <c r="G69" s="11">
        <v>44469</v>
      </c>
      <c r="H69" s="11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12" t="s">
        <v>150</v>
      </c>
      <c r="Q69" s="12" t="s">
        <v>150</v>
      </c>
      <c r="R69" s="4"/>
      <c r="S69" s="4"/>
      <c r="T69" s="4"/>
      <c r="U69" s="4"/>
      <c r="V69" s="4"/>
      <c r="W69" s="4"/>
      <c r="X69" s="12" t="s">
        <v>150</v>
      </c>
      <c r="Y69" s="12" t="str">
        <f ca="1">IFERROR(__xludf.DUMMYFUNCTION("INDEX(IMPORTRANGE(""1y0FWgjbB0gVlqn-q5LMJbGIsqOrzru4yowQz67dz2yc"", ""'ESC'!BH3:BH139""),MATCH(D69,IMPORTRANGE(""1y0FWgjbB0gVlqn-q5LMJbGIsqOrzru4yowQz67dz2yc"", ""'ESC'!D3:D139""),0))"),"")</f>
        <v/>
      </c>
      <c r="Z69" s="12" t="str">
        <f ca="1">IFERROR(__xludf.DUMMYFUNCTION("INDEX(IMPORTRANGE(""1y0FWgjbB0gVlqn-q5LMJbGIsqOrzru4yowQz67dz2yc"", ""'ESC'!BI3:BI139""),MATCH(D69,IMPORTRANGE(""1y0FWgjbB0gVlqn-q5LMJbGIsqOrzru4yowQz67dz2yc"", ""'ESC'!D3:D139""),0))"),"")</f>
        <v/>
      </c>
      <c r="AA69" s="1"/>
      <c r="AB69" s="1"/>
      <c r="AC69" s="1"/>
      <c r="AD69" s="1"/>
    </row>
    <row r="70" spans="1:30">
      <c r="A70" s="7" t="s">
        <v>147</v>
      </c>
      <c r="B70" s="7" t="s">
        <v>168</v>
      </c>
      <c r="C70" s="1" t="s">
        <v>36</v>
      </c>
      <c r="D70" s="7" t="s">
        <v>197</v>
      </c>
      <c r="E70" s="7" t="s">
        <v>38</v>
      </c>
      <c r="F70" s="9" t="s">
        <v>198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f>P67+P68</f>
        <v>0</v>
      </c>
      <c r="Q70" s="23">
        <v>0</v>
      </c>
      <c r="R70" s="2">
        <v>7.7</v>
      </c>
      <c r="S70" s="2">
        <v>3.9</v>
      </c>
      <c r="T70" s="2">
        <v>7.7</v>
      </c>
      <c r="U70" s="2">
        <v>3.9</v>
      </c>
      <c r="V70" s="2">
        <v>7.7</v>
      </c>
      <c r="W70" s="2">
        <v>23.2</v>
      </c>
      <c r="X70" s="23">
        <v>0</v>
      </c>
      <c r="Y70" s="23">
        <f ca="1">IFERROR(__xludf.DUMMYFUNCTION("INDEX(IMPORTRANGE(""1y0FWgjbB0gVlqn-q5LMJbGIsqOrzru4yowQz67dz2yc"", ""'ESC'!BH3:BH139""),MATCH(D70,IMPORTRANGE(""1y0FWgjbB0gVlqn-q5LMJbGIsqOrzru4yowQz67dz2yc"", ""'ESC'!D3:D139""),0))"),17.3)</f>
        <v>17.3</v>
      </c>
      <c r="Z70" s="23">
        <f ca="1">IFERROR(__xludf.DUMMYFUNCTION("INDEX(IMPORTRANGE(""1y0FWgjbB0gVlqn-q5LMJbGIsqOrzru4yowQz67dz2yc"", ""'ESC'!BI3:BI139""),MATCH(D70,IMPORTRANGE(""1y0FWgjbB0gVlqn-q5LMJbGIsqOrzru4yowQz67dz2yc"", ""'ESC'!D3:D139""),0))"),0.45)</f>
        <v>0.45</v>
      </c>
      <c r="AA70" s="1"/>
      <c r="AB70" s="1"/>
      <c r="AC70" s="1"/>
      <c r="AD70" s="1"/>
    </row>
    <row r="71" spans="1:30">
      <c r="A71" s="7" t="s">
        <v>199</v>
      </c>
      <c r="B71" s="7" t="s">
        <v>200</v>
      </c>
      <c r="C71" s="1" t="s">
        <v>36</v>
      </c>
      <c r="D71" s="7" t="s">
        <v>201</v>
      </c>
      <c r="E71" s="7" t="s">
        <v>38</v>
      </c>
      <c r="F71" s="9" t="s">
        <v>202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">
        <v>5.04</v>
      </c>
      <c r="Q71" s="2">
        <v>5.04</v>
      </c>
      <c r="R71" s="2">
        <v>6.4720000000000004</v>
      </c>
      <c r="S71" s="2">
        <v>7.9039999999999999</v>
      </c>
      <c r="T71" s="2">
        <v>9.3360000000000003</v>
      </c>
      <c r="U71" s="2">
        <v>10.768000000000001</v>
      </c>
      <c r="V71" s="2">
        <v>12.2</v>
      </c>
      <c r="W71" s="2">
        <v>12.2</v>
      </c>
      <c r="X71" s="2">
        <v>5.04</v>
      </c>
      <c r="Y71" s="32">
        <f ca="1">IFERROR(__xludf.DUMMYFUNCTION("INDEX(IMPORTRANGE(""1y0FWgjbB0gVlqn-q5LMJbGIsqOrzru4yowQz67dz2yc"", ""'ESC'!BH3:BH139""),MATCH(D71,IMPORTRANGE(""1y0FWgjbB0gVlqn-q5LMJbGIsqOrzru4yowQz67dz2yc"", ""'ESC'!D3:D139""),0))"),3.88)</f>
        <v>3.88</v>
      </c>
      <c r="Z71" s="32">
        <f ca="1">IFERROR(__xludf.DUMMYFUNCTION("INDEX(IMPORTRANGE(""1y0FWgjbB0gVlqn-q5LMJbGIsqOrzru4yowQz67dz2yc"", ""'ESC'!BI3:BI139""),MATCH(D71,IMPORTRANGE(""1y0FWgjbB0gVlqn-q5LMJbGIsqOrzru4yowQz67dz2yc"", ""'ESC'!D3:D139""),0))"),5.65)</f>
        <v>5.65</v>
      </c>
      <c r="AA71" s="1"/>
      <c r="AB71" s="1"/>
      <c r="AC71" s="1"/>
      <c r="AD71" s="1"/>
    </row>
    <row r="72" spans="1:30">
      <c r="A72" s="7" t="s">
        <v>199</v>
      </c>
      <c r="B72" s="7" t="s">
        <v>200</v>
      </c>
      <c r="C72" s="1" t="s">
        <v>30</v>
      </c>
      <c r="D72" s="7" t="s">
        <v>203</v>
      </c>
      <c r="E72" s="7" t="s">
        <v>38</v>
      </c>
      <c r="F72" s="9" t="s">
        <v>204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2"/>
      <c r="S72" s="2"/>
      <c r="T72" s="2"/>
      <c r="U72" s="2"/>
      <c r="V72" s="2"/>
      <c r="W72" s="2"/>
      <c r="X72" s="2">
        <v>0</v>
      </c>
      <c r="Y72" s="12">
        <f ca="1">IFERROR(__xludf.DUMMYFUNCTION("INDEX(IMPORTRANGE(""1y0FWgjbB0gVlqn-q5LMJbGIsqOrzru4yowQz67dz2yc"", ""'ESC'!BH3:BH139""),MATCH(D72,IMPORTRANGE(""1y0FWgjbB0gVlqn-q5LMJbGIsqOrzru4yowQz67dz2yc"", ""'ESC'!D3:D139""),0))"),0)</f>
        <v>0</v>
      </c>
      <c r="Z72" s="12">
        <f ca="1">IFERROR(__xludf.DUMMYFUNCTION("INDEX(IMPORTRANGE(""1y0FWgjbB0gVlqn-q5LMJbGIsqOrzru4yowQz67dz2yc"", ""'ESC'!BI3:BI139""),MATCH(D72,IMPORTRANGE(""1y0FWgjbB0gVlqn-q5LMJbGIsqOrzru4yowQz67dz2yc"", ""'ESC'!D3:D139""),0))"),4516)</f>
        <v>4516</v>
      </c>
      <c r="AA72" s="1"/>
      <c r="AB72" s="1"/>
      <c r="AC72" s="1"/>
      <c r="AD72" s="1"/>
    </row>
    <row r="73" spans="1:30">
      <c r="A73" s="7" t="s">
        <v>199</v>
      </c>
      <c r="B73" s="7" t="s">
        <v>200</v>
      </c>
      <c r="C73" s="1" t="s">
        <v>30</v>
      </c>
      <c r="D73" s="7" t="s">
        <v>205</v>
      </c>
      <c r="E73" s="7" t="s">
        <v>38</v>
      </c>
      <c r="F73" s="9" t="s">
        <v>206</v>
      </c>
      <c r="G73" s="2" t="s">
        <v>56</v>
      </c>
      <c r="H73" s="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2"/>
      <c r="S73" s="2"/>
      <c r="T73" s="2"/>
      <c r="U73" s="2"/>
      <c r="V73" s="2"/>
      <c r="W73" s="2"/>
      <c r="X73" s="2">
        <v>0</v>
      </c>
      <c r="Y73" s="12">
        <f ca="1">IFERROR(__xludf.DUMMYFUNCTION("INDEX(IMPORTRANGE(""1y0FWgjbB0gVlqn-q5LMJbGIsqOrzru4yowQz67dz2yc"", ""'ESC'!BH3:BH139""),MATCH(D73,IMPORTRANGE(""1y0FWgjbB0gVlqn-q5LMJbGIsqOrzru4yowQz67dz2yc"", ""'ESC'!D3:D139""),0))"),26000)</f>
        <v>26000</v>
      </c>
      <c r="Z73" s="12">
        <f ca="1">IFERROR(__xludf.DUMMYFUNCTION("INDEX(IMPORTRANGE(""1y0FWgjbB0gVlqn-q5LMJbGIsqOrzru4yowQz67dz2yc"", ""'ESC'!BI3:BI139""),MATCH(D73,IMPORTRANGE(""1y0FWgjbB0gVlqn-q5LMJbGIsqOrzru4yowQz67dz2yc"", ""'ESC'!D3:D139""),0))"),1464.29)</f>
        <v>1464.29</v>
      </c>
      <c r="AA73" s="1"/>
      <c r="AB73" s="1"/>
      <c r="AC73" s="1"/>
      <c r="AD73" s="1"/>
    </row>
    <row r="74" spans="1:30">
      <c r="A74" s="7" t="s">
        <v>199</v>
      </c>
      <c r="B74" s="7" t="s">
        <v>200</v>
      </c>
      <c r="C74" s="1" t="s">
        <v>30</v>
      </c>
      <c r="D74" s="7" t="s">
        <v>207</v>
      </c>
      <c r="E74" s="7" t="s">
        <v>38</v>
      </c>
      <c r="F74" s="9" t="s">
        <v>208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0</v>
      </c>
      <c r="Y74" s="12">
        <f ca="1">IFERROR(__xludf.DUMMYFUNCTION("INDEX(IMPORTRANGE(""1y0FWgjbB0gVlqn-q5LMJbGIsqOrzru4yowQz67dz2yc"", ""'ESC'!BH3:BH139""),MATCH(D74,IMPORTRANGE(""1y0FWgjbB0gVlqn-q5LMJbGIsqOrzru4yowQz67dz2yc"", ""'ESC'!D3:D139""),0))"),0)</f>
        <v>0</v>
      </c>
      <c r="Z74" s="12">
        <f ca="1">IFERROR(__xludf.DUMMYFUNCTION("INDEX(IMPORTRANGE(""1y0FWgjbB0gVlqn-q5LMJbGIsqOrzru4yowQz67dz2yc"", ""'ESC'!BI3:BI139""),MATCH(D74,IMPORTRANGE(""1y0FWgjbB0gVlqn-q5LMJbGIsqOrzru4yowQz67dz2yc"", ""'ESC'!D3:D139""),0))"),1479)</f>
        <v>1479</v>
      </c>
      <c r="AA74" s="1"/>
      <c r="AB74" s="1"/>
      <c r="AC74" s="1"/>
      <c r="AD74" s="1"/>
    </row>
    <row r="75" spans="1:30">
      <c r="A75" s="7" t="s">
        <v>199</v>
      </c>
      <c r="B75" s="7" t="s">
        <v>200</v>
      </c>
      <c r="C75" s="1" t="s">
        <v>36</v>
      </c>
      <c r="D75" s="7" t="s">
        <v>209</v>
      </c>
      <c r="E75" s="7" t="s">
        <v>38</v>
      </c>
      <c r="F75" s="9" t="s">
        <v>210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4">
        <v>25000</v>
      </c>
      <c r="S75" s="4">
        <v>12500</v>
      </c>
      <c r="T75" s="4">
        <v>25000</v>
      </c>
      <c r="U75" s="4">
        <v>12500</v>
      </c>
      <c r="V75" s="4">
        <v>25000</v>
      </c>
      <c r="W75" s="4">
        <v>75000</v>
      </c>
      <c r="X75" s="2">
        <v>0</v>
      </c>
      <c r="Y75" s="12">
        <f ca="1">IFERROR(__xludf.DUMMYFUNCTION("INDEX(IMPORTRANGE(""1y0FWgjbB0gVlqn-q5LMJbGIsqOrzru4yowQz67dz2yc"", ""'ESC'!BH3:BH139""),MATCH(D75,IMPORTRANGE(""1y0FWgjbB0gVlqn-q5LMJbGIsqOrzru4yowQz67dz2yc"", ""'ESC'!D3:D139""),0))"),26000)</f>
        <v>26000</v>
      </c>
      <c r="Z75" s="12">
        <f ca="1">IFERROR(__xludf.DUMMYFUNCTION("INDEX(IMPORTRANGE(""1y0FWgjbB0gVlqn-q5LMJbGIsqOrzru4yowQz67dz2yc"", ""'ESC'!BI3:BI139""),MATCH(D75,IMPORTRANGE(""1y0FWgjbB0gVlqn-q5LMJbGIsqOrzru4yowQz67dz2yc"", ""'ESC'!D3:D139""),0))"),7459.29)</f>
        <v>7459.29</v>
      </c>
      <c r="AA75" s="1"/>
      <c r="AB75" s="1"/>
      <c r="AC75" s="1"/>
      <c r="AD75" s="1"/>
    </row>
    <row r="76" spans="1:30">
      <c r="A76" s="7" t="s">
        <v>199</v>
      </c>
      <c r="B76" s="7" t="s">
        <v>200</v>
      </c>
      <c r="C76" s="1" t="s">
        <v>30</v>
      </c>
      <c r="D76" s="155" t="s">
        <v>211</v>
      </c>
      <c r="E76" s="7" t="s">
        <v>38</v>
      </c>
      <c r="F76" s="9" t="s">
        <v>212</v>
      </c>
      <c r="G76" s="7" t="s">
        <v>213</v>
      </c>
      <c r="H76" s="1" t="s">
        <v>214</v>
      </c>
      <c r="I76" s="7" t="s">
        <v>215</v>
      </c>
      <c r="J76" s="13"/>
      <c r="K76" s="7" t="s">
        <v>216</v>
      </c>
      <c r="L76" s="13"/>
      <c r="M76" s="7" t="s">
        <v>217</v>
      </c>
      <c r="N76" s="1" t="s">
        <v>218</v>
      </c>
      <c r="O76" s="1" t="s">
        <v>218</v>
      </c>
      <c r="P76" s="50">
        <v>67162250.939999998</v>
      </c>
      <c r="Q76" s="50">
        <v>67162250.939999998</v>
      </c>
      <c r="R76" s="4"/>
      <c r="S76" s="4"/>
      <c r="T76" s="4"/>
      <c r="U76" s="4"/>
      <c r="V76" s="4"/>
      <c r="W76" s="4"/>
      <c r="X76" s="50">
        <v>67162250.939999998</v>
      </c>
      <c r="Y76" s="184" t="str">
        <f ca="1">IFERROR(__xludf.DUMMYFUNCTION("INDEX(IMPORTRANGE(""1y0FWgjbB0gVlqn-q5LMJbGIsqOrzru4yowQz67dz2yc"", ""'ESC'!BH3:BH139""),MATCH(D76,IMPORTRANGE(""1y0FWgjbB0gVlqn-q5LMJbGIsqOrzru4yowQz67dz2yc"", ""'ESC'!D3:D139""),0))"),"")</f>
        <v/>
      </c>
      <c r="Z76" s="184">
        <f ca="1">IFERROR(__xludf.DUMMYFUNCTION("INDEX(IMPORTRANGE(""1y0FWgjbB0gVlqn-q5LMJbGIsqOrzru4yowQz67dz2yc"", ""'ESC'!BI3:BI139""),MATCH(D76,IMPORTRANGE(""1y0FWgjbB0gVlqn-q5LMJbGIsqOrzru4yowQz67dz2yc"", ""'ESC'!D3:D139""),0))"),132365663.81)</f>
        <v>132365663.81</v>
      </c>
      <c r="AA76" s="1"/>
      <c r="AB76" s="1"/>
      <c r="AC76" s="1"/>
      <c r="AD76" s="1"/>
    </row>
    <row r="77" spans="1:30">
      <c r="A77" s="7" t="s">
        <v>199</v>
      </c>
      <c r="B77" s="7" t="s">
        <v>200</v>
      </c>
      <c r="C77" s="1" t="s">
        <v>30</v>
      </c>
      <c r="D77" s="155" t="s">
        <v>219</v>
      </c>
      <c r="E77" s="7" t="s">
        <v>38</v>
      </c>
      <c r="F77" s="9" t="s">
        <v>220</v>
      </c>
      <c r="G77" s="7" t="s">
        <v>213</v>
      </c>
      <c r="H77" s="1" t="s">
        <v>214</v>
      </c>
      <c r="I77" s="7" t="s">
        <v>215</v>
      </c>
      <c r="J77" s="13"/>
      <c r="K77" s="7" t="s">
        <v>216</v>
      </c>
      <c r="L77" s="13"/>
      <c r="M77" s="7" t="s">
        <v>217</v>
      </c>
      <c r="N77" s="1" t="s">
        <v>218</v>
      </c>
      <c r="O77" s="1" t="s">
        <v>218</v>
      </c>
      <c r="P77" s="50">
        <v>1887769.8</v>
      </c>
      <c r="Q77" s="50">
        <v>1887769.8</v>
      </c>
      <c r="R77" s="4"/>
      <c r="S77" s="4"/>
      <c r="T77" s="4"/>
      <c r="U77" s="4"/>
      <c r="V77" s="4"/>
      <c r="W77" s="4"/>
      <c r="X77" s="50">
        <v>1887769.8</v>
      </c>
      <c r="Y77" s="184" t="str">
        <f ca="1">IFERROR(__xludf.DUMMYFUNCTION("INDEX(IMPORTRANGE(""1y0FWgjbB0gVlqn-q5LMJbGIsqOrzru4yowQz67dz2yc"", ""'ESC'!BH3:BH139""),MATCH(D77,IMPORTRANGE(""1y0FWgjbB0gVlqn-q5LMJbGIsqOrzru4yowQz67dz2yc"", ""'ESC'!D3:D139""),0))"),"")</f>
        <v/>
      </c>
      <c r="Z77" s="184">
        <f ca="1">IFERROR(__xludf.DUMMYFUNCTION("INDEX(IMPORTRANGE(""1y0FWgjbB0gVlqn-q5LMJbGIsqOrzru4yowQz67dz2yc"", ""'ESC'!BI3:BI139""),MATCH(D77,IMPORTRANGE(""1y0FWgjbB0gVlqn-q5LMJbGIsqOrzru4yowQz67dz2yc"", ""'ESC'!D3:D139""),0))"),14395646.19)</f>
        <v>14395646.189999999</v>
      </c>
      <c r="AA77" s="1"/>
      <c r="AB77" s="1"/>
      <c r="AC77" s="1"/>
      <c r="AD77" s="1"/>
    </row>
    <row r="78" spans="1:30">
      <c r="A78" s="7" t="s">
        <v>199</v>
      </c>
      <c r="B78" s="7" t="s">
        <v>200</v>
      </c>
      <c r="C78" s="1" t="s">
        <v>36</v>
      </c>
      <c r="D78" s="7" t="s">
        <v>221</v>
      </c>
      <c r="E78" s="7" t="s">
        <v>38</v>
      </c>
      <c r="F78" s="9" t="s">
        <v>222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15">
        <f t="shared" ref="P78:Q78" si="19">P77/P76</f>
        <v>2.8107601719401219E-2</v>
      </c>
      <c r="Q78" s="15">
        <f t="shared" si="19"/>
        <v>2.8107601719401219E-2</v>
      </c>
      <c r="R78" s="2"/>
      <c r="S78" s="26">
        <v>2.5000000000000001E-2</v>
      </c>
      <c r="T78" s="55"/>
      <c r="U78" s="26">
        <v>2.3E-2</v>
      </c>
      <c r="V78" s="26">
        <v>0.02</v>
      </c>
      <c r="W78" s="14">
        <v>0.02</v>
      </c>
      <c r="X78" s="15">
        <f>X77/X76</f>
        <v>2.8107601719401219E-2</v>
      </c>
      <c r="Y78" s="38" t="str">
        <f ca="1">IFERROR(__xludf.DUMMYFUNCTION("INDEX(IMPORTRANGE(""1y0FWgjbB0gVlqn-q5LMJbGIsqOrzru4yowQz67dz2yc"", ""'ESC'!BH3:BH139""),MATCH(D78,IMPORTRANGE(""1y0FWgjbB0gVlqn-q5LMJbGIsqOrzru4yowQz67dz2yc"", ""'ESC'!D3:D139""),0))"),"")</f>
        <v/>
      </c>
      <c r="Z78" s="38">
        <f ca="1">IFERROR(__xludf.DUMMYFUNCTION("INDEX(IMPORTRANGE(""1y0FWgjbB0gVlqn-q5LMJbGIsqOrzru4yowQz67dz2yc"", ""'ESC'!BI3:BI139""),MATCH(D78,IMPORTRANGE(""1y0FWgjbB0gVlqn-q5LMJbGIsqOrzru4yowQz67dz2yc"", ""'ESC'!D3:D139""),0))"),0.108756650143527)</f>
        <v>0.10875665014352701</v>
      </c>
      <c r="AA78" s="1"/>
      <c r="AB78" s="1"/>
      <c r="AC78" s="1"/>
      <c r="AD78" s="1"/>
    </row>
    <row r="79" spans="1:30">
      <c r="A79" s="7" t="s">
        <v>199</v>
      </c>
      <c r="B79" s="7" t="s">
        <v>200</v>
      </c>
      <c r="C79" s="1" t="s">
        <v>30</v>
      </c>
      <c r="D79" s="7" t="s">
        <v>223</v>
      </c>
      <c r="E79" s="7" t="s">
        <v>38</v>
      </c>
      <c r="F79" s="9" t="s">
        <v>224</v>
      </c>
      <c r="G79" s="2" t="s">
        <v>56</v>
      </c>
      <c r="H79" s="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0</v>
      </c>
      <c r="Q79" s="12">
        <v>0</v>
      </c>
      <c r="R79" s="2"/>
      <c r="S79" s="2"/>
      <c r="T79" s="2"/>
      <c r="U79" s="2"/>
      <c r="V79" s="2"/>
      <c r="W79" s="2"/>
      <c r="X79" s="12">
        <v>0</v>
      </c>
      <c r="Y79" s="12">
        <f ca="1">IFERROR(__xludf.DUMMYFUNCTION("INDEX(IMPORTRANGE(""1y0FWgjbB0gVlqn-q5LMJbGIsqOrzru4yowQz67dz2yc"", ""'ESC'!BH3:BH139""),MATCH(D79,IMPORTRANGE(""1y0FWgjbB0gVlqn-q5LMJbGIsqOrzru4yowQz67dz2yc"", ""'ESC'!D3:D139""),0))"),0)</f>
        <v>0</v>
      </c>
      <c r="Z79" s="12">
        <f ca="1">IFERROR(__xludf.DUMMYFUNCTION("INDEX(IMPORTRANGE(""1y0FWgjbB0gVlqn-q5LMJbGIsqOrzru4yowQz67dz2yc"", ""'ESC'!BI3:BI139""),MATCH(D79,IMPORTRANGE(""1y0FWgjbB0gVlqn-q5LMJbGIsqOrzru4yowQz67dz2yc"", ""'ESC'!D3:D139""),0))"),3)</f>
        <v>3</v>
      </c>
      <c r="AA79" s="1"/>
      <c r="AB79" s="1"/>
      <c r="AC79" s="1"/>
      <c r="AD79" s="1"/>
    </row>
    <row r="80" spans="1:30">
      <c r="A80" s="7" t="s">
        <v>199</v>
      </c>
      <c r="B80" s="7" t="s">
        <v>200</v>
      </c>
      <c r="C80" s="1" t="s">
        <v>30</v>
      </c>
      <c r="D80" s="155" t="s">
        <v>225</v>
      </c>
      <c r="E80" s="7" t="s">
        <v>38</v>
      </c>
      <c r="F80" s="9" t="s">
        <v>182</v>
      </c>
      <c r="G80" s="2" t="s">
        <v>56</v>
      </c>
      <c r="H80" s="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0</v>
      </c>
      <c r="Q80" s="12">
        <v>0</v>
      </c>
      <c r="R80" s="2"/>
      <c r="S80" s="2"/>
      <c r="T80" s="2"/>
      <c r="U80" s="2"/>
      <c r="V80" s="2"/>
      <c r="W80" s="2"/>
      <c r="X80" s="12">
        <v>0</v>
      </c>
      <c r="Y80" s="12">
        <f ca="1">IFERROR(__xludf.DUMMYFUNCTION("INDEX(IMPORTRANGE(""1y0FWgjbB0gVlqn-q5LMJbGIsqOrzru4yowQz67dz2yc"", ""'ESC'!BH3:BH139""),MATCH(D80,IMPORTRANGE(""1y0FWgjbB0gVlqn-q5LMJbGIsqOrzru4yowQz67dz2yc"", ""'ESC'!D3:D139""),0))"),0)</f>
        <v>0</v>
      </c>
      <c r="Z80" s="12">
        <f ca="1">IFERROR(__xludf.DUMMYFUNCTION("INDEX(IMPORTRANGE(""1y0FWgjbB0gVlqn-q5LMJbGIsqOrzru4yowQz67dz2yc"", ""'ESC'!BI3:BI139""),MATCH(D80,IMPORTRANGE(""1y0FWgjbB0gVlqn-q5LMJbGIsqOrzru4yowQz67dz2yc"", ""'ESC'!D3:D139""),0))"),0)</f>
        <v>0</v>
      </c>
      <c r="AA80" s="1"/>
      <c r="AB80" s="1"/>
      <c r="AC80" s="1"/>
      <c r="AD80" s="1"/>
    </row>
    <row r="81" spans="1:30">
      <c r="A81" s="7" t="s">
        <v>199</v>
      </c>
      <c r="B81" s="7" t="s">
        <v>200</v>
      </c>
      <c r="C81" s="1" t="s">
        <v>36</v>
      </c>
      <c r="D81" s="155" t="s">
        <v>226</v>
      </c>
      <c r="E81" s="7" t="s">
        <v>38</v>
      </c>
      <c r="F81" s="9" t="s">
        <v>227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12">
        <v>0</v>
      </c>
      <c r="R81" s="4">
        <v>3</v>
      </c>
      <c r="S81" s="4">
        <v>2</v>
      </c>
      <c r="T81" s="4">
        <v>4</v>
      </c>
      <c r="U81" s="4">
        <v>2</v>
      </c>
      <c r="V81" s="4">
        <v>4</v>
      </c>
      <c r="W81" s="4">
        <v>11</v>
      </c>
      <c r="X81" s="12">
        <v>0</v>
      </c>
      <c r="Y81" s="12">
        <f ca="1">IFERROR(__xludf.DUMMYFUNCTION("INDEX(IMPORTRANGE(""1y0FWgjbB0gVlqn-q5LMJbGIsqOrzru4yowQz67dz2yc"", ""'ESC'!BH3:BH139""),MATCH(D81,IMPORTRANGE(""1y0FWgjbB0gVlqn-q5LMJbGIsqOrzru4yowQz67dz2yc"", ""'ESC'!D3:D139""),0))"),0)</f>
        <v>0</v>
      </c>
      <c r="Z81" s="12">
        <f ca="1">IFERROR(__xludf.DUMMYFUNCTION("INDEX(IMPORTRANGE(""1y0FWgjbB0gVlqn-q5LMJbGIsqOrzru4yowQz67dz2yc"", ""'ESC'!BI3:BI139""),MATCH(D81,IMPORTRANGE(""1y0FWgjbB0gVlqn-q5LMJbGIsqOrzru4yowQz67dz2yc"", ""'ESC'!D3:D139""),0))"),3)</f>
        <v>3</v>
      </c>
      <c r="AA81" s="1"/>
      <c r="AB81" s="1"/>
      <c r="AC81" s="1"/>
      <c r="AD81" s="1"/>
    </row>
    <row r="82" spans="1:30">
      <c r="A82" s="7" t="s">
        <v>199</v>
      </c>
      <c r="B82" s="7" t="s">
        <v>228</v>
      </c>
      <c r="C82" s="1" t="s">
        <v>30</v>
      </c>
      <c r="D82" s="7" t="s">
        <v>229</v>
      </c>
      <c r="E82" s="7" t="s">
        <v>38</v>
      </c>
      <c r="F82" s="9" t="s">
        <v>230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69</v>
      </c>
      <c r="Q82" s="12">
        <v>94</v>
      </c>
      <c r="R82" s="4"/>
      <c r="S82" s="4"/>
      <c r="T82" s="4"/>
      <c r="U82" s="4"/>
      <c r="V82" s="4"/>
      <c r="W82" s="4"/>
      <c r="X82" s="12">
        <v>60</v>
      </c>
      <c r="Y82" s="12">
        <f ca="1">IFERROR(__xludf.DUMMYFUNCTION("INDEX(IMPORTRANGE(""1y0FWgjbB0gVlqn-q5LMJbGIsqOrzru4yowQz67dz2yc"", ""'ESC'!BH3:BH139""),MATCH(D82,IMPORTRANGE(""1y0FWgjbB0gVlqn-q5LMJbGIsqOrzru4yowQz67dz2yc"", ""'ESC'!D3:D139""),0))"),149)</f>
        <v>149</v>
      </c>
      <c r="Z82" s="12">
        <f ca="1">IFERROR(__xludf.DUMMYFUNCTION("INDEX(IMPORTRANGE(""1y0FWgjbB0gVlqn-q5LMJbGIsqOrzru4yowQz67dz2yc"", ""'ESC'!BI3:BI139""),MATCH(D82,IMPORTRANGE(""1y0FWgjbB0gVlqn-q5LMJbGIsqOrzru4yowQz67dz2yc"", ""'ESC'!D3:D139""),0))"),66)</f>
        <v>66</v>
      </c>
      <c r="AA82" s="1"/>
      <c r="AB82" s="1"/>
      <c r="AC82" s="1"/>
      <c r="AD82" s="1"/>
    </row>
    <row r="83" spans="1:30">
      <c r="A83" s="7" t="s">
        <v>199</v>
      </c>
      <c r="B83" s="7" t="s">
        <v>228</v>
      </c>
      <c r="C83" s="1" t="s">
        <v>30</v>
      </c>
      <c r="D83" s="7" t="s">
        <v>233</v>
      </c>
      <c r="E83" s="7" t="s">
        <v>38</v>
      </c>
      <c r="F83" s="9" t="s">
        <v>234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11</v>
      </c>
      <c r="Q83" s="12">
        <v>18</v>
      </c>
      <c r="R83" s="4"/>
      <c r="S83" s="4"/>
      <c r="T83" s="4"/>
      <c r="U83" s="4"/>
      <c r="V83" s="4"/>
      <c r="W83" s="4"/>
      <c r="X83" s="12">
        <v>11</v>
      </c>
      <c r="Y83" s="12">
        <f ca="1">IFERROR(__xludf.DUMMYFUNCTION("INDEX(IMPORTRANGE(""1y0FWgjbB0gVlqn-q5LMJbGIsqOrzru4yowQz67dz2yc"", ""'ESC'!BH3:BH139""),MATCH(D83,IMPORTRANGE(""1y0FWgjbB0gVlqn-q5LMJbGIsqOrzru4yowQz67dz2yc"", ""'ESC'!D3:D139""),0))"),33)</f>
        <v>33</v>
      </c>
      <c r="Z83" s="12">
        <f ca="1">IFERROR(__xludf.DUMMYFUNCTION("INDEX(IMPORTRANGE(""1y0FWgjbB0gVlqn-q5LMJbGIsqOrzru4yowQz67dz2yc"", ""'ESC'!BI3:BI139""),MATCH(D83,IMPORTRANGE(""1y0FWgjbB0gVlqn-q5LMJbGIsqOrzru4yowQz67dz2yc"", ""'ESC'!D3:D139""),0))"),14)</f>
        <v>14</v>
      </c>
      <c r="AA83" s="1"/>
      <c r="AB83" s="1"/>
      <c r="AC83" s="1"/>
      <c r="AD83" s="1"/>
    </row>
    <row r="84" spans="1:30">
      <c r="A84" s="7" t="s">
        <v>199</v>
      </c>
      <c r="B84" s="7" t="s">
        <v>228</v>
      </c>
      <c r="C84" s="1" t="s">
        <v>30</v>
      </c>
      <c r="D84" s="7" t="s">
        <v>235</v>
      </c>
      <c r="E84" s="7" t="s">
        <v>38</v>
      </c>
      <c r="F84" s="9" t="s">
        <v>236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1018</v>
      </c>
      <c r="Q84" s="12">
        <v>2197</v>
      </c>
      <c r="R84" s="4"/>
      <c r="S84" s="4"/>
      <c r="T84" s="4"/>
      <c r="U84" s="4"/>
      <c r="V84" s="4"/>
      <c r="W84" s="4"/>
      <c r="X84" s="12">
        <v>1459</v>
      </c>
      <c r="Y84" s="12">
        <f ca="1">IFERROR(__xludf.DUMMYFUNCTION("INDEX(IMPORTRANGE(""1y0FWgjbB0gVlqn-q5LMJbGIsqOrzru4yowQz67dz2yc"", ""'ESC'!BH3:BH139""),MATCH(D84,IMPORTRANGE(""1y0FWgjbB0gVlqn-q5LMJbGIsqOrzru4yowQz67dz2yc"", ""'ESC'!D3:D139""),0))"),3886)</f>
        <v>3886</v>
      </c>
      <c r="Z84" s="12">
        <f ca="1">IFERROR(__xludf.DUMMYFUNCTION("INDEX(IMPORTRANGE(""1y0FWgjbB0gVlqn-q5LMJbGIsqOrzru4yowQz67dz2yc"", ""'ESC'!BI3:BI139""),MATCH(D84,IMPORTRANGE(""1y0FWgjbB0gVlqn-q5LMJbGIsqOrzru4yowQz67dz2yc"", ""'ESC'!D3:D139""),0))"),2407)</f>
        <v>2407</v>
      </c>
      <c r="AA84" s="1"/>
      <c r="AB84" s="1"/>
      <c r="AC84" s="1"/>
      <c r="AD84" s="1"/>
    </row>
    <row r="85" spans="1:30">
      <c r="A85" s="7" t="s">
        <v>199</v>
      </c>
      <c r="B85" s="7" t="s">
        <v>228</v>
      </c>
      <c r="C85" s="1" t="s">
        <v>30</v>
      </c>
      <c r="D85" s="7" t="s">
        <v>237</v>
      </c>
      <c r="E85" s="7" t="s">
        <v>38</v>
      </c>
      <c r="F85" s="9" t="s">
        <v>238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58</v>
      </c>
      <c r="Q85" s="12">
        <v>97</v>
      </c>
      <c r="R85" s="4"/>
      <c r="S85" s="4"/>
      <c r="T85" s="4"/>
      <c r="U85" s="4"/>
      <c r="V85" s="4"/>
      <c r="W85" s="4"/>
      <c r="X85" s="12">
        <v>231</v>
      </c>
      <c r="Y85" s="12">
        <f ca="1">IFERROR(__xludf.DUMMYFUNCTION("INDEX(IMPORTRANGE(""1y0FWgjbB0gVlqn-q5LMJbGIsqOrzru4yowQz67dz2yc"", ""'ESC'!BH3:BH139""),MATCH(D85,IMPORTRANGE(""1y0FWgjbB0gVlqn-q5LMJbGIsqOrzru4yowQz67dz2yc"", ""'ESC'!D3:D139""),0))"),537)</f>
        <v>537</v>
      </c>
      <c r="Z85" s="12">
        <f ca="1">IFERROR(__xludf.DUMMYFUNCTION("INDEX(IMPORTRANGE(""1y0FWgjbB0gVlqn-q5LMJbGIsqOrzru4yowQz67dz2yc"", ""'ESC'!BI3:BI139""),MATCH(D85,IMPORTRANGE(""1y0FWgjbB0gVlqn-q5LMJbGIsqOrzru4yowQz67dz2yc"", ""'ESC'!D3:D139""),0))"),285)</f>
        <v>285</v>
      </c>
      <c r="AA85" s="1"/>
      <c r="AB85" s="1"/>
      <c r="AC85" s="1"/>
      <c r="AD85" s="1"/>
    </row>
    <row r="86" spans="1:30">
      <c r="A86" s="7" t="s">
        <v>199</v>
      </c>
      <c r="B86" s="7" t="s">
        <v>228</v>
      </c>
      <c r="C86" s="1" t="s">
        <v>30</v>
      </c>
      <c r="D86" s="7" t="s">
        <v>239</v>
      </c>
      <c r="E86" s="7" t="s">
        <v>38</v>
      </c>
      <c r="F86" s="9" t="s">
        <v>240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547</v>
      </c>
      <c r="Q86" s="12">
        <v>759</v>
      </c>
      <c r="R86" s="4"/>
      <c r="S86" s="4"/>
      <c r="T86" s="4"/>
      <c r="U86" s="4"/>
      <c r="V86" s="4"/>
      <c r="W86" s="4"/>
      <c r="X86" s="12">
        <v>171</v>
      </c>
      <c r="Y86" s="12">
        <f ca="1">IFERROR(__xludf.DUMMYFUNCTION("INDEX(IMPORTRANGE(""1y0FWgjbB0gVlqn-q5LMJbGIsqOrzru4yowQz67dz2yc"", ""'ESC'!BH3:BH139""),MATCH(D86,IMPORTRANGE(""1y0FWgjbB0gVlqn-q5LMJbGIsqOrzru4yowQz67dz2yc"", ""'ESC'!D3:D139""),0))"),171)</f>
        <v>171</v>
      </c>
      <c r="Z86" s="12">
        <f ca="1">IFERROR(__xludf.DUMMYFUNCTION("INDEX(IMPORTRANGE(""1y0FWgjbB0gVlqn-q5LMJbGIsqOrzru4yowQz67dz2yc"", ""'ESC'!BI3:BI139""),MATCH(D86,IMPORTRANGE(""1y0FWgjbB0gVlqn-q5LMJbGIsqOrzru4yowQz67dz2yc"", ""'ESC'!D3:D139""),0))"),153)</f>
        <v>153</v>
      </c>
      <c r="AA86" s="1"/>
      <c r="AB86" s="1"/>
      <c r="AC86" s="1"/>
      <c r="AD86" s="1"/>
    </row>
    <row r="87" spans="1:30">
      <c r="A87" s="7" t="s">
        <v>199</v>
      </c>
      <c r="B87" s="7" t="s">
        <v>228</v>
      </c>
      <c r="C87" s="1" t="s">
        <v>36</v>
      </c>
      <c r="D87" s="7" t="s">
        <v>241</v>
      </c>
      <c r="E87" s="7" t="s">
        <v>38</v>
      </c>
      <c r="F87" s="2" t="s">
        <v>242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f t="shared" ref="P87:Q87" si="20">SUM(P82:P86)</f>
        <v>1703</v>
      </c>
      <c r="Q87" s="12">
        <f t="shared" si="20"/>
        <v>3165</v>
      </c>
      <c r="R87" s="2">
        <v>3154</v>
      </c>
      <c r="S87" s="2">
        <v>1692</v>
      </c>
      <c r="T87" s="2">
        <v>3144</v>
      </c>
      <c r="U87" s="2">
        <v>1686</v>
      </c>
      <c r="V87" s="2">
        <v>3133</v>
      </c>
      <c r="W87" s="2">
        <v>3133</v>
      </c>
      <c r="X87" s="12">
        <f>SUM(X82:X86)</f>
        <v>1932</v>
      </c>
      <c r="Y87" s="12">
        <f ca="1">IFERROR(__xludf.DUMMYFUNCTION("INDEX(IMPORTRANGE(""1y0FWgjbB0gVlqn-q5LMJbGIsqOrzru4yowQz67dz2yc"", ""'ESC'!BH3:BH139""),MATCH(D87,IMPORTRANGE(""1y0FWgjbB0gVlqn-q5LMJbGIsqOrzru4yowQz67dz2yc"", ""'ESC'!D3:D139""),0))"),4776)</f>
        <v>4776</v>
      </c>
      <c r="Z87" s="12">
        <f ca="1">IFERROR(__xludf.DUMMYFUNCTION("INDEX(IMPORTRANGE(""1y0FWgjbB0gVlqn-q5LMJbGIsqOrzru4yowQz67dz2yc"", ""'ESC'!BI3:BI139""),MATCH(D87,IMPORTRANGE(""1y0FWgjbB0gVlqn-q5LMJbGIsqOrzru4yowQz67dz2yc"", ""'ESC'!D3:D139""),0))"),2925)</f>
        <v>2925</v>
      </c>
      <c r="AA87" s="1"/>
      <c r="AB87" s="1"/>
      <c r="AC87" s="1"/>
      <c r="AD87" s="1"/>
    </row>
    <row r="88" spans="1:30">
      <c r="A88" s="7" t="s">
        <v>243</v>
      </c>
      <c r="B88" s="7" t="s">
        <v>244</v>
      </c>
      <c r="C88" s="1" t="s">
        <v>36</v>
      </c>
      <c r="D88" s="7" t="s">
        <v>338</v>
      </c>
      <c r="E88" s="7" t="s">
        <v>38</v>
      </c>
      <c r="F88" s="9" t="s">
        <v>246</v>
      </c>
      <c r="G88" s="2" t="s">
        <v>56</v>
      </c>
      <c r="H88" s="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2">
        <v>0</v>
      </c>
      <c r="Q88" s="2">
        <v>0</v>
      </c>
      <c r="R88" s="2">
        <v>1</v>
      </c>
      <c r="S88" s="2">
        <v>2</v>
      </c>
      <c r="T88" s="2">
        <v>2</v>
      </c>
      <c r="U88" s="2">
        <v>3</v>
      </c>
      <c r="V88" s="2">
        <v>3</v>
      </c>
      <c r="W88" s="2">
        <v>3</v>
      </c>
      <c r="X88" s="2">
        <v>0</v>
      </c>
      <c r="Y88" s="2">
        <f ca="1">IFERROR(__xludf.DUMMYFUNCTION("INDEX(IMPORTRANGE(""1y0FWgjbB0gVlqn-q5LMJbGIsqOrzru4yowQz67dz2yc"", ""'ESC'!BH3:BH139""),MATCH(D88,IMPORTRANGE(""1y0FWgjbB0gVlqn-q5LMJbGIsqOrzru4yowQz67dz2yc"", ""'ESC'!D3:D139""),0))"),0)</f>
        <v>0</v>
      </c>
      <c r="Z88" s="2">
        <f ca="1">IFERROR(__xludf.DUMMYFUNCTION("INDEX(IMPORTRANGE(""1y0FWgjbB0gVlqn-q5LMJbGIsqOrzru4yowQz67dz2yc"", ""'ESC'!BI3:BI139""),MATCH(D88,IMPORTRANGE(""1y0FWgjbB0gVlqn-q5LMJbGIsqOrzru4yowQz67dz2yc"", ""'ESC'!D3:D139""),0))"),89)</f>
        <v>89</v>
      </c>
      <c r="AA88" s="1"/>
      <c r="AB88" s="1"/>
      <c r="AC88" s="1"/>
      <c r="AD88" s="1"/>
    </row>
    <row r="89" spans="1:30">
      <c r="A89" s="7" t="s">
        <v>243</v>
      </c>
      <c r="B89" s="7" t="s">
        <v>247</v>
      </c>
      <c r="C89" s="1" t="s">
        <v>36</v>
      </c>
      <c r="D89" s="7" t="s">
        <v>248</v>
      </c>
      <c r="E89" s="7" t="s">
        <v>38</v>
      </c>
      <c r="F89" s="9" t="s">
        <v>249</v>
      </c>
      <c r="G89" s="11">
        <v>44469</v>
      </c>
      <c r="H89" s="11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29">
        <v>1</v>
      </c>
      <c r="Q89" s="29">
        <v>1</v>
      </c>
      <c r="R89" s="2">
        <v>4</v>
      </c>
      <c r="S89" s="2">
        <v>6</v>
      </c>
      <c r="T89" s="2">
        <v>8</v>
      </c>
      <c r="U89" s="2">
        <v>11</v>
      </c>
      <c r="V89" s="2">
        <v>13</v>
      </c>
      <c r="W89" s="2">
        <v>13</v>
      </c>
      <c r="X89" s="257">
        <v>1</v>
      </c>
      <c r="Y89" s="2">
        <f ca="1">IFERROR(__xludf.DUMMYFUNCTION("INDEX(IMPORTRANGE(""1y0FWgjbB0gVlqn-q5LMJbGIsqOrzru4yowQz67dz2yc"", ""'ESC'!BH3:BH139""),MATCH(D89,IMPORTRANGE(""1y0FWgjbB0gVlqn-q5LMJbGIsqOrzru4yowQz67dz2yc"", ""'ESC'!D3:D139""),0))"),0)</f>
        <v>0</v>
      </c>
      <c r="Z89" s="2">
        <f ca="1">IFERROR(__xludf.DUMMYFUNCTION("INDEX(IMPORTRANGE(""1y0FWgjbB0gVlqn-q5LMJbGIsqOrzru4yowQz67dz2yc"", ""'ESC'!BI3:BI139""),MATCH(D89,IMPORTRANGE(""1y0FWgjbB0gVlqn-q5LMJbGIsqOrzru4yowQz67dz2yc"", ""'ESC'!D3:D139""),0))"),24)</f>
        <v>24</v>
      </c>
      <c r="AA89" s="1"/>
      <c r="AB89" s="1"/>
      <c r="AC89" s="1"/>
      <c r="AD89" s="1"/>
    </row>
    <row r="90" spans="1:30">
      <c r="A90" s="7" t="s">
        <v>243</v>
      </c>
      <c r="B90" s="7" t="s">
        <v>250</v>
      </c>
      <c r="C90" s="1" t="s">
        <v>36</v>
      </c>
      <c r="D90" s="7" t="s">
        <v>251</v>
      </c>
      <c r="E90" s="7" t="s">
        <v>252</v>
      </c>
      <c r="F90" s="9" t="s">
        <v>253</v>
      </c>
      <c r="G90" s="11">
        <v>44469</v>
      </c>
      <c r="H90" s="11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100</v>
      </c>
      <c r="Q90" s="12">
        <v>100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12">
        <v>100</v>
      </c>
      <c r="Y90" s="24">
        <f ca="1">IFERROR(__xludf.DUMMYFUNCTION("INDEX(IMPORTRANGE(""1y0FWgjbB0gVlqn-q5LMJbGIsqOrzru4yowQz67dz2yc"", ""'ESC'!BH3:BH139""),MATCH(D90,IMPORTRANGE(""1y0FWgjbB0gVlqn-q5LMJbGIsqOrzru4yowQz67dz2yc"", ""'ESC'!D3:D139""),0))"),96.43)</f>
        <v>96.43</v>
      </c>
      <c r="Z90" s="24">
        <f ca="1">IFERROR(__xludf.DUMMYFUNCTION("INDEX(IMPORTRANGE(""1y0FWgjbB0gVlqn-q5LMJbGIsqOrzru4yowQz67dz2yc"", ""'ESC'!BI3:BI139""),MATCH(D90,IMPORTRANGE(""1y0FWgjbB0gVlqn-q5LMJbGIsqOrzru4yowQz67dz2yc"", ""'ESC'!D3:D139""),0))"),96.29)</f>
        <v>96.29</v>
      </c>
      <c r="AA90" s="1"/>
      <c r="AB90" s="1"/>
      <c r="AC90" s="1"/>
      <c r="AD90" s="1"/>
    </row>
    <row r="91" spans="1:30">
      <c r="A91" s="7" t="s">
        <v>243</v>
      </c>
      <c r="B91" s="7" t="s">
        <v>257</v>
      </c>
      <c r="C91" s="1" t="s">
        <v>36</v>
      </c>
      <c r="D91" s="7" t="s">
        <v>258</v>
      </c>
      <c r="E91" s="7" t="s">
        <v>38</v>
      </c>
      <c r="F91" s="9" t="s">
        <v>259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8">
        <v>0</v>
      </c>
      <c r="Q91" s="18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18">
        <v>0</v>
      </c>
      <c r="Y91" s="12">
        <f ca="1">IFERROR(__xludf.DUMMYFUNCTION("INDEX(IMPORTRANGE(""1y0FWgjbB0gVlqn-q5LMJbGIsqOrzru4yowQz67dz2yc"", ""'ESC'!BH3:BH139""),MATCH(D91,IMPORTRANGE(""1y0FWgjbB0gVlqn-q5LMJbGIsqOrzru4yowQz67dz2yc"", ""'ESC'!D3:D139""),0))"),0)</f>
        <v>0</v>
      </c>
      <c r="Z91" s="12">
        <f ca="1">IFERROR(__xludf.DUMMYFUNCTION("INDEX(IMPORTRANGE(""1y0FWgjbB0gVlqn-q5LMJbGIsqOrzru4yowQz67dz2yc"", ""'ESC'!BI3:BI139""),MATCH(D91,IMPORTRANGE(""1y0FWgjbB0gVlqn-q5LMJbGIsqOrzru4yowQz67dz2yc"", ""'ESC'!D3:D139""),0))"),3.710407239819)</f>
        <v>3.7104072398189998</v>
      </c>
      <c r="AA91" s="1"/>
      <c r="AB91" s="1"/>
      <c r="AC91" s="1"/>
      <c r="AD91" s="1"/>
    </row>
    <row r="92" spans="1:30">
      <c r="A92" s="7" t="s">
        <v>243</v>
      </c>
      <c r="B92" s="7" t="s">
        <v>260</v>
      </c>
      <c r="C92" s="1" t="s">
        <v>30</v>
      </c>
      <c r="D92" s="7" t="s">
        <v>261</v>
      </c>
      <c r="E92" s="7" t="s">
        <v>38</v>
      </c>
      <c r="F92" s="9" t="s">
        <v>262</v>
      </c>
      <c r="G92" s="11">
        <v>44469</v>
      </c>
      <c r="H92" s="287"/>
      <c r="I92" s="11">
        <v>44651</v>
      </c>
      <c r="J92" s="13"/>
      <c r="K92" s="11">
        <v>45016</v>
      </c>
      <c r="L92" s="13"/>
      <c r="M92" s="11">
        <v>45382</v>
      </c>
      <c r="N92" s="13"/>
      <c r="O92" s="11">
        <v>45565</v>
      </c>
      <c r="P92" s="254"/>
      <c r="Q92" s="254"/>
      <c r="R92" s="4"/>
      <c r="S92" s="4"/>
      <c r="T92" s="4"/>
      <c r="U92" s="4"/>
      <c r="V92" s="4"/>
      <c r="W92" s="4"/>
      <c r="X92" s="2">
        <v>3</v>
      </c>
      <c r="Y92" s="2">
        <f ca="1">IFERROR(__xludf.DUMMYFUNCTION("INDEX(IMPORTRANGE(""1y0FWgjbB0gVlqn-q5LMJbGIsqOrzru4yowQz67dz2yc"", ""'ESC'!BH3:BH139""),MATCH(D92,IMPORTRANGE(""1y0FWgjbB0gVlqn-q5LMJbGIsqOrzru4yowQz67dz2yc"", ""'ESC'!D3:D139""),0))"),3)</f>
        <v>3</v>
      </c>
      <c r="Z92" s="2">
        <f ca="1">IFERROR(__xludf.DUMMYFUNCTION("INDEX(IMPORTRANGE(""1y0FWgjbB0gVlqn-q5LMJbGIsqOrzru4yowQz67dz2yc"", ""'ESC'!BI3:BI139""),MATCH(D92,IMPORTRANGE(""1y0FWgjbB0gVlqn-q5LMJbGIsqOrzru4yowQz67dz2yc"", ""'ESC'!D3:D139""),0))"),2)</f>
        <v>2</v>
      </c>
      <c r="AA92" s="1"/>
      <c r="AB92" s="1"/>
      <c r="AC92" s="1"/>
      <c r="AD92" s="1"/>
    </row>
    <row r="93" spans="1:30">
      <c r="A93" s="7" t="s">
        <v>243</v>
      </c>
      <c r="B93" s="7" t="s">
        <v>260</v>
      </c>
      <c r="C93" s="1" t="s">
        <v>30</v>
      </c>
      <c r="D93" s="7" t="s">
        <v>263</v>
      </c>
      <c r="E93" s="7" t="s">
        <v>38</v>
      </c>
      <c r="F93" s="9" t="s">
        <v>264</v>
      </c>
      <c r="G93" s="11">
        <v>44469</v>
      </c>
      <c r="H93" s="13"/>
      <c r="I93" s="11">
        <v>44651</v>
      </c>
      <c r="J93" s="13"/>
      <c r="K93" s="11">
        <v>45016</v>
      </c>
      <c r="L93" s="13"/>
      <c r="M93" s="11">
        <v>45382</v>
      </c>
      <c r="N93" s="13"/>
      <c r="O93" s="11">
        <v>45565</v>
      </c>
      <c r="P93" s="254"/>
      <c r="Q93" s="254"/>
      <c r="R93" s="4"/>
      <c r="S93" s="4"/>
      <c r="T93" s="4"/>
      <c r="U93" s="4"/>
      <c r="V93" s="4"/>
      <c r="W93" s="4"/>
      <c r="X93" s="2">
        <v>14</v>
      </c>
      <c r="Y93" s="2">
        <f ca="1">IFERROR(__xludf.DUMMYFUNCTION("INDEX(IMPORTRANGE(""1y0FWgjbB0gVlqn-q5LMJbGIsqOrzru4yowQz67dz2yc"", ""'ESC'!BH3:BH139""),MATCH(D93,IMPORTRANGE(""1y0FWgjbB0gVlqn-q5LMJbGIsqOrzru4yowQz67dz2yc"", ""'ESC'!D3:D139""),0))"),15)</f>
        <v>15</v>
      </c>
      <c r="Z93" s="2">
        <f ca="1">IFERROR(__xludf.DUMMYFUNCTION("INDEX(IMPORTRANGE(""1y0FWgjbB0gVlqn-q5LMJbGIsqOrzru4yowQz67dz2yc"", ""'ESC'!BI3:BI139""),MATCH(D93,IMPORTRANGE(""1y0FWgjbB0gVlqn-q5LMJbGIsqOrzru4yowQz67dz2yc"", ""'ESC'!D3:D139""),0))"),15)</f>
        <v>15</v>
      </c>
      <c r="AA93" s="1"/>
      <c r="AB93" s="1"/>
      <c r="AC93" s="1"/>
      <c r="AD93" s="1"/>
    </row>
    <row r="94" spans="1:30">
      <c r="A94" s="7" t="s">
        <v>243</v>
      </c>
      <c r="B94" s="7" t="s">
        <v>260</v>
      </c>
      <c r="C94" s="1" t="s">
        <v>30</v>
      </c>
      <c r="D94" s="7" t="s">
        <v>265</v>
      </c>
      <c r="E94" s="7" t="s">
        <v>38</v>
      </c>
      <c r="F94" s="9" t="s">
        <v>266</v>
      </c>
      <c r="G94" s="11">
        <v>44469</v>
      </c>
      <c r="H94" s="13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0</v>
      </c>
      <c r="Y94" s="2">
        <f ca="1">IFERROR(__xludf.DUMMYFUNCTION("INDEX(IMPORTRANGE(""1y0FWgjbB0gVlqn-q5LMJbGIsqOrzru4yowQz67dz2yc"", ""'ESC'!BH3:BH139""),MATCH(D94,IMPORTRANGE(""1y0FWgjbB0gVlqn-q5LMJbGIsqOrzru4yowQz67dz2yc"", ""'ESC'!D3:D139""),0))"),0)</f>
        <v>0</v>
      </c>
      <c r="Z94" s="2" t="str">
        <f ca="1">IFERROR(__xludf.DUMMYFUNCTION("INDEX(IMPORTRANGE(""1y0FWgjbB0gVlqn-q5LMJbGIsqOrzru4yowQz67dz2yc"", ""'ESC'!BI3:BI139""),MATCH(D94,IMPORTRANGE(""1y0FWgjbB0gVlqn-q5LMJbGIsqOrzru4yowQz67dz2yc"", ""'ESC'!D3:D139""),0))"),"")</f>
        <v/>
      </c>
      <c r="AA94" s="1"/>
      <c r="AB94" s="1"/>
      <c r="AC94" s="1"/>
      <c r="AD94" s="1"/>
    </row>
    <row r="95" spans="1:30">
      <c r="A95" s="7" t="s">
        <v>243</v>
      </c>
      <c r="B95" s="7" t="s">
        <v>260</v>
      </c>
      <c r="C95" s="1" t="s">
        <v>30</v>
      </c>
      <c r="D95" s="7" t="s">
        <v>267</v>
      </c>
      <c r="E95" s="7" t="s">
        <v>38</v>
      </c>
      <c r="F95" s="9" t="s">
        <v>268</v>
      </c>
      <c r="G95" s="11">
        <v>44469</v>
      </c>
      <c r="H95" s="13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0</v>
      </c>
      <c r="Y95" s="2">
        <f ca="1">IFERROR(__xludf.DUMMYFUNCTION("INDEX(IMPORTRANGE(""1y0FWgjbB0gVlqn-q5LMJbGIsqOrzru4yowQz67dz2yc"", ""'ESC'!BH3:BH139""),MATCH(D95,IMPORTRANGE(""1y0FWgjbB0gVlqn-q5LMJbGIsqOrzru4yowQz67dz2yc"", ""'ESC'!D3:D139""),0))"),0)</f>
        <v>0</v>
      </c>
      <c r="Z95" s="2">
        <f ca="1">IFERROR(__xludf.DUMMYFUNCTION("INDEX(IMPORTRANGE(""1y0FWgjbB0gVlqn-q5LMJbGIsqOrzru4yowQz67dz2yc"", ""'ESC'!BI3:BI139""),MATCH(D95,IMPORTRANGE(""1y0FWgjbB0gVlqn-q5LMJbGIsqOrzru4yowQz67dz2yc"", ""'ESC'!D3:D139""),0))"),0)</f>
        <v>0</v>
      </c>
      <c r="AA95" s="1"/>
      <c r="AB95" s="1"/>
      <c r="AC95" s="1"/>
      <c r="AD95" s="1"/>
    </row>
    <row r="96" spans="1:30">
      <c r="A96" s="7" t="s">
        <v>243</v>
      </c>
      <c r="B96" s="7" t="s">
        <v>260</v>
      </c>
      <c r="C96" s="1" t="s">
        <v>30</v>
      </c>
      <c r="D96" s="7" t="s">
        <v>269</v>
      </c>
      <c r="E96" s="7" t="s">
        <v>38</v>
      </c>
      <c r="F96" s="9" t="s">
        <v>270</v>
      </c>
      <c r="G96" s="11">
        <v>44469</v>
      </c>
      <c r="H96" s="13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16</v>
      </c>
      <c r="Y96" s="2">
        <f ca="1">IFERROR(__xludf.DUMMYFUNCTION("INDEX(IMPORTRANGE(""1y0FWgjbB0gVlqn-q5LMJbGIsqOrzru4yowQz67dz2yc"", ""'ESC'!BH3:BH139""),MATCH(D96,IMPORTRANGE(""1y0FWgjbB0gVlqn-q5LMJbGIsqOrzru4yowQz67dz2yc"", ""'ESC'!D3:D139""),0))"),17)</f>
        <v>17</v>
      </c>
      <c r="Z96" s="2">
        <f ca="1">IFERROR(__xludf.DUMMYFUNCTION("INDEX(IMPORTRANGE(""1y0FWgjbB0gVlqn-q5LMJbGIsqOrzru4yowQz67dz2yc"", ""'ESC'!BI3:BI139""),MATCH(D96,IMPORTRANGE(""1y0FWgjbB0gVlqn-q5LMJbGIsqOrzru4yowQz67dz2yc"", ""'ESC'!D3:D139""),0))"),11)</f>
        <v>11</v>
      </c>
      <c r="AA96" s="1"/>
      <c r="AB96" s="1"/>
      <c r="AC96" s="1"/>
      <c r="AD96" s="1"/>
    </row>
    <row r="97" spans="1:30">
      <c r="A97" s="7" t="s">
        <v>243</v>
      </c>
      <c r="B97" s="7" t="s">
        <v>260</v>
      </c>
      <c r="C97" s="1" t="s">
        <v>30</v>
      </c>
      <c r="D97" s="7" t="s">
        <v>271</v>
      </c>
      <c r="E97" s="7" t="s">
        <v>38</v>
      </c>
      <c r="F97" s="9" t="s">
        <v>272</v>
      </c>
      <c r="G97" s="11">
        <v>44469</v>
      </c>
      <c r="H97" s="13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50</v>
      </c>
      <c r="Y97" s="2">
        <f ca="1">IFERROR(__xludf.DUMMYFUNCTION("INDEX(IMPORTRANGE(""1y0FWgjbB0gVlqn-q5LMJbGIsqOrzru4yowQz67dz2yc"", ""'ESC'!BH3:BH139""),MATCH(D97,IMPORTRANGE(""1y0FWgjbB0gVlqn-q5LMJbGIsqOrzru4yowQz67dz2yc"", ""'ESC'!D3:D139""),0))"),50)</f>
        <v>50</v>
      </c>
      <c r="Z97" s="2">
        <f ca="1">IFERROR(__xludf.DUMMYFUNCTION("INDEX(IMPORTRANGE(""1y0FWgjbB0gVlqn-q5LMJbGIsqOrzru4yowQz67dz2yc"", ""'ESC'!BI3:BI139""),MATCH(D97,IMPORTRANGE(""1y0FWgjbB0gVlqn-q5LMJbGIsqOrzru4yowQz67dz2yc"", ""'ESC'!D3:D139""),0))"),49)</f>
        <v>49</v>
      </c>
      <c r="AA97" s="1"/>
      <c r="AB97" s="1"/>
      <c r="AC97" s="1"/>
      <c r="AD97" s="1"/>
    </row>
    <row r="98" spans="1:30">
      <c r="A98" s="7" t="s">
        <v>243</v>
      </c>
      <c r="B98" s="7" t="s">
        <v>260</v>
      </c>
      <c r="C98" s="1" t="s">
        <v>36</v>
      </c>
      <c r="D98" s="7" t="s">
        <v>273</v>
      </c>
      <c r="E98" s="7" t="s">
        <v>38</v>
      </c>
      <c r="F98" s="9" t="s">
        <v>274</v>
      </c>
      <c r="G98" s="11">
        <v>44469</v>
      </c>
      <c r="H98" s="13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60">
        <v>0.5</v>
      </c>
      <c r="S98" s="60">
        <v>0.5</v>
      </c>
      <c r="T98" s="60">
        <v>0.5</v>
      </c>
      <c r="U98" s="60">
        <v>0.5</v>
      </c>
      <c r="V98" s="60">
        <v>0.5</v>
      </c>
      <c r="W98" s="60">
        <v>0.5</v>
      </c>
      <c r="X98" s="15">
        <f>SUM(X92,X94,X96)/SUM(X93,X95,X97)</f>
        <v>0.296875</v>
      </c>
      <c r="Y98" s="15">
        <f ca="1">IFERROR(__xludf.DUMMYFUNCTION("INDEX(IMPORTRANGE(""1y0FWgjbB0gVlqn-q5LMJbGIsqOrzru4yowQz67dz2yc"", ""'ESC'!BH3:BH139""),MATCH(D98,IMPORTRANGE(""1y0FWgjbB0gVlqn-q5LMJbGIsqOrzru4yowQz67dz2yc"", ""'ESC'!D3:D139""),0))"),0.307692307692307)</f>
        <v>0.30769230769230699</v>
      </c>
      <c r="Z98" s="15">
        <f ca="1">IFERROR(__xludf.DUMMYFUNCTION("INDEX(IMPORTRANGE(""1y0FWgjbB0gVlqn-q5LMJbGIsqOrzru4yowQz67dz2yc"", ""'ESC'!BI3:BI139""),MATCH(D98,IMPORTRANGE(""1y0FWgjbB0gVlqn-q5LMJbGIsqOrzru4yowQz67dz2yc"", ""'ESC'!D3:D139""),0))"),0.203125)</f>
        <v>0.203125</v>
      </c>
      <c r="AA98" s="1"/>
      <c r="AB98" s="1"/>
      <c r="AC98" s="1"/>
      <c r="AD98" s="1"/>
    </row>
    <row r="99" spans="1:30">
      <c r="A99" s="7" t="s">
        <v>275</v>
      </c>
      <c r="B99" s="7" t="s">
        <v>276</v>
      </c>
      <c r="C99" s="1" t="s">
        <v>30</v>
      </c>
      <c r="D99" s="7" t="s">
        <v>277</v>
      </c>
      <c r="E99" s="7" t="s">
        <v>278</v>
      </c>
      <c r="F99" s="9" t="s">
        <v>279</v>
      </c>
      <c r="G99" s="183" t="s">
        <v>213</v>
      </c>
      <c r="H99" s="1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36">
        <v>481128007.70999998</v>
      </c>
      <c r="Q99" s="36">
        <v>481128007.70999998</v>
      </c>
      <c r="R99" s="4"/>
      <c r="S99" s="4"/>
      <c r="T99" s="4"/>
      <c r="U99" s="4"/>
      <c r="V99" s="4"/>
      <c r="W99" s="4"/>
      <c r="X99" s="36">
        <v>481128007.70999998</v>
      </c>
      <c r="Y99" s="52" t="str">
        <f ca="1">IFERROR(__xludf.DUMMYFUNCTION("INDEX(IMPORTRANGE(""1y0FWgjbB0gVlqn-q5LMJbGIsqOrzru4yowQz67dz2yc"", ""'ESC'!BH3:BH139""),MATCH(D99,IMPORTRANGE(""1y0FWgjbB0gVlqn-q5LMJbGIsqOrzru4yowQz67dz2yc"", ""'ESC'!D3:D139""),0))"),"")</f>
        <v/>
      </c>
      <c r="Z99" s="36">
        <f ca="1">IFERROR(__xludf.DUMMYFUNCTION("INDEX(IMPORTRANGE(""1y0FWgjbB0gVlqn-q5LMJbGIsqOrzru4yowQz67dz2yc"", ""'ESC'!BI3:BI139""),MATCH(D99,IMPORTRANGE(""1y0FWgjbB0gVlqn-q5LMJbGIsqOrzru4yowQz67dz2yc"", ""'ESC'!D3:D139""),0))"),467600711.98)</f>
        <v>467600711.98000002</v>
      </c>
      <c r="AA99" s="1"/>
      <c r="AB99" s="1"/>
      <c r="AC99" s="1"/>
      <c r="AD99" s="1"/>
    </row>
    <row r="100" spans="1:30">
      <c r="A100" s="7" t="s">
        <v>275</v>
      </c>
      <c r="B100" s="7" t="s">
        <v>276</v>
      </c>
      <c r="C100" s="1" t="s">
        <v>30</v>
      </c>
      <c r="D100" s="7" t="s">
        <v>280</v>
      </c>
      <c r="E100" s="7" t="s">
        <v>278</v>
      </c>
      <c r="F100" s="9" t="s">
        <v>281</v>
      </c>
      <c r="G100" s="7" t="s">
        <v>213</v>
      </c>
      <c r="H100" s="1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36">
        <v>1449594972.8199999</v>
      </c>
      <c r="Q100" s="36">
        <v>1449594972.8199999</v>
      </c>
      <c r="R100" s="4"/>
      <c r="S100" s="4"/>
      <c r="T100" s="4"/>
      <c r="U100" s="4"/>
      <c r="V100" s="4"/>
      <c r="W100" s="4"/>
      <c r="X100" s="36">
        <v>1449594972.8199999</v>
      </c>
      <c r="Y100" s="52" t="str">
        <f ca="1">IFERROR(__xludf.DUMMYFUNCTION("INDEX(IMPORTRANGE(""1y0FWgjbB0gVlqn-q5LMJbGIsqOrzru4yowQz67dz2yc"", ""'ESC'!BH3:BH139""),MATCH(D100,IMPORTRANGE(""1y0FWgjbB0gVlqn-q5LMJbGIsqOrzru4yowQz67dz2yc"", ""'ESC'!D3:D139""),0))"),"")</f>
        <v/>
      </c>
      <c r="Z100" s="36">
        <f ca="1">IFERROR(__xludf.DUMMYFUNCTION("INDEX(IMPORTRANGE(""1y0FWgjbB0gVlqn-q5LMJbGIsqOrzru4yowQz67dz2yc"", ""'ESC'!BI3:BI139""),MATCH(D100,IMPORTRANGE(""1y0FWgjbB0gVlqn-q5LMJbGIsqOrzru4yowQz67dz2yc"", ""'ESC'!D3:D139""),0))"),1724456616.21)</f>
        <v>1724456616.21</v>
      </c>
      <c r="AA100" s="1"/>
      <c r="AB100" s="1"/>
      <c r="AC100" s="1"/>
      <c r="AD100" s="1"/>
    </row>
    <row r="101" spans="1:30">
      <c r="A101" s="7" t="s">
        <v>275</v>
      </c>
      <c r="B101" s="7" t="s">
        <v>276</v>
      </c>
      <c r="C101" s="1" t="s">
        <v>36</v>
      </c>
      <c r="D101" s="7" t="s">
        <v>282</v>
      </c>
      <c r="E101" s="7" t="s">
        <v>278</v>
      </c>
      <c r="F101" s="9" t="s">
        <v>283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15">
        <f t="shared" ref="P101:Q101" si="21">P99/P100</f>
        <v>0.33190512986812276</v>
      </c>
      <c r="Q101" s="15">
        <f t="shared" si="21"/>
        <v>0.33190512986812276</v>
      </c>
      <c r="R101" s="2"/>
      <c r="S101" s="15">
        <v>0.33500000000000002</v>
      </c>
      <c r="T101" s="288"/>
      <c r="U101" s="15">
        <v>0.33700000000000002</v>
      </c>
      <c r="V101" s="15">
        <v>0.34</v>
      </c>
      <c r="W101" s="15">
        <v>0.34</v>
      </c>
      <c r="X101" s="15">
        <f>X99/X100</f>
        <v>0.33190512986812276</v>
      </c>
      <c r="Y101" s="48" t="str">
        <f ca="1">IFERROR(__xludf.DUMMYFUNCTION("INDEX(IMPORTRANGE(""1y0FWgjbB0gVlqn-q5LMJbGIsqOrzru4yowQz67dz2yc"", ""'ESC'!BH3:BH139""),MATCH(D101,IMPORTRANGE(""1y0FWgjbB0gVlqn-q5LMJbGIsqOrzru4yowQz67dz2yc"", ""'ESC'!D3:D139""),0))"),"")</f>
        <v/>
      </c>
      <c r="Z101" s="26">
        <f ca="1">IFERROR(__xludf.DUMMYFUNCTION("INDEX(IMPORTRANGE(""1y0FWgjbB0gVlqn-q5LMJbGIsqOrzru4yowQz67dz2yc"", ""'ESC'!BI3:BI139""),MATCH(D101,IMPORTRANGE(""1y0FWgjbB0gVlqn-q5LMJbGIsqOrzru4yowQz67dz2yc"", ""'ESC'!D3:D139""),0))"),0.27115829275409)</f>
        <v>0.27115829275408998</v>
      </c>
      <c r="AA101" s="1"/>
      <c r="AB101" s="1"/>
      <c r="AC101" s="1"/>
      <c r="AD101" s="1"/>
    </row>
    <row r="102" spans="1:30">
      <c r="A102" s="7" t="s">
        <v>275</v>
      </c>
      <c r="B102" s="7" t="s">
        <v>284</v>
      </c>
      <c r="C102" s="1" t="s">
        <v>30</v>
      </c>
      <c r="D102" s="155" t="s">
        <v>285</v>
      </c>
      <c r="E102" s="7" t="s">
        <v>278</v>
      </c>
      <c r="F102" s="9" t="s">
        <v>286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909571624</v>
      </c>
      <c r="Q102" s="36">
        <v>909571624</v>
      </c>
      <c r="R102" s="4"/>
      <c r="S102" s="4"/>
      <c r="T102" s="55"/>
      <c r="U102" s="4"/>
      <c r="V102" s="4"/>
      <c r="W102" s="4"/>
      <c r="X102" s="36">
        <v>909571624</v>
      </c>
      <c r="Y102" s="52" t="str">
        <f ca="1">IFERROR(__xludf.DUMMYFUNCTION("INDEX(IMPORTRANGE(""1y0FWgjbB0gVlqn-q5LMJbGIsqOrzru4yowQz67dz2yc"", ""'ESC'!BH3:BH139""),MATCH(D102,IMPORTRANGE(""1y0FWgjbB0gVlqn-q5LMJbGIsqOrzru4yowQz67dz2yc"", ""'ESC'!D3:D139""),0))"),"")</f>
        <v/>
      </c>
      <c r="Z102" s="36">
        <f ca="1">IFERROR(__xludf.DUMMYFUNCTION("INDEX(IMPORTRANGE(""1y0FWgjbB0gVlqn-q5LMJbGIsqOrzru4yowQz67dz2yc"", ""'ESC'!BI3:BI139""),MATCH(D102,IMPORTRANGE(""1y0FWgjbB0gVlqn-q5LMJbGIsqOrzru4yowQz67dz2yc"", ""'ESC'!D3:D139""),0))"),910373998.86)</f>
        <v>910373998.86000001</v>
      </c>
      <c r="AA102" s="1"/>
      <c r="AB102" s="1"/>
      <c r="AC102" s="1"/>
      <c r="AD102" s="1"/>
    </row>
    <row r="103" spans="1:30">
      <c r="A103" s="7" t="s">
        <v>275</v>
      </c>
      <c r="B103" s="7" t="s">
        <v>276</v>
      </c>
      <c r="C103" s="1" t="s">
        <v>36</v>
      </c>
      <c r="D103" s="155" t="s">
        <v>287</v>
      </c>
      <c r="E103" s="7" t="s">
        <v>278</v>
      </c>
      <c r="F103" s="9" t="s">
        <v>288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2">P99/P102</f>
        <v>0.52896110104463856</v>
      </c>
      <c r="Q103" s="15">
        <f t="shared" si="22"/>
        <v>0.52896110104463856</v>
      </c>
      <c r="R103" s="2"/>
      <c r="S103" s="15">
        <v>0.53600000000000003</v>
      </c>
      <c r="T103" s="288"/>
      <c r="U103" s="15">
        <v>0.54300000000000004</v>
      </c>
      <c r="V103" s="15">
        <v>0.55000000000000004</v>
      </c>
      <c r="W103" s="15">
        <v>0.55000000000000004</v>
      </c>
      <c r="X103" s="15">
        <f>X99/X102</f>
        <v>0.52896110104463856</v>
      </c>
      <c r="Y103" s="48" t="str">
        <f ca="1">IFERROR(__xludf.DUMMYFUNCTION("INDEX(IMPORTRANGE(""1y0FWgjbB0gVlqn-q5LMJbGIsqOrzru4yowQz67dz2yc"", ""'ESC'!BH3:BH139""),MATCH(D103,IMPORTRANGE(""1y0FWgjbB0gVlqn-q5LMJbGIsqOrzru4yowQz67dz2yc"", ""'ESC'!D3:D139""),0))"),"")</f>
        <v/>
      </c>
      <c r="Z103" s="26">
        <f ca="1">IFERROR(__xludf.DUMMYFUNCTION("INDEX(IMPORTRANGE(""1y0FWgjbB0gVlqn-q5LMJbGIsqOrzru4yowQz67dz2yc"", ""'ESC'!BI3:BI139""),MATCH(D103,IMPORTRANGE(""1y0FWgjbB0gVlqn-q5LMJbGIsqOrzru4yowQz67dz2yc"", ""'ESC'!D3:D139""),0))"),0.513635838200063)</f>
        <v>0.51363583820006298</v>
      </c>
      <c r="AA103" s="1"/>
      <c r="AB103" s="1"/>
      <c r="AC103" s="1"/>
      <c r="AD103" s="1"/>
    </row>
    <row r="104" spans="1:30">
      <c r="A104" s="7" t="s">
        <v>275</v>
      </c>
      <c r="B104" s="7" t="s">
        <v>276</v>
      </c>
      <c r="C104" s="1" t="s">
        <v>30</v>
      </c>
      <c r="D104" s="7" t="s">
        <v>289</v>
      </c>
      <c r="E104" s="7" t="s">
        <v>38</v>
      </c>
      <c r="F104" s="9" t="s">
        <v>112</v>
      </c>
      <c r="G104" s="7" t="s">
        <v>254</v>
      </c>
      <c r="H104" s="7" t="s">
        <v>254</v>
      </c>
      <c r="I104" s="7" t="s">
        <v>254</v>
      </c>
      <c r="J104" s="13"/>
      <c r="K104" s="7" t="s">
        <v>255</v>
      </c>
      <c r="L104" s="13"/>
      <c r="M104" s="7" t="s">
        <v>256</v>
      </c>
      <c r="N104" s="260">
        <v>45536</v>
      </c>
      <c r="O104" s="1" t="s">
        <v>218</v>
      </c>
      <c r="P104" s="12">
        <v>169250</v>
      </c>
      <c r="Q104" s="12">
        <v>169250</v>
      </c>
      <c r="R104" s="4"/>
      <c r="S104" s="4"/>
      <c r="T104" s="55"/>
      <c r="U104" s="4"/>
      <c r="V104" s="4"/>
      <c r="W104" s="4"/>
      <c r="X104" s="12">
        <v>169250</v>
      </c>
      <c r="Y104" s="289" t="str">
        <f ca="1">IFERROR(__xludf.DUMMYFUNCTION("INDEX(IMPORTRANGE(""1y0FWgjbB0gVlqn-q5LMJbGIsqOrzru4yowQz67dz2yc"", ""'ESC'!BH3:BH139""),MATCH(D104,IMPORTRANGE(""1y0FWgjbB0gVlqn-q5LMJbGIsqOrzru4yowQz67dz2yc"", ""'ESC'!D3:D139""),0))"),"")</f>
        <v/>
      </c>
      <c r="Z104" s="12">
        <f ca="1">IFERROR(__xludf.DUMMYFUNCTION("INDEX(IMPORTRANGE(""1y0FWgjbB0gVlqn-q5LMJbGIsqOrzru4yowQz67dz2yc"", ""'ESC'!BI3:BI139""),MATCH(D104,IMPORTRANGE(""1y0FWgjbB0gVlqn-q5LMJbGIsqOrzru4yowQz67dz2yc"", ""'ESC'!D3:D139""),0))"),178382)</f>
        <v>178382</v>
      </c>
      <c r="AA104" s="1"/>
      <c r="AB104" s="1"/>
      <c r="AC104" s="1"/>
      <c r="AD104" s="1"/>
    </row>
    <row r="105" spans="1:30">
      <c r="A105" s="7" t="s">
        <v>275</v>
      </c>
      <c r="B105" s="7" t="s">
        <v>276</v>
      </c>
      <c r="C105" s="1" t="s">
        <v>30</v>
      </c>
      <c r="D105" s="7" t="s">
        <v>290</v>
      </c>
      <c r="E105" s="7" t="s">
        <v>38</v>
      </c>
      <c r="F105" s="9" t="s">
        <v>291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2">
        <v>73270</v>
      </c>
      <c r="Q105" s="12">
        <v>73270</v>
      </c>
      <c r="R105" s="4"/>
      <c r="S105" s="4"/>
      <c r="T105" s="55"/>
      <c r="U105" s="4"/>
      <c r="V105" s="4"/>
      <c r="W105" s="4"/>
      <c r="X105" s="12">
        <v>73270</v>
      </c>
      <c r="Y105" s="289" t="str">
        <f ca="1">IFERROR(__xludf.DUMMYFUNCTION("INDEX(IMPORTRANGE(""1y0FWgjbB0gVlqn-q5LMJbGIsqOrzru4yowQz67dz2yc"", ""'ESC'!BH3:BH139""),MATCH(D105,IMPORTRANGE(""1y0FWgjbB0gVlqn-q5LMJbGIsqOrzru4yowQz67dz2yc"", ""'ESC'!D3:D139""),0))"),"")</f>
        <v/>
      </c>
      <c r="Z105" s="12">
        <f ca="1">IFERROR(__xludf.DUMMYFUNCTION("INDEX(IMPORTRANGE(""1y0FWgjbB0gVlqn-q5LMJbGIsqOrzru4yowQz67dz2yc"", ""'ESC'!BI3:BI139""),MATCH(D105,IMPORTRANGE(""1y0FWgjbB0gVlqn-q5LMJbGIsqOrzru4yowQz67dz2yc"", ""'ESC'!D3:D139""),0))"),70721)</f>
        <v>70721</v>
      </c>
      <c r="AA105" s="1"/>
      <c r="AB105" s="1"/>
      <c r="AC105" s="1"/>
      <c r="AD105" s="1"/>
    </row>
    <row r="106" spans="1:30">
      <c r="A106" s="7" t="s">
        <v>275</v>
      </c>
      <c r="B106" s="7" t="s">
        <v>276</v>
      </c>
      <c r="C106" s="1" t="s">
        <v>36</v>
      </c>
      <c r="D106" s="7" t="s">
        <v>292</v>
      </c>
      <c r="E106" s="7" t="s">
        <v>38</v>
      </c>
      <c r="F106" s="9" t="s">
        <v>293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5">
        <f t="shared" ref="P106:Q106" si="23">P105/P104</f>
        <v>0.43290989660265877</v>
      </c>
      <c r="Q106" s="15">
        <f t="shared" si="23"/>
        <v>0.43290989660265877</v>
      </c>
      <c r="R106" s="2"/>
      <c r="S106" s="15">
        <v>0.44</v>
      </c>
      <c r="T106" s="288"/>
      <c r="U106" s="15">
        <v>0.44800000000000001</v>
      </c>
      <c r="V106" s="15">
        <v>0.45500000000000002</v>
      </c>
      <c r="W106" s="15">
        <v>0.45500000000000002</v>
      </c>
      <c r="X106" s="15">
        <f>X105/X104</f>
        <v>0.43290989660265877</v>
      </c>
      <c r="Y106" s="48" t="str">
        <f ca="1">IFERROR(__xludf.DUMMYFUNCTION("INDEX(IMPORTRANGE(""1y0FWgjbB0gVlqn-q5LMJbGIsqOrzru4yowQz67dz2yc"", ""'ESC'!BH3:BH139""),MATCH(D106,IMPORTRANGE(""1y0FWgjbB0gVlqn-q5LMJbGIsqOrzru4yowQz67dz2yc"", ""'ESC'!D3:D139""),0))"),"")</f>
        <v/>
      </c>
      <c r="Z106" s="26">
        <f ca="1">IFERROR(__xludf.DUMMYFUNCTION("INDEX(IMPORTRANGE(""1y0FWgjbB0gVlqn-q5LMJbGIsqOrzru4yowQz67dz2yc"", ""'ESC'!BI3:BI139""),MATCH(D106,IMPORTRANGE(""1y0FWgjbB0gVlqn-q5LMJbGIsqOrzru4yowQz67dz2yc"", ""'ESC'!D3:D139""),0))"),0.396458162819118)</f>
        <v>0.396458162819118</v>
      </c>
      <c r="AA106" s="1"/>
      <c r="AB106" s="1"/>
      <c r="AC106" s="1"/>
      <c r="AD106" s="1"/>
    </row>
    <row r="107" spans="1:30">
      <c r="A107" s="155" t="s">
        <v>275</v>
      </c>
      <c r="B107" s="155" t="s">
        <v>276</v>
      </c>
      <c r="C107" s="155" t="s">
        <v>30</v>
      </c>
      <c r="D107" s="155" t="s">
        <v>294</v>
      </c>
      <c r="E107" s="155" t="s">
        <v>38</v>
      </c>
      <c r="F107" s="21" t="s">
        <v>295</v>
      </c>
      <c r="G107" s="155" t="s">
        <v>213</v>
      </c>
      <c r="H107" s="156" t="s">
        <v>214</v>
      </c>
      <c r="I107" s="155" t="s">
        <v>215</v>
      </c>
      <c r="J107" s="290"/>
      <c r="K107" s="155" t="s">
        <v>216</v>
      </c>
      <c r="L107" s="290"/>
      <c r="M107" s="155" t="s">
        <v>217</v>
      </c>
      <c r="N107" s="156" t="s">
        <v>218</v>
      </c>
      <c r="O107" s="156" t="s">
        <v>218</v>
      </c>
      <c r="P107" s="36"/>
      <c r="Q107" s="36"/>
      <c r="R107" s="2"/>
      <c r="S107" s="2"/>
      <c r="T107" s="55"/>
      <c r="U107" s="2"/>
      <c r="V107" s="2"/>
      <c r="W107" s="2"/>
      <c r="X107" s="36"/>
      <c r="Y107" s="46" t="str">
        <f ca="1">IFERROR(__xludf.DUMMYFUNCTION("INDEX(IMPORTRANGE(""1y0FWgjbB0gVlqn-q5LMJbGIsqOrzru4yowQz67dz2yc"", ""'ESC'!BH3:BH139""),MATCH(D107,IMPORTRANGE(""1y0FWgjbB0gVlqn-q5LMJbGIsqOrzru4yowQz67dz2yc"", ""'ESC'!D3:D139""),0))"),"")</f>
        <v/>
      </c>
      <c r="Z107" s="2">
        <f ca="1">IFERROR(__xludf.DUMMYFUNCTION("INDEX(IMPORTRANGE(""1y0FWgjbB0gVlqn-q5LMJbGIsqOrzru4yowQz67dz2yc"", ""'ESC'!BI3:BI139""),MATCH(D107,IMPORTRANGE(""1y0FWgjbB0gVlqn-q5LMJbGIsqOrzru4yowQz67dz2yc"", ""'ESC'!D3:D139""),0))"),165744773.61)</f>
        <v>165744773.61000001</v>
      </c>
      <c r="AA107" s="1"/>
      <c r="AB107" s="1"/>
      <c r="AC107" s="1"/>
      <c r="AD107" s="1"/>
    </row>
    <row r="108" spans="1:30">
      <c r="A108" s="155" t="s">
        <v>275</v>
      </c>
      <c r="B108" s="155" t="s">
        <v>276</v>
      </c>
      <c r="C108" s="155" t="s">
        <v>36</v>
      </c>
      <c r="D108" s="155" t="s">
        <v>296</v>
      </c>
      <c r="E108" s="155" t="s">
        <v>38</v>
      </c>
      <c r="F108" s="21" t="s">
        <v>297</v>
      </c>
      <c r="G108" s="155" t="s">
        <v>213</v>
      </c>
      <c r="H108" s="156" t="s">
        <v>214</v>
      </c>
      <c r="I108" s="155" t="s">
        <v>215</v>
      </c>
      <c r="J108" s="290"/>
      <c r="K108" s="155" t="s">
        <v>216</v>
      </c>
      <c r="L108" s="290"/>
      <c r="M108" s="155" t="s">
        <v>217</v>
      </c>
      <c r="N108" s="156" t="s">
        <v>218</v>
      </c>
      <c r="O108" s="156" t="s">
        <v>218</v>
      </c>
      <c r="P108" s="36">
        <v>151349507.40000001</v>
      </c>
      <c r="Q108" s="36">
        <v>151349507.40000001</v>
      </c>
      <c r="R108" s="2"/>
      <c r="S108" s="36">
        <v>155666338.27000001</v>
      </c>
      <c r="T108" s="55"/>
      <c r="U108" s="36">
        <v>159983169.13</v>
      </c>
      <c r="V108" s="36">
        <v>164300000</v>
      </c>
      <c r="W108" s="36">
        <v>164300000</v>
      </c>
      <c r="X108" s="36">
        <v>151349507.40000001</v>
      </c>
      <c r="Y108" s="52" t="str">
        <f ca="1">IFERROR(__xludf.DUMMYFUNCTION("INDEX(IMPORTRANGE(""1y0FWgjbB0gVlqn-q5LMJbGIsqOrzru4yowQz67dz2yc"", ""'ESC'!BH3:BH139""),MATCH(D108,IMPORTRANGE(""1y0FWgjbB0gVlqn-q5LMJbGIsqOrzru4yowQz67dz2yc"", ""'ESC'!D3:D139""),0))"),"")</f>
        <v/>
      </c>
      <c r="Z108" s="36">
        <f ca="1">IFERROR(__xludf.DUMMYFUNCTION("INDEX(IMPORTRANGE(""1y0FWgjbB0gVlqn-q5LMJbGIsqOrzru4yowQz67dz2yc"", ""'ESC'!BI3:BI139""),MATCH(D108,IMPORTRANGE(""1y0FWgjbB0gVlqn-q5LMJbGIsqOrzru4yowQz67dz2yc"", ""'ESC'!D3:D139""),0))"),167007731.61)</f>
        <v>167007731.61000001</v>
      </c>
      <c r="AA108" s="1"/>
      <c r="AB108" s="1"/>
      <c r="AC108" s="1"/>
      <c r="AD108" s="1"/>
    </row>
    <row r="109" spans="1:30">
      <c r="A109" s="7" t="s">
        <v>275</v>
      </c>
      <c r="B109" s="7" t="s">
        <v>298</v>
      </c>
      <c r="C109" s="1" t="s">
        <v>30</v>
      </c>
      <c r="D109" s="7" t="s">
        <v>299</v>
      </c>
      <c r="E109" s="7" t="s">
        <v>278</v>
      </c>
      <c r="F109" s="9" t="s">
        <v>300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>
        <v>1302702294.1300001</v>
      </c>
      <c r="Q109" s="36">
        <v>1302702294.1300001</v>
      </c>
      <c r="R109" s="4"/>
      <c r="S109" s="4"/>
      <c r="T109" s="55"/>
      <c r="U109" s="4"/>
      <c r="V109" s="4"/>
      <c r="W109" s="4"/>
      <c r="X109" s="36">
        <v>1302702294.1300001</v>
      </c>
      <c r="Y109" s="52" t="str">
        <f ca="1">IFERROR(__xludf.DUMMYFUNCTION("INDEX(IMPORTRANGE(""1y0FWgjbB0gVlqn-q5LMJbGIsqOrzru4yowQz67dz2yc"", ""'ESC'!BH3:BH139""),MATCH(D109,IMPORTRANGE(""1y0FWgjbB0gVlqn-q5LMJbGIsqOrzru4yowQz67dz2yc"", ""'ESC'!D3:D139""),0))"),"")</f>
        <v/>
      </c>
      <c r="Z109" s="36">
        <f ca="1">IFERROR(__xludf.DUMMYFUNCTION("INDEX(IMPORTRANGE(""1y0FWgjbB0gVlqn-q5LMJbGIsqOrzru4yowQz67dz2yc"", ""'ESC'!BI3:BI139""),MATCH(D109,IMPORTRANGE(""1y0FWgjbB0gVlqn-q5LMJbGIsqOrzru4yowQz67dz2yc"", ""'ESC'!D3:D139""),0))"),1623875835.75)</f>
        <v>1623875835.75</v>
      </c>
      <c r="AA109" s="1"/>
      <c r="AB109" s="1"/>
      <c r="AC109" s="1"/>
      <c r="AD109" s="1"/>
    </row>
    <row r="110" spans="1:30">
      <c r="A110" s="7" t="s">
        <v>275</v>
      </c>
      <c r="B110" s="7" t="s">
        <v>298</v>
      </c>
      <c r="C110" s="1" t="s">
        <v>36</v>
      </c>
      <c r="D110" s="7" t="s">
        <v>301</v>
      </c>
      <c r="E110" s="7" t="s">
        <v>278</v>
      </c>
      <c r="F110" s="9" t="s">
        <v>302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15">
        <f t="shared" ref="P110:Q110" si="24">P102/P109</f>
        <v>0.69821910047947722</v>
      </c>
      <c r="Q110" s="15">
        <f t="shared" si="24"/>
        <v>0.69821910047947722</v>
      </c>
      <c r="R110" s="2"/>
      <c r="S110" s="15">
        <v>0.68200000000000005</v>
      </c>
      <c r="T110" s="288"/>
      <c r="U110" s="15">
        <v>0.66600000000000004</v>
      </c>
      <c r="V110" s="15">
        <v>0.65</v>
      </c>
      <c r="W110" s="15">
        <v>0.65</v>
      </c>
      <c r="X110" s="15">
        <f>X102/X109</f>
        <v>0.69821910047947722</v>
      </c>
      <c r="Y110" s="48" t="str">
        <f ca="1">IFERROR(__xludf.DUMMYFUNCTION("INDEX(IMPORTRANGE(""1y0FWgjbB0gVlqn-q5LMJbGIsqOrzru4yowQz67dz2yc"", ""'ESC'!BH3:BH139""),MATCH(D110,IMPORTRANGE(""1y0FWgjbB0gVlqn-q5LMJbGIsqOrzru4yowQz67dz2yc"", ""'ESC'!D3:D139""),0))"),"")</f>
        <v/>
      </c>
      <c r="Z110" s="26">
        <f ca="1">IFERROR(__xludf.DUMMYFUNCTION("INDEX(IMPORTRANGE(""1y0FWgjbB0gVlqn-q5LMJbGIsqOrzru4yowQz67dz2yc"", ""'ESC'!BI3:BI139""),MATCH(D110,IMPORTRANGE(""1y0FWgjbB0gVlqn-q5LMJbGIsqOrzru4yowQz67dz2yc"", ""'ESC'!D3:D139""),0))"),0.560617984957905)</f>
        <v>0.56061798495790505</v>
      </c>
      <c r="AA110" s="1"/>
      <c r="AB110" s="1"/>
      <c r="AC110" s="1"/>
      <c r="AD110" s="1"/>
    </row>
    <row r="111" spans="1:30">
      <c r="A111" s="7" t="s">
        <v>275</v>
      </c>
      <c r="B111" s="7" t="s">
        <v>303</v>
      </c>
      <c r="C111" s="1" t="s">
        <v>36</v>
      </c>
      <c r="D111" s="7" t="s">
        <v>304</v>
      </c>
      <c r="E111" s="7" t="s">
        <v>305</v>
      </c>
      <c r="F111" s="9" t="s">
        <v>306</v>
      </c>
      <c r="G111" s="11" t="s">
        <v>307</v>
      </c>
      <c r="H111" s="13"/>
      <c r="I111" s="1" t="s">
        <v>254</v>
      </c>
      <c r="J111" s="13"/>
      <c r="K111" s="1" t="s">
        <v>255</v>
      </c>
      <c r="L111" s="13"/>
      <c r="M111" s="1" t="s">
        <v>256</v>
      </c>
      <c r="N111" s="49">
        <v>45473</v>
      </c>
      <c r="O111" s="1"/>
      <c r="P111" s="2" t="s">
        <v>308</v>
      </c>
      <c r="Q111" s="2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2" t="s">
        <v>308</v>
      </c>
      <c r="Y111" s="46" t="str">
        <f ca="1">IFERROR(__xludf.DUMMYFUNCTION("INDEX(IMPORTRANGE(""1y0FWgjbB0gVlqn-q5LMJbGIsqOrzru4yowQz67dz2yc"", ""'ESC'!BH3:BH139""),MATCH(D111,IMPORTRANGE(""1y0FWgjbB0gVlqn-q5LMJbGIsqOrzru4yowQz67dz2yc"", ""'ESC'!D3:D139""),0))"),"")</f>
        <v/>
      </c>
      <c r="Z111" s="2" t="str">
        <f ca="1">IFERROR(__xludf.DUMMYFUNCTION("INDEX(IMPORTRANGE(""1y0FWgjbB0gVlqn-q5LMJbGIsqOrzru4yowQz67dz2yc"", ""'ESC'!BI3:BI139""),MATCH(D111,IMPORTRANGE(""1y0FWgjbB0gVlqn-q5LMJbGIsqOrzru4yowQz67dz2yc"", ""'ESC'!D3:D139""),0))"),"Verde")</f>
        <v>Verde</v>
      </c>
      <c r="AA111" s="1"/>
      <c r="AB111" s="1"/>
      <c r="AC111" s="1"/>
      <c r="AD111" s="1"/>
    </row>
    <row r="112" spans="1:30">
      <c r="A112" s="1"/>
      <c r="B112" s="1"/>
      <c r="C112" s="1"/>
      <c r="D112" s="1"/>
      <c r="E112" s="1"/>
      <c r="F112" s="1"/>
      <c r="G112" s="11" t="s">
        <v>307</v>
      </c>
      <c r="H112" s="13"/>
      <c r="I112" s="1"/>
      <c r="J112" s="1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1"/>
      <c r="Z112" s="1"/>
      <c r="AA112" s="1"/>
      <c r="AB112" s="1"/>
      <c r="AC112" s="1"/>
      <c r="AD112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55A27-AA54-FF4B-B710-60054A86275A}">
  <dimension ref="A1:M39"/>
  <sheetViews>
    <sheetView workbookViewId="0">
      <selection activeCell="E2" sqref="E2"/>
    </sheetView>
  </sheetViews>
  <sheetFormatPr baseColWidth="10" defaultRowHeight="16"/>
  <cols>
    <col min="1" max="1" width="10.83203125" style="118"/>
    <col min="3" max="3" width="20.83203125" customWidth="1"/>
    <col min="4" max="5" width="11.6640625" customWidth="1"/>
    <col min="7" max="7" width="13" customWidth="1"/>
    <col min="8" max="8" width="12.16406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ESC'!$D$3:$Y$114,4,0)</f>
        <v>44469</v>
      </c>
      <c r="E2" s="212">
        <f>VLOOKUP(C2,'BD EVA 2 ESC'!$D$3:$Q$114,13,0)</f>
        <v>531</v>
      </c>
      <c r="F2" s="75">
        <f>VLOOKUP(C2,'BD EVA 2 ESC'!$D$3:$Y$114,8,0)</f>
        <v>45016</v>
      </c>
      <c r="G2" s="72">
        <f ca="1">VLOOKUP(C2,'BD EVA 2 ESC'!$D$3:$AC$114,23,0)</f>
        <v>540</v>
      </c>
      <c r="H2" s="72">
        <f>VLOOKUP(C2,'BD EVA 2 ESC'!$D$3:$AC$114,16,0)</f>
        <v>579</v>
      </c>
      <c r="I2" s="78">
        <f ca="1">IF(G2&gt;=E2,G2/H2,0)</f>
        <v>0.93264248704663211</v>
      </c>
      <c r="J2" s="72" t="s">
        <v>316</v>
      </c>
      <c r="K2" s="81">
        <v>2.7</v>
      </c>
      <c r="L2" s="81">
        <f t="shared" ref="L2:L39" ca="1" si="0">IF(I2&lt;0,0,IF(I2&gt;1,K2,I2*K2))</f>
        <v>2.5181347150259068</v>
      </c>
      <c r="M2" s="124">
        <f ca="1">SUM(L2:L4)</f>
        <v>6.1744921033420566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ESC'!$D$3:$Y$114,4,0)</f>
        <v>44469</v>
      </c>
      <c r="E3" s="207">
        <f>VLOOKUP(C3,'BD EVA 2 ESC'!$D$3:$Q$114,13,0)</f>
        <v>0.89077212806026362</v>
      </c>
      <c r="F3" s="75">
        <f>VLOOKUP(C3,'BD EVA 2 ESC'!$D$3:$Y$114,8,0)</f>
        <v>45016</v>
      </c>
      <c r="G3" s="207">
        <f ca="1">VLOOKUP(C3,'BD EVA 2 ESC'!$D$3:$AC$114,23,0)</f>
        <v>0.93333333333333302</v>
      </c>
      <c r="H3" s="207" t="str">
        <f>VLOOKUP(C3,'BD EVA 2 ESC'!$D$3:$AC$114,16,0)</f>
        <v>&gt;=97%</v>
      </c>
      <c r="I3" s="78">
        <f ca="1">IF(G3&gt;=97%,1,G3/97%)</f>
        <v>0.96219931271477632</v>
      </c>
      <c r="J3" s="75" t="s">
        <v>318</v>
      </c>
      <c r="K3" s="81">
        <v>3.8</v>
      </c>
      <c r="L3" s="81">
        <f t="shared" ca="1" si="0"/>
        <v>3.6563573883161498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ESC'!$D$3:$Y$114,4,0)</f>
        <v>44469</v>
      </c>
      <c r="E4" s="207">
        <f>VLOOKUP(C4,'BD EVA 2 ESC'!$D$3:$Q$114,13,0)</f>
        <v>0</v>
      </c>
      <c r="F4" s="75">
        <f>VLOOKUP(C4,'BD EVA 2 ESC'!$D$3:$Y$114,8,0)</f>
        <v>45016</v>
      </c>
      <c r="G4" s="207">
        <f ca="1">VLOOKUP(C4,'BD EVA 2 ESC'!$D$3:$AC$114,23,0)</f>
        <v>0</v>
      </c>
      <c r="H4" s="207">
        <f>VLOOKUP(C4,'BD EVA 2 ESC'!$D$3:$AC$114,16,0)</f>
        <v>0.04</v>
      </c>
      <c r="I4" s="78">
        <f t="shared" ref="I4:I5" ca="1" si="1">G4/H4</f>
        <v>0</v>
      </c>
      <c r="J4" s="75" t="s">
        <v>318</v>
      </c>
      <c r="K4" s="81">
        <v>3.5</v>
      </c>
      <c r="L4" s="81">
        <f t="shared" ca="1" si="0"/>
        <v>0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ESC'!$D$3:$Y$114,4,0)</f>
        <v>octubre 20 - mar 21</v>
      </c>
      <c r="E5" s="207">
        <f>VLOOKUP(C5,'BD EVA 2 ESC'!$D$3:$Q$114,13,0)</f>
        <v>0</v>
      </c>
      <c r="F5" s="72" t="str">
        <f>VLOOKUP(C5,'BD EVA 2 ESC'!$D$3:$Y$114,8,0)</f>
        <v>octubre 22- mar 23</v>
      </c>
      <c r="G5" s="207">
        <f ca="1">VLOOKUP(C5,'BD EVA 2 ESC'!$D$3:$AC$114,23,0)</f>
        <v>6.3186813186813101E-2</v>
      </c>
      <c r="H5" s="207">
        <f>VLOOKUP(C5,'BD EVA 2 ESC'!$D$3:$AC$114,16,0)</f>
        <v>0.06</v>
      </c>
      <c r="I5" s="77">
        <f t="shared" ca="1" si="1"/>
        <v>1.0531135531135518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1.6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ESC'!$D$3:$Y$114,4,0)</f>
        <v>octubre 20 - mar 21</v>
      </c>
      <c r="E6" s="211">
        <f>VLOOKUP(C6,'BD EVA 2 ESC'!$D$3:$Q$114,13,0)</f>
        <v>7.1900912084217108</v>
      </c>
      <c r="F6" s="72" t="str">
        <f>VLOOKUP(C6,'BD EVA 2 ESC'!$D$3:$Y$114,8,0)</f>
        <v>octubre 22- mar 23</v>
      </c>
      <c r="G6" s="211">
        <f ca="1">VLOOKUP(C6,'BD EVA 2 ESC'!$D$3:$AC$114,23,0)</f>
        <v>10.3345073333664</v>
      </c>
      <c r="H6" s="211">
        <f>VLOOKUP(C6,'BD EVA 2 ESC'!$D$3:$AC$114,16,0)</f>
        <v>4.9000000000000004</v>
      </c>
      <c r="I6" s="78">
        <f t="shared" ref="I6:I10" ca="1" si="2">(G6-E6)/(H6-E6)</f>
        <v>-1.3730527908151589</v>
      </c>
      <c r="J6" s="71" t="s">
        <v>319</v>
      </c>
      <c r="K6" s="209">
        <v>1.7</v>
      </c>
      <c r="L6" s="20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ESC'!$D$3:$Y$114,4,0)</f>
        <v>octubre 20 - mar 21</v>
      </c>
      <c r="E7" s="208">
        <f>VLOOKUP(C7,'BD EVA 2 ESC'!$D$3:$Q$114,13,0)</f>
        <v>149.51160248100442</v>
      </c>
      <c r="F7" s="72" t="str">
        <f>VLOOKUP(C7,'BD EVA 2 ESC'!$D$3:$Y$114,8,0)</f>
        <v>octubre 22- mar 23</v>
      </c>
      <c r="G7" s="208">
        <f ca="1">VLOOKUP(C7,'BD EVA 2 ESC'!$D$3:$AC$114,23,0)</f>
        <v>175.68662466722799</v>
      </c>
      <c r="H7" s="208">
        <f>VLOOKUP(C7,'BD EVA 2 ESC'!$D$3:$AC$114,16,0)</f>
        <v>111.1</v>
      </c>
      <c r="I7" s="78">
        <f t="shared" ca="1" si="2"/>
        <v>-0.68143530848961142</v>
      </c>
      <c r="J7" s="71" t="s">
        <v>319</v>
      </c>
      <c r="K7" s="209">
        <v>1.6</v>
      </c>
      <c r="L7" s="209">
        <f t="shared" ca="1" si="0"/>
        <v>0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ESC'!$D$3:$Y$114,4,0)</f>
        <v>octubre 20 - mar 21</v>
      </c>
      <c r="E8" s="208">
        <f>VLOOKUP(C8,'BD EVA 2 ESC'!$D$3:$Q$114,13,0)</f>
        <v>349.77678996263268</v>
      </c>
      <c r="F8" s="72" t="str">
        <f>VLOOKUP(C8,'BD EVA 2 ESC'!$D$3:$Y$114,8,0)</f>
        <v>octubre 22- mar 23</v>
      </c>
      <c r="G8" s="208">
        <f ca="1">VLOOKUP(C8,'BD EVA 2 ESC'!$D$3:$AC$114,23,0)</f>
        <v>480.96797129487197</v>
      </c>
      <c r="H8" s="208">
        <f>VLOOKUP(C8,'BD EVA 2 ESC'!$D$3:$AC$114,16,0)</f>
        <v>243.7</v>
      </c>
      <c r="I8" s="78">
        <f t="shared" ca="1" si="2"/>
        <v>-1.2367567059528628</v>
      </c>
      <c r="J8" s="71" t="s">
        <v>319</v>
      </c>
      <c r="K8" s="209">
        <v>1.7</v>
      </c>
      <c r="L8" s="209">
        <f t="shared" ca="1" si="0"/>
        <v>0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ESC'!$D$3:$Y$114,4,0)</f>
        <v>octubre 20 - mar 21</v>
      </c>
      <c r="E9" s="208">
        <f>VLOOKUP(C9,'BD EVA 2 ESC'!$D$3:$Q$114,13,0)</f>
        <v>68.94028629251406</v>
      </c>
      <c r="F9" s="72" t="str">
        <f>VLOOKUP(C9,'BD EVA 2 ESC'!$D$3:$Y$114,8,0)</f>
        <v>octubre 22- mar 23</v>
      </c>
      <c r="G9" s="208">
        <f ca="1">VLOOKUP(C9,'BD EVA 2 ESC'!$D$3:$AC$114,23,0)</f>
        <v>70.481340013558807</v>
      </c>
      <c r="H9" s="208">
        <f>VLOOKUP(C9,'BD EVA 2 ESC'!$D$3:$AC$114,16,0)</f>
        <v>46.8</v>
      </c>
      <c r="I9" s="78">
        <f t="shared" ca="1" si="2"/>
        <v>-6.9604055732820344E-2</v>
      </c>
      <c r="J9" s="71" t="s">
        <v>319</v>
      </c>
      <c r="K9" s="209">
        <v>1.7</v>
      </c>
      <c r="L9" s="209">
        <f t="shared" ca="1" si="0"/>
        <v>0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ESC'!$D$3:$Y$114,4,0)</f>
        <v>octubre 20 - mar 21</v>
      </c>
      <c r="E10" s="208">
        <f>VLOOKUP(C10,'BD EVA 2 ESC'!$D$3:$Q$114,13,0)</f>
        <v>5.2868317708983179</v>
      </c>
      <c r="F10" s="72" t="str">
        <f>VLOOKUP(C10,'BD EVA 2 ESC'!$D$3:$Y$114,8,0)</f>
        <v>octubre 22- mar 23</v>
      </c>
      <c r="G10" s="208">
        <f ca="1">VLOOKUP(C10,'BD EVA 2 ESC'!$D$3:$AC$114,23,0)</f>
        <v>10.5411974800337</v>
      </c>
      <c r="H10" s="208">
        <f>VLOOKUP(C10,'BD EVA 2 ESC'!$D$3:$AC$114,16,0)</f>
        <v>2.8</v>
      </c>
      <c r="I10" s="78">
        <f t="shared" ca="1" si="2"/>
        <v>-2.1128754146635935</v>
      </c>
      <c r="J10" s="71" t="s">
        <v>319</v>
      </c>
      <c r="K10" s="209">
        <v>1.7</v>
      </c>
      <c r="L10" s="209">
        <f t="shared" ca="1" si="0"/>
        <v>0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ESC'!$D$3:$Y$114,4,0)</f>
        <v>44469</v>
      </c>
      <c r="E11" s="78">
        <f>VLOOKUP(C11,'BD EVA 2 ESC'!$D$3:$Q$114,13,0)</f>
        <v>0</v>
      </c>
      <c r="F11" s="89">
        <f>VLOOKUP(C11,'BD EVA 2 ESC'!$D$3:$Y$114,8,0)</f>
        <v>45016</v>
      </c>
      <c r="G11" s="78">
        <f ca="1">VLOOKUP(C11,'BD EVA 2 ESC'!$D$3:$AC$114,23,0)</f>
        <v>0</v>
      </c>
      <c r="H11" s="291" t="s">
        <v>419</v>
      </c>
      <c r="I11" s="77">
        <v>0</v>
      </c>
      <c r="J11" s="89" t="s">
        <v>318</v>
      </c>
      <c r="K11" s="71">
        <v>1.1000000000000001</v>
      </c>
      <c r="L11" s="209">
        <f t="shared" si="0"/>
        <v>0</v>
      </c>
      <c r="M11" s="130">
        <f ca="1">SUM(L11:L15)</f>
        <v>6.9321740063462425</v>
      </c>
    </row>
    <row r="12" spans="1:13" ht="91">
      <c r="A12" s="121" t="s">
        <v>119</v>
      </c>
      <c r="B12" s="72" t="s">
        <v>120</v>
      </c>
      <c r="C12" s="72" t="s">
        <v>333</v>
      </c>
      <c r="D12" s="75" t="str">
        <f>VLOOKUP(C12,'BD EVA 2 ESC'!$D$3:$Y$114,4,0)</f>
        <v>octubre 20 - mar 21</v>
      </c>
      <c r="E12" s="78">
        <f>VLOOKUP(C12,'BD EVA 2 ESC'!$D$3:$Q$114,13,0)</f>
        <v>0</v>
      </c>
      <c r="F12" s="89" t="str">
        <f>VLOOKUP(C12,'BD EVA 2 ESC'!$D$3:$Y$114,8,0)</f>
        <v>octubre 22- mar 23</v>
      </c>
      <c r="G12" s="80">
        <f ca="1">VLOOKUP(C12,'BD EVA 2 ESC'!$D$3:$AC$114,23,0)</f>
        <v>3.8401479018651199E-4</v>
      </c>
      <c r="H12" s="80">
        <f>VLOOKUP(C12,'BD EVA 2 ESC'!$D$3:$AC$114,16,0)</f>
        <v>4.0000000000000002E-4</v>
      </c>
      <c r="I12" s="77">
        <f t="shared" ref="I12:I15" ca="1" si="3">G12/H12</f>
        <v>0.96003697546627997</v>
      </c>
      <c r="J12" s="89" t="s">
        <v>318</v>
      </c>
      <c r="K12" s="71">
        <v>1.1000000000000001</v>
      </c>
      <c r="L12" s="209">
        <f t="shared" ca="1" si="0"/>
        <v>1.0560406730129082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2 ESC'!$D$3:$Y$114,4,0)</f>
        <v>octubre 20 - mar 21</v>
      </c>
      <c r="E13" s="76" t="str">
        <f>VLOOKUP(C13,'BD EVA 2 ESC'!$D$3:$Q$114,13,0)</f>
        <v>octubre 21 - septiembre 24</v>
      </c>
      <c r="F13" s="76" t="str">
        <f>VLOOKUP(C13,'BD EVA 2 ESC'!$D$3:$Y$114,8,0)</f>
        <v>octubre 21- mar 22</v>
      </c>
      <c r="G13" s="76">
        <f ca="1">VLOOKUP(C13,'BD EVA 2 ESC'!$D$3:$AC$114,23,0)</f>
        <v>1</v>
      </c>
      <c r="H13" s="76">
        <f>VLOOKUP(C13,'BD EVA 2 ESC'!$D$3:$AC$114,16,0)</f>
        <v>2</v>
      </c>
      <c r="I13" s="76">
        <f t="shared" ca="1" si="3"/>
        <v>0.5</v>
      </c>
      <c r="J13" s="89" t="s">
        <v>318</v>
      </c>
      <c r="K13" s="82">
        <v>2.35</v>
      </c>
      <c r="L13" s="209">
        <f t="shared" ca="1" si="0"/>
        <v>1.175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2 ESC'!$D$3:$Y$114,4,0)</f>
        <v>octubre 20 - mar 21</v>
      </c>
      <c r="E14" s="76" t="str">
        <f>VLOOKUP(C14,'BD EVA 2 ESC'!$D$3:$Q$114,13,0)</f>
        <v>octubre 21 - septiembre 24</v>
      </c>
      <c r="F14" s="76" t="str">
        <f>VLOOKUP(C14,'BD EVA 2 ESC'!$D$3:$Y$114,8,0)</f>
        <v>octubre 21- mar 22</v>
      </c>
      <c r="G14" s="76">
        <f ca="1">VLOOKUP(C14,'BD EVA 2 ESC'!$D$3:$AC$114,23,0)</f>
        <v>1022</v>
      </c>
      <c r="H14" s="76">
        <f>VLOOKUP(C14,'BD EVA 2 ESC'!$D$3:$AC$114,16,0)</f>
        <v>1500</v>
      </c>
      <c r="I14" s="76">
        <f t="shared" ca="1" si="3"/>
        <v>0.68133333333333335</v>
      </c>
      <c r="J14" s="89" t="s">
        <v>318</v>
      </c>
      <c r="K14" s="82">
        <v>2.35</v>
      </c>
      <c r="L14" s="209">
        <f t="shared" ca="1" si="0"/>
        <v>1.6011333333333335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ESC'!$D$3:$Y$114,4,0)</f>
        <v>octubre 20 - mar 21</v>
      </c>
      <c r="E15" s="212" t="str">
        <f>VLOOKUP(C15,'BD EVA 2 ESC'!$D$3:$Q$114,13,0)</f>
        <v>octubre 21 - septiembre 24</v>
      </c>
      <c r="F15" s="89" t="str">
        <f>VLOOKUP(C15,'BD EVA 2 ESC'!$D$3:$Y$114,8,0)</f>
        <v>octubre 21- mar 22</v>
      </c>
      <c r="G15" s="212">
        <f ca="1">VLOOKUP(C15,'BD EVA 2 ESC'!$D$3:$AC$114,23,0)</f>
        <v>4</v>
      </c>
      <c r="H15" s="212">
        <f>VLOOKUP(C15,'BD EVA 2 ESC'!$D$3:$AC$114,16,0)</f>
        <v>2</v>
      </c>
      <c r="I15" s="78">
        <f t="shared" ca="1" si="3"/>
        <v>2</v>
      </c>
      <c r="J15" s="75" t="s">
        <v>318</v>
      </c>
      <c r="K15" s="71">
        <v>3.1</v>
      </c>
      <c r="L15" s="209">
        <f t="shared" ca="1" si="0"/>
        <v>3.1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ESC'!$D$3:$Y$114,4,0)</f>
        <v>44469</v>
      </c>
      <c r="E16" s="213">
        <f>VLOOKUP(C16,'BD EVA 2 ESC'!$D$3:$Q$114,13,0)</f>
        <v>0.33333333333333331</v>
      </c>
      <c r="F16" s="75">
        <f>VLOOKUP(C16,'BD EVA 2 ESC'!$D$3:$Y$114,8,0)</f>
        <v>45016</v>
      </c>
      <c r="G16" s="208">
        <f ca="1">VLOOKUP(C16,'BD EVA 2 ESC'!$D$3:$AC$114,23,0)</f>
        <v>1</v>
      </c>
      <c r="H16" s="213" t="str">
        <f>VLOOKUP(C16,'BD EVA 2 ESC'!$D$3:$AC$114,16,0)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71">
        <v>1.5</v>
      </c>
      <c r="L16" s="209">
        <f t="shared" ca="1" si="0"/>
        <v>1.5</v>
      </c>
      <c r="M16" s="130">
        <f ca="1">SUM(L16:L23)</f>
        <v>7.0595565891161307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ESC'!$D$3:$Y$114,4,0)</f>
        <v>44469</v>
      </c>
      <c r="E17" s="212">
        <f>VLOOKUP(C17,'BD EVA 2 ESC'!$D$3:$Q$114,13,0)</f>
        <v>0</v>
      </c>
      <c r="F17" s="75">
        <f>VLOOKUP(C17,'BD EVA 2 ESC'!$D$3:$Y$114,8,0)</f>
        <v>45016</v>
      </c>
      <c r="G17" s="208">
        <f ca="1">VLOOKUP(C17,'BD EVA 2 ESC'!$D$3:$AC$114,23,0)</f>
        <v>0</v>
      </c>
      <c r="H17" s="207" t="str">
        <f>VLOOKUP(C17,'BD EVA 2 ESC'!$D$3:$AC$114,16,0)</f>
        <v>Actualizado al 2018</v>
      </c>
      <c r="I17" s="214">
        <f t="shared" ca="1" si="4"/>
        <v>0</v>
      </c>
      <c r="J17" s="75" t="s">
        <v>318</v>
      </c>
      <c r="K17" s="71">
        <v>1.5</v>
      </c>
      <c r="L17" s="209">
        <f t="shared" ca="1" si="0"/>
        <v>0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ESC'!$D$3:$Y$114,4,0)</f>
        <v>44469</v>
      </c>
      <c r="E18" s="207">
        <f>VLOOKUP(C18,'BD EVA 2 ESC'!$D$3:$Q$114,13,0)</f>
        <v>0.5</v>
      </c>
      <c r="F18" s="75">
        <f>VLOOKUP(C18,'BD EVA 2 ESC'!$D$3:$Y$114,8,0)</f>
        <v>45016</v>
      </c>
      <c r="G18" s="207">
        <f ca="1">VLOOKUP(C18,'BD EVA 2 ESC'!$D$3:$AC$114,23,0)</f>
        <v>0.66666666666666596</v>
      </c>
      <c r="H18" s="207">
        <f>VLOOKUP(C18,'BD EVA 2 ESC'!$D$3:$AC$114,16,0)</f>
        <v>1</v>
      </c>
      <c r="I18" s="214">
        <f t="shared" ref="I18:I27" ca="1" si="5">G18/H18</f>
        <v>0.66666666666666596</v>
      </c>
      <c r="J18" s="75" t="s">
        <v>318</v>
      </c>
      <c r="K18" s="71">
        <v>0.3</v>
      </c>
      <c r="L18" s="209">
        <f t="shared" ca="1" si="0"/>
        <v>0.19999999999999979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ESC'!$D$3:$Y$114,4,0)</f>
        <v>44469</v>
      </c>
      <c r="E19" s="207">
        <f>VLOOKUP(C19,'BD EVA 2 ESC'!$D$3:$Q$114,13,0)</f>
        <v>0.99909357343565885</v>
      </c>
      <c r="F19" s="75">
        <f>VLOOKUP(C19,'BD EVA 2 ESC'!$D$3:$Y$114,8,0)</f>
        <v>45016</v>
      </c>
      <c r="G19" s="207">
        <f ca="1">VLOOKUP(C19,'BD EVA 2 ESC'!$D$3:$AC$114,23,0)</f>
        <v>0.99864470078004997</v>
      </c>
      <c r="H19" s="207">
        <f>VLOOKUP(C19,'BD EVA 2 ESC'!$D$3:$AC$114,16,0)</f>
        <v>1</v>
      </c>
      <c r="I19" s="214">
        <f t="shared" ca="1" si="5"/>
        <v>0.99864470078004997</v>
      </c>
      <c r="J19" s="75" t="s">
        <v>318</v>
      </c>
      <c r="K19" s="71">
        <v>1.5</v>
      </c>
      <c r="L19" s="209">
        <f t="shared" ca="1" si="0"/>
        <v>1.4979670511700749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ESC'!$D$3:$Y$114,4,0)</f>
        <v>44469</v>
      </c>
      <c r="E20" s="214">
        <f>VLOOKUP(C20,'BD EVA 2 ESC'!$D$3:$Q$114,13,0)</f>
        <v>1</v>
      </c>
      <c r="F20" s="75">
        <f>VLOOKUP(C20,'BD EVA 2 ESC'!$D$3:$Y$114,8,0)</f>
        <v>45016</v>
      </c>
      <c r="G20" s="214">
        <f ca="1">VLOOKUP(C20,'BD EVA 2 ESC'!$D$3:$AC$114,23,0)</f>
        <v>1</v>
      </c>
      <c r="H20" s="214">
        <f>VLOOKUP(C20,'BD EVA 2 ESC'!$D$3:$AC$114,16,0)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ESC'!$D$3:$Y$114,4,0)</f>
        <v>44469</v>
      </c>
      <c r="E21" s="207">
        <f>VLOOKUP(C21,'BD EVA 2 ESC'!$D$3:$Q$114,13,0)</f>
        <v>0.89530311989709388</v>
      </c>
      <c r="F21" s="75">
        <f>VLOOKUP(C21,'BD EVA 2 ESC'!$D$3:$Y$114,8,0)</f>
        <v>45016</v>
      </c>
      <c r="G21" s="207">
        <f ca="1">VLOOKUP(C21,'BD EVA 2 ESC'!$D$3:$AC$114,23,0)</f>
        <v>0.90143756089912097</v>
      </c>
      <c r="H21" s="207">
        <f>VLOOKUP(C21,'BD EVA 2 ESC'!$D$3:$AC$114,16,0)</f>
        <v>1</v>
      </c>
      <c r="I21" s="214">
        <f t="shared" ca="1" si="5"/>
        <v>0.90143756089912097</v>
      </c>
      <c r="J21" s="75" t="s">
        <v>318</v>
      </c>
      <c r="K21" s="71">
        <v>0.9</v>
      </c>
      <c r="L21" s="209">
        <f t="shared" ca="1" si="0"/>
        <v>0.81129380480920887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ESC'!$D$3:$Y$114,4,0)</f>
        <v>44469</v>
      </c>
      <c r="E22" s="207">
        <f>VLOOKUP(C22,'BD EVA 2 ESC'!$D$3:$Q$114,13,0)</f>
        <v>0.89295554513586539</v>
      </c>
      <c r="F22" s="75">
        <f>VLOOKUP(C22,'BD EVA 2 ESC'!$D$3:$Y$114,8,0)</f>
        <v>45016</v>
      </c>
      <c r="G22" s="207">
        <f ca="1">VLOOKUP(C22,'BD EVA 2 ESC'!$D$3:$AC$114,23,0)</f>
        <v>0.93353048875789801</v>
      </c>
      <c r="H22" s="207">
        <f>VLOOKUP(C22,'BD EVA 2 ESC'!$D$3:$AC$114,16,0)</f>
        <v>1</v>
      </c>
      <c r="I22" s="214">
        <f t="shared" ca="1" si="5"/>
        <v>0.93353048875789801</v>
      </c>
      <c r="J22" s="75" t="s">
        <v>318</v>
      </c>
      <c r="K22" s="71">
        <v>1.5</v>
      </c>
      <c r="L22" s="209">
        <f t="shared" ca="1" si="0"/>
        <v>1.4002957331368471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ESC'!$D$3:$Y$114,4,0)</f>
        <v>octubre 20 - mar 21</v>
      </c>
      <c r="E23" s="208">
        <f>VLOOKUP(C23,'BD EVA 2 ESC'!$D$3:$Q$114,13,0)</f>
        <v>0</v>
      </c>
      <c r="F23" s="89" t="str">
        <f>VLOOKUP(C23,'BD EVA 2 ESC'!$D$3:$Y$114,8,0)</f>
        <v>octubre 22 - mar 23</v>
      </c>
      <c r="G23" s="81">
        <f ca="1">VLOOKUP(C23,'BD EVA 2 ESC'!$D$3:$AC$114,23,0)</f>
        <v>0.45</v>
      </c>
      <c r="H23" s="208">
        <f>VLOOKUP(C23,'BD EVA 2 ESC'!$D$3:$AC$114,16,0)</f>
        <v>3.9</v>
      </c>
      <c r="I23" s="214">
        <f t="shared" ca="1" si="5"/>
        <v>0.11538461538461539</v>
      </c>
      <c r="J23" s="75" t="s">
        <v>318</v>
      </c>
      <c r="K23" s="82">
        <v>1.3</v>
      </c>
      <c r="L23" s="209">
        <f t="shared" ca="1" si="0"/>
        <v>0.15000000000000002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ESC'!$D$3:$Y$114,4,0)</f>
        <v>44469</v>
      </c>
      <c r="E24" s="171">
        <f>VLOOKUP(C24,'BD EVA 2 ESC'!$D$3:$Q$114,13,0)</f>
        <v>5.04</v>
      </c>
      <c r="F24" s="75">
        <f>VLOOKUP(C24,'BD EVA 2 ESC'!$D$3:$Y$114,8,0)</f>
        <v>45016</v>
      </c>
      <c r="G24" s="171">
        <f ca="1">VLOOKUP(C24,'BD EVA 2 ESC'!$D$3:$AC$114,23,0)</f>
        <v>5.65</v>
      </c>
      <c r="H24" s="171">
        <f>VLOOKUP(C24,'BD EVA 2 ESC'!$D$3:$AC$114,16,0)</f>
        <v>7.9039999999999999</v>
      </c>
      <c r="I24" s="214">
        <f t="shared" ca="1" si="5"/>
        <v>0.71482793522267207</v>
      </c>
      <c r="J24" s="75" t="s">
        <v>318</v>
      </c>
      <c r="K24" s="82">
        <v>1.9450000000000001</v>
      </c>
      <c r="L24" s="209">
        <f t="shared" ca="1" si="0"/>
        <v>1.3903403340080973</v>
      </c>
      <c r="M24" s="130">
        <f ca="1">SUM(L24:L28)</f>
        <v>6.5664993741680977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ESC'!$D$3:$Y$114,4,0)</f>
        <v>octubre 20 - mar 21</v>
      </c>
      <c r="E25" s="212">
        <f>VLOOKUP(C25,'BD EVA 2 ESC'!$D$3:$Q$114,13,0)</f>
        <v>0</v>
      </c>
      <c r="F25" s="71" t="str">
        <f>VLOOKUP(C25,'BD EVA 2 ESC'!$D$3:$Y$114,8,0)</f>
        <v>octubre 22 - mar 23</v>
      </c>
      <c r="G25" s="212">
        <f ca="1">VLOOKUP(C25,'BD EVA 2 ESC'!$D$3:$AC$114,23,0)</f>
        <v>7459.29</v>
      </c>
      <c r="H25" s="212">
        <f>VLOOKUP(C25,'BD EVA 2 ESC'!$D$3:$AC$114,16,0)</f>
        <v>12500</v>
      </c>
      <c r="I25" s="214">
        <f t="shared" ca="1" si="5"/>
        <v>0.59674320000000003</v>
      </c>
      <c r="J25" s="75" t="s">
        <v>318</v>
      </c>
      <c r="K25" s="82">
        <v>1.6337999999999999</v>
      </c>
      <c r="L25" s="209">
        <f t="shared" ca="1" si="0"/>
        <v>0.97495904016000001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ESC'!$D$3:$Y$114,4,0)</f>
        <v>enero - diciembre 2021</v>
      </c>
      <c r="E26" s="212">
        <f>VLOOKUP(C26,'BD EVA 2 ESC'!$D$3:$Q$114,13,0)</f>
        <v>2.8107601719401219E-2</v>
      </c>
      <c r="F26" s="71" t="str">
        <f>VLOOKUP(C26,'BD EVA 2 ESC'!$D$3:$Y$114,8,0)</f>
        <v>enero- diciembre 2022</v>
      </c>
      <c r="G26" s="207">
        <f ca="1">VLOOKUP(C26,'BD EVA 2 ESC'!$D$3:$AC$114,23,0)</f>
        <v>0.10875665014352701</v>
      </c>
      <c r="H26" s="207">
        <f>VLOOKUP(C26,'BD EVA 2 ESC'!$D$3:$AC$114,16,0)</f>
        <v>2.5000000000000001E-2</v>
      </c>
      <c r="I26" s="207">
        <f t="shared" ca="1" si="5"/>
        <v>4.35026600574108</v>
      </c>
      <c r="J26" s="75" t="s">
        <v>318</v>
      </c>
      <c r="K26" s="82">
        <v>2.1006</v>
      </c>
      <c r="L26" s="209">
        <f t="shared" ca="1" si="0"/>
        <v>2.1006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ESC'!$D$3:$Y$114,4,0)</f>
        <v>octubre 20 - mar 21</v>
      </c>
      <c r="E27" s="212">
        <f>VLOOKUP(C27,'BD EVA 2 ESC'!$D$3:$Q$114,13,0)</f>
        <v>0</v>
      </c>
      <c r="F27" s="71" t="str">
        <f>VLOOKUP(C27,'BD EVA 2 ESC'!$D$3:$Y$114,8,0)</f>
        <v>octubre 22 - mar 23</v>
      </c>
      <c r="G27" s="212">
        <f ca="1">VLOOKUP(C27,'BD EVA 2 ESC'!$D$3:$AC$114,23,0)</f>
        <v>3</v>
      </c>
      <c r="H27" s="212">
        <f>VLOOKUP(C27,'BD EVA 2 ESC'!$D$3:$AC$114,16,0)</f>
        <v>2</v>
      </c>
      <c r="I27" s="214">
        <f t="shared" ca="1" si="5"/>
        <v>1.5</v>
      </c>
      <c r="J27" s="75" t="s">
        <v>318</v>
      </c>
      <c r="K27" s="82">
        <v>2.1006</v>
      </c>
      <c r="L27" s="209">
        <f t="shared" ca="1" si="0"/>
        <v>2.1006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ESC'!$D$3:$Y$114,4,0)</f>
        <v>octubre 2018 - marzo 2019</v>
      </c>
      <c r="E28" s="212">
        <f>VLOOKUP(C28,'BD EVA 2 ESC'!$D$3:$Q$114,13,0)</f>
        <v>1703</v>
      </c>
      <c r="F28" s="89" t="str">
        <f>VLOOKUP(C28,'BD EVA 2 ESC'!$D$3:$Y$114,8,0)</f>
        <v>octubre 22 - mar 23</v>
      </c>
      <c r="G28" s="212">
        <f ca="1">VLOOKUP(C28,'BD EVA 2 ESC'!$D$3:$AC$114,23,0)</f>
        <v>2925</v>
      </c>
      <c r="H28" s="212">
        <f>VLOOKUP(C28,'BD EVA 2 ESC'!$D$3:$AC$114,16,0)</f>
        <v>1692</v>
      </c>
      <c r="I28" s="78">
        <f ca="1">(G28-E28)/(H28-E28)</f>
        <v>-111.09090909090909</v>
      </c>
      <c r="J28" s="89" t="s">
        <v>319</v>
      </c>
      <c r="K28" s="82">
        <v>2.2200000000000002</v>
      </c>
      <c r="L28" s="209">
        <f t="shared" ca="1" si="0"/>
        <v>0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ESC'!$D$3:$Y$114,4,0)</f>
        <v>octubre 20 - mar 21</v>
      </c>
      <c r="E29" s="212">
        <f>VLOOKUP(C29,'BD EVA 2 ESC'!$D$3:$Q$114,13,0)</f>
        <v>0</v>
      </c>
      <c r="F29" s="89" t="str">
        <f>VLOOKUP(C29,'BD EVA 2 ESC'!$D$3:$Y$114,8,0)</f>
        <v>octubre 22 - mar 23</v>
      </c>
      <c r="G29" s="212">
        <f ca="1">VLOOKUP(C29,'BD EVA 2 ESC'!$D$3:$AC$114,23,0)</f>
        <v>89</v>
      </c>
      <c r="H29" s="212">
        <f>VLOOKUP(C29,'BD EVA 2 ESC'!$D$3:$AC$114,16,0)</f>
        <v>2</v>
      </c>
      <c r="I29" s="80">
        <f t="shared" ref="I29:I33" ca="1" si="6">G29/H29</f>
        <v>44.5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8.5935036199095016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ESC'!$D$3:$Y$114,4,0)</f>
        <v>44469</v>
      </c>
      <c r="E30" s="212">
        <f>VLOOKUP(C30,'BD EVA 2 ESC'!$D$3:$Q$114,13,0)</f>
        <v>1</v>
      </c>
      <c r="F30" s="75">
        <f>VLOOKUP(C30,'BD EVA 2 ESC'!$D$3:$Y$114,8,0)</f>
        <v>45016</v>
      </c>
      <c r="G30" s="212">
        <f ca="1">VLOOKUP(C30,'BD EVA 2 ESC'!$D$3:$AC$114,23,0)</f>
        <v>24</v>
      </c>
      <c r="H30" s="212">
        <f>VLOOKUP(C30,'BD EVA 2 ESC'!$D$3:$AC$114,16,0)</f>
        <v>6</v>
      </c>
      <c r="I30" s="80">
        <f t="shared" ca="1" si="6"/>
        <v>4</v>
      </c>
      <c r="J30" s="75" t="s">
        <v>318</v>
      </c>
      <c r="K30" s="71">
        <v>2</v>
      </c>
      <c r="L30" s="20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ESC'!$D$3:$Y$114,4,0)</f>
        <v>44469</v>
      </c>
      <c r="E31" s="212">
        <f>VLOOKUP(C31,'BD EVA 2 ESC'!$D$3:$Q$114,13,0)</f>
        <v>100</v>
      </c>
      <c r="F31" s="75" t="str">
        <f>VLOOKUP(C31,'BD EVA 2 ESC'!$D$3:$Y$114,8,0)</f>
        <v>Dic 2022</v>
      </c>
      <c r="G31" s="212">
        <f ca="1">VLOOKUP(C31,'BD EVA 2 ESC'!$D$3:$AC$114,23,0)</f>
        <v>96.29</v>
      </c>
      <c r="H31" s="212">
        <f>VLOOKUP(C31,'BD EVA 2 ESC'!$D$3:$AC$114,16,0)</f>
        <v>100</v>
      </c>
      <c r="I31" s="80">
        <f t="shared" ca="1" si="6"/>
        <v>0.96290000000000009</v>
      </c>
      <c r="J31" s="75" t="s">
        <v>318</v>
      </c>
      <c r="K31" s="71">
        <v>2</v>
      </c>
      <c r="L31" s="209">
        <f t="shared" ca="1" si="0"/>
        <v>1.9258000000000002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ESC'!$D$3:$Y$114,4,0)</f>
        <v>44469</v>
      </c>
      <c r="E32" s="209">
        <f>VLOOKUP(C32,'BD EVA 2 ESC'!$D$3:$Q$114,13,0)</f>
        <v>0</v>
      </c>
      <c r="F32" s="75">
        <f>VLOOKUP(C32,'BD EVA 2 ESC'!$D$3:$Y$114,8,0)</f>
        <v>45016</v>
      </c>
      <c r="G32" s="209">
        <f ca="1">VLOOKUP(C32,'BD EVA 2 ESC'!$D$3:$AC$114,23,0)</f>
        <v>3.7104072398189998</v>
      </c>
      <c r="H32" s="209">
        <f>VLOOKUP(C32,'BD EVA 2 ESC'!$D$3:$AC$114,16,0)</f>
        <v>4</v>
      </c>
      <c r="I32" s="80">
        <f t="shared" ca="1" si="6"/>
        <v>0.92760180995474995</v>
      </c>
      <c r="J32" s="75" t="s">
        <v>318</v>
      </c>
      <c r="K32" s="71">
        <v>2</v>
      </c>
      <c r="L32" s="209">
        <f t="shared" ca="1" si="0"/>
        <v>1.8552036199094999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ESC'!$D$3:$Y$114,4,0)</f>
        <v>44469</v>
      </c>
      <c r="E33" s="209">
        <f>VLOOKUP(C33,'BD EVA 2 ESC'!$D$3:$Q$114,13,0)</f>
        <v>0</v>
      </c>
      <c r="F33" s="75">
        <f>VLOOKUP(C33,'BD EVA 2 ESC'!$D$3:$Y$114,8,0)</f>
        <v>45016</v>
      </c>
      <c r="G33" s="207">
        <f ca="1">VLOOKUP(C33,'BD EVA 2 ESC'!$D$3:$AC$114,23,0)</f>
        <v>0.203125</v>
      </c>
      <c r="H33" s="207">
        <f>VLOOKUP(C33,'BD EVA 2 ESC'!$D$3:$AC$114,16,0)</f>
        <v>0.5</v>
      </c>
      <c r="I33" s="80">
        <f t="shared" ca="1" si="6"/>
        <v>0.40625</v>
      </c>
      <c r="J33" s="75" t="s">
        <v>318</v>
      </c>
      <c r="K33" s="71">
        <v>2</v>
      </c>
      <c r="L33" s="209">
        <f t="shared" ca="1" si="0"/>
        <v>0.8125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ESC'!$D$3:$Y$114,4,0)</f>
        <v>enero - diciembre 2021</v>
      </c>
      <c r="E34" s="78">
        <f>VLOOKUP(C34,'BD EVA 2 ESC'!$D$3:$Q$114,13,0)</f>
        <v>0.33190512986812276</v>
      </c>
      <c r="F34" s="71" t="str">
        <f>VLOOKUP(C34,'BD EVA 2 ESC'!$D$3:$Y$114,8,0)</f>
        <v>enero- diciembre 2022</v>
      </c>
      <c r="G34" s="78">
        <f ca="1">VLOOKUP(C34,'BD EVA 2 ESC'!$D$3:$AC$114,23,0)</f>
        <v>0.27115829275408998</v>
      </c>
      <c r="H34" s="78">
        <f>VLOOKUP(C34,'BD EVA 2 ESC'!$D$3:$AC$114,16,0)</f>
        <v>0.33500000000000002</v>
      </c>
      <c r="I34" s="78">
        <f ca="1">(G34/H34)</f>
        <v>0.80942773956444769</v>
      </c>
      <c r="J34" s="75" t="s">
        <v>318</v>
      </c>
      <c r="K34" s="82">
        <v>2.2000000000000002</v>
      </c>
      <c r="L34" s="209">
        <f t="shared" ca="1" si="0"/>
        <v>1.7807410270417852</v>
      </c>
      <c r="M34" s="130">
        <f ca="1">SUM(L34:L39)</f>
        <v>7.422327171594187</v>
      </c>
    </row>
    <row r="35" spans="1:13" ht="117">
      <c r="A35" s="121" t="s">
        <v>275</v>
      </c>
      <c r="B35" s="72" t="s">
        <v>276</v>
      </c>
      <c r="C35" s="72" t="s">
        <v>287</v>
      </c>
      <c r="D35" s="71" t="str">
        <f>VLOOKUP(C35,'BD EVA 2 ESC'!$D$3:$Y$114,4,0)</f>
        <v>enero - diciembre 2021</v>
      </c>
      <c r="E35" s="78">
        <f>VLOOKUP(C35,'BD EVA 2 ESC'!$D$3:$Q$114,13,0)</f>
        <v>0.52896110104463856</v>
      </c>
      <c r="F35" s="71" t="str">
        <f>VLOOKUP(C35,'BD EVA 2 ESC'!$D$3:$Y$114,8,0)</f>
        <v>enero- diciembre 2022</v>
      </c>
      <c r="G35" s="78">
        <f ca="1">VLOOKUP(C35,'BD EVA 2 ESC'!$D$3:$AC$114,23,0)</f>
        <v>0.51363583820006298</v>
      </c>
      <c r="H35" s="78">
        <f>VLOOKUP(C35,'BD EVA 2 ESC'!$D$3:$AC$114,16,0)</f>
        <v>0.53600000000000003</v>
      </c>
      <c r="I35" s="78">
        <f ca="1">G35/H35</f>
        <v>0.95827581753743085</v>
      </c>
      <c r="J35" s="75" t="s">
        <v>318</v>
      </c>
      <c r="K35" s="82">
        <v>1.4</v>
      </c>
      <c r="L35" s="209">
        <f t="shared" ca="1" si="0"/>
        <v>1.3415861445524031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1" t="str">
        <f>VLOOKUP(C36,'BD EVA 2 ESC'!$D$3:$Y$114,4,0)</f>
        <v>enero - diciembre 2021</v>
      </c>
      <c r="E36" s="78">
        <f>VLOOKUP(C36,'BD EVA 2 ESC'!$D$3:$Q$114,13,0)</f>
        <v>0.43290989660265877</v>
      </c>
      <c r="F36" s="71" t="str">
        <f>VLOOKUP(C36,'BD EVA 2 ESC'!$D$3:$Y$114,8,0)</f>
        <v>enero- diciembre 2022</v>
      </c>
      <c r="G36" s="78">
        <f ca="1">VLOOKUP(C36,'BD EVA 2 ESC'!$D$3:$AC$114,23,0)</f>
        <v>0.396458162819118</v>
      </c>
      <c r="H36" s="78">
        <f>VLOOKUP(C36,'BD EVA 2 ESC'!$D$3:$AC$114,16,0)</f>
        <v>0.44</v>
      </c>
      <c r="I36" s="78">
        <f ca="1">IF(G36&lt;E36,0,G36/H36)</f>
        <v>0</v>
      </c>
      <c r="J36" s="72" t="s">
        <v>316</v>
      </c>
      <c r="K36" s="82">
        <v>2.2000000000000002</v>
      </c>
      <c r="L36" s="209">
        <f t="shared" ca="1" si="0"/>
        <v>0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1" t="str">
        <f>VLOOKUP(C37,'BD EVA 2 ESC'!$D$3:$Y$114,4,0)</f>
        <v>enero - diciembre 2021</v>
      </c>
      <c r="E37" s="90">
        <f>VLOOKUP(C37,'BD EVA 2 ESC'!$D$3:$Q$114,13,0)</f>
        <v>151349507.40000001</v>
      </c>
      <c r="F37" s="89" t="str">
        <f>VLOOKUP(C37,'BD EVA 2 ESC'!$D$3:$Y$114,8,0)</f>
        <v>enero- diciembre 2022</v>
      </c>
      <c r="G37" s="90">
        <f ca="1">VLOOKUP(C37,'BD EVA 2 ESC'!$D$3:$AC$114,23,0)</f>
        <v>167007731.61000001</v>
      </c>
      <c r="H37" s="90">
        <f>VLOOKUP(C37,'BD EVA 2 ESC'!$D$3:$AC$114,16,0)</f>
        <v>155666338.27000001</v>
      </c>
      <c r="I37" s="78">
        <f ca="1">G37/H37</f>
        <v>1.0728570702313855</v>
      </c>
      <c r="J37" s="75" t="s">
        <v>318</v>
      </c>
      <c r="K37" s="82">
        <v>1.1000000000000001</v>
      </c>
      <c r="L37" s="209">
        <f t="shared" ca="1" si="0"/>
        <v>1.1000000000000001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1" t="str">
        <f>VLOOKUP(C38,'BD EVA 2 ESC'!$D$3:$Y$114,4,0)</f>
        <v>enero - diciembre 2021</v>
      </c>
      <c r="E38" s="78">
        <f>VLOOKUP(C38,'BD EVA 2 ESC'!$D$3:$Q$114,13,0)</f>
        <v>0.69821910047947722</v>
      </c>
      <c r="F38" s="89" t="str">
        <f>VLOOKUP(C38,'BD EVA 2 ESC'!$D$3:$Y$114,8,0)</f>
        <v>enero- diciembre 2022</v>
      </c>
      <c r="G38" s="78">
        <f ca="1">VLOOKUP(C38,'BD EVA 2 ESC'!$D$3:$AC$114,23,0)</f>
        <v>0.56061798495790505</v>
      </c>
      <c r="H38" s="78">
        <f>VLOOKUP(C38,'BD EVA 2 ESC'!$D$3:$AC$114,16,0)</f>
        <v>0.68200000000000005</v>
      </c>
      <c r="I38" s="78">
        <f ca="1">(H38/G38)</f>
        <v>1.2165146647073928</v>
      </c>
      <c r="J38" s="89" t="s">
        <v>341</v>
      </c>
      <c r="K38" s="82">
        <v>1.6</v>
      </c>
      <c r="L38" s="209">
        <f t="shared" ca="1" si="0"/>
        <v>1.6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ESC'!$D$3:$Y$114,4,0)</f>
        <v>Dic 2020</v>
      </c>
      <c r="E39" s="76" t="str">
        <f>VLOOKUP(C39,'BD EVA 2 ESC'!$D$3:$Q$114,13,0)</f>
        <v>Verde</v>
      </c>
      <c r="F39" s="89" t="str">
        <f>VLOOKUP(C39,'BD EVA 2 ESC'!$D$3:$Y$114,8,0)</f>
        <v>Dic 2022</v>
      </c>
      <c r="G39" s="76" t="str">
        <f ca="1">VLOOKUP(C39,'BD EVA 2 ESC'!$D$3:$AC$114,23,0)</f>
        <v>Verde</v>
      </c>
      <c r="H39" s="76" t="str">
        <f>VLOOKUP(C39,'BD EVA 2 ESC'!$D$3:$AC$114,16,0)</f>
        <v>Verde</v>
      </c>
      <c r="I39" s="76">
        <f ca="1">IF(G39="Verde",1,0)</f>
        <v>1</v>
      </c>
      <c r="J39" s="75" t="s">
        <v>318</v>
      </c>
      <c r="K39" s="82">
        <v>1.6</v>
      </c>
      <c r="L39" s="209">
        <f t="shared" ca="1" si="0"/>
        <v>1.6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DE46C-16A7-D44D-9ADA-C07BBF73502F}">
  <dimension ref="A1:AD114"/>
  <sheetViews>
    <sheetView workbookViewId="0">
      <selection activeCell="F4" sqref="F4"/>
    </sheetView>
  </sheetViews>
  <sheetFormatPr baseColWidth="10" defaultRowHeight="16"/>
  <sheetData>
    <row r="1" spans="1:30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  <c r="AD1" s="65"/>
    </row>
    <row r="2" spans="1:30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472873</v>
      </c>
      <c r="Q2" s="12">
        <v>472873</v>
      </c>
      <c r="R2" s="4"/>
      <c r="S2" s="6"/>
      <c r="T2" s="6"/>
      <c r="U2" s="6"/>
      <c r="V2" s="6"/>
      <c r="W2" s="6"/>
      <c r="X2" s="12">
        <v>478712</v>
      </c>
      <c r="Y2" s="12">
        <v>478712</v>
      </c>
      <c r="Z2" s="12">
        <v>483816</v>
      </c>
      <c r="AA2" s="5">
        <v>483816</v>
      </c>
      <c r="AB2" s="5">
        <v>488156</v>
      </c>
      <c r="AC2" s="5">
        <v>488156</v>
      </c>
      <c r="AD2" s="1"/>
    </row>
    <row r="3" spans="1:30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531</v>
      </c>
      <c r="Q3" s="2">
        <v>531</v>
      </c>
      <c r="R3" s="2">
        <v>555</v>
      </c>
      <c r="S3" s="2">
        <v>579</v>
      </c>
      <c r="T3" s="2">
        <v>602</v>
      </c>
      <c r="U3" s="2">
        <v>626</v>
      </c>
      <c r="V3" s="2">
        <v>650</v>
      </c>
      <c r="W3" s="2">
        <v>650</v>
      </c>
      <c r="X3" s="2">
        <v>542</v>
      </c>
      <c r="Y3" s="2">
        <f ca="1">IFERROR(__xludf.DUMMYFUNCTION("INDEX(IMPORTRANGE(""1y0FWgjbB0gVlqn-q5LMJbGIsqOrzru4yowQz67dz2yc"", ""'ESC'!BG3:BG139""),MATCH($D3,IMPORTRANGE(""1y0FWgjbB0gVlqn-q5LMJbGIsqOrzru4yowQz67dz2yc"", ""'ESC'!D3:D139""),0))"),534)</f>
        <v>534</v>
      </c>
      <c r="Z3" s="2">
        <f ca="1">IFERROR(__xludf.DUMMYFUNCTION("INDEX(IMPORTRANGE(""1y0FWgjbB0gVlqn-q5LMJbGIsqOrzru4yowQz67dz2yc"", ""'ESC'!BH3:BH139""),MATCH($D3,IMPORTRANGE(""1y0FWgjbB0gVlqn-q5LMJbGIsqOrzru4yowQz67dz2yc"", ""'ESC'!D3:D139""),0))"),540)</f>
        <v>540</v>
      </c>
      <c r="AA3" s="2">
        <f ca="1">IFERROR(__xludf.DUMMYFUNCTION("INDEX(IMPORTRANGE(""1y0FWgjbB0gVlqn-q5LMJbGIsqOrzru4yowQz67dz2yc"", ""'ESC'!BI3:BI139""),MATCH($D3,IMPORTRANGE(""1y0FWgjbB0gVlqn-q5LMJbGIsqOrzru4yowQz67dz2yc"", ""'ESC'!D3:D139""),0))"),583)</f>
        <v>583</v>
      </c>
      <c r="AB3" s="1"/>
      <c r="AC3" s="1"/>
      <c r="AD3" s="1"/>
    </row>
    <row r="4" spans="1:30">
      <c r="A4" s="7" t="s">
        <v>34</v>
      </c>
      <c r="B4" s="7" t="s">
        <v>40</v>
      </c>
      <c r="C4" s="1" t="s">
        <v>30</v>
      </c>
      <c r="D4" s="1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473</v>
      </c>
      <c r="Q4" s="2">
        <v>473</v>
      </c>
      <c r="R4" s="4"/>
      <c r="S4" s="4"/>
      <c r="T4" s="4"/>
      <c r="U4" s="4"/>
      <c r="V4" s="4"/>
      <c r="W4" s="4"/>
      <c r="X4" s="2">
        <v>512</v>
      </c>
      <c r="Y4" s="2">
        <f ca="1">IFERROR(__xludf.DUMMYFUNCTION("INDEX(IMPORTRANGE(""1y0FWgjbB0gVlqn-q5LMJbGIsqOrzru4yowQz67dz2yc"", ""'ESC'!BG3:BG139""),MATCH($D4,IMPORTRANGE(""1y0FWgjbB0gVlqn-q5LMJbGIsqOrzru4yowQz67dz2yc"", ""'ESC'!D3:D139""),0))"),496)</f>
        <v>496</v>
      </c>
      <c r="Z4" s="2">
        <f ca="1">IFERROR(__xludf.DUMMYFUNCTION("INDEX(IMPORTRANGE(""1y0FWgjbB0gVlqn-q5LMJbGIsqOrzru4yowQz67dz2yc"", ""'ESC'!BH3:BH139""),MATCH($D4,IMPORTRANGE(""1y0FWgjbB0gVlqn-q5LMJbGIsqOrzru4yowQz67dz2yc"", ""'ESC'!D3:D139""),0))"),504)</f>
        <v>504</v>
      </c>
      <c r="AA4" s="2">
        <f ca="1">IFERROR(__xludf.DUMMYFUNCTION("INDEX(IMPORTRANGE(""1y0FWgjbB0gVlqn-q5LMJbGIsqOrzru4yowQz67dz2yc"", ""'ESC'!BI3:BI139""),MATCH($D4,IMPORTRANGE(""1y0FWgjbB0gVlqn-q5LMJbGIsqOrzru4yowQz67dz2yc"", ""'ESC'!D3:D139""),0))"),544)</f>
        <v>544</v>
      </c>
      <c r="AB4" s="1"/>
      <c r="AC4" s="1"/>
      <c r="AD4" s="1"/>
    </row>
    <row r="5" spans="1:30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0.89077212806026362</v>
      </c>
      <c r="Q5" s="15">
        <f t="shared" si="0"/>
        <v>0.89077212806026362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0.94464944649446492</v>
      </c>
      <c r="Y5" s="15">
        <f ca="1">IFERROR(__xludf.DUMMYFUNCTION("INDEX(IMPORTRANGE(""1y0FWgjbB0gVlqn-q5LMJbGIsqOrzru4yowQz67dz2yc"", ""'ESC'!BG3:BG139""),MATCH($D5,IMPORTRANGE(""1y0FWgjbB0gVlqn-q5LMJbGIsqOrzru4yowQz67dz2yc"", ""'ESC'!D3:D139""),0))"),0.928838951310861)</f>
        <v>0.92883895131086103</v>
      </c>
      <c r="Z5" s="15">
        <f ca="1">IFERROR(__xludf.DUMMYFUNCTION("INDEX(IMPORTRANGE(""1y0FWgjbB0gVlqn-q5LMJbGIsqOrzru4yowQz67dz2yc"", ""'ESC'!BH3:BH139""),MATCH($D5,IMPORTRANGE(""1y0FWgjbB0gVlqn-q5LMJbGIsqOrzru4yowQz67dz2yc"", ""'ESC'!D3:D139""),0))"),0.933333333333333)</f>
        <v>0.93333333333333302</v>
      </c>
      <c r="AA5" s="15">
        <f ca="1">IFERROR(__xludf.DUMMYFUNCTION("INDEX(IMPORTRANGE(""1y0FWgjbB0gVlqn-q5LMJbGIsqOrzru4yowQz67dz2yc"", ""'ESC'!BI3:BI139""),MATCH($D5,IMPORTRANGE(""1y0FWgjbB0gVlqn-q5LMJbGIsqOrzru4yowQz67dz2yc"", ""'ESC'!D3:D139""),0))"),0.933104631217838)</f>
        <v>0.93310463121783804</v>
      </c>
      <c r="AB5" s="1"/>
      <c r="AC5" s="1"/>
      <c r="AD5" s="1"/>
    </row>
    <row r="6" spans="1:30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14"/>
      <c r="X6" s="2"/>
      <c r="Y6" s="2">
        <f ca="1">IFERROR(__xludf.DUMMYFUNCTION("INDEX(IMPORTRANGE(""1y0FWgjbB0gVlqn-q5LMJbGIsqOrzru4yowQz67dz2yc"", ""'ESC'!BG3:BG139""),MATCH($D6,IMPORTRANGE(""1y0FWgjbB0gVlqn-q5LMJbGIsqOrzru4yowQz67dz2yc"", ""'ESC'!D3:D139""),0))"),8)</f>
        <v>8</v>
      </c>
      <c r="Z6" s="2">
        <f ca="1">IFERROR(__xludf.DUMMYFUNCTION("INDEX(IMPORTRANGE(""1y0FWgjbB0gVlqn-q5LMJbGIsqOrzru4yowQz67dz2yc"", ""'ESC'!BH3:BH139""),MATCH($D6,IMPORTRANGE(""1y0FWgjbB0gVlqn-q5LMJbGIsqOrzru4yowQz67dz2yc"", ""'ESC'!D3:D139""),0))"),0)</f>
        <v>0</v>
      </c>
      <c r="AA6" s="2">
        <f ca="1">IFERROR(__xludf.DUMMYFUNCTION("INDEX(IMPORTRANGE(""1y0FWgjbB0gVlqn-q5LMJbGIsqOrzru4yowQz67dz2yc"", ""'ESC'!BI3:BI139""),MATCH($D6,IMPORTRANGE(""1y0FWgjbB0gVlqn-q5LMJbGIsqOrzru4yowQz67dz2yc"", ""'ESC'!D3:D139""),0))"),38)</f>
        <v>38</v>
      </c>
      <c r="AB6" s="1"/>
      <c r="AC6" s="1"/>
      <c r="AD6" s="1"/>
    </row>
    <row r="7" spans="1:30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5"/>
      <c r="Q7" s="15"/>
      <c r="R7" s="2"/>
      <c r="S7" s="2">
        <f>7%/5</f>
        <v>1.4000000000000002E-2</v>
      </c>
      <c r="T7" s="2"/>
      <c r="U7" s="2"/>
      <c r="V7" s="2"/>
      <c r="W7" s="14">
        <v>7.0000000000000007E-2</v>
      </c>
      <c r="X7" s="15"/>
      <c r="Y7" s="250" t="str">
        <f ca="1">IFERROR(__xludf.DUMMYFUNCTION("INDEX(IMPORTRANGE(""1y0FWgjbB0gVlqn-q5LMJbGIsqOrzru4yowQz67dz2yc"", ""'ESC'!BG3:BG139""),MATCH($D7,IMPORTRANGE(""1y0FWgjbB0gVlqn-q5LMJbGIsqOrzru4yowQz67dz2yc"", ""'ESC'!D3:D139""),0))"),"")</f>
        <v/>
      </c>
      <c r="Z7" s="2">
        <f ca="1">IFERROR(__xludf.DUMMYFUNCTION("INDEX(IMPORTRANGE(""1y0FWgjbB0gVlqn-q5LMJbGIsqOrzru4yowQz67dz2yc"", ""'ESC'!BH3:BH139""),MATCH($D7,IMPORTRANGE(""1y0FWgjbB0gVlqn-q5LMJbGIsqOrzru4yowQz67dz2yc"", ""'ESC'!D3:D139""),0))"),0)</f>
        <v>0</v>
      </c>
      <c r="AA7" s="2">
        <f ca="1">IFERROR(__xludf.DUMMYFUNCTION("INDEX(IMPORTRANGE(""1y0FWgjbB0gVlqn-q5LMJbGIsqOrzru4yowQz67dz2yc"", ""'ESC'!BI3:BI139""),MATCH($D7,IMPORTRANGE(""1y0FWgjbB0gVlqn-q5LMJbGIsqOrzru4yowQz67dz2yc"", ""'ESC'!D3:D139""),0))"),0)</f>
        <v>0</v>
      </c>
      <c r="AB7" s="1"/>
      <c r="AC7" s="1"/>
      <c r="AD7" s="1"/>
    </row>
    <row r="8" spans="1:30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P6/P2</f>
        <v>0</v>
      </c>
      <c r="Q8" s="15">
        <f t="shared" si="1"/>
        <v>0</v>
      </c>
      <c r="R8" s="14">
        <v>0.02</v>
      </c>
      <c r="S8" s="14">
        <v>0.04</v>
      </c>
      <c r="T8" s="14">
        <v>0.06</v>
      </c>
      <c r="U8" s="14">
        <v>0.08</v>
      </c>
      <c r="V8" s="14">
        <v>0.1</v>
      </c>
      <c r="W8" s="14">
        <v>0.1</v>
      </c>
      <c r="X8" s="15">
        <f>X6/X2</f>
        <v>0</v>
      </c>
      <c r="Y8" s="15">
        <f ca="1">IFERROR(__xludf.DUMMYFUNCTION("INDEX(IMPORTRANGE(""1y0FWgjbB0gVlqn-q5LMJbGIsqOrzru4yowQz67dz2yc"", ""'ESC'!BG3:BG139""),MATCH($D8,IMPORTRANGE(""1y0FWgjbB0gVlqn-q5LMJbGIsqOrzru4yowQz67dz2yc"", ""'ESC'!D3:D139""),0))"),0.0149812734082397)</f>
        <v>1.4981273408239701E-2</v>
      </c>
      <c r="Z8" s="15">
        <f ca="1">IFERROR(__xludf.DUMMYFUNCTION("INDEX(IMPORTRANGE(""1y0FWgjbB0gVlqn-q5LMJbGIsqOrzru4yowQz67dz2yc"", ""'ESC'!BH3:BH139""),MATCH($D8,IMPORTRANGE(""1y0FWgjbB0gVlqn-q5LMJbGIsqOrzru4yowQz67dz2yc"", ""'ESC'!D3:D139""),0))"),0)</f>
        <v>0</v>
      </c>
      <c r="AA8" s="15">
        <f ca="1">IFERROR(__xludf.DUMMYFUNCTION("INDEX(IMPORTRANGE(""1y0FWgjbB0gVlqn-q5LMJbGIsqOrzru4yowQz67dz2yc"", ""'ESC'!BI3:BI139""),MATCH($D8,IMPORTRANGE(""1y0FWgjbB0gVlqn-q5LMJbGIsqOrzru4yowQz67dz2yc"", ""'ESC'!D3:D139""),0))"),0.0651801029159519)</f>
        <v>6.5180102915951901E-2</v>
      </c>
      <c r="AB8" s="1"/>
      <c r="AC8" s="1"/>
      <c r="AD8" s="1"/>
    </row>
    <row r="9" spans="1:30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">
        <v>0</v>
      </c>
      <c r="Q9" s="2">
        <v>0</v>
      </c>
      <c r="R9" s="4"/>
      <c r="S9" s="4"/>
      <c r="T9" s="4"/>
      <c r="U9" s="4"/>
      <c r="V9" s="4"/>
      <c r="W9" s="4"/>
      <c r="X9" s="2">
        <v>1</v>
      </c>
      <c r="Y9" s="2">
        <f ca="1">IFERROR(__xludf.DUMMYFUNCTION("INDEX(IMPORTRANGE(""1y0FWgjbB0gVlqn-q5LMJbGIsqOrzru4yowQz67dz2yc"", ""'ESC'!BG3:BG139""),MATCH($D9,IMPORTRANGE(""1y0FWgjbB0gVlqn-q5LMJbGIsqOrzru4yowQz67dz2yc"", ""'ESC'!D3:D139""),0))"),165)</f>
        <v>165</v>
      </c>
      <c r="Z9" s="2">
        <f ca="1">IFERROR(__xludf.DUMMYFUNCTION("INDEX(IMPORTRANGE(""1y0FWgjbB0gVlqn-q5LMJbGIsqOrzru4yowQz67dz2yc"", ""'ESC'!BH3:BH139""),MATCH($D9,IMPORTRANGE(""1y0FWgjbB0gVlqn-q5LMJbGIsqOrzru4yowQz67dz2yc"", ""'ESC'!D3:D139""),0))"),115)</f>
        <v>115</v>
      </c>
      <c r="AA9" s="2">
        <f ca="1">IFERROR(__xludf.DUMMYFUNCTION("INDEX(IMPORTRANGE(""1y0FWgjbB0gVlqn-q5LMJbGIsqOrzru4yowQz67dz2yc"", ""'ESC'!BI3:BI139""),MATCH($D9,IMPORTRANGE(""1y0FWgjbB0gVlqn-q5LMJbGIsqOrzru4yowQz67dz2yc"", ""'ESC'!D3:D139""),0))"),430)</f>
        <v>430</v>
      </c>
      <c r="AB9" s="1"/>
      <c r="AC9" s="1"/>
      <c r="AD9" s="1"/>
    </row>
    <row r="10" spans="1:30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2117</v>
      </c>
      <c r="Q10" s="12">
        <v>4034</v>
      </c>
      <c r="R10" s="4"/>
      <c r="S10" s="4"/>
      <c r="T10" s="4"/>
      <c r="U10" s="4"/>
      <c r="V10" s="4"/>
      <c r="W10" s="4"/>
      <c r="X10" s="12">
        <v>1931</v>
      </c>
      <c r="Y10" s="2">
        <f ca="1">IFERROR(__xludf.DUMMYFUNCTION("INDEX(IMPORTRANGE(""1y0FWgjbB0gVlqn-q5LMJbGIsqOrzru4yowQz67dz2yc"", ""'ESC'!BG3:BG139""),MATCH($D10,IMPORTRANGE(""1y0FWgjbB0gVlqn-q5LMJbGIsqOrzru4yowQz67dz2yc"", ""'ESC'!D3:D139""),0))"),4251)</f>
        <v>4251</v>
      </c>
      <c r="Z10" s="2">
        <f ca="1">IFERROR(__xludf.DUMMYFUNCTION("INDEX(IMPORTRANGE(""1y0FWgjbB0gVlqn-q5LMJbGIsqOrzru4yowQz67dz2yc"", ""'ESC'!BH3:BH139""),MATCH($D10,IMPORTRANGE(""1y0FWgjbB0gVlqn-q5LMJbGIsqOrzru4yowQz67dz2yc"", ""'ESC'!D3:D139""),0))"),1820)</f>
        <v>1820</v>
      </c>
      <c r="AA10" s="2">
        <f ca="1">IFERROR(__xludf.DUMMYFUNCTION("INDEX(IMPORTRANGE(""1y0FWgjbB0gVlqn-q5LMJbGIsqOrzru4yowQz67dz2yc"", ""'ESC'!BI3:BI139""),MATCH($D10,IMPORTRANGE(""1y0FWgjbB0gVlqn-q5LMJbGIsqOrzru4yowQz67dz2yc"", ""'ESC'!D3:D139""),0))"),5335)</f>
        <v>5335</v>
      </c>
      <c r="AB10" s="1"/>
      <c r="AC10" s="1"/>
      <c r="AD10" s="1"/>
    </row>
    <row r="11" spans="1:30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4">
        <v>0.03</v>
      </c>
      <c r="S11" s="14">
        <v>0.06</v>
      </c>
      <c r="T11" s="14">
        <v>0.09</v>
      </c>
      <c r="U11" s="14">
        <v>0.12</v>
      </c>
      <c r="V11" s="14">
        <v>0.15</v>
      </c>
      <c r="W11" s="14">
        <v>0.15</v>
      </c>
      <c r="X11" s="15">
        <f>X9/X10</f>
        <v>5.1786639047125837E-4</v>
      </c>
      <c r="Y11" s="15">
        <f ca="1">IFERROR(__xludf.DUMMYFUNCTION("INDEX(IMPORTRANGE(""1y0FWgjbB0gVlqn-q5LMJbGIsqOrzru4yowQz67dz2yc"", ""'ESC'!BG3:BG139""),MATCH($D11,IMPORTRANGE(""1y0FWgjbB0gVlqn-q5LMJbGIsqOrzru4yowQz67dz2yc"", ""'ESC'!D3:D139""),0))"),0.0388143966125617)</f>
        <v>3.8814396612561697E-2</v>
      </c>
      <c r="Z11" s="15">
        <f ca="1">IFERROR(__xludf.DUMMYFUNCTION("INDEX(IMPORTRANGE(""1y0FWgjbB0gVlqn-q5LMJbGIsqOrzru4yowQz67dz2yc"", ""'ESC'!BH3:BH139""),MATCH($D11,IMPORTRANGE(""1y0FWgjbB0gVlqn-q5LMJbGIsqOrzru4yowQz67dz2yc"", ""'ESC'!D3:D139""),0))"),0.0631868131868131)</f>
        <v>6.3186813186813101E-2</v>
      </c>
      <c r="AA11" s="15">
        <f ca="1">IFERROR(__xludf.DUMMYFUNCTION("INDEX(IMPORTRANGE(""1y0FWgjbB0gVlqn-q5LMJbGIsqOrzru4yowQz67dz2yc"", ""'ESC'!BI3:BI139""),MATCH($D11,IMPORTRANGE(""1y0FWgjbB0gVlqn-q5LMJbGIsqOrzru4yowQz67dz2yc"", ""'ESC'!D3:D139""),0))"),0.0805998125585754)</f>
        <v>8.0599812558575401E-2</v>
      </c>
      <c r="AB11" s="1"/>
      <c r="AC11" s="1"/>
      <c r="AD11" s="1"/>
    </row>
    <row r="12" spans="1:30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34</v>
      </c>
      <c r="Q12" s="12">
        <v>81</v>
      </c>
      <c r="R12" s="4"/>
      <c r="S12" s="4"/>
      <c r="T12" s="4"/>
      <c r="U12" s="4"/>
      <c r="V12" s="4"/>
      <c r="W12" s="4"/>
      <c r="X12" s="12">
        <v>47</v>
      </c>
      <c r="Y12" s="2">
        <f ca="1">IFERROR(__xludf.DUMMYFUNCTION("INDEX(IMPORTRANGE(""1y0FWgjbB0gVlqn-q5LMJbGIsqOrzru4yowQz67dz2yc"", ""'ESC'!BG3:BG139""),MATCH($D12,IMPORTRANGE(""1y0FWgjbB0gVlqn-q5LMJbGIsqOrzru4yowQz67dz2yc"", ""'ESC'!D3:D139""),0))"),109)</f>
        <v>109</v>
      </c>
      <c r="Z12" s="2">
        <f ca="1">IFERROR(__xludf.DUMMYFUNCTION("INDEX(IMPORTRANGE(""1y0FWgjbB0gVlqn-q5LMJbGIsqOrzru4yowQz67dz2yc"", ""'ESC'!BH3:BH139""),MATCH($D12,IMPORTRANGE(""1y0FWgjbB0gVlqn-q5LMJbGIsqOrzru4yowQz67dz2yc"", ""'ESC'!D3:D139""),0))"),50)</f>
        <v>50</v>
      </c>
      <c r="AA12" s="2">
        <f ca="1">IFERROR(__xludf.DUMMYFUNCTION("INDEX(IMPORTRANGE(""1y0FWgjbB0gVlqn-q5LMJbGIsqOrzru4yowQz67dz2yc"", ""'ESC'!BI3:BI139""),MATCH($D12,IMPORTRANGE(""1y0FWgjbB0gVlqn-q5LMJbGIsqOrzru4yowQz67dz2yc"", ""'ESC'!D3:D139""),0))"),83)</f>
        <v>83</v>
      </c>
      <c r="AB12" s="1"/>
      <c r="AC12" s="1"/>
      <c r="AD12" s="1"/>
    </row>
    <row r="13" spans="1:30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7.1900912084217108</v>
      </c>
      <c r="Q13" s="23">
        <f t="shared" si="3"/>
        <v>17.129334937710546</v>
      </c>
      <c r="R13" s="2">
        <v>14.1</v>
      </c>
      <c r="S13" s="2">
        <v>4.9000000000000004</v>
      </c>
      <c r="T13" s="2">
        <v>11.6</v>
      </c>
      <c r="U13" s="2">
        <v>3.4</v>
      </c>
      <c r="V13" s="2">
        <v>8</v>
      </c>
      <c r="W13" s="2">
        <v>8</v>
      </c>
      <c r="X13" s="23">
        <f>(X12/X$2)*100000</f>
        <v>9.818011664633433</v>
      </c>
      <c r="Y13" s="23">
        <f ca="1">IFERROR(__xludf.DUMMYFUNCTION("INDEX(IMPORTRANGE(""1y0FWgjbB0gVlqn-q5LMJbGIsqOrzru4yowQz67dz2yc"", ""'ESC'!BG3:BG139""),MATCH($D13,IMPORTRANGE(""1y0FWgjbB0gVlqn-q5LMJbGIsqOrzru4yowQz67dz2yc"", ""'ESC'!D3:D139""),0))"),22.7694313073413)</f>
        <v>22.7694313073413</v>
      </c>
      <c r="Z13" s="23">
        <f ca="1">IFERROR(__xludf.DUMMYFUNCTION("INDEX(IMPORTRANGE(""1y0FWgjbB0gVlqn-q5LMJbGIsqOrzru4yowQz67dz2yc"", ""'ESC'!BH3:BH139""),MATCH($D13,IMPORTRANGE(""1y0FWgjbB0gVlqn-q5LMJbGIsqOrzru4yowQz67dz2yc"", ""'ESC'!D3:D139""),0))"),10.3345073333664)</f>
        <v>10.3345073333664</v>
      </c>
      <c r="AA13" s="23">
        <f ca="1">IFERROR(__xludf.DUMMYFUNCTION("INDEX(IMPORTRANGE(""1y0FWgjbB0gVlqn-q5LMJbGIsqOrzru4yowQz67dz2yc"", ""'ESC'!BI3:BI139""),MATCH($D13,IMPORTRANGE(""1y0FWgjbB0gVlqn-q5LMJbGIsqOrzru4yowQz67dz2yc"", ""'ESC'!D3:D139""),0))"),17.1552821733882)</f>
        <v>17.155282173388201</v>
      </c>
      <c r="AB13" s="1"/>
      <c r="AC13" s="1"/>
      <c r="AD13" s="1"/>
    </row>
    <row r="14" spans="1:30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231</v>
      </c>
      <c r="Q14" s="12">
        <v>407</v>
      </c>
      <c r="R14" s="4"/>
      <c r="S14" s="4"/>
      <c r="T14" s="4"/>
      <c r="U14" s="4"/>
      <c r="V14" s="4"/>
      <c r="W14" s="4"/>
      <c r="X14" s="12">
        <v>258</v>
      </c>
      <c r="Y14" s="2">
        <f ca="1">IFERROR(__xludf.DUMMYFUNCTION("INDEX(IMPORTRANGE(""1y0FWgjbB0gVlqn-q5LMJbGIsqOrzru4yowQz67dz2yc"", ""'ESC'!BG3:BG139""),MATCH($D14,IMPORTRANGE(""1y0FWgjbB0gVlqn-q5LMJbGIsqOrzru4yowQz67dz2yc"", ""'ESC'!D3:D139""),0))"),480)</f>
        <v>480</v>
      </c>
      <c r="Z14" s="2">
        <f ca="1">IFERROR(__xludf.DUMMYFUNCTION("INDEX(IMPORTRANGE(""1y0FWgjbB0gVlqn-q5LMJbGIsqOrzru4yowQz67dz2yc"", ""'ESC'!BH3:BH139""),MATCH($D14,IMPORTRANGE(""1y0FWgjbB0gVlqn-q5LMJbGIsqOrzru4yowQz67dz2yc"", ""'ESC'!D3:D139""),0))"),219)</f>
        <v>219</v>
      </c>
      <c r="AA14" s="2">
        <f ca="1">IFERROR(__xludf.DUMMYFUNCTION("INDEX(IMPORTRANGE(""1y0FWgjbB0gVlqn-q5LMJbGIsqOrzru4yowQz67dz2yc"", ""'ESC'!BI3:BI139""),MATCH($D14,IMPORTRANGE(""1y0FWgjbB0gVlqn-q5LMJbGIsqOrzru4yowQz67dz2yc"", ""'ESC'!D3:D139""),0))"),445)</f>
        <v>445</v>
      </c>
      <c r="AB14" s="1"/>
      <c r="AC14" s="1"/>
      <c r="AD14" s="1"/>
    </row>
    <row r="15" spans="1:30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282</v>
      </c>
      <c r="Q15" s="12">
        <v>618</v>
      </c>
      <c r="R15" s="4"/>
      <c r="S15" s="4"/>
      <c r="T15" s="4"/>
      <c r="U15" s="4"/>
      <c r="V15" s="4"/>
      <c r="W15" s="4"/>
      <c r="X15" s="12">
        <v>420</v>
      </c>
      <c r="Y15" s="2">
        <f ca="1">IFERROR(__xludf.DUMMYFUNCTION("INDEX(IMPORTRANGE(""1y0FWgjbB0gVlqn-q5LMJbGIsqOrzru4yowQz67dz2yc"", ""'ESC'!BG3:BG139""),MATCH($D15,IMPORTRANGE(""1y0FWgjbB0gVlqn-q5LMJbGIsqOrzru4yowQz67dz2yc"", ""'ESC'!D3:D139""),0))"),818)</f>
        <v>818</v>
      </c>
      <c r="Z15" s="2">
        <f ca="1">IFERROR(__xludf.DUMMYFUNCTION("INDEX(IMPORTRANGE(""1y0FWgjbB0gVlqn-q5LMJbGIsqOrzru4yowQz67dz2yc"", ""'ESC'!BH3:BH139""),MATCH($D15,IMPORTRANGE(""1y0FWgjbB0gVlqn-q5LMJbGIsqOrzru4yowQz67dz2yc"", ""'ESC'!D3:D139""),0))"),323)</f>
        <v>323</v>
      </c>
      <c r="AA15" s="2">
        <f ca="1">IFERROR(__xludf.DUMMYFUNCTION("INDEX(IMPORTRANGE(""1y0FWgjbB0gVlqn-q5LMJbGIsqOrzru4yowQz67dz2yc"", ""'ESC'!BI3:BI139""),MATCH($D15,IMPORTRANGE(""1y0FWgjbB0gVlqn-q5LMJbGIsqOrzru4yowQz67dz2yc"", ""'ESC'!D3:D139""),0))"),687)</f>
        <v>687</v>
      </c>
      <c r="AB15" s="1"/>
      <c r="AC15" s="1"/>
      <c r="AD15" s="1"/>
    </row>
    <row r="16" spans="1:30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126</v>
      </c>
      <c r="Q16" s="12">
        <v>279</v>
      </c>
      <c r="R16" s="4"/>
      <c r="S16" s="4"/>
      <c r="T16" s="4"/>
      <c r="U16" s="4"/>
      <c r="V16" s="4"/>
      <c r="W16" s="4"/>
      <c r="X16" s="12">
        <v>174</v>
      </c>
      <c r="Y16" s="2">
        <f ca="1">IFERROR(__xludf.DUMMYFUNCTION("INDEX(IMPORTRANGE(""1y0FWgjbB0gVlqn-q5LMJbGIsqOrzru4yowQz67dz2yc"", ""'ESC'!BG3:BG139""),MATCH($D16,IMPORTRANGE(""1y0FWgjbB0gVlqn-q5LMJbGIsqOrzru4yowQz67dz2yc"", ""'ESC'!D3:D139""),0))"),336)</f>
        <v>336</v>
      </c>
      <c r="Z16" s="2">
        <f ca="1">IFERROR(__xludf.DUMMYFUNCTION("INDEX(IMPORTRANGE(""1y0FWgjbB0gVlqn-q5LMJbGIsqOrzru4yowQz67dz2yc"", ""'ESC'!BH3:BH139""),MATCH($D16,IMPORTRANGE(""1y0FWgjbB0gVlqn-q5LMJbGIsqOrzru4yowQz67dz2yc"", ""'ESC'!D3:D139""),0))"),235)</f>
        <v>235</v>
      </c>
      <c r="AA16" s="2">
        <f ca="1">IFERROR(__xludf.DUMMYFUNCTION("INDEX(IMPORTRANGE(""1y0FWgjbB0gVlqn-q5LMJbGIsqOrzru4yowQz67dz2yc"", ""'ESC'!BI3:BI139""),MATCH($D16,IMPORTRANGE(""1y0FWgjbB0gVlqn-q5LMJbGIsqOrzru4yowQz67dz2yc"", ""'ESC'!D3:D139""),0))"),400)</f>
        <v>400</v>
      </c>
      <c r="AB16" s="1"/>
      <c r="AC16" s="1"/>
      <c r="AD16" s="1"/>
    </row>
    <row r="17" spans="1:30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131</v>
      </c>
      <c r="R17" s="4"/>
      <c r="S17" s="4"/>
      <c r="T17" s="4"/>
      <c r="U17" s="4"/>
      <c r="V17" s="4"/>
      <c r="W17" s="4"/>
      <c r="X17" s="12">
        <v>108</v>
      </c>
      <c r="Y17" s="2">
        <f ca="1">IFERROR(__xludf.DUMMYFUNCTION("INDEX(IMPORTRANGE(""1y0FWgjbB0gVlqn-q5LMJbGIsqOrzru4yowQz67dz2yc"", ""'ESC'!BG3:BG139""),MATCH($D17,IMPORTRANGE(""1y0FWgjbB0gVlqn-q5LMJbGIsqOrzru4yowQz67dz2yc"", ""'ESC'!D3:D139""),0))"),177)</f>
        <v>177</v>
      </c>
      <c r="Z17" s="2">
        <f ca="1">IFERROR(__xludf.DUMMYFUNCTION("INDEX(IMPORTRANGE(""1y0FWgjbB0gVlqn-q5LMJbGIsqOrzru4yowQz67dz2yc"", ""'ESC'!BH3:BH139""),MATCH($D17,IMPORTRANGE(""1y0FWgjbB0gVlqn-q5LMJbGIsqOrzru4yowQz67dz2yc"", ""'ESC'!D3:D139""),0))"),73)</f>
        <v>73</v>
      </c>
      <c r="AA17" s="2">
        <f ca="1">IFERROR(__xludf.DUMMYFUNCTION("INDEX(IMPORTRANGE(""1y0FWgjbB0gVlqn-q5LMJbGIsqOrzru4yowQz67dz2yc"", ""'ESC'!BI3:BI139""),MATCH($D17,IMPORTRANGE(""1y0FWgjbB0gVlqn-q5LMJbGIsqOrzru4yowQz67dz2yc"", ""'ESC'!D3:D139""),0))"),165)</f>
        <v>165</v>
      </c>
      <c r="AB17" s="1"/>
      <c r="AC17" s="1"/>
      <c r="AD17" s="1"/>
    </row>
    <row r="18" spans="1:30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707</v>
      </c>
      <c r="Q18" s="262">
        <f t="shared" si="4"/>
        <v>1435</v>
      </c>
      <c r="R18" s="158"/>
      <c r="S18" s="158"/>
      <c r="T18" s="158"/>
      <c r="U18" s="158"/>
      <c r="V18" s="158"/>
      <c r="W18" s="158"/>
      <c r="X18" s="262">
        <f>SUM(X14:X17)</f>
        <v>960</v>
      </c>
      <c r="Y18" s="2">
        <f ca="1">IFERROR(__xludf.DUMMYFUNCTION("INDEX(IMPORTRANGE(""1y0FWgjbB0gVlqn-q5LMJbGIsqOrzru4yowQz67dz2yc"", ""'ESC'!BG3:BG139""),MATCH($D18,IMPORTRANGE(""1y0FWgjbB0gVlqn-q5LMJbGIsqOrzru4yowQz67dz2yc"", ""'ESC'!D3:D139""),0))"),1811)</f>
        <v>1811</v>
      </c>
      <c r="Z18" s="2">
        <f ca="1">IFERROR(__xludf.DUMMYFUNCTION("INDEX(IMPORTRANGE(""1y0FWgjbB0gVlqn-q5LMJbGIsqOrzru4yowQz67dz2yc"", ""'ESC'!BH3:BH139""),MATCH($D18,IMPORTRANGE(""1y0FWgjbB0gVlqn-q5LMJbGIsqOrzru4yowQz67dz2yc"", ""'ESC'!D3:D139""),0))"),850)</f>
        <v>850</v>
      </c>
      <c r="AA18" s="2">
        <f ca="1">IFERROR(__xludf.DUMMYFUNCTION("INDEX(IMPORTRANGE(""1y0FWgjbB0gVlqn-q5LMJbGIsqOrzru4yowQz67dz2yc"", ""'ESC'!BI3:BI139""),MATCH($D18,IMPORTRANGE(""1y0FWgjbB0gVlqn-q5LMJbGIsqOrzru4yowQz67dz2yc"", ""'ESC'!D3:D139""),0))"),1697)</f>
        <v>1697</v>
      </c>
      <c r="AB18" s="295"/>
      <c r="AC18" s="295"/>
      <c r="AD18" s="296"/>
    </row>
    <row r="19" spans="1:30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5">(SUM(P14:P17)/P2)*100000</f>
        <v>149.51160248100442</v>
      </c>
      <c r="Q19" s="23">
        <f t="shared" si="5"/>
        <v>303.46414364956343</v>
      </c>
      <c r="R19" s="2">
        <v>261.60000000000002</v>
      </c>
      <c r="S19" s="2">
        <v>111.1</v>
      </c>
      <c r="T19" s="2">
        <v>225.6</v>
      </c>
      <c r="U19" s="2">
        <v>87.7</v>
      </c>
      <c r="V19" s="2">
        <v>178</v>
      </c>
      <c r="W19" s="2">
        <v>178</v>
      </c>
      <c r="X19" s="23">
        <f>(SUM(X14:X17)/X2)*100000</f>
        <v>200.53811059676801</v>
      </c>
      <c r="Y19" s="23">
        <f ca="1">IFERROR(__xludf.DUMMYFUNCTION("INDEX(IMPORTRANGE(""1y0FWgjbB0gVlqn-q5LMJbGIsqOrzru4yowQz67dz2yc"", ""'ESC'!BG3:BG139""),MATCH($D19,IMPORTRANGE(""1y0FWgjbB0gVlqn-q5LMJbGIsqOrzru4yowQz67dz2yc"", ""'ESC'!D3:D139""),0))"),378.306789886194)</f>
        <v>378.306789886194</v>
      </c>
      <c r="Z19" s="23">
        <f ca="1">IFERROR(__xludf.DUMMYFUNCTION("INDEX(IMPORTRANGE(""1y0FWgjbB0gVlqn-q5LMJbGIsqOrzru4yowQz67dz2yc"", ""'ESC'!BH3:BH139""),MATCH($D19,IMPORTRANGE(""1y0FWgjbB0gVlqn-q5LMJbGIsqOrzru4yowQz67dz2yc"", ""'ESC'!D3:D139""),0))"),175.686624667228)</f>
        <v>175.68662466722799</v>
      </c>
      <c r="AA19" s="23">
        <f ca="1">IFERROR(__xludf.DUMMYFUNCTION("INDEX(IMPORTRANGE(""1y0FWgjbB0gVlqn-q5LMJbGIsqOrzru4yowQz67dz2yc"", ""'ESC'!BI3:BI139""),MATCH($D19,IMPORTRANGE(""1y0FWgjbB0gVlqn-q5LMJbGIsqOrzru4yowQz67dz2yc"", ""'ESC'!D3:D139""),0))"),350.753178894455)</f>
        <v>350.753178894455</v>
      </c>
      <c r="AB19" s="1"/>
      <c r="AC19" s="1"/>
      <c r="AD19" s="1"/>
    </row>
    <row r="20" spans="1:30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1654</v>
      </c>
      <c r="Q20" s="12">
        <v>3920</v>
      </c>
      <c r="R20" s="4"/>
      <c r="S20" s="4"/>
      <c r="T20" s="4"/>
      <c r="U20" s="4"/>
      <c r="V20" s="4"/>
      <c r="W20" s="4"/>
      <c r="X20" s="12">
        <v>2141</v>
      </c>
      <c r="Y20" s="2">
        <f ca="1">IFERROR(__xludf.DUMMYFUNCTION("INDEX(IMPORTRANGE(""1y0FWgjbB0gVlqn-q5LMJbGIsqOrzru4yowQz67dz2yc"", ""'ESC'!BG3:BG139""),MATCH($D20,IMPORTRANGE(""1y0FWgjbB0gVlqn-q5LMJbGIsqOrzru4yowQz67dz2yc"", ""'ESC'!D3:D139""),0))"),4915)</f>
        <v>4915</v>
      </c>
      <c r="Z20" s="2">
        <f ca="1">IFERROR(__xludf.DUMMYFUNCTION("INDEX(IMPORTRANGE(""1y0FWgjbB0gVlqn-q5LMJbGIsqOrzru4yowQz67dz2yc"", ""'ESC'!BH3:BH139""),MATCH($D20,IMPORTRANGE(""1y0FWgjbB0gVlqn-q5LMJbGIsqOrzru4yowQz67dz2yc"", ""'ESC'!D3:D139""),0))"),2327)</f>
        <v>2327</v>
      </c>
      <c r="AA20" s="2">
        <f ca="1">IFERROR(__xludf.DUMMYFUNCTION("INDEX(IMPORTRANGE(""1y0FWgjbB0gVlqn-q5LMJbGIsqOrzru4yowQz67dz2yc"", ""'ESC'!BI3:BI139""),MATCH($D20,IMPORTRANGE(""1y0FWgjbB0gVlqn-q5LMJbGIsqOrzru4yowQz67dz2yc"", ""'ESC'!D3:D139""),0))"),5313)</f>
        <v>5313</v>
      </c>
      <c r="AB20" s="1"/>
      <c r="AC20" s="1"/>
      <c r="AD20" s="1"/>
    </row>
    <row r="21" spans="1:30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6">(P20/P$2)*100000</f>
        <v>349.77678996263268</v>
      </c>
      <c r="Q21" s="23">
        <f t="shared" si="6"/>
        <v>828.97522167685622</v>
      </c>
      <c r="R21" s="2">
        <v>692</v>
      </c>
      <c r="S21" s="2">
        <v>243.7</v>
      </c>
      <c r="T21" s="2">
        <v>577.6</v>
      </c>
      <c r="U21" s="2">
        <v>176.4</v>
      </c>
      <c r="V21" s="2">
        <v>418</v>
      </c>
      <c r="W21" s="2">
        <v>418</v>
      </c>
      <c r="X21" s="23">
        <f>(X20/X$2)*100000</f>
        <v>447.2417654038336</v>
      </c>
      <c r="Y21" s="23">
        <f ca="1">IFERROR(__xludf.DUMMYFUNCTION("INDEX(IMPORTRANGE(""1y0FWgjbB0gVlqn-q5LMJbGIsqOrzru4yowQz67dz2yc"", ""'ESC'!BG3:BG139""),MATCH($D21,IMPORTRANGE(""1y0FWgjbB0gVlqn-q5LMJbGIsqOrzru4yowQz67dz2yc"", ""'ESC'!D3:D139""),0))"),1026.71334748241)</f>
        <v>1026.71334748241</v>
      </c>
      <c r="Z21" s="23">
        <f ca="1">IFERROR(__xludf.DUMMYFUNCTION("INDEX(IMPORTRANGE(""1y0FWgjbB0gVlqn-q5LMJbGIsqOrzru4yowQz67dz2yc"", ""'ESC'!BH3:BH139""),MATCH($D21,IMPORTRANGE(""1y0FWgjbB0gVlqn-q5LMJbGIsqOrzru4yowQz67dz2yc"", ""'ESC'!D3:D139""),0))"),480.967971294872)</f>
        <v>480.96797129487197</v>
      </c>
      <c r="AA21" s="23">
        <f ca="1">IFERROR(__xludf.DUMMYFUNCTION("INDEX(IMPORTRANGE(""1y0FWgjbB0gVlqn-q5LMJbGIsqOrzru4yowQz67dz2yc"", ""'ESC'!BI3:BI139""),MATCH($D21,IMPORTRANGE(""1y0FWgjbB0gVlqn-q5LMJbGIsqOrzru4yowQz67dz2yc"", ""'ESC'!D3:D139""),0))"),1098.14474924351)</f>
        <v>1098.14474924351</v>
      </c>
      <c r="AB21" s="1"/>
      <c r="AC21" s="1"/>
      <c r="AD21" s="1"/>
    </row>
    <row r="22" spans="1:30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326</v>
      </c>
      <c r="Q22" s="12">
        <v>733</v>
      </c>
      <c r="R22" s="4"/>
      <c r="S22" s="4"/>
      <c r="T22" s="4"/>
      <c r="U22" s="4"/>
      <c r="V22" s="4"/>
      <c r="W22" s="4"/>
      <c r="X22" s="12">
        <v>358</v>
      </c>
      <c r="Y22" s="2">
        <f ca="1">IFERROR(__xludf.DUMMYFUNCTION("INDEX(IMPORTRANGE(""1y0FWgjbB0gVlqn-q5LMJbGIsqOrzru4yowQz67dz2yc"", ""'ESC'!BG3:BG139""),MATCH($D22,IMPORTRANGE(""1y0FWgjbB0gVlqn-q5LMJbGIsqOrzru4yowQz67dz2yc"", ""'ESC'!D3:D139""),0))"),832)</f>
        <v>832</v>
      </c>
      <c r="Z22" s="2">
        <f ca="1">IFERROR(__xludf.DUMMYFUNCTION("INDEX(IMPORTRANGE(""1y0FWgjbB0gVlqn-q5LMJbGIsqOrzru4yowQz67dz2yc"", ""'ESC'!BH3:BH139""),MATCH($D22,IMPORTRANGE(""1y0FWgjbB0gVlqn-q5LMJbGIsqOrzru4yowQz67dz2yc"", ""'ESC'!D3:D139""),0))"),341)</f>
        <v>341</v>
      </c>
      <c r="AA22" s="2">
        <f ca="1">IFERROR(__xludf.DUMMYFUNCTION("INDEX(IMPORTRANGE(""1y0FWgjbB0gVlqn-q5LMJbGIsqOrzru4yowQz67dz2yc"", ""'ESC'!BI3:BI139""),MATCH($D22,IMPORTRANGE(""1y0FWgjbB0gVlqn-q5LMJbGIsqOrzru4yowQz67dz2yc"", ""'ESC'!D3:D139""),0))"),749)</f>
        <v>749</v>
      </c>
      <c r="AB22" s="1"/>
      <c r="AC22" s="1"/>
      <c r="AD22" s="1"/>
    </row>
    <row r="23" spans="1:30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7">(P22/P$2)*100000</f>
        <v>68.94028629251406</v>
      </c>
      <c r="Q23" s="23">
        <f t="shared" si="7"/>
        <v>155.00990752273867</v>
      </c>
      <c r="R23" s="2">
        <v>127.7</v>
      </c>
      <c r="S23" s="2">
        <v>46.8</v>
      </c>
      <c r="T23" s="2">
        <v>105.2</v>
      </c>
      <c r="U23" s="2">
        <v>32.5</v>
      </c>
      <c r="V23" s="2">
        <v>73</v>
      </c>
      <c r="W23" s="2">
        <v>73</v>
      </c>
      <c r="X23" s="23">
        <f>(X22/X$2)*100000</f>
        <v>74.784003743378065</v>
      </c>
      <c r="Y23" s="23">
        <f ca="1">IFERROR(__xludf.DUMMYFUNCTION("INDEX(IMPORTRANGE(""1y0FWgjbB0gVlqn-q5LMJbGIsqOrzru4yowQz67dz2yc"", ""'ESC'!BG3:BG139""),MATCH($D23,IMPORTRANGE(""1y0FWgjbB0gVlqn-q5LMJbGIsqOrzru4yowQz67dz2yc"", ""'ESC'!D3:D139""),0))"),173.799695850532)</f>
        <v>173.799695850532</v>
      </c>
      <c r="Z23" s="23">
        <f ca="1">IFERROR(__xludf.DUMMYFUNCTION("INDEX(IMPORTRANGE(""1y0FWgjbB0gVlqn-q5LMJbGIsqOrzru4yowQz67dz2yc"", ""'ESC'!BH3:BH139""),MATCH($D23,IMPORTRANGE(""1y0FWgjbB0gVlqn-q5LMJbGIsqOrzru4yowQz67dz2yc"", ""'ESC'!D3:D139""),0))"),70.4813400135588)</f>
        <v>70.481340013558807</v>
      </c>
      <c r="AA23" s="23">
        <f ca="1">IFERROR(__xludf.DUMMYFUNCTION("INDEX(IMPORTRANGE(""1y0FWgjbB0gVlqn-q5LMJbGIsqOrzru4yowQz67dz2yc"", ""'ESC'!BI3:BI139""),MATCH($D23,IMPORTRANGE(""1y0FWgjbB0gVlqn-q5LMJbGIsqOrzru4yowQz67dz2yc"", ""'ESC'!D3:D139""),0))"),154.810919853828)</f>
        <v>154.81091985382801</v>
      </c>
      <c r="AB23" s="1"/>
      <c r="AC23" s="1"/>
      <c r="AD23" s="1"/>
    </row>
    <row r="24" spans="1:30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9">
        <v>7</v>
      </c>
      <c r="Q24" s="29">
        <v>23</v>
      </c>
      <c r="R24" s="4"/>
      <c r="S24" s="4"/>
      <c r="T24" s="4"/>
      <c r="U24" s="4"/>
      <c r="V24" s="4"/>
      <c r="W24" s="4"/>
      <c r="X24" s="29">
        <v>16</v>
      </c>
      <c r="Y24" s="2">
        <f ca="1">IFERROR(__xludf.DUMMYFUNCTION("INDEX(IMPORTRANGE(""1y0FWgjbB0gVlqn-q5LMJbGIsqOrzru4yowQz67dz2yc"", ""'ESC'!BG3:BG139""),MATCH($D24,IMPORTRANGE(""1y0FWgjbB0gVlqn-q5LMJbGIsqOrzru4yowQz67dz2yc"", ""'ESC'!D3:D139""),0))"),37)</f>
        <v>37</v>
      </c>
      <c r="Z24" s="2">
        <f ca="1">IFERROR(__xludf.DUMMYFUNCTION("INDEX(IMPORTRANGE(""1y0FWgjbB0gVlqn-q5LMJbGIsqOrzru4yowQz67dz2yc"", ""'ESC'!BH3:BH139""),MATCH($D24,IMPORTRANGE(""1y0FWgjbB0gVlqn-q5LMJbGIsqOrzru4yowQz67dz2yc"", ""'ESC'!D3:D139""),0))"),22)</f>
        <v>22</v>
      </c>
      <c r="AA24" s="2">
        <f ca="1">IFERROR(__xludf.DUMMYFUNCTION("INDEX(IMPORTRANGE(""1y0FWgjbB0gVlqn-q5LMJbGIsqOrzru4yowQz67dz2yc"", ""'ESC'!BI3:BI139""),MATCH($D24,IMPORTRANGE(""1y0FWgjbB0gVlqn-q5LMJbGIsqOrzru4yowQz67dz2yc"", ""'ESC'!D3:D139""),0))"),44)</f>
        <v>44</v>
      </c>
      <c r="AB24" s="1"/>
      <c r="AC24" s="1"/>
      <c r="AD24" s="1"/>
    </row>
    <row r="25" spans="1:30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9">
        <v>6</v>
      </c>
      <c r="Q25" s="29">
        <v>21</v>
      </c>
      <c r="R25" s="4"/>
      <c r="S25" s="4"/>
      <c r="T25" s="4"/>
      <c r="U25" s="4"/>
      <c r="V25" s="4"/>
      <c r="W25" s="4"/>
      <c r="X25" s="29">
        <v>12</v>
      </c>
      <c r="Y25" s="2">
        <f ca="1">IFERROR(__xludf.DUMMYFUNCTION("INDEX(IMPORTRANGE(""1y0FWgjbB0gVlqn-q5LMJbGIsqOrzru4yowQz67dz2yc"", ""'ESC'!BG3:BG139""),MATCH($D25,IMPORTRANGE(""1y0FWgjbB0gVlqn-q5LMJbGIsqOrzru4yowQz67dz2yc"", ""'ESC'!D3:D139""),0))"),40)</f>
        <v>40</v>
      </c>
      <c r="Z25" s="2">
        <f ca="1">IFERROR(__xludf.DUMMYFUNCTION("INDEX(IMPORTRANGE(""1y0FWgjbB0gVlqn-q5LMJbGIsqOrzru4yowQz67dz2yc"", ""'ESC'!BH3:BH139""),MATCH($D25,IMPORTRANGE(""1y0FWgjbB0gVlqn-q5LMJbGIsqOrzru4yowQz67dz2yc"", ""'ESC'!D3:D139""),0))"),10)</f>
        <v>10</v>
      </c>
      <c r="AA25" s="2">
        <f ca="1">IFERROR(__xludf.DUMMYFUNCTION("INDEX(IMPORTRANGE(""1y0FWgjbB0gVlqn-q5LMJbGIsqOrzru4yowQz67dz2yc"", ""'ESC'!BI3:BI139""),MATCH($D25,IMPORTRANGE(""1y0FWgjbB0gVlqn-q5LMJbGIsqOrzru4yowQz67dz2yc"", ""'ESC'!D3:D139""),0))"),30)</f>
        <v>30</v>
      </c>
      <c r="AB25" s="1"/>
      <c r="AC25" s="1"/>
      <c r="AD25" s="1"/>
    </row>
    <row r="26" spans="1:30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9">
        <v>5</v>
      </c>
      <c r="Q26" s="29">
        <v>11</v>
      </c>
      <c r="R26" s="4"/>
      <c r="S26" s="4"/>
      <c r="T26" s="4"/>
      <c r="U26" s="4"/>
      <c r="V26" s="4"/>
      <c r="W26" s="4"/>
      <c r="X26" s="29">
        <v>3</v>
      </c>
      <c r="Y26" s="2">
        <f ca="1">IFERROR(__xludf.DUMMYFUNCTION("INDEX(IMPORTRANGE(""1y0FWgjbB0gVlqn-q5LMJbGIsqOrzru4yowQz67dz2yc"", ""'ESC'!BG3:BG139""),MATCH($D26,IMPORTRANGE(""1y0FWgjbB0gVlqn-q5LMJbGIsqOrzru4yowQz67dz2yc"", ""'ESC'!D3:D139""),0))"),10)</f>
        <v>10</v>
      </c>
      <c r="Z26" s="2">
        <f ca="1">IFERROR(__xludf.DUMMYFUNCTION("INDEX(IMPORTRANGE(""1y0FWgjbB0gVlqn-q5LMJbGIsqOrzru4yowQz67dz2yc"", ""'ESC'!BH3:BH139""),MATCH($D26,IMPORTRANGE(""1y0FWgjbB0gVlqn-q5LMJbGIsqOrzru4yowQz67dz2yc"", ""'ESC'!D3:D139""),0))"),1)</f>
        <v>1</v>
      </c>
      <c r="AA26" s="2">
        <f ca="1">IFERROR(__xludf.DUMMYFUNCTION("INDEX(IMPORTRANGE(""1y0FWgjbB0gVlqn-q5LMJbGIsqOrzru4yowQz67dz2yc"", ""'ESC'!BI3:BI139""),MATCH($D26,IMPORTRANGE(""1y0FWgjbB0gVlqn-q5LMJbGIsqOrzru4yowQz67dz2yc"", ""'ESC'!D3:D139""),0))"),4)</f>
        <v>4</v>
      </c>
      <c r="AB26" s="1"/>
      <c r="AC26" s="1"/>
      <c r="AD26" s="1"/>
    </row>
    <row r="27" spans="1:30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29">
        <v>0</v>
      </c>
      <c r="Q27" s="29">
        <v>0</v>
      </c>
      <c r="R27" s="4"/>
      <c r="S27" s="4"/>
      <c r="T27" s="4"/>
      <c r="U27" s="4"/>
      <c r="V27" s="4"/>
      <c r="W27" s="4"/>
      <c r="X27" s="29">
        <v>0</v>
      </c>
      <c r="Y27" s="2">
        <f ca="1">IFERROR(__xludf.DUMMYFUNCTION("INDEX(IMPORTRANGE(""1y0FWgjbB0gVlqn-q5LMJbGIsqOrzru4yowQz67dz2yc"", ""'ESC'!BG3:BG139""),MATCH($D27,IMPORTRANGE(""1y0FWgjbB0gVlqn-q5LMJbGIsqOrzru4yowQz67dz2yc"", ""'ESC'!D3:D139""),0))"),2)</f>
        <v>2</v>
      </c>
      <c r="Z27" s="2">
        <f ca="1">IFERROR(__xludf.DUMMYFUNCTION("INDEX(IMPORTRANGE(""1y0FWgjbB0gVlqn-q5LMJbGIsqOrzru4yowQz67dz2yc"", ""'ESC'!BH3:BH139""),MATCH($D27,IMPORTRANGE(""1y0FWgjbB0gVlqn-q5LMJbGIsqOrzru4yowQz67dz2yc"", ""'ESC'!D3:D139""),0))"),0)</f>
        <v>0</v>
      </c>
      <c r="AA27" s="2">
        <f ca="1">IFERROR(__xludf.DUMMYFUNCTION("INDEX(IMPORTRANGE(""1y0FWgjbB0gVlqn-q5LMJbGIsqOrzru4yowQz67dz2yc"", ""'ESC'!BI3:BI139""),MATCH($D27,IMPORTRANGE(""1y0FWgjbB0gVlqn-q5LMJbGIsqOrzru4yowQz67dz2yc"", ""'ESC'!D3:D139""),0))"),1)</f>
        <v>1</v>
      </c>
      <c r="AB27" s="1"/>
      <c r="AC27" s="1"/>
      <c r="AD27" s="1"/>
    </row>
    <row r="28" spans="1:30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29">
        <v>2</v>
      </c>
      <c r="Q28" s="29">
        <v>4</v>
      </c>
      <c r="R28" s="4"/>
      <c r="S28" s="4"/>
      <c r="T28" s="4"/>
      <c r="U28" s="4"/>
      <c r="V28" s="4"/>
      <c r="W28" s="4"/>
      <c r="X28" s="29">
        <v>1</v>
      </c>
      <c r="Y28" s="2">
        <f ca="1">IFERROR(__xludf.DUMMYFUNCTION("INDEX(IMPORTRANGE(""1y0FWgjbB0gVlqn-q5LMJbGIsqOrzru4yowQz67dz2yc"", ""'ESC'!BG3:BG139""),MATCH($D28,IMPORTRANGE(""1y0FWgjbB0gVlqn-q5LMJbGIsqOrzru4yowQz67dz2yc"", ""'ESC'!D3:D139""),0))"),4)</f>
        <v>4</v>
      </c>
      <c r="Z28" s="2">
        <f ca="1">IFERROR(__xludf.DUMMYFUNCTION("INDEX(IMPORTRANGE(""1y0FWgjbB0gVlqn-q5LMJbGIsqOrzru4yowQz67dz2yc"", ""'ESC'!BH3:BH139""),MATCH($D28,IMPORTRANGE(""1y0FWgjbB0gVlqn-q5LMJbGIsqOrzru4yowQz67dz2yc"", ""'ESC'!D3:D139""),0))"),6)</f>
        <v>6</v>
      </c>
      <c r="AA28" s="2">
        <f ca="1">IFERROR(__xludf.DUMMYFUNCTION("INDEX(IMPORTRANGE(""1y0FWgjbB0gVlqn-q5LMJbGIsqOrzru4yowQz67dz2yc"", ""'ESC'!BI3:BI139""),MATCH($D28,IMPORTRANGE(""1y0FWgjbB0gVlqn-q5LMJbGIsqOrzru4yowQz67dz2yc"", ""'ESC'!D3:D139""),0))"),13)</f>
        <v>13</v>
      </c>
      <c r="AB28" s="1"/>
      <c r="AC28" s="1"/>
      <c r="AD28" s="1"/>
    </row>
    <row r="29" spans="1:30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29">
        <v>0</v>
      </c>
      <c r="Q29" s="29">
        <v>0</v>
      </c>
      <c r="R29" s="4"/>
      <c r="S29" s="4"/>
      <c r="T29" s="4"/>
      <c r="U29" s="4"/>
      <c r="V29" s="4"/>
      <c r="W29" s="4"/>
      <c r="X29" s="29">
        <v>0</v>
      </c>
      <c r="Y29" s="2">
        <f ca="1">IFERROR(__xludf.DUMMYFUNCTION("INDEX(IMPORTRANGE(""1y0FWgjbB0gVlqn-q5LMJbGIsqOrzru4yowQz67dz2yc"", ""'ESC'!BG3:BG139""),MATCH($D29,IMPORTRANGE(""1y0FWgjbB0gVlqn-q5LMJbGIsqOrzru4yowQz67dz2yc"", ""'ESC'!D3:D139""),0))"),0)</f>
        <v>0</v>
      </c>
      <c r="Z29" s="2">
        <f ca="1">IFERROR(__xludf.DUMMYFUNCTION("INDEX(IMPORTRANGE(""1y0FWgjbB0gVlqn-q5LMJbGIsqOrzru4yowQz67dz2yc"", ""'ESC'!BH3:BH139""),MATCH($D29,IMPORTRANGE(""1y0FWgjbB0gVlqn-q5LMJbGIsqOrzru4yowQz67dz2yc"", ""'ESC'!D3:D139""),0))"),0)</f>
        <v>0</v>
      </c>
      <c r="AA29" s="2">
        <f ca="1">IFERROR(__xludf.DUMMYFUNCTION("INDEX(IMPORTRANGE(""1y0FWgjbB0gVlqn-q5LMJbGIsqOrzru4yowQz67dz2yc"", ""'ESC'!BI3:BI139""),MATCH($D29,IMPORTRANGE(""1y0FWgjbB0gVlqn-q5LMJbGIsqOrzru4yowQz67dz2yc"", ""'ESC'!D3:D139""),0))"),0)</f>
        <v>0</v>
      </c>
      <c r="AB29" s="1"/>
      <c r="AC29" s="1"/>
      <c r="AD29" s="1"/>
    </row>
    <row r="30" spans="1:30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29">
        <v>4</v>
      </c>
      <c r="Q30" s="29">
        <v>15</v>
      </c>
      <c r="R30" s="4"/>
      <c r="S30" s="4"/>
      <c r="T30" s="4"/>
      <c r="U30" s="4"/>
      <c r="V30" s="4"/>
      <c r="W30" s="4"/>
      <c r="X30" s="29">
        <v>7</v>
      </c>
      <c r="Y30" s="2">
        <f ca="1">IFERROR(__xludf.DUMMYFUNCTION("INDEX(IMPORTRANGE(""1y0FWgjbB0gVlqn-q5LMJbGIsqOrzru4yowQz67dz2yc"", ""'ESC'!BG3:BG139""),MATCH($D30,IMPORTRANGE(""1y0FWgjbB0gVlqn-q5LMJbGIsqOrzru4yowQz67dz2yc"", ""'ESC'!D3:D139""),0))"),12)</f>
        <v>12</v>
      </c>
      <c r="Z30" s="2">
        <f ca="1">IFERROR(__xludf.DUMMYFUNCTION("INDEX(IMPORTRANGE(""1y0FWgjbB0gVlqn-q5LMJbGIsqOrzru4yowQz67dz2yc"", ""'ESC'!BH3:BH139""),MATCH($D30,IMPORTRANGE(""1y0FWgjbB0gVlqn-q5LMJbGIsqOrzru4yowQz67dz2yc"", ""'ESC'!D3:D139""),0))"),5)</f>
        <v>5</v>
      </c>
      <c r="AA30" s="2">
        <f ca="1">IFERROR(__xludf.DUMMYFUNCTION("INDEX(IMPORTRANGE(""1y0FWgjbB0gVlqn-q5LMJbGIsqOrzru4yowQz67dz2yc"", ""'ESC'!BI3:BI139""),MATCH($D30,IMPORTRANGE(""1y0FWgjbB0gVlqn-q5LMJbGIsqOrzru4yowQz67dz2yc"", ""'ESC'!D3:D139""),0))"),11)</f>
        <v>11</v>
      </c>
      <c r="AB30" s="1"/>
      <c r="AC30" s="1"/>
      <c r="AD30" s="1"/>
    </row>
    <row r="31" spans="1:30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29">
        <v>1</v>
      </c>
      <c r="Q31" s="29">
        <v>3</v>
      </c>
      <c r="R31" s="4"/>
      <c r="S31" s="4"/>
      <c r="T31" s="4"/>
      <c r="U31" s="4"/>
      <c r="V31" s="4"/>
      <c r="W31" s="4"/>
      <c r="X31" s="29">
        <v>1</v>
      </c>
      <c r="Y31" s="2">
        <f ca="1">IFERROR(__xludf.DUMMYFUNCTION("INDEX(IMPORTRANGE(""1y0FWgjbB0gVlqn-q5LMJbGIsqOrzru4yowQz67dz2yc"", ""'ESC'!BG3:BG139""),MATCH($D31,IMPORTRANGE(""1y0FWgjbB0gVlqn-q5LMJbGIsqOrzru4yowQz67dz2yc"", ""'ESC'!D3:D139""),0))"),2)</f>
        <v>2</v>
      </c>
      <c r="Z31" s="2">
        <f ca="1">IFERROR(__xludf.DUMMYFUNCTION("INDEX(IMPORTRANGE(""1y0FWgjbB0gVlqn-q5LMJbGIsqOrzru4yowQz67dz2yc"", ""'ESC'!BH3:BH139""),MATCH($D31,IMPORTRANGE(""1y0FWgjbB0gVlqn-q5LMJbGIsqOrzru4yowQz67dz2yc"", ""'ESC'!D3:D139""),0))"),4)</f>
        <v>4</v>
      </c>
      <c r="AA31" s="2">
        <f ca="1">IFERROR(__xludf.DUMMYFUNCTION("INDEX(IMPORTRANGE(""1y0FWgjbB0gVlqn-q5LMJbGIsqOrzru4yowQz67dz2yc"", ""'ESC'!BI3:BI139""),MATCH($D31,IMPORTRANGE(""1y0FWgjbB0gVlqn-q5LMJbGIsqOrzru4yowQz67dz2yc"", ""'ESC'!D3:D139""),0))"),4)</f>
        <v>4</v>
      </c>
      <c r="AB31" s="1"/>
      <c r="AC31" s="1"/>
      <c r="AD31" s="1"/>
    </row>
    <row r="32" spans="1:30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29">
        <v>0</v>
      </c>
      <c r="Q32" s="29">
        <v>0</v>
      </c>
      <c r="R32" s="4"/>
      <c r="S32" s="4"/>
      <c r="T32" s="4"/>
      <c r="U32" s="4"/>
      <c r="V32" s="4"/>
      <c r="W32" s="4"/>
      <c r="X32" s="29">
        <v>0</v>
      </c>
      <c r="Y32" s="2">
        <f ca="1">IFERROR(__xludf.DUMMYFUNCTION("INDEX(IMPORTRANGE(""1y0FWgjbB0gVlqn-q5LMJbGIsqOrzru4yowQz67dz2yc"", ""'ESC'!BG3:BG139""),MATCH($D32,IMPORTRANGE(""1y0FWgjbB0gVlqn-q5LMJbGIsqOrzru4yowQz67dz2yc"", ""'ESC'!D3:D139""),0))"),0)</f>
        <v>0</v>
      </c>
      <c r="Z32" s="2">
        <f ca="1">IFERROR(__xludf.DUMMYFUNCTION("INDEX(IMPORTRANGE(""1y0FWgjbB0gVlqn-q5LMJbGIsqOrzru4yowQz67dz2yc"", ""'ESC'!BH3:BH139""),MATCH($D32,IMPORTRANGE(""1y0FWgjbB0gVlqn-q5LMJbGIsqOrzru4yowQz67dz2yc"", ""'ESC'!D3:D139""),0))"),0)</f>
        <v>0</v>
      </c>
      <c r="AA32" s="2">
        <f ca="1">IFERROR(__xludf.DUMMYFUNCTION("INDEX(IMPORTRANGE(""1y0FWgjbB0gVlqn-q5LMJbGIsqOrzru4yowQz67dz2yc"", ""'ESC'!BI3:BI139""),MATCH($D32,IMPORTRANGE(""1y0FWgjbB0gVlqn-q5LMJbGIsqOrzru4yowQz67dz2yc"", ""'ESC'!D3:D139""),0))"),0)</f>
        <v>0</v>
      </c>
      <c r="AB32" s="1"/>
      <c r="AC32" s="1"/>
      <c r="AD32" s="1"/>
    </row>
    <row r="33" spans="1:30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29">
        <v>0</v>
      </c>
      <c r="Q33" s="29">
        <v>2</v>
      </c>
      <c r="R33" s="4"/>
      <c r="S33" s="4"/>
      <c r="T33" s="4"/>
      <c r="U33" s="4"/>
      <c r="V33" s="4"/>
      <c r="W33" s="4"/>
      <c r="X33" s="29">
        <v>2</v>
      </c>
      <c r="Y33" s="2">
        <f ca="1">IFERROR(__xludf.DUMMYFUNCTION("INDEX(IMPORTRANGE(""1y0FWgjbB0gVlqn-q5LMJbGIsqOrzru4yowQz67dz2yc"", ""'ESC'!BG3:BG139""),MATCH($D33,IMPORTRANGE(""1y0FWgjbB0gVlqn-q5LMJbGIsqOrzru4yowQz67dz2yc"", ""'ESC'!D3:D139""),0))"),2)</f>
        <v>2</v>
      </c>
      <c r="Z33" s="2">
        <f ca="1">IFERROR(__xludf.DUMMYFUNCTION("INDEX(IMPORTRANGE(""1y0FWgjbB0gVlqn-q5LMJbGIsqOrzru4yowQz67dz2yc"", ""'ESC'!BH3:BH139""),MATCH($D33,IMPORTRANGE(""1y0FWgjbB0gVlqn-q5LMJbGIsqOrzru4yowQz67dz2yc"", ""'ESC'!D3:D139""),0))"),2)</f>
        <v>2</v>
      </c>
      <c r="AA33" s="2">
        <f ca="1">IFERROR(__xludf.DUMMYFUNCTION("INDEX(IMPORTRANGE(""1y0FWgjbB0gVlqn-q5LMJbGIsqOrzru4yowQz67dz2yc"", ""'ESC'!BI3:BI139""),MATCH($D33,IMPORTRANGE(""1y0FWgjbB0gVlqn-q5LMJbGIsqOrzru4yowQz67dz2yc"", ""'ESC'!D3:D139""),0))"),2)</f>
        <v>2</v>
      </c>
      <c r="AB33" s="1"/>
      <c r="AC33" s="1"/>
      <c r="AD33" s="1"/>
    </row>
    <row r="34" spans="1:30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9">
        <v>0</v>
      </c>
      <c r="Q34" s="29">
        <v>1</v>
      </c>
      <c r="R34" s="4"/>
      <c r="S34" s="4"/>
      <c r="T34" s="4"/>
      <c r="U34" s="4"/>
      <c r="V34" s="4"/>
      <c r="W34" s="4"/>
      <c r="X34" s="29">
        <v>1</v>
      </c>
      <c r="Y34" s="2">
        <f ca="1">IFERROR(__xludf.DUMMYFUNCTION("INDEX(IMPORTRANGE(""1y0FWgjbB0gVlqn-q5LMJbGIsqOrzru4yowQz67dz2yc"", ""'ESC'!BG3:BG139""),MATCH($D34,IMPORTRANGE(""1y0FWgjbB0gVlqn-q5LMJbGIsqOrzru4yowQz67dz2yc"", ""'ESC'!D3:D139""),0))"),2)</f>
        <v>2</v>
      </c>
      <c r="Z34" s="2">
        <f ca="1">IFERROR(__xludf.DUMMYFUNCTION("INDEX(IMPORTRANGE(""1y0FWgjbB0gVlqn-q5LMJbGIsqOrzru4yowQz67dz2yc"", ""'ESC'!BH3:BH139""),MATCH($D34,IMPORTRANGE(""1y0FWgjbB0gVlqn-q5LMJbGIsqOrzru4yowQz67dz2yc"", ""'ESC'!D3:D139""),0))"),1)</f>
        <v>1</v>
      </c>
      <c r="AA34" s="2">
        <f ca="1">IFERROR(__xludf.DUMMYFUNCTION("INDEX(IMPORTRANGE(""1y0FWgjbB0gVlqn-q5LMJbGIsqOrzru4yowQz67dz2yc"", ""'ESC'!BI3:BI139""),MATCH($D34,IMPORTRANGE(""1y0FWgjbB0gVlqn-q5LMJbGIsqOrzru4yowQz67dz2yc"", ""'ESC'!D3:D139""),0))"),3)</f>
        <v>3</v>
      </c>
      <c r="AB34" s="1"/>
      <c r="AC34" s="1"/>
      <c r="AD34" s="1"/>
    </row>
    <row r="35" spans="1:30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8">SUM(P24:P34)</f>
        <v>25</v>
      </c>
      <c r="Q35" s="262">
        <f t="shared" si="8"/>
        <v>80</v>
      </c>
      <c r="R35" s="4"/>
      <c r="S35" s="4"/>
      <c r="T35" s="4"/>
      <c r="U35" s="4"/>
      <c r="V35" s="4"/>
      <c r="W35" s="4"/>
      <c r="X35" s="262">
        <f>SUM(X24:X34)</f>
        <v>43</v>
      </c>
      <c r="Y35" s="2">
        <f ca="1">IFERROR(__xludf.DUMMYFUNCTION("INDEX(IMPORTRANGE(""1y0FWgjbB0gVlqn-q5LMJbGIsqOrzru4yowQz67dz2yc"", ""'ESC'!BG3:BG139""),MATCH($D35,IMPORTRANGE(""1y0FWgjbB0gVlqn-q5LMJbGIsqOrzru4yowQz67dz2yc"", ""'ESC'!D3:D139""),0))"),111)</f>
        <v>111</v>
      </c>
      <c r="Z35" s="2">
        <f ca="1">IFERROR(__xludf.DUMMYFUNCTION("INDEX(IMPORTRANGE(""1y0FWgjbB0gVlqn-q5LMJbGIsqOrzru4yowQz67dz2yc"", ""'ESC'!BH3:BH139""),MATCH($D35,IMPORTRANGE(""1y0FWgjbB0gVlqn-q5LMJbGIsqOrzru4yowQz67dz2yc"", ""'ESC'!D3:D139""),0))"),51)</f>
        <v>51</v>
      </c>
      <c r="AA35" s="2">
        <f ca="1">IFERROR(__xludf.DUMMYFUNCTION("INDEX(IMPORTRANGE(""1y0FWgjbB0gVlqn-q5LMJbGIsqOrzru4yowQz67dz2yc"", ""'ESC'!BI3:BI139""),MATCH($D35,IMPORTRANGE(""1y0FWgjbB0gVlqn-q5LMJbGIsqOrzru4yowQz67dz2yc"", ""'ESC'!D3:D139""),0))"),112)</f>
        <v>112</v>
      </c>
      <c r="AB35" s="296"/>
      <c r="AC35" s="296"/>
      <c r="AD35" s="296"/>
    </row>
    <row r="36" spans="1:30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2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9">(SUM(P24:P34)/P$2)*100000</f>
        <v>5.2868317708983179</v>
      </c>
      <c r="Q36" s="23">
        <f t="shared" si="9"/>
        <v>16.917861666874614</v>
      </c>
      <c r="R36" s="2">
        <v>12.3</v>
      </c>
      <c r="S36" s="2">
        <v>2.8</v>
      </c>
      <c r="T36" s="2">
        <v>8.9</v>
      </c>
      <c r="U36" s="2">
        <v>0.9</v>
      </c>
      <c r="V36" s="2">
        <v>3</v>
      </c>
      <c r="W36" s="2">
        <v>3</v>
      </c>
      <c r="X36" s="23">
        <f>(SUM(X24:X34)/X$2)*100000</f>
        <v>8.9824362038135668</v>
      </c>
      <c r="Y36" s="23">
        <f ca="1">IFERROR(__xludf.DUMMYFUNCTION("INDEX(IMPORTRANGE(""1y0FWgjbB0gVlqn-q5LMJbGIsqOrzru4yowQz67dz2yc"", ""'ESC'!BG3:BG139""),MATCH($D36,IMPORTRANGE(""1y0FWgjbB0gVlqn-q5LMJbGIsqOrzru4yowQz67dz2yc"", ""'ESC'!D3:D139""),0))"),23.1872190377512)</f>
        <v>23.187219037751198</v>
      </c>
      <c r="Z36" s="23">
        <f ca="1">IFERROR(__xludf.DUMMYFUNCTION("INDEX(IMPORTRANGE(""1y0FWgjbB0gVlqn-q5LMJbGIsqOrzru4yowQz67dz2yc"", ""'ESC'!BH3:BH139""),MATCH($D36,IMPORTRANGE(""1y0FWgjbB0gVlqn-q5LMJbGIsqOrzru4yowQz67dz2yc"", ""'ESC'!D3:D139""),0))"),10.5411974800337)</f>
        <v>10.5411974800337</v>
      </c>
      <c r="AA36" s="23">
        <f ca="1">IFERROR(__xludf.DUMMYFUNCTION("INDEX(IMPORTRANGE(""1y0FWgjbB0gVlqn-q5LMJbGIsqOrzru4yowQz67dz2yc"", ""'ESC'!BI3:BI139""),MATCH($D36,IMPORTRANGE(""1y0FWgjbB0gVlqn-q5LMJbGIsqOrzru4yowQz67dz2yc"", ""'ESC'!D3:D139""),0))"),23.1492964267407)</f>
        <v>23.149296426740701</v>
      </c>
      <c r="AB36" s="1"/>
      <c r="AC36" s="1"/>
      <c r="AD36" s="1"/>
    </row>
    <row r="37" spans="1:30">
      <c r="A37" s="7" t="s">
        <v>119</v>
      </c>
      <c r="B37" s="7" t="s">
        <v>120</v>
      </c>
      <c r="C37" s="1" t="s">
        <v>30</v>
      </c>
      <c r="D37" s="1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138494</v>
      </c>
      <c r="Q37" s="12">
        <v>138494</v>
      </c>
      <c r="R37" s="4"/>
      <c r="S37" s="4"/>
      <c r="T37" s="4"/>
      <c r="U37" s="4"/>
      <c r="V37" s="4"/>
      <c r="W37" s="4"/>
      <c r="X37" s="12">
        <v>138494</v>
      </c>
      <c r="Y37" s="12">
        <f ca="1">IFERROR(__xludf.DUMMYFUNCTION("INDEX(IMPORTRANGE(""1y0FWgjbB0gVlqn-q5LMJbGIsqOrzru4yowQz67dz2yc"", ""'ESC'!BG3:BG139""),MATCH($D37,IMPORTRANGE(""1y0FWgjbB0gVlqn-q5LMJbGIsqOrzru4yowQz67dz2yc"", ""'ESC'!D3:D139""),0))"),178382)</f>
        <v>178382</v>
      </c>
      <c r="Z37" s="12">
        <f ca="1">IFERROR(__xludf.DUMMYFUNCTION("INDEX(IMPORTRANGE(""1y0FWgjbB0gVlqn-q5LMJbGIsqOrzru4yowQz67dz2yc"", ""'ESC'!BH3:BH139""),MATCH($D37,IMPORTRANGE(""1y0FWgjbB0gVlqn-q5LMJbGIsqOrzru4yowQz67dz2yc"", ""'ESC'!D3:D139""),0))"),425077)</f>
        <v>425077</v>
      </c>
      <c r="AA37" s="12">
        <f ca="1">IFERROR(__xludf.DUMMYFUNCTION("INDEX(IMPORTRANGE(""1y0FWgjbB0gVlqn-q5LMJbGIsqOrzru4yowQz67dz2yc"", ""'ESC'!BI3:BI139""),MATCH($D37,IMPORTRANGE(""1y0FWgjbB0gVlqn-q5LMJbGIsqOrzru4yowQz67dz2yc"", ""'ESC'!D3:D139""),0))"),144664)</f>
        <v>144664</v>
      </c>
      <c r="AB37" s="1"/>
      <c r="AC37" s="1"/>
      <c r="AD37" s="1"/>
    </row>
    <row r="38" spans="1:30">
      <c r="A38" s="7" t="s">
        <v>119</v>
      </c>
      <c r="B38" s="7" t="s">
        <v>120</v>
      </c>
      <c r="C38" s="1" t="s">
        <v>30</v>
      </c>
      <c r="D38" s="7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/>
      <c r="Q38" s="12"/>
      <c r="R38" s="4"/>
      <c r="S38" s="4"/>
      <c r="T38" s="4"/>
      <c r="U38" s="4"/>
      <c r="V38" s="4"/>
      <c r="W38" s="4"/>
      <c r="X38" s="12">
        <v>0</v>
      </c>
      <c r="Y38" s="12">
        <f ca="1">IFERROR(__xludf.DUMMYFUNCTION("INDEX(IMPORTRANGE(""1y0FWgjbB0gVlqn-q5LMJbGIsqOrzru4yowQz67dz2yc"", ""'ESC'!BG3:BG139""),MATCH($D38,IMPORTRANGE(""1y0FWgjbB0gVlqn-q5LMJbGIsqOrzru4yowQz67dz2yc"", ""'ESC'!D3:D139""),0))"),0)</f>
        <v>0</v>
      </c>
      <c r="Z38" s="12">
        <f ca="1">IFERROR(__xludf.DUMMYFUNCTION("INDEX(IMPORTRANGE(""1y0FWgjbB0gVlqn-q5LMJbGIsqOrzru4yowQz67dz2yc"", ""'ESC'!BH3:BH139""),MATCH($D38,IMPORTRANGE(""1y0FWgjbB0gVlqn-q5LMJbGIsqOrzru4yowQz67dz2yc"", ""'ESC'!D3:D139""),0))"),0)</f>
        <v>0</v>
      </c>
      <c r="AA38" s="12">
        <f ca="1">IFERROR(__xludf.DUMMYFUNCTION("INDEX(IMPORTRANGE(""1y0FWgjbB0gVlqn-q5LMJbGIsqOrzru4yowQz67dz2yc"", ""'ESC'!BI3:BI139""),MATCH($D38,IMPORTRANGE(""1y0FWgjbB0gVlqn-q5LMJbGIsqOrzru4yowQz67dz2yc"", ""'ESC'!D3:D139""),0))"),0)</f>
        <v>0</v>
      </c>
      <c r="AB38" s="1"/>
      <c r="AC38" s="1"/>
      <c r="AD38" s="1"/>
    </row>
    <row r="39" spans="1:30">
      <c r="A39" s="7" t="s">
        <v>119</v>
      </c>
      <c r="B39" s="7" t="s">
        <v>120</v>
      </c>
      <c r="C39" s="1" t="s">
        <v>36</v>
      </c>
      <c r="D39" s="7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5">
        <f t="shared" ref="P39:Q39" si="10">P38/P37</f>
        <v>0</v>
      </c>
      <c r="Q39" s="15">
        <f t="shared" si="10"/>
        <v>0</v>
      </c>
      <c r="R39" s="297"/>
      <c r="S39" s="297"/>
      <c r="T39" s="297"/>
      <c r="U39" s="297"/>
      <c r="V39" s="297"/>
      <c r="W39" s="297"/>
      <c r="X39" s="15">
        <f>X38/X37</f>
        <v>0</v>
      </c>
      <c r="Y39" s="15">
        <f ca="1">IFERROR(__xludf.DUMMYFUNCTION("INDEX(IMPORTRANGE(""1y0FWgjbB0gVlqn-q5LMJbGIsqOrzru4yowQz67dz2yc"", ""'ESC'!BG3:BG139""),MATCH($D39,IMPORTRANGE(""1y0FWgjbB0gVlqn-q5LMJbGIsqOrzru4yowQz67dz2yc"", ""'ESC'!D3:D139""),0))"),0)</f>
        <v>0</v>
      </c>
      <c r="Z39" s="15">
        <f ca="1">IFERROR(__xludf.DUMMYFUNCTION("INDEX(IMPORTRANGE(""1y0FWgjbB0gVlqn-q5LMJbGIsqOrzru4yowQz67dz2yc"", ""'ESC'!BH3:BH139""),MATCH($D39,IMPORTRANGE(""1y0FWgjbB0gVlqn-q5LMJbGIsqOrzru4yowQz67dz2yc"", ""'ESC'!D3:D139""),0))"),0)</f>
        <v>0</v>
      </c>
      <c r="AA39" s="15">
        <f ca="1">IFERROR(__xludf.DUMMYFUNCTION("INDEX(IMPORTRANGE(""1y0FWgjbB0gVlqn-q5LMJbGIsqOrzru4yowQz67dz2yc"", ""'ESC'!BI3:BI139""),MATCH($D39,IMPORTRANGE(""1y0FWgjbB0gVlqn-q5LMJbGIsqOrzru4yowQz67dz2yc"", ""'ESC'!D3:D139""),0))"),0)</f>
        <v>0</v>
      </c>
      <c r="AB39" s="1"/>
      <c r="AC39" s="1"/>
      <c r="AD39" s="1"/>
    </row>
    <row r="40" spans="1:30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2"/>
      <c r="S40" s="2"/>
      <c r="T40" s="2"/>
      <c r="U40" s="2"/>
      <c r="V40" s="2"/>
      <c r="W40" s="12"/>
      <c r="X40" s="12"/>
      <c r="Y40" s="298" t="str">
        <f ca="1">IFERROR(__xludf.DUMMYFUNCTION("INDEX(IMPORTRANGE(""1y0FWgjbB0gVlqn-q5LMJbGIsqOrzru4yowQz67dz2yc"", ""'ESC'!BG3:BG139""),MATCH($D40,IMPORTRANGE(""1y0FWgjbB0gVlqn-q5LMJbGIsqOrzru4yowQz67dz2yc"", ""'ESC'!D3:D139""),0))"),"")</f>
        <v/>
      </c>
      <c r="Z40" s="30">
        <f ca="1">IFERROR(__xludf.DUMMYFUNCTION("INDEX(IMPORTRANGE(""1y0FWgjbB0gVlqn-q5LMJbGIsqOrzru4yowQz67dz2yc"", ""'ESC'!BH3:BH139""),MATCH($D40,IMPORTRANGE(""1y0FWgjbB0gVlqn-q5LMJbGIsqOrzru4yowQz67dz2yc"", ""'ESC'!D3:D139""),0))"),23.1707499999999)</f>
        <v>23.170749999999899</v>
      </c>
      <c r="AA40" s="30">
        <f ca="1">IFERROR(__xludf.DUMMYFUNCTION("INDEX(IMPORTRANGE(""1y0FWgjbB0gVlqn-q5LMJbGIsqOrzru4yowQz67dz2yc"", ""'ESC'!BI3:BI139""),MATCH($D40,IMPORTRANGE(""1y0FWgjbB0gVlqn-q5LMJbGIsqOrzru4yowQz67dz2yc"", ""'ESC'!D3:D139""),0))"),53.7427499999999)</f>
        <v>53.742749999999901</v>
      </c>
      <c r="AB40" s="1"/>
      <c r="AC40" s="1"/>
      <c r="AD40" s="1"/>
    </row>
    <row r="41" spans="1:30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2"/>
      <c r="S41" s="2"/>
      <c r="T41" s="2"/>
      <c r="U41" s="2"/>
      <c r="V41" s="2"/>
      <c r="W41" s="12"/>
      <c r="X41" s="12"/>
      <c r="Y41" s="299" t="str">
        <f ca="1">IFERROR(__xludf.DUMMYFUNCTION("INDEX(IMPORTRANGE(""1y0FWgjbB0gVlqn-q5LMJbGIsqOrzru4yowQz67dz2yc"", ""'ESC'!BG3:BG139""),MATCH($D41,IMPORTRANGE(""1y0FWgjbB0gVlqn-q5LMJbGIsqOrzru4yowQz67dz2yc"", ""'ESC'!D3:D139""),0))"),"")</f>
        <v/>
      </c>
      <c r="Z41" s="30">
        <f ca="1">IFERROR(__xludf.DUMMYFUNCTION("INDEX(IMPORTRANGE(""1y0FWgjbB0gVlqn-q5LMJbGIsqOrzru4yowQz67dz2yc"", ""'ESC'!BH3:BH139""),MATCH($D41,IMPORTRANGE(""1y0FWgjbB0gVlqn-q5LMJbGIsqOrzru4yowQz67dz2yc"", ""'ESC'!D3:D139""),0))"),60338.1707999999)</f>
        <v>60338.170799999898</v>
      </c>
      <c r="AA41" s="30">
        <f ca="1">IFERROR(__xludf.DUMMYFUNCTION("INDEX(IMPORTRANGE(""1y0FWgjbB0gVlqn-q5LMJbGIsqOrzru4yowQz67dz2yc"", ""'ESC'!BI3:BI139""),MATCH($D41,IMPORTRANGE(""1y0FWgjbB0gVlqn-q5LMJbGIsqOrzru4yowQz67dz2yc"", ""'ESC'!D3:D139""),0))"),60338.1707999999)</f>
        <v>60338.170799999898</v>
      </c>
      <c r="AB41" s="1"/>
      <c r="AC41" s="1"/>
      <c r="AD41" s="1"/>
    </row>
    <row r="42" spans="1:30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4.0000000000000002E-4</v>
      </c>
      <c r="T42" s="26">
        <v>5.0000000000000001E-4</v>
      </c>
      <c r="U42" s="26">
        <v>5.0000000000000001E-4</v>
      </c>
      <c r="V42" s="26">
        <v>5.9999999999999995E-4</v>
      </c>
      <c r="W42" s="26">
        <f>V42</f>
        <v>5.9999999999999995E-4</v>
      </c>
      <c r="X42" s="12"/>
      <c r="Y42" s="300" t="str">
        <f ca="1">IFERROR(__xludf.DUMMYFUNCTION("INDEX(IMPORTRANGE(""1y0FWgjbB0gVlqn-q5LMJbGIsqOrzru4yowQz67dz2yc"", ""'ESC'!BG3:BG139""),MATCH($D42,IMPORTRANGE(""1y0FWgjbB0gVlqn-q5LMJbGIsqOrzru4yowQz67dz2yc"", ""'ESC'!D3:D139""),0))"),"")</f>
        <v/>
      </c>
      <c r="Z42" s="15">
        <f ca="1">IFERROR(__xludf.DUMMYFUNCTION("INDEX(IMPORTRANGE(""1y0FWgjbB0gVlqn-q5LMJbGIsqOrzru4yowQz67dz2yc"", ""'ESC'!BH3:BH139""),MATCH($D42,IMPORTRANGE(""1y0FWgjbB0gVlqn-q5LMJbGIsqOrzru4yowQz67dz2yc"", ""'ESC'!D3:D139""),0))"),0.000384014790186512)</f>
        <v>3.8401479018651199E-4</v>
      </c>
      <c r="AA42" s="15">
        <f ca="1">IFERROR(__xludf.DUMMYFUNCTION("INDEX(IMPORTRANGE(""1y0FWgjbB0gVlqn-q5LMJbGIsqOrzru4yowQz67dz2yc"", ""'ESC'!BI3:BI139""),MATCH($D42,IMPORTRANGE(""1y0FWgjbB0gVlqn-q5LMJbGIsqOrzru4yowQz67dz2yc"", ""'ESC'!D3:D139""),0))"),0.000890692397324049)</f>
        <v>8.9069239732404899E-4</v>
      </c>
      <c r="AB42" s="1"/>
      <c r="AC42" s="1"/>
      <c r="AD42" s="1"/>
    </row>
    <row r="43" spans="1:30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2" t="s">
        <v>132</v>
      </c>
      <c r="O43" s="22" t="s">
        <v>132</v>
      </c>
      <c r="P43" s="12"/>
      <c r="Q43" s="12"/>
      <c r="R43" s="2">
        <v>1</v>
      </c>
      <c r="S43" s="2">
        <v>2</v>
      </c>
      <c r="T43" s="2">
        <v>2</v>
      </c>
      <c r="U43" s="2">
        <v>3</v>
      </c>
      <c r="V43" s="2">
        <v>3</v>
      </c>
      <c r="W43" s="12">
        <v>3</v>
      </c>
      <c r="X43" s="12">
        <v>1</v>
      </c>
      <c r="Y43" s="2">
        <f ca="1">IFERROR(__xludf.DUMMYFUNCTION("INDEX(IMPORTRANGE(""1y0FWgjbB0gVlqn-q5LMJbGIsqOrzru4yowQz67dz2yc"", ""'ESC'!BG3:BG139""),MATCH($D43,IMPORTRANGE(""1y0FWgjbB0gVlqn-q5LMJbGIsqOrzru4yowQz67dz2yc"", ""'ESC'!D3:D139""),0))"),1)</f>
        <v>1</v>
      </c>
      <c r="Z43" s="2">
        <f ca="1">IFERROR(__xludf.DUMMYFUNCTION("INDEX(IMPORTRANGE(""1y0FWgjbB0gVlqn-q5LMJbGIsqOrzru4yowQz67dz2yc"", ""'ESC'!BH3:BH139""),MATCH($D43,IMPORTRANGE(""1y0FWgjbB0gVlqn-q5LMJbGIsqOrzru4yowQz67dz2yc"", ""'ESC'!D3:D139""),0))"),1)</f>
        <v>1</v>
      </c>
      <c r="AA43" s="2">
        <f ca="1">IFERROR(__xludf.DUMMYFUNCTION("INDEX(IMPORTRANGE(""1y0FWgjbB0gVlqn-q5LMJbGIsqOrzru4yowQz67dz2yc"", ""'ESC'!BI3:BI139""),MATCH($D43,IMPORTRANGE(""1y0FWgjbB0gVlqn-q5LMJbGIsqOrzru4yowQz67dz2yc"", ""'ESC'!D3:D139""),0))"),3)</f>
        <v>3</v>
      </c>
      <c r="AB43" s="1"/>
      <c r="AC43" s="1"/>
      <c r="AD43" s="1"/>
    </row>
    <row r="44" spans="1:30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2" t="s">
        <v>132</v>
      </c>
      <c r="O44" s="22" t="s">
        <v>132</v>
      </c>
      <c r="P44" s="12"/>
      <c r="Q44" s="12"/>
      <c r="R44" s="12">
        <v>1000</v>
      </c>
      <c r="S44" s="12">
        <f>500+R44</f>
        <v>1500</v>
      </c>
      <c r="T44" s="12">
        <f t="shared" ref="T44:V44" si="11">S44+500</f>
        <v>2000</v>
      </c>
      <c r="U44" s="12">
        <f t="shared" si="11"/>
        <v>2500</v>
      </c>
      <c r="V44" s="12">
        <f t="shared" si="11"/>
        <v>3000</v>
      </c>
      <c r="W44" s="12">
        <v>3000</v>
      </c>
      <c r="X44" s="12">
        <v>186</v>
      </c>
      <c r="Y44" s="12">
        <f ca="1">IFERROR(__xludf.DUMMYFUNCTION("INDEX(IMPORTRANGE(""1y0FWgjbB0gVlqn-q5LMJbGIsqOrzru4yowQz67dz2yc"", ""'ESC'!BG3:BG139""),MATCH($D44,IMPORTRANGE(""1y0FWgjbB0gVlqn-q5LMJbGIsqOrzru4yowQz67dz2yc"", ""'ESC'!D3:D139""),0))"),513)</f>
        <v>513</v>
      </c>
      <c r="Z44" s="12">
        <f ca="1">IFERROR(__xludf.DUMMYFUNCTION("INDEX(IMPORTRANGE(""1y0FWgjbB0gVlqn-q5LMJbGIsqOrzru4yowQz67dz2yc"", ""'ESC'!BH3:BH139""),MATCH($D44,IMPORTRANGE(""1y0FWgjbB0gVlqn-q5LMJbGIsqOrzru4yowQz67dz2yc"", ""'ESC'!D3:D139""),0))"),1022)</f>
        <v>1022</v>
      </c>
      <c r="AA44" s="12">
        <f ca="1">IFERROR(__xludf.DUMMYFUNCTION("INDEX(IMPORTRANGE(""1y0FWgjbB0gVlqn-q5LMJbGIsqOrzru4yowQz67dz2yc"", ""'ESC'!BI3:BI139""),MATCH($D44,IMPORTRANGE(""1y0FWgjbB0gVlqn-q5LMJbGIsqOrzru4yowQz67dz2yc"", ""'ESC'!D3:D139""),0))"),2850)</f>
        <v>2850</v>
      </c>
      <c r="AB44" s="1"/>
      <c r="AC44" s="1"/>
      <c r="AD44" s="1" t="s">
        <v>417</v>
      </c>
    </row>
    <row r="45" spans="1:30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2" t="s">
        <v>132</v>
      </c>
      <c r="O45" s="22" t="s">
        <v>132</v>
      </c>
      <c r="P45" s="12"/>
      <c r="Q45" s="12"/>
      <c r="R45" s="4"/>
      <c r="S45" s="4"/>
      <c r="T45" s="4"/>
      <c r="U45" s="4"/>
      <c r="V45" s="4"/>
      <c r="W45" s="4"/>
      <c r="X45" s="12">
        <v>0</v>
      </c>
      <c r="Y45" s="2">
        <f ca="1">IFERROR(__xludf.DUMMYFUNCTION("INDEX(IMPORTRANGE(""1y0FWgjbB0gVlqn-q5LMJbGIsqOrzru4yowQz67dz2yc"", ""'ESC'!BG3:BG139""),MATCH($D45,IMPORTRANGE(""1y0FWgjbB0gVlqn-q5LMJbGIsqOrzru4yowQz67dz2yc"", ""'ESC'!D3:D139""),0))"),1)</f>
        <v>1</v>
      </c>
      <c r="Z45" s="2">
        <f ca="1">IFERROR(__xludf.DUMMYFUNCTION("INDEX(IMPORTRANGE(""1y0FWgjbB0gVlqn-q5LMJbGIsqOrzru4yowQz67dz2yc"", ""'ESC'!BH3:BH139""),MATCH($D45,IMPORTRANGE(""1y0FWgjbB0gVlqn-q5LMJbGIsqOrzru4yowQz67dz2yc"", ""'ESC'!D3:D139""),0))"),3)</f>
        <v>3</v>
      </c>
      <c r="AA45" s="2">
        <f ca="1">IFERROR(__xludf.DUMMYFUNCTION("INDEX(IMPORTRANGE(""1y0FWgjbB0gVlqn-q5LMJbGIsqOrzru4yowQz67dz2yc"", ""'ESC'!BI3:BI139""),MATCH($D45,IMPORTRANGE(""1y0FWgjbB0gVlqn-q5LMJbGIsqOrzru4yowQz67dz2yc"", ""'ESC'!D3:D139""),0))"),5)</f>
        <v>5</v>
      </c>
      <c r="AB45" s="1"/>
      <c r="AC45" s="1"/>
      <c r="AD45" s="1"/>
    </row>
    <row r="46" spans="1:30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2" t="s">
        <v>132</v>
      </c>
      <c r="O46" s="22" t="s">
        <v>132</v>
      </c>
      <c r="P46" s="12"/>
      <c r="Q46" s="12"/>
      <c r="R46" s="4"/>
      <c r="S46" s="4"/>
      <c r="T46" s="4"/>
      <c r="U46" s="4"/>
      <c r="V46" s="4"/>
      <c r="W46" s="4"/>
      <c r="X46" s="12"/>
      <c r="Y46" s="2">
        <f ca="1">IFERROR(__xludf.DUMMYFUNCTION("INDEX(IMPORTRANGE(""1y0FWgjbB0gVlqn-q5LMJbGIsqOrzru4yowQz67dz2yc"", ""'ESC'!BG3:BG139""),MATCH($D46,IMPORTRANGE(""1y0FWgjbB0gVlqn-q5LMJbGIsqOrzru4yowQz67dz2yc"", ""'ESC'!D3:D139""),0))"),0)</f>
        <v>0</v>
      </c>
      <c r="Z46" s="2">
        <f ca="1">IFERROR(__xludf.DUMMYFUNCTION("INDEX(IMPORTRANGE(""1y0FWgjbB0gVlqn-q5LMJbGIsqOrzru4yowQz67dz2yc"", ""'ESC'!BH3:BH139""),MATCH($D46,IMPORTRANGE(""1y0FWgjbB0gVlqn-q5LMJbGIsqOrzru4yowQz67dz2yc"", ""'ESC'!D3:D139""),0))"),0)</f>
        <v>0</v>
      </c>
      <c r="AA46" s="2">
        <f ca="1">IFERROR(__xludf.DUMMYFUNCTION("INDEX(IMPORTRANGE(""1y0FWgjbB0gVlqn-q5LMJbGIsqOrzru4yowQz67dz2yc"", ""'ESC'!BI3:BI139""),MATCH($D46,IMPORTRANGE(""1y0FWgjbB0gVlqn-q5LMJbGIsqOrzru4yowQz67dz2yc"", ""'ESC'!D3:D139""),0))"),0)</f>
        <v>0</v>
      </c>
      <c r="AB46" s="1"/>
      <c r="AC46" s="1"/>
      <c r="AD46" s="1"/>
    </row>
    <row r="47" spans="1:30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2" t="s">
        <v>132</v>
      </c>
      <c r="O47" s="22" t="s">
        <v>132</v>
      </c>
      <c r="P47" s="12"/>
      <c r="Q47" s="12"/>
      <c r="R47" s="4"/>
      <c r="S47" s="4"/>
      <c r="T47" s="4"/>
      <c r="U47" s="4"/>
      <c r="V47" s="4"/>
      <c r="W47" s="4"/>
      <c r="X47" s="12">
        <v>0</v>
      </c>
      <c r="Y47" s="2">
        <f ca="1">IFERROR(__xludf.DUMMYFUNCTION("INDEX(IMPORTRANGE(""1y0FWgjbB0gVlqn-q5LMJbGIsqOrzru4yowQz67dz2yc"", ""'ESC'!BG3:BG139""),MATCH($D47,IMPORTRANGE(""1y0FWgjbB0gVlqn-q5LMJbGIsqOrzru4yowQz67dz2yc"", ""'ESC'!D3:D139""),0))"),0)</f>
        <v>0</v>
      </c>
      <c r="Z47" s="2">
        <f ca="1">IFERROR(__xludf.DUMMYFUNCTION("INDEX(IMPORTRANGE(""1y0FWgjbB0gVlqn-q5LMJbGIsqOrzru4yowQz67dz2yc"", ""'ESC'!BH3:BH139""),MATCH($D47,IMPORTRANGE(""1y0FWgjbB0gVlqn-q5LMJbGIsqOrzru4yowQz67dz2yc"", ""'ESC'!D3:D139""),0))"),1)</f>
        <v>1</v>
      </c>
      <c r="AA47" s="2">
        <f ca="1">IFERROR(__xludf.DUMMYFUNCTION("INDEX(IMPORTRANGE(""1y0FWgjbB0gVlqn-q5LMJbGIsqOrzru4yowQz67dz2yc"", ""'ESC'!BI3:BI139""),MATCH($D47,IMPORTRANGE(""1y0FWgjbB0gVlqn-q5LMJbGIsqOrzru4yowQz67dz2yc"", ""'ESC'!D3:D139""),0))"),1)</f>
        <v>1</v>
      </c>
      <c r="AB47" s="1"/>
      <c r="AC47" s="1"/>
      <c r="AD47" s="1"/>
    </row>
    <row r="48" spans="1:30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2" t="s">
        <v>56</v>
      </c>
      <c r="H48" s="22" t="s">
        <v>57</v>
      </c>
      <c r="I48" s="22" t="s">
        <v>58</v>
      </c>
      <c r="J48" s="22" t="s">
        <v>59</v>
      </c>
      <c r="K48" s="22" t="s">
        <v>335</v>
      </c>
      <c r="L48" s="22" t="s">
        <v>336</v>
      </c>
      <c r="M48" s="22" t="s">
        <v>337</v>
      </c>
      <c r="N48" s="22" t="s">
        <v>132</v>
      </c>
      <c r="O48" s="22" t="s">
        <v>132</v>
      </c>
      <c r="P48" s="12"/>
      <c r="Q48" s="12"/>
      <c r="R48" s="4"/>
      <c r="S48" s="4"/>
      <c r="T48" s="4"/>
      <c r="U48" s="4"/>
      <c r="V48" s="4"/>
      <c r="W48" s="4"/>
      <c r="X48" s="12"/>
      <c r="Y48" s="2">
        <f ca="1">IFERROR(__xludf.DUMMYFUNCTION("INDEX(IMPORTRANGE(""1y0FWgjbB0gVlqn-q5LMJbGIsqOrzru4yowQz67dz2yc"", ""'ESC'!BG3:BG139""),MATCH($D48,IMPORTRANGE(""1y0FWgjbB0gVlqn-q5LMJbGIsqOrzru4yowQz67dz2yc"", ""'ESC'!D3:D139""),0))"),0)</f>
        <v>0</v>
      </c>
      <c r="Z48" s="2">
        <f ca="1">IFERROR(__xludf.DUMMYFUNCTION("INDEX(IMPORTRANGE(""1y0FWgjbB0gVlqn-q5LMJbGIsqOrzru4yowQz67dz2yc"", ""'ESC'!BH3:BH139""),MATCH($D48,IMPORTRANGE(""1y0FWgjbB0gVlqn-q5LMJbGIsqOrzru4yowQz67dz2yc"", ""'ESC'!D3:D139""),0))"),0)</f>
        <v>0</v>
      </c>
      <c r="AA48" s="2">
        <f ca="1">IFERROR(__xludf.DUMMYFUNCTION("INDEX(IMPORTRANGE(""1y0FWgjbB0gVlqn-q5LMJbGIsqOrzru4yowQz67dz2yc"", ""'ESC'!BI3:BI139""),MATCH($D48,IMPORTRANGE(""1y0FWgjbB0gVlqn-q5LMJbGIsqOrzru4yowQz67dz2yc"", ""'ESC'!D3:D139""),0))"),0)</f>
        <v>0</v>
      </c>
      <c r="AB48" s="1"/>
      <c r="AC48" s="1"/>
      <c r="AD48" s="1"/>
    </row>
    <row r="49" spans="1:30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2" t="s">
        <v>56</v>
      </c>
      <c r="H49" s="22" t="s">
        <v>57</v>
      </c>
      <c r="I49" s="22" t="s">
        <v>58</v>
      </c>
      <c r="J49" s="22" t="s">
        <v>59</v>
      </c>
      <c r="K49" s="22" t="s">
        <v>335</v>
      </c>
      <c r="L49" s="22" t="s">
        <v>336</v>
      </c>
      <c r="M49" s="22" t="s">
        <v>337</v>
      </c>
      <c r="N49" s="22" t="s">
        <v>132</v>
      </c>
      <c r="O49" s="22" t="s">
        <v>132</v>
      </c>
      <c r="P49" s="12"/>
      <c r="Q49" s="12"/>
      <c r="R49" s="2">
        <v>2</v>
      </c>
      <c r="S49" s="2">
        <v>2</v>
      </c>
      <c r="T49" s="2">
        <v>5</v>
      </c>
      <c r="U49" s="2">
        <v>6</v>
      </c>
      <c r="V49" s="2">
        <v>7</v>
      </c>
      <c r="W49" s="2">
        <v>7</v>
      </c>
      <c r="X49" s="12">
        <v>0</v>
      </c>
      <c r="Y49" s="2">
        <f ca="1">IFERROR(__xludf.DUMMYFUNCTION("INDEX(IMPORTRANGE(""1y0FWgjbB0gVlqn-q5LMJbGIsqOrzru4yowQz67dz2yc"", ""'ESC'!BG3:BG139""),MATCH($D49,IMPORTRANGE(""1y0FWgjbB0gVlqn-q5LMJbGIsqOrzru4yowQz67dz2yc"", ""'ESC'!D3:D139""),0))"),1)</f>
        <v>1</v>
      </c>
      <c r="Z49" s="2">
        <f ca="1">IFERROR(__xludf.DUMMYFUNCTION("INDEX(IMPORTRANGE(""1y0FWgjbB0gVlqn-q5LMJbGIsqOrzru4yowQz67dz2yc"", ""'ESC'!BH3:BH139""),MATCH($D49,IMPORTRANGE(""1y0FWgjbB0gVlqn-q5LMJbGIsqOrzru4yowQz67dz2yc"", ""'ESC'!D3:D139""),0))"),4)</f>
        <v>4</v>
      </c>
      <c r="AA49" s="2">
        <f ca="1">IFERROR(__xludf.DUMMYFUNCTION("INDEX(IMPORTRANGE(""1y0FWgjbB0gVlqn-q5LMJbGIsqOrzru4yowQz67dz2yc"", ""'ESC'!BI3:BI139""),MATCH($D49,IMPORTRANGE(""1y0FWgjbB0gVlqn-q5LMJbGIsqOrzru4yowQz67dz2yc"", ""'ESC'!D3:D139""),0))"),6)</f>
        <v>6</v>
      </c>
      <c r="AB49" s="1"/>
      <c r="AC49" s="1"/>
      <c r="AD49" s="1"/>
    </row>
    <row r="50" spans="1:30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153</v>
      </c>
      <c r="Y50" s="250" t="str">
        <f ca="1">IFERROR(__xludf.DUMMYFUNCTION("INDEX(IMPORTRANGE(""1y0FWgjbB0gVlqn-q5LMJbGIsqOrzru4yowQz67dz2yc"", ""'ESC'!BG3:BG139""),MATCH($D50,IMPORTRANGE(""1y0FWgjbB0gVlqn-q5LMJbGIsqOrzru4yowQz67dz2yc"", ""'ESC'!D3:D139""),0))"),"")</f>
        <v/>
      </c>
      <c r="Z50" s="2" t="str">
        <f ca="1">IFERROR(__xludf.DUMMYFUNCTION("INDEX(IMPORTRANGE(""1y0FWgjbB0gVlqn-q5LMJbGIsqOrzru4yowQz67dz2yc"", ""'ESC'!BH3:BH139""),MATCH($D50,IMPORTRANGE(""1y0FWgjbB0gVlqn-q5LMJbGIsqOrzru4yowQz67dz2yc"", ""'ESC'!D3:D139""),0))"),"Sí")</f>
        <v>Sí</v>
      </c>
      <c r="AA50" s="2" t="str">
        <f ca="1">IFERROR(__xludf.DUMMYFUNCTION("INDEX(IMPORTRANGE(""1y0FWgjbB0gVlqn-q5LMJbGIsqOrzru4yowQz67dz2yc"", ""'ESC'!BI3:BI139""),MATCH($D50,IMPORTRANGE(""1y0FWgjbB0gVlqn-q5LMJbGIsqOrzru4yowQz67dz2yc"", ""'ESC'!D3:D139""),0))"),"Sí")</f>
        <v>Sí</v>
      </c>
      <c r="AB50" s="1"/>
      <c r="AC50" s="1"/>
      <c r="AD50" s="1"/>
    </row>
    <row r="51" spans="1:30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2" t="s">
        <v>150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153</v>
      </c>
      <c r="Y51" s="250" t="str">
        <f ca="1">IFERROR(__xludf.DUMMYFUNCTION("INDEX(IMPORTRANGE(""1y0FWgjbB0gVlqn-q5LMJbGIsqOrzru4yowQz67dz2yc"", ""'ESC'!BG3:BG139""),MATCH($D51,IMPORTRANGE(""1y0FWgjbB0gVlqn-q5LMJbGIsqOrzru4yowQz67dz2yc"", ""'ESC'!D3:D139""),0))"),"")</f>
        <v/>
      </c>
      <c r="Z51" s="2" t="str">
        <f ca="1">IFERROR(__xludf.DUMMYFUNCTION("INDEX(IMPORTRANGE(""1y0FWgjbB0gVlqn-q5LMJbGIsqOrzru4yowQz67dz2yc"", ""'ESC'!BH3:BH139""),MATCH($D51,IMPORTRANGE(""1y0FWgjbB0gVlqn-q5LMJbGIsqOrzru4yowQz67dz2yc"", ""'ESC'!D3:D139""),0))"),"Sí")</f>
        <v>Sí</v>
      </c>
      <c r="AA51" s="2" t="str">
        <f ca="1">IFERROR(__xludf.DUMMYFUNCTION("INDEX(IMPORTRANGE(""1y0FWgjbB0gVlqn-q5LMJbGIsqOrzru4yowQz67dz2yc"", ""'ESC'!BI3:BI139""),MATCH($D51,IMPORTRANGE(""1y0FWgjbB0gVlqn-q5LMJbGIsqOrzru4yowQz67dz2yc"", ""'ESC'!D3:D139""),0))"),"Sí")</f>
        <v>Sí</v>
      </c>
      <c r="AB51" s="1"/>
      <c r="AC51" s="1"/>
      <c r="AD51" s="1"/>
    </row>
    <row r="52" spans="1:30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418</v>
      </c>
      <c r="Q52" s="2" t="s">
        <v>418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153</v>
      </c>
      <c r="Y52" s="250" t="str">
        <f ca="1">IFERROR(__xludf.DUMMYFUNCTION("INDEX(IMPORTRANGE(""1y0FWgjbB0gVlqn-q5LMJbGIsqOrzru4yowQz67dz2yc"", ""'ESC'!BG3:BG139""),MATCH($D52,IMPORTRANGE(""1y0FWgjbB0gVlqn-q5LMJbGIsqOrzru4yowQz67dz2yc"", ""'ESC'!D3:D139""),0))"),"")</f>
        <v/>
      </c>
      <c r="Z52" s="2" t="str">
        <f ca="1">IFERROR(__xludf.DUMMYFUNCTION("INDEX(IMPORTRANGE(""1y0FWgjbB0gVlqn-q5LMJbGIsqOrzru4yowQz67dz2yc"", ""'ESC'!BH3:BH139""),MATCH($D52,IMPORTRANGE(""1y0FWgjbB0gVlqn-q5LMJbGIsqOrzru4yowQz67dz2yc"", ""'ESC'!D3:D139""),0))"),"Sí")</f>
        <v>Sí</v>
      </c>
      <c r="AA52" s="2" t="str">
        <f ca="1">IFERROR(__xludf.DUMMYFUNCTION("INDEX(IMPORTRANGE(""1y0FWgjbB0gVlqn-q5LMJbGIsqOrzru4yowQz67dz2yc"", ""'ESC'!BI3:BI139""),MATCH($D52,IMPORTRANGE(""1y0FWgjbB0gVlqn-q5LMJbGIsqOrzru4yowQz67dz2yc"", ""'ESC'!D3:D139""),0))"),"Sí")</f>
        <v>Sí</v>
      </c>
      <c r="AB52" s="1"/>
      <c r="AC52" s="1"/>
      <c r="AD52" s="1"/>
    </row>
    <row r="53" spans="1:30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30">
        <f t="shared" ref="P53:Q53" si="12">COUNTIF(P50:P52,"Sí")*(1/3)</f>
        <v>0.33333333333333331</v>
      </c>
      <c r="Q53" s="30">
        <f t="shared" si="12"/>
        <v>0.33333333333333331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30">
        <f>COUNTIF(X50:X52,"Sí")*(1/3)</f>
        <v>1</v>
      </c>
      <c r="Y53" s="2">
        <f ca="1">IFERROR(__xludf.DUMMYFUNCTION("INDEX(IMPORTRANGE(""1y0FWgjbB0gVlqn-q5LMJbGIsqOrzru4yowQz67dz2yc"", ""'ESC'!BG3:BG139""),MATCH($D53,IMPORTRANGE(""1y0FWgjbB0gVlqn-q5LMJbGIsqOrzru4yowQz67dz2yc"", ""'ESC'!D3:D139""),0))"),0)</f>
        <v>0</v>
      </c>
      <c r="Z53" s="2">
        <f ca="1">IFERROR(__xludf.DUMMYFUNCTION("INDEX(IMPORTRANGE(""1y0FWgjbB0gVlqn-q5LMJbGIsqOrzru4yowQz67dz2yc"", ""'ESC'!BH3:BH139""),MATCH($D53,IMPORTRANGE(""1y0FWgjbB0gVlqn-q5LMJbGIsqOrzru4yowQz67dz2yc"", ""'ESC'!D3:D139""),0))"),1)</f>
        <v>1</v>
      </c>
      <c r="AA53" s="2">
        <f ca="1">IFERROR(__xludf.DUMMYFUNCTION("INDEX(IMPORTRANGE(""1y0FWgjbB0gVlqn-q5LMJbGIsqOrzru4yowQz67dz2yc"", ""'ESC'!BI3:BI139""),MATCH($D53,IMPORTRANGE(""1y0FWgjbB0gVlqn-q5LMJbGIsqOrzru4yowQz67dz2yc"", ""'ESC'!D3:D139""),0))"),1)</f>
        <v>1</v>
      </c>
      <c r="AB53" s="1"/>
      <c r="AC53" s="1"/>
      <c r="AD53" s="1"/>
    </row>
    <row r="54" spans="1:30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0</v>
      </c>
      <c r="Y54" s="29">
        <f ca="1">IFERROR(__xludf.DUMMYFUNCTION("INDEX(IMPORTRANGE(""1y0FWgjbB0gVlqn-q5LMJbGIsqOrzru4yowQz67dz2yc"", ""'ESC'!BG3:BG139""),MATCH($D54,IMPORTRANGE(""1y0FWgjbB0gVlqn-q5LMJbGIsqOrzru4yowQz67dz2yc"", ""'ESC'!D3:D139""),0))"),0)</f>
        <v>0</v>
      </c>
      <c r="Z54" s="29">
        <f ca="1">IFERROR(__xludf.DUMMYFUNCTION("INDEX(IMPORTRANGE(""1y0FWgjbB0gVlqn-q5LMJbGIsqOrzru4yowQz67dz2yc"", ""'ESC'!BH3:BH139""),MATCH($D54,IMPORTRANGE(""1y0FWgjbB0gVlqn-q5LMJbGIsqOrzru4yowQz67dz2yc"", ""'ESC'!D3:D139""),0))"),0)</f>
        <v>0</v>
      </c>
      <c r="AA54" s="29">
        <f ca="1">IFERROR(__xludf.DUMMYFUNCTION("INDEX(IMPORTRANGE(""1y0FWgjbB0gVlqn-q5LMJbGIsqOrzru4yowQz67dz2yc"", ""'ESC'!BI3:BI139""),MATCH($D54,IMPORTRANGE(""1y0FWgjbB0gVlqn-q5LMJbGIsqOrzru4yowQz67dz2yc"", ""'ESC'!D3:D139""),0))"),0)</f>
        <v>0</v>
      </c>
      <c r="AB54" s="1"/>
      <c r="AC54" s="1"/>
      <c r="AD54" s="1"/>
    </row>
    <row r="55" spans="1:30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2</v>
      </c>
      <c r="Q55" s="12">
        <v>2</v>
      </c>
      <c r="R55" s="4"/>
      <c r="S55" s="4"/>
      <c r="T55" s="4"/>
      <c r="U55" s="4"/>
      <c r="V55" s="4"/>
      <c r="W55" s="4"/>
      <c r="X55" s="12">
        <v>3</v>
      </c>
      <c r="Y55" s="2">
        <f ca="1">IFERROR(__xludf.DUMMYFUNCTION("INDEX(IMPORTRANGE(""1y0FWgjbB0gVlqn-q5LMJbGIsqOrzru4yowQz67dz2yc"", ""'ESC'!BG3:BG139""),MATCH($D55,IMPORTRANGE(""1y0FWgjbB0gVlqn-q5LMJbGIsqOrzru4yowQz67dz2yc"", ""'ESC'!D3:D139""),0))"),3)</f>
        <v>3</v>
      </c>
      <c r="Z55" s="2">
        <f ca="1">IFERROR(__xludf.DUMMYFUNCTION("INDEX(IMPORTRANGE(""1y0FWgjbB0gVlqn-q5LMJbGIsqOrzru4yowQz67dz2yc"", ""'ESC'!BH3:BH139""),MATCH($D55,IMPORTRANGE(""1y0FWgjbB0gVlqn-q5LMJbGIsqOrzru4yowQz67dz2yc"", ""'ESC'!D3:D139""),0))"),3)</f>
        <v>3</v>
      </c>
      <c r="AA55" s="2">
        <f ca="1">IFERROR(__xludf.DUMMYFUNCTION("INDEX(IMPORTRANGE(""1y0FWgjbB0gVlqn-q5LMJbGIsqOrzru4yowQz67dz2yc"", ""'ESC'!BI3:BI139""),MATCH($D55,IMPORTRANGE(""1y0FWgjbB0gVlqn-q5LMJbGIsqOrzru4yowQz67dz2yc"", ""'ESC'!D3:D139""),0))"),3)</f>
        <v>3</v>
      </c>
      <c r="AB55" s="1"/>
      <c r="AC55" s="1"/>
      <c r="AD55" s="1"/>
    </row>
    <row r="56" spans="1:30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</v>
      </c>
      <c r="Q56" s="12">
        <v>1</v>
      </c>
      <c r="R56" s="4"/>
      <c r="S56" s="4"/>
      <c r="T56" s="4"/>
      <c r="U56" s="4"/>
      <c r="V56" s="4"/>
      <c r="W56" s="4"/>
      <c r="X56" s="12">
        <v>2</v>
      </c>
      <c r="Y56" s="2">
        <f ca="1">IFERROR(__xludf.DUMMYFUNCTION("INDEX(IMPORTRANGE(""1y0FWgjbB0gVlqn-q5LMJbGIsqOrzru4yowQz67dz2yc"", ""'ESC'!BG3:BG139""),MATCH($D56,IMPORTRANGE(""1y0FWgjbB0gVlqn-q5LMJbGIsqOrzru4yowQz67dz2yc"", ""'ESC'!D3:D139""),0))"),1)</f>
        <v>1</v>
      </c>
      <c r="Z56" s="2">
        <f ca="1">IFERROR(__xludf.DUMMYFUNCTION("INDEX(IMPORTRANGE(""1y0FWgjbB0gVlqn-q5LMJbGIsqOrzru4yowQz67dz2yc"", ""'ESC'!BH3:BH139""),MATCH($D56,IMPORTRANGE(""1y0FWgjbB0gVlqn-q5LMJbGIsqOrzru4yowQz67dz2yc"", ""'ESC'!D3:D139""),0))"),2)</f>
        <v>2</v>
      </c>
      <c r="AA56" s="2">
        <f ca="1">IFERROR(__xludf.DUMMYFUNCTION("INDEX(IMPORTRANGE(""1y0FWgjbB0gVlqn-q5LMJbGIsqOrzru4yowQz67dz2yc"", ""'ESC'!BI3:BI139""),MATCH($D56,IMPORTRANGE(""1y0FWgjbB0gVlqn-q5LMJbGIsqOrzru4yowQz67dz2yc"", ""'ESC'!D3:D139""),0))"),2)</f>
        <v>2</v>
      </c>
      <c r="AB56" s="1"/>
      <c r="AC56" s="1"/>
      <c r="AD56" s="1"/>
    </row>
    <row r="57" spans="1:30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3">P56/P55</f>
        <v>0.5</v>
      </c>
      <c r="Q57" s="15">
        <f t="shared" si="13"/>
        <v>0.5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0.66666666666666663</v>
      </c>
      <c r="Y57" s="15">
        <f ca="1">IFERROR(__xludf.DUMMYFUNCTION("INDEX(IMPORTRANGE(""1y0FWgjbB0gVlqn-q5LMJbGIsqOrzru4yowQz67dz2yc"", ""'ESC'!BG3:BG139""),MATCH($D57,IMPORTRANGE(""1y0FWgjbB0gVlqn-q5LMJbGIsqOrzru4yowQz67dz2yc"", ""'ESC'!D3:D139""),0))"),0.333333333333333)</f>
        <v>0.33333333333333298</v>
      </c>
      <c r="Z57" s="15">
        <f ca="1">IFERROR(__xludf.DUMMYFUNCTION("INDEX(IMPORTRANGE(""1y0FWgjbB0gVlqn-q5LMJbGIsqOrzru4yowQz67dz2yc"", ""'ESC'!BH3:BH139""),MATCH($D57,IMPORTRANGE(""1y0FWgjbB0gVlqn-q5LMJbGIsqOrzru4yowQz67dz2yc"", ""'ESC'!D3:D139""),0))"),0.666666666666666)</f>
        <v>0.66666666666666596</v>
      </c>
      <c r="AA57" s="15">
        <f ca="1">IFERROR(__xludf.DUMMYFUNCTION("INDEX(IMPORTRANGE(""1y0FWgjbB0gVlqn-q5LMJbGIsqOrzru4yowQz67dz2yc"", ""'ESC'!BI3:BI139""),MATCH($D57,IMPORTRANGE(""1y0FWgjbB0gVlqn-q5LMJbGIsqOrzru4yowQz67dz2yc"", ""'ESC'!D3:D139""),0))"),0.666666666666666)</f>
        <v>0.66666666666666596</v>
      </c>
      <c r="AB57" s="1"/>
      <c r="AC57" s="1"/>
      <c r="AD57" s="1"/>
    </row>
    <row r="58" spans="1:30">
      <c r="A58" s="7" t="s">
        <v>147</v>
      </c>
      <c r="B58" s="7" t="s">
        <v>168</v>
      </c>
      <c r="C58" s="1" t="s">
        <v>30</v>
      </c>
      <c r="D58" s="7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33067</v>
      </c>
      <c r="Q58" s="12">
        <v>33067</v>
      </c>
      <c r="R58" s="4"/>
      <c r="S58" s="4"/>
      <c r="T58" s="4"/>
      <c r="U58" s="4"/>
      <c r="V58" s="4"/>
      <c r="W58" s="4"/>
      <c r="X58" s="12">
        <v>33067</v>
      </c>
      <c r="Y58" s="12">
        <f ca="1">IFERROR(__xludf.DUMMYFUNCTION("INDEX(IMPORTRANGE(""1y0FWgjbB0gVlqn-q5LMJbGIsqOrzru4yowQz67dz2yc"", ""'ESC'!BG3:BG139""),MATCH($D58,IMPORTRANGE(""1y0FWgjbB0gVlqn-q5LMJbGIsqOrzru4yowQz67dz2yc"", ""'ESC'!D3:D139""),0))"),33118)</f>
        <v>33118</v>
      </c>
      <c r="Z58" s="12">
        <f ca="1">IFERROR(__xludf.DUMMYFUNCTION("INDEX(IMPORTRANGE(""1y0FWgjbB0gVlqn-q5LMJbGIsqOrzru4yowQz67dz2yc"", ""'ESC'!BH3:BH139""),MATCH($D58,IMPORTRANGE(""1y0FWgjbB0gVlqn-q5LMJbGIsqOrzru4yowQz67dz2yc"", ""'ESC'!D3:D139""),0))"),33158)</f>
        <v>33158</v>
      </c>
      <c r="AA58" s="12">
        <f ca="1">IFERROR(__xludf.DUMMYFUNCTION("INDEX(IMPORTRANGE(""1y0FWgjbB0gVlqn-q5LMJbGIsqOrzru4yowQz67dz2yc"", ""'ESC'!BI3:BI139""),MATCH($D58,IMPORTRANGE(""1y0FWgjbB0gVlqn-q5LMJbGIsqOrzru4yowQz67dz2yc"", ""'ESC'!D3:D139""),0))"),33185)</f>
        <v>33185</v>
      </c>
      <c r="AB58" s="1"/>
      <c r="AC58" s="1"/>
      <c r="AD58" s="1"/>
    </row>
    <row r="59" spans="1:30">
      <c r="A59" s="7" t="s">
        <v>147</v>
      </c>
      <c r="B59" s="7" t="s">
        <v>168</v>
      </c>
      <c r="C59" s="1" t="s">
        <v>30</v>
      </c>
      <c r="D59" s="7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33097</v>
      </c>
      <c r="Q59" s="12">
        <v>33097</v>
      </c>
      <c r="R59" s="4"/>
      <c r="S59" s="4"/>
      <c r="T59" s="4"/>
      <c r="U59" s="4"/>
      <c r="V59" s="4"/>
      <c r="W59" s="4"/>
      <c r="X59" s="12">
        <v>33097</v>
      </c>
      <c r="Y59" s="12">
        <f ca="1">IFERROR(__xludf.DUMMYFUNCTION("INDEX(IMPORTRANGE(""1y0FWgjbB0gVlqn-q5LMJbGIsqOrzru4yowQz67dz2yc"", ""'ESC'!BG3:BG139""),MATCH($D59,IMPORTRANGE(""1y0FWgjbB0gVlqn-q5LMJbGIsqOrzru4yowQz67dz2yc"", ""'ESC'!D3:D139""),0))"),33158)</f>
        <v>33158</v>
      </c>
      <c r="Z59" s="12">
        <f ca="1">IFERROR(__xludf.DUMMYFUNCTION("INDEX(IMPORTRANGE(""1y0FWgjbB0gVlqn-q5LMJbGIsqOrzru4yowQz67dz2yc"", ""'ESC'!BH3:BH139""),MATCH($D59,IMPORTRANGE(""1y0FWgjbB0gVlqn-q5LMJbGIsqOrzru4yowQz67dz2yc"", ""'ESC'!D3:D139""),0))"),33203)</f>
        <v>33203</v>
      </c>
      <c r="AA59" s="12">
        <f ca="1">IFERROR(__xludf.DUMMYFUNCTION("INDEX(IMPORTRANGE(""1y0FWgjbB0gVlqn-q5LMJbGIsqOrzru4yowQz67dz2yc"", ""'ESC'!BI3:BI139""),MATCH($D59,IMPORTRANGE(""1y0FWgjbB0gVlqn-q5LMJbGIsqOrzru4yowQz67dz2yc"", ""'ESC'!D3:D139""),0))"),33250)</f>
        <v>33250</v>
      </c>
      <c r="AB59" s="1"/>
      <c r="AC59" s="1"/>
      <c r="AD59" s="1"/>
    </row>
    <row r="60" spans="1:30">
      <c r="A60" s="7" t="s">
        <v>147</v>
      </c>
      <c r="B60" s="7" t="s">
        <v>168</v>
      </c>
      <c r="C60" s="1" t="s">
        <v>36</v>
      </c>
      <c r="D60" s="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0.99909357343565885</v>
      </c>
      <c r="Q60" s="15">
        <f t="shared" si="14"/>
        <v>0.99909357343565885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0.99909357343565885</v>
      </c>
      <c r="Y60" s="15">
        <f ca="1">IFERROR(__xludf.DUMMYFUNCTION("INDEX(IMPORTRANGE(""1y0FWgjbB0gVlqn-q5LMJbGIsqOrzru4yowQz67dz2yc"", ""'ESC'!BG3:BG139""),MATCH($D60,IMPORTRANGE(""1y0FWgjbB0gVlqn-q5LMJbGIsqOrzru4yowQz67dz2yc"", ""'ESC'!D3:D139""),0))"),0.998793654623318)</f>
        <v>0.99879365462331804</v>
      </c>
      <c r="Z60" s="15">
        <f ca="1">IFERROR(__xludf.DUMMYFUNCTION("INDEX(IMPORTRANGE(""1y0FWgjbB0gVlqn-q5LMJbGIsqOrzru4yowQz67dz2yc"", ""'ESC'!BH3:BH139""),MATCH($D60,IMPORTRANGE(""1y0FWgjbB0gVlqn-q5LMJbGIsqOrzru4yowQz67dz2yc"", ""'ESC'!D3:D139""),0))"),0.99864470078005)</f>
        <v>0.99864470078004997</v>
      </c>
      <c r="AA60" s="15">
        <f ca="1">IFERROR(__xludf.DUMMYFUNCTION("INDEX(IMPORTRANGE(""1y0FWgjbB0gVlqn-q5LMJbGIsqOrzru4yowQz67dz2yc"", ""'ESC'!BI3:BI139""),MATCH($D60,IMPORTRANGE(""1y0FWgjbB0gVlqn-q5LMJbGIsqOrzru4yowQz67dz2yc"", ""'ESC'!D3:D139""),0))"),0.998045112781954)</f>
        <v>0.99804511278195396</v>
      </c>
      <c r="AB60" s="1"/>
      <c r="AC60" s="1"/>
      <c r="AD60" s="1"/>
    </row>
    <row r="61" spans="1:30">
      <c r="A61" s="7" t="s">
        <v>147</v>
      </c>
      <c r="B61" s="7" t="s">
        <v>168</v>
      </c>
      <c r="C61" s="1" t="s">
        <v>30</v>
      </c>
      <c r="D61" s="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138494</v>
      </c>
      <c r="Q61" s="12">
        <v>138494</v>
      </c>
      <c r="R61" s="4"/>
      <c r="S61" s="4"/>
      <c r="T61" s="4"/>
      <c r="U61" s="4"/>
      <c r="V61" s="4"/>
      <c r="W61" s="4"/>
      <c r="X61" s="12">
        <v>138494</v>
      </c>
      <c r="Y61" s="12">
        <f ca="1">IFERROR(__xludf.DUMMYFUNCTION("INDEX(IMPORTRANGE(""1y0FWgjbB0gVlqn-q5LMJbGIsqOrzru4yowQz67dz2yc"", ""'ESC'!BG3:BG139""),MATCH($D61,IMPORTRANGE(""1y0FWgjbB0gVlqn-q5LMJbGIsqOrzru4yowQz67dz2yc"", ""'ESC'!D3:D139""),0))"),144464)</f>
        <v>144464</v>
      </c>
      <c r="Z61" s="12">
        <f ca="1">IFERROR(__xludf.DUMMYFUNCTION("INDEX(IMPORTRANGE(""1y0FWgjbB0gVlqn-q5LMJbGIsqOrzru4yowQz67dz2yc"", ""'ESC'!BH3:BH139""),MATCH($D61,IMPORTRANGE(""1y0FWgjbB0gVlqn-q5LMJbGIsqOrzru4yowQz67dz2yc"", ""'ESC'!D3:D139""),0))"),425077)</f>
        <v>425077</v>
      </c>
      <c r="AA61" s="12">
        <f ca="1">IFERROR(__xludf.DUMMYFUNCTION("INDEX(IMPORTRANGE(""1y0FWgjbB0gVlqn-q5LMJbGIsqOrzru4yowQz67dz2yc"", ""'ESC'!BI3:BI139""),MATCH($D61,IMPORTRANGE(""1y0FWgjbB0gVlqn-q5LMJbGIsqOrzru4yowQz67dz2yc"", ""'ESC'!D3:D139""),0))"),144664)</f>
        <v>144664</v>
      </c>
      <c r="AB61" s="1"/>
      <c r="AC61" s="1"/>
      <c r="AD61" s="1"/>
    </row>
    <row r="62" spans="1:30">
      <c r="A62" s="7" t="s">
        <v>147</v>
      </c>
      <c r="B62" s="7" t="s">
        <v>168</v>
      </c>
      <c r="C62" s="1" t="s">
        <v>36</v>
      </c>
      <c r="D62" s="7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5">P61/P37</f>
        <v>1</v>
      </c>
      <c r="Q62" s="15">
        <f t="shared" si="15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14">
        <f ca="1">IFERROR(__xludf.DUMMYFUNCTION("INDEX(IMPORTRANGE(""1y0FWgjbB0gVlqn-q5LMJbGIsqOrzru4yowQz67dz2yc"", ""'ESC'!BG3:BG139""),MATCH($D62,IMPORTRANGE(""1y0FWgjbB0gVlqn-q5LMJbGIsqOrzru4yowQz67dz2yc"", ""'ESC'!D3:D139""),0))"),0.80985749683264)</f>
        <v>0.80985749683263997</v>
      </c>
      <c r="Z62" s="14">
        <f ca="1">IFERROR(__xludf.DUMMYFUNCTION("INDEX(IMPORTRANGE(""1y0FWgjbB0gVlqn-q5LMJbGIsqOrzru4yowQz67dz2yc"", ""'ESC'!BH3:BH139""),MATCH($D62,IMPORTRANGE(""1y0FWgjbB0gVlqn-q5LMJbGIsqOrzru4yowQz67dz2yc"", ""'ESC'!D3:D139""),0))"),1)</f>
        <v>1</v>
      </c>
      <c r="AA62" s="14">
        <f ca="1">IFERROR(__xludf.DUMMYFUNCTION("INDEX(IMPORTRANGE(""1y0FWgjbB0gVlqn-q5LMJbGIsqOrzru4yowQz67dz2yc"", ""'ESC'!BI3:BI139""),MATCH($D62,IMPORTRANGE(""1y0FWgjbB0gVlqn-q5LMJbGIsqOrzru4yowQz67dz2yc"", ""'ESC'!D3:D139""),0))"),1)</f>
        <v>1</v>
      </c>
      <c r="AB62" s="1"/>
      <c r="AC62" s="1"/>
      <c r="AD62" s="1"/>
    </row>
    <row r="63" spans="1:30">
      <c r="A63" s="7" t="s">
        <v>147</v>
      </c>
      <c r="B63" s="7" t="s">
        <v>168</v>
      </c>
      <c r="C63" s="1" t="s">
        <v>30</v>
      </c>
      <c r="D63" s="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23">
        <v>8356776.6900000004</v>
      </c>
      <c r="Q63" s="23">
        <v>8356776.6900000004</v>
      </c>
      <c r="R63" s="4"/>
      <c r="S63" s="4"/>
      <c r="T63" s="4"/>
      <c r="U63" s="4"/>
      <c r="V63" s="4"/>
      <c r="W63" s="4"/>
      <c r="X63" s="23">
        <v>8356776.6900000004</v>
      </c>
      <c r="Y63" s="12">
        <f ca="1">IFERROR(__xludf.DUMMYFUNCTION("INDEX(IMPORTRANGE(""1y0FWgjbB0gVlqn-q5LMJbGIsqOrzru4yowQz67dz2yc"", ""'ESC'!BG3:BG139""),MATCH($D63,IMPORTRANGE(""1y0FWgjbB0gVlqn-q5LMJbGIsqOrzru4yowQz67dz2yc"", ""'ESC'!D3:D139""),0))"),8412306.69)</f>
        <v>8412306.6899999995</v>
      </c>
      <c r="Z63" s="12">
        <f ca="1">IFERROR(__xludf.DUMMYFUNCTION("INDEX(IMPORTRANGE(""1y0FWgjbB0gVlqn-q5LMJbGIsqOrzru4yowQz67dz2yc"", ""'ESC'!BH3:BH139""),MATCH($D63,IMPORTRANGE(""1y0FWgjbB0gVlqn-q5LMJbGIsqOrzru4yowQz67dz2yc"", ""'ESC'!D3:D139""),0))"),8429848.69)</f>
        <v>8429848.6899999995</v>
      </c>
      <c r="AA63" s="12">
        <f ca="1">IFERROR(__xludf.DUMMYFUNCTION("INDEX(IMPORTRANGE(""1y0FWgjbB0gVlqn-q5LMJbGIsqOrzru4yowQz67dz2yc"", ""'ESC'!BI3:BI139""),MATCH($D63,IMPORTRANGE(""1y0FWgjbB0gVlqn-q5LMJbGIsqOrzru4yowQz67dz2yc"", ""'ESC'!D3:D139""),0))"),8429848.69)</f>
        <v>8429848.6899999995</v>
      </c>
      <c r="AB63" s="1"/>
      <c r="AC63" s="1"/>
      <c r="AD63" s="1"/>
    </row>
    <row r="64" spans="1:30">
      <c r="A64" s="7" t="s">
        <v>147</v>
      </c>
      <c r="B64" s="7" t="s">
        <v>168</v>
      </c>
      <c r="C64" s="1" t="s">
        <v>30</v>
      </c>
      <c r="D64" s="7" t="s">
        <v>181</v>
      </c>
      <c r="E64" s="7" t="s">
        <v>38</v>
      </c>
      <c r="F64" s="2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23">
        <v>9334019.4000000004</v>
      </c>
      <c r="Q64" s="23">
        <v>9334019.4000000004</v>
      </c>
      <c r="R64" s="4"/>
      <c r="S64" s="4"/>
      <c r="T64" s="4"/>
      <c r="U64" s="4"/>
      <c r="V64" s="4"/>
      <c r="W64" s="4"/>
      <c r="X64" s="23">
        <v>9334019.4000000004</v>
      </c>
      <c r="Y64" s="12">
        <f ca="1">IFERROR(__xludf.DUMMYFUNCTION("INDEX(IMPORTRANGE(""1y0FWgjbB0gVlqn-q5LMJbGIsqOrzru4yowQz67dz2yc"", ""'ESC'!BG3:BG139""),MATCH($D64,IMPORTRANGE(""1y0FWgjbB0gVlqn-q5LMJbGIsqOrzru4yowQz67dz2yc"", ""'ESC'!D3:D139""),0))"),9334019.38999999)</f>
        <v>9334019.3899999894</v>
      </c>
      <c r="Z64" s="12">
        <f ca="1">IFERROR(__xludf.DUMMYFUNCTION("INDEX(IMPORTRANGE(""1y0FWgjbB0gVlqn-q5LMJbGIsqOrzru4yowQz67dz2yc"", ""'ESC'!BH3:BH139""),MATCH($D64,IMPORTRANGE(""1y0FWgjbB0gVlqn-q5LMJbGIsqOrzru4yowQz67dz2yc"", ""'ESC'!D3:D139""),0))"),9351561.38999999)</f>
        <v>9351561.3899999894</v>
      </c>
      <c r="AA64" s="12">
        <f ca="1">IFERROR(__xludf.DUMMYFUNCTION("INDEX(IMPORTRANGE(""1y0FWgjbB0gVlqn-q5LMJbGIsqOrzru4yowQz67dz2yc"", ""'ESC'!BI3:BI139""),MATCH($D64,IMPORTRANGE(""1y0FWgjbB0gVlqn-q5LMJbGIsqOrzru4yowQz67dz2yc"", ""'ESC'!D3:D139""),0))"),9334019.39)</f>
        <v>9334019.3900000006</v>
      </c>
      <c r="AB64" s="1"/>
      <c r="AC64" s="1"/>
      <c r="AD64" s="1"/>
    </row>
    <row r="65" spans="1:30">
      <c r="A65" s="7" t="s">
        <v>147</v>
      </c>
      <c r="B65" s="7" t="s">
        <v>168</v>
      </c>
      <c r="C65" s="1" t="s">
        <v>36</v>
      </c>
      <c r="D65" s="7" t="s">
        <v>183</v>
      </c>
      <c r="E65" s="7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6">P63/P64</f>
        <v>0.89530311989709388</v>
      </c>
      <c r="Q65" s="15">
        <f t="shared" si="16"/>
        <v>0.89530311989709388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0.89530311989709388</v>
      </c>
      <c r="Y65" s="15">
        <f ca="1">IFERROR(__xludf.DUMMYFUNCTION("INDEX(IMPORTRANGE(""1y0FWgjbB0gVlqn-q5LMJbGIsqOrzru4yowQz67dz2yc"", ""'ESC'!BG3:BG139""),MATCH($D65,IMPORTRANGE(""1y0FWgjbB0gVlqn-q5LMJbGIsqOrzru4yowQz67dz2yc"", ""'ESC'!D3:D139""),0))"),0.901252326410691)</f>
        <v>0.90125232641069097</v>
      </c>
      <c r="Z65" s="15">
        <f ca="1">IFERROR(__xludf.DUMMYFUNCTION("INDEX(IMPORTRANGE(""1y0FWgjbB0gVlqn-q5LMJbGIsqOrzru4yowQz67dz2yc"", ""'ESC'!BH3:BH139""),MATCH($D65,IMPORTRANGE(""1y0FWgjbB0gVlqn-q5LMJbGIsqOrzru4yowQz67dz2yc"", ""'ESC'!D3:D139""),0))"),0.901437560899121)</f>
        <v>0.90143756089912097</v>
      </c>
      <c r="AA65" s="15">
        <f ca="1">IFERROR(__xludf.DUMMYFUNCTION("INDEX(IMPORTRANGE(""1y0FWgjbB0gVlqn-q5LMJbGIsqOrzru4yowQz67dz2yc"", ""'ESC'!BI3:BI139""),MATCH($D65,IMPORTRANGE(""1y0FWgjbB0gVlqn-q5LMJbGIsqOrzru4yowQz67dz2yc"", ""'ESC'!D3:D139""),0))"),0.903131688266184)</f>
        <v>0.90313168826618395</v>
      </c>
      <c r="AB65" s="1"/>
      <c r="AC65" s="1"/>
      <c r="AD65" s="1"/>
    </row>
    <row r="66" spans="1:30">
      <c r="A66" s="7" t="s">
        <v>147</v>
      </c>
      <c r="B66" s="7" t="s">
        <v>168</v>
      </c>
      <c r="C66" s="1" t="s">
        <v>30</v>
      </c>
      <c r="D66" s="7" t="s">
        <v>185</v>
      </c>
      <c r="E66" s="7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23">
        <v>39992.800000000003</v>
      </c>
      <c r="Q66" s="23">
        <v>39992.800000000003</v>
      </c>
      <c r="R66" s="4"/>
      <c r="S66" s="4"/>
      <c r="T66" s="4"/>
      <c r="U66" s="4"/>
      <c r="V66" s="4"/>
      <c r="W66" s="4"/>
      <c r="X66" s="23">
        <v>39992.800000000003</v>
      </c>
      <c r="Y66" s="12">
        <f ca="1">IFERROR(__xludf.DUMMYFUNCTION("INDEX(IMPORTRANGE(""1y0FWgjbB0gVlqn-q5LMJbGIsqOrzru4yowQz67dz2yc"", ""'ESC'!BG3:BG139""),MATCH($D66,IMPORTRANGE(""1y0FWgjbB0gVlqn-q5LMJbGIsqOrzru4yowQz67dz2yc"", ""'ESC'!D3:D139""),0))"),41172.03)</f>
        <v>41172.03</v>
      </c>
      <c r="Z66" s="12">
        <f ca="1">IFERROR(__xludf.DUMMYFUNCTION("INDEX(IMPORTRANGE(""1y0FWgjbB0gVlqn-q5LMJbGIsqOrzru4yowQz67dz2yc"", ""'ESC'!BH3:BH139""),MATCH($D66,IMPORTRANGE(""1y0FWgjbB0gVlqn-q5LMJbGIsqOrzru4yowQz67dz2yc"", ""'ESC'!D3:D139""),0))"),41810.03)</f>
        <v>41810.03</v>
      </c>
      <c r="AA66" s="12">
        <f ca="1">IFERROR(__xludf.DUMMYFUNCTION("INDEX(IMPORTRANGE(""1y0FWgjbB0gVlqn-q5LMJbGIsqOrzru4yowQz67dz2yc"", ""'ESC'!BI3:BI139""),MATCH($D66,IMPORTRANGE(""1y0FWgjbB0gVlqn-q5LMJbGIsqOrzru4yowQz67dz2yc"", ""'ESC'!D3:D139""),0))"),41504.03)</f>
        <v>41504.03</v>
      </c>
      <c r="AB66" s="1"/>
      <c r="AC66" s="1"/>
      <c r="AD66" s="1"/>
    </row>
    <row r="67" spans="1:30">
      <c r="A67" s="7" t="s">
        <v>147</v>
      </c>
      <c r="B67" s="7" t="s">
        <v>168</v>
      </c>
      <c r="C67" s="1" t="s">
        <v>30</v>
      </c>
      <c r="D67" s="7" t="s">
        <v>187</v>
      </c>
      <c r="E67" s="7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23">
        <v>44787</v>
      </c>
      <c r="Q67" s="23">
        <v>44787</v>
      </c>
      <c r="R67" s="4"/>
      <c r="S67" s="4"/>
      <c r="T67" s="4"/>
      <c r="U67" s="4"/>
      <c r="V67" s="4"/>
      <c r="W67" s="4"/>
      <c r="X67" s="23">
        <v>44787</v>
      </c>
      <c r="Y67" s="12">
        <f ca="1">IFERROR(__xludf.DUMMYFUNCTION("INDEX(IMPORTRANGE(""1y0FWgjbB0gVlqn-q5LMJbGIsqOrzru4yowQz67dz2yc"", ""'ESC'!BG3:BG139""),MATCH($D67,IMPORTRANGE(""1y0FWgjbB0gVlqn-q5LMJbGIsqOrzru4yowQz67dz2yc"", ""'ESC'!D3:D139""),0))"),44787)</f>
        <v>44787</v>
      </c>
      <c r="Z67" s="12">
        <f ca="1">IFERROR(__xludf.DUMMYFUNCTION("INDEX(IMPORTRANGE(""1y0FWgjbB0gVlqn-q5LMJbGIsqOrzru4yowQz67dz2yc"", ""'ESC'!BH3:BH139""),MATCH($D67,IMPORTRANGE(""1y0FWgjbB0gVlqn-q5LMJbGIsqOrzru4yowQz67dz2yc"", ""'ESC'!D3:D139""),0))"),44787)</f>
        <v>44787</v>
      </c>
      <c r="AA67" s="12">
        <f ca="1">IFERROR(__xludf.DUMMYFUNCTION("INDEX(IMPORTRANGE(""1y0FWgjbB0gVlqn-q5LMJbGIsqOrzru4yowQz67dz2yc"", ""'ESC'!BI3:BI139""),MATCH($D67,IMPORTRANGE(""1y0FWgjbB0gVlqn-q5LMJbGIsqOrzru4yowQz67dz2yc"", ""'ESC'!D3:D139""),0))"),44787)</f>
        <v>44787</v>
      </c>
      <c r="AB67" s="1"/>
      <c r="AC67" s="1"/>
      <c r="AD67" s="1"/>
    </row>
    <row r="68" spans="1:30">
      <c r="A68" s="7" t="s">
        <v>147</v>
      </c>
      <c r="B68" s="7" t="s">
        <v>168</v>
      </c>
      <c r="C68" s="1" t="s">
        <v>36</v>
      </c>
      <c r="D68" s="7" t="s">
        <v>189</v>
      </c>
      <c r="E68" s="7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7">P66/P67</f>
        <v>0.89295554513586539</v>
      </c>
      <c r="Q68" s="15">
        <f t="shared" si="17"/>
        <v>0.89295554513586539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0.89295554513586539</v>
      </c>
      <c r="Y68" s="15">
        <f ca="1">IFERROR(__xludf.DUMMYFUNCTION("INDEX(IMPORTRANGE(""1y0FWgjbB0gVlqn-q5LMJbGIsqOrzru4yowQz67dz2yc"", ""'ESC'!BG3:BG139""),MATCH($D68,IMPORTRANGE(""1y0FWgjbB0gVlqn-q5LMJbGIsqOrzru4yowQz67dz2yc"", ""'ESC'!D3:D139""),0))"),0.919285283676066)</f>
        <v>0.91928528367606599</v>
      </c>
      <c r="Z68" s="15">
        <f ca="1">IFERROR(__xludf.DUMMYFUNCTION("INDEX(IMPORTRANGE(""1y0FWgjbB0gVlqn-q5LMJbGIsqOrzru4yowQz67dz2yc"", ""'ESC'!BH3:BH139""),MATCH($D68,IMPORTRANGE(""1y0FWgjbB0gVlqn-q5LMJbGIsqOrzru4yowQz67dz2yc"", ""'ESC'!D3:D139""),0))"),0.933530488757898)</f>
        <v>0.93353048875789801</v>
      </c>
      <c r="AA68" s="15">
        <f ca="1">IFERROR(__xludf.DUMMYFUNCTION("INDEX(IMPORTRANGE(""1y0FWgjbB0gVlqn-q5LMJbGIsqOrzru4yowQz67dz2yc"", ""'ESC'!BI3:BI139""),MATCH($D68,IMPORTRANGE(""1y0FWgjbB0gVlqn-q5LMJbGIsqOrzru4yowQz67dz2yc"", ""'ESC'!D3:D139""),0))"),0.926698149016455)</f>
        <v>0.92669814901645498</v>
      </c>
      <c r="AB68" s="1"/>
      <c r="AC68" s="1"/>
      <c r="AD68" s="1"/>
    </row>
    <row r="69" spans="1:30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2">
        <v>0</v>
      </c>
      <c r="Q69" s="12">
        <v>0</v>
      </c>
      <c r="R69" s="4"/>
      <c r="S69" s="4"/>
      <c r="T69" s="4"/>
      <c r="U69" s="4"/>
      <c r="V69" s="4"/>
      <c r="W69" s="4"/>
      <c r="X69" s="12">
        <v>0</v>
      </c>
      <c r="Y69" s="24">
        <f ca="1">IFERROR(__xludf.DUMMYFUNCTION("INDEX(IMPORTRANGE(""1y0FWgjbB0gVlqn-q5LMJbGIsqOrzru4yowQz67dz2yc"", ""'ESC'!BG3:BG139""),MATCH($D69,IMPORTRANGE(""1y0FWgjbB0gVlqn-q5LMJbGIsqOrzru4yowQz67dz2yc"", ""'ESC'!D3:D139""),0))"),2.6)</f>
        <v>2.6</v>
      </c>
      <c r="Z69" s="24">
        <f ca="1">IFERROR(__xludf.DUMMYFUNCTION("INDEX(IMPORTRANGE(""1y0FWgjbB0gVlqn-q5LMJbGIsqOrzru4yowQz67dz2yc"", ""'ESC'!BH3:BH139""),MATCH($D69,IMPORTRANGE(""1y0FWgjbB0gVlqn-q5LMJbGIsqOrzru4yowQz67dz2yc"", ""'ESC'!D3:D139""),0))"),0.45)</f>
        <v>0.45</v>
      </c>
      <c r="AA69" s="24">
        <f ca="1">IFERROR(__xludf.DUMMYFUNCTION("INDEX(IMPORTRANGE(""1y0FWgjbB0gVlqn-q5LMJbGIsqOrzru4yowQz67dz2yc"", ""'ESC'!BI3:BI139""),MATCH($D69,IMPORTRANGE(""1y0FWgjbB0gVlqn-q5LMJbGIsqOrzru4yowQz67dz2yc"", ""'ESC'!D3:D139""),0))"),10.0499999999999)</f>
        <v>10.049999999999899</v>
      </c>
      <c r="AB69" s="1"/>
      <c r="AC69" s="1"/>
      <c r="AD69" s="1"/>
    </row>
    <row r="70" spans="1:30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12">
        <v>0</v>
      </c>
      <c r="R70" s="4"/>
      <c r="S70" s="4"/>
      <c r="T70" s="4"/>
      <c r="U70" s="4"/>
      <c r="V70" s="4"/>
      <c r="W70" s="4"/>
      <c r="X70" s="12">
        <v>0</v>
      </c>
      <c r="Y70" s="2">
        <f ca="1">IFERROR(__xludf.DUMMYFUNCTION("INDEX(IMPORTRANGE(""1y0FWgjbB0gVlqn-q5LMJbGIsqOrzru4yowQz67dz2yc"", ""'ESC'!BG3:BG139""),MATCH($D70,IMPORTRANGE(""1y0FWgjbB0gVlqn-q5LMJbGIsqOrzru4yowQz67dz2yc"", ""'ESC'!D3:D139""),0))"),14.7)</f>
        <v>14.7</v>
      </c>
      <c r="Z70" s="2">
        <f ca="1">IFERROR(__xludf.DUMMYFUNCTION("INDEX(IMPORTRANGE(""1y0FWgjbB0gVlqn-q5LMJbGIsqOrzru4yowQz67dz2yc"", ""'ESC'!BH3:BH139""),MATCH($D70,IMPORTRANGE(""1y0FWgjbB0gVlqn-q5LMJbGIsqOrzru4yowQz67dz2yc"", ""'ESC'!D3:D139""),0))"),0)</f>
        <v>0</v>
      </c>
      <c r="AA70" s="2">
        <f ca="1">IFERROR(__xludf.DUMMYFUNCTION("INDEX(IMPORTRANGE(""1y0FWgjbB0gVlqn-q5LMJbGIsqOrzru4yowQz67dz2yc"", ""'ESC'!BI3:BI139""),MATCH($D70,IMPORTRANGE(""1y0FWgjbB0gVlqn-q5LMJbGIsqOrzru4yowQz67dz2yc"", ""'ESC'!D3:D139""),0))"),0)</f>
        <v>0</v>
      </c>
      <c r="AB70" s="1"/>
      <c r="AC70" s="1"/>
      <c r="AD70" s="1"/>
    </row>
    <row r="71" spans="1:30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 t="s">
        <v>150</v>
      </c>
      <c r="Q71" s="12" t="s">
        <v>150</v>
      </c>
      <c r="R71" s="4"/>
      <c r="S71" s="4"/>
      <c r="T71" s="4"/>
      <c r="U71" s="4"/>
      <c r="V71" s="4"/>
      <c r="W71" s="4"/>
      <c r="X71" s="12" t="s">
        <v>150</v>
      </c>
      <c r="Y71" s="299" t="str">
        <f ca="1">IFERROR(__xludf.DUMMYFUNCTION("INDEX(IMPORTRANGE(""1y0FWgjbB0gVlqn-q5LMJbGIsqOrzru4yowQz67dz2yc"", ""'ESC'!BG3:BG139""),MATCH($D71,IMPORTRANGE(""1y0FWgjbB0gVlqn-q5LMJbGIsqOrzru4yowQz67dz2yc"", ""'ESC'!D3:D139""),0))"),"")</f>
        <v/>
      </c>
      <c r="Z71" s="299" t="str">
        <f ca="1">IFERROR(__xludf.DUMMYFUNCTION("INDEX(IMPORTRANGE(""1y0FWgjbB0gVlqn-q5LMJbGIsqOrzru4yowQz67dz2yc"", ""'ESC'!BH3:BH139""),MATCH($D71,IMPORTRANGE(""1y0FWgjbB0gVlqn-q5LMJbGIsqOrzru4yowQz67dz2yc"", ""'ESC'!D3:D139""),0))"),"")</f>
        <v/>
      </c>
      <c r="AA71" s="299" t="str">
        <f ca="1">IFERROR(__xludf.DUMMYFUNCTION("INDEX(IMPORTRANGE(""1y0FWgjbB0gVlqn-q5LMJbGIsqOrzru4yowQz67dz2yc"", ""'ESC'!BI3:BI139""),MATCH($D71,IMPORTRANGE(""1y0FWgjbB0gVlqn-q5LMJbGIsqOrzru4yowQz67dz2yc"", ""'ESC'!D3:D139""),0))"),"")</f>
        <v/>
      </c>
      <c r="AB71" s="1"/>
      <c r="AC71" s="1"/>
      <c r="AD71" s="1"/>
    </row>
    <row r="72" spans="1:30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>P69+P70</f>
        <v>0</v>
      </c>
      <c r="Q72" s="23">
        <v>0</v>
      </c>
      <c r="R72" s="2">
        <v>7.7</v>
      </c>
      <c r="S72" s="2">
        <v>3.9</v>
      </c>
      <c r="T72" s="2">
        <v>7.7</v>
      </c>
      <c r="U72" s="2">
        <v>3.9</v>
      </c>
      <c r="V72" s="2">
        <v>7.7</v>
      </c>
      <c r="W72" s="2">
        <v>23.2</v>
      </c>
      <c r="X72" s="23">
        <v>0</v>
      </c>
      <c r="Y72" s="23">
        <f ca="1">IFERROR(__xludf.DUMMYFUNCTION("INDEX(IMPORTRANGE(""1y0FWgjbB0gVlqn-q5LMJbGIsqOrzru4yowQz67dz2yc"", ""'ESC'!BG3:BG139""),MATCH($D72,IMPORTRANGE(""1y0FWgjbB0gVlqn-q5LMJbGIsqOrzru4yowQz67dz2yc"", ""'ESC'!D3:D139""),0))"),17.3)</f>
        <v>17.3</v>
      </c>
      <c r="Z72" s="23">
        <f ca="1">IFERROR(__xludf.DUMMYFUNCTION("INDEX(IMPORTRANGE(""1y0FWgjbB0gVlqn-q5LMJbGIsqOrzru4yowQz67dz2yc"", ""'ESC'!BH3:BH139""),MATCH($D72,IMPORTRANGE(""1y0FWgjbB0gVlqn-q5LMJbGIsqOrzru4yowQz67dz2yc"", ""'ESC'!D3:D139""),0))"),0.45)</f>
        <v>0.45</v>
      </c>
      <c r="AA72" s="23">
        <f ca="1">IFERROR(__xludf.DUMMYFUNCTION("INDEX(IMPORTRANGE(""1y0FWgjbB0gVlqn-q5LMJbGIsqOrzru4yowQz67dz2yc"", ""'ESC'!BI3:BI139""),MATCH($D72,IMPORTRANGE(""1y0FWgjbB0gVlqn-q5LMJbGIsqOrzru4yowQz67dz2yc"", ""'ESC'!D3:D139""),0))"),10.0499999999999)</f>
        <v>10.049999999999899</v>
      </c>
      <c r="AB72" s="1"/>
      <c r="AC72" s="1"/>
      <c r="AD72" s="1"/>
    </row>
    <row r="73" spans="1:30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">
        <v>5.04</v>
      </c>
      <c r="Q73" s="2">
        <v>5.04</v>
      </c>
      <c r="R73" s="2">
        <v>6.4720000000000004</v>
      </c>
      <c r="S73" s="2">
        <v>7.9039999999999999</v>
      </c>
      <c r="T73" s="2">
        <v>9.3360000000000003</v>
      </c>
      <c r="U73" s="2">
        <v>10.768000000000001</v>
      </c>
      <c r="V73" s="2">
        <v>12.2</v>
      </c>
      <c r="W73" s="2">
        <v>12.2</v>
      </c>
      <c r="X73" s="24">
        <v>5.04</v>
      </c>
      <c r="Y73" s="32">
        <f ca="1">IFERROR(__xludf.DUMMYFUNCTION("INDEX(IMPORTRANGE(""1y0FWgjbB0gVlqn-q5LMJbGIsqOrzru4yowQz67dz2yc"", ""'ESC'!BG3:BG139""),MATCH($D73,IMPORTRANGE(""1y0FWgjbB0gVlqn-q5LMJbGIsqOrzru4yowQz67dz2yc"", ""'ESC'!D3:D139""),0))"),3.88)</f>
        <v>3.88</v>
      </c>
      <c r="Z73" s="32">
        <f ca="1">IFERROR(__xludf.DUMMYFUNCTION("INDEX(IMPORTRANGE(""1y0FWgjbB0gVlqn-q5LMJbGIsqOrzru4yowQz67dz2yc"", ""'ESC'!BH3:BH139""),MATCH($D73,IMPORTRANGE(""1y0FWgjbB0gVlqn-q5LMJbGIsqOrzru4yowQz67dz2yc"", ""'ESC'!D3:D139""),0))"),5.65)</f>
        <v>5.65</v>
      </c>
      <c r="AA73" s="32">
        <f ca="1">IFERROR(__xludf.DUMMYFUNCTION("INDEX(IMPORTRANGE(""1y0FWgjbB0gVlqn-q5LMJbGIsqOrzru4yowQz67dz2yc"", ""'ESC'!BI3:BI139""),MATCH($D73,IMPORTRANGE(""1y0FWgjbB0gVlqn-q5LMJbGIsqOrzru4yowQz67dz2yc"", ""'ESC'!D3:D139""),0))"),8.9)</f>
        <v>8.9</v>
      </c>
      <c r="AB73" s="1"/>
      <c r="AC73" s="1"/>
      <c r="AD73" s="1"/>
    </row>
    <row r="74" spans="1:30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0</v>
      </c>
      <c r="Y74" s="12">
        <f ca="1">IFERROR(__xludf.DUMMYFUNCTION("INDEX(IMPORTRANGE(""1y0FWgjbB0gVlqn-q5LMJbGIsqOrzru4yowQz67dz2yc"", ""'ESC'!BG3:BG139""),MATCH($D74,IMPORTRANGE(""1y0FWgjbB0gVlqn-q5LMJbGIsqOrzru4yowQz67dz2yc"", ""'ESC'!D3:D139""),0))"),0)</f>
        <v>0</v>
      </c>
      <c r="Z74" s="12">
        <f ca="1">IFERROR(__xludf.DUMMYFUNCTION("INDEX(IMPORTRANGE(""1y0FWgjbB0gVlqn-q5LMJbGIsqOrzru4yowQz67dz2yc"", ""'ESC'!BH3:BH139""),MATCH($D74,IMPORTRANGE(""1y0FWgjbB0gVlqn-q5LMJbGIsqOrzru4yowQz67dz2yc"", ""'ESC'!D3:D139""),0))"),4516)</f>
        <v>4516</v>
      </c>
      <c r="AA74" s="12">
        <f ca="1">IFERROR(__xludf.DUMMYFUNCTION("INDEX(IMPORTRANGE(""1y0FWgjbB0gVlqn-q5LMJbGIsqOrzru4yowQz67dz2yc"", ""'ESC'!BI3:BI139""),MATCH($D74,IMPORTRANGE(""1y0FWgjbB0gVlqn-q5LMJbGIsqOrzru4yowQz67dz2yc"", ""'ESC'!D3:D139""),0))"),21026)</f>
        <v>21026</v>
      </c>
      <c r="AB74" s="1"/>
      <c r="AC74" s="1"/>
      <c r="AD74" s="1"/>
    </row>
    <row r="75" spans="1:30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2"/>
      <c r="S75" s="2"/>
      <c r="T75" s="2"/>
      <c r="U75" s="2"/>
      <c r="V75" s="2"/>
      <c r="W75" s="2"/>
      <c r="X75" s="2">
        <v>0</v>
      </c>
      <c r="Y75" s="12">
        <f ca="1">IFERROR(__xludf.DUMMYFUNCTION("INDEX(IMPORTRANGE(""1y0FWgjbB0gVlqn-q5LMJbGIsqOrzru4yowQz67dz2yc"", ""'ESC'!BG3:BG139""),MATCH($D75,IMPORTRANGE(""1y0FWgjbB0gVlqn-q5LMJbGIsqOrzru4yowQz67dz2yc"", ""'ESC'!D3:D139""),0))"),26000)</f>
        <v>26000</v>
      </c>
      <c r="Z75" s="12">
        <f ca="1">IFERROR(__xludf.DUMMYFUNCTION("INDEX(IMPORTRANGE(""1y0FWgjbB0gVlqn-q5LMJbGIsqOrzru4yowQz67dz2yc"", ""'ESC'!BH3:BH139""),MATCH($D75,IMPORTRANGE(""1y0FWgjbB0gVlqn-q5LMJbGIsqOrzru4yowQz67dz2yc"", ""'ESC'!D3:D139""),0))"),1464.29)</f>
        <v>1464.29</v>
      </c>
      <c r="AA75" s="12">
        <f ca="1">IFERROR(__xludf.DUMMYFUNCTION("INDEX(IMPORTRANGE(""1y0FWgjbB0gVlqn-q5LMJbGIsqOrzru4yowQz67dz2yc"", ""'ESC'!BI3:BI139""),MATCH($D75,IMPORTRANGE(""1y0FWgjbB0gVlqn-q5LMJbGIsqOrzru4yowQz67dz2yc"", ""'ESC'!D3:D139""),0))"),1464.29)</f>
        <v>1464.29</v>
      </c>
      <c r="AB75" s="1"/>
      <c r="AC75" s="1"/>
      <c r="AD75" s="1"/>
    </row>
    <row r="76" spans="1:30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2"/>
      <c r="S76" s="2"/>
      <c r="T76" s="2"/>
      <c r="U76" s="2"/>
      <c r="V76" s="2"/>
      <c r="W76" s="2"/>
      <c r="X76" s="2">
        <v>0</v>
      </c>
      <c r="Y76" s="12">
        <f ca="1">IFERROR(__xludf.DUMMYFUNCTION("INDEX(IMPORTRANGE(""1y0FWgjbB0gVlqn-q5LMJbGIsqOrzru4yowQz67dz2yc"", ""'ESC'!BG3:BG139""),MATCH($D76,IMPORTRANGE(""1y0FWgjbB0gVlqn-q5LMJbGIsqOrzru4yowQz67dz2yc"", ""'ESC'!D3:D139""),0))"),0)</f>
        <v>0</v>
      </c>
      <c r="Z76" s="12">
        <f ca="1">IFERROR(__xludf.DUMMYFUNCTION("INDEX(IMPORTRANGE(""1y0FWgjbB0gVlqn-q5LMJbGIsqOrzru4yowQz67dz2yc"", ""'ESC'!BH3:BH139""),MATCH($D76,IMPORTRANGE(""1y0FWgjbB0gVlqn-q5LMJbGIsqOrzru4yowQz67dz2yc"", ""'ESC'!D3:D139""),0))"),1479)</f>
        <v>1479</v>
      </c>
      <c r="AA76" s="12">
        <f ca="1">IFERROR(__xludf.DUMMYFUNCTION("INDEX(IMPORTRANGE(""1y0FWgjbB0gVlqn-q5LMJbGIsqOrzru4yowQz67dz2yc"", ""'ESC'!BI3:BI139""),MATCH($D76,IMPORTRANGE(""1y0FWgjbB0gVlqn-q5LMJbGIsqOrzru4yowQz67dz2yc"", ""'ESC'!D3:D139""),0))"),1479)</f>
        <v>1479</v>
      </c>
      <c r="AB76" s="1"/>
      <c r="AC76" s="1"/>
      <c r="AD76" s="1"/>
    </row>
    <row r="77" spans="1:30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25000</v>
      </c>
      <c r="S77" s="4">
        <v>12500</v>
      </c>
      <c r="T77" s="4">
        <v>25000</v>
      </c>
      <c r="U77" s="4">
        <v>12500</v>
      </c>
      <c r="V77" s="4">
        <v>25000</v>
      </c>
      <c r="W77" s="4">
        <v>75000</v>
      </c>
      <c r="X77" s="2">
        <v>0</v>
      </c>
      <c r="Y77" s="12">
        <f ca="1">IFERROR(__xludf.DUMMYFUNCTION("INDEX(IMPORTRANGE(""1y0FWgjbB0gVlqn-q5LMJbGIsqOrzru4yowQz67dz2yc"", ""'ESC'!BG3:BG139""),MATCH($D77,IMPORTRANGE(""1y0FWgjbB0gVlqn-q5LMJbGIsqOrzru4yowQz67dz2yc"", ""'ESC'!D3:D139""),0))"),26000)</f>
        <v>26000</v>
      </c>
      <c r="Z77" s="12">
        <f ca="1">IFERROR(__xludf.DUMMYFUNCTION("INDEX(IMPORTRANGE(""1y0FWgjbB0gVlqn-q5LMJbGIsqOrzru4yowQz67dz2yc"", ""'ESC'!BH3:BH139""),MATCH($D77,IMPORTRANGE(""1y0FWgjbB0gVlqn-q5LMJbGIsqOrzru4yowQz67dz2yc"", ""'ESC'!D3:D139""),0))"),7459.29)</f>
        <v>7459.29</v>
      </c>
      <c r="AA77" s="12">
        <f ca="1">IFERROR(__xludf.DUMMYFUNCTION("INDEX(IMPORTRANGE(""1y0FWgjbB0gVlqn-q5LMJbGIsqOrzru4yowQz67dz2yc"", ""'ESC'!BI3:BI139""),MATCH($D77,IMPORTRANGE(""1y0FWgjbB0gVlqn-q5LMJbGIsqOrzru4yowQz67dz2yc"", ""'ESC'!D3:D139""),0))"),23969.29)</f>
        <v>23969.29</v>
      </c>
      <c r="AB77" s="1"/>
      <c r="AC77" s="1"/>
      <c r="AD77" s="1"/>
    </row>
    <row r="78" spans="1:30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50">
        <v>67162250.939999998</v>
      </c>
      <c r="Q78" s="50">
        <v>67162250.939999998</v>
      </c>
      <c r="R78" s="4"/>
      <c r="S78" s="4"/>
      <c r="T78" s="4"/>
      <c r="U78" s="4"/>
      <c r="V78" s="4"/>
      <c r="W78" s="4"/>
      <c r="X78" s="50">
        <v>67162250.939999998</v>
      </c>
      <c r="Y78" s="301" t="str">
        <f ca="1">IFERROR(__xludf.DUMMYFUNCTION("INDEX(IMPORTRANGE(""1y0FWgjbB0gVlqn-q5LMJbGIsqOrzru4yowQz67dz2yc"", ""'ESC'!BG3:BG139""),MATCH($D78,IMPORTRANGE(""1y0FWgjbB0gVlqn-q5LMJbGIsqOrzru4yowQz67dz2yc"", ""'ESC'!D3:D139""),0))"),"")</f>
        <v/>
      </c>
      <c r="Z78" s="50">
        <f ca="1">IFERROR(__xludf.DUMMYFUNCTION("INDEX(IMPORTRANGE(""1y0FWgjbB0gVlqn-q5LMJbGIsqOrzru4yowQz67dz2yc"", ""'ESC'!BH3:BH139""),MATCH($D78,IMPORTRANGE(""1y0FWgjbB0gVlqn-q5LMJbGIsqOrzru4yowQz67dz2yc"", ""'ESC'!D3:D139""),0))"),132365663.81)</f>
        <v>132365663.81</v>
      </c>
      <c r="AA78" s="301" t="str">
        <f ca="1">IFERROR(__xludf.DUMMYFUNCTION("INDEX(IMPORTRANGE(""1y0FWgjbB0gVlqn-q5LMJbGIsqOrzru4yowQz67dz2yc"", ""'ESC'!BI3:BI139""),MATCH($D78,IMPORTRANGE(""1y0FWgjbB0gVlqn-q5LMJbGIsqOrzru4yowQz67dz2yc"", ""'ESC'!D3:D139""),0))"),"")</f>
        <v/>
      </c>
      <c r="AB78" s="1"/>
      <c r="AC78" s="1"/>
      <c r="AD78" s="1"/>
    </row>
    <row r="79" spans="1:30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50">
        <v>1887769.8</v>
      </c>
      <c r="Q79" s="50">
        <v>1887769.8</v>
      </c>
      <c r="R79" s="4"/>
      <c r="S79" s="4"/>
      <c r="T79" s="4"/>
      <c r="U79" s="4"/>
      <c r="V79" s="4"/>
      <c r="W79" s="4"/>
      <c r="X79" s="50">
        <v>1887769.8</v>
      </c>
      <c r="Y79" s="301" t="str">
        <f ca="1">IFERROR(__xludf.DUMMYFUNCTION("INDEX(IMPORTRANGE(""1y0FWgjbB0gVlqn-q5LMJbGIsqOrzru4yowQz67dz2yc"", ""'ESC'!BG3:BG139""),MATCH($D79,IMPORTRANGE(""1y0FWgjbB0gVlqn-q5LMJbGIsqOrzru4yowQz67dz2yc"", ""'ESC'!D3:D139""),0))"),"")</f>
        <v/>
      </c>
      <c r="Z79" s="50">
        <f ca="1">IFERROR(__xludf.DUMMYFUNCTION("INDEX(IMPORTRANGE(""1y0FWgjbB0gVlqn-q5LMJbGIsqOrzru4yowQz67dz2yc"", ""'ESC'!BH3:BH139""),MATCH($D79,IMPORTRANGE(""1y0FWgjbB0gVlqn-q5LMJbGIsqOrzru4yowQz67dz2yc"", ""'ESC'!D3:D139""),0))"),14395646.19)</f>
        <v>14395646.189999999</v>
      </c>
      <c r="AA79" s="301" t="str">
        <f ca="1">IFERROR(__xludf.DUMMYFUNCTION("INDEX(IMPORTRANGE(""1y0FWgjbB0gVlqn-q5LMJbGIsqOrzru4yowQz67dz2yc"", ""'ESC'!BI3:BI139""),MATCH($D79,IMPORTRANGE(""1y0FWgjbB0gVlqn-q5LMJbGIsqOrzru4yowQz67dz2yc"", ""'ESC'!D3:D139""),0))"),"")</f>
        <v/>
      </c>
      <c r="AB79" s="1"/>
      <c r="AC79" s="1"/>
      <c r="AD79" s="1"/>
    </row>
    <row r="80" spans="1:30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15">
        <f t="shared" ref="P80:Q80" si="18">P79/P78</f>
        <v>2.8107601719401219E-2</v>
      </c>
      <c r="Q80" s="15">
        <f t="shared" si="18"/>
        <v>2.8107601719401219E-2</v>
      </c>
      <c r="R80" s="2"/>
      <c r="S80" s="26">
        <v>2.5000000000000001E-2</v>
      </c>
      <c r="T80" s="230"/>
      <c r="U80" s="26">
        <v>2.3E-2</v>
      </c>
      <c r="V80" s="26">
        <v>0.02</v>
      </c>
      <c r="W80" s="14">
        <v>0.02</v>
      </c>
      <c r="X80" s="15">
        <f>X79/X78</f>
        <v>2.8107601719401219E-2</v>
      </c>
      <c r="Y80" s="302" t="str">
        <f ca="1">IFERROR(__xludf.DUMMYFUNCTION("INDEX(IMPORTRANGE(""1y0FWgjbB0gVlqn-q5LMJbGIsqOrzru4yowQz67dz2yc"", ""'ESC'!BG3:BG139""),MATCH($D80,IMPORTRANGE(""1y0FWgjbB0gVlqn-q5LMJbGIsqOrzru4yowQz67dz2yc"", ""'ESC'!D3:D139""),0))"),"")</f>
        <v/>
      </c>
      <c r="Z80" s="15">
        <f ca="1">IFERROR(__xludf.DUMMYFUNCTION("INDEX(IMPORTRANGE(""1y0FWgjbB0gVlqn-q5LMJbGIsqOrzru4yowQz67dz2yc"", ""'ESC'!BH3:BH139""),MATCH($D80,IMPORTRANGE(""1y0FWgjbB0gVlqn-q5LMJbGIsqOrzru4yowQz67dz2yc"", ""'ESC'!D3:D139""),0))"),0.108756650143527)</f>
        <v>0.10875665014352701</v>
      </c>
      <c r="AA80" s="302" t="str">
        <f ca="1">IFERROR(__xludf.DUMMYFUNCTION("INDEX(IMPORTRANGE(""1y0FWgjbB0gVlqn-q5LMJbGIsqOrzru4yowQz67dz2yc"", ""'ESC'!BI3:BI139""),MATCH($D80,IMPORTRANGE(""1y0FWgjbB0gVlqn-q5LMJbGIsqOrzru4yowQz67dz2yc"", ""'ESC'!D3:D139""),0))"),"")</f>
        <v/>
      </c>
      <c r="AB80" s="1"/>
      <c r="AC80" s="1"/>
      <c r="AD80" s="1"/>
    </row>
    <row r="81" spans="1:30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12">
        <v>0</v>
      </c>
      <c r="R81" s="2"/>
      <c r="S81" s="2"/>
      <c r="T81" s="2"/>
      <c r="U81" s="2"/>
      <c r="V81" s="2"/>
      <c r="W81" s="2"/>
      <c r="X81" s="12">
        <v>0</v>
      </c>
      <c r="Y81" s="12">
        <f ca="1">IFERROR(__xludf.DUMMYFUNCTION("INDEX(IMPORTRANGE(""1y0FWgjbB0gVlqn-q5LMJbGIsqOrzru4yowQz67dz2yc"", ""'ESC'!BG3:BG139""),MATCH($D81,IMPORTRANGE(""1y0FWgjbB0gVlqn-q5LMJbGIsqOrzru4yowQz67dz2yc"", ""'ESC'!D3:D139""),0))"),0)</f>
        <v>0</v>
      </c>
      <c r="Z81" s="12">
        <f ca="1">IFERROR(__xludf.DUMMYFUNCTION("INDEX(IMPORTRANGE(""1y0FWgjbB0gVlqn-q5LMJbGIsqOrzru4yowQz67dz2yc"", ""'ESC'!BH3:BH139""),MATCH($D81,IMPORTRANGE(""1y0FWgjbB0gVlqn-q5LMJbGIsqOrzru4yowQz67dz2yc"", ""'ESC'!D3:D139""),0))"),3)</f>
        <v>3</v>
      </c>
      <c r="AA81" s="12">
        <f ca="1">IFERROR(__xludf.DUMMYFUNCTION("INDEX(IMPORTRANGE(""1y0FWgjbB0gVlqn-q5LMJbGIsqOrzru4yowQz67dz2yc"", ""'ESC'!BI3:BI139""),MATCH($D81,IMPORTRANGE(""1y0FWgjbB0gVlqn-q5LMJbGIsqOrzru4yowQz67dz2yc"", ""'ESC'!D3:D139""),0))"),6)</f>
        <v>6</v>
      </c>
      <c r="AB81" s="1"/>
      <c r="AC81" s="1"/>
      <c r="AD81" s="1"/>
    </row>
    <row r="82" spans="1:30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0</v>
      </c>
      <c r="Q82" s="12">
        <v>0</v>
      </c>
      <c r="R82" s="2"/>
      <c r="S82" s="2"/>
      <c r="T82" s="2"/>
      <c r="U82" s="2"/>
      <c r="V82" s="2"/>
      <c r="W82" s="2"/>
      <c r="X82" s="12">
        <v>0</v>
      </c>
      <c r="Y82" s="12">
        <f ca="1">IFERROR(__xludf.DUMMYFUNCTION("INDEX(IMPORTRANGE(""1y0FWgjbB0gVlqn-q5LMJbGIsqOrzru4yowQz67dz2yc"", ""'ESC'!BG3:BG139""),MATCH($D82,IMPORTRANGE(""1y0FWgjbB0gVlqn-q5LMJbGIsqOrzru4yowQz67dz2yc"", ""'ESC'!D3:D139""),0))"),0)</f>
        <v>0</v>
      </c>
      <c r="Z82" s="12">
        <f ca="1">IFERROR(__xludf.DUMMYFUNCTION("INDEX(IMPORTRANGE(""1y0FWgjbB0gVlqn-q5LMJbGIsqOrzru4yowQz67dz2yc"", ""'ESC'!BH3:BH139""),MATCH($D82,IMPORTRANGE(""1y0FWgjbB0gVlqn-q5LMJbGIsqOrzru4yowQz67dz2yc"", ""'ESC'!D3:D139""),0))"),0)</f>
        <v>0</v>
      </c>
      <c r="AA82" s="12">
        <f ca="1">IFERROR(__xludf.DUMMYFUNCTION("INDEX(IMPORTRANGE(""1y0FWgjbB0gVlqn-q5LMJbGIsqOrzru4yowQz67dz2yc"", ""'ESC'!BI3:BI139""),MATCH($D82,IMPORTRANGE(""1y0FWgjbB0gVlqn-q5LMJbGIsqOrzru4yowQz67dz2yc"", ""'ESC'!D3:D139""),0))"),0)</f>
        <v>0</v>
      </c>
      <c r="AB82" s="1"/>
      <c r="AC82" s="1"/>
      <c r="AD82" s="1"/>
    </row>
    <row r="83" spans="1:30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v>0</v>
      </c>
      <c r="Q83" s="12">
        <v>0</v>
      </c>
      <c r="R83" s="4">
        <v>3</v>
      </c>
      <c r="S83" s="4">
        <v>2</v>
      </c>
      <c r="T83" s="4">
        <v>4</v>
      </c>
      <c r="U83" s="4">
        <v>2</v>
      </c>
      <c r="V83" s="4">
        <v>4</v>
      </c>
      <c r="W83" s="4">
        <v>11</v>
      </c>
      <c r="X83" s="12">
        <v>0</v>
      </c>
      <c r="Y83" s="12">
        <f ca="1">IFERROR(__xludf.DUMMYFUNCTION("INDEX(IMPORTRANGE(""1y0FWgjbB0gVlqn-q5LMJbGIsqOrzru4yowQz67dz2yc"", ""'ESC'!BG3:BG139""),MATCH($D83,IMPORTRANGE(""1y0FWgjbB0gVlqn-q5LMJbGIsqOrzru4yowQz67dz2yc"", ""'ESC'!D3:D139""),0))"),0)</f>
        <v>0</v>
      </c>
      <c r="Z83" s="12">
        <f ca="1">IFERROR(__xludf.DUMMYFUNCTION("INDEX(IMPORTRANGE(""1y0FWgjbB0gVlqn-q5LMJbGIsqOrzru4yowQz67dz2yc"", ""'ESC'!BH3:BH139""),MATCH($D83,IMPORTRANGE(""1y0FWgjbB0gVlqn-q5LMJbGIsqOrzru4yowQz67dz2yc"", ""'ESC'!D3:D139""),0))"),3)</f>
        <v>3</v>
      </c>
      <c r="AA83" s="12">
        <f ca="1">IFERROR(__xludf.DUMMYFUNCTION("INDEX(IMPORTRANGE(""1y0FWgjbB0gVlqn-q5LMJbGIsqOrzru4yowQz67dz2yc"", ""'ESC'!BI3:BI139""),MATCH($D83,IMPORTRANGE(""1y0FWgjbB0gVlqn-q5LMJbGIsqOrzru4yowQz67dz2yc"", ""'ESC'!D3:D139""),0))"),6)</f>
        <v>6</v>
      </c>
      <c r="AB83" s="1"/>
      <c r="AC83" s="1"/>
      <c r="AD83" s="1"/>
    </row>
    <row r="84" spans="1:30">
      <c r="A84" s="7" t="s">
        <v>199</v>
      </c>
      <c r="B84" s="7" t="s">
        <v>228</v>
      </c>
      <c r="C84" s="1" t="s">
        <v>30</v>
      </c>
      <c r="D84" s="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69</v>
      </c>
      <c r="Q84" s="12">
        <v>94</v>
      </c>
      <c r="R84" s="4"/>
      <c r="S84" s="4"/>
      <c r="T84" s="4"/>
      <c r="U84" s="4"/>
      <c r="V84" s="4"/>
      <c r="W84" s="4"/>
      <c r="X84" s="12">
        <v>60</v>
      </c>
      <c r="Y84" s="12">
        <f ca="1">IFERROR(__xludf.DUMMYFUNCTION("INDEX(IMPORTRANGE(""1y0FWgjbB0gVlqn-q5LMJbGIsqOrzru4yowQz67dz2yc"", ""'ESC'!BG3:BG139""),MATCH($D84,IMPORTRANGE(""1y0FWgjbB0gVlqn-q5LMJbGIsqOrzru4yowQz67dz2yc"", ""'ESC'!D3:D139""),0))"),149)</f>
        <v>149</v>
      </c>
      <c r="Z84" s="12">
        <f ca="1">IFERROR(__xludf.DUMMYFUNCTION("INDEX(IMPORTRANGE(""1y0FWgjbB0gVlqn-q5LMJbGIsqOrzru4yowQz67dz2yc"", ""'ESC'!BH3:BH139""),MATCH($D84,IMPORTRANGE(""1y0FWgjbB0gVlqn-q5LMJbGIsqOrzru4yowQz67dz2yc"", ""'ESC'!D3:D139""),0))"),66)</f>
        <v>66</v>
      </c>
      <c r="AA84" s="12">
        <f ca="1">IFERROR(__xludf.DUMMYFUNCTION("INDEX(IMPORTRANGE(""1y0FWgjbB0gVlqn-q5LMJbGIsqOrzru4yowQz67dz2yc"", ""'ESC'!BI3:BI139""),MATCH($D84,IMPORTRANGE(""1y0FWgjbB0gVlqn-q5LMJbGIsqOrzru4yowQz67dz2yc"", ""'ESC'!D3:D139""),0))"),124)</f>
        <v>124</v>
      </c>
      <c r="AB84" s="1"/>
      <c r="AC84" s="1"/>
      <c r="AD84" s="1"/>
    </row>
    <row r="85" spans="1:30">
      <c r="A85" s="7" t="s">
        <v>199</v>
      </c>
      <c r="B85" s="7" t="s">
        <v>228</v>
      </c>
      <c r="C85" s="1" t="s">
        <v>30</v>
      </c>
      <c r="D85" s="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11</v>
      </c>
      <c r="Q85" s="12">
        <v>18</v>
      </c>
      <c r="R85" s="4"/>
      <c r="S85" s="4"/>
      <c r="T85" s="4"/>
      <c r="U85" s="4"/>
      <c r="V85" s="4"/>
      <c r="W85" s="4"/>
      <c r="X85" s="12">
        <v>11</v>
      </c>
      <c r="Y85" s="12">
        <f ca="1">IFERROR(__xludf.DUMMYFUNCTION("INDEX(IMPORTRANGE(""1y0FWgjbB0gVlqn-q5LMJbGIsqOrzru4yowQz67dz2yc"", ""'ESC'!BG3:BG139""),MATCH($D85,IMPORTRANGE(""1y0FWgjbB0gVlqn-q5LMJbGIsqOrzru4yowQz67dz2yc"", ""'ESC'!D3:D139""),0))"),33)</f>
        <v>33</v>
      </c>
      <c r="Z85" s="12">
        <f ca="1">IFERROR(__xludf.DUMMYFUNCTION("INDEX(IMPORTRANGE(""1y0FWgjbB0gVlqn-q5LMJbGIsqOrzru4yowQz67dz2yc"", ""'ESC'!BH3:BH139""),MATCH($D85,IMPORTRANGE(""1y0FWgjbB0gVlqn-q5LMJbGIsqOrzru4yowQz67dz2yc"", ""'ESC'!D3:D139""),0))"),14)</f>
        <v>14</v>
      </c>
      <c r="AA85" s="12">
        <f ca="1">IFERROR(__xludf.DUMMYFUNCTION("INDEX(IMPORTRANGE(""1y0FWgjbB0gVlqn-q5LMJbGIsqOrzru4yowQz67dz2yc"", ""'ESC'!BI3:BI139""),MATCH($D85,IMPORTRANGE(""1y0FWgjbB0gVlqn-q5LMJbGIsqOrzru4yowQz67dz2yc"", ""'ESC'!D3:D139""),0))"),24)</f>
        <v>24</v>
      </c>
      <c r="AB85" s="1"/>
      <c r="AC85" s="1"/>
      <c r="AD85" s="1"/>
    </row>
    <row r="86" spans="1:30">
      <c r="A86" s="7" t="s">
        <v>199</v>
      </c>
      <c r="B86" s="7" t="s">
        <v>228</v>
      </c>
      <c r="C86" s="1" t="s">
        <v>30</v>
      </c>
      <c r="D86" s="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1018</v>
      </c>
      <c r="Q86" s="12">
        <v>2197</v>
      </c>
      <c r="R86" s="4"/>
      <c r="S86" s="4"/>
      <c r="T86" s="4"/>
      <c r="U86" s="4"/>
      <c r="V86" s="4"/>
      <c r="W86" s="4"/>
      <c r="X86" s="12">
        <v>1459</v>
      </c>
      <c r="Y86" s="12">
        <f ca="1">IFERROR(__xludf.DUMMYFUNCTION("INDEX(IMPORTRANGE(""1y0FWgjbB0gVlqn-q5LMJbGIsqOrzru4yowQz67dz2yc"", ""'ESC'!BG3:BG139""),MATCH($D86,IMPORTRANGE(""1y0FWgjbB0gVlqn-q5LMJbGIsqOrzru4yowQz67dz2yc"", ""'ESC'!D3:D139""),0))"),3886)</f>
        <v>3886</v>
      </c>
      <c r="Z86" s="12">
        <f ca="1">IFERROR(__xludf.DUMMYFUNCTION("INDEX(IMPORTRANGE(""1y0FWgjbB0gVlqn-q5LMJbGIsqOrzru4yowQz67dz2yc"", ""'ESC'!BH3:BH139""),MATCH($D86,IMPORTRANGE(""1y0FWgjbB0gVlqn-q5LMJbGIsqOrzru4yowQz67dz2yc"", ""'ESC'!D3:D139""),0))"),2407)</f>
        <v>2407</v>
      </c>
      <c r="AA86" s="12">
        <f ca="1">IFERROR(__xludf.DUMMYFUNCTION("INDEX(IMPORTRANGE(""1y0FWgjbB0gVlqn-q5LMJbGIsqOrzru4yowQz67dz2yc"", ""'ESC'!BI3:BI139""),MATCH($D86,IMPORTRANGE(""1y0FWgjbB0gVlqn-q5LMJbGIsqOrzru4yowQz67dz2yc"", ""'ESC'!D3:D139""),0))"),4290)</f>
        <v>4290</v>
      </c>
      <c r="AB86" s="1"/>
      <c r="AC86" s="1"/>
      <c r="AD86" s="1"/>
    </row>
    <row r="87" spans="1:30">
      <c r="A87" s="7" t="s">
        <v>199</v>
      </c>
      <c r="B87" s="7" t="s">
        <v>228</v>
      </c>
      <c r="C87" s="1" t="s">
        <v>30</v>
      </c>
      <c r="D87" s="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58</v>
      </c>
      <c r="Q87" s="12">
        <v>97</v>
      </c>
      <c r="R87" s="4"/>
      <c r="S87" s="4"/>
      <c r="T87" s="4"/>
      <c r="U87" s="4"/>
      <c r="V87" s="4"/>
      <c r="W87" s="4"/>
      <c r="X87" s="12">
        <v>231</v>
      </c>
      <c r="Y87" s="12">
        <f ca="1">IFERROR(__xludf.DUMMYFUNCTION("INDEX(IMPORTRANGE(""1y0FWgjbB0gVlqn-q5LMJbGIsqOrzru4yowQz67dz2yc"", ""'ESC'!BG3:BG139""),MATCH($D87,IMPORTRANGE(""1y0FWgjbB0gVlqn-q5LMJbGIsqOrzru4yowQz67dz2yc"", ""'ESC'!D3:D139""),0))"),537)</f>
        <v>537</v>
      </c>
      <c r="Z87" s="12">
        <f ca="1">IFERROR(__xludf.DUMMYFUNCTION("INDEX(IMPORTRANGE(""1y0FWgjbB0gVlqn-q5LMJbGIsqOrzru4yowQz67dz2yc"", ""'ESC'!BH3:BH139""),MATCH($D87,IMPORTRANGE(""1y0FWgjbB0gVlqn-q5LMJbGIsqOrzru4yowQz67dz2yc"", ""'ESC'!D3:D139""),0))"),285)</f>
        <v>285</v>
      </c>
      <c r="AA87" s="12">
        <f ca="1">IFERROR(__xludf.DUMMYFUNCTION("INDEX(IMPORTRANGE(""1y0FWgjbB0gVlqn-q5LMJbGIsqOrzru4yowQz67dz2yc"", ""'ESC'!BI3:BI139""),MATCH($D87,IMPORTRANGE(""1y0FWgjbB0gVlqn-q5LMJbGIsqOrzru4yowQz67dz2yc"", ""'ESC'!D3:D139""),0))"),446)</f>
        <v>446</v>
      </c>
      <c r="AB87" s="1"/>
      <c r="AC87" s="1"/>
      <c r="AD87" s="1"/>
    </row>
    <row r="88" spans="1:30">
      <c r="A88" s="7" t="s">
        <v>199</v>
      </c>
      <c r="B88" s="7" t="s">
        <v>228</v>
      </c>
      <c r="C88" s="1" t="s">
        <v>30</v>
      </c>
      <c r="D88" s="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547</v>
      </c>
      <c r="Q88" s="12">
        <v>759</v>
      </c>
      <c r="R88" s="4"/>
      <c r="S88" s="4"/>
      <c r="T88" s="4"/>
      <c r="U88" s="4"/>
      <c r="V88" s="4"/>
      <c r="W88" s="4"/>
      <c r="X88" s="12">
        <v>171</v>
      </c>
      <c r="Y88" s="12">
        <f ca="1">IFERROR(__xludf.DUMMYFUNCTION("INDEX(IMPORTRANGE(""1y0FWgjbB0gVlqn-q5LMJbGIsqOrzru4yowQz67dz2yc"", ""'ESC'!BG3:BG139""),MATCH($D88,IMPORTRANGE(""1y0FWgjbB0gVlqn-q5LMJbGIsqOrzru4yowQz67dz2yc"", ""'ESC'!D3:D139""),0))"),171)</f>
        <v>171</v>
      </c>
      <c r="Z88" s="12">
        <f ca="1">IFERROR(__xludf.DUMMYFUNCTION("INDEX(IMPORTRANGE(""1y0FWgjbB0gVlqn-q5LMJbGIsqOrzru4yowQz67dz2yc"", ""'ESC'!BH3:BH139""),MATCH($D88,IMPORTRANGE(""1y0FWgjbB0gVlqn-q5LMJbGIsqOrzru4yowQz67dz2yc"", ""'ESC'!D3:D139""),0))"),153)</f>
        <v>153</v>
      </c>
      <c r="AA88" s="12">
        <f ca="1">IFERROR(__xludf.DUMMYFUNCTION("INDEX(IMPORTRANGE(""1y0FWgjbB0gVlqn-q5LMJbGIsqOrzru4yowQz67dz2yc"", ""'ESC'!BI3:BI139""),MATCH($D88,IMPORTRANGE(""1y0FWgjbB0gVlqn-q5LMJbGIsqOrzru4yowQz67dz2yc"", ""'ESC'!D3:D139""),0))"),311)</f>
        <v>311</v>
      </c>
      <c r="AB88" s="1"/>
      <c r="AC88" s="1"/>
      <c r="AD88" s="1"/>
    </row>
    <row r="89" spans="1:30">
      <c r="A89" s="7" t="s">
        <v>199</v>
      </c>
      <c r="B89" s="7" t="s">
        <v>228</v>
      </c>
      <c r="C89" s="1" t="s">
        <v>36</v>
      </c>
      <c r="D89" s="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19">SUM(P84:P88)</f>
        <v>1703</v>
      </c>
      <c r="Q89" s="12">
        <f t="shared" si="19"/>
        <v>3165</v>
      </c>
      <c r="R89" s="2">
        <v>3154</v>
      </c>
      <c r="S89" s="2">
        <v>1692</v>
      </c>
      <c r="T89" s="2">
        <v>3144</v>
      </c>
      <c r="U89" s="2">
        <v>1686</v>
      </c>
      <c r="V89" s="2">
        <v>3133</v>
      </c>
      <c r="W89" s="2">
        <v>3133</v>
      </c>
      <c r="X89" s="12">
        <f>SUM(X84:X88)</f>
        <v>1932</v>
      </c>
      <c r="Y89" s="12">
        <f ca="1">IFERROR(__xludf.DUMMYFUNCTION("INDEX(IMPORTRANGE(""1y0FWgjbB0gVlqn-q5LMJbGIsqOrzru4yowQz67dz2yc"", ""'ESC'!BG3:BG139""),MATCH($D89,IMPORTRANGE(""1y0FWgjbB0gVlqn-q5LMJbGIsqOrzru4yowQz67dz2yc"", ""'ESC'!D3:D139""),0))"),4776)</f>
        <v>4776</v>
      </c>
      <c r="Z89" s="12">
        <f ca="1">IFERROR(__xludf.DUMMYFUNCTION("INDEX(IMPORTRANGE(""1y0FWgjbB0gVlqn-q5LMJbGIsqOrzru4yowQz67dz2yc"", ""'ESC'!BH3:BH139""),MATCH($D89,IMPORTRANGE(""1y0FWgjbB0gVlqn-q5LMJbGIsqOrzru4yowQz67dz2yc"", ""'ESC'!D3:D139""),0))"),2925)</f>
        <v>2925</v>
      </c>
      <c r="AA89" s="12">
        <f ca="1">IFERROR(__xludf.DUMMYFUNCTION("INDEX(IMPORTRANGE(""1y0FWgjbB0gVlqn-q5LMJbGIsqOrzru4yowQz67dz2yc"", ""'ESC'!BI3:BI139""),MATCH($D89,IMPORTRANGE(""1y0FWgjbB0gVlqn-q5LMJbGIsqOrzru4yowQz67dz2yc"", ""'ESC'!D3:D139""),0))"),5195)</f>
        <v>5195</v>
      </c>
      <c r="AB89" s="1"/>
      <c r="AC89" s="1"/>
      <c r="AD89" s="1"/>
    </row>
    <row r="90" spans="1:30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2">
        <v>0</v>
      </c>
      <c r="Q90" s="2">
        <v>0</v>
      </c>
      <c r="R90" s="2">
        <v>1</v>
      </c>
      <c r="S90" s="2">
        <v>2</v>
      </c>
      <c r="T90" s="2">
        <v>2</v>
      </c>
      <c r="U90" s="2">
        <v>3</v>
      </c>
      <c r="V90" s="2">
        <v>3</v>
      </c>
      <c r="W90" s="2">
        <v>3</v>
      </c>
      <c r="X90" s="2">
        <v>0</v>
      </c>
      <c r="Y90" s="2">
        <f ca="1">IFERROR(__xludf.DUMMYFUNCTION("INDEX(IMPORTRANGE(""1y0FWgjbB0gVlqn-q5LMJbGIsqOrzru4yowQz67dz2yc"", ""'ESC'!BG3:BG139""),MATCH($D90,IMPORTRANGE(""1y0FWgjbB0gVlqn-q5LMJbGIsqOrzru4yowQz67dz2yc"", ""'ESC'!D3:D139""),0))"),0)</f>
        <v>0</v>
      </c>
      <c r="Z90" s="2">
        <f ca="1">IFERROR(__xludf.DUMMYFUNCTION("INDEX(IMPORTRANGE(""1y0FWgjbB0gVlqn-q5LMJbGIsqOrzru4yowQz67dz2yc"", ""'ESC'!BH3:BH139""),MATCH($D90,IMPORTRANGE(""1y0FWgjbB0gVlqn-q5LMJbGIsqOrzru4yowQz67dz2yc"", ""'ESC'!D3:D139""),0))"),89)</f>
        <v>89</v>
      </c>
      <c r="AA90" s="2">
        <f ca="1">IFERROR(__xludf.DUMMYFUNCTION("INDEX(IMPORTRANGE(""1y0FWgjbB0gVlqn-q5LMJbGIsqOrzru4yowQz67dz2yc"", ""'ESC'!BI3:BI139""),MATCH($D90,IMPORTRANGE(""1y0FWgjbB0gVlqn-q5LMJbGIsqOrzru4yowQz67dz2yc"", ""'ESC'!D3:D139""),0))"),183)</f>
        <v>183</v>
      </c>
      <c r="AB90" s="1"/>
      <c r="AC90" s="1"/>
      <c r="AD90" s="1"/>
    </row>
    <row r="91" spans="1:30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29">
        <v>1</v>
      </c>
      <c r="Q91" s="29">
        <v>1</v>
      </c>
      <c r="R91" s="2">
        <v>4</v>
      </c>
      <c r="S91" s="2">
        <v>6</v>
      </c>
      <c r="T91" s="2">
        <v>8</v>
      </c>
      <c r="U91" s="2">
        <v>11</v>
      </c>
      <c r="V91" s="2">
        <v>13</v>
      </c>
      <c r="W91" s="2">
        <v>13</v>
      </c>
      <c r="X91" s="257">
        <v>1</v>
      </c>
      <c r="Y91" s="2">
        <f ca="1">IFERROR(__xludf.DUMMYFUNCTION("INDEX(IMPORTRANGE(""1y0FWgjbB0gVlqn-q5LMJbGIsqOrzru4yowQz67dz2yc"", ""'ESC'!BG3:BG139""),MATCH($D91,IMPORTRANGE(""1y0FWgjbB0gVlqn-q5LMJbGIsqOrzru4yowQz67dz2yc"", ""'ESC'!D3:D139""),0))"),0)</f>
        <v>0</v>
      </c>
      <c r="Z91" s="2">
        <f ca="1">IFERROR(__xludf.DUMMYFUNCTION("INDEX(IMPORTRANGE(""1y0FWgjbB0gVlqn-q5LMJbGIsqOrzru4yowQz67dz2yc"", ""'ESC'!BH3:BH139""),MATCH($D91,IMPORTRANGE(""1y0FWgjbB0gVlqn-q5LMJbGIsqOrzru4yowQz67dz2yc"", ""'ESC'!D3:D139""),0))"),24)</f>
        <v>24</v>
      </c>
      <c r="AA91" s="2">
        <f ca="1">IFERROR(__xludf.DUMMYFUNCTION("INDEX(IMPORTRANGE(""1y0FWgjbB0gVlqn-q5LMJbGIsqOrzru4yowQz67dz2yc"", ""'ESC'!BI3:BI139""),MATCH($D91,IMPORTRANGE(""1y0FWgjbB0gVlqn-q5LMJbGIsqOrzru4yowQz67dz2yc"", ""'ESC'!D3:D139""),0))"),36)</f>
        <v>36</v>
      </c>
      <c r="AB91" s="1"/>
      <c r="AC91" s="1"/>
      <c r="AD91" s="1"/>
    </row>
    <row r="92" spans="1:30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1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12">
        <v>100</v>
      </c>
      <c r="Y92" s="24">
        <f ca="1">IFERROR(__xludf.DUMMYFUNCTION("INDEX(IMPORTRANGE(""1y0FWgjbB0gVlqn-q5LMJbGIsqOrzru4yowQz67dz2yc"", ""'ESC'!BG3:BG139""),MATCH($D92,IMPORTRANGE(""1y0FWgjbB0gVlqn-q5LMJbGIsqOrzru4yowQz67dz2yc"", ""'ESC'!D3:D139""),0))"),96.43)</f>
        <v>96.43</v>
      </c>
      <c r="Z92" s="24">
        <f ca="1">IFERROR(__xludf.DUMMYFUNCTION("INDEX(IMPORTRANGE(""1y0FWgjbB0gVlqn-q5LMJbGIsqOrzru4yowQz67dz2yc"", ""'ESC'!BH3:BH139""),MATCH($D92,IMPORTRANGE(""1y0FWgjbB0gVlqn-q5LMJbGIsqOrzru4yowQz67dz2yc"", ""'ESC'!D3:D139""),0))"),96.29)</f>
        <v>96.29</v>
      </c>
      <c r="AA92" s="24">
        <f ca="1">IFERROR(__xludf.DUMMYFUNCTION("INDEX(IMPORTRANGE(""1y0FWgjbB0gVlqn-q5LMJbGIsqOrzru4yowQz67dz2yc"", ""'ESC'!BI3:BI139""),MATCH($D92,IMPORTRANGE(""1y0FWgjbB0gVlqn-q5LMJbGIsqOrzru4yowQz67dz2yc"", ""'ESC'!D3:D139""),0))"),98.03)</f>
        <v>98.03</v>
      </c>
      <c r="AB92" s="1"/>
      <c r="AC92" s="1"/>
      <c r="AD92" s="1"/>
    </row>
    <row r="93" spans="1:30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8">
        <v>0</v>
      </c>
      <c r="Q93" s="18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8">
        <v>0</v>
      </c>
      <c r="Y93" s="23">
        <f ca="1">IFERROR(__xludf.DUMMYFUNCTION("INDEX(IMPORTRANGE(""1y0FWgjbB0gVlqn-q5LMJbGIsqOrzru4yowQz67dz2yc"", ""'ESC'!BG3:BG139""),MATCH($D93,IMPORTRANGE(""1y0FWgjbB0gVlqn-q5LMJbGIsqOrzru4yowQz67dz2yc"", ""'ESC'!D3:D139""),0))"),0)</f>
        <v>0</v>
      </c>
      <c r="Z93" s="23">
        <f ca="1">IFERROR(__xludf.DUMMYFUNCTION("INDEX(IMPORTRANGE(""1y0FWgjbB0gVlqn-q5LMJbGIsqOrzru4yowQz67dz2yc"", ""'ESC'!BH3:BH139""),MATCH($D93,IMPORTRANGE(""1y0FWgjbB0gVlqn-q5LMJbGIsqOrzru4yowQz67dz2yc"", ""'ESC'!D3:D139""),0))"),3.710407239819)</f>
        <v>3.7104072398189998</v>
      </c>
      <c r="AA93" s="23">
        <f ca="1">IFERROR(__xludf.DUMMYFUNCTION("INDEX(IMPORTRANGE(""1y0FWgjbB0gVlqn-q5LMJbGIsqOrzru4yowQz67dz2yc"", ""'ESC'!BI3:BI139""),MATCH($D93,IMPORTRANGE(""1y0FWgjbB0gVlqn-q5LMJbGIsqOrzru4yowQz67dz2yc"", ""'ESC'!D3:D139""),0))"),2.9132044426162)</f>
        <v>2.9132044426162</v>
      </c>
      <c r="AB93" s="1"/>
      <c r="AC93" s="1"/>
      <c r="AD93" s="1"/>
    </row>
    <row r="94" spans="1:30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287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3</v>
      </c>
      <c r="Y94" s="2">
        <f ca="1">IFERROR(__xludf.DUMMYFUNCTION("INDEX(IMPORTRANGE(""1y0FWgjbB0gVlqn-q5LMJbGIsqOrzru4yowQz67dz2yc"", ""'ESC'!BG3:BG139""),MATCH($D94,IMPORTRANGE(""1y0FWgjbB0gVlqn-q5LMJbGIsqOrzru4yowQz67dz2yc"", ""'ESC'!D3:D139""),0))"),3)</f>
        <v>3</v>
      </c>
      <c r="Z94" s="2">
        <f ca="1">IFERROR(__xludf.DUMMYFUNCTION("INDEX(IMPORTRANGE(""1y0FWgjbB0gVlqn-q5LMJbGIsqOrzru4yowQz67dz2yc"", ""'ESC'!BH3:BH139""),MATCH($D94,IMPORTRANGE(""1y0FWgjbB0gVlqn-q5LMJbGIsqOrzru4yowQz67dz2yc"", ""'ESC'!D3:D139""),0))"),2)</f>
        <v>2</v>
      </c>
      <c r="AA94" s="2" t="str">
        <f ca="1">IFERROR(__xludf.DUMMYFUNCTION("INDEX(IMPORTRANGE(""1y0FWgjbB0gVlqn-q5LMJbGIsqOrzru4yowQz67dz2yc"", ""'ESC'!BI3:BI139""),MATCH($D94,IMPORTRANGE(""1y0FWgjbB0gVlqn-q5LMJbGIsqOrzru4yowQz67dz2yc"", ""'ESC'!D3:D139""),0))"),"")</f>
        <v/>
      </c>
      <c r="AB94" s="1"/>
      <c r="AC94" s="1"/>
      <c r="AD94" s="1"/>
    </row>
    <row r="95" spans="1:30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14</v>
      </c>
      <c r="Y95" s="2">
        <f ca="1">IFERROR(__xludf.DUMMYFUNCTION("INDEX(IMPORTRANGE(""1y0FWgjbB0gVlqn-q5LMJbGIsqOrzru4yowQz67dz2yc"", ""'ESC'!BG3:BG139""),MATCH($D95,IMPORTRANGE(""1y0FWgjbB0gVlqn-q5LMJbGIsqOrzru4yowQz67dz2yc"", ""'ESC'!D3:D139""),0))"),15)</f>
        <v>15</v>
      </c>
      <c r="Z95" s="2">
        <f ca="1">IFERROR(__xludf.DUMMYFUNCTION("INDEX(IMPORTRANGE(""1y0FWgjbB0gVlqn-q5LMJbGIsqOrzru4yowQz67dz2yc"", ""'ESC'!BH3:BH139""),MATCH($D95,IMPORTRANGE(""1y0FWgjbB0gVlqn-q5LMJbGIsqOrzru4yowQz67dz2yc"", ""'ESC'!D3:D139""),0))"),15)</f>
        <v>15</v>
      </c>
      <c r="AA95" s="2">
        <f ca="1">IFERROR(__xludf.DUMMYFUNCTION("INDEX(IMPORTRANGE(""1y0FWgjbB0gVlqn-q5LMJbGIsqOrzru4yowQz67dz2yc"", ""'ESC'!BI3:BI139""),MATCH($D95,IMPORTRANGE(""1y0FWgjbB0gVlqn-q5LMJbGIsqOrzru4yowQz67dz2yc"", ""'ESC'!D3:D139""),0))"),0)</f>
        <v>0</v>
      </c>
      <c r="AB95" s="1"/>
      <c r="AC95" s="1"/>
      <c r="AD95" s="1"/>
    </row>
    <row r="96" spans="1:30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0</v>
      </c>
      <c r="Y96" s="2">
        <f ca="1">IFERROR(__xludf.DUMMYFUNCTION("INDEX(IMPORTRANGE(""1y0FWgjbB0gVlqn-q5LMJbGIsqOrzru4yowQz67dz2yc"", ""'ESC'!BG3:BG139""),MATCH($D96,IMPORTRANGE(""1y0FWgjbB0gVlqn-q5LMJbGIsqOrzru4yowQz67dz2yc"", ""'ESC'!D3:D139""),0))"),0)</f>
        <v>0</v>
      </c>
      <c r="Z96" s="250" t="str">
        <f ca="1">IFERROR(__xludf.DUMMYFUNCTION("INDEX(IMPORTRANGE(""1y0FWgjbB0gVlqn-q5LMJbGIsqOrzru4yowQz67dz2yc"", ""'ESC'!BH3:BH139""),MATCH($D96,IMPORTRANGE(""1y0FWgjbB0gVlqn-q5LMJbGIsqOrzru4yowQz67dz2yc"", ""'ESC'!D3:D139""),0))"),"")</f>
        <v/>
      </c>
      <c r="AA96" s="2" t="str">
        <f ca="1">IFERROR(__xludf.DUMMYFUNCTION("INDEX(IMPORTRANGE(""1y0FWgjbB0gVlqn-q5LMJbGIsqOrzru4yowQz67dz2yc"", ""'ESC'!BI3:BI139""),MATCH($D96,IMPORTRANGE(""1y0FWgjbB0gVlqn-q5LMJbGIsqOrzru4yowQz67dz2yc"", ""'ESC'!D3:D139""),0))"),"")</f>
        <v/>
      </c>
      <c r="AB96" s="1"/>
      <c r="AC96" s="1"/>
      <c r="AD96" s="1"/>
    </row>
    <row r="97" spans="1:30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0</v>
      </c>
      <c r="Y97" s="2">
        <f ca="1">IFERROR(__xludf.DUMMYFUNCTION("INDEX(IMPORTRANGE(""1y0FWgjbB0gVlqn-q5LMJbGIsqOrzru4yowQz67dz2yc"", ""'ESC'!BG3:BG139""),MATCH($D97,IMPORTRANGE(""1y0FWgjbB0gVlqn-q5LMJbGIsqOrzru4yowQz67dz2yc"", ""'ESC'!D3:D139""),0))"),0)</f>
        <v>0</v>
      </c>
      <c r="Z97" s="2">
        <f ca="1">IFERROR(__xludf.DUMMYFUNCTION("INDEX(IMPORTRANGE(""1y0FWgjbB0gVlqn-q5LMJbGIsqOrzru4yowQz67dz2yc"", ""'ESC'!BH3:BH139""),MATCH($D97,IMPORTRANGE(""1y0FWgjbB0gVlqn-q5LMJbGIsqOrzru4yowQz67dz2yc"", ""'ESC'!D3:D139""),0))"),0)</f>
        <v>0</v>
      </c>
      <c r="AA97" s="2">
        <f ca="1">IFERROR(__xludf.DUMMYFUNCTION("INDEX(IMPORTRANGE(""1y0FWgjbB0gVlqn-q5LMJbGIsqOrzru4yowQz67dz2yc"", ""'ESC'!BI3:BI139""),MATCH($D97,IMPORTRANGE(""1y0FWgjbB0gVlqn-q5LMJbGIsqOrzru4yowQz67dz2yc"", ""'ESC'!D3:D139""),0))"),0)</f>
        <v>0</v>
      </c>
      <c r="AB97" s="1"/>
      <c r="AC97" s="1"/>
      <c r="AD97" s="1"/>
    </row>
    <row r="98" spans="1:30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4"/>
      <c r="S98" s="4"/>
      <c r="T98" s="4"/>
      <c r="U98" s="4"/>
      <c r="V98" s="4"/>
      <c r="W98" s="4"/>
      <c r="X98" s="2">
        <v>16</v>
      </c>
      <c r="Y98" s="2">
        <f ca="1">IFERROR(__xludf.DUMMYFUNCTION("INDEX(IMPORTRANGE(""1y0FWgjbB0gVlqn-q5LMJbGIsqOrzru4yowQz67dz2yc"", ""'ESC'!BG3:BG139""),MATCH($D98,IMPORTRANGE(""1y0FWgjbB0gVlqn-q5LMJbGIsqOrzru4yowQz67dz2yc"", ""'ESC'!D3:D139""),0))"),17)</f>
        <v>17</v>
      </c>
      <c r="Z98" s="2">
        <f ca="1">IFERROR(__xludf.DUMMYFUNCTION("INDEX(IMPORTRANGE(""1y0FWgjbB0gVlqn-q5LMJbGIsqOrzru4yowQz67dz2yc"", ""'ESC'!BH3:BH139""),MATCH($D98,IMPORTRANGE(""1y0FWgjbB0gVlqn-q5LMJbGIsqOrzru4yowQz67dz2yc"", ""'ESC'!D3:D139""),0))"),11)</f>
        <v>11</v>
      </c>
      <c r="AA98" s="2" t="str">
        <f ca="1">IFERROR(__xludf.DUMMYFUNCTION("INDEX(IMPORTRANGE(""1y0FWgjbB0gVlqn-q5LMJbGIsqOrzru4yowQz67dz2yc"", ""'ESC'!BI3:BI139""),MATCH($D98,IMPORTRANGE(""1y0FWgjbB0gVlqn-q5LMJbGIsqOrzru4yowQz67dz2yc"", ""'ESC'!D3:D139""),0))"),"")</f>
        <v/>
      </c>
      <c r="AB98" s="1"/>
      <c r="AC98" s="1"/>
      <c r="AD98" s="1"/>
    </row>
    <row r="99" spans="1:30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254"/>
      <c r="Q99" s="254"/>
      <c r="R99" s="4"/>
      <c r="S99" s="4"/>
      <c r="T99" s="4"/>
      <c r="U99" s="4"/>
      <c r="V99" s="4"/>
      <c r="W99" s="4"/>
      <c r="X99" s="2">
        <v>50</v>
      </c>
      <c r="Y99" s="2">
        <f ca="1">IFERROR(__xludf.DUMMYFUNCTION("INDEX(IMPORTRANGE(""1y0FWgjbB0gVlqn-q5LMJbGIsqOrzru4yowQz67dz2yc"", ""'ESC'!BG3:BG139""),MATCH($D99,IMPORTRANGE(""1y0FWgjbB0gVlqn-q5LMJbGIsqOrzru4yowQz67dz2yc"", ""'ESC'!D3:D139""),0))"),50)</f>
        <v>50</v>
      </c>
      <c r="Z99" s="2">
        <f ca="1">IFERROR(__xludf.DUMMYFUNCTION("INDEX(IMPORTRANGE(""1y0FWgjbB0gVlqn-q5LMJbGIsqOrzru4yowQz67dz2yc"", ""'ESC'!BH3:BH139""),MATCH($D99,IMPORTRANGE(""1y0FWgjbB0gVlqn-q5LMJbGIsqOrzru4yowQz67dz2yc"", ""'ESC'!D3:D139""),0))"),49)</f>
        <v>49</v>
      </c>
      <c r="AA99" s="2">
        <f ca="1">IFERROR(__xludf.DUMMYFUNCTION("INDEX(IMPORTRANGE(""1y0FWgjbB0gVlqn-q5LMJbGIsqOrzru4yowQz67dz2yc"", ""'ESC'!BI3:BI139""),MATCH($D99,IMPORTRANGE(""1y0FWgjbB0gVlqn-q5LMJbGIsqOrzru4yowQz67dz2yc"", ""'ESC'!D3:D139""),0))"),0)</f>
        <v>0</v>
      </c>
      <c r="AB99" s="1"/>
      <c r="AC99" s="1"/>
      <c r="AD99" s="1"/>
    </row>
    <row r="100" spans="1:30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1">
        <v>44469</v>
      </c>
      <c r="H100" s="13"/>
      <c r="I100" s="11">
        <v>44651</v>
      </c>
      <c r="J100" s="13"/>
      <c r="K100" s="11">
        <v>45016</v>
      </c>
      <c r="L100" s="13"/>
      <c r="M100" s="11">
        <v>45382</v>
      </c>
      <c r="N100" s="13"/>
      <c r="O100" s="11">
        <v>45565</v>
      </c>
      <c r="P100" s="254"/>
      <c r="Q100" s="25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0.296875</v>
      </c>
      <c r="Y100" s="15">
        <f ca="1">IFERROR(__xludf.DUMMYFUNCTION("INDEX(IMPORTRANGE(""1y0FWgjbB0gVlqn-q5LMJbGIsqOrzru4yowQz67dz2yc"", ""'ESC'!BG3:BG139""),MATCH($D100,IMPORTRANGE(""1y0FWgjbB0gVlqn-q5LMJbGIsqOrzru4yowQz67dz2yc"", ""'ESC'!D3:D139""),0))"),0.307692307692307)</f>
        <v>0.30769230769230699</v>
      </c>
      <c r="Z100" s="15">
        <f ca="1">IFERROR(__xludf.DUMMYFUNCTION("INDEX(IMPORTRANGE(""1y0FWgjbB0gVlqn-q5LMJbGIsqOrzru4yowQz67dz2yc"", ""'ESC'!BH3:BH139""),MATCH($D100,IMPORTRANGE(""1y0FWgjbB0gVlqn-q5LMJbGIsqOrzru4yowQz67dz2yc"", ""'ESC'!D3:D139""),0))"),0.203125)</f>
        <v>0.203125</v>
      </c>
      <c r="AA100" s="15" t="str">
        <f ca="1">IFERROR(__xludf.DUMMYFUNCTION("INDEX(IMPORTRANGE(""1y0FWgjbB0gVlqn-q5LMJbGIsqOrzru4yowQz67dz2yc"", ""'ESC'!BI3:BI139""),MATCH($D100,IMPORTRANGE(""1y0FWgjbB0gVlqn-q5LMJbGIsqOrzru4yowQz67dz2yc"", ""'ESC'!D3:D139""),0))"),"")</f>
        <v/>
      </c>
      <c r="AB100" s="1"/>
      <c r="AC100" s="1"/>
      <c r="AD100" s="1"/>
    </row>
    <row r="101" spans="1:30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6">
        <v>481128007.70999998</v>
      </c>
      <c r="Q101" s="36">
        <v>481128007.70999998</v>
      </c>
      <c r="R101" s="4"/>
      <c r="S101" s="4"/>
      <c r="T101" s="4"/>
      <c r="U101" s="4"/>
      <c r="V101" s="4"/>
      <c r="W101" s="4"/>
      <c r="X101" s="36">
        <v>481128007.70999998</v>
      </c>
      <c r="Y101" s="303" t="str">
        <f ca="1">IFERROR(__xludf.DUMMYFUNCTION("INDEX(IMPORTRANGE(""1y0FWgjbB0gVlqn-q5LMJbGIsqOrzru4yowQz67dz2yc"", ""'ESC'!BG3:BG139""),MATCH($D101,IMPORTRANGE(""1y0FWgjbB0gVlqn-q5LMJbGIsqOrzru4yowQz67dz2yc"", ""'ESC'!D3:D139""),0))"),"")</f>
        <v/>
      </c>
      <c r="Z101" s="36">
        <f ca="1">IFERROR(__xludf.DUMMYFUNCTION("INDEX(IMPORTRANGE(""1y0FWgjbB0gVlqn-q5LMJbGIsqOrzru4yowQz67dz2yc"", ""'ESC'!BH3:BH139""),MATCH($D101,IMPORTRANGE(""1y0FWgjbB0gVlqn-q5LMJbGIsqOrzru4yowQz67dz2yc"", ""'ESC'!D3:D139""),0))"),467600711.98)</f>
        <v>467600711.98000002</v>
      </c>
      <c r="AA101" s="303" t="str">
        <f ca="1">IFERROR(__xludf.DUMMYFUNCTION("INDEX(IMPORTRANGE(""1y0FWgjbB0gVlqn-q5LMJbGIsqOrzru4yowQz67dz2yc"", ""'ESC'!BI3:BI139""),MATCH($D101,IMPORTRANGE(""1y0FWgjbB0gVlqn-q5LMJbGIsqOrzru4yowQz67dz2yc"", ""'ESC'!D3:D139""),0))"),"")</f>
        <v/>
      </c>
      <c r="AB101" s="1"/>
      <c r="AC101" s="1"/>
      <c r="AD101" s="1"/>
    </row>
    <row r="102" spans="1:30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1449594972.8199999</v>
      </c>
      <c r="Q102" s="36">
        <v>1449594972.8199999</v>
      </c>
      <c r="R102" s="4"/>
      <c r="S102" s="4"/>
      <c r="T102" s="4"/>
      <c r="U102" s="4"/>
      <c r="V102" s="4"/>
      <c r="W102" s="4"/>
      <c r="X102" s="36">
        <v>1449594972.8199999</v>
      </c>
      <c r="Y102" s="303" t="str">
        <f ca="1">IFERROR(__xludf.DUMMYFUNCTION("INDEX(IMPORTRANGE(""1y0FWgjbB0gVlqn-q5LMJbGIsqOrzru4yowQz67dz2yc"", ""'ESC'!BG3:BG139""),MATCH($D102,IMPORTRANGE(""1y0FWgjbB0gVlqn-q5LMJbGIsqOrzru4yowQz67dz2yc"", ""'ESC'!D3:D139""),0))"),"")</f>
        <v/>
      </c>
      <c r="Z102" s="36">
        <f ca="1">IFERROR(__xludf.DUMMYFUNCTION("INDEX(IMPORTRANGE(""1y0FWgjbB0gVlqn-q5LMJbGIsqOrzru4yowQz67dz2yc"", ""'ESC'!BH3:BH139""),MATCH($D102,IMPORTRANGE(""1y0FWgjbB0gVlqn-q5LMJbGIsqOrzru4yowQz67dz2yc"", ""'ESC'!D3:D139""),0))"),1724456616.21)</f>
        <v>1724456616.21</v>
      </c>
      <c r="AA102" s="303" t="str">
        <f ca="1">IFERROR(__xludf.DUMMYFUNCTION("INDEX(IMPORTRANGE(""1y0FWgjbB0gVlqn-q5LMJbGIsqOrzru4yowQz67dz2yc"", ""'ESC'!BI3:BI139""),MATCH($D102,IMPORTRANGE(""1y0FWgjbB0gVlqn-q5LMJbGIsqOrzru4yowQz67dz2yc"", ""'ESC'!D3:D139""),0))"),"")</f>
        <v/>
      </c>
      <c r="AB102" s="1"/>
      <c r="AC102" s="1"/>
      <c r="AD102" s="1"/>
    </row>
    <row r="103" spans="1:30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0">P101/P102</f>
        <v>0.33190512986812276</v>
      </c>
      <c r="Q103" s="15">
        <f t="shared" si="20"/>
        <v>0.33190512986812276</v>
      </c>
      <c r="R103" s="2"/>
      <c r="S103" s="15">
        <v>0.33500000000000002</v>
      </c>
      <c r="T103" s="304"/>
      <c r="U103" s="15">
        <v>0.33700000000000002</v>
      </c>
      <c r="V103" s="15">
        <v>0.34</v>
      </c>
      <c r="W103" s="15">
        <v>0.34</v>
      </c>
      <c r="X103" s="15">
        <f>X101/X102</f>
        <v>0.33190512986812276</v>
      </c>
      <c r="Y103" s="305" t="str">
        <f ca="1">IFERROR(__xludf.DUMMYFUNCTION("INDEX(IMPORTRANGE(""1y0FWgjbB0gVlqn-q5LMJbGIsqOrzru4yowQz67dz2yc"", ""'ESC'!BG3:BG139""),MATCH($D103,IMPORTRANGE(""1y0FWgjbB0gVlqn-q5LMJbGIsqOrzru4yowQz67dz2yc"", ""'ESC'!D3:D139""),0))"),"")</f>
        <v/>
      </c>
      <c r="Z103" s="15">
        <f ca="1">IFERROR(__xludf.DUMMYFUNCTION("INDEX(IMPORTRANGE(""1y0FWgjbB0gVlqn-q5LMJbGIsqOrzru4yowQz67dz2yc"", ""'ESC'!BH3:BH139""),MATCH($D103,IMPORTRANGE(""1y0FWgjbB0gVlqn-q5LMJbGIsqOrzru4yowQz67dz2yc"", ""'ESC'!D3:D139""),0))"),0.27115829275409)</f>
        <v>0.27115829275408998</v>
      </c>
      <c r="AA103" s="305" t="str">
        <f ca="1">IFERROR(__xludf.DUMMYFUNCTION("INDEX(IMPORTRANGE(""1y0FWgjbB0gVlqn-q5LMJbGIsqOrzru4yowQz67dz2yc"", ""'ESC'!BI3:BI139""),MATCH($D103,IMPORTRANGE(""1y0FWgjbB0gVlqn-q5LMJbGIsqOrzru4yowQz67dz2yc"", ""'ESC'!D3:D139""),0))"),"")</f>
        <v/>
      </c>
      <c r="AB103" s="1"/>
      <c r="AC103" s="1"/>
      <c r="AD103" s="1"/>
    </row>
    <row r="104" spans="1:30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6">
        <v>909571624</v>
      </c>
      <c r="Q104" s="36">
        <v>909571624</v>
      </c>
      <c r="R104" s="4"/>
      <c r="S104" s="4"/>
      <c r="T104" s="230"/>
      <c r="U104" s="4"/>
      <c r="V104" s="4"/>
      <c r="W104" s="4"/>
      <c r="X104" s="36">
        <v>909571624</v>
      </c>
      <c r="Y104" s="303" t="str">
        <f ca="1">IFERROR(__xludf.DUMMYFUNCTION("INDEX(IMPORTRANGE(""1y0FWgjbB0gVlqn-q5LMJbGIsqOrzru4yowQz67dz2yc"", ""'ESC'!BG3:BG139""),MATCH($D104,IMPORTRANGE(""1y0FWgjbB0gVlqn-q5LMJbGIsqOrzru4yowQz67dz2yc"", ""'ESC'!D3:D139""),0))"),"")</f>
        <v/>
      </c>
      <c r="Z104" s="36">
        <f ca="1">IFERROR(__xludf.DUMMYFUNCTION("INDEX(IMPORTRANGE(""1y0FWgjbB0gVlqn-q5LMJbGIsqOrzru4yowQz67dz2yc"", ""'ESC'!BH3:BH139""),MATCH($D104,IMPORTRANGE(""1y0FWgjbB0gVlqn-q5LMJbGIsqOrzru4yowQz67dz2yc"", ""'ESC'!D3:D139""),0))"),910373998.86)</f>
        <v>910373998.86000001</v>
      </c>
      <c r="AA104" s="303" t="str">
        <f ca="1">IFERROR(__xludf.DUMMYFUNCTION("INDEX(IMPORTRANGE(""1y0FWgjbB0gVlqn-q5LMJbGIsqOrzru4yowQz67dz2yc"", ""'ESC'!BI3:BI139""),MATCH($D104,IMPORTRANGE(""1y0FWgjbB0gVlqn-q5LMJbGIsqOrzru4yowQz67dz2yc"", ""'ESC'!D3:D139""),0))"),"")</f>
        <v/>
      </c>
      <c r="AB104" s="1"/>
      <c r="AC104" s="1"/>
      <c r="AD104" s="1"/>
    </row>
    <row r="105" spans="1:30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5">
        <f t="shared" ref="P105:Q105" si="21">P101/P104</f>
        <v>0.52896110104463856</v>
      </c>
      <c r="Q105" s="15">
        <f t="shared" si="21"/>
        <v>0.52896110104463856</v>
      </c>
      <c r="R105" s="2"/>
      <c r="S105" s="15">
        <v>0.53600000000000003</v>
      </c>
      <c r="T105" s="304"/>
      <c r="U105" s="15">
        <v>0.54300000000000004</v>
      </c>
      <c r="V105" s="15">
        <v>0.55000000000000004</v>
      </c>
      <c r="W105" s="15">
        <v>0.55000000000000004</v>
      </c>
      <c r="X105" s="15">
        <f>X101/X104</f>
        <v>0.52896110104463856</v>
      </c>
      <c r="Y105" s="305" t="str">
        <f ca="1">IFERROR(__xludf.DUMMYFUNCTION("INDEX(IMPORTRANGE(""1y0FWgjbB0gVlqn-q5LMJbGIsqOrzru4yowQz67dz2yc"", ""'ESC'!BG3:BG139""),MATCH($D105,IMPORTRANGE(""1y0FWgjbB0gVlqn-q5LMJbGIsqOrzru4yowQz67dz2yc"", ""'ESC'!D3:D139""),0))"),"")</f>
        <v/>
      </c>
      <c r="Z105" s="15">
        <f ca="1">IFERROR(__xludf.DUMMYFUNCTION("INDEX(IMPORTRANGE(""1y0FWgjbB0gVlqn-q5LMJbGIsqOrzru4yowQz67dz2yc"", ""'ESC'!BH3:BH139""),MATCH($D105,IMPORTRANGE(""1y0FWgjbB0gVlqn-q5LMJbGIsqOrzru4yowQz67dz2yc"", ""'ESC'!D3:D139""),0))"),0.513635838200063)</f>
        <v>0.51363583820006298</v>
      </c>
      <c r="AA105" s="305" t="str">
        <f ca="1">IFERROR(__xludf.DUMMYFUNCTION("INDEX(IMPORTRANGE(""1y0FWgjbB0gVlqn-q5LMJbGIsqOrzru4yowQz67dz2yc"", ""'ESC'!BI3:BI139""),MATCH($D105,IMPORTRANGE(""1y0FWgjbB0gVlqn-q5LMJbGIsqOrzru4yowQz67dz2yc"", ""'ESC'!D3:D139""),0))"),"")</f>
        <v/>
      </c>
      <c r="AB105" s="1"/>
      <c r="AC105" s="1"/>
      <c r="AD105" s="1"/>
    </row>
    <row r="106" spans="1:30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12">
        <v>169250</v>
      </c>
      <c r="Q106" s="12">
        <v>169250</v>
      </c>
      <c r="R106" s="4"/>
      <c r="S106" s="4"/>
      <c r="T106" s="230"/>
      <c r="U106" s="4"/>
      <c r="V106" s="4"/>
      <c r="W106" s="4"/>
      <c r="X106" s="12">
        <v>169250</v>
      </c>
      <c r="Y106" s="306" t="str">
        <f ca="1">IFERROR(__xludf.DUMMYFUNCTION("INDEX(IMPORTRANGE(""1y0FWgjbB0gVlqn-q5LMJbGIsqOrzru4yowQz67dz2yc"", ""'ESC'!BG3:BG139""),MATCH($D106,IMPORTRANGE(""1y0FWgjbB0gVlqn-q5LMJbGIsqOrzru4yowQz67dz2yc"", ""'ESC'!D3:D139""),0))"),"")</f>
        <v/>
      </c>
      <c r="Z106" s="12">
        <f ca="1">IFERROR(__xludf.DUMMYFUNCTION("INDEX(IMPORTRANGE(""1y0FWgjbB0gVlqn-q5LMJbGIsqOrzru4yowQz67dz2yc"", ""'ESC'!BH3:BH139""),MATCH($D106,IMPORTRANGE(""1y0FWgjbB0gVlqn-q5LMJbGIsqOrzru4yowQz67dz2yc"", ""'ESC'!D3:D139""),0))"),178382)</f>
        <v>178382</v>
      </c>
      <c r="AA106" s="306" t="str">
        <f ca="1">IFERROR(__xludf.DUMMYFUNCTION("INDEX(IMPORTRANGE(""1y0FWgjbB0gVlqn-q5LMJbGIsqOrzru4yowQz67dz2yc"", ""'ESC'!BI3:BI139""),MATCH($D106,IMPORTRANGE(""1y0FWgjbB0gVlqn-q5LMJbGIsqOrzru4yowQz67dz2yc"", ""'ESC'!D3:D139""),0))"),"")</f>
        <v/>
      </c>
      <c r="AB106" s="1"/>
      <c r="AC106" s="1"/>
      <c r="AD106" s="1"/>
    </row>
    <row r="107" spans="1:30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73270</v>
      </c>
      <c r="Q107" s="12">
        <v>73270</v>
      </c>
      <c r="R107" s="4"/>
      <c r="S107" s="4"/>
      <c r="T107" s="230"/>
      <c r="U107" s="4"/>
      <c r="V107" s="4"/>
      <c r="W107" s="4"/>
      <c r="X107" s="12">
        <v>73270</v>
      </c>
      <c r="Y107" s="306" t="str">
        <f ca="1">IFERROR(__xludf.DUMMYFUNCTION("INDEX(IMPORTRANGE(""1y0FWgjbB0gVlqn-q5LMJbGIsqOrzru4yowQz67dz2yc"", ""'ESC'!BG3:BG139""),MATCH($D107,IMPORTRANGE(""1y0FWgjbB0gVlqn-q5LMJbGIsqOrzru4yowQz67dz2yc"", ""'ESC'!D3:D139""),0))"),"")</f>
        <v/>
      </c>
      <c r="Z107" s="12">
        <f ca="1">IFERROR(__xludf.DUMMYFUNCTION("INDEX(IMPORTRANGE(""1y0FWgjbB0gVlqn-q5LMJbGIsqOrzru4yowQz67dz2yc"", ""'ESC'!BH3:BH139""),MATCH($D107,IMPORTRANGE(""1y0FWgjbB0gVlqn-q5LMJbGIsqOrzru4yowQz67dz2yc"", ""'ESC'!D3:D139""),0))"),70721)</f>
        <v>70721</v>
      </c>
      <c r="AA107" s="306" t="str">
        <f ca="1">IFERROR(__xludf.DUMMYFUNCTION("INDEX(IMPORTRANGE(""1y0FWgjbB0gVlqn-q5LMJbGIsqOrzru4yowQz67dz2yc"", ""'ESC'!BI3:BI139""),MATCH($D107,IMPORTRANGE(""1y0FWgjbB0gVlqn-q5LMJbGIsqOrzru4yowQz67dz2yc"", ""'ESC'!D3:D139""),0))"),"")</f>
        <v/>
      </c>
      <c r="AB107" s="1"/>
      <c r="AC107" s="1"/>
      <c r="AD107" s="1"/>
    </row>
    <row r="108" spans="1:30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2">P107/P106</f>
        <v>0.43290989660265877</v>
      </c>
      <c r="Q108" s="15">
        <f t="shared" si="22"/>
        <v>0.43290989660265877</v>
      </c>
      <c r="R108" s="2"/>
      <c r="S108" s="15">
        <v>0.44</v>
      </c>
      <c r="T108" s="304"/>
      <c r="U108" s="15">
        <v>0.44800000000000001</v>
      </c>
      <c r="V108" s="15">
        <v>0.45500000000000002</v>
      </c>
      <c r="W108" s="15">
        <v>0.45500000000000002</v>
      </c>
      <c r="X108" s="15">
        <f>X107/X106</f>
        <v>0.43290989660265877</v>
      </c>
      <c r="Y108" s="305" t="str">
        <f ca="1">IFERROR(__xludf.DUMMYFUNCTION("INDEX(IMPORTRANGE(""1y0FWgjbB0gVlqn-q5LMJbGIsqOrzru4yowQz67dz2yc"", ""'ESC'!BG3:BG139""),MATCH($D108,IMPORTRANGE(""1y0FWgjbB0gVlqn-q5LMJbGIsqOrzru4yowQz67dz2yc"", ""'ESC'!D3:D139""),0))"),"")</f>
        <v/>
      </c>
      <c r="Z108" s="15">
        <f ca="1">IFERROR(__xludf.DUMMYFUNCTION("INDEX(IMPORTRANGE(""1y0FWgjbB0gVlqn-q5LMJbGIsqOrzru4yowQz67dz2yc"", ""'ESC'!BH3:BH139""),MATCH($D108,IMPORTRANGE(""1y0FWgjbB0gVlqn-q5LMJbGIsqOrzru4yowQz67dz2yc"", ""'ESC'!D3:D139""),0))"),0.396458162819118)</f>
        <v>0.396458162819118</v>
      </c>
      <c r="AA108" s="305" t="str">
        <f ca="1">IFERROR(__xludf.DUMMYFUNCTION("INDEX(IMPORTRANGE(""1y0FWgjbB0gVlqn-q5LMJbGIsqOrzru4yowQz67dz2yc"", ""'ESC'!BI3:BI139""),MATCH($D108,IMPORTRANGE(""1y0FWgjbB0gVlqn-q5LMJbGIsqOrzru4yowQz67dz2yc"", ""'ESC'!D3:D139""),0))"),"")</f>
        <v/>
      </c>
      <c r="AB108" s="1"/>
      <c r="AC108" s="1"/>
      <c r="AD108" s="1"/>
    </row>
    <row r="109" spans="1:30">
      <c r="A109" s="7" t="s">
        <v>275</v>
      </c>
      <c r="B109" s="7" t="s">
        <v>276</v>
      </c>
      <c r="C109" s="7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2"/>
      <c r="S109" s="2"/>
      <c r="T109" s="230"/>
      <c r="U109" s="2"/>
      <c r="V109" s="2"/>
      <c r="W109" s="2"/>
      <c r="X109" s="36"/>
      <c r="Y109" s="307" t="str">
        <f ca="1">IFERROR(__xludf.DUMMYFUNCTION("INDEX(IMPORTRANGE(""1y0FWgjbB0gVlqn-q5LMJbGIsqOrzru4yowQz67dz2yc"", ""'ESC'!BG3:BG139""),MATCH($D109,IMPORTRANGE(""1y0FWgjbB0gVlqn-q5LMJbGIsqOrzru4yowQz67dz2yc"", ""'ESC'!D3:D139""),0))"),"")</f>
        <v/>
      </c>
      <c r="Z109" s="36">
        <f ca="1">IFERROR(__xludf.DUMMYFUNCTION("INDEX(IMPORTRANGE(""1y0FWgjbB0gVlqn-q5LMJbGIsqOrzru4yowQz67dz2yc"", ""'ESC'!BH3:BH139""),MATCH($D109,IMPORTRANGE(""1y0FWgjbB0gVlqn-q5LMJbGIsqOrzru4yowQz67dz2yc"", ""'ESC'!D3:D139""),0))"),165744773.61)</f>
        <v>165744773.61000001</v>
      </c>
      <c r="AA109" s="307" t="str">
        <f ca="1">IFERROR(__xludf.DUMMYFUNCTION("INDEX(IMPORTRANGE(""1y0FWgjbB0gVlqn-q5LMJbGIsqOrzru4yowQz67dz2yc"", ""'ESC'!BI3:BI139""),MATCH($D109,IMPORTRANGE(""1y0FWgjbB0gVlqn-q5LMJbGIsqOrzru4yowQz67dz2yc"", ""'ESC'!D3:D139""),0))"),"")</f>
        <v/>
      </c>
      <c r="AB109" s="1"/>
      <c r="AC109" s="1"/>
      <c r="AD109" s="1"/>
    </row>
    <row r="110" spans="1:30">
      <c r="A110" s="7" t="s">
        <v>275</v>
      </c>
      <c r="B110" s="7" t="s">
        <v>276</v>
      </c>
      <c r="C110" s="7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36">
        <v>151349507.40000001</v>
      </c>
      <c r="Q110" s="36">
        <v>151349507.40000001</v>
      </c>
      <c r="R110" s="2"/>
      <c r="S110" s="36">
        <v>155666338.27000001</v>
      </c>
      <c r="T110" s="230"/>
      <c r="U110" s="36">
        <v>159983169.13</v>
      </c>
      <c r="V110" s="36">
        <v>164300000</v>
      </c>
      <c r="W110" s="36">
        <v>164300000</v>
      </c>
      <c r="X110" s="36">
        <v>151349507.40000001</v>
      </c>
      <c r="Y110" s="303" t="str">
        <f ca="1">IFERROR(__xludf.DUMMYFUNCTION("INDEX(IMPORTRANGE(""1y0FWgjbB0gVlqn-q5LMJbGIsqOrzru4yowQz67dz2yc"", ""'ESC'!BG3:BG139""),MATCH($D110,IMPORTRANGE(""1y0FWgjbB0gVlqn-q5LMJbGIsqOrzru4yowQz67dz2yc"", ""'ESC'!D3:D139""),0))"),"")</f>
        <v/>
      </c>
      <c r="Z110" s="36">
        <f ca="1">IFERROR(__xludf.DUMMYFUNCTION("INDEX(IMPORTRANGE(""1y0FWgjbB0gVlqn-q5LMJbGIsqOrzru4yowQz67dz2yc"", ""'ESC'!BH3:BH139""),MATCH($D110,IMPORTRANGE(""1y0FWgjbB0gVlqn-q5LMJbGIsqOrzru4yowQz67dz2yc"", ""'ESC'!D3:D139""),0))"),167007731.61)</f>
        <v>167007731.61000001</v>
      </c>
      <c r="AA110" s="303" t="str">
        <f ca="1">IFERROR(__xludf.DUMMYFUNCTION("INDEX(IMPORTRANGE(""1y0FWgjbB0gVlqn-q5LMJbGIsqOrzru4yowQz67dz2yc"", ""'ESC'!BI3:BI139""),MATCH($D110,IMPORTRANGE(""1y0FWgjbB0gVlqn-q5LMJbGIsqOrzru4yowQz67dz2yc"", ""'ESC'!D3:D139""),0))"),"")</f>
        <v/>
      </c>
      <c r="AB110" s="1"/>
      <c r="AC110" s="1"/>
      <c r="AD110" s="1"/>
    </row>
    <row r="111" spans="1:30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1302702294.1300001</v>
      </c>
      <c r="Q111" s="36">
        <v>1302702294.1300001</v>
      </c>
      <c r="R111" s="4"/>
      <c r="S111" s="4"/>
      <c r="T111" s="230"/>
      <c r="U111" s="4"/>
      <c r="V111" s="4"/>
      <c r="W111" s="4"/>
      <c r="X111" s="36">
        <v>1302702294.1300001</v>
      </c>
      <c r="Y111" s="303" t="str">
        <f ca="1">IFERROR(__xludf.DUMMYFUNCTION("INDEX(IMPORTRANGE(""1y0FWgjbB0gVlqn-q5LMJbGIsqOrzru4yowQz67dz2yc"", ""'ESC'!BG3:BG139""),MATCH($D111,IMPORTRANGE(""1y0FWgjbB0gVlqn-q5LMJbGIsqOrzru4yowQz67dz2yc"", ""'ESC'!D3:D139""),0))"),"")</f>
        <v/>
      </c>
      <c r="Z111" s="36">
        <f ca="1">IFERROR(__xludf.DUMMYFUNCTION("INDEX(IMPORTRANGE(""1y0FWgjbB0gVlqn-q5LMJbGIsqOrzru4yowQz67dz2yc"", ""'ESC'!BH3:BH139""),MATCH($D111,IMPORTRANGE(""1y0FWgjbB0gVlqn-q5LMJbGIsqOrzru4yowQz67dz2yc"", ""'ESC'!D3:D139""),0))"),1623875835.75)</f>
        <v>1623875835.75</v>
      </c>
      <c r="AA111" s="303" t="str">
        <f ca="1">IFERROR(__xludf.DUMMYFUNCTION("INDEX(IMPORTRANGE(""1y0FWgjbB0gVlqn-q5LMJbGIsqOrzru4yowQz67dz2yc"", ""'ESC'!BI3:BI139""),MATCH($D111,IMPORTRANGE(""1y0FWgjbB0gVlqn-q5LMJbGIsqOrzru4yowQz67dz2yc"", ""'ESC'!D3:D139""),0))"),"")</f>
        <v/>
      </c>
      <c r="AB111" s="1"/>
      <c r="AC111" s="1"/>
      <c r="AD111" s="1"/>
    </row>
    <row r="112" spans="1:30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7" t="s">
        <v>213</v>
      </c>
      <c r="H112" s="1" t="s">
        <v>214</v>
      </c>
      <c r="I112" s="7" t="s">
        <v>215</v>
      </c>
      <c r="J112" s="13"/>
      <c r="K112" s="7" t="s">
        <v>216</v>
      </c>
      <c r="L112" s="13"/>
      <c r="M112" s="7" t="s">
        <v>217</v>
      </c>
      <c r="N112" s="1" t="s">
        <v>218</v>
      </c>
      <c r="O112" s="1" t="s">
        <v>218</v>
      </c>
      <c r="P112" s="15">
        <f t="shared" ref="P112:Q112" si="23">P104/P111</f>
        <v>0.69821910047947722</v>
      </c>
      <c r="Q112" s="15">
        <f t="shared" si="23"/>
        <v>0.69821910047947722</v>
      </c>
      <c r="R112" s="2"/>
      <c r="S112" s="15">
        <v>0.68200000000000005</v>
      </c>
      <c r="T112" s="304"/>
      <c r="U112" s="15">
        <v>0.66600000000000004</v>
      </c>
      <c r="V112" s="15">
        <v>0.65</v>
      </c>
      <c r="W112" s="15">
        <v>0.65</v>
      </c>
      <c r="X112" s="15">
        <f>X104/X111</f>
        <v>0.69821910047947722</v>
      </c>
      <c r="Y112" s="305" t="str">
        <f ca="1">IFERROR(__xludf.DUMMYFUNCTION("INDEX(IMPORTRANGE(""1y0FWgjbB0gVlqn-q5LMJbGIsqOrzru4yowQz67dz2yc"", ""'ESC'!BG3:BG139""),MATCH($D112,IMPORTRANGE(""1y0FWgjbB0gVlqn-q5LMJbGIsqOrzru4yowQz67dz2yc"", ""'ESC'!D3:D139""),0))"),"")</f>
        <v/>
      </c>
      <c r="Z112" s="15">
        <f ca="1">IFERROR(__xludf.DUMMYFUNCTION("INDEX(IMPORTRANGE(""1y0FWgjbB0gVlqn-q5LMJbGIsqOrzru4yowQz67dz2yc"", ""'ESC'!BH3:BH139""),MATCH($D112,IMPORTRANGE(""1y0FWgjbB0gVlqn-q5LMJbGIsqOrzru4yowQz67dz2yc"", ""'ESC'!D3:D139""),0))"),0.560617984957905)</f>
        <v>0.56061798495790505</v>
      </c>
      <c r="AA112" s="305" t="str">
        <f ca="1">IFERROR(__xludf.DUMMYFUNCTION("INDEX(IMPORTRANGE(""1y0FWgjbB0gVlqn-q5LMJbGIsqOrzru4yowQz67dz2yc"", ""'ESC'!BI3:BI139""),MATCH($D112,IMPORTRANGE(""1y0FWgjbB0gVlqn-q5LMJbGIsqOrzru4yowQz67dz2yc"", ""'ESC'!D3:D139""),0))"),"")</f>
        <v/>
      </c>
      <c r="AB112" s="1"/>
      <c r="AC112" s="1"/>
      <c r="AD112" s="1"/>
    </row>
    <row r="113" spans="1:30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2" t="s">
        <v>308</v>
      </c>
      <c r="Q113" s="2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307" t="str">
        <f ca="1">IFERROR(__xludf.DUMMYFUNCTION("INDEX(IMPORTRANGE(""1y0FWgjbB0gVlqn-q5LMJbGIsqOrzru4yowQz67dz2yc"", ""'ESC'!BG3:BG139""),MATCH($D113,IMPORTRANGE(""1y0FWgjbB0gVlqn-q5LMJbGIsqOrzru4yowQz67dz2yc"", ""'ESC'!D3:D139""),0))"),"")</f>
        <v/>
      </c>
      <c r="Z113" s="2" t="str">
        <f ca="1">IFERROR(__xludf.DUMMYFUNCTION("INDEX(IMPORTRANGE(""1y0FWgjbB0gVlqn-q5LMJbGIsqOrzru4yowQz67dz2yc"", ""'ESC'!BH3:BH139""),MATCH($D113,IMPORTRANGE(""1y0FWgjbB0gVlqn-q5LMJbGIsqOrzru4yowQz67dz2yc"", ""'ESC'!D3:D139""),0))"),"Verde")</f>
        <v>Verde</v>
      </c>
      <c r="AA113" s="307" t="str">
        <f ca="1">IFERROR(__xludf.DUMMYFUNCTION("INDEX(IMPORTRANGE(""1y0FWgjbB0gVlqn-q5LMJbGIsqOrzru4yowQz67dz2yc"", ""'ESC'!BI3:BI139""),MATCH($D113,IMPORTRANGE(""1y0FWgjbB0gVlqn-q5LMJbGIsqOrzru4yowQz67dz2yc"", ""'ESC'!D3:D139""),0))"),"")</f>
        <v/>
      </c>
      <c r="AB113" s="1"/>
      <c r="AC113" s="1"/>
      <c r="AD113" s="1"/>
    </row>
    <row r="114" spans="1:30">
      <c r="A114" s="1"/>
      <c r="B114" s="1"/>
      <c r="C114" s="1"/>
      <c r="D114" s="1"/>
      <c r="E114" s="1"/>
      <c r="F114" s="1"/>
      <c r="G114" s="11" t="s">
        <v>307</v>
      </c>
      <c r="H114" s="13"/>
      <c r="I114" s="1"/>
      <c r="J114" s="1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1"/>
      <c r="Z114" s="1"/>
      <c r="AA114" s="1"/>
      <c r="AB114" s="1"/>
      <c r="AC114" s="1"/>
      <c r="AD114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07F11-0F6D-DA45-A66F-F61E9367E50A}">
  <dimension ref="A1:M31"/>
  <sheetViews>
    <sheetView workbookViewId="0">
      <selection activeCell="O4" sqref="O4"/>
    </sheetView>
  </sheetViews>
  <sheetFormatPr baseColWidth="10" defaultRowHeight="16"/>
  <cols>
    <col min="1" max="1" width="10.83203125" style="118"/>
    <col min="3" max="3" width="18.83203125" customWidth="1"/>
    <col min="4" max="5" width="12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ESC'!$D$3:$Y$113,4,0)</f>
        <v>44469</v>
      </c>
      <c r="E2" s="71">
        <f>VLOOKUP(C2,'BD EVA 3 ESC'!$D$3:$Q$110,14,0)</f>
        <v>531</v>
      </c>
      <c r="F2" s="75">
        <f>VLOOKUP(C2,'BD EVA 3 ESC'!$D$3:$AC$113,9,0)</f>
        <v>45199</v>
      </c>
      <c r="G2" s="71">
        <f ca="1">VLOOKUP(C2,'BD EVA 3 ESC'!$D$3:$AC$113,24,0)</f>
        <v>583</v>
      </c>
      <c r="H2" s="71">
        <f>VLOOKUP(C2,'BD EVA 3 ESC'!$D$3:$AC$113,17,0)</f>
        <v>602</v>
      </c>
      <c r="I2" s="78">
        <f ca="1">IF(G2&gt;=E2,G2/H2,0)</f>
        <v>0.96843853820598003</v>
      </c>
      <c r="J2" s="72" t="s">
        <v>316</v>
      </c>
      <c r="K2" s="81">
        <v>2.7</v>
      </c>
      <c r="L2" s="81">
        <f t="shared" ref="L2:L31" ca="1" si="0">IF(I2&lt;0,0,IF(I2&gt;1,K2,I2*K2))</f>
        <v>2.6147840531561464</v>
      </c>
      <c r="M2" s="124">
        <f ca="1">SUM(L2:L4)</f>
        <v>9.7702454950404594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ESC'!$D$3:$Y$113,4,0)</f>
        <v>44469</v>
      </c>
      <c r="E3" s="207">
        <f>VLOOKUP(C3,'BD EVA 3 ESC'!$D$3:$Q$110,14,0)</f>
        <v>0.89077212806026362</v>
      </c>
      <c r="F3" s="75">
        <f>VLOOKUP(C3,'BD EVA 3 ESC'!$D$3:$AC$113,9,0)</f>
        <v>45199</v>
      </c>
      <c r="G3" s="207">
        <f ca="1">VLOOKUP(C3,'BD EVA 3 ESC'!$D$3:$AC$113,24,0)</f>
        <v>0.93310463121783804</v>
      </c>
      <c r="H3" s="207" t="str">
        <f>VLOOKUP(C3,'BD EVA 3 ESC'!$D$3:$AC$113,17,0)</f>
        <v>&gt;=97%</v>
      </c>
      <c r="I3" s="78">
        <f ca="1">IF(G3&gt;=97%,1,G3/97%)</f>
        <v>0.96196353733797735</v>
      </c>
      <c r="J3" s="75" t="s">
        <v>318</v>
      </c>
      <c r="K3" s="81">
        <v>3.8</v>
      </c>
      <c r="L3" s="81">
        <f t="shared" ca="1" si="0"/>
        <v>3.6554614418843139</v>
      </c>
      <c r="M3" s="189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ESC'!$D$3:$Y$113,4,0)</f>
        <v>44469</v>
      </c>
      <c r="E4" s="207">
        <f>VLOOKUP(C4,'BD EVA 3 ESC'!$D$3:$Q$110,14,0)</f>
        <v>0</v>
      </c>
      <c r="F4" s="75">
        <f>VLOOKUP(C4,'BD EVA 3 ESC'!$D$3:$AC$113,9,0)</f>
        <v>45199</v>
      </c>
      <c r="G4" s="207">
        <f ca="1">VLOOKUP(C4,'BD EVA 3 ESC'!$D$3:$AC$113,24,0)</f>
        <v>6.5180102915951901E-2</v>
      </c>
      <c r="H4" s="207">
        <f>VLOOKUP(C4,'BD EVA 3 ESC'!$D$3:$AC$113,17,0)</f>
        <v>0.06</v>
      </c>
      <c r="I4" s="77">
        <f t="shared" ref="I4:I5" ca="1" si="1">G4/H4</f>
        <v>1.0863350485991985</v>
      </c>
      <c r="J4" s="75" t="s">
        <v>318</v>
      </c>
      <c r="K4" s="81">
        <v>3.5</v>
      </c>
      <c r="L4" s="81">
        <f t="shared" ca="1" si="0"/>
        <v>3.5</v>
      </c>
      <c r="M4" s="189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3 ESC'!$D$3:$Y$113,4,0)</f>
        <v>octubre 20 - mar 21</v>
      </c>
      <c r="E5" s="207">
        <f>VLOOKUP(C5,'BD EVA 3 ESC'!$D$3:$Q$110,14,0)</f>
        <v>0</v>
      </c>
      <c r="F5" s="75" t="str">
        <f>VLOOKUP(C5,'BD EVA 3 ESC'!$D$3:$AC$113,9,0)</f>
        <v>octubre 22 - septiembre 23</v>
      </c>
      <c r="G5" s="207">
        <f ca="1">VLOOKUP(C5,'BD EVA 3 ESC'!$D$3:$AC$113,24,0)</f>
        <v>8.0599812558575401E-2</v>
      </c>
      <c r="H5" s="207">
        <f>VLOOKUP(C5,'BD EVA 3 ESC'!$D$3:$AC$113,17,0)</f>
        <v>0.09</v>
      </c>
      <c r="I5" s="77">
        <f t="shared" ca="1" si="1"/>
        <v>0.89555347287306009</v>
      </c>
      <c r="J5" s="75" t="s">
        <v>318</v>
      </c>
      <c r="K5" s="209">
        <v>1.6</v>
      </c>
      <c r="L5" s="209">
        <f t="shared" ca="1" si="0"/>
        <v>1.4328855565968963</v>
      </c>
      <c r="M5" s="130">
        <f ca="1">SUM(L5:L10)</f>
        <v>1.4396769572232415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3 ESC'!$D$3:$Y$113,4,0)</f>
        <v>octubre 20 - mar 21</v>
      </c>
      <c r="E6" s="209">
        <f>VLOOKUP(C6,'BD EVA 3 ESC'!$D$3:$Q$110,14,0)</f>
        <v>17.129334937710546</v>
      </c>
      <c r="F6" s="75" t="str">
        <f>VLOOKUP(C6,'BD EVA 3 ESC'!$D$3:$AC$113,9,0)</f>
        <v>octubre 22 - septiembre 23</v>
      </c>
      <c r="G6" s="209">
        <f ca="1">VLOOKUP(C6,'BD EVA 3 ESC'!$D$3:$AC$113,24,0)</f>
        <v>17.155282173388201</v>
      </c>
      <c r="H6" s="209">
        <f>VLOOKUP(C6,'BD EVA 3 ESC'!$D$3:$AC$113,17,0)</f>
        <v>11.6</v>
      </c>
      <c r="I6" s="78">
        <f t="shared" ref="I6:I10" ca="1" si="2">(G6-E6)/(H6-E6)</f>
        <v>-4.6926503765747935E-3</v>
      </c>
      <c r="J6" s="71" t="s">
        <v>319</v>
      </c>
      <c r="K6" s="209">
        <v>1.7</v>
      </c>
      <c r="L6" s="209">
        <f t="shared" ca="1" si="0"/>
        <v>0</v>
      </c>
      <c r="M6" s="189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3 ESC'!$D$3:$Y$113,4,0)</f>
        <v>octubre 20 - mar 21</v>
      </c>
      <c r="E7" s="208">
        <f>VLOOKUP(C7,'BD EVA 3 ESC'!$D$3:$Q$110,14,0)</f>
        <v>303.46414364956343</v>
      </c>
      <c r="F7" s="75" t="str">
        <f>VLOOKUP(C7,'BD EVA 3 ESC'!$D$3:$AC$113,9,0)</f>
        <v>octubre 22 - septiembre 23</v>
      </c>
      <c r="G7" s="208">
        <f ca="1">VLOOKUP(C7,'BD EVA 3 ESC'!$D$3:$AC$113,24,0)</f>
        <v>350.753178894455</v>
      </c>
      <c r="H7" s="208">
        <f>VLOOKUP(C7,'BD EVA 3 ESC'!$D$3:$AC$113,17,0)</f>
        <v>225.6</v>
      </c>
      <c r="I7" s="78">
        <f t="shared" ca="1" si="2"/>
        <v>-0.6073274941251694</v>
      </c>
      <c r="J7" s="71" t="s">
        <v>319</v>
      </c>
      <c r="K7" s="209">
        <v>1.6</v>
      </c>
      <c r="L7" s="209">
        <f t="shared" ca="1" si="0"/>
        <v>0</v>
      </c>
      <c r="M7" s="189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3 ESC'!$D$3:$Y$113,4,0)</f>
        <v>octubre 20 - mar 21</v>
      </c>
      <c r="E8" s="208">
        <f>VLOOKUP(C8,'BD EVA 3 ESC'!$D$3:$Q$110,14,0)</f>
        <v>828.97522167685622</v>
      </c>
      <c r="F8" s="75" t="str">
        <f>VLOOKUP(C8,'BD EVA 3 ESC'!$D$3:$AC$113,9,0)</f>
        <v>octubre 22 - septiembre 23</v>
      </c>
      <c r="G8" s="208">
        <f ca="1">VLOOKUP(C8,'BD EVA 3 ESC'!$D$3:$AC$113,24,0)</f>
        <v>1098.14474924351</v>
      </c>
      <c r="H8" s="208">
        <f>VLOOKUP(C8,'BD EVA 3 ESC'!$D$3:$AC$113,17,0)</f>
        <v>577.6</v>
      </c>
      <c r="I8" s="78">
        <f t="shared" ca="1" si="2"/>
        <v>-1.0707878277385359</v>
      </c>
      <c r="J8" s="71" t="s">
        <v>319</v>
      </c>
      <c r="K8" s="209">
        <v>1.7</v>
      </c>
      <c r="L8" s="209">
        <f t="shared" ca="1" si="0"/>
        <v>0</v>
      </c>
      <c r="M8" s="189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3 ESC'!$D$3:$Y$113,4,0)</f>
        <v>octubre 20 - mar 21</v>
      </c>
      <c r="E9" s="208">
        <f>VLOOKUP(C9,'BD EVA 3 ESC'!$D$3:$Q$110,14,0)</f>
        <v>155.00990752273867</v>
      </c>
      <c r="F9" s="75" t="str">
        <f>VLOOKUP(C9,'BD EVA 3 ESC'!$D$3:$AC$113,9,0)</f>
        <v>octubre 22 - septiembre 23</v>
      </c>
      <c r="G9" s="208">
        <f ca="1">VLOOKUP(C9,'BD EVA 3 ESC'!$D$3:$AC$113,24,0)</f>
        <v>154.81091985382801</v>
      </c>
      <c r="H9" s="208">
        <f>VLOOKUP(C9,'BD EVA 3 ESC'!$D$3:$AC$113,17,0)</f>
        <v>105.2</v>
      </c>
      <c r="I9" s="78">
        <f t="shared" ca="1" si="2"/>
        <v>3.9949415449089367E-3</v>
      </c>
      <c r="J9" s="71" t="s">
        <v>319</v>
      </c>
      <c r="K9" s="209">
        <v>1.7</v>
      </c>
      <c r="L9" s="211">
        <f t="shared" ca="1" si="0"/>
        <v>6.7914006263451922E-3</v>
      </c>
      <c r="M9" s="189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3 ESC'!$D$3:$Y$113,4,0)</f>
        <v>octubre 20 - mar 21</v>
      </c>
      <c r="E10" s="208">
        <f>VLOOKUP(C10,'BD EVA 3 ESC'!$D$3:$Q$110,14,0)</f>
        <v>16.917861666874614</v>
      </c>
      <c r="F10" s="75" t="str">
        <f>VLOOKUP(C10,'BD EVA 3 ESC'!$D$3:$AC$113,9,0)</f>
        <v>octubre 22 - septiembre 23</v>
      </c>
      <c r="G10" s="208">
        <f ca="1">VLOOKUP(C10,'BD EVA 3 ESC'!$D$3:$AC$113,24,0)</f>
        <v>23.149296426740701</v>
      </c>
      <c r="H10" s="208">
        <f>VLOOKUP(C10,'BD EVA 3 ESC'!$D$3:$AC$113,17,0)</f>
        <v>8.9</v>
      </c>
      <c r="I10" s="78">
        <f t="shared" ca="1" si="2"/>
        <v>-0.77719409722556587</v>
      </c>
      <c r="J10" s="71" t="s">
        <v>319</v>
      </c>
      <c r="K10" s="209">
        <v>1.7</v>
      </c>
      <c r="L10" s="209">
        <f t="shared" ca="1" si="0"/>
        <v>0</v>
      </c>
      <c r="M10" s="189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ESC'!$D$3:$Y$113,4,0)</f>
        <v>44469</v>
      </c>
      <c r="E11" s="78">
        <f>VLOOKUP(C11,'BD EVA 3 ESC'!$D$3:$Q$110,14,0)</f>
        <v>0</v>
      </c>
      <c r="F11" s="75">
        <f>VLOOKUP(C11,'BD EVA 3 ESC'!$D$3:$AC$113,9,0)</f>
        <v>45199</v>
      </c>
      <c r="G11" s="78">
        <f ca="1">VLOOKUP(C11,'BD EVA 3 ESC'!$D$3:$AC$113,24,0)</f>
        <v>0</v>
      </c>
      <c r="H11" s="291" t="s">
        <v>419</v>
      </c>
      <c r="I11" s="77">
        <f t="shared" ref="I11:I12" si="3">IF(H11="Sin meta",0,G11/H11)</f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8.9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3 ESC'!$D$3:$Y$113,4,0)</f>
        <v>octubre 20 - mar 21</v>
      </c>
      <c r="E12" s="210">
        <f>VLOOKUP(C12,'BD EVA 3 ESC'!$D$3:$Q$110,14,0)</f>
        <v>0</v>
      </c>
      <c r="F12" s="75" t="str">
        <f>VLOOKUP(C12,'BD EVA 3 ESC'!$D$3:$AC$113,9,0)</f>
        <v>octubre 22 - septiembre 23</v>
      </c>
      <c r="G12" s="210">
        <f ca="1">VLOOKUP(C12,'BD EVA 3 ESC'!$D$3:$AC$113,24,0)</f>
        <v>8.9069239732404899E-4</v>
      </c>
      <c r="H12" s="210">
        <f>VLOOKUP(C12,'BD EVA 3 ESC'!$D$3:$AC$113,17,0)</f>
        <v>5.0000000000000001E-4</v>
      </c>
      <c r="I12" s="77">
        <f t="shared" ca="1" si="3"/>
        <v>1.7813847946480978</v>
      </c>
      <c r="J12" s="75" t="s">
        <v>318</v>
      </c>
      <c r="K12" s="71">
        <v>1.1000000000000001</v>
      </c>
      <c r="L12" s="211">
        <f t="shared" ca="1" si="0"/>
        <v>1.1000000000000001</v>
      </c>
      <c r="M12" s="189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ESC'!$D$3:$Y$113,4,0)</f>
        <v>octubre 20 - mar 21</v>
      </c>
      <c r="E13" s="212">
        <f>VLOOKUP(C13,'BD EVA 3 ESC'!$D$3:$Q$110,14,0)</f>
        <v>0</v>
      </c>
      <c r="F13" s="75" t="str">
        <f>VLOOKUP(C13,'BD EVA 3 ESC'!$D$3:$AC$113,9,0)</f>
        <v>octubre 21 - septiembre 23</v>
      </c>
      <c r="G13" s="212">
        <f ca="1">VLOOKUP(C13,'BD EVA 3 ESC'!$D$3:$AC$113,24,0)</f>
        <v>3</v>
      </c>
      <c r="H13" s="212">
        <f>VLOOKUP(C13,'BD EVA 3 ESC'!$D$3:$AC$113,17,0)</f>
        <v>2</v>
      </c>
      <c r="I13" s="78">
        <f t="shared" ref="I13:I15" ca="1" si="4">G13/H13</f>
        <v>1.5</v>
      </c>
      <c r="J13" s="75" t="s">
        <v>318</v>
      </c>
      <c r="K13" s="82">
        <v>2.35</v>
      </c>
      <c r="L13" s="211">
        <f t="shared" ca="1" si="0"/>
        <v>2.35</v>
      </c>
      <c r="M13" s="189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ESC'!$D$3:$Y$113,4,0)</f>
        <v>octubre 20 - mar 21</v>
      </c>
      <c r="E14" s="212">
        <f>VLOOKUP(C14,'BD EVA 3 ESC'!$D$3:$Q$110,14,0)</f>
        <v>0</v>
      </c>
      <c r="F14" s="75" t="str">
        <f>VLOOKUP(C14,'BD EVA 3 ESC'!$D$3:$AC$113,9,0)</f>
        <v>octubre 21 - septiembre 23</v>
      </c>
      <c r="G14" s="212">
        <f ca="1">VLOOKUP(C14,'BD EVA 3 ESC'!$D$3:$AC$113,24,0)</f>
        <v>2850</v>
      </c>
      <c r="H14" s="212">
        <f>VLOOKUP(C14,'BD EVA 3 ESC'!$D$3:$AC$113,17,0)</f>
        <v>2000</v>
      </c>
      <c r="I14" s="78">
        <f t="shared" ca="1" si="4"/>
        <v>1.425</v>
      </c>
      <c r="J14" s="75" t="s">
        <v>318</v>
      </c>
      <c r="K14" s="82">
        <v>2.35</v>
      </c>
      <c r="L14" s="211">
        <f t="shared" ca="1" si="0"/>
        <v>2.35</v>
      </c>
      <c r="M14" s="189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ESC'!$D$3:$Y$113,4,0)</f>
        <v>octubre 20 - mar 21</v>
      </c>
      <c r="E15" s="212">
        <f>VLOOKUP(C15,'BD EVA 3 ESC'!$D$3:$Q$110,14,0)</f>
        <v>0</v>
      </c>
      <c r="F15" s="75" t="str">
        <f>VLOOKUP(C15,'BD EVA 3 ESC'!$D$3:$AC$113,9,0)</f>
        <v>octubre 21 - septiembre 23</v>
      </c>
      <c r="G15" s="212">
        <f ca="1">VLOOKUP(C15,'BD EVA 3 ESC'!$D$3:$AC$113,24,0)</f>
        <v>6</v>
      </c>
      <c r="H15" s="212">
        <f>VLOOKUP(C15,'BD EVA 3 ESC'!$D$3:$AC$113,17,0)</f>
        <v>5</v>
      </c>
      <c r="I15" s="78">
        <f t="shared" ca="1" si="4"/>
        <v>1.2</v>
      </c>
      <c r="J15" s="75" t="s">
        <v>318</v>
      </c>
      <c r="K15" s="71">
        <v>3.1</v>
      </c>
      <c r="L15" s="211">
        <f t="shared" ca="1" si="0"/>
        <v>3.1</v>
      </c>
      <c r="M15" s="189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ESC'!$D$3:$Y$113,4,0)</f>
        <v>44469</v>
      </c>
      <c r="E16" s="213">
        <f>VLOOKUP(C16,'BD EVA 3 ESC'!$D$3:$Q$110,14,0)</f>
        <v>0.33333333333333331</v>
      </c>
      <c r="F16" s="75">
        <f>VLOOKUP(C16,'BD EVA 3 ESC'!$D$3:$AC$113,9,0)</f>
        <v>45199</v>
      </c>
      <c r="G16" s="213">
        <f ca="1">VLOOKUP(C16,'BD EVA 3 ESC'!$D$3:$AC$113,24,0)</f>
        <v>1</v>
      </c>
      <c r="H16" s="213" t="str">
        <f>VLOOKUP(C16,'BD EVA 3 ESC'!$D$3:$AC$113,17,0)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1</v>
      </c>
      <c r="J16" s="75" t="s">
        <v>318</v>
      </c>
      <c r="K16" s="171">
        <v>1.5</v>
      </c>
      <c r="L16" s="211">
        <f t="shared" ca="1" si="0"/>
        <v>1.5</v>
      </c>
      <c r="M16" s="130">
        <f ca="1">SUM(L16:L23)</f>
        <v>8.1999334121371792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ESC'!$D$3:$Y$113,4,0)</f>
        <v>44469</v>
      </c>
      <c r="E17" s="212">
        <f>VLOOKUP(C17,'BD EVA 3 ESC'!$D$3:$Q$110,14,0)</f>
        <v>0</v>
      </c>
      <c r="F17" s="75">
        <f>VLOOKUP(C17,'BD EVA 3 ESC'!$D$3:$AC$113,9,0)</f>
        <v>45199</v>
      </c>
      <c r="G17" s="212">
        <f ca="1">VLOOKUP(C17,'BD EVA 3 ESC'!$D$3:$AC$113,24,0)</f>
        <v>0</v>
      </c>
      <c r="H17" s="212" t="str">
        <f>VLOOKUP(C17,'BD EVA 3 ESC'!$D$3:$AC$113,17,0)</f>
        <v>Actualizado al 2018</v>
      </c>
      <c r="I17" s="214">
        <f t="shared" ca="1" si="5"/>
        <v>0</v>
      </c>
      <c r="J17" s="75" t="s">
        <v>318</v>
      </c>
      <c r="K17" s="71">
        <v>1.5</v>
      </c>
      <c r="L17" s="211">
        <f t="shared" ca="1" si="0"/>
        <v>0</v>
      </c>
      <c r="M17" s="189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ESC'!$D$3:$Y$113,4,0)</f>
        <v>44469</v>
      </c>
      <c r="E18" s="207">
        <f>VLOOKUP(C18,'BD EVA 3 ESC'!$D$3:$Q$110,14,0)</f>
        <v>0.5</v>
      </c>
      <c r="F18" s="75">
        <f>VLOOKUP(C18,'BD EVA 3 ESC'!$D$3:$AC$113,9,0)</f>
        <v>45199</v>
      </c>
      <c r="G18" s="207">
        <f ca="1">VLOOKUP(C18,'BD EVA 3 ESC'!$D$3:$AC$113,24,0)</f>
        <v>0.66666666666666596</v>
      </c>
      <c r="H18" s="207">
        <f>VLOOKUP(C18,'BD EVA 3 ESC'!$D$3:$AC$113,17,0)</f>
        <v>1</v>
      </c>
      <c r="I18" s="214">
        <f t="shared" ref="I18:I23" ca="1" si="6">G18/H18</f>
        <v>0.66666666666666596</v>
      </c>
      <c r="J18" s="75" t="s">
        <v>318</v>
      </c>
      <c r="K18" s="71">
        <v>0.3</v>
      </c>
      <c r="L18" s="211">
        <f t="shared" ca="1" si="0"/>
        <v>0.19999999999999979</v>
      </c>
      <c r="M18" s="189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ESC'!$D$3:$Y$113,4,0)</f>
        <v>44469</v>
      </c>
      <c r="E19" s="207">
        <f>VLOOKUP(C19,'BD EVA 3 ESC'!$D$3:$Q$110,14,0)</f>
        <v>0.99909357343565885</v>
      </c>
      <c r="F19" s="75">
        <f>VLOOKUP(C19,'BD EVA 3 ESC'!$D$3:$AC$113,9,0)</f>
        <v>45199</v>
      </c>
      <c r="G19" s="207">
        <f ca="1">VLOOKUP(C19,'BD EVA 3 ESC'!$D$3:$AC$113,24,0)</f>
        <v>0.99804511278195396</v>
      </c>
      <c r="H19" s="207">
        <f>VLOOKUP(C19,'BD EVA 3 ESC'!$D$3:$AC$113,17,0)</f>
        <v>1</v>
      </c>
      <c r="I19" s="214">
        <f t="shared" ca="1" si="6"/>
        <v>0.99804511278195396</v>
      </c>
      <c r="J19" s="75" t="s">
        <v>318</v>
      </c>
      <c r="K19" s="71">
        <v>1.5</v>
      </c>
      <c r="L19" s="211">
        <f t="shared" ca="1" si="0"/>
        <v>1.497067669172931</v>
      </c>
      <c r="M19" s="189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ESC'!$D$3:$Y$113,4,0)</f>
        <v>44469</v>
      </c>
      <c r="E20" s="214">
        <f>VLOOKUP(C20,'BD EVA 3 ESC'!$D$3:$Q$110,14,0)</f>
        <v>1</v>
      </c>
      <c r="F20" s="75">
        <f>VLOOKUP(C20,'BD EVA 3 ESC'!$D$3:$AC$113,9,0)</f>
        <v>45199</v>
      </c>
      <c r="G20" s="214">
        <f ca="1">VLOOKUP(C20,'BD EVA 3 ESC'!$D$3:$AC$113,24,0)</f>
        <v>1</v>
      </c>
      <c r="H20" s="214">
        <f>VLOOKUP(C20,'BD EVA 3 ESC'!$D$3:$AC$113,17,0)</f>
        <v>1</v>
      </c>
      <c r="I20" s="214">
        <f t="shared" ca="1" si="6"/>
        <v>1</v>
      </c>
      <c r="J20" s="75" t="s">
        <v>318</v>
      </c>
      <c r="K20" s="71">
        <v>1.5</v>
      </c>
      <c r="L20" s="211">
        <f t="shared" ca="1" si="0"/>
        <v>1.5</v>
      </c>
      <c r="M20" s="189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ESC'!$D$3:$Y$113,4,0)</f>
        <v>44469</v>
      </c>
      <c r="E21" s="207">
        <f>VLOOKUP(C21,'BD EVA 3 ESC'!$D$3:$Q$110,14,0)</f>
        <v>0.89530311989709388</v>
      </c>
      <c r="F21" s="75">
        <f>VLOOKUP(C21,'BD EVA 3 ESC'!$D$3:$AC$113,9,0)</f>
        <v>45199</v>
      </c>
      <c r="G21" s="207">
        <f ca="1">VLOOKUP(C21,'BD EVA 3 ESC'!$D$3:$AC$113,24,0)</f>
        <v>0.90313168826618395</v>
      </c>
      <c r="H21" s="207">
        <f>VLOOKUP(C21,'BD EVA 3 ESC'!$D$3:$AC$113,17,0)</f>
        <v>1</v>
      </c>
      <c r="I21" s="214">
        <f t="shared" ca="1" si="6"/>
        <v>0.90313168826618395</v>
      </c>
      <c r="J21" s="75" t="s">
        <v>318</v>
      </c>
      <c r="K21" s="71">
        <v>0.9</v>
      </c>
      <c r="L21" s="211">
        <f t="shared" ca="1" si="0"/>
        <v>0.81281851943956562</v>
      </c>
      <c r="M21" s="189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ESC'!$D$3:$Y$113,4,0)</f>
        <v>44469</v>
      </c>
      <c r="E22" s="207">
        <f>VLOOKUP(C22,'BD EVA 3 ESC'!$D$3:$Q$110,14,0)</f>
        <v>0.89295554513586539</v>
      </c>
      <c r="F22" s="75">
        <f>VLOOKUP(C22,'BD EVA 3 ESC'!$D$3:$AC$113,9,0)</f>
        <v>45199</v>
      </c>
      <c r="G22" s="207">
        <f ca="1">VLOOKUP(C22,'BD EVA 3 ESC'!$D$3:$AC$113,24,0)</f>
        <v>0.92669814901645498</v>
      </c>
      <c r="H22" s="207">
        <f>VLOOKUP(C22,'BD EVA 3 ESC'!$D$3:$AC$113,17,0)</f>
        <v>1</v>
      </c>
      <c r="I22" s="214">
        <f t="shared" ca="1" si="6"/>
        <v>0.92669814901645498</v>
      </c>
      <c r="J22" s="75" t="s">
        <v>318</v>
      </c>
      <c r="K22" s="71">
        <v>1.5</v>
      </c>
      <c r="L22" s="211">
        <f t="shared" ca="1" si="0"/>
        <v>1.3900472235246824</v>
      </c>
      <c r="M22" s="189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ESC'!$D$3:$Y$113,4,0)</f>
        <v>octubre 20 - mar 21</v>
      </c>
      <c r="E23" s="208">
        <f>VLOOKUP(C23,'BD EVA 3 ESC'!$D$3:$Q$110,14,0)</f>
        <v>0</v>
      </c>
      <c r="F23" s="75" t="str">
        <f>VLOOKUP(C23,'BD EVA 3 ESC'!$D$3:$AC$113,9,0)</f>
        <v>octubre 22 - septiembre 23</v>
      </c>
      <c r="G23" s="208">
        <f ca="1">VLOOKUP(C23,'BD EVA 3 ESC'!$D$3:$AC$113,24,0)</f>
        <v>10.049999999999899</v>
      </c>
      <c r="H23" s="208">
        <f>VLOOKUP(C23,'BD EVA 3 ESC'!$D$3:$AC$113,17,0)</f>
        <v>7.7</v>
      </c>
      <c r="I23" s="214">
        <f t="shared" ca="1" si="6"/>
        <v>1.3051948051947921</v>
      </c>
      <c r="J23" s="75" t="s">
        <v>318</v>
      </c>
      <c r="K23" s="82">
        <v>1.3</v>
      </c>
      <c r="L23" s="211">
        <f t="shared" ca="1" si="0"/>
        <v>1.3</v>
      </c>
      <c r="M23" s="189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ESC'!$D$3:$Y$113,4,0)</f>
        <v>44469</v>
      </c>
      <c r="E24" s="171">
        <f>VLOOKUP(C24,'BD EVA 3 ESC'!$D$3:$Q$110,14,0)</f>
        <v>5.04</v>
      </c>
      <c r="F24" s="75">
        <f>VLOOKUP(C24,'BD EVA 3 ESC'!$D$3:$AC$113,9,0)</f>
        <v>45199</v>
      </c>
      <c r="G24" s="171">
        <f ca="1">VLOOKUP(C24,'BD EVA 3 ESC'!$D$3:$AC$113,24,0)</f>
        <v>8.9</v>
      </c>
      <c r="H24" s="171">
        <f>VLOOKUP(C24,'BD EVA 3 ESC'!$D$3:$AC$113,17,0)</f>
        <v>9.3360000000000003</v>
      </c>
      <c r="I24" s="77">
        <f ca="1">IF(H24="Sin meta",0,G24/H24)</f>
        <v>0.95329905741216792</v>
      </c>
      <c r="J24" s="75" t="s">
        <v>318</v>
      </c>
      <c r="K24" s="82">
        <v>2.65</v>
      </c>
      <c r="L24" s="82">
        <f t="shared" ca="1" si="0"/>
        <v>2.526242502142245</v>
      </c>
      <c r="M24" s="130">
        <f ca="1">SUM(L24:L27)</f>
        <v>7.560180330142245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ESC'!$D$3:$Y$113,4,0)</f>
        <v>octubre 20 - mar 21</v>
      </c>
      <c r="E25" s="212">
        <f>VLOOKUP(C25,'BD EVA 3 ESC'!$D$3:$Q$110,14,0)</f>
        <v>0</v>
      </c>
      <c r="F25" s="75" t="str">
        <f>VLOOKUP(C25,'BD EVA 3 ESC'!$D$3:$AC$113,9,0)</f>
        <v>octubre 22 - septiembre 23</v>
      </c>
      <c r="G25" s="212">
        <f ca="1">VLOOKUP(C25,'BD EVA 3 ESC'!$D$3:$AC$113,24,0)</f>
        <v>23969.29</v>
      </c>
      <c r="H25" s="212">
        <f>VLOOKUP(C25,'BD EVA 3 ESC'!$D$3:$AC$113,17,0)</f>
        <v>25000</v>
      </c>
      <c r="I25" s="214">
        <f t="shared" ref="I25:I26" ca="1" si="7">G25/H25</f>
        <v>0.95877160000000006</v>
      </c>
      <c r="J25" s="75" t="s">
        <v>318</v>
      </c>
      <c r="K25" s="82">
        <v>2.33</v>
      </c>
      <c r="L25" s="209">
        <f t="shared" ca="1" si="0"/>
        <v>2.2339378280000002</v>
      </c>
      <c r="M25" s="189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ESC'!$D$3:$Y$113,4,0)</f>
        <v>octubre 20 - mar 21</v>
      </c>
      <c r="E26" s="212">
        <f>VLOOKUP(C26,'BD EVA 3 ESC'!$D$3:$Q$110,14,0)</f>
        <v>0</v>
      </c>
      <c r="F26" s="75" t="str">
        <f>VLOOKUP(C26,'BD EVA 3 ESC'!$D$3:$AC$113,9,0)</f>
        <v>octubre 22 - septiembre 23</v>
      </c>
      <c r="G26" s="212">
        <f ca="1">VLOOKUP(C26,'BD EVA 3 ESC'!$D$3:$AC$113,24,0)</f>
        <v>6</v>
      </c>
      <c r="H26" s="212">
        <f>VLOOKUP(C26,'BD EVA 3 ESC'!$D$3:$AC$113,17,0)</f>
        <v>4</v>
      </c>
      <c r="I26" s="214">
        <f t="shared" ca="1" si="7"/>
        <v>1.5</v>
      </c>
      <c r="J26" s="75" t="s">
        <v>318</v>
      </c>
      <c r="K26" s="82">
        <v>2.8</v>
      </c>
      <c r="L26" s="209">
        <f t="shared" ca="1" si="0"/>
        <v>2.8</v>
      </c>
      <c r="M26" s="189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ESC'!$D$3:$Y$113,4,0)</f>
        <v>octubre 2018 - marzo 2019</v>
      </c>
      <c r="E27" s="212">
        <f>VLOOKUP(C27,'BD EVA 3 ESC'!$D$3:$Q$110,14,0)</f>
        <v>3165</v>
      </c>
      <c r="F27" s="75" t="str">
        <f>VLOOKUP(C27,'BD EVA 3 ESC'!$D$3:$AC$113,9,0)</f>
        <v>octubre 22 - septiembre 23</v>
      </c>
      <c r="G27" s="212">
        <f ca="1">VLOOKUP(C27,'BD EVA 3 ESC'!$D$3:$AC$113,24,0)</f>
        <v>5195</v>
      </c>
      <c r="H27" s="212">
        <f>VLOOKUP(C27,'BD EVA 3 ESC'!$D$3:$AC$113,17,0)</f>
        <v>3144</v>
      </c>
      <c r="I27" s="78">
        <f ca="1">(G27-E27)/(H27-E27)</f>
        <v>-96.666666666666671</v>
      </c>
      <c r="J27" s="89" t="s">
        <v>319</v>
      </c>
      <c r="K27" s="82">
        <v>2.2200000000000002</v>
      </c>
      <c r="L27" s="209">
        <f t="shared" ca="1" si="0"/>
        <v>0</v>
      </c>
      <c r="M27" s="189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ESC'!$D$3:$Y$113,4,0)</f>
        <v>octubre 20 - mar 21</v>
      </c>
      <c r="E28" s="212">
        <f>VLOOKUP(C28,'BD EVA 3 ESC'!$D$3:$Q$110,14,0)</f>
        <v>0</v>
      </c>
      <c r="F28" s="75" t="str">
        <f>VLOOKUP(C28,'BD EVA 3 ESC'!$D$3:$AC$113,9,0)</f>
        <v>octubre 22 - septiembre 23</v>
      </c>
      <c r="G28" s="212">
        <f ca="1">VLOOKUP(C28,'BD EVA 3 ESC'!$D$3:$AC$113,24,0)</f>
        <v>183</v>
      </c>
      <c r="H28" s="212">
        <f>VLOOKUP(C28,'BD EVA 3 ESC'!$D$3:$AC$113,17,0)</f>
        <v>2</v>
      </c>
      <c r="I28" s="78">
        <f t="shared" ref="I28:I31" ca="1" si="8">G28/H28</f>
        <v>91.5</v>
      </c>
      <c r="J28" s="75" t="s">
        <v>318</v>
      </c>
      <c r="K28" s="82">
        <v>2.5</v>
      </c>
      <c r="L28" s="209">
        <f t="shared" ca="1" si="0"/>
        <v>2.5</v>
      </c>
      <c r="M28" s="130">
        <f ca="1">SUM(L28:L31)</f>
        <v>9.2715027766351259</v>
      </c>
    </row>
    <row r="29" spans="1:13" ht="65">
      <c r="A29" s="121" t="s">
        <v>243</v>
      </c>
      <c r="B29" s="72" t="s">
        <v>247</v>
      </c>
      <c r="C29" s="72" t="s">
        <v>248</v>
      </c>
      <c r="D29" s="75">
        <f>VLOOKUP(C29,'BD EVA 3 ESC'!$D$3:$Y$113,4,0)</f>
        <v>44469</v>
      </c>
      <c r="E29" s="212">
        <f>VLOOKUP(C29,'BD EVA 3 ESC'!$D$3:$Q$110,14,0)</f>
        <v>1</v>
      </c>
      <c r="F29" s="75">
        <f>VLOOKUP(C29,'BD EVA 3 ESC'!$D$3:$AC$113,9,0)</f>
        <v>45199</v>
      </c>
      <c r="G29" s="212">
        <f ca="1">VLOOKUP(C29,'BD EVA 3 ESC'!$D$3:$AC$113,24,0)</f>
        <v>36</v>
      </c>
      <c r="H29" s="212">
        <f>VLOOKUP(C29,'BD EVA 3 ESC'!$D$3:$AC$113,17,0)</f>
        <v>8</v>
      </c>
      <c r="I29" s="78">
        <f t="shared" ca="1" si="8"/>
        <v>4.5</v>
      </c>
      <c r="J29" s="75" t="s">
        <v>318</v>
      </c>
      <c r="K29" s="82">
        <v>2.5</v>
      </c>
      <c r="L29" s="209">
        <f t="shared" ca="1" si="0"/>
        <v>2.5</v>
      </c>
      <c r="M29" s="189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ESC'!$D$3:$Y$113,4,0)</f>
        <v>44469</v>
      </c>
      <c r="E30" s="212">
        <f>VLOOKUP(C30,'BD EVA 3 ESC'!$D$3:$Q$110,14,0)</f>
        <v>100</v>
      </c>
      <c r="F30" s="75">
        <f>VLOOKUP(C30,'BD EVA 3 ESC'!$D$3:$AC$113,9,0)</f>
        <v>45078</v>
      </c>
      <c r="G30" s="212">
        <f ca="1">VLOOKUP(C30,'BD EVA 3 ESC'!$D$3:$AC$113,24,0)</f>
        <v>98.03</v>
      </c>
      <c r="H30" s="212">
        <f>VLOOKUP(C30,'BD EVA 3 ESC'!$D$3:$AC$113,17,0)</f>
        <v>100</v>
      </c>
      <c r="I30" s="78">
        <f t="shared" ca="1" si="8"/>
        <v>0.98030000000000006</v>
      </c>
      <c r="J30" s="75" t="s">
        <v>318</v>
      </c>
      <c r="K30" s="82">
        <v>2.5</v>
      </c>
      <c r="L30" s="209">
        <f t="shared" ca="1" si="0"/>
        <v>2.4507500000000002</v>
      </c>
      <c r="M30" s="189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ESC'!$D$3:$Y$113,4,0)</f>
        <v>44469</v>
      </c>
      <c r="E31" s="209">
        <f>VLOOKUP(C31,'BD EVA 3 ESC'!$D$3:$Q$110,14,0)</f>
        <v>0</v>
      </c>
      <c r="F31" s="75">
        <f>VLOOKUP(C31,'BD EVA 3 ESC'!$D$3:$AC$113,9,0)</f>
        <v>45199</v>
      </c>
      <c r="G31" s="209">
        <f ca="1">VLOOKUP(C31,'BD EVA 3 ESC'!$D$3:$AC$113,24,0)</f>
        <v>2.9132044426162</v>
      </c>
      <c r="H31" s="209">
        <f>VLOOKUP(C31,'BD EVA 3 ESC'!$D$3:$AC$113,17,0)</f>
        <v>4</v>
      </c>
      <c r="I31" s="78">
        <f t="shared" ca="1" si="8"/>
        <v>0.72830111065405001</v>
      </c>
      <c r="J31" s="75" t="s">
        <v>318</v>
      </c>
      <c r="K31" s="82">
        <v>2.5</v>
      </c>
      <c r="L31" s="209">
        <f t="shared" ca="1" si="0"/>
        <v>1.820752776635125</v>
      </c>
      <c r="M31" s="189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0A44-BD90-2D49-A407-809AE072D59A}">
  <dimension ref="A1:AD39"/>
  <sheetViews>
    <sheetView workbookViewId="0">
      <selection activeCell="D3" sqref="D3"/>
    </sheetView>
  </sheetViews>
  <sheetFormatPr baseColWidth="10" defaultRowHeight="16"/>
  <sheetData>
    <row r="1" spans="1:30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  <c r="AD1" s="65"/>
    </row>
    <row r="2" spans="1:30">
      <c r="A2" s="7" t="s">
        <v>34</v>
      </c>
      <c r="B2" s="7" t="s">
        <v>35</v>
      </c>
      <c r="C2" s="1" t="s">
        <v>36</v>
      </c>
      <c r="D2" s="1" t="s">
        <v>37</v>
      </c>
      <c r="E2" s="7" t="s">
        <v>38</v>
      </c>
      <c r="F2" s="9" t="s">
        <v>39</v>
      </c>
      <c r="G2" s="11">
        <v>44469</v>
      </c>
      <c r="H2" s="11">
        <v>44469</v>
      </c>
      <c r="I2" s="11">
        <v>44651</v>
      </c>
      <c r="J2" s="11">
        <v>44834</v>
      </c>
      <c r="K2" s="11">
        <v>45016</v>
      </c>
      <c r="L2" s="11">
        <v>45199</v>
      </c>
      <c r="M2" s="11">
        <v>45382</v>
      </c>
      <c r="N2" s="11">
        <v>45565</v>
      </c>
      <c r="O2" s="11">
        <v>45565</v>
      </c>
      <c r="P2" s="12">
        <v>531</v>
      </c>
      <c r="Q2" s="2">
        <v>531</v>
      </c>
      <c r="R2" s="2">
        <v>555</v>
      </c>
      <c r="S2" s="2">
        <v>579</v>
      </c>
      <c r="T2" s="2">
        <v>602</v>
      </c>
      <c r="U2" s="2">
        <v>626</v>
      </c>
      <c r="V2" s="2">
        <v>650</v>
      </c>
      <c r="W2" s="2">
        <v>650</v>
      </c>
      <c r="X2" s="2">
        <v>542</v>
      </c>
      <c r="Y2" s="2">
        <v>534</v>
      </c>
      <c r="Z2" s="2">
        <v>540</v>
      </c>
      <c r="AA2" s="2">
        <v>583</v>
      </c>
      <c r="AB2" s="2">
        <v>602</v>
      </c>
      <c r="AC2" s="1"/>
      <c r="AD2" s="1"/>
    </row>
    <row r="3" spans="1:30">
      <c r="A3" s="7" t="s">
        <v>34</v>
      </c>
      <c r="B3" s="7" t="s">
        <v>40</v>
      </c>
      <c r="C3" s="1" t="s">
        <v>36</v>
      </c>
      <c r="D3" s="1" t="s">
        <v>43</v>
      </c>
      <c r="E3" s="7" t="s">
        <v>38</v>
      </c>
      <c r="F3" s="9" t="s">
        <v>44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5">
        <v>0.89077212806026362</v>
      </c>
      <c r="Q3" s="15">
        <v>0.89077212806026362</v>
      </c>
      <c r="R3" s="14" t="s">
        <v>327</v>
      </c>
      <c r="S3" s="14" t="s">
        <v>327</v>
      </c>
      <c r="T3" s="14" t="s">
        <v>327</v>
      </c>
      <c r="U3" s="14" t="s">
        <v>327</v>
      </c>
      <c r="V3" s="14" t="s">
        <v>327</v>
      </c>
      <c r="W3" s="14" t="s">
        <v>327</v>
      </c>
      <c r="X3" s="15">
        <v>0.94464944649446492</v>
      </c>
      <c r="Y3" s="15">
        <v>0.92883895131086103</v>
      </c>
      <c r="Z3" s="15">
        <v>0.93333333333333302</v>
      </c>
      <c r="AA3" s="15">
        <v>0.93310463121783804</v>
      </c>
      <c r="AB3" s="15">
        <v>0.96843853820598003</v>
      </c>
      <c r="AC3" s="1"/>
      <c r="AD3" s="1"/>
    </row>
    <row r="4" spans="1:30">
      <c r="A4" s="7" t="s">
        <v>34</v>
      </c>
      <c r="B4" s="7" t="s">
        <v>45</v>
      </c>
      <c r="C4" s="1" t="s">
        <v>36</v>
      </c>
      <c r="D4" s="1" t="s">
        <v>50</v>
      </c>
      <c r="E4" s="7" t="s">
        <v>38</v>
      </c>
      <c r="F4" s="9" t="s">
        <v>51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5">
        <v>0</v>
      </c>
      <c r="Q4" s="15">
        <v>0</v>
      </c>
      <c r="R4" s="14">
        <v>0.02</v>
      </c>
      <c r="S4" s="14">
        <v>0.04</v>
      </c>
      <c r="T4" s="14">
        <v>0.06</v>
      </c>
      <c r="U4" s="14">
        <v>0.08</v>
      </c>
      <c r="V4" s="14">
        <v>0.1</v>
      </c>
      <c r="W4" s="14">
        <v>0.1</v>
      </c>
      <c r="X4" s="15">
        <v>0</v>
      </c>
      <c r="Y4" s="15">
        <v>1.4981273408239701E-2</v>
      </c>
      <c r="Z4" s="15">
        <v>0</v>
      </c>
      <c r="AA4" s="15">
        <v>6.5180102915951901E-2</v>
      </c>
      <c r="AB4" s="15">
        <v>7.3089700996677706E-2</v>
      </c>
      <c r="AC4" s="1"/>
      <c r="AD4" s="1"/>
    </row>
    <row r="5" spans="1:30">
      <c r="A5" s="7" t="s">
        <v>52</v>
      </c>
      <c r="B5" s="7" t="s">
        <v>53</v>
      </c>
      <c r="C5" s="1" t="s">
        <v>36</v>
      </c>
      <c r="D5" s="7" t="s">
        <v>66</v>
      </c>
      <c r="E5" s="7" t="s">
        <v>38</v>
      </c>
      <c r="F5" s="9" t="s">
        <v>67</v>
      </c>
      <c r="G5" s="9" t="s">
        <v>56</v>
      </c>
      <c r="H5" s="9" t="s">
        <v>57</v>
      </c>
      <c r="I5" s="9" t="s">
        <v>58</v>
      </c>
      <c r="J5" s="9" t="s">
        <v>59</v>
      </c>
      <c r="K5" s="9" t="s">
        <v>60</v>
      </c>
      <c r="L5" s="9" t="s">
        <v>61</v>
      </c>
      <c r="M5" s="9" t="s">
        <v>62</v>
      </c>
      <c r="N5" s="9" t="s">
        <v>63</v>
      </c>
      <c r="O5" s="9" t="s">
        <v>63</v>
      </c>
      <c r="P5" s="15">
        <v>0</v>
      </c>
      <c r="Q5" s="15">
        <v>0</v>
      </c>
      <c r="R5" s="14">
        <v>0.03</v>
      </c>
      <c r="S5" s="14">
        <v>0.06</v>
      </c>
      <c r="T5" s="14">
        <v>0.09</v>
      </c>
      <c r="U5" s="14">
        <v>0.12</v>
      </c>
      <c r="V5" s="14">
        <v>0.15</v>
      </c>
      <c r="W5" s="14">
        <v>0.15</v>
      </c>
      <c r="X5" s="15">
        <v>5.1786639047125837E-4</v>
      </c>
      <c r="Y5" s="15">
        <v>3.8814396612561697E-2</v>
      </c>
      <c r="Z5" s="15">
        <v>6.3186813186813101E-2</v>
      </c>
      <c r="AA5" s="15">
        <v>8.0599812558575401E-2</v>
      </c>
      <c r="AB5" s="15">
        <v>2.06569590247206E-2</v>
      </c>
      <c r="AC5" s="1"/>
      <c r="AD5" s="1"/>
    </row>
    <row r="6" spans="1:30">
      <c r="A6" s="7" t="s">
        <v>52</v>
      </c>
      <c r="B6" s="7" t="s">
        <v>68</v>
      </c>
      <c r="C6" s="1" t="s">
        <v>36</v>
      </c>
      <c r="D6" s="7" t="s">
        <v>72</v>
      </c>
      <c r="E6" s="7" t="s">
        <v>73</v>
      </c>
      <c r="F6" s="9" t="s">
        <v>74</v>
      </c>
      <c r="G6" s="2" t="s">
        <v>56</v>
      </c>
      <c r="H6" s="2" t="s">
        <v>57</v>
      </c>
      <c r="I6" s="9" t="s">
        <v>58</v>
      </c>
      <c r="J6" s="9" t="s">
        <v>59</v>
      </c>
      <c r="K6" s="9" t="s">
        <v>60</v>
      </c>
      <c r="L6" s="9" t="s">
        <v>61</v>
      </c>
      <c r="M6" s="9" t="s">
        <v>62</v>
      </c>
      <c r="N6" s="9" t="s">
        <v>63</v>
      </c>
      <c r="O6" s="9" t="s">
        <v>63</v>
      </c>
      <c r="P6" s="23">
        <v>7.1900912084217108</v>
      </c>
      <c r="Q6" s="23">
        <v>17.129334937710546</v>
      </c>
      <c r="R6" s="2">
        <v>14.1</v>
      </c>
      <c r="S6" s="2">
        <v>4.9000000000000004</v>
      </c>
      <c r="T6" s="2">
        <v>11.6</v>
      </c>
      <c r="U6" s="2">
        <v>3.4</v>
      </c>
      <c r="V6" s="2">
        <v>8</v>
      </c>
      <c r="W6" s="2">
        <v>8</v>
      </c>
      <c r="X6" s="23">
        <v>9.818011664633433</v>
      </c>
      <c r="Y6" s="23">
        <v>22.7694313073413</v>
      </c>
      <c r="Z6" s="23">
        <v>10.3345073333664</v>
      </c>
      <c r="AA6" s="23">
        <v>17.155282173388201</v>
      </c>
      <c r="AB6" s="23">
        <v>5.32616622555084</v>
      </c>
      <c r="AC6" s="1"/>
      <c r="AD6" s="1"/>
    </row>
    <row r="7" spans="1:30">
      <c r="A7" s="7" t="s">
        <v>52</v>
      </c>
      <c r="B7" s="7" t="s">
        <v>68</v>
      </c>
      <c r="C7" s="1" t="s">
        <v>36</v>
      </c>
      <c r="D7" s="7" t="s">
        <v>84</v>
      </c>
      <c r="E7" s="7" t="s">
        <v>76</v>
      </c>
      <c r="F7" s="9" t="s">
        <v>85</v>
      </c>
      <c r="G7" s="2" t="s">
        <v>56</v>
      </c>
      <c r="H7" s="2" t="s">
        <v>57</v>
      </c>
      <c r="I7" s="9" t="s">
        <v>58</v>
      </c>
      <c r="J7" s="9" t="s">
        <v>59</v>
      </c>
      <c r="K7" s="9" t="s">
        <v>60</v>
      </c>
      <c r="L7" s="9" t="s">
        <v>61</v>
      </c>
      <c r="M7" s="9" t="s">
        <v>62</v>
      </c>
      <c r="N7" s="9" t="s">
        <v>63</v>
      </c>
      <c r="O7" s="9" t="s">
        <v>63</v>
      </c>
      <c r="P7" s="23">
        <v>149.51160248100442</v>
      </c>
      <c r="Q7" s="23">
        <v>303.46414364956343</v>
      </c>
      <c r="R7" s="2">
        <v>261.60000000000002</v>
      </c>
      <c r="S7" s="2">
        <v>111.1</v>
      </c>
      <c r="T7" s="2">
        <v>225.6</v>
      </c>
      <c r="U7" s="2">
        <v>87.7</v>
      </c>
      <c r="V7" s="2">
        <v>178</v>
      </c>
      <c r="W7" s="2">
        <v>178</v>
      </c>
      <c r="X7" s="23">
        <v>200.53811059676801</v>
      </c>
      <c r="Y7" s="23">
        <v>378.306789886194</v>
      </c>
      <c r="Z7" s="23">
        <v>175.68662466722799</v>
      </c>
      <c r="AA7" s="23">
        <v>350.753178894455</v>
      </c>
      <c r="AB7" s="23">
        <v>151.59088488106201</v>
      </c>
      <c r="AC7" s="1"/>
      <c r="AD7" s="1"/>
    </row>
    <row r="8" spans="1:30">
      <c r="A8" s="7" t="s">
        <v>52</v>
      </c>
      <c r="B8" s="7" t="s">
        <v>86</v>
      </c>
      <c r="C8" s="1" t="s">
        <v>36</v>
      </c>
      <c r="D8" s="7" t="s">
        <v>89</v>
      </c>
      <c r="E8" s="7" t="s">
        <v>76</v>
      </c>
      <c r="F8" s="9" t="s">
        <v>90</v>
      </c>
      <c r="G8" s="2" t="s">
        <v>56</v>
      </c>
      <c r="H8" s="2" t="s">
        <v>57</v>
      </c>
      <c r="I8" s="9" t="s">
        <v>58</v>
      </c>
      <c r="J8" s="9" t="s">
        <v>59</v>
      </c>
      <c r="K8" s="9" t="s">
        <v>60</v>
      </c>
      <c r="L8" s="9" t="s">
        <v>61</v>
      </c>
      <c r="M8" s="9" t="s">
        <v>62</v>
      </c>
      <c r="N8" s="9" t="s">
        <v>63</v>
      </c>
      <c r="O8" s="9" t="s">
        <v>63</v>
      </c>
      <c r="P8" s="23">
        <v>349.77678996263268</v>
      </c>
      <c r="Q8" s="23">
        <v>828.97522167685622</v>
      </c>
      <c r="R8" s="2">
        <v>692</v>
      </c>
      <c r="S8" s="2">
        <v>243.7</v>
      </c>
      <c r="T8" s="2">
        <v>577.6</v>
      </c>
      <c r="U8" s="2">
        <v>176.4</v>
      </c>
      <c r="V8" s="2">
        <v>418</v>
      </c>
      <c r="W8" s="2">
        <v>418</v>
      </c>
      <c r="X8" s="23">
        <v>447.2417654038336</v>
      </c>
      <c r="Y8" s="23">
        <v>1026.71334748241</v>
      </c>
      <c r="Z8" s="23">
        <v>480.96797129487197</v>
      </c>
      <c r="AA8" s="23">
        <v>1098.14474924351</v>
      </c>
      <c r="AB8" s="23">
        <v>499.02080482468699</v>
      </c>
      <c r="AC8" s="1"/>
      <c r="AD8" s="1"/>
    </row>
    <row r="9" spans="1:30">
      <c r="A9" s="7" t="s">
        <v>52</v>
      </c>
      <c r="B9" s="7" t="s">
        <v>86</v>
      </c>
      <c r="C9" s="1" t="s">
        <v>36</v>
      </c>
      <c r="D9" s="7" t="s">
        <v>93</v>
      </c>
      <c r="E9" s="7" t="s">
        <v>76</v>
      </c>
      <c r="F9" s="9" t="s">
        <v>94</v>
      </c>
      <c r="G9" s="2" t="s">
        <v>56</v>
      </c>
      <c r="H9" s="2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3">
        <v>68.94028629251406</v>
      </c>
      <c r="Q9" s="23">
        <v>155.00990752273867</v>
      </c>
      <c r="R9" s="2">
        <v>127.7</v>
      </c>
      <c r="S9" s="2">
        <v>46.8</v>
      </c>
      <c r="T9" s="2">
        <v>105.2</v>
      </c>
      <c r="U9" s="2">
        <v>32.5</v>
      </c>
      <c r="V9" s="2">
        <v>73</v>
      </c>
      <c r="W9" s="2">
        <v>73</v>
      </c>
      <c r="X9" s="23">
        <v>74.784003743378065</v>
      </c>
      <c r="Y9" s="23">
        <v>173.799695850532</v>
      </c>
      <c r="Z9" s="23">
        <v>70.481340013558807</v>
      </c>
      <c r="AA9" s="23">
        <v>154.81091985382801</v>
      </c>
      <c r="AB9" s="23">
        <v>79.482788288989497</v>
      </c>
      <c r="AC9" s="1"/>
      <c r="AD9" s="1"/>
    </row>
    <row r="10" spans="1:30">
      <c r="A10" s="7" t="s">
        <v>52</v>
      </c>
      <c r="B10" s="7" t="s">
        <v>86</v>
      </c>
      <c r="C10" s="1" t="s">
        <v>36</v>
      </c>
      <c r="D10" s="7" t="s">
        <v>117</v>
      </c>
      <c r="E10" s="7" t="s">
        <v>76</v>
      </c>
      <c r="F10" s="2" t="s">
        <v>118</v>
      </c>
      <c r="G10" s="2" t="s">
        <v>56</v>
      </c>
      <c r="H10" s="2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23">
        <v>5.2868317708983179</v>
      </c>
      <c r="Q10" s="23">
        <v>16.917861666874614</v>
      </c>
      <c r="R10" s="2">
        <v>12.3</v>
      </c>
      <c r="S10" s="2">
        <v>2.8</v>
      </c>
      <c r="T10" s="2">
        <v>8.9</v>
      </c>
      <c r="U10" s="2">
        <v>0.9</v>
      </c>
      <c r="V10" s="2">
        <v>3</v>
      </c>
      <c r="W10" s="2">
        <v>3</v>
      </c>
      <c r="X10" s="23">
        <v>8.9824362038135668</v>
      </c>
      <c r="Y10" s="23">
        <v>23.187219037751198</v>
      </c>
      <c r="Z10" s="23">
        <v>10.5411974800337</v>
      </c>
      <c r="AA10" s="23">
        <v>23.149296426740701</v>
      </c>
      <c r="AB10" s="23">
        <v>10.6523324511016</v>
      </c>
      <c r="AC10" s="1"/>
      <c r="AD10" s="1"/>
    </row>
    <row r="11" spans="1:30">
      <c r="A11" s="7" t="s">
        <v>119</v>
      </c>
      <c r="B11" s="7" t="s">
        <v>120</v>
      </c>
      <c r="C11" s="1" t="s">
        <v>36</v>
      </c>
      <c r="D11" s="7" t="s">
        <v>125</v>
      </c>
      <c r="E11" s="7" t="s">
        <v>38</v>
      </c>
      <c r="F11" s="2" t="s">
        <v>126</v>
      </c>
      <c r="G11" s="11">
        <v>44469</v>
      </c>
      <c r="H11" s="11">
        <v>44469</v>
      </c>
      <c r="I11" s="11">
        <v>44651</v>
      </c>
      <c r="J11" s="11">
        <v>44834</v>
      </c>
      <c r="K11" s="11">
        <v>45016</v>
      </c>
      <c r="L11" s="11">
        <v>45199</v>
      </c>
      <c r="M11" s="11">
        <v>45382</v>
      </c>
      <c r="N11" s="11">
        <v>45565</v>
      </c>
      <c r="O11" s="11">
        <v>45565</v>
      </c>
      <c r="P11" s="15">
        <v>0</v>
      </c>
      <c r="Q11" s="15">
        <v>0</v>
      </c>
      <c r="R11" s="56" t="s">
        <v>419</v>
      </c>
      <c r="S11" s="56" t="s">
        <v>419</v>
      </c>
      <c r="T11" s="56" t="s">
        <v>419</v>
      </c>
      <c r="U11" s="56" t="s">
        <v>419</v>
      </c>
      <c r="V11" s="56" t="s">
        <v>419</v>
      </c>
      <c r="W11" s="56" t="s">
        <v>419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"/>
      <c r="AD11" s="1"/>
    </row>
    <row r="12" spans="1:30">
      <c r="A12" s="7" t="s">
        <v>119</v>
      </c>
      <c r="B12" s="7" t="s">
        <v>120</v>
      </c>
      <c r="C12" s="1" t="s">
        <v>36</v>
      </c>
      <c r="D12" s="7" t="s">
        <v>333</v>
      </c>
      <c r="E12" s="7" t="s">
        <v>38</v>
      </c>
      <c r="F12" s="2" t="s">
        <v>334</v>
      </c>
      <c r="G12" s="2" t="s">
        <v>56</v>
      </c>
      <c r="H12" s="2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2"/>
      <c r="S12" s="26">
        <v>4.0000000000000002E-4</v>
      </c>
      <c r="T12" s="26">
        <v>5.0000000000000001E-4</v>
      </c>
      <c r="U12" s="26">
        <v>5.0000000000000001E-4</v>
      </c>
      <c r="V12" s="26">
        <v>5.9999999999999995E-4</v>
      </c>
      <c r="W12" s="26">
        <v>5.9999999999999995E-4</v>
      </c>
      <c r="X12" s="12"/>
      <c r="Y12" s="300" t="s">
        <v>420</v>
      </c>
      <c r="Z12" s="15">
        <v>3.8401479018651199E-4</v>
      </c>
      <c r="AA12" s="15">
        <v>8.9069239732404899E-4</v>
      </c>
      <c r="AB12" s="15">
        <v>7.6207424466456406E-5</v>
      </c>
      <c r="AC12" s="1"/>
      <c r="AD12" s="1"/>
    </row>
    <row r="13" spans="1:30">
      <c r="A13" s="7" t="s">
        <v>119</v>
      </c>
      <c r="B13" s="7" t="s">
        <v>127</v>
      </c>
      <c r="C13" s="1" t="s">
        <v>36</v>
      </c>
      <c r="D13" s="7" t="s">
        <v>128</v>
      </c>
      <c r="E13" s="7" t="s">
        <v>38</v>
      </c>
      <c r="F13" s="2" t="s">
        <v>129</v>
      </c>
      <c r="G13" s="22" t="s">
        <v>56</v>
      </c>
      <c r="H13" s="22" t="s">
        <v>57</v>
      </c>
      <c r="I13" s="22" t="s">
        <v>58</v>
      </c>
      <c r="J13" s="22" t="s">
        <v>59</v>
      </c>
      <c r="K13" s="22" t="s">
        <v>335</v>
      </c>
      <c r="L13" s="22" t="s">
        <v>336</v>
      </c>
      <c r="M13" s="22" t="s">
        <v>337</v>
      </c>
      <c r="N13" s="22" t="s">
        <v>132</v>
      </c>
      <c r="O13" s="22" t="s">
        <v>132</v>
      </c>
      <c r="P13" s="12"/>
      <c r="Q13" s="12"/>
      <c r="R13" s="2">
        <v>1</v>
      </c>
      <c r="S13" s="2">
        <v>2</v>
      </c>
      <c r="T13" s="2">
        <v>2</v>
      </c>
      <c r="U13" s="2">
        <v>3</v>
      </c>
      <c r="V13" s="2">
        <v>3</v>
      </c>
      <c r="W13" s="12">
        <v>3</v>
      </c>
      <c r="X13" s="12">
        <v>1</v>
      </c>
      <c r="Y13" s="2">
        <v>1</v>
      </c>
      <c r="Z13" s="2">
        <v>1</v>
      </c>
      <c r="AA13" s="2">
        <v>3</v>
      </c>
      <c r="AB13" s="2">
        <v>3</v>
      </c>
      <c r="AC13" s="1"/>
      <c r="AD13" s="1"/>
    </row>
    <row r="14" spans="1:30">
      <c r="A14" s="7" t="s">
        <v>119</v>
      </c>
      <c r="B14" s="7" t="s">
        <v>133</v>
      </c>
      <c r="C14" s="1" t="s">
        <v>36</v>
      </c>
      <c r="D14" s="7" t="s">
        <v>134</v>
      </c>
      <c r="E14" s="7" t="s">
        <v>38</v>
      </c>
      <c r="F14" s="2" t="s">
        <v>135</v>
      </c>
      <c r="G14" s="22" t="s">
        <v>56</v>
      </c>
      <c r="H14" s="22" t="s">
        <v>57</v>
      </c>
      <c r="I14" s="22" t="s">
        <v>58</v>
      </c>
      <c r="J14" s="22" t="s">
        <v>59</v>
      </c>
      <c r="K14" s="22" t="s">
        <v>335</v>
      </c>
      <c r="L14" s="22" t="s">
        <v>336</v>
      </c>
      <c r="M14" s="22" t="s">
        <v>337</v>
      </c>
      <c r="N14" s="22" t="s">
        <v>132</v>
      </c>
      <c r="O14" s="22" t="s">
        <v>132</v>
      </c>
      <c r="P14" s="12"/>
      <c r="Q14" s="12"/>
      <c r="R14" s="12">
        <v>1000</v>
      </c>
      <c r="S14" s="12">
        <v>1500</v>
      </c>
      <c r="T14" s="12">
        <v>2000</v>
      </c>
      <c r="U14" s="12">
        <v>2500</v>
      </c>
      <c r="V14" s="12">
        <v>3000</v>
      </c>
      <c r="W14" s="12">
        <v>3000</v>
      </c>
      <c r="X14" s="12">
        <v>186</v>
      </c>
      <c r="Y14" s="12">
        <v>513</v>
      </c>
      <c r="Z14" s="12">
        <v>1022</v>
      </c>
      <c r="AA14" s="12">
        <v>2850</v>
      </c>
      <c r="AB14" s="12">
        <v>3825</v>
      </c>
      <c r="AC14" s="1"/>
      <c r="AD14" s="1" t="s">
        <v>417</v>
      </c>
    </row>
    <row r="15" spans="1:30">
      <c r="A15" s="7" t="s">
        <v>119</v>
      </c>
      <c r="B15" s="7" t="s">
        <v>136</v>
      </c>
      <c r="C15" s="1" t="s">
        <v>36</v>
      </c>
      <c r="D15" s="7" t="s">
        <v>145</v>
      </c>
      <c r="E15" s="7" t="s">
        <v>38</v>
      </c>
      <c r="F15" s="2" t="s">
        <v>146</v>
      </c>
      <c r="G15" s="22" t="s">
        <v>56</v>
      </c>
      <c r="H15" s="22" t="s">
        <v>57</v>
      </c>
      <c r="I15" s="22" t="s">
        <v>58</v>
      </c>
      <c r="J15" s="22" t="s">
        <v>59</v>
      </c>
      <c r="K15" s="22" t="s">
        <v>335</v>
      </c>
      <c r="L15" s="22" t="s">
        <v>336</v>
      </c>
      <c r="M15" s="22" t="s">
        <v>337</v>
      </c>
      <c r="N15" s="22" t="s">
        <v>132</v>
      </c>
      <c r="O15" s="22" t="s">
        <v>132</v>
      </c>
      <c r="P15" s="12"/>
      <c r="Q15" s="12"/>
      <c r="R15" s="2">
        <v>2</v>
      </c>
      <c r="S15" s="2">
        <v>2</v>
      </c>
      <c r="T15" s="2">
        <v>5</v>
      </c>
      <c r="U15" s="2">
        <v>6</v>
      </c>
      <c r="V15" s="2">
        <v>7</v>
      </c>
      <c r="W15" s="2">
        <v>7</v>
      </c>
      <c r="X15" s="12">
        <v>0</v>
      </c>
      <c r="Y15" s="2">
        <v>1</v>
      </c>
      <c r="Z15" s="2">
        <v>4</v>
      </c>
      <c r="AA15" s="2">
        <v>6</v>
      </c>
      <c r="AB15" s="2">
        <v>7</v>
      </c>
      <c r="AC15" s="1"/>
      <c r="AD15" s="1"/>
    </row>
    <row r="16" spans="1:30">
      <c r="A16" s="7" t="s">
        <v>147</v>
      </c>
      <c r="B16" s="7" t="s">
        <v>148</v>
      </c>
      <c r="C16" s="1" t="s">
        <v>36</v>
      </c>
      <c r="D16" s="7" t="s">
        <v>156</v>
      </c>
      <c r="E16" s="7" t="s">
        <v>38</v>
      </c>
      <c r="F16" s="2"/>
      <c r="G16" s="11">
        <v>44469</v>
      </c>
      <c r="H16" s="11">
        <v>44469</v>
      </c>
      <c r="I16" s="11">
        <v>44651</v>
      </c>
      <c r="J16" s="11">
        <v>44834</v>
      </c>
      <c r="K16" s="11">
        <v>45016</v>
      </c>
      <c r="L16" s="11">
        <v>45199</v>
      </c>
      <c r="M16" s="11">
        <v>45382</v>
      </c>
      <c r="N16" s="11">
        <v>45565</v>
      </c>
      <c r="O16" s="11">
        <v>45565</v>
      </c>
      <c r="P16" s="30">
        <v>0.33333333333333331</v>
      </c>
      <c r="Q16" s="30">
        <v>0.33333333333333331</v>
      </c>
      <c r="R16" s="2" t="s">
        <v>157</v>
      </c>
      <c r="S16" s="2" t="s">
        <v>157</v>
      </c>
      <c r="T16" s="2" t="s">
        <v>157</v>
      </c>
      <c r="U16" s="2" t="s">
        <v>157</v>
      </c>
      <c r="V16" s="2" t="s">
        <v>157</v>
      </c>
      <c r="W16" s="2" t="s">
        <v>157</v>
      </c>
      <c r="X16" s="30">
        <v>1</v>
      </c>
      <c r="Y16" s="2">
        <v>0</v>
      </c>
      <c r="Z16" s="2">
        <v>1</v>
      </c>
      <c r="AA16" s="2">
        <v>1</v>
      </c>
      <c r="AB16" s="2">
        <v>1</v>
      </c>
      <c r="AC16" s="1"/>
      <c r="AD16" s="1"/>
    </row>
    <row r="17" spans="1:30">
      <c r="A17" s="7" t="s">
        <v>147</v>
      </c>
      <c r="B17" s="7" t="s">
        <v>148</v>
      </c>
      <c r="C17" s="1" t="s">
        <v>36</v>
      </c>
      <c r="D17" s="7" t="s">
        <v>351</v>
      </c>
      <c r="E17" s="7" t="s">
        <v>38</v>
      </c>
      <c r="F17" s="2"/>
      <c r="G17" s="11">
        <v>44469</v>
      </c>
      <c r="H17" s="11">
        <v>44469</v>
      </c>
      <c r="I17" s="11">
        <v>44651</v>
      </c>
      <c r="J17" s="11">
        <v>44834</v>
      </c>
      <c r="K17" s="11">
        <v>45016</v>
      </c>
      <c r="L17" s="11">
        <v>45199</v>
      </c>
      <c r="M17" s="11">
        <v>45382</v>
      </c>
      <c r="N17" s="11">
        <v>45565</v>
      </c>
      <c r="O17" s="11">
        <v>45565</v>
      </c>
      <c r="P17" s="12">
        <v>0</v>
      </c>
      <c r="Q17" s="12">
        <v>0</v>
      </c>
      <c r="R17" s="2" t="s">
        <v>159</v>
      </c>
      <c r="S17" s="2" t="s">
        <v>160</v>
      </c>
      <c r="T17" s="2" t="s">
        <v>160</v>
      </c>
      <c r="U17" s="2" t="s">
        <v>161</v>
      </c>
      <c r="V17" s="2" t="s">
        <v>161</v>
      </c>
      <c r="W17" s="2" t="s">
        <v>161</v>
      </c>
      <c r="X17" s="12">
        <v>0</v>
      </c>
      <c r="Y17" s="29">
        <v>0</v>
      </c>
      <c r="Z17" s="29">
        <v>0</v>
      </c>
      <c r="AA17" s="29">
        <v>0</v>
      </c>
      <c r="AB17" s="29">
        <v>0</v>
      </c>
      <c r="AC17" s="1"/>
      <c r="AD17" s="1"/>
    </row>
    <row r="18" spans="1:30">
      <c r="A18" s="7" t="s">
        <v>147</v>
      </c>
      <c r="B18" s="7" t="s">
        <v>148</v>
      </c>
      <c r="C18" s="1" t="s">
        <v>36</v>
      </c>
      <c r="D18" s="7" t="s">
        <v>166</v>
      </c>
      <c r="E18" s="7" t="s">
        <v>38</v>
      </c>
      <c r="F18" s="2" t="s">
        <v>167</v>
      </c>
      <c r="G18" s="11">
        <v>44469</v>
      </c>
      <c r="H18" s="11">
        <v>44469</v>
      </c>
      <c r="I18" s="11">
        <v>44651</v>
      </c>
      <c r="J18" s="11">
        <v>44834</v>
      </c>
      <c r="K18" s="11">
        <v>45016</v>
      </c>
      <c r="L18" s="11">
        <v>45199</v>
      </c>
      <c r="M18" s="11">
        <v>45382</v>
      </c>
      <c r="N18" s="11">
        <v>45565</v>
      </c>
      <c r="O18" s="11">
        <v>45565</v>
      </c>
      <c r="P18" s="15">
        <v>0.5</v>
      </c>
      <c r="Q18" s="15">
        <v>0.5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>
        <v>1</v>
      </c>
      <c r="X18" s="15">
        <v>0.66666666666666663</v>
      </c>
      <c r="Y18" s="15">
        <v>0.33333333333333298</v>
      </c>
      <c r="Z18" s="15">
        <v>0.66666666666666596</v>
      </c>
      <c r="AA18" s="15">
        <v>0.66666666666666596</v>
      </c>
      <c r="AB18" s="15">
        <v>0.66666666666666596</v>
      </c>
      <c r="AC18" s="1"/>
      <c r="AD18" s="1"/>
    </row>
    <row r="19" spans="1:30">
      <c r="A19" s="7" t="s">
        <v>147</v>
      </c>
      <c r="B19" s="7" t="s">
        <v>168</v>
      </c>
      <c r="C19" s="1" t="s">
        <v>36</v>
      </c>
      <c r="D19" s="7" t="s">
        <v>173</v>
      </c>
      <c r="E19" s="7" t="s">
        <v>38</v>
      </c>
      <c r="F19" s="2" t="s">
        <v>174</v>
      </c>
      <c r="G19" s="11">
        <v>44469</v>
      </c>
      <c r="H19" s="11">
        <v>44469</v>
      </c>
      <c r="I19" s="11">
        <v>44651</v>
      </c>
      <c r="J19" s="11">
        <v>44834</v>
      </c>
      <c r="K19" s="11">
        <v>45016</v>
      </c>
      <c r="L19" s="11">
        <v>45199</v>
      </c>
      <c r="M19" s="11">
        <v>45382</v>
      </c>
      <c r="N19" s="11">
        <v>45565</v>
      </c>
      <c r="O19" s="11">
        <v>45565</v>
      </c>
      <c r="P19" s="15">
        <v>0.99909357343565885</v>
      </c>
      <c r="Q19" s="15">
        <v>0.99909357343565885</v>
      </c>
      <c r="R19" s="14">
        <v>1</v>
      </c>
      <c r="S19" s="14">
        <v>1</v>
      </c>
      <c r="T19" s="14">
        <v>1</v>
      </c>
      <c r="U19" s="14">
        <v>1</v>
      </c>
      <c r="V19" s="14">
        <v>1</v>
      </c>
      <c r="W19" s="14">
        <v>1</v>
      </c>
      <c r="X19" s="15">
        <v>0.99909357343565885</v>
      </c>
      <c r="Y19" s="15">
        <v>0.99879365462331804</v>
      </c>
      <c r="Z19" s="15">
        <v>0.99864470078004997</v>
      </c>
      <c r="AA19" s="15">
        <v>0.99804511278195396</v>
      </c>
      <c r="AB19" s="15">
        <v>0.99729891956782701</v>
      </c>
      <c r="AC19" s="1"/>
      <c r="AD19" s="1"/>
    </row>
    <row r="20" spans="1:30">
      <c r="A20" s="7" t="s">
        <v>147</v>
      </c>
      <c r="B20" s="7" t="s">
        <v>168</v>
      </c>
      <c r="C20" s="1" t="s">
        <v>36</v>
      </c>
      <c r="D20" s="7" t="s">
        <v>177</v>
      </c>
      <c r="E20" s="7" t="s">
        <v>38</v>
      </c>
      <c r="F20" s="2" t="s">
        <v>178</v>
      </c>
      <c r="G20" s="11">
        <v>44469</v>
      </c>
      <c r="H20" s="11">
        <v>44469</v>
      </c>
      <c r="I20" s="11">
        <v>44651</v>
      </c>
      <c r="J20" s="11">
        <v>44834</v>
      </c>
      <c r="K20" s="11">
        <v>45016</v>
      </c>
      <c r="L20" s="11">
        <v>45199</v>
      </c>
      <c r="M20" s="11">
        <v>45382</v>
      </c>
      <c r="N20" s="11">
        <v>45565</v>
      </c>
      <c r="O20" s="11">
        <v>45565</v>
      </c>
      <c r="P20" s="15">
        <v>1</v>
      </c>
      <c r="Q20" s="15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5">
        <v>1</v>
      </c>
      <c r="Y20" s="14">
        <v>0.80985749683263997</v>
      </c>
      <c r="Z20" s="14">
        <v>1</v>
      </c>
      <c r="AA20" s="14">
        <v>1</v>
      </c>
      <c r="AB20" s="14">
        <v>1</v>
      </c>
      <c r="AC20" s="1"/>
      <c r="AD20" s="1"/>
    </row>
    <row r="21" spans="1:30">
      <c r="A21" s="7" t="s">
        <v>147</v>
      </c>
      <c r="B21" s="7" t="s">
        <v>168</v>
      </c>
      <c r="C21" s="1" t="s">
        <v>36</v>
      </c>
      <c r="D21" s="7" t="s">
        <v>183</v>
      </c>
      <c r="E21" s="7" t="s">
        <v>38</v>
      </c>
      <c r="F21" s="9" t="s">
        <v>184</v>
      </c>
      <c r="G21" s="11">
        <v>44469</v>
      </c>
      <c r="H21" s="11">
        <v>44469</v>
      </c>
      <c r="I21" s="11">
        <v>44651</v>
      </c>
      <c r="J21" s="11">
        <v>44834</v>
      </c>
      <c r="K21" s="11">
        <v>45016</v>
      </c>
      <c r="L21" s="11">
        <v>45199</v>
      </c>
      <c r="M21" s="11">
        <v>45382</v>
      </c>
      <c r="N21" s="11">
        <v>45565</v>
      </c>
      <c r="O21" s="11">
        <v>45565</v>
      </c>
      <c r="P21" s="15">
        <v>0.89530311989709388</v>
      </c>
      <c r="Q21" s="15">
        <v>0.89530311989709388</v>
      </c>
      <c r="R21" s="14">
        <v>1</v>
      </c>
      <c r="S21" s="14">
        <v>1</v>
      </c>
      <c r="T21" s="14">
        <v>1</v>
      </c>
      <c r="U21" s="14">
        <v>1</v>
      </c>
      <c r="V21" s="14">
        <v>1</v>
      </c>
      <c r="W21" s="14">
        <v>1</v>
      </c>
      <c r="X21" s="15">
        <v>0.89530311989709388</v>
      </c>
      <c r="Y21" s="15">
        <v>0.90125232641069097</v>
      </c>
      <c r="Z21" s="15">
        <v>0.90143756089912097</v>
      </c>
      <c r="AA21" s="15">
        <v>0.90313168826618395</v>
      </c>
      <c r="AB21" s="15">
        <v>0.91767967818631202</v>
      </c>
      <c r="AC21" s="1"/>
      <c r="AD21" s="1"/>
    </row>
    <row r="22" spans="1:30">
      <c r="A22" s="7" t="s">
        <v>147</v>
      </c>
      <c r="B22" s="7" t="s">
        <v>168</v>
      </c>
      <c r="C22" s="1" t="s">
        <v>36</v>
      </c>
      <c r="D22" s="7" t="s">
        <v>189</v>
      </c>
      <c r="E22" s="7" t="s">
        <v>38</v>
      </c>
      <c r="F22" s="9" t="s">
        <v>190</v>
      </c>
      <c r="G22" s="11">
        <v>44469</v>
      </c>
      <c r="H22" s="11">
        <v>44469</v>
      </c>
      <c r="I22" s="11">
        <v>44651</v>
      </c>
      <c r="J22" s="11">
        <v>44834</v>
      </c>
      <c r="K22" s="11">
        <v>45016</v>
      </c>
      <c r="L22" s="11">
        <v>45199</v>
      </c>
      <c r="M22" s="11">
        <v>45382</v>
      </c>
      <c r="N22" s="11">
        <v>45565</v>
      </c>
      <c r="O22" s="11">
        <v>45565</v>
      </c>
      <c r="P22" s="15">
        <v>0.89295554513586539</v>
      </c>
      <c r="Q22" s="15">
        <v>0.89295554513586539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5">
        <v>0.89295554513586539</v>
      </c>
      <c r="Y22" s="15">
        <v>0.91928528367606599</v>
      </c>
      <c r="Z22" s="15">
        <v>0.93353048875789801</v>
      </c>
      <c r="AA22" s="15">
        <v>0.92669814901645498</v>
      </c>
      <c r="AB22" s="15">
        <v>0.88678701408890903</v>
      </c>
      <c r="AC22" s="1"/>
      <c r="AD22" s="1"/>
    </row>
    <row r="23" spans="1:30">
      <c r="A23" s="7" t="s">
        <v>147</v>
      </c>
      <c r="B23" s="7" t="s">
        <v>168</v>
      </c>
      <c r="C23" s="1" t="s">
        <v>36</v>
      </c>
      <c r="D23" s="7" t="s">
        <v>197</v>
      </c>
      <c r="E23" s="7" t="s">
        <v>38</v>
      </c>
      <c r="F23" s="9" t="s">
        <v>198</v>
      </c>
      <c r="G23" s="2" t="s">
        <v>56</v>
      </c>
      <c r="H23" s="2" t="s">
        <v>57</v>
      </c>
      <c r="I23" s="2" t="s">
        <v>58</v>
      </c>
      <c r="J23" s="2" t="s">
        <v>59</v>
      </c>
      <c r="K23" s="2" t="s">
        <v>130</v>
      </c>
      <c r="L23" s="2" t="s">
        <v>61</v>
      </c>
      <c r="M23" s="2" t="s">
        <v>131</v>
      </c>
      <c r="N23" s="2" t="s">
        <v>63</v>
      </c>
      <c r="O23" s="2" t="s">
        <v>132</v>
      </c>
      <c r="P23" s="23">
        <v>0</v>
      </c>
      <c r="Q23" s="23">
        <v>0</v>
      </c>
      <c r="R23" s="2">
        <v>7.7</v>
      </c>
      <c r="S23" s="2">
        <v>3.9</v>
      </c>
      <c r="T23" s="2">
        <v>7.7</v>
      </c>
      <c r="U23" s="2">
        <v>3.9</v>
      </c>
      <c r="V23" s="2">
        <v>7.7</v>
      </c>
      <c r="W23" s="2">
        <v>23.2</v>
      </c>
      <c r="X23" s="23">
        <v>0</v>
      </c>
      <c r="Y23" s="23">
        <v>17.3</v>
      </c>
      <c r="Z23" s="23">
        <v>0.45</v>
      </c>
      <c r="AA23" s="23">
        <v>10.049999999999899</v>
      </c>
      <c r="AB23" s="23">
        <v>6.6</v>
      </c>
      <c r="AC23" s="1"/>
      <c r="AD23" s="1"/>
    </row>
    <row r="24" spans="1:30">
      <c r="A24" s="7" t="s">
        <v>199</v>
      </c>
      <c r="B24" s="7" t="s">
        <v>200</v>
      </c>
      <c r="C24" s="1" t="s">
        <v>36</v>
      </c>
      <c r="D24" s="7" t="s">
        <v>201</v>
      </c>
      <c r="E24" s="7" t="s">
        <v>38</v>
      </c>
      <c r="F24" s="9" t="s">
        <v>202</v>
      </c>
      <c r="G24" s="11">
        <v>44469</v>
      </c>
      <c r="H24" s="11">
        <v>44469</v>
      </c>
      <c r="I24" s="11">
        <v>44651</v>
      </c>
      <c r="J24" s="11">
        <v>44834</v>
      </c>
      <c r="K24" s="11">
        <v>45016</v>
      </c>
      <c r="L24" s="11">
        <v>45199</v>
      </c>
      <c r="M24" s="11">
        <v>45382</v>
      </c>
      <c r="N24" s="11">
        <v>45565</v>
      </c>
      <c r="O24" s="11">
        <v>45565</v>
      </c>
      <c r="P24" s="2">
        <v>5.04</v>
      </c>
      <c r="Q24" s="2">
        <v>5.04</v>
      </c>
      <c r="R24" s="2">
        <v>6.4720000000000004</v>
      </c>
      <c r="S24" s="2">
        <v>7.9039999999999999</v>
      </c>
      <c r="T24" s="2">
        <v>9.3360000000000003</v>
      </c>
      <c r="U24" s="2">
        <v>10.768000000000001</v>
      </c>
      <c r="V24" s="2">
        <v>12.2</v>
      </c>
      <c r="W24" s="2">
        <v>12.2</v>
      </c>
      <c r="X24" s="24">
        <v>5.04</v>
      </c>
      <c r="Y24" s="32">
        <v>3.88</v>
      </c>
      <c r="Z24" s="32">
        <v>5.65</v>
      </c>
      <c r="AA24" s="32">
        <v>8.9</v>
      </c>
      <c r="AB24" s="32">
        <v>8.9</v>
      </c>
      <c r="AC24" s="1"/>
      <c r="AD24" s="1"/>
    </row>
    <row r="25" spans="1:30">
      <c r="A25" s="7" t="s">
        <v>199</v>
      </c>
      <c r="B25" s="7" t="s">
        <v>200</v>
      </c>
      <c r="C25" s="1" t="s">
        <v>36</v>
      </c>
      <c r="D25" s="7" t="s">
        <v>209</v>
      </c>
      <c r="E25" s="7" t="s">
        <v>38</v>
      </c>
      <c r="F25" s="9" t="s">
        <v>210</v>
      </c>
      <c r="G25" s="2" t="s">
        <v>56</v>
      </c>
      <c r="H25" s="2" t="s">
        <v>57</v>
      </c>
      <c r="I25" s="2" t="s">
        <v>58</v>
      </c>
      <c r="J25" s="2" t="s">
        <v>59</v>
      </c>
      <c r="K25" s="2" t="s">
        <v>130</v>
      </c>
      <c r="L25" s="2" t="s">
        <v>61</v>
      </c>
      <c r="M25" s="2" t="s">
        <v>131</v>
      </c>
      <c r="N25" s="2" t="s">
        <v>63</v>
      </c>
      <c r="O25" s="2" t="s">
        <v>132</v>
      </c>
      <c r="P25" s="254"/>
      <c r="Q25" s="254"/>
      <c r="R25" s="4">
        <v>25000</v>
      </c>
      <c r="S25" s="4">
        <v>12500</v>
      </c>
      <c r="T25" s="4">
        <v>25000</v>
      </c>
      <c r="U25" s="4">
        <v>12500</v>
      </c>
      <c r="V25" s="4">
        <v>25000</v>
      </c>
      <c r="W25" s="4">
        <v>75000</v>
      </c>
      <c r="X25" s="2">
        <v>0</v>
      </c>
      <c r="Y25" s="12">
        <v>26000</v>
      </c>
      <c r="Z25" s="12">
        <v>7459.29</v>
      </c>
      <c r="AA25" s="12">
        <v>23969.29</v>
      </c>
      <c r="AB25" s="12">
        <v>1968.61</v>
      </c>
      <c r="AC25" s="1"/>
      <c r="AD25" s="1"/>
    </row>
    <row r="26" spans="1:30">
      <c r="A26" s="7" t="s">
        <v>199</v>
      </c>
      <c r="B26" s="7" t="s">
        <v>200</v>
      </c>
      <c r="C26" s="1" t="s">
        <v>36</v>
      </c>
      <c r="D26" s="7" t="s">
        <v>221</v>
      </c>
      <c r="E26" s="7" t="s">
        <v>38</v>
      </c>
      <c r="F26" s="9" t="s">
        <v>222</v>
      </c>
      <c r="G26" s="7" t="s">
        <v>213</v>
      </c>
      <c r="H26" s="1" t="s">
        <v>214</v>
      </c>
      <c r="I26" s="7" t="s">
        <v>215</v>
      </c>
      <c r="J26" s="13"/>
      <c r="K26" s="7" t="s">
        <v>216</v>
      </c>
      <c r="L26" s="13"/>
      <c r="M26" s="7" t="s">
        <v>217</v>
      </c>
      <c r="N26" s="1" t="s">
        <v>218</v>
      </c>
      <c r="O26" s="1" t="s">
        <v>218</v>
      </c>
      <c r="P26" s="15">
        <v>2.8107601719401219E-2</v>
      </c>
      <c r="Q26" s="15">
        <v>2.8107601719401219E-2</v>
      </c>
      <c r="R26" s="2"/>
      <c r="S26" s="26">
        <v>2.5000000000000001E-2</v>
      </c>
      <c r="T26" s="252"/>
      <c r="U26" s="26">
        <v>2.3E-2</v>
      </c>
      <c r="V26" s="26">
        <v>0.02</v>
      </c>
      <c r="W26" s="14">
        <v>0.02</v>
      </c>
      <c r="X26" s="15">
        <v>2.8107601719401219E-2</v>
      </c>
      <c r="Y26" s="302" t="s">
        <v>420</v>
      </c>
      <c r="Z26" s="15">
        <v>0.10875665014352701</v>
      </c>
      <c r="AA26" s="302" t="s">
        <v>420</v>
      </c>
      <c r="AB26" s="15">
        <v>7.8664893553776205E-2</v>
      </c>
      <c r="AC26" s="1"/>
      <c r="AD26" s="1"/>
    </row>
    <row r="27" spans="1:30">
      <c r="A27" s="7" t="s">
        <v>199</v>
      </c>
      <c r="B27" s="7" t="s">
        <v>200</v>
      </c>
      <c r="C27" s="1" t="s">
        <v>36</v>
      </c>
      <c r="D27" s="7" t="s">
        <v>226</v>
      </c>
      <c r="E27" s="7" t="s">
        <v>38</v>
      </c>
      <c r="F27" s="9" t="s">
        <v>227</v>
      </c>
      <c r="G27" s="2" t="s">
        <v>56</v>
      </c>
      <c r="H27" s="2" t="s">
        <v>57</v>
      </c>
      <c r="I27" s="2" t="s">
        <v>58</v>
      </c>
      <c r="J27" s="2" t="s">
        <v>59</v>
      </c>
      <c r="K27" s="2" t="s">
        <v>130</v>
      </c>
      <c r="L27" s="2" t="s">
        <v>61</v>
      </c>
      <c r="M27" s="2" t="s">
        <v>131</v>
      </c>
      <c r="N27" s="2" t="s">
        <v>63</v>
      </c>
      <c r="O27" s="2" t="s">
        <v>132</v>
      </c>
      <c r="P27" s="12">
        <v>0</v>
      </c>
      <c r="Q27" s="12">
        <v>0</v>
      </c>
      <c r="R27" s="4">
        <v>3</v>
      </c>
      <c r="S27" s="4">
        <v>2</v>
      </c>
      <c r="T27" s="4">
        <v>4</v>
      </c>
      <c r="U27" s="4">
        <v>2</v>
      </c>
      <c r="V27" s="4">
        <v>4</v>
      </c>
      <c r="W27" s="4">
        <v>11</v>
      </c>
      <c r="X27" s="12">
        <v>0</v>
      </c>
      <c r="Y27" s="12">
        <v>0</v>
      </c>
      <c r="Z27" s="12">
        <v>3</v>
      </c>
      <c r="AA27" s="12">
        <v>6</v>
      </c>
      <c r="AB27" s="12">
        <v>3</v>
      </c>
      <c r="AC27" s="1"/>
      <c r="AD27" s="1"/>
    </row>
    <row r="28" spans="1:30">
      <c r="A28" s="7" t="s">
        <v>199</v>
      </c>
      <c r="B28" s="7" t="s">
        <v>228</v>
      </c>
      <c r="C28" s="1" t="s">
        <v>36</v>
      </c>
      <c r="D28" s="7" t="s">
        <v>241</v>
      </c>
      <c r="E28" s="7" t="s">
        <v>38</v>
      </c>
      <c r="F28" s="2" t="s">
        <v>242</v>
      </c>
      <c r="G28" s="2" t="s">
        <v>231</v>
      </c>
      <c r="H28" s="2" t="s">
        <v>232</v>
      </c>
      <c r="I28" s="2" t="s">
        <v>58</v>
      </c>
      <c r="J28" s="2" t="s">
        <v>59</v>
      </c>
      <c r="K28" s="2" t="s">
        <v>130</v>
      </c>
      <c r="L28" s="2" t="s">
        <v>61</v>
      </c>
      <c r="M28" s="2" t="s">
        <v>131</v>
      </c>
      <c r="N28" s="2" t="s">
        <v>63</v>
      </c>
      <c r="O28" s="2" t="s">
        <v>63</v>
      </c>
      <c r="P28" s="12">
        <v>1703</v>
      </c>
      <c r="Q28" s="12">
        <v>3165</v>
      </c>
      <c r="R28" s="2">
        <v>3154</v>
      </c>
      <c r="S28" s="2">
        <v>1692</v>
      </c>
      <c r="T28" s="2">
        <v>3144</v>
      </c>
      <c r="U28" s="2">
        <v>1686</v>
      </c>
      <c r="V28" s="2">
        <v>3133</v>
      </c>
      <c r="W28" s="2">
        <v>3133</v>
      </c>
      <c r="X28" s="12">
        <v>1932</v>
      </c>
      <c r="Y28" s="12">
        <v>4776</v>
      </c>
      <c r="Z28" s="12">
        <v>2925</v>
      </c>
      <c r="AA28" s="12">
        <v>5195</v>
      </c>
      <c r="AB28" s="12">
        <v>1940</v>
      </c>
      <c r="AC28" s="1"/>
      <c r="AD28" s="1"/>
    </row>
    <row r="29" spans="1:30">
      <c r="A29" s="7" t="s">
        <v>243</v>
      </c>
      <c r="B29" s="7" t="s">
        <v>244</v>
      </c>
      <c r="C29" s="1" t="s">
        <v>36</v>
      </c>
      <c r="D29" s="7" t="s">
        <v>338</v>
      </c>
      <c r="E29" s="7" t="s">
        <v>38</v>
      </c>
      <c r="F29" s="9" t="s">
        <v>246</v>
      </c>
      <c r="G29" s="2" t="s">
        <v>56</v>
      </c>
      <c r="H29" s="2" t="s">
        <v>57</v>
      </c>
      <c r="I29" s="2" t="s">
        <v>58</v>
      </c>
      <c r="J29" s="2" t="s">
        <v>59</v>
      </c>
      <c r="K29" s="2" t="s">
        <v>130</v>
      </c>
      <c r="L29" s="2" t="s">
        <v>61</v>
      </c>
      <c r="M29" s="2" t="s">
        <v>131</v>
      </c>
      <c r="N29" s="2" t="s">
        <v>63</v>
      </c>
      <c r="O29" s="2" t="s">
        <v>132</v>
      </c>
      <c r="P29" s="2">
        <v>0</v>
      </c>
      <c r="Q29" s="2">
        <v>0</v>
      </c>
      <c r="R29" s="2">
        <v>1</v>
      </c>
      <c r="S29" s="2">
        <v>2</v>
      </c>
      <c r="T29" s="2">
        <v>2</v>
      </c>
      <c r="U29" s="2">
        <v>3</v>
      </c>
      <c r="V29" s="2">
        <v>3</v>
      </c>
      <c r="W29" s="2">
        <v>3</v>
      </c>
      <c r="X29" s="2">
        <v>0</v>
      </c>
      <c r="Y29" s="2">
        <v>0</v>
      </c>
      <c r="Z29" s="2">
        <v>89</v>
      </c>
      <c r="AA29" s="2">
        <v>183</v>
      </c>
      <c r="AB29" s="2">
        <v>89</v>
      </c>
      <c r="AC29" s="1"/>
      <c r="AD29" s="1"/>
    </row>
    <row r="30" spans="1:30">
      <c r="A30" s="7" t="s">
        <v>243</v>
      </c>
      <c r="B30" s="7" t="s">
        <v>247</v>
      </c>
      <c r="C30" s="1" t="s">
        <v>36</v>
      </c>
      <c r="D30" s="7" t="s">
        <v>248</v>
      </c>
      <c r="E30" s="7" t="s">
        <v>38</v>
      </c>
      <c r="F30" s="9" t="s">
        <v>249</v>
      </c>
      <c r="G30" s="11">
        <v>44469</v>
      </c>
      <c r="H30" s="11">
        <v>44469</v>
      </c>
      <c r="I30" s="11">
        <v>44651</v>
      </c>
      <c r="J30" s="11">
        <v>44834</v>
      </c>
      <c r="K30" s="11">
        <v>45016</v>
      </c>
      <c r="L30" s="11">
        <v>45199</v>
      </c>
      <c r="M30" s="11">
        <v>45382</v>
      </c>
      <c r="N30" s="11">
        <v>45565</v>
      </c>
      <c r="O30" s="11">
        <v>45565</v>
      </c>
      <c r="P30" s="29">
        <v>1</v>
      </c>
      <c r="Q30" s="29">
        <v>1</v>
      </c>
      <c r="R30" s="2">
        <v>4</v>
      </c>
      <c r="S30" s="2">
        <v>6</v>
      </c>
      <c r="T30" s="2">
        <v>8</v>
      </c>
      <c r="U30" s="2">
        <v>11</v>
      </c>
      <c r="V30" s="2">
        <v>13</v>
      </c>
      <c r="W30" s="2">
        <v>13</v>
      </c>
      <c r="X30" s="257">
        <v>1</v>
      </c>
      <c r="Y30" s="2">
        <v>0</v>
      </c>
      <c r="Z30" s="2">
        <v>24</v>
      </c>
      <c r="AA30" s="2">
        <v>36</v>
      </c>
      <c r="AB30" s="2">
        <v>36</v>
      </c>
      <c r="AC30" s="1"/>
      <c r="AD30" s="1"/>
    </row>
    <row r="31" spans="1:30">
      <c r="A31" s="7" t="s">
        <v>243</v>
      </c>
      <c r="B31" s="7" t="s">
        <v>250</v>
      </c>
      <c r="C31" s="1" t="s">
        <v>36</v>
      </c>
      <c r="D31" s="7" t="s">
        <v>251</v>
      </c>
      <c r="E31" s="7" t="s">
        <v>252</v>
      </c>
      <c r="F31" s="9" t="s">
        <v>253</v>
      </c>
      <c r="G31" s="11">
        <v>44469</v>
      </c>
      <c r="H31" s="11">
        <v>44469</v>
      </c>
      <c r="I31" s="11" t="s">
        <v>254</v>
      </c>
      <c r="J31" s="11">
        <v>44713</v>
      </c>
      <c r="K31" s="11" t="s">
        <v>255</v>
      </c>
      <c r="L31" s="11">
        <v>45078</v>
      </c>
      <c r="M31" s="11" t="s">
        <v>256</v>
      </c>
      <c r="N31" s="11">
        <v>45444</v>
      </c>
      <c r="O31" s="11">
        <v>45444</v>
      </c>
      <c r="P31" s="12">
        <v>100</v>
      </c>
      <c r="Q31" s="12">
        <v>100</v>
      </c>
      <c r="R31" s="2">
        <v>100</v>
      </c>
      <c r="S31" s="2">
        <v>100</v>
      </c>
      <c r="T31" s="2">
        <v>100</v>
      </c>
      <c r="U31" s="2">
        <v>100</v>
      </c>
      <c r="V31" s="2">
        <v>100</v>
      </c>
      <c r="W31" s="2">
        <v>100</v>
      </c>
      <c r="X31" s="12">
        <v>100</v>
      </c>
      <c r="Y31" s="24">
        <v>96.43</v>
      </c>
      <c r="Z31" s="24">
        <v>96.29</v>
      </c>
      <c r="AA31" s="24">
        <v>98.03</v>
      </c>
      <c r="AB31" s="24">
        <v>96.97</v>
      </c>
      <c r="AC31" s="1"/>
      <c r="AD31" s="1"/>
    </row>
    <row r="32" spans="1:30">
      <c r="A32" s="7" t="s">
        <v>243</v>
      </c>
      <c r="B32" s="7" t="s">
        <v>257</v>
      </c>
      <c r="C32" s="1" t="s">
        <v>36</v>
      </c>
      <c r="D32" s="7" t="s">
        <v>258</v>
      </c>
      <c r="E32" s="7" t="s">
        <v>38</v>
      </c>
      <c r="F32" s="9" t="s">
        <v>259</v>
      </c>
      <c r="G32" s="11">
        <v>44469</v>
      </c>
      <c r="H32" s="11">
        <v>44469</v>
      </c>
      <c r="I32" s="11">
        <v>44651</v>
      </c>
      <c r="J32" s="11">
        <v>44834</v>
      </c>
      <c r="K32" s="11">
        <v>45016</v>
      </c>
      <c r="L32" s="11">
        <v>45199</v>
      </c>
      <c r="M32" s="11">
        <v>45382</v>
      </c>
      <c r="N32" s="11">
        <v>45565</v>
      </c>
      <c r="O32" s="11">
        <v>45565</v>
      </c>
      <c r="P32" s="18">
        <v>0</v>
      </c>
      <c r="Q32" s="18">
        <v>0</v>
      </c>
      <c r="R32" s="2">
        <v>4</v>
      </c>
      <c r="S32" s="2">
        <v>4</v>
      </c>
      <c r="T32" s="2">
        <v>4</v>
      </c>
      <c r="U32" s="2">
        <v>4</v>
      </c>
      <c r="V32" s="2">
        <v>4</v>
      </c>
      <c r="W32" s="2">
        <v>4</v>
      </c>
      <c r="X32" s="18">
        <v>0</v>
      </c>
      <c r="Y32" s="23">
        <v>0</v>
      </c>
      <c r="Z32" s="23">
        <v>3.7104072398189998</v>
      </c>
      <c r="AA32" s="23">
        <v>2.9132044426162</v>
      </c>
      <c r="AB32" s="23">
        <v>3.27972027972028</v>
      </c>
      <c r="AC32" s="1"/>
      <c r="AD32" s="1"/>
    </row>
    <row r="33" spans="1:30">
      <c r="A33" s="7" t="s">
        <v>243</v>
      </c>
      <c r="B33" s="7" t="s">
        <v>260</v>
      </c>
      <c r="C33" s="1" t="s">
        <v>36</v>
      </c>
      <c r="D33" s="7" t="s">
        <v>273</v>
      </c>
      <c r="E33" s="7" t="s">
        <v>38</v>
      </c>
      <c r="F33" s="9" t="s">
        <v>274</v>
      </c>
      <c r="G33" s="11">
        <v>44469</v>
      </c>
      <c r="H33" s="13"/>
      <c r="I33" s="11">
        <v>44651</v>
      </c>
      <c r="J33" s="13"/>
      <c r="K33" s="11">
        <v>45016</v>
      </c>
      <c r="L33" s="13"/>
      <c r="M33" s="11">
        <v>45382</v>
      </c>
      <c r="N33" s="13"/>
      <c r="O33" s="11">
        <v>45565</v>
      </c>
      <c r="P33" s="254"/>
      <c r="Q33" s="254"/>
      <c r="R33" s="60">
        <v>0.5</v>
      </c>
      <c r="S33" s="60">
        <v>0.5</v>
      </c>
      <c r="T33" s="60">
        <v>0.5</v>
      </c>
      <c r="U33" s="60">
        <v>0.5</v>
      </c>
      <c r="V33" s="60">
        <v>0.5</v>
      </c>
      <c r="W33" s="60">
        <v>0.5</v>
      </c>
      <c r="X33" s="15">
        <v>0.296875</v>
      </c>
      <c r="Y33" s="15">
        <v>0.30769230769230699</v>
      </c>
      <c r="Z33" s="15">
        <v>0.203125</v>
      </c>
      <c r="AA33" s="15" t="s">
        <v>420</v>
      </c>
      <c r="AB33" s="15">
        <v>0.27868852459016302</v>
      </c>
      <c r="AC33" s="1"/>
      <c r="AD33" s="1"/>
    </row>
    <row r="34" spans="1:30">
      <c r="A34" s="7" t="s">
        <v>275</v>
      </c>
      <c r="B34" s="7" t="s">
        <v>276</v>
      </c>
      <c r="C34" s="1" t="s">
        <v>36</v>
      </c>
      <c r="D34" s="7" t="s">
        <v>282</v>
      </c>
      <c r="E34" s="7" t="s">
        <v>278</v>
      </c>
      <c r="F34" s="9" t="s">
        <v>283</v>
      </c>
      <c r="G34" s="7" t="s">
        <v>213</v>
      </c>
      <c r="H34" s="1" t="s">
        <v>214</v>
      </c>
      <c r="I34" s="7" t="s">
        <v>215</v>
      </c>
      <c r="J34" s="13"/>
      <c r="K34" s="7" t="s">
        <v>216</v>
      </c>
      <c r="L34" s="13"/>
      <c r="M34" s="7" t="s">
        <v>217</v>
      </c>
      <c r="N34" s="1" t="s">
        <v>218</v>
      </c>
      <c r="O34" s="1" t="s">
        <v>218</v>
      </c>
      <c r="P34" s="15">
        <v>0.33190512986812276</v>
      </c>
      <c r="Q34" s="15">
        <v>0.33190512986812276</v>
      </c>
      <c r="R34" s="2"/>
      <c r="S34" s="15">
        <v>0.33500000000000002</v>
      </c>
      <c r="T34" s="308"/>
      <c r="U34" s="15">
        <v>0.33700000000000002</v>
      </c>
      <c r="V34" s="15">
        <v>0.34</v>
      </c>
      <c r="W34" s="15">
        <v>0.34</v>
      </c>
      <c r="X34" s="15">
        <v>0.33190512986812276</v>
      </c>
      <c r="Y34" s="305" t="s">
        <v>420</v>
      </c>
      <c r="Z34" s="15">
        <v>0.27115829275408998</v>
      </c>
      <c r="AA34" s="305" t="s">
        <v>420</v>
      </c>
      <c r="AB34" s="15">
        <v>0.32075480347575103</v>
      </c>
      <c r="AC34" s="1"/>
      <c r="AD34" s="1"/>
    </row>
    <row r="35" spans="1:30">
      <c r="A35" s="7" t="s">
        <v>275</v>
      </c>
      <c r="B35" s="7" t="s">
        <v>276</v>
      </c>
      <c r="C35" s="1" t="s">
        <v>36</v>
      </c>
      <c r="D35" s="7" t="s">
        <v>287</v>
      </c>
      <c r="E35" s="7" t="s">
        <v>278</v>
      </c>
      <c r="F35" s="9" t="s">
        <v>288</v>
      </c>
      <c r="G35" s="7" t="s">
        <v>213</v>
      </c>
      <c r="H35" s="1" t="s">
        <v>214</v>
      </c>
      <c r="I35" s="7" t="s">
        <v>215</v>
      </c>
      <c r="J35" s="13"/>
      <c r="K35" s="7" t="s">
        <v>216</v>
      </c>
      <c r="L35" s="13"/>
      <c r="M35" s="7" t="s">
        <v>217</v>
      </c>
      <c r="N35" s="1" t="s">
        <v>218</v>
      </c>
      <c r="O35" s="1" t="s">
        <v>218</v>
      </c>
      <c r="P35" s="15">
        <v>0.52896110104463856</v>
      </c>
      <c r="Q35" s="15">
        <v>0.52896110104463856</v>
      </c>
      <c r="R35" s="2"/>
      <c r="S35" s="15">
        <v>0.53600000000000003</v>
      </c>
      <c r="T35" s="308"/>
      <c r="U35" s="15">
        <v>0.54300000000000004</v>
      </c>
      <c r="V35" s="15">
        <v>0.55000000000000004</v>
      </c>
      <c r="W35" s="15">
        <v>0.55000000000000004</v>
      </c>
      <c r="X35" s="15">
        <v>0.52896110104463856</v>
      </c>
      <c r="Y35" s="305" t="s">
        <v>420</v>
      </c>
      <c r="Z35" s="15">
        <v>0.51363583820006298</v>
      </c>
      <c r="AA35" s="305" t="s">
        <v>420</v>
      </c>
      <c r="AB35" s="15">
        <v>0.55839080799165497</v>
      </c>
      <c r="AC35" s="1"/>
      <c r="AD35" s="1"/>
    </row>
    <row r="36" spans="1:30">
      <c r="A36" s="7" t="s">
        <v>275</v>
      </c>
      <c r="B36" s="7" t="s">
        <v>276</v>
      </c>
      <c r="C36" s="1" t="s">
        <v>36</v>
      </c>
      <c r="D36" s="7" t="s">
        <v>292</v>
      </c>
      <c r="E36" s="7" t="s">
        <v>38</v>
      </c>
      <c r="F36" s="9" t="s">
        <v>293</v>
      </c>
      <c r="G36" s="7" t="s">
        <v>213</v>
      </c>
      <c r="H36" s="1" t="s">
        <v>214</v>
      </c>
      <c r="I36" s="7" t="s">
        <v>215</v>
      </c>
      <c r="J36" s="13"/>
      <c r="K36" s="7" t="s">
        <v>216</v>
      </c>
      <c r="L36" s="13"/>
      <c r="M36" s="7" t="s">
        <v>217</v>
      </c>
      <c r="N36" s="1" t="s">
        <v>218</v>
      </c>
      <c r="O36" s="1" t="s">
        <v>218</v>
      </c>
      <c r="P36" s="15">
        <v>0.43290989660265877</v>
      </c>
      <c r="Q36" s="15">
        <v>0.43290989660265877</v>
      </c>
      <c r="R36" s="2"/>
      <c r="S36" s="15">
        <v>0.44</v>
      </c>
      <c r="T36" s="308"/>
      <c r="U36" s="15">
        <v>0.44800000000000001</v>
      </c>
      <c r="V36" s="15">
        <v>0.45500000000000002</v>
      </c>
      <c r="W36" s="15">
        <v>0.45500000000000002</v>
      </c>
      <c r="X36" s="15">
        <v>0.43290989660265877</v>
      </c>
      <c r="Y36" s="305" t="s">
        <v>420</v>
      </c>
      <c r="Z36" s="15">
        <v>0.396458162819118</v>
      </c>
      <c r="AA36" s="305" t="s">
        <v>420</v>
      </c>
      <c r="AB36" s="15">
        <v>0.422964847363552</v>
      </c>
      <c r="AC36" s="1"/>
      <c r="AD36" s="1"/>
    </row>
    <row r="37" spans="1:30">
      <c r="A37" s="7" t="s">
        <v>275</v>
      </c>
      <c r="B37" s="7" t="s">
        <v>276</v>
      </c>
      <c r="C37" s="7" t="s">
        <v>36</v>
      </c>
      <c r="D37" s="7" t="s">
        <v>296</v>
      </c>
      <c r="E37" s="7" t="s">
        <v>38</v>
      </c>
      <c r="F37" s="9" t="s">
        <v>297</v>
      </c>
      <c r="G37" s="7" t="s">
        <v>213</v>
      </c>
      <c r="H37" s="1" t="s">
        <v>214</v>
      </c>
      <c r="I37" s="7" t="s">
        <v>215</v>
      </c>
      <c r="J37" s="13"/>
      <c r="K37" s="7" t="s">
        <v>216</v>
      </c>
      <c r="L37" s="13"/>
      <c r="M37" s="7" t="s">
        <v>217</v>
      </c>
      <c r="N37" s="1" t="s">
        <v>218</v>
      </c>
      <c r="O37" s="1" t="s">
        <v>218</v>
      </c>
      <c r="P37" s="36">
        <v>151349507.40000001</v>
      </c>
      <c r="Q37" s="36">
        <v>151349507.40000001</v>
      </c>
      <c r="R37" s="2"/>
      <c r="S37" s="36">
        <v>155666338.27000001</v>
      </c>
      <c r="T37" s="252"/>
      <c r="U37" s="36">
        <v>159983169.13</v>
      </c>
      <c r="V37" s="36">
        <v>164300000</v>
      </c>
      <c r="W37" s="36">
        <v>164300000</v>
      </c>
      <c r="X37" s="36">
        <v>151349507.40000001</v>
      </c>
      <c r="Y37" s="303" t="s">
        <v>420</v>
      </c>
      <c r="Z37" s="36">
        <v>167007731.61000001</v>
      </c>
      <c r="AA37" s="303" t="s">
        <v>420</v>
      </c>
      <c r="AB37" s="36">
        <v>203360245.22999999</v>
      </c>
      <c r="AC37" s="1"/>
      <c r="AD37" s="1"/>
    </row>
    <row r="38" spans="1:30">
      <c r="A38" s="7" t="s">
        <v>275</v>
      </c>
      <c r="B38" s="7" t="s">
        <v>298</v>
      </c>
      <c r="C38" s="1" t="s">
        <v>36</v>
      </c>
      <c r="D38" s="7" t="s">
        <v>301</v>
      </c>
      <c r="E38" s="7" t="s">
        <v>278</v>
      </c>
      <c r="F38" s="9" t="s">
        <v>302</v>
      </c>
      <c r="G38" s="7" t="s">
        <v>213</v>
      </c>
      <c r="H38" s="1" t="s">
        <v>214</v>
      </c>
      <c r="I38" s="7" t="s">
        <v>215</v>
      </c>
      <c r="J38" s="13"/>
      <c r="K38" s="7" t="s">
        <v>216</v>
      </c>
      <c r="L38" s="13"/>
      <c r="M38" s="7" t="s">
        <v>217</v>
      </c>
      <c r="N38" s="1" t="s">
        <v>218</v>
      </c>
      <c r="O38" s="1" t="s">
        <v>218</v>
      </c>
      <c r="P38" s="15">
        <v>0.69821910047947722</v>
      </c>
      <c r="Q38" s="15">
        <v>0.69821910047947722</v>
      </c>
      <c r="R38" s="2"/>
      <c r="S38" s="15">
        <v>0.68200000000000005</v>
      </c>
      <c r="T38" s="308"/>
      <c r="U38" s="15">
        <v>0.66600000000000004</v>
      </c>
      <c r="V38" s="15">
        <v>0.65</v>
      </c>
      <c r="W38" s="15">
        <v>0.65</v>
      </c>
      <c r="X38" s="15">
        <v>0.69821910047947722</v>
      </c>
      <c r="Y38" s="305" t="s">
        <v>420</v>
      </c>
      <c r="Z38" s="15">
        <v>0.56061798495790505</v>
      </c>
      <c r="AA38" s="305" t="s">
        <v>420</v>
      </c>
      <c r="AB38" s="15">
        <v>0.537005210048077</v>
      </c>
      <c r="AC38" s="1"/>
      <c r="AD38" s="1"/>
    </row>
    <row r="39" spans="1:30">
      <c r="A39" s="7" t="s">
        <v>275</v>
      </c>
      <c r="B39" s="7" t="s">
        <v>303</v>
      </c>
      <c r="C39" s="1" t="s">
        <v>36</v>
      </c>
      <c r="D39" s="7" t="s">
        <v>304</v>
      </c>
      <c r="E39" s="7" t="s">
        <v>305</v>
      </c>
      <c r="F39" s="9" t="s">
        <v>306</v>
      </c>
      <c r="G39" s="11" t="s">
        <v>307</v>
      </c>
      <c r="H39" s="13"/>
      <c r="I39" s="1" t="s">
        <v>254</v>
      </c>
      <c r="J39" s="13"/>
      <c r="K39" s="1" t="s">
        <v>255</v>
      </c>
      <c r="L39" s="13"/>
      <c r="M39" s="1" t="s">
        <v>256</v>
      </c>
      <c r="N39" s="49">
        <v>45473</v>
      </c>
      <c r="O39" s="1"/>
      <c r="P39" s="2" t="s">
        <v>308</v>
      </c>
      <c r="Q39" s="2" t="s">
        <v>308</v>
      </c>
      <c r="R39" s="2" t="s">
        <v>308</v>
      </c>
      <c r="S39" s="2" t="s">
        <v>308</v>
      </c>
      <c r="T39" s="2" t="s">
        <v>308</v>
      </c>
      <c r="U39" s="2" t="s">
        <v>308</v>
      </c>
      <c r="V39" s="2" t="s">
        <v>308</v>
      </c>
      <c r="W39" s="2" t="s">
        <v>308</v>
      </c>
      <c r="X39" s="2" t="s">
        <v>308</v>
      </c>
      <c r="Y39" s="307" t="s">
        <v>420</v>
      </c>
      <c r="Z39" s="2" t="s">
        <v>308</v>
      </c>
      <c r="AA39" s="307" t="s">
        <v>420</v>
      </c>
      <c r="AB39" s="2" t="s">
        <v>308</v>
      </c>
      <c r="AC39" s="1"/>
      <c r="AD3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1CB2-BEC1-0B41-912F-DE7563CFC8E9}">
  <dimension ref="A1:AC109"/>
  <sheetViews>
    <sheetView workbookViewId="0"/>
  </sheetViews>
  <sheetFormatPr baseColWidth="10" defaultRowHeight="16"/>
  <cols>
    <col min="4" max="4" width="11" customWidth="1"/>
    <col min="7" max="7" width="12.83203125" customWidth="1"/>
    <col min="8" max="8" width="12" customWidth="1"/>
    <col min="16" max="16" width="12" customWidth="1"/>
    <col min="17" max="17" width="11.83203125" customWidth="1"/>
  </cols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3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665734</v>
      </c>
      <c r="Q2" s="5">
        <v>665734</v>
      </c>
      <c r="R2" s="4"/>
      <c r="S2" s="6"/>
      <c r="T2" s="6"/>
      <c r="U2" s="6"/>
      <c r="V2" s="6"/>
      <c r="W2" s="6"/>
      <c r="X2" s="5">
        <v>685177</v>
      </c>
      <c r="Y2" s="5">
        <v>685177</v>
      </c>
      <c r="Z2" s="5">
        <v>693045</v>
      </c>
      <c r="AA2" s="5">
        <v>693045</v>
      </c>
      <c r="AB2" s="5">
        <v>699613</v>
      </c>
      <c r="AC2" s="5">
        <v>699613</v>
      </c>
    </row>
    <row r="3" spans="1:29">
      <c r="A3" s="7" t="s">
        <v>34</v>
      </c>
      <c r="B3" s="7" t="s">
        <v>35</v>
      </c>
      <c r="C3" s="1" t="s">
        <v>36</v>
      </c>
      <c r="D3" s="8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835</v>
      </c>
      <c r="Q3" s="2">
        <v>835</v>
      </c>
      <c r="R3" s="13">
        <v>790</v>
      </c>
      <c r="S3" s="13">
        <v>790</v>
      </c>
      <c r="T3" s="13">
        <v>840</v>
      </c>
      <c r="U3" s="13">
        <v>840</v>
      </c>
      <c r="V3" s="13">
        <v>890</v>
      </c>
      <c r="W3" s="13">
        <v>890</v>
      </c>
      <c r="X3" s="2">
        <v>853</v>
      </c>
      <c r="Y3" s="2">
        <f ca="1">IFERROR(__xludf.DUMMYFUNCTION("INDEX(IMPORTRANGE(""1y0FWgjbB0gVlqn-q5LMJbGIsqOrzru4yowQz67dz2yc"", ""'APO'!AM3:AM139""),MATCH(D3,IMPORTRANGE(""1y0FWgjbB0gVlqn-q5LMJbGIsqOrzru4yowQz67dz2yc"", ""'APO'!D3:D139""),0))"),818)</f>
        <v>818</v>
      </c>
      <c r="Z3" s="1"/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8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835</v>
      </c>
      <c r="Q4" s="2">
        <v>835</v>
      </c>
      <c r="R4" s="13"/>
      <c r="S4" s="13"/>
      <c r="T4" s="13"/>
      <c r="U4" s="13"/>
      <c r="V4" s="13"/>
      <c r="W4" s="13"/>
      <c r="X4" s="2">
        <v>853</v>
      </c>
      <c r="Y4" s="2">
        <f ca="1">IFERROR(__xludf.DUMMYFUNCTION("INDEX(IMPORTRANGE(""1y0FWgjbB0gVlqn-q5LMJbGIsqOrzru4yowQz67dz2yc"", ""'APO'!AM3:AM139""),MATCH(D4,IMPORTRANGE(""1y0FWgjbB0gVlqn-q5LMJbGIsqOrzru4yowQz67dz2yc"", ""'APO'!D3:D139""),0))"),787)</f>
        <v>787</v>
      </c>
      <c r="Z4" s="1"/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8" t="s">
        <v>43</v>
      </c>
      <c r="E5" s="7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4">
        <f t="shared" ref="P5:Q5" si="0">P4/P3</f>
        <v>1</v>
      </c>
      <c r="Q5" s="14">
        <f t="shared" si="0"/>
        <v>1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4">
        <f>X4/X3</f>
        <v>1</v>
      </c>
      <c r="Y5" s="15">
        <f ca="1">IFERROR(__xludf.DUMMYFUNCTION("INDEX(IMPORTRANGE(""1y0FWgjbB0gVlqn-q5LMJbGIsqOrzru4yowQz67dz2yc"", ""'APO'!AM3:AM139""),MATCH(D5,IMPORTRANGE(""1y0FWgjbB0gVlqn-q5LMJbGIsqOrzru4yowQz67dz2yc"", ""'APO'!D3:D139""),0))"),0.962102689486552)</f>
        <v>0.96210268948655198</v>
      </c>
      <c r="Z5" s="1"/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46</v>
      </c>
      <c r="E6" s="16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""'APO'!AM3:AM139""),MATCH(D6,IMPORTRANGE(""1y0FWgjbB0gVlqn-q5LMJbGIsqOrzru4yowQz67dz2yc"", ""'APO'!D3:D139""),0))"),5)</f>
        <v>5</v>
      </c>
      <c r="Z6" s="1"/>
      <c r="AA6" s="1"/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48</v>
      </c>
      <c r="E7" s="16" t="s">
        <v>38</v>
      </c>
      <c r="F7" s="9" t="s">
        <v>49</v>
      </c>
      <c r="G7" s="10">
        <v>44469</v>
      </c>
      <c r="H7" s="10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1"/>
      <c r="X7" s="19"/>
      <c r="Y7" s="2">
        <f ca="1">IFERROR(__xludf.DUMMYFUNCTION("INDEX(IMPORTRANGE(""1y0FWgjbB0gVlqn-q5LMJbGIsqOrzru4yowQz67dz2yc"", ""'APO'!AM3:AM139""),MATCH(D7,IMPORTRANGE(""1y0FWgjbB0gVlqn-q5LMJbGIsqOrzru4yowQz67dz2yc"", ""'APO'!D3:D139""),0))"),4)</f>
        <v>4</v>
      </c>
      <c r="Z7" s="1"/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6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0">
        <v>3.3E-3</v>
      </c>
      <c r="S8" s="20">
        <v>3.3E-3</v>
      </c>
      <c r="T8" s="20">
        <v>6.7000000000000002E-3</v>
      </c>
      <c r="U8" s="20">
        <v>6.7000000000000002E-3</v>
      </c>
      <c r="V8" s="20">
        <v>0.01</v>
      </c>
      <c r="W8" s="20">
        <v>0.01</v>
      </c>
      <c r="X8" s="19">
        <f>X6/X3</f>
        <v>0</v>
      </c>
      <c r="Y8" s="15">
        <f ca="1">IFERROR(__xludf.DUMMYFUNCTION("INDEX(IMPORTRANGE(""1y0FWgjbB0gVlqn-q5LMJbGIsqOrzru4yowQz67dz2yc"", ""'APO'!AM3:AM139""),MATCH(D8,IMPORTRANGE(""1y0FWgjbB0gVlqn-q5LMJbGIsqOrzru4yowQz67dz2yc"", ""'APO'!D3:D139""),0))"),0.011002444987775)</f>
        <v>1.1002444987775001E-2</v>
      </c>
      <c r="Z8" s="1"/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2">
        <f ca="1">IFERROR(__xludf.DUMMYFUNCTION("INDEX(IMPORTRANGE(""1y0FWgjbB0gVlqn-q5LMJbGIsqOrzru4yowQz67dz2yc"", ""'APO'!AM3:AM139""),MATCH(D9,IMPORTRANGE(""1y0FWgjbB0gVlqn-q5LMJbGIsqOrzru4yowQz67dz2yc"", ""'APO'!D3:D139""),0))"),23)</f>
        <v>23</v>
      </c>
      <c r="Z9" s="1"/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3313</v>
      </c>
      <c r="Q10" s="12">
        <v>6449</v>
      </c>
      <c r="R10" s="13"/>
      <c r="S10" s="13"/>
      <c r="T10" s="13"/>
      <c r="U10" s="13"/>
      <c r="V10" s="13"/>
      <c r="W10" s="13"/>
      <c r="X10" s="2">
        <v>3629</v>
      </c>
      <c r="Y10" s="2">
        <f ca="1">IFERROR(__xludf.DUMMYFUNCTION("INDEX(IMPORTRANGE(""1y0FWgjbB0gVlqn-q5LMJbGIsqOrzru4yowQz67dz2yc"", ""'APO'!AM3:AM139""),MATCH(D10,IMPORTRANGE(""1y0FWgjbB0gVlqn-q5LMJbGIsqOrzru4yowQz67dz2yc"", ""'APO'!D3:D139""),0))"),225)</f>
        <v>225</v>
      </c>
      <c r="Z10" s="1"/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v>6.7000000000000004E-2</v>
      </c>
      <c r="S11" s="15">
        <v>0.13300000000000001</v>
      </c>
      <c r="T11" s="15">
        <v>0.2</v>
      </c>
      <c r="U11" s="15">
        <v>0.26700000000000002</v>
      </c>
      <c r="V11" s="15">
        <v>0.33300000000000002</v>
      </c>
      <c r="W11" s="15">
        <v>0.33329999999999999</v>
      </c>
      <c r="X11" s="15">
        <f>X9/X10</f>
        <v>0</v>
      </c>
      <c r="Y11" s="15">
        <f ca="1">IFERROR(__xludf.DUMMYFUNCTION("INDEX(IMPORTRANGE(""1y0FWgjbB0gVlqn-q5LMJbGIsqOrzru4yowQz67dz2yc"", ""'APO'!AM3:AM139""),MATCH(D11,IMPORTRANGE(""1y0FWgjbB0gVlqn-q5LMJbGIsqOrzru4yowQz67dz2yc"", ""'APO'!D3:D139""),0))"),0.102222222222222)</f>
        <v>0.10222222222222201</v>
      </c>
      <c r="Z11" s="22"/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2">
        <v>92</v>
      </c>
      <c r="R12" s="13"/>
      <c r="S12" s="13"/>
      <c r="T12" s="13"/>
      <c r="U12" s="13"/>
      <c r="V12" s="13"/>
      <c r="W12" s="13"/>
      <c r="X12" s="2">
        <v>27</v>
      </c>
      <c r="Y12" s="2">
        <f ca="1">IFERROR(__xludf.DUMMYFUNCTION("INDEX(IMPORTRANGE(""1y0FWgjbB0gVlqn-q5LMJbGIsqOrzru4yowQz67dz2yc"", ""'APO'!AM3:AM139""),MATCH(D12,IMPORTRANGE(""1y0FWgjbB0gVlqn-q5LMJbGIsqOrzru4yowQz67dz2yc"", ""'APO'!D3:D139""),0))"),70)</f>
        <v>70</v>
      </c>
      <c r="Z12" s="1"/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4.5063043197433208</v>
      </c>
      <c r="Q13" s="23">
        <f t="shared" si="3"/>
        <v>13.819333247212851</v>
      </c>
      <c r="R13" s="1">
        <v>13.3</v>
      </c>
      <c r="S13" s="1">
        <v>3.7</v>
      </c>
      <c r="T13" s="1">
        <v>12.6</v>
      </c>
      <c r="U13" s="1">
        <v>3.5</v>
      </c>
      <c r="V13" s="1">
        <v>12</v>
      </c>
      <c r="W13" s="1">
        <v>12</v>
      </c>
      <c r="X13" s="23">
        <f>(X12/X$2)*100000</f>
        <v>3.9405876145871797</v>
      </c>
      <c r="Y13" s="24">
        <f ca="1">IFERROR(__xludf.DUMMYFUNCTION("INDEX(IMPORTRANGE(""1y0FWgjbB0gVlqn-q5LMJbGIsqOrzru4yowQz67dz2yc"", ""'APO'!AM3:AM139""),MATCH(D13,IMPORTRANGE(""1y0FWgjbB0gVlqn-q5LMJbGIsqOrzru4yowQz67dz2yc"", ""'APO'!D3:D139""),0))"),10.2163382600408)</f>
        <v>10.2163382600408</v>
      </c>
      <c r="Z13" s="25"/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197</v>
      </c>
      <c r="Q14" s="12">
        <v>334</v>
      </c>
      <c r="R14" s="13"/>
      <c r="S14" s="13"/>
      <c r="T14" s="13"/>
      <c r="U14" s="13"/>
      <c r="V14" s="13"/>
      <c r="W14" s="13"/>
      <c r="X14" s="12">
        <v>112</v>
      </c>
      <c r="Y14" s="2">
        <f ca="1">IFERROR(__xludf.DUMMYFUNCTION("INDEX(IMPORTRANGE(""1y0FWgjbB0gVlqn-q5LMJbGIsqOrzru4yowQz67dz2yc"", ""'APO'!AM3:AM139""),MATCH(D14,IMPORTRANGE(""1y0FWgjbB0gVlqn-q5LMJbGIsqOrzru4yowQz67dz2yc"", ""'APO'!D3:D139""),0))"),235)</f>
        <v>235</v>
      </c>
      <c r="Z14" s="1"/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481</v>
      </c>
      <c r="Q15" s="12">
        <v>860</v>
      </c>
      <c r="R15" s="13"/>
      <c r="S15" s="13"/>
      <c r="T15" s="13"/>
      <c r="U15" s="13"/>
      <c r="V15" s="13"/>
      <c r="W15" s="13"/>
      <c r="X15" s="12">
        <v>389</v>
      </c>
      <c r="Y15" s="2">
        <f ca="1">IFERROR(__xludf.DUMMYFUNCTION("INDEX(IMPORTRANGE(""1y0FWgjbB0gVlqn-q5LMJbGIsqOrzru4yowQz67dz2yc"", ""'APO'!AM3:AM139""),MATCH(D15,IMPORTRANGE(""1y0FWgjbB0gVlqn-q5LMJbGIsqOrzru4yowQz67dz2yc"", ""'APO'!D3:D139""),0))"),747)</f>
        <v>747</v>
      </c>
      <c r="Z15" s="1"/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227</v>
      </c>
      <c r="Q16" s="12">
        <v>481</v>
      </c>
      <c r="R16" s="13"/>
      <c r="S16" s="13"/>
      <c r="T16" s="13"/>
      <c r="U16" s="13"/>
      <c r="V16" s="13"/>
      <c r="W16" s="13"/>
      <c r="X16" s="12">
        <v>188</v>
      </c>
      <c r="Y16" s="2">
        <f ca="1">IFERROR(__xludf.DUMMYFUNCTION("INDEX(IMPORTRANGE(""1y0FWgjbB0gVlqn-q5LMJbGIsqOrzru4yowQz67dz2yc"", ""'APO'!AM3:AM139""),MATCH(D16,IMPORTRANGE(""1y0FWgjbB0gVlqn-q5LMJbGIsqOrzru4yowQz67dz2yc"", ""'APO'!D3:D139""),0))"),341)</f>
        <v>341</v>
      </c>
      <c r="Z16" s="1"/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73</v>
      </c>
      <c r="Q17" s="12">
        <v>151</v>
      </c>
      <c r="R17" s="13"/>
      <c r="S17" s="13"/>
      <c r="T17" s="13"/>
      <c r="U17" s="13"/>
      <c r="V17" s="13"/>
      <c r="W17" s="13"/>
      <c r="X17" s="12">
        <v>45</v>
      </c>
      <c r="Y17" s="2">
        <f ca="1">IFERROR(__xludf.DUMMYFUNCTION("INDEX(IMPORTRANGE(""1y0FWgjbB0gVlqn-q5LMJbGIsqOrzru4yowQz67dz2yc"", ""'APO'!AM3:AM139""),MATCH(D17,IMPORTRANGE(""1y0FWgjbB0gVlqn-q5LMJbGIsqOrzru4yowQz67dz2yc"", ""'APO'!D3:D139""),0))"),86)</f>
        <v>86</v>
      </c>
      <c r="Z17" s="1"/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146.90552082363226</v>
      </c>
      <c r="Q18" s="23">
        <f t="shared" si="4"/>
        <v>274.28372292837679</v>
      </c>
      <c r="R18" s="1">
        <v>261.2</v>
      </c>
      <c r="S18" s="1">
        <v>134.6</v>
      </c>
      <c r="T18" s="1">
        <v>252.5</v>
      </c>
      <c r="U18" s="1">
        <v>130</v>
      </c>
      <c r="V18" s="1">
        <v>244.27</v>
      </c>
      <c r="W18" s="1">
        <v>243.13</v>
      </c>
      <c r="X18" s="23">
        <f>(SUM(X14:X17)/X2)*100000</f>
        <v>107.12560404099963</v>
      </c>
      <c r="Y18" s="23">
        <f ca="1">IFERROR(__xludf.DUMMYFUNCTION("INDEX(IMPORTRANGE(""1y0FWgjbB0gVlqn-q5LMJbGIsqOrzru4yowQz67dz2yc"", ""'APO'!AM3:AM139""),MATCH(D18,IMPORTRANGE(""1y0FWgjbB0gVlqn-q5LMJbGIsqOrzru4yowQz67dz2yc"", ""'APO'!D3:D139""),0))"),205.640294405679)</f>
        <v>205.64029440567899</v>
      </c>
      <c r="Z18" s="25"/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2213</v>
      </c>
      <c r="Q19" s="12">
        <v>5571</v>
      </c>
      <c r="R19" s="13"/>
      <c r="S19" s="13"/>
      <c r="T19" s="13"/>
      <c r="U19" s="13"/>
      <c r="V19" s="13"/>
      <c r="W19" s="13"/>
      <c r="X19" s="12">
        <v>2488</v>
      </c>
      <c r="Y19" s="2">
        <f ca="1">IFERROR(__xludf.DUMMYFUNCTION("INDEX(IMPORTRANGE(""1y0FWgjbB0gVlqn-q5LMJbGIsqOrzru4yowQz67dz2yc"", ""'APO'!AM3:AM139""),MATCH(D19,IMPORTRANGE(""1y0FWgjbB0gVlqn-q5LMJbGIsqOrzru4yowQz67dz2yc"", ""'APO'!D3:D139""),0))"),5401)</f>
        <v>5401</v>
      </c>
      <c r="Z19" s="1"/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332.41504865306564</v>
      </c>
      <c r="Q20" s="23">
        <f t="shared" si="5"/>
        <v>836.82071217633472</v>
      </c>
      <c r="R20" s="1">
        <v>797.02</v>
      </c>
      <c r="S20" s="1">
        <v>309.79000000000002</v>
      </c>
      <c r="T20" s="1">
        <v>779.31</v>
      </c>
      <c r="U20" s="1">
        <v>298.02</v>
      </c>
      <c r="V20" s="1">
        <v>761.13</v>
      </c>
      <c r="W20" s="1">
        <v>757.56</v>
      </c>
      <c r="X20" s="23">
        <f>(X19/X$2)*100000</f>
        <v>363.11785129973714</v>
      </c>
      <c r="Y20" s="23">
        <f ca="1">IFERROR(__xludf.DUMMYFUNCTION("INDEX(IMPORTRANGE(""1y0FWgjbB0gVlqn-q5LMJbGIsqOrzru4yowQz67dz2yc"", ""'APO'!AM3:AM139""),MATCH(D20,IMPORTRANGE(""1y0FWgjbB0gVlqn-q5LMJbGIsqOrzru4yowQz67dz2yc"", ""'APO'!D3:D139""),0))"),788.263470606865)</f>
        <v>788.26347060686498</v>
      </c>
      <c r="Z20" s="25"/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367</v>
      </c>
      <c r="Q21" s="12">
        <v>810</v>
      </c>
      <c r="R21" s="13"/>
      <c r="S21" s="13"/>
      <c r="T21" s="13"/>
      <c r="U21" s="13"/>
      <c r="V21" s="13"/>
      <c r="W21" s="13"/>
      <c r="X21" s="12">
        <v>365</v>
      </c>
      <c r="Y21" s="2">
        <f ca="1">IFERROR(__xludf.DUMMYFUNCTION("INDEX(IMPORTRANGE(""1y0FWgjbB0gVlqn-q5LMJbGIsqOrzru4yowQz67dz2yc"", ""'APO'!AM3:AM139""),MATCH(D21,IMPORTRANGE(""1y0FWgjbB0gVlqn-q5LMJbGIsqOrzru4yowQz67dz2yc"", ""'APO'!D3:D139""),0))"),810)</f>
        <v>810</v>
      </c>
      <c r="Z21" s="1"/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55.127122844859954</v>
      </c>
      <c r="Q22" s="23">
        <f t="shared" si="6"/>
        <v>121.67021663306967</v>
      </c>
      <c r="R22" s="1">
        <v>116.46</v>
      </c>
      <c r="S22" s="1">
        <v>51.36</v>
      </c>
      <c r="T22" s="1">
        <v>112.97</v>
      </c>
      <c r="U22" s="1">
        <v>50.17</v>
      </c>
      <c r="V22" s="1">
        <v>110.77</v>
      </c>
      <c r="W22" s="1">
        <v>110.34</v>
      </c>
      <c r="X22" s="23">
        <f>(X21/X$2)*100000</f>
        <v>53.270906641641503</v>
      </c>
      <c r="Y22" s="23">
        <f ca="1">IFERROR(__xludf.DUMMYFUNCTION("INDEX(IMPORTRANGE(""1y0FWgjbB0gVlqn-q5LMJbGIsqOrzru4yowQz67dz2yc"", ""'APO'!AM3:AM139""),MATCH(D22,IMPORTRANGE(""1y0FWgjbB0gVlqn-q5LMJbGIsqOrzru4yowQz67dz2yc"", ""'APO'!D3:D139""),0))"),118.217628437615)</f>
        <v>118.21762843761501</v>
      </c>
      <c r="Z22" s="22"/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4</v>
      </c>
      <c r="Q23" s="12">
        <v>17</v>
      </c>
      <c r="R23" s="13"/>
      <c r="S23" s="13"/>
      <c r="T23" s="13"/>
      <c r="U23" s="13"/>
      <c r="V23" s="13"/>
      <c r="W23" s="13"/>
      <c r="X23" s="12">
        <v>7</v>
      </c>
      <c r="Y23" s="2">
        <f ca="1">IFERROR(__xludf.DUMMYFUNCTION("INDEX(IMPORTRANGE(""1y0FWgjbB0gVlqn-q5LMJbGIsqOrzru4yowQz67dz2yc"", ""'APO'!AM3:AM139""),MATCH(D23,IMPORTRANGE(""1y0FWgjbB0gVlqn-q5LMJbGIsqOrzru4yowQz67dz2yc"", ""'APO'!D3:D139""),0))"),23)</f>
        <v>23</v>
      </c>
      <c r="Z23" s="1"/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17</v>
      </c>
      <c r="Q24" s="12">
        <v>31</v>
      </c>
      <c r="R24" s="13"/>
      <c r="S24" s="13"/>
      <c r="T24" s="13"/>
      <c r="U24" s="13"/>
      <c r="V24" s="13"/>
      <c r="W24" s="13"/>
      <c r="X24" s="12">
        <v>5</v>
      </c>
      <c r="Y24" s="2">
        <f ca="1">IFERROR(__xludf.DUMMYFUNCTION("INDEX(IMPORTRANGE(""1y0FWgjbB0gVlqn-q5LMJbGIsqOrzru4yowQz67dz2yc"", ""'APO'!AM3:AM139""),MATCH(D24,IMPORTRANGE(""1y0FWgjbB0gVlqn-q5LMJbGIsqOrzru4yowQz67dz2yc"", ""'APO'!D3:D139""),0))"),19)</f>
        <v>19</v>
      </c>
      <c r="Z24" s="1"/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13</v>
      </c>
      <c r="Q25" s="12">
        <v>20</v>
      </c>
      <c r="R25" s="13"/>
      <c r="S25" s="13"/>
      <c r="T25" s="13"/>
      <c r="U25" s="13"/>
      <c r="V25" s="13"/>
      <c r="W25" s="13"/>
      <c r="X25" s="12">
        <v>2</v>
      </c>
      <c r="Y25" s="2">
        <f ca="1">IFERROR(__xludf.DUMMYFUNCTION("INDEX(IMPORTRANGE(""1y0FWgjbB0gVlqn-q5LMJbGIsqOrzru4yowQz67dz2yc"", ""'APO'!AM3:AM139""),MATCH(D25,IMPORTRANGE(""1y0FWgjbB0gVlqn-q5LMJbGIsqOrzru4yowQz67dz2yc"", ""'APO'!D3:D139""),0))"),7)</f>
        <v>7</v>
      </c>
      <c r="Z25" s="1"/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</v>
      </c>
      <c r="Q26" s="12">
        <v>1</v>
      </c>
      <c r="R26" s="13"/>
      <c r="S26" s="13"/>
      <c r="T26" s="13"/>
      <c r="U26" s="13"/>
      <c r="V26" s="13"/>
      <c r="W26" s="13"/>
      <c r="X26" s="12">
        <v>0</v>
      </c>
      <c r="Y26" s="2">
        <f ca="1">IFERROR(__xludf.DUMMYFUNCTION("INDEX(IMPORTRANGE(""1y0FWgjbB0gVlqn-q5LMJbGIsqOrzru4yowQz67dz2yc"", ""'APO'!AM3:AM139""),MATCH(D26,IMPORTRANGE(""1y0FWgjbB0gVlqn-q5LMJbGIsqOrzru4yowQz67dz2yc"", ""'APO'!D3:D139""),0))"),1)</f>
        <v>1</v>
      </c>
      <c r="Z26" s="1"/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2</v>
      </c>
      <c r="R27" s="13"/>
      <c r="S27" s="13"/>
      <c r="T27" s="13"/>
      <c r="U27" s="13"/>
      <c r="V27" s="13"/>
      <c r="W27" s="13"/>
      <c r="X27" s="12">
        <v>0</v>
      </c>
      <c r="Y27" s="2">
        <f ca="1">IFERROR(__xludf.DUMMYFUNCTION("INDEX(IMPORTRANGE(""1y0FWgjbB0gVlqn-q5LMJbGIsqOrzru4yowQz67dz2yc"", ""'APO'!AM3:AM139""),MATCH(D27,IMPORTRANGE(""1y0FWgjbB0gVlqn-q5LMJbGIsqOrzru4yowQz67dz2yc"", ""'APO'!D3:D139""),0))"),1)</f>
        <v>1</v>
      </c>
      <c r="Z27" s="1"/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2">
        <f ca="1">IFERROR(__xludf.DUMMYFUNCTION("INDEX(IMPORTRANGE(""1y0FWgjbB0gVlqn-q5LMJbGIsqOrzru4yowQz67dz2yc"", ""'APO'!AM3:AM139""),MATCH(D28,IMPORTRANGE(""1y0FWgjbB0gVlqn-q5LMJbGIsqOrzru4yowQz67dz2yc"", ""'APO'!D3:D139""),0))"),0)</f>
        <v>0</v>
      </c>
      <c r="Z28" s="1"/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3</v>
      </c>
      <c r="Q29" s="12">
        <v>10</v>
      </c>
      <c r="R29" s="13"/>
      <c r="S29" s="13"/>
      <c r="T29" s="13"/>
      <c r="U29" s="13"/>
      <c r="V29" s="13"/>
      <c r="W29" s="13"/>
      <c r="X29" s="12">
        <v>4</v>
      </c>
      <c r="Y29" s="2">
        <f ca="1">IFERROR(__xludf.DUMMYFUNCTION("INDEX(IMPORTRANGE(""1y0FWgjbB0gVlqn-q5LMJbGIsqOrzru4yowQz67dz2yc"", ""'APO'!AM3:AM139""),MATCH(D29,IMPORTRANGE(""1y0FWgjbB0gVlqn-q5LMJbGIsqOrzru4yowQz67dz2yc"", ""'APO'!D3:D139""),0))"),11)</f>
        <v>11</v>
      </c>
      <c r="Z29" s="1"/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1</v>
      </c>
      <c r="Q30" s="12">
        <v>1</v>
      </c>
      <c r="R30" s="13"/>
      <c r="S30" s="13"/>
      <c r="T30" s="13"/>
      <c r="U30" s="13"/>
      <c r="V30" s="13"/>
      <c r="W30" s="13"/>
      <c r="X30" s="12">
        <v>2</v>
      </c>
      <c r="Y30" s="2">
        <f ca="1">IFERROR(__xludf.DUMMYFUNCTION("INDEX(IMPORTRANGE(""1y0FWgjbB0gVlqn-q5LMJbGIsqOrzru4yowQz67dz2yc"", ""'APO'!AM3:AM139""),MATCH(D30,IMPORTRANGE(""1y0FWgjbB0gVlqn-q5LMJbGIsqOrzru4yowQz67dz2yc"", ""'APO'!D3:D139""),0))"),3)</f>
        <v>3</v>
      </c>
      <c r="Z30" s="1"/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2">
        <f ca="1">IFERROR(__xludf.DUMMYFUNCTION("INDEX(IMPORTRANGE(""1y0FWgjbB0gVlqn-q5LMJbGIsqOrzru4yowQz67dz2yc"", ""'APO'!AM3:AM139""),MATCH(D31,IMPORTRANGE(""1y0FWgjbB0gVlqn-q5LMJbGIsqOrzru4yowQz67dz2yc"", ""'APO'!D3:D139""),0))"),0)</f>
        <v>0</v>
      </c>
      <c r="Z31" s="1"/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1</v>
      </c>
      <c r="Q32" s="12">
        <v>6</v>
      </c>
      <c r="R32" s="13"/>
      <c r="S32" s="13"/>
      <c r="T32" s="13"/>
      <c r="U32" s="13"/>
      <c r="V32" s="13"/>
      <c r="W32" s="13"/>
      <c r="X32" s="12">
        <v>2</v>
      </c>
      <c r="Y32" s="2">
        <f ca="1">IFERROR(__xludf.DUMMYFUNCTION("INDEX(IMPORTRANGE(""1y0FWgjbB0gVlqn-q5LMJbGIsqOrzru4yowQz67dz2yc"", ""'APO'!AM3:AM139""),MATCH(D32,IMPORTRANGE(""1y0FWgjbB0gVlqn-q5LMJbGIsqOrzru4yowQz67dz2yc"", ""'APO'!D3:D139""),0))"),2)</f>
        <v>2</v>
      </c>
      <c r="Z32" s="1"/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2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1</v>
      </c>
      <c r="Q33" s="12">
        <v>1</v>
      </c>
      <c r="R33" s="13"/>
      <c r="S33" s="13"/>
      <c r="T33" s="13"/>
      <c r="U33" s="13"/>
      <c r="V33" s="13"/>
      <c r="W33" s="13"/>
      <c r="X33" s="12">
        <v>0</v>
      </c>
      <c r="Y33" s="2">
        <f ca="1">IFERROR(__xludf.DUMMYFUNCTION("INDEX(IMPORTRANGE(""1y0FWgjbB0gVlqn-q5LMJbGIsqOrzru4yowQz67dz2yc"", ""'APO'!AM3:AM139""),MATCH(D33,IMPORTRANGE(""1y0FWgjbB0gVlqn-q5LMJbGIsqOrzru4yowQz67dz2yc"", ""'APO'!D3:D139""),0))"),1)</f>
        <v>1</v>
      </c>
      <c r="Z33" s="1"/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2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6.1586159036492054</v>
      </c>
      <c r="Q34" s="23">
        <f t="shared" si="7"/>
        <v>13.368702815238519</v>
      </c>
      <c r="R34" s="1">
        <v>12.55</v>
      </c>
      <c r="S34" s="1">
        <v>5.77</v>
      </c>
      <c r="T34" s="1">
        <v>12.26</v>
      </c>
      <c r="U34" s="1">
        <v>5.43</v>
      </c>
      <c r="V34" s="1">
        <v>11.86</v>
      </c>
      <c r="W34" s="1">
        <v>11.72</v>
      </c>
      <c r="X34" s="23">
        <f>(SUM(X23:X33)/X$2)*100000</f>
        <v>3.2108491674414057</v>
      </c>
      <c r="Y34" s="23">
        <f ca="1">IFERROR(__xludf.DUMMYFUNCTION("INDEX(IMPORTRANGE(""1y0FWgjbB0gVlqn-q5LMJbGIsqOrzru4yowQz67dz2yc"", ""'APO'!AM3:AM139""),MATCH(D34,IMPORTRANGE(""1y0FWgjbB0gVlqn-q5LMJbGIsqOrzru4yowQz67dz2yc"", ""'APO'!D3:D139""),0))"),9.92444288118252)</f>
        <v>9.9244428811825198</v>
      </c>
      <c r="Z34" s="22"/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208236</v>
      </c>
      <c r="Q35" s="12">
        <v>208236</v>
      </c>
      <c r="R35" s="13"/>
      <c r="S35" s="13"/>
      <c r="T35" s="13"/>
      <c r="U35" s="13"/>
      <c r="V35" s="13"/>
      <c r="W35" s="13"/>
      <c r="X35" s="12">
        <v>208236</v>
      </c>
      <c r="Y35" s="12">
        <f ca="1">IFERROR(__xludf.DUMMYFUNCTION("INDEX(IMPORTRANGE(""1y0FWgjbB0gVlqn-q5LMJbGIsqOrzru4yowQz67dz2yc"", ""'APO'!AM3:AM139""),MATCH(D35,IMPORTRANGE(""1y0FWgjbB0gVlqn-q5LMJbGIsqOrzru4yowQz67dz2yc"", ""'APO'!D3:D139""),0))"),211206)</f>
        <v>211206</v>
      </c>
      <c r="Z35" s="1"/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7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2">
        <v>0</v>
      </c>
      <c r="R36" s="13"/>
      <c r="S36" s="13"/>
      <c r="T36" s="13"/>
      <c r="U36" s="13"/>
      <c r="V36" s="13"/>
      <c r="W36" s="13"/>
      <c r="X36" s="2">
        <v>0</v>
      </c>
      <c r="Y36" s="2">
        <f ca="1">IFERROR(__xludf.DUMMYFUNCTION("INDEX(IMPORTRANGE(""1y0FWgjbB0gVlqn-q5LMJbGIsqOrzru4yowQz67dz2yc"", ""'APO'!AM3:AM139""),MATCH(D36,IMPORTRANGE(""1y0FWgjbB0gVlqn-q5LMJbGIsqOrzru4yowQz67dz2yc"", ""'APO'!D3:D139""),0))"),0)</f>
        <v>0</v>
      </c>
      <c r="Z36" s="1"/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7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26">
        <f t="shared" ref="P37:Q37" si="8">P36/P35</f>
        <v>0</v>
      </c>
      <c r="Q37" s="26">
        <f t="shared" si="8"/>
        <v>0</v>
      </c>
      <c r="R37" s="27">
        <v>1.9E-3</v>
      </c>
      <c r="S37" s="27">
        <v>3.7000000000000002E-3</v>
      </c>
      <c r="T37" s="27">
        <v>5.5999999999999999E-3</v>
      </c>
      <c r="U37" s="27">
        <v>7.4000000000000003E-3</v>
      </c>
      <c r="V37" s="27">
        <v>9.2999999999999992E-3</v>
      </c>
      <c r="W37" s="27">
        <v>9.2999999999999992E-3</v>
      </c>
      <c r="X37" s="15">
        <f>X36/X35</f>
        <v>0</v>
      </c>
      <c r="Y37" s="15">
        <f ca="1">IFERROR(__xludf.DUMMYFUNCTION("INDEX(IMPORTRANGE(""1y0FWgjbB0gVlqn-q5LMJbGIsqOrzru4yowQz67dz2yc"", ""'APO'!AM3:AM139""),MATCH(D37,IMPORTRANGE(""1y0FWgjbB0gVlqn-q5LMJbGIsqOrzru4yowQz67dz2yc"", ""'APO'!D3:D139""),0))"),0)</f>
        <v>0</v>
      </c>
      <c r="Z37" s="22"/>
      <c r="AA37" s="1"/>
      <c r="AB37" s="1"/>
      <c r="AC37" s="1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2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2">
        <v>0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">
        <v>1</v>
      </c>
      <c r="X38" s="2">
        <v>1</v>
      </c>
      <c r="Y38" s="2">
        <f ca="1">IFERROR(__xludf.DUMMYFUNCTION("INDEX(IMPORTRANGE(""1y0FWgjbB0gVlqn-q5LMJbGIsqOrzru4yowQz67dz2yc"", ""'APO'!AM3:AM139""),MATCH(D38,IMPORTRANGE(""1y0FWgjbB0gVlqn-q5LMJbGIsqOrzru4yowQz67dz2yc"", ""'APO'!D3:D139""),0))"),2)</f>
        <v>2</v>
      </c>
      <c r="Z38" s="22"/>
      <c r="AA38" s="1"/>
      <c r="AB38" s="1"/>
      <c r="AC38" s="1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2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348</v>
      </c>
      <c r="Q39" s="12">
        <v>1074</v>
      </c>
      <c r="R39" s="28">
        <v>1859</v>
      </c>
      <c r="S39" s="28">
        <v>2644</v>
      </c>
      <c r="T39" s="28">
        <v>3430</v>
      </c>
      <c r="U39" s="28">
        <v>4215</v>
      </c>
      <c r="V39" s="28">
        <v>5000</v>
      </c>
      <c r="W39" s="28">
        <v>5000</v>
      </c>
      <c r="X39" s="12">
        <v>599</v>
      </c>
      <c r="Y39" s="2">
        <f ca="1">IFERROR(__xludf.DUMMYFUNCTION("INDEX(IMPORTRANGE(""1y0FWgjbB0gVlqn-q5LMJbGIsqOrzru4yowQz67dz2yc"", ""'APO'!AM3:AM139""),MATCH(D39,IMPORTRANGE(""1y0FWgjbB0gVlqn-q5LMJbGIsqOrzru4yowQz67dz2yc"", ""'APO'!D3:D139""),0))"),2539)</f>
        <v>2539</v>
      </c>
      <c r="Z39" s="22"/>
      <c r="AA39" s="1"/>
      <c r="AB39" s="1"/>
      <c r="AC39" s="1"/>
    </row>
    <row r="40" spans="1:29">
      <c r="A40" s="16" t="s">
        <v>119</v>
      </c>
      <c r="B40" s="16" t="s">
        <v>136</v>
      </c>
      <c r="C40" s="8" t="s">
        <v>30</v>
      </c>
      <c r="D40" s="16" t="s">
        <v>137</v>
      </c>
      <c r="E40" s="16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0</v>
      </c>
      <c r="Q40" s="2">
        <v>0</v>
      </c>
      <c r="R40" s="13"/>
      <c r="S40" s="13"/>
      <c r="T40" s="13"/>
      <c r="U40" s="13"/>
      <c r="V40" s="13"/>
      <c r="W40" s="13"/>
      <c r="X40" s="2">
        <v>2</v>
      </c>
      <c r="Y40" s="2">
        <f ca="1">IFERROR(__xludf.DUMMYFUNCTION("INDEX(IMPORTRANGE(""1y0FWgjbB0gVlqn-q5LMJbGIsqOrzru4yowQz67dz2yc"", ""'APO'!AM3:AM139""),MATCH(D40,IMPORTRANGE(""1y0FWgjbB0gVlqn-q5LMJbGIsqOrzru4yowQz67dz2yc"", ""'APO'!D3:D139""),0))"),6)</f>
        <v>6</v>
      </c>
      <c r="Z40" s="1"/>
      <c r="AA40" s="1"/>
      <c r="AB40" s="1"/>
      <c r="AC40" s="1"/>
    </row>
    <row r="41" spans="1:29">
      <c r="A41" s="16" t="s">
        <v>119</v>
      </c>
      <c r="B41" s="16" t="s">
        <v>136</v>
      </c>
      <c r="C41" s="8" t="s">
        <v>30</v>
      </c>
      <c r="D41" s="16" t="s">
        <v>139</v>
      </c>
      <c r="E41" s="16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2"/>
      <c r="R41" s="13"/>
      <c r="S41" s="13"/>
      <c r="T41" s="13"/>
      <c r="U41" s="13"/>
      <c r="V41" s="13"/>
      <c r="W41" s="13"/>
      <c r="X41" s="2"/>
      <c r="Y41" s="2">
        <f ca="1">IFERROR(__xludf.DUMMYFUNCTION("INDEX(IMPORTRANGE(""1y0FWgjbB0gVlqn-q5LMJbGIsqOrzru4yowQz67dz2yc"", ""'APO'!AM3:AM139""),MATCH(D41,IMPORTRANGE(""1y0FWgjbB0gVlqn-q5LMJbGIsqOrzru4yowQz67dz2yc"", ""'APO'!D3:D139""),0))"),0)</f>
        <v>0</v>
      </c>
      <c r="Z41" s="1"/>
      <c r="AA41" s="1"/>
      <c r="AB41" s="1"/>
      <c r="AC41" s="1"/>
    </row>
    <row r="42" spans="1:29">
      <c r="A42" s="16" t="s">
        <v>119</v>
      </c>
      <c r="B42" s="16" t="s">
        <v>136</v>
      </c>
      <c r="C42" s="8" t="s">
        <v>30</v>
      </c>
      <c r="D42" s="16" t="s">
        <v>141</v>
      </c>
      <c r="E42" s="16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1</v>
      </c>
      <c r="Q42" s="2">
        <v>1</v>
      </c>
      <c r="R42" s="13"/>
      <c r="S42" s="13"/>
      <c r="T42" s="13"/>
      <c r="U42" s="13"/>
      <c r="V42" s="13"/>
      <c r="W42" s="13"/>
      <c r="X42" s="2">
        <v>0</v>
      </c>
      <c r="Y42" s="2">
        <f ca="1">IFERROR(__xludf.DUMMYFUNCTION("INDEX(IMPORTRANGE(""1y0FWgjbB0gVlqn-q5LMJbGIsqOrzru4yowQz67dz2yc"", ""'APO'!AM3:AM139""),MATCH(D42,IMPORTRANGE(""1y0FWgjbB0gVlqn-q5LMJbGIsqOrzru4yowQz67dz2yc"", ""'APO'!D3:D139""),0))"),0)</f>
        <v>0</v>
      </c>
      <c r="Z42" s="1"/>
      <c r="AA42" s="1"/>
      <c r="AB42" s="1"/>
      <c r="AC42" s="1"/>
    </row>
    <row r="43" spans="1:29">
      <c r="A43" s="16" t="s">
        <v>119</v>
      </c>
      <c r="B43" s="16" t="s">
        <v>136</v>
      </c>
      <c r="C43" s="8" t="s">
        <v>30</v>
      </c>
      <c r="D43" s="16" t="s">
        <v>143</v>
      </c>
      <c r="E43" s="16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12"/>
      <c r="R43" s="13"/>
      <c r="S43" s="13"/>
      <c r="T43" s="13"/>
      <c r="U43" s="13"/>
      <c r="V43" s="13"/>
      <c r="W43" s="13"/>
      <c r="X43" s="12"/>
      <c r="Y43" s="2">
        <f ca="1">IFERROR(__xludf.DUMMYFUNCTION("INDEX(IMPORTRANGE(""1y0FWgjbB0gVlqn-q5LMJbGIsqOrzru4yowQz67dz2yc"", ""'APO'!AM3:AM139""),MATCH(D43,IMPORTRANGE(""1y0FWgjbB0gVlqn-q5LMJbGIsqOrzru4yowQz67dz2yc"", ""'APO'!D3:D139""),0))"),0)</f>
        <v>0</v>
      </c>
      <c r="Z43" s="1"/>
      <c r="AA43" s="1"/>
      <c r="AB43" s="1"/>
      <c r="AC43" s="1"/>
    </row>
    <row r="44" spans="1:29">
      <c r="A44" s="16" t="s">
        <v>119</v>
      </c>
      <c r="B44" s="16" t="s">
        <v>136</v>
      </c>
      <c r="C44" s="8" t="s">
        <v>36</v>
      </c>
      <c r="D44" s="16" t="s">
        <v>145</v>
      </c>
      <c r="E44" s="16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f t="shared" ref="P44:Q44" si="9">P40+P42</f>
        <v>1</v>
      </c>
      <c r="Q44" s="12">
        <f t="shared" si="9"/>
        <v>1</v>
      </c>
      <c r="R44" s="29">
        <v>11</v>
      </c>
      <c r="S44" s="1">
        <v>5</v>
      </c>
      <c r="T44" s="1">
        <v>10</v>
      </c>
      <c r="U44" s="1">
        <v>5</v>
      </c>
      <c r="V44" s="1">
        <v>11</v>
      </c>
      <c r="W44" s="1">
        <v>32</v>
      </c>
      <c r="X44" s="12">
        <f>X40+X42</f>
        <v>2</v>
      </c>
      <c r="Y44" s="2">
        <f ca="1">IFERROR(__xludf.DUMMYFUNCTION("INDEX(IMPORTRANGE(""1y0FWgjbB0gVlqn-q5LMJbGIsqOrzru4yowQz67dz2yc"", ""'APO'!AM3:AM139""),MATCH(D44,IMPORTRANGE(""1y0FWgjbB0gVlqn-q5LMJbGIsqOrzru4yowQz67dz2yc"", ""'APO'!D3:D139""),0))"),6)</f>
        <v>6</v>
      </c>
      <c r="Z44" s="25"/>
      <c r="AA44" s="1"/>
      <c r="AB44" s="1"/>
      <c r="AC44" s="1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2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12" t="s">
        <v>150</v>
      </c>
      <c r="Q45" s="2" t="s">
        <v>150</v>
      </c>
      <c r="R45" s="2" t="s">
        <v>151</v>
      </c>
      <c r="S45" s="1" t="s">
        <v>151</v>
      </c>
      <c r="T45" s="1" t="s">
        <v>151</v>
      </c>
      <c r="U45" s="1" t="s">
        <v>151</v>
      </c>
      <c r="V45" s="1" t="s">
        <v>151</v>
      </c>
      <c r="W45" s="1" t="s">
        <v>151</v>
      </c>
      <c r="X45" s="2" t="s">
        <v>150</v>
      </c>
      <c r="Y45" s="2" t="str">
        <f ca="1">IFERROR(__xludf.DUMMYFUNCTION("INDEX(IMPORTRANGE(""1y0FWgjbB0gVlqn-q5LMJbGIsqOrzru4yowQz67dz2yc"", ""'APO'!AM3:AM139""),MATCH(D45,IMPORTRANGE(""1y0FWgjbB0gVlqn-q5LMJbGIsqOrzru4yowQz67dz2yc"", ""'APO'!D3:D139""),0))"),"Sí")</f>
        <v>Sí</v>
      </c>
      <c r="Z45" s="1"/>
      <c r="AA45" s="1"/>
      <c r="AB45" s="1"/>
      <c r="AC45" s="1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2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12" t="s">
        <v>153</v>
      </c>
      <c r="Q46" s="2" t="s">
        <v>153</v>
      </c>
      <c r="R46" s="2" t="s">
        <v>151</v>
      </c>
      <c r="S46" s="1" t="s">
        <v>151</v>
      </c>
      <c r="T46" s="1" t="s">
        <v>151</v>
      </c>
      <c r="U46" s="1" t="s">
        <v>151</v>
      </c>
      <c r="V46" s="1" t="s">
        <v>151</v>
      </c>
      <c r="W46" s="1" t="s">
        <v>151</v>
      </c>
      <c r="X46" s="2" t="s">
        <v>153</v>
      </c>
      <c r="Y46" s="2" t="str">
        <f ca="1">IFERROR(__xludf.DUMMYFUNCTION("INDEX(IMPORTRANGE(""1y0FWgjbB0gVlqn-q5LMJbGIsqOrzru4yowQz67dz2yc"", ""'APO'!AM3:AM139""),MATCH(D46,IMPORTRANGE(""1y0FWgjbB0gVlqn-q5LMJbGIsqOrzru4yowQz67dz2yc"", ""'APO'!D3:D139""),0))"),"Sí")</f>
        <v>Sí</v>
      </c>
      <c r="Z46" s="1"/>
      <c r="AA46" s="1"/>
      <c r="AB46" s="1"/>
      <c r="AC46" s="1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2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12" t="s">
        <v>153</v>
      </c>
      <c r="Q47" s="2" t="s">
        <v>153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153</v>
      </c>
      <c r="Y47" s="2" t="str">
        <f ca="1">IFERROR(__xludf.DUMMYFUNCTION("INDEX(IMPORTRANGE(""1y0FWgjbB0gVlqn-q5LMJbGIsqOrzru4yowQz67dz2yc"", ""'APO'!AM3:AM139""),MATCH(D47,IMPORTRANGE(""1y0FWgjbB0gVlqn-q5LMJbGIsqOrzru4yowQz67dz2yc"", ""'APO'!D3:D139""),0))"),"Sí")</f>
        <v>Sí</v>
      </c>
      <c r="Z47" s="1"/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2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>
        <f t="shared" ref="P48:Q48" si="10">COUNTIF(P45:P47,"Sí")*(1/3)</f>
        <v>0.66666666666666663</v>
      </c>
      <c r="Q48" s="30">
        <f t="shared" si="10"/>
        <v>0.66666666666666663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30">
        <f>COUNTIF(X45:X47,"Sí")*(1/3)</f>
        <v>0.66666666666666663</v>
      </c>
      <c r="Y48" s="2">
        <f ca="1">IFERROR(__xludf.DUMMYFUNCTION("INDEX(IMPORTRANGE(""1y0FWgjbB0gVlqn-q5LMJbGIsqOrzru4yowQz67dz2yc"", ""'APO'!AM3:AM139""),MATCH(D48,IMPORTRANGE(""1y0FWgjbB0gVlqn-q5LMJbGIsqOrzru4yowQz67dz2yc"", ""'APO'!D3:D139""),0))"),1)</f>
        <v>1</v>
      </c>
      <c r="Z48" s="22"/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2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1</v>
      </c>
      <c r="Q49" s="2">
        <v>1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2">
        <v>1</v>
      </c>
      <c r="Y49" s="2">
        <f ca="1">IFERROR(__xludf.DUMMYFUNCTION("INDEX(IMPORTRANGE(""1y0FWgjbB0gVlqn-q5LMJbGIsqOrzru4yowQz67dz2yc"", ""'APO'!AM3:AM139""),MATCH(D49,IMPORTRANGE(""1y0FWgjbB0gVlqn-q5LMJbGIsqOrzru4yowQz67dz2yc"", ""'APO'!D3:D139""),0))"),1)</f>
        <v>1</v>
      </c>
      <c r="Z49" s="22"/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2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1</v>
      </c>
      <c r="Q50" s="12">
        <v>1</v>
      </c>
      <c r="R50" s="13"/>
      <c r="S50" s="13"/>
      <c r="T50" s="13"/>
      <c r="U50" s="13"/>
      <c r="V50" s="13"/>
      <c r="W50" s="13"/>
      <c r="X50" s="12">
        <v>2</v>
      </c>
      <c r="Y50" s="2">
        <f ca="1">IFERROR(__xludf.DUMMYFUNCTION("INDEX(IMPORTRANGE(""1y0FWgjbB0gVlqn-q5LMJbGIsqOrzru4yowQz67dz2yc"", ""'APO'!AM3:AM139""),MATCH(D50,IMPORTRANGE(""1y0FWgjbB0gVlqn-q5LMJbGIsqOrzru4yowQz67dz2yc"", ""'APO'!D3:D139""),0))"),2)</f>
        <v>2</v>
      </c>
      <c r="Z50" s="1"/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2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13"/>
      <c r="X51" s="12">
        <v>1</v>
      </c>
      <c r="Y51" s="2">
        <f ca="1">IFERROR(__xludf.DUMMYFUNCTION("INDEX(IMPORTRANGE(""1y0FWgjbB0gVlqn-q5LMJbGIsqOrzru4yowQz67dz2yc"", ""'APO'!AM3:AM139""),MATCH(D51,IMPORTRANGE(""1y0FWgjbB0gVlqn-q5LMJbGIsqOrzru4yowQz67dz2yc"", ""'APO'!D3:D139""),0))"),0)</f>
        <v>0</v>
      </c>
      <c r="Z51" s="1"/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2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4">
        <f t="shared" ref="P52:Q52" si="11">P51/P50</f>
        <v>0</v>
      </c>
      <c r="Q52" s="14">
        <f t="shared" si="11"/>
        <v>0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4">
        <f>X51/X50</f>
        <v>0.5</v>
      </c>
      <c r="Y52" s="15">
        <f ca="1">IFERROR(__xludf.DUMMYFUNCTION("INDEX(IMPORTRANGE(""1y0FWgjbB0gVlqn-q5LMJbGIsqOrzru4yowQz67dz2yc"", ""'APO'!AM3:AM139""),MATCH(D52,IMPORTRANGE(""1y0FWgjbB0gVlqn-q5LMJbGIsqOrzru4yowQz67dz2yc"", ""'APO'!D3:D139""),0))"),0)</f>
        <v>0</v>
      </c>
      <c r="Z52" s="22"/>
      <c r="AA52" s="1"/>
      <c r="AB52" s="1"/>
      <c r="AC52" s="1"/>
    </row>
    <row r="53" spans="1:29">
      <c r="A53" s="7" t="s">
        <v>147</v>
      </c>
      <c r="B53" s="7" t="s">
        <v>168</v>
      </c>
      <c r="C53" s="1" t="s">
        <v>30</v>
      </c>
      <c r="D53" s="7" t="s">
        <v>169</v>
      </c>
      <c r="E53" s="7" t="s">
        <v>38</v>
      </c>
      <c r="F53" s="2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52390</v>
      </c>
      <c r="Q53" s="12">
        <v>52390</v>
      </c>
      <c r="R53" s="13"/>
      <c r="S53" s="13"/>
      <c r="T53" s="13"/>
      <c r="U53" s="13"/>
      <c r="V53" s="13"/>
      <c r="W53" s="13"/>
      <c r="X53" s="12">
        <v>52800</v>
      </c>
      <c r="Y53" s="2">
        <f ca="1">IFERROR(__xludf.DUMMYFUNCTION("INDEX(IMPORTRANGE(""1y0FWgjbB0gVlqn-q5LMJbGIsqOrzru4yowQz67dz2yc"", ""'APO'!AM3:AM139""),MATCH(D53,IMPORTRANGE(""1y0FWgjbB0gVlqn-q5LMJbGIsqOrzru4yowQz67dz2yc"", ""'APO'!D3:D139""),0))"),53950)</f>
        <v>53950</v>
      </c>
      <c r="Z53" s="1"/>
      <c r="AA53" s="1"/>
      <c r="AB53" s="1"/>
      <c r="AC53" s="1"/>
    </row>
    <row r="54" spans="1:29">
      <c r="A54" s="7" t="s">
        <v>147</v>
      </c>
      <c r="B54" s="7" t="s">
        <v>168</v>
      </c>
      <c r="C54" s="1" t="s">
        <v>30</v>
      </c>
      <c r="D54" s="7" t="s">
        <v>171</v>
      </c>
      <c r="E54" s="7" t="s">
        <v>38</v>
      </c>
      <c r="F54" s="2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52500</v>
      </c>
      <c r="Q54" s="12">
        <v>52500</v>
      </c>
      <c r="R54" s="13"/>
      <c r="S54" s="13"/>
      <c r="T54" s="13"/>
      <c r="U54" s="13"/>
      <c r="V54" s="13"/>
      <c r="W54" s="13"/>
      <c r="X54" s="12">
        <v>53200</v>
      </c>
      <c r="Y54" s="2">
        <f ca="1">IFERROR(__xludf.DUMMYFUNCTION("INDEX(IMPORTRANGE(""1y0FWgjbB0gVlqn-q5LMJbGIsqOrzru4yowQz67dz2yc"", ""'APO'!AM3:AM139""),MATCH(D54,IMPORTRANGE(""1y0FWgjbB0gVlqn-q5LMJbGIsqOrzru4yowQz67dz2yc"", ""'APO'!D3:D139""),0))"),54800)</f>
        <v>54800</v>
      </c>
      <c r="Z54" s="1"/>
      <c r="AA54" s="1"/>
      <c r="AB54" s="1"/>
      <c r="AC54" s="1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2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2">P53/P54</f>
        <v>0.99790476190476185</v>
      </c>
      <c r="Q55" s="15">
        <f t="shared" si="12"/>
        <v>0.99790476190476185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X53/X54</f>
        <v>0.99248120300751874</v>
      </c>
      <c r="Y55" s="15">
        <f ca="1">IFERROR(__xludf.DUMMYFUNCTION("INDEX(IMPORTRANGE(""1y0FWgjbB0gVlqn-q5LMJbGIsqOrzru4yowQz67dz2yc"", ""'APO'!AM3:AM139""),MATCH(D55,IMPORTRANGE(""1y0FWgjbB0gVlqn-q5LMJbGIsqOrzru4yowQz67dz2yc"", ""'APO'!D3:D139""),0))"),0.98448905109489)</f>
        <v>0.98448905109489004</v>
      </c>
      <c r="Z55" s="22"/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1" t="s">
        <v>175</v>
      </c>
      <c r="E56" s="7" t="s">
        <v>38</v>
      </c>
      <c r="F56" s="2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208236</v>
      </c>
      <c r="Q56" s="12">
        <v>208236</v>
      </c>
      <c r="R56" s="13"/>
      <c r="S56" s="13"/>
      <c r="T56" s="13"/>
      <c r="U56" s="13"/>
      <c r="V56" s="13"/>
      <c r="W56" s="13"/>
      <c r="X56" s="12">
        <v>208236</v>
      </c>
      <c r="Y56" s="2">
        <f ca="1">IFERROR(__xludf.DUMMYFUNCTION("INDEX(IMPORTRANGE(""1y0FWgjbB0gVlqn-q5LMJbGIsqOrzru4yowQz67dz2yc"", ""'APO'!AM3:AM139""),MATCH(D56,IMPORTRANGE(""1y0FWgjbB0gVlqn-q5LMJbGIsqOrzru4yowQz67dz2yc"", ""'APO'!D3:D139""),0))"),211206)</f>
        <v>211206</v>
      </c>
      <c r="Z56" s="1"/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36</v>
      </c>
      <c r="D57" s="1" t="s">
        <v>177</v>
      </c>
      <c r="E57" s="7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4">
        <f t="shared" ref="P57:Q57" si="13">P56/P35</f>
        <v>1</v>
      </c>
      <c r="Q57" s="14">
        <f t="shared" si="13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4">
        <f>X56/X35</f>
        <v>1</v>
      </c>
      <c r="Y57" s="14">
        <f ca="1">IFERROR(__xludf.DUMMYFUNCTION("INDEX(IMPORTRANGE(""1y0FWgjbB0gVlqn-q5LMJbGIsqOrzru4yowQz67dz2yc"", ""'APO'!AM3:AM139""),MATCH(D57,IMPORTRANGE(""1y0FWgjbB0gVlqn-q5LMJbGIsqOrzru4yowQz67dz2yc"", ""'APO'!D3:D139""),0))"),1)</f>
        <v>1</v>
      </c>
      <c r="Z57" s="22"/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2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518511</v>
      </c>
      <c r="Q58" s="12">
        <v>518511</v>
      </c>
      <c r="R58" s="13"/>
      <c r="S58" s="13"/>
      <c r="T58" s="13"/>
      <c r="U58" s="13"/>
      <c r="V58" s="13"/>
      <c r="W58" s="13"/>
      <c r="X58" s="12">
        <v>559131</v>
      </c>
      <c r="Y58" s="2">
        <f ca="1">IFERROR(__xludf.DUMMYFUNCTION("INDEX(IMPORTRANGE(""1y0FWgjbB0gVlqn-q5LMJbGIsqOrzru4yowQz67dz2yc"", ""'APO'!AM3:AM139""),MATCH(D58,IMPORTRANGE(""1y0FWgjbB0gVlqn-q5LMJbGIsqOrzru4yowQz67dz2yc"", ""'APO'!D3:D139""),0))"),620815)</f>
        <v>620815</v>
      </c>
      <c r="Z58" s="1"/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2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987831</v>
      </c>
      <c r="Q59" s="12">
        <v>987831</v>
      </c>
      <c r="R59" s="13"/>
      <c r="S59" s="13"/>
      <c r="T59" s="13"/>
      <c r="U59" s="13"/>
      <c r="V59" s="13"/>
      <c r="W59" s="13"/>
      <c r="X59" s="12">
        <v>987831</v>
      </c>
      <c r="Y59" s="2">
        <f ca="1">IFERROR(__xludf.DUMMYFUNCTION("INDEX(IMPORTRANGE(""1y0FWgjbB0gVlqn-q5LMJbGIsqOrzru4yowQz67dz2yc"", ""'APO'!AM3:AM139""),MATCH(D59,IMPORTRANGE(""1y0FWgjbB0gVlqn-q5LMJbGIsqOrzru4yowQz67dz2yc"", ""'APO'!D3:D139""),0))"),1028451)</f>
        <v>1028451</v>
      </c>
      <c r="Z59" s="1"/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2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0.52489848972141995</v>
      </c>
      <c r="Q60" s="15">
        <f t="shared" si="14"/>
        <v>0.52489848972141995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0.56601888379692478</v>
      </c>
      <c r="Y60" s="15">
        <f ca="1">IFERROR(__xludf.DUMMYFUNCTION("INDEX(IMPORTRANGE(""1y0FWgjbB0gVlqn-q5LMJbGIsqOrzru4yowQz67dz2yc"", ""'APO'!AM3:AM139""),MATCH(D60,IMPORTRANGE(""1y0FWgjbB0gVlqn-q5LMJbGIsqOrzru4yowQz67dz2yc"", ""'APO'!D3:D139""),0))"),0.603640815167664)</f>
        <v>0.60364081516766399</v>
      </c>
      <c r="Z60" s="25"/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2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22977</v>
      </c>
      <c r="Q61" s="12">
        <v>22977</v>
      </c>
      <c r="R61" s="13"/>
      <c r="S61" s="13"/>
      <c r="T61" s="13"/>
      <c r="U61" s="13"/>
      <c r="V61" s="13"/>
      <c r="W61" s="13"/>
      <c r="X61" s="12">
        <v>22977</v>
      </c>
      <c r="Y61" s="2">
        <f ca="1">IFERROR(__xludf.DUMMYFUNCTION("INDEX(IMPORTRANGE(""1y0FWgjbB0gVlqn-q5LMJbGIsqOrzru4yowQz67dz2yc"", ""'APO'!AM3:AM139""),MATCH(D61,IMPORTRANGE(""1y0FWgjbB0gVlqn-q5LMJbGIsqOrzru4yowQz67dz2yc"", ""'APO'!D3:D139""),0))"),9600)</f>
        <v>9600</v>
      </c>
      <c r="Z61" s="1"/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2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32977</v>
      </c>
      <c r="Q62" s="12">
        <v>32977</v>
      </c>
      <c r="R62" s="13"/>
      <c r="S62" s="13"/>
      <c r="T62" s="13"/>
      <c r="U62" s="13"/>
      <c r="V62" s="13"/>
      <c r="W62" s="13"/>
      <c r="X62" s="12">
        <v>32977</v>
      </c>
      <c r="Y62" s="2">
        <f ca="1">IFERROR(__xludf.DUMMYFUNCTION("INDEX(IMPORTRANGE(""1y0FWgjbB0gVlqn-q5LMJbGIsqOrzru4yowQz67dz2yc"", ""'APO'!AM3:AM139""),MATCH(D62,IMPORTRANGE(""1y0FWgjbB0gVlqn-q5LMJbGIsqOrzru4yowQz67dz2yc"", ""'APO'!D3:D139""),0))"),23377)</f>
        <v>23377</v>
      </c>
      <c r="Z62" s="1"/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2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5">P61/P62</f>
        <v>0.69675834672650638</v>
      </c>
      <c r="Q63" s="15">
        <f t="shared" si="15"/>
        <v>0.69675834672650638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0.69675834672650638</v>
      </c>
      <c r="Y63" s="15">
        <f ca="1">IFERROR(__xludf.DUMMYFUNCTION("INDEX(IMPORTRANGE(""1y0FWgjbB0gVlqn-q5LMJbGIsqOrzru4yowQz67dz2yc"", ""'APO'!AM3:AM139""),MATCH(D63,IMPORTRANGE(""1y0FWgjbB0gVlqn-q5LMJbGIsqOrzru4yowQz67dz2yc"", ""'APO'!D3:D139""),0))"),0.410660050476964)</f>
        <v>0.41066005047696402</v>
      </c>
      <c r="Z63" s="25"/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2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12">
        <v>0</v>
      </c>
      <c r="Q64" s="24">
        <v>1.75</v>
      </c>
      <c r="R64" s="1"/>
      <c r="S64" s="1"/>
      <c r="T64" s="1"/>
      <c r="U64" s="1"/>
      <c r="V64" s="1"/>
      <c r="W64" s="1"/>
      <c r="X64" s="24">
        <v>10.209999999999999</v>
      </c>
      <c r="Y64" s="2">
        <f ca="1">IFERROR(__xludf.DUMMYFUNCTION("INDEX(IMPORTRANGE(""1y0FWgjbB0gVlqn-q5LMJbGIsqOrzru4yowQz67dz2yc"", ""'APO'!AM3:AM139""),MATCH(D64,IMPORTRANGE(""1y0FWgjbB0gVlqn-q5LMJbGIsqOrzru4yowQz67dz2yc"", ""'APO'!D3:D139""),0))"),19.81)</f>
        <v>19.809999999999999</v>
      </c>
      <c r="Z64" s="1"/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2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12">
        <v>0</v>
      </c>
      <c r="Q65" s="2">
        <v>1.4</v>
      </c>
      <c r="R65" s="1"/>
      <c r="S65" s="1"/>
      <c r="T65" s="1"/>
      <c r="U65" s="1"/>
      <c r="V65" s="1"/>
      <c r="W65" s="1"/>
      <c r="X65" s="2">
        <v>8.4</v>
      </c>
      <c r="Y65" s="2">
        <f ca="1">IFERROR(__xludf.DUMMYFUNCTION("INDEX(IMPORTRANGE(""1y0FWgjbB0gVlqn-q5LMJbGIsqOrzru4yowQz67dz2yc"", ""'APO'!AM3:AM139""),MATCH(D65,IMPORTRANGE(""1y0FWgjbB0gVlqn-q5LMJbGIsqOrzru4yowQz67dz2yc"", ""'APO'!D3:D139""),0))"),8.4)</f>
        <v>8.4</v>
      </c>
      <c r="Z65" s="1"/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2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0</v>
      </c>
      <c r="Q66" s="12">
        <v>0</v>
      </c>
      <c r="R66" s="13"/>
      <c r="S66" s="13"/>
      <c r="T66" s="13"/>
      <c r="U66" s="13"/>
      <c r="V66" s="13"/>
      <c r="W66" s="13"/>
      <c r="X66" s="12">
        <v>0</v>
      </c>
      <c r="Y66" s="2" t="str">
        <f ca="1">IFERROR(__xludf.DUMMYFUNCTION("INDEX(IMPORTRANGE(""1y0FWgjbB0gVlqn-q5LMJbGIsqOrzru4yowQz67dz2yc"", ""'APO'!AM3:AM139""),MATCH(D66,IMPORTRANGE(""1y0FWgjbB0gVlqn-q5LMJbGIsqOrzru4yowQz67dz2yc"", ""'APO'!D3:D139""),0))"),"Sí")</f>
        <v>Sí</v>
      </c>
      <c r="Z66" s="1"/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2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12">
        <v>0</v>
      </c>
      <c r="Q67" s="23">
        <v>3.15</v>
      </c>
      <c r="R67" s="4">
        <f>57/3</f>
        <v>19</v>
      </c>
      <c r="S67" s="4">
        <f>T67/2</f>
        <v>9.5</v>
      </c>
      <c r="T67" s="4">
        <f>57/3</f>
        <v>19</v>
      </c>
      <c r="U67" s="4">
        <f>V67/2</f>
        <v>9.5</v>
      </c>
      <c r="V67" s="4">
        <f>57/3</f>
        <v>19</v>
      </c>
      <c r="W67" s="4">
        <v>57</v>
      </c>
      <c r="X67" s="23">
        <v>18.61</v>
      </c>
      <c r="Y67" s="2">
        <f ca="1">IFERROR(__xludf.DUMMYFUNCTION("INDEX(IMPORTRANGE(""1y0FWgjbB0gVlqn-q5LMJbGIsqOrzru4yowQz67dz2yc"", ""'APO'!AM3:AM139""),MATCH(D67,IMPORTRANGE(""1y0FWgjbB0gVlqn-q5LMJbGIsqOrzru4yowQz67dz2yc"", ""'APO'!D3:D139""),0))"),28.21)</f>
        <v>28.21</v>
      </c>
      <c r="Z67" s="31"/>
      <c r="AA67" s="1"/>
      <c r="AB67" s="1"/>
      <c r="AC67" s="1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2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2">
        <v>6.0339999999999998</v>
      </c>
      <c r="Q68" s="12">
        <v>6.0339999999999998</v>
      </c>
      <c r="R68" s="12">
        <f t="shared" ref="R68:W68" si="16">+Q68+2/5</f>
        <v>6.4340000000000002</v>
      </c>
      <c r="S68" s="12">
        <f t="shared" si="16"/>
        <v>6.8340000000000005</v>
      </c>
      <c r="T68" s="12">
        <f t="shared" si="16"/>
        <v>7.2340000000000009</v>
      </c>
      <c r="U68" s="12">
        <f t="shared" si="16"/>
        <v>7.6340000000000012</v>
      </c>
      <c r="V68" s="12">
        <f t="shared" si="16"/>
        <v>8.0340000000000007</v>
      </c>
      <c r="W68" s="12">
        <f t="shared" si="16"/>
        <v>8.4340000000000011</v>
      </c>
      <c r="X68" s="32">
        <v>6.0339999999999998</v>
      </c>
      <c r="Y68" s="2">
        <f ca="1">IFERROR(__xludf.DUMMYFUNCTION("INDEX(IMPORTRANGE(""1y0FWgjbB0gVlqn-q5LMJbGIsqOrzru4yowQz67dz2yc"", ""'APO'!AM3:AM139""),MATCH(D68,IMPORTRANGE(""1y0FWgjbB0gVlqn-q5LMJbGIsqOrzru4yowQz67dz2yc"", ""'APO'!D3:D139""),0))"),9.53)</f>
        <v>9.5299999999999994</v>
      </c>
      <c r="Z68" s="25"/>
      <c r="AA68" s="1"/>
      <c r="AB68" s="1"/>
      <c r="AC68" s="1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2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3"/>
      <c r="Q69" s="13"/>
      <c r="R69" s="1"/>
      <c r="S69" s="1"/>
      <c r="T69" s="1"/>
      <c r="U69" s="1"/>
      <c r="V69" s="1"/>
      <c r="W69" s="33"/>
      <c r="X69" s="12">
        <v>10081</v>
      </c>
      <c r="Y69" s="2">
        <f ca="1">IFERROR(__xludf.DUMMYFUNCTION("INDEX(IMPORTRANGE(""1y0FWgjbB0gVlqn-q5LMJbGIsqOrzru4yowQz67dz2yc"", ""'APO'!AM3:AM139""),MATCH(D69,IMPORTRANGE(""1y0FWgjbB0gVlqn-q5LMJbGIsqOrzru4yowQz67dz2yc"", ""'APO'!D3:D139""),0))"),12599)</f>
        <v>12599</v>
      </c>
      <c r="Z69" s="1"/>
      <c r="AA69" s="1"/>
      <c r="AB69" s="1"/>
      <c r="AC69" s="1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3"/>
      <c r="Q70" s="13"/>
      <c r="R70" s="1"/>
      <c r="S70" s="1"/>
      <c r="T70" s="1"/>
      <c r="U70" s="1"/>
      <c r="V70" s="1"/>
      <c r="W70" s="1"/>
      <c r="X70" s="12">
        <v>0</v>
      </c>
      <c r="Y70" s="2">
        <f ca="1">IFERROR(__xludf.DUMMYFUNCTION("INDEX(IMPORTRANGE(""1y0FWgjbB0gVlqn-q5LMJbGIsqOrzru4yowQz67dz2yc"", ""'APO'!AM3:AM139""),MATCH(D70,IMPORTRANGE(""1y0FWgjbB0gVlqn-q5LMJbGIsqOrzru4yowQz67dz2yc"", ""'APO'!D3:D139""),0))"),0)</f>
        <v>0</v>
      </c>
      <c r="Z70" s="1"/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13"/>
      <c r="Q71" s="13"/>
      <c r="R71" s="1"/>
      <c r="S71" s="1"/>
      <c r="T71" s="1"/>
      <c r="U71" s="1"/>
      <c r="V71" s="1"/>
      <c r="W71" s="1"/>
      <c r="X71" s="12">
        <v>133</v>
      </c>
      <c r="Y71" s="2">
        <f ca="1">IFERROR(__xludf.DUMMYFUNCTION("INDEX(IMPORTRANGE(""1y0FWgjbB0gVlqn-q5LMJbGIsqOrzru4yowQz67dz2yc"", ""'APO'!AM3:AM139""),MATCH(D71,IMPORTRANGE(""1y0FWgjbB0gVlqn-q5LMJbGIsqOrzru4yowQz67dz2yc"", ""'APO'!D3:D139""),0))"),1907)</f>
        <v>1907</v>
      </c>
      <c r="Z71" s="1"/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3"/>
      <c r="Q72" s="13"/>
      <c r="R72" s="34">
        <f>$W$72/3</f>
        <v>1350</v>
      </c>
      <c r="S72" s="34">
        <f>T72/2</f>
        <v>675</v>
      </c>
      <c r="T72" s="34">
        <f>$W$72/3</f>
        <v>1350</v>
      </c>
      <c r="U72" s="34">
        <f>V72/2</f>
        <v>675</v>
      </c>
      <c r="V72" s="34">
        <f>$W$72/3</f>
        <v>1350</v>
      </c>
      <c r="W72" s="35">
        <v>4050</v>
      </c>
      <c r="X72" s="12">
        <f>SUM(X69:X71)</f>
        <v>10214</v>
      </c>
      <c r="Y72" s="2">
        <f ca="1">IFERROR(__xludf.DUMMYFUNCTION("INDEX(IMPORTRANGE(""1y0FWgjbB0gVlqn-q5LMJbGIsqOrzru4yowQz67dz2yc"", ""'APO'!AM3:AM139""),MATCH(D72,IMPORTRANGE(""1y0FWgjbB0gVlqn-q5LMJbGIsqOrzru4yowQz67dz2yc"", ""'APO'!D3:D139""),0))"),14506)</f>
        <v>14506</v>
      </c>
      <c r="Z72" s="25"/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7" t="s">
        <v>211</v>
      </c>
      <c r="E73" s="7" t="s">
        <v>38</v>
      </c>
      <c r="F73" s="9" t="s">
        <v>212</v>
      </c>
      <c r="G73" s="16" t="s">
        <v>213</v>
      </c>
      <c r="H73" s="8" t="s">
        <v>214</v>
      </c>
      <c r="I73" s="7" t="s">
        <v>215</v>
      </c>
      <c r="J73" s="13"/>
      <c r="K73" s="7" t="s">
        <v>216</v>
      </c>
      <c r="L73" s="13"/>
      <c r="M73" s="7" t="s">
        <v>217</v>
      </c>
      <c r="N73" s="2" t="s">
        <v>218</v>
      </c>
      <c r="O73" s="2" t="s">
        <v>218</v>
      </c>
      <c r="P73" s="36">
        <v>155199137.53</v>
      </c>
      <c r="Q73" s="36">
        <v>155199137.53</v>
      </c>
      <c r="R73" s="13"/>
      <c r="S73" s="13"/>
      <c r="T73" s="13"/>
      <c r="U73" s="13"/>
      <c r="V73" s="13"/>
      <c r="W73" s="13"/>
      <c r="X73" s="36">
        <v>155199137.53</v>
      </c>
      <c r="Y73" s="4" t="str">
        <f ca="1">IFERROR(__xludf.DUMMYFUNCTION("INDEX(IMPORTRANGE(""1y0FWgjbB0gVlqn-q5LMJbGIsqOrzru4yowQz67dz2yc"", ""'APO'!AM3:AM139""),MATCH(D73,IMPORTRANGE(""1y0FWgjbB0gVlqn-q5LMJbGIsqOrzru4yowQz67dz2yc"", ""'APO'!D3:D139""),0))"),"")</f>
        <v/>
      </c>
      <c r="Z73" s="1"/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219</v>
      </c>
      <c r="E74" s="7" t="s">
        <v>38</v>
      </c>
      <c r="F74" s="9" t="s">
        <v>220</v>
      </c>
      <c r="G74" s="16" t="s">
        <v>213</v>
      </c>
      <c r="H74" s="8" t="s">
        <v>214</v>
      </c>
      <c r="I74" s="7" t="s">
        <v>215</v>
      </c>
      <c r="J74" s="13"/>
      <c r="K74" s="7" t="s">
        <v>216</v>
      </c>
      <c r="L74" s="13"/>
      <c r="M74" s="7" t="s">
        <v>217</v>
      </c>
      <c r="N74" s="2" t="s">
        <v>218</v>
      </c>
      <c r="O74" s="2" t="s">
        <v>218</v>
      </c>
      <c r="P74" s="36">
        <v>23239909.559999999</v>
      </c>
      <c r="Q74" s="36">
        <v>23239909.559999999</v>
      </c>
      <c r="R74" s="13"/>
      <c r="S74" s="13"/>
      <c r="T74" s="13"/>
      <c r="U74" s="13"/>
      <c r="V74" s="13"/>
      <c r="W74" s="13"/>
      <c r="X74" s="36">
        <v>23239909.559999999</v>
      </c>
      <c r="Y74" s="4" t="str">
        <f ca="1">IFERROR(__xludf.DUMMYFUNCTION("INDEX(IMPORTRANGE(""1y0FWgjbB0gVlqn-q5LMJbGIsqOrzru4yowQz67dz2yc"", ""'APO'!AM3:AM139""),MATCH(D74,IMPORTRANGE(""1y0FWgjbB0gVlqn-q5LMJbGIsqOrzru4yowQz67dz2yc"", ""'APO'!D3:D139""),0))"),"")</f>
        <v/>
      </c>
      <c r="Z74" s="1"/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6" t="s">
        <v>213</v>
      </c>
      <c r="H75" s="8" t="s">
        <v>214</v>
      </c>
      <c r="I75" s="7" t="s">
        <v>215</v>
      </c>
      <c r="J75" s="13"/>
      <c r="K75" s="7" t="s">
        <v>216</v>
      </c>
      <c r="L75" s="13"/>
      <c r="M75" s="7" t="s">
        <v>217</v>
      </c>
      <c r="N75" s="2" t="s">
        <v>218</v>
      </c>
      <c r="O75" s="2" t="s">
        <v>218</v>
      </c>
      <c r="P75" s="15">
        <f t="shared" ref="P75:Q75" si="17">P74/P73</f>
        <v>0.14974251745121794</v>
      </c>
      <c r="Q75" s="15">
        <f t="shared" si="17"/>
        <v>0.14974251745121794</v>
      </c>
      <c r="R75" s="1"/>
      <c r="S75" s="37">
        <v>0.16</v>
      </c>
      <c r="T75" s="1"/>
      <c r="U75" s="37">
        <v>0.17</v>
      </c>
      <c r="V75" s="37">
        <v>0.18</v>
      </c>
      <c r="W75" s="37">
        <v>0.18</v>
      </c>
      <c r="X75" s="15">
        <f>X74/X73</f>
        <v>0.14974251745121794</v>
      </c>
      <c r="Y75" s="38" t="str">
        <f ca="1">IFERROR(__xludf.DUMMYFUNCTION("INDEX(IMPORTRANGE(""1y0FWgjbB0gVlqn-q5LMJbGIsqOrzru4yowQz67dz2yc"", ""'APO'!AM3:AM139""),MATCH(D75,IMPORTRANGE(""1y0FWgjbB0gVlqn-q5LMJbGIsqOrzru4yowQz67dz2yc"", ""'APO'!D3:D139""),0))"),"")</f>
        <v/>
      </c>
      <c r="Z75" s="22"/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3</v>
      </c>
      <c r="Q76" s="12">
        <v>6</v>
      </c>
      <c r="R76" s="1"/>
      <c r="S76" s="1"/>
      <c r="T76" s="1"/>
      <c r="U76" s="1"/>
      <c r="V76" s="1"/>
      <c r="W76" s="1"/>
      <c r="X76" s="12">
        <v>1</v>
      </c>
      <c r="Y76" s="2">
        <f ca="1">IFERROR(__xludf.DUMMYFUNCTION("INDEX(IMPORTRANGE(""1y0FWgjbB0gVlqn-q5LMJbGIsqOrzru4yowQz67dz2yc"", ""'APO'!AM3:AM139""),MATCH(D76,IMPORTRANGE(""1y0FWgjbB0gVlqn-q5LMJbGIsqOrzru4yowQz67dz2yc"", ""'APO'!D3:D139""),0))"),13)</f>
        <v>13</v>
      </c>
      <c r="Z76" s="1"/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7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1</v>
      </c>
      <c r="Q77" s="12">
        <v>4</v>
      </c>
      <c r="R77" s="1"/>
      <c r="S77" s="1"/>
      <c r="T77" s="1"/>
      <c r="U77" s="1"/>
      <c r="V77" s="1"/>
      <c r="W77" s="1"/>
      <c r="X77" s="12">
        <v>2</v>
      </c>
      <c r="Y77" s="2">
        <f ca="1">IFERROR(__xludf.DUMMYFUNCTION("INDEX(IMPORTRANGE(""1y0FWgjbB0gVlqn-q5LMJbGIsqOrzru4yowQz67dz2yc"", ""'APO'!AM3:AM139""),MATCH(D77,IMPORTRANGE(""1y0FWgjbB0gVlqn-q5LMJbGIsqOrzru4yowQz67dz2yc"", ""'APO'!D3:D139""),0))"),5)</f>
        <v>5</v>
      </c>
      <c r="Z77" s="1"/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7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f t="shared" ref="P78:Q78" si="18">P76+P77</f>
        <v>4</v>
      </c>
      <c r="Q78" s="12">
        <f t="shared" si="18"/>
        <v>10</v>
      </c>
      <c r="R78" s="13">
        <v>8</v>
      </c>
      <c r="S78" s="13">
        <v>4</v>
      </c>
      <c r="T78" s="13">
        <v>8</v>
      </c>
      <c r="U78" s="13">
        <v>4</v>
      </c>
      <c r="V78" s="13">
        <v>9</v>
      </c>
      <c r="W78" s="13">
        <v>25</v>
      </c>
      <c r="X78" s="12">
        <f>X76+X77</f>
        <v>3</v>
      </c>
      <c r="Y78" s="2">
        <f ca="1">IFERROR(__xludf.DUMMYFUNCTION("INDEX(IMPORTRANGE(""1y0FWgjbB0gVlqn-q5LMJbGIsqOrzru4yowQz67dz2yc"", ""'APO'!AM3:AM139""),MATCH(D78,IMPORTRANGE(""1y0FWgjbB0gVlqn-q5LMJbGIsqOrzru4yowQz67dz2yc"", ""'APO'!D3:D139""),0))"),18)</f>
        <v>18</v>
      </c>
      <c r="Z78" s="22"/>
      <c r="AA78" s="1"/>
      <c r="AB78" s="1"/>
      <c r="AC78" s="1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67</v>
      </c>
      <c r="Q79" s="12">
        <v>66</v>
      </c>
      <c r="R79" s="13"/>
      <c r="S79" s="13"/>
      <c r="T79" s="13"/>
      <c r="U79" s="13"/>
      <c r="V79" s="13"/>
      <c r="W79" s="13"/>
      <c r="X79" s="12">
        <v>37</v>
      </c>
      <c r="Y79" s="2">
        <f ca="1">IFERROR(__xludf.DUMMYFUNCTION("INDEX(IMPORTRANGE(""1y0FWgjbB0gVlqn-q5LMJbGIsqOrzru4yowQz67dz2yc"", ""'APO'!AM3:AM139""),MATCH(D79,IMPORTRANGE(""1y0FWgjbB0gVlqn-q5LMJbGIsqOrzru4yowQz67dz2yc"", ""'APO'!D3:D139""),0))"),68)</f>
        <v>68</v>
      </c>
      <c r="Z79" s="1"/>
      <c r="AA79" s="1"/>
      <c r="AB79" s="1"/>
      <c r="AC79" s="1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18</v>
      </c>
      <c r="Q80" s="12">
        <v>25</v>
      </c>
      <c r="R80" s="13"/>
      <c r="S80" s="13"/>
      <c r="T80" s="13"/>
      <c r="U80" s="13"/>
      <c r="V80" s="13"/>
      <c r="W80" s="13"/>
      <c r="X80" s="12">
        <v>3</v>
      </c>
      <c r="Y80" s="2">
        <f ca="1">IFERROR(__xludf.DUMMYFUNCTION("INDEX(IMPORTRANGE(""1y0FWgjbB0gVlqn-q5LMJbGIsqOrzru4yowQz67dz2yc"", ""'APO'!AM3:AM139""),MATCH(D80,IMPORTRANGE(""1y0FWgjbB0gVlqn-q5LMJbGIsqOrzru4yowQz67dz2yc"", ""'APO'!D3:D139""),0))"),4)</f>
        <v>4</v>
      </c>
      <c r="Z80" s="1"/>
      <c r="AA80" s="1"/>
      <c r="AB80" s="1"/>
      <c r="AC80" s="1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1583</v>
      </c>
      <c r="Q81" s="12">
        <v>2794</v>
      </c>
      <c r="R81" s="13"/>
      <c r="S81" s="13"/>
      <c r="T81" s="13"/>
      <c r="U81" s="13"/>
      <c r="V81" s="13"/>
      <c r="W81" s="13"/>
      <c r="X81" s="12">
        <v>880</v>
      </c>
      <c r="Y81" s="2">
        <f ca="1">IFERROR(__xludf.DUMMYFUNCTION("INDEX(IMPORTRANGE(""1y0FWgjbB0gVlqn-q5LMJbGIsqOrzru4yowQz67dz2yc"", ""'APO'!AM3:AM139""),MATCH(D81,IMPORTRANGE(""1y0FWgjbB0gVlqn-q5LMJbGIsqOrzru4yowQz67dz2yc"", ""'APO'!D3:D139""),0))"),1949)</f>
        <v>1949</v>
      </c>
      <c r="Z81" s="1"/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70</v>
      </c>
      <c r="Q82" s="12">
        <v>123</v>
      </c>
      <c r="R82" s="13"/>
      <c r="S82" s="13"/>
      <c r="T82" s="13"/>
      <c r="U82" s="13"/>
      <c r="V82" s="13"/>
      <c r="W82" s="13"/>
      <c r="X82" s="12">
        <v>34</v>
      </c>
      <c r="Y82" s="2">
        <f ca="1">IFERROR(__xludf.DUMMYFUNCTION("INDEX(IMPORTRANGE(""1y0FWgjbB0gVlqn-q5LMJbGIsqOrzru4yowQz67dz2yc"", ""'APO'!AM3:AM139""),MATCH(D82,IMPORTRANGE(""1y0FWgjbB0gVlqn-q5LMJbGIsqOrzru4yowQz67dz2yc"", ""'APO'!D3:D139""),0))"),93)</f>
        <v>93</v>
      </c>
      <c r="Z82" s="1"/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519</v>
      </c>
      <c r="Q83" s="12">
        <v>1150</v>
      </c>
      <c r="R83" s="13"/>
      <c r="S83" s="13"/>
      <c r="T83" s="13"/>
      <c r="U83" s="13"/>
      <c r="V83" s="13"/>
      <c r="W83" s="13"/>
      <c r="X83" s="12">
        <v>139</v>
      </c>
      <c r="Y83" s="2">
        <f ca="1">IFERROR(__xludf.DUMMYFUNCTION("INDEX(IMPORTRANGE(""1y0FWgjbB0gVlqn-q5LMJbGIsqOrzru4yowQz67dz2yc"", ""'APO'!AM3:AM139""),MATCH(D83,IMPORTRANGE(""1y0FWgjbB0gVlqn-q5LMJbGIsqOrzru4yowQz67dz2yc"", ""'APO'!D3:D139""),0))"),324)</f>
        <v>324</v>
      </c>
      <c r="Z83" s="1"/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f t="shared" ref="P84:Q84" si="19">SUM(P79:P83)</f>
        <v>2257</v>
      </c>
      <c r="Q84" s="12">
        <f t="shared" si="19"/>
        <v>4158</v>
      </c>
      <c r="R84" s="22">
        <v>4038</v>
      </c>
      <c r="S84" s="22">
        <v>2212</v>
      </c>
      <c r="T84" s="22">
        <v>3928</v>
      </c>
      <c r="U84" s="22">
        <v>2167</v>
      </c>
      <c r="V84" s="22">
        <v>3806</v>
      </c>
      <c r="W84" s="2">
        <v>3798</v>
      </c>
      <c r="X84" s="12">
        <f>SUM(X79:X83)</f>
        <v>1093</v>
      </c>
      <c r="Y84" s="2">
        <f ca="1">IFERROR(__xludf.DUMMYFUNCTION("INDEX(IMPORTRANGE(""1y0FWgjbB0gVlqn-q5LMJbGIsqOrzru4yowQz67dz2yc"", ""'APO'!AM3:AM139""),MATCH(D84,IMPORTRANGE(""1y0FWgjbB0gVlqn-q5LMJbGIsqOrzru4yowQz67dz2yc"", ""'APO'!D3:D139""),0))"),2438)</f>
        <v>2438</v>
      </c>
      <c r="Z84" s="22"/>
      <c r="AA84" s="1"/>
      <c r="AB84" s="1"/>
      <c r="AC84" s="1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3</v>
      </c>
      <c r="Q85" s="2">
        <v>3</v>
      </c>
      <c r="R85" s="39">
        <v>5</v>
      </c>
      <c r="S85" s="40">
        <v>3</v>
      </c>
      <c r="T85" s="39">
        <v>7</v>
      </c>
      <c r="U85" s="39">
        <v>5</v>
      </c>
      <c r="V85" s="39">
        <v>10</v>
      </c>
      <c r="W85" s="39">
        <v>10</v>
      </c>
      <c r="X85" s="2">
        <v>3</v>
      </c>
      <c r="Y85" s="2">
        <f ca="1">IFERROR(__xludf.DUMMYFUNCTION("INDEX(IMPORTRANGE(""1y0FWgjbB0gVlqn-q5LMJbGIsqOrzru4yowQz67dz2yc"", ""'APO'!AM3:AM139""),MATCH(D85,IMPORTRANGE(""1y0FWgjbB0gVlqn-q5LMJbGIsqOrzru4yowQz67dz2yc"", ""'APO'!D3:D139""),0))"),6)</f>
        <v>6</v>
      </c>
      <c r="Z85" s="41"/>
      <c r="AA85" s="1"/>
      <c r="AB85" s="1"/>
      <c r="AC85" s="1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12">
        <v>3</v>
      </c>
      <c r="Q86" s="2">
        <v>3</v>
      </c>
      <c r="R86" s="1">
        <v>4</v>
      </c>
      <c r="S86" s="1">
        <v>5</v>
      </c>
      <c r="T86" s="1">
        <v>5</v>
      </c>
      <c r="U86" s="1">
        <v>6</v>
      </c>
      <c r="V86" s="1">
        <v>6</v>
      </c>
      <c r="W86" s="1">
        <v>6</v>
      </c>
      <c r="X86" s="2">
        <v>5</v>
      </c>
      <c r="Y86" s="2">
        <f ca="1">IFERROR(__xludf.DUMMYFUNCTION("INDEX(IMPORTRANGE(""1y0FWgjbB0gVlqn-q5LMJbGIsqOrzru4yowQz67dz2yc"", ""'APO'!AM3:AM139""),MATCH(D86,IMPORTRANGE(""1y0FWgjbB0gVlqn-q5LMJbGIsqOrzru4yowQz67dz2yc"", ""'APO'!D3:D139""),0))"),5)</f>
        <v>5</v>
      </c>
      <c r="Z86" s="22"/>
      <c r="AA86" s="1"/>
      <c r="AB86" s="1"/>
      <c r="AC86" s="1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100</v>
      </c>
      <c r="Q87" s="2">
        <v>100</v>
      </c>
      <c r="R87" s="1">
        <v>100</v>
      </c>
      <c r="S87" s="1">
        <v>100</v>
      </c>
      <c r="T87" s="1">
        <v>100</v>
      </c>
      <c r="U87" s="1">
        <v>100</v>
      </c>
      <c r="V87" s="1">
        <v>100</v>
      </c>
      <c r="W87" s="1">
        <v>100</v>
      </c>
      <c r="X87" s="2">
        <v>100</v>
      </c>
      <c r="Y87" s="2">
        <f ca="1">IFERROR(__xludf.DUMMYFUNCTION("INDEX(IMPORTRANGE(""1y0FWgjbB0gVlqn-q5LMJbGIsqOrzru4yowQz67dz2yc"", ""'APO'!AM3:AM139""),MATCH(D87,IMPORTRANGE(""1y0FWgjbB0gVlqn-q5LMJbGIsqOrzru4yowQz67dz2yc"", ""'APO'!D3:D139""),0))"),100)</f>
        <v>100</v>
      </c>
      <c r="Z87" s="22"/>
      <c r="AA87" s="1"/>
      <c r="AB87" s="1"/>
      <c r="AC87" s="1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12">
        <v>0</v>
      </c>
      <c r="R88" s="1">
        <v>4</v>
      </c>
      <c r="S88" s="1">
        <v>4</v>
      </c>
      <c r="T88" s="1">
        <v>4</v>
      </c>
      <c r="U88" s="1">
        <v>4</v>
      </c>
      <c r="V88" s="1">
        <v>4</v>
      </c>
      <c r="W88" s="1">
        <v>4</v>
      </c>
      <c r="X88" s="12">
        <v>0</v>
      </c>
      <c r="Y88" s="2">
        <f ca="1">IFERROR(__xludf.DUMMYFUNCTION("INDEX(IMPORTRANGE(""1y0FWgjbB0gVlqn-q5LMJbGIsqOrzru4yowQz67dz2yc"", ""'APO'!AM3:AM139""),MATCH(D88,IMPORTRANGE(""1y0FWgjbB0gVlqn-q5LMJbGIsqOrzru4yowQz67dz2yc"", ""'APO'!D3:D139""),0))"),3.17045454545454)</f>
        <v>3.1704545454545401</v>
      </c>
      <c r="Z88" s="22"/>
      <c r="AA88" s="1"/>
      <c r="AB88" s="1"/>
      <c r="AC88" s="1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42"/>
      <c r="I89" s="11">
        <v>44651</v>
      </c>
      <c r="J89" s="13"/>
      <c r="K89" s="11">
        <v>45016</v>
      </c>
      <c r="L89" s="13"/>
      <c r="M89" s="11">
        <v>45382</v>
      </c>
      <c r="N89" s="4"/>
      <c r="O89" s="11">
        <v>45565</v>
      </c>
      <c r="P89" s="13"/>
      <c r="Q89" s="13"/>
      <c r="R89" s="13"/>
      <c r="S89" s="13"/>
      <c r="T89" s="13"/>
      <c r="U89" s="13"/>
      <c r="V89" s="13"/>
      <c r="W89" s="13"/>
      <c r="X89" s="2">
        <v>5</v>
      </c>
      <c r="Y89" s="2">
        <f ca="1">IFERROR(__xludf.DUMMYFUNCTION("INDEX(IMPORTRANGE(""1y0FWgjbB0gVlqn-q5LMJbGIsqOrzru4yowQz67dz2yc"", ""'APO'!AM3:AM139""),MATCH(D89,IMPORTRANGE(""1y0FWgjbB0gVlqn-q5LMJbGIsqOrzru4yowQz67dz2yc"", ""'APO'!D3:D139""),0))"),5)</f>
        <v>5</v>
      </c>
      <c r="Z89" s="1"/>
      <c r="AA89" s="1"/>
      <c r="AB89" s="1"/>
      <c r="AC89" s="1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43"/>
      <c r="I90" s="11">
        <v>44651</v>
      </c>
      <c r="J90" s="13"/>
      <c r="K90" s="11">
        <v>45016</v>
      </c>
      <c r="L90" s="13"/>
      <c r="M90" s="11">
        <v>45382</v>
      </c>
      <c r="N90" s="4"/>
      <c r="O90" s="11">
        <v>45565</v>
      </c>
      <c r="P90" s="13"/>
      <c r="Q90" s="13"/>
      <c r="R90" s="13"/>
      <c r="S90" s="13"/>
      <c r="T90" s="13"/>
      <c r="U90" s="13"/>
      <c r="V90" s="13"/>
      <c r="W90" s="13"/>
      <c r="X90" s="2">
        <v>17</v>
      </c>
      <c r="Y90" s="2">
        <f ca="1">IFERROR(__xludf.DUMMYFUNCTION("INDEX(IMPORTRANGE(""1y0FWgjbB0gVlqn-q5LMJbGIsqOrzru4yowQz67dz2yc"", ""'APO'!AM3:AM139""),MATCH(D90,IMPORTRANGE(""1y0FWgjbB0gVlqn-q5LMJbGIsqOrzru4yowQz67dz2yc"", ""'APO'!D3:D139""),0))"),17)</f>
        <v>17</v>
      </c>
      <c r="Z90" s="1"/>
      <c r="AA90" s="1"/>
      <c r="AB90" s="1"/>
      <c r="AC90" s="1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43"/>
      <c r="I91" s="11">
        <v>44651</v>
      </c>
      <c r="J91" s="13"/>
      <c r="K91" s="11">
        <v>45016</v>
      </c>
      <c r="L91" s="13"/>
      <c r="M91" s="11">
        <v>45382</v>
      </c>
      <c r="N91" s="4"/>
      <c r="O91" s="11">
        <v>45565</v>
      </c>
      <c r="P91" s="13"/>
      <c r="Q91" s="13"/>
      <c r="R91" s="13"/>
      <c r="S91" s="13"/>
      <c r="T91" s="13"/>
      <c r="U91" s="13"/>
      <c r="V91" s="13"/>
      <c r="W91" s="13"/>
      <c r="X91" s="2">
        <v>4</v>
      </c>
      <c r="Y91" s="2">
        <f ca="1">IFERROR(__xludf.DUMMYFUNCTION("INDEX(IMPORTRANGE(""1y0FWgjbB0gVlqn-q5LMJbGIsqOrzru4yowQz67dz2yc"", ""'APO'!AM3:AM139""),MATCH(D91,IMPORTRANGE(""1y0FWgjbB0gVlqn-q5LMJbGIsqOrzru4yowQz67dz2yc"", ""'APO'!D3:D139""),0))"),4)</f>
        <v>4</v>
      </c>
      <c r="Z91" s="1"/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43"/>
      <c r="I92" s="11">
        <v>44651</v>
      </c>
      <c r="J92" s="13"/>
      <c r="K92" s="11">
        <v>45016</v>
      </c>
      <c r="L92" s="13"/>
      <c r="M92" s="11">
        <v>45382</v>
      </c>
      <c r="N92" s="4"/>
      <c r="O92" s="11">
        <v>45565</v>
      </c>
      <c r="P92" s="13"/>
      <c r="Q92" s="13"/>
      <c r="R92" s="13"/>
      <c r="S92" s="13"/>
      <c r="T92" s="13"/>
      <c r="U92" s="13"/>
      <c r="V92" s="13"/>
      <c r="W92" s="13"/>
      <c r="X92" s="2">
        <v>9</v>
      </c>
      <c r="Y92" s="2">
        <f ca="1">IFERROR(__xludf.DUMMYFUNCTION("INDEX(IMPORTRANGE(""1y0FWgjbB0gVlqn-q5LMJbGIsqOrzru4yowQz67dz2yc"", ""'APO'!AM3:AM139""),MATCH(D92,IMPORTRANGE(""1y0FWgjbB0gVlqn-q5LMJbGIsqOrzru4yowQz67dz2yc"", ""'APO'!D3:D139""),0))"),11)</f>
        <v>11</v>
      </c>
      <c r="Z92" s="1"/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43"/>
      <c r="I93" s="11">
        <v>44651</v>
      </c>
      <c r="J93" s="13"/>
      <c r="K93" s="11">
        <v>45016</v>
      </c>
      <c r="L93" s="13"/>
      <c r="M93" s="11">
        <v>45382</v>
      </c>
      <c r="N93" s="4"/>
      <c r="O93" s="11">
        <v>45565</v>
      </c>
      <c r="P93" s="13"/>
      <c r="Q93" s="13"/>
      <c r="R93" s="13"/>
      <c r="S93" s="13"/>
      <c r="T93" s="13"/>
      <c r="U93" s="13"/>
      <c r="V93" s="13"/>
      <c r="W93" s="13"/>
      <c r="X93" s="2">
        <v>22</v>
      </c>
      <c r="Y93" s="2">
        <f ca="1">IFERROR(__xludf.DUMMYFUNCTION("INDEX(IMPORTRANGE(""1y0FWgjbB0gVlqn-q5LMJbGIsqOrzru4yowQz67dz2yc"", ""'APO'!AM3:AM139""),MATCH(D93,IMPORTRANGE(""1y0FWgjbB0gVlqn-q5LMJbGIsqOrzru4yowQz67dz2yc"", ""'APO'!D3:D139""),0))"),27)</f>
        <v>27</v>
      </c>
      <c r="Z93" s="1"/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43"/>
      <c r="I94" s="11">
        <v>44651</v>
      </c>
      <c r="J94" s="13"/>
      <c r="K94" s="11">
        <v>45016</v>
      </c>
      <c r="L94" s="13"/>
      <c r="M94" s="11">
        <v>45382</v>
      </c>
      <c r="N94" s="4"/>
      <c r="O94" s="11">
        <v>45565</v>
      </c>
      <c r="P94" s="13"/>
      <c r="Q94" s="13"/>
      <c r="R94" s="13"/>
      <c r="S94" s="13"/>
      <c r="T94" s="13"/>
      <c r="U94" s="13"/>
      <c r="V94" s="13"/>
      <c r="W94" s="13"/>
      <c r="X94" s="2">
        <v>67</v>
      </c>
      <c r="Y94" s="2">
        <f ca="1">IFERROR(__xludf.DUMMYFUNCTION("INDEX(IMPORTRANGE(""1y0FWgjbB0gVlqn-q5LMJbGIsqOrzru4yowQz67dz2yc"", ""'APO'!AM3:AM139""),MATCH(D94,IMPORTRANGE(""1y0FWgjbB0gVlqn-q5LMJbGIsqOrzru4yowQz67dz2yc"", ""'APO'!D3:D139""),0))"),73)</f>
        <v>73</v>
      </c>
      <c r="Z94" s="1"/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0">
        <v>44469</v>
      </c>
      <c r="H95" s="43"/>
      <c r="I95" s="11">
        <v>44651</v>
      </c>
      <c r="J95" s="13"/>
      <c r="K95" s="11">
        <v>45016</v>
      </c>
      <c r="L95" s="13"/>
      <c r="M95" s="11">
        <v>45382</v>
      </c>
      <c r="N95" s="4"/>
      <c r="O95" s="11">
        <v>45565</v>
      </c>
      <c r="P95" s="13"/>
      <c r="Q95" s="13"/>
      <c r="R95" s="44">
        <v>0.5</v>
      </c>
      <c r="S95" s="44">
        <v>0.5</v>
      </c>
      <c r="T95" s="44">
        <v>0.5</v>
      </c>
      <c r="U95" s="44">
        <v>0.5</v>
      </c>
      <c r="V95" s="44">
        <v>0.5</v>
      </c>
      <c r="W95" s="44">
        <v>0.5</v>
      </c>
      <c r="X95" s="15">
        <f>SUM(X89,X91,X93)/SUM(X90,X92,X94)</f>
        <v>0.33333333333333331</v>
      </c>
      <c r="Y95" s="15">
        <f ca="1">IFERROR(__xludf.DUMMYFUNCTION("INDEX(IMPORTRANGE(""1y0FWgjbB0gVlqn-q5LMJbGIsqOrzru4yowQz67dz2yc"", ""'APO'!AM3:AM139""),MATCH(D95,IMPORTRANGE(""1y0FWgjbB0gVlqn-q5LMJbGIsqOrzru4yowQz67dz2yc"", ""'APO'!D3:D139""),0))"),0.356435643564356)</f>
        <v>0.35643564356435598</v>
      </c>
      <c r="Z95" s="22"/>
      <c r="AA95" s="1"/>
      <c r="AB95" s="1"/>
      <c r="AC95" s="1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45" t="s">
        <v>213</v>
      </c>
      <c r="H96" s="8" t="s">
        <v>214</v>
      </c>
      <c r="I96" s="7" t="s">
        <v>215</v>
      </c>
      <c r="J96" s="13"/>
      <c r="K96" s="7" t="s">
        <v>216</v>
      </c>
      <c r="L96" s="13"/>
      <c r="M96" s="7" t="s">
        <v>217</v>
      </c>
      <c r="N96" s="2" t="s">
        <v>218</v>
      </c>
      <c r="O96" s="2" t="s">
        <v>218</v>
      </c>
      <c r="P96" s="36">
        <v>1031576851.17</v>
      </c>
      <c r="Q96" s="36">
        <v>1031576851.17</v>
      </c>
      <c r="R96" s="13"/>
      <c r="S96" s="13"/>
      <c r="T96" s="13"/>
      <c r="U96" s="13"/>
      <c r="V96" s="13"/>
      <c r="W96" s="13"/>
      <c r="X96" s="36">
        <v>1031576851.17</v>
      </c>
      <c r="Y96" s="46" t="str">
        <f ca="1">IFERROR(__xludf.DUMMYFUNCTION("INDEX(IMPORTRANGE(""1y0FWgjbB0gVlqn-q5LMJbGIsqOrzru4yowQz67dz2yc"", ""'APO'!AM3:AM139""),MATCH(D96,IMPORTRANGE(""1y0FWgjbB0gVlqn-q5LMJbGIsqOrzru4yowQz67dz2yc"", ""'APO'!D3:D139""),0))"),"")</f>
        <v/>
      </c>
      <c r="Z96" s="1"/>
      <c r="AA96" s="1"/>
      <c r="AB96" s="1"/>
      <c r="AC96" s="1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6" t="s">
        <v>213</v>
      </c>
      <c r="H97" s="8" t="s">
        <v>214</v>
      </c>
      <c r="I97" s="7" t="s">
        <v>215</v>
      </c>
      <c r="J97" s="13"/>
      <c r="K97" s="7" t="s">
        <v>216</v>
      </c>
      <c r="L97" s="13"/>
      <c r="M97" s="7" t="s">
        <v>217</v>
      </c>
      <c r="N97" s="2" t="s">
        <v>218</v>
      </c>
      <c r="O97" s="2" t="s">
        <v>218</v>
      </c>
      <c r="P97" s="36">
        <v>2318688211.6999998</v>
      </c>
      <c r="Q97" s="36">
        <v>2318688211.6999998</v>
      </c>
      <c r="R97" s="13"/>
      <c r="S97" s="13"/>
      <c r="T97" s="13"/>
      <c r="U97" s="13"/>
      <c r="V97" s="13"/>
      <c r="W97" s="13"/>
      <c r="X97" s="36">
        <v>2318688211.6999998</v>
      </c>
      <c r="Y97" s="46" t="str">
        <f ca="1">IFERROR(__xludf.DUMMYFUNCTION("INDEX(IMPORTRANGE(""1y0FWgjbB0gVlqn-q5LMJbGIsqOrzru4yowQz67dz2yc"", ""'APO'!AM3:AM139""),MATCH(D97,IMPORTRANGE(""1y0FWgjbB0gVlqn-q5LMJbGIsqOrzru4yowQz67dz2yc"", ""'APO'!D3:D139""),0))"),"")</f>
        <v/>
      </c>
      <c r="Z97" s="1"/>
      <c r="AA97" s="1"/>
      <c r="AB97" s="1"/>
      <c r="AC97" s="1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6" t="s">
        <v>213</v>
      </c>
      <c r="H98" s="8" t="s">
        <v>214</v>
      </c>
      <c r="I98" s="7" t="s">
        <v>215</v>
      </c>
      <c r="J98" s="13"/>
      <c r="K98" s="7" t="s">
        <v>216</v>
      </c>
      <c r="L98" s="13"/>
      <c r="M98" s="7" t="s">
        <v>217</v>
      </c>
      <c r="N98" s="2" t="s">
        <v>218</v>
      </c>
      <c r="O98" s="2" t="s">
        <v>218</v>
      </c>
      <c r="P98" s="15">
        <f t="shared" ref="P98:Q98" si="20">P96/P97</f>
        <v>0.44489675065612877</v>
      </c>
      <c r="Q98" s="15">
        <f t="shared" si="20"/>
        <v>0.44489675065612877</v>
      </c>
      <c r="R98" s="1"/>
      <c r="S98" s="47">
        <f>P98+($W$98-$P$98)/3</f>
        <v>0.46326450043741918</v>
      </c>
      <c r="T98" s="1"/>
      <c r="U98" s="47">
        <f>S98+($W$98-$P$98)/3</f>
        <v>0.48163225021870959</v>
      </c>
      <c r="V98" s="37">
        <v>0.5</v>
      </c>
      <c r="W98" s="37">
        <v>0.5</v>
      </c>
      <c r="X98" s="15">
        <f>X96/X97</f>
        <v>0.44489675065612877</v>
      </c>
      <c r="Y98" s="48" t="str">
        <f ca="1">IFERROR(__xludf.DUMMYFUNCTION("INDEX(IMPORTRANGE(""1y0FWgjbB0gVlqn-q5LMJbGIsqOrzru4yowQz67dz2yc"", ""'APO'!AM3:AM139""),MATCH(D98,IMPORTRANGE(""1y0FWgjbB0gVlqn-q5LMJbGIsqOrzru4yowQz67dz2yc"", ""'APO'!D3:D139""),0))"),"")</f>
        <v/>
      </c>
      <c r="Z98" s="22"/>
      <c r="AA98" s="1"/>
      <c r="AB98" s="1"/>
      <c r="AC98" s="1"/>
    </row>
    <row r="99" spans="1:29">
      <c r="A99" s="7" t="s">
        <v>275</v>
      </c>
      <c r="B99" s="7" t="s">
        <v>284</v>
      </c>
      <c r="C99" s="1" t="s">
        <v>30</v>
      </c>
      <c r="D99" s="7" t="s">
        <v>285</v>
      </c>
      <c r="E99" s="7" t="s">
        <v>278</v>
      </c>
      <c r="F99" s="9" t="s">
        <v>286</v>
      </c>
      <c r="G99" s="16" t="s">
        <v>213</v>
      </c>
      <c r="H99" s="8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2" t="s">
        <v>218</v>
      </c>
      <c r="O99" s="2" t="s">
        <v>218</v>
      </c>
      <c r="P99" s="36">
        <v>1903248572.6500001</v>
      </c>
      <c r="Q99" s="36">
        <v>1903248572.6500001</v>
      </c>
      <c r="R99" s="13"/>
      <c r="S99" s="13"/>
      <c r="T99" s="13"/>
      <c r="U99" s="13"/>
      <c r="V99" s="13"/>
      <c r="W99" s="13"/>
      <c r="X99" s="36">
        <v>1903248572.6500001</v>
      </c>
      <c r="Y99" s="46" t="str">
        <f ca="1">IFERROR(__xludf.DUMMYFUNCTION("INDEX(IMPORTRANGE(""1y0FWgjbB0gVlqn-q5LMJbGIsqOrzru4yowQz67dz2yc"", ""'APO'!AM3:AM139""),MATCH(D99,IMPORTRANGE(""1y0FWgjbB0gVlqn-q5LMJbGIsqOrzru4yowQz67dz2yc"", ""'APO'!D3:D139""),0))"),"")</f>
        <v/>
      </c>
      <c r="Z99" s="1"/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36</v>
      </c>
      <c r="D100" s="7" t="s">
        <v>287</v>
      </c>
      <c r="E100" s="7" t="s">
        <v>278</v>
      </c>
      <c r="F100" s="9" t="s">
        <v>288</v>
      </c>
      <c r="G100" s="16" t="s">
        <v>213</v>
      </c>
      <c r="H100" s="8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2" t="s">
        <v>218</v>
      </c>
      <c r="O100" s="2" t="s">
        <v>218</v>
      </c>
      <c r="P100" s="15">
        <f t="shared" ref="P100:Q100" si="21">P96/P99</f>
        <v>0.54200847224788795</v>
      </c>
      <c r="Q100" s="15">
        <f t="shared" si="21"/>
        <v>0.54200847224788795</v>
      </c>
      <c r="R100" s="1"/>
      <c r="S100" s="47">
        <v>0.55800000000000005</v>
      </c>
      <c r="T100" s="1"/>
      <c r="U100" s="47">
        <v>0.57399999999999995</v>
      </c>
      <c r="V100" s="37">
        <v>0.59</v>
      </c>
      <c r="W100" s="37">
        <f>V100</f>
        <v>0.59</v>
      </c>
      <c r="X100" s="15">
        <f>X96/X99</f>
        <v>0.54200847224788795</v>
      </c>
      <c r="Y100" s="48" t="str">
        <f ca="1">IFERROR(__xludf.DUMMYFUNCTION("INDEX(IMPORTRANGE(""1y0FWgjbB0gVlqn-q5LMJbGIsqOrzru4yowQz67dz2yc"", ""'APO'!AM3:AM139""),MATCH(D100,IMPORTRANGE(""1y0FWgjbB0gVlqn-q5LMJbGIsqOrzru4yowQz67dz2yc"", ""'APO'!D3:D139""),0))"),"")</f>
        <v/>
      </c>
      <c r="Z100" s="22"/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6" t="s">
        <v>254</v>
      </c>
      <c r="H101" s="16" t="s">
        <v>254</v>
      </c>
      <c r="I101" s="7" t="s">
        <v>254</v>
      </c>
      <c r="J101" s="13"/>
      <c r="K101" s="7" t="s">
        <v>255</v>
      </c>
      <c r="L101" s="13"/>
      <c r="M101" s="7" t="s">
        <v>256</v>
      </c>
      <c r="N101" s="49">
        <v>45536</v>
      </c>
      <c r="O101" s="2" t="s">
        <v>218</v>
      </c>
      <c r="P101" s="12">
        <v>250305</v>
      </c>
      <c r="Q101" s="12">
        <v>250305</v>
      </c>
      <c r="R101" s="13"/>
      <c r="S101" s="13"/>
      <c r="T101" s="13"/>
      <c r="U101" s="13"/>
      <c r="V101" s="13"/>
      <c r="W101" s="13"/>
      <c r="X101" s="12">
        <v>250305</v>
      </c>
      <c r="Y101" s="46" t="str">
        <f ca="1">IFERROR(__xludf.DUMMYFUNCTION("INDEX(IMPORTRANGE(""1y0FWgjbB0gVlqn-q5LMJbGIsqOrzru4yowQz67dz2yc"", ""'APO'!AM3:AM139""),MATCH(D101,IMPORTRANGE(""1y0FWgjbB0gVlqn-q5LMJbGIsqOrzru4yowQz67dz2yc"", ""'APO'!D3:D139""),0))"),"")</f>
        <v/>
      </c>
      <c r="Z101" s="1"/>
      <c r="AA101" s="1"/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6" t="s">
        <v>213</v>
      </c>
      <c r="H102" s="8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2" t="s">
        <v>218</v>
      </c>
      <c r="O102" s="2" t="s">
        <v>218</v>
      </c>
      <c r="P102" s="12">
        <v>124005</v>
      </c>
      <c r="Q102" s="12">
        <v>124005</v>
      </c>
      <c r="R102" s="13"/>
      <c r="S102" s="13"/>
      <c r="T102" s="13"/>
      <c r="U102" s="13"/>
      <c r="V102" s="13"/>
      <c r="W102" s="13"/>
      <c r="X102" s="12">
        <v>124005</v>
      </c>
      <c r="Y102" s="46" t="str">
        <f ca="1">IFERROR(__xludf.DUMMYFUNCTION("INDEX(IMPORTRANGE(""1y0FWgjbB0gVlqn-q5LMJbGIsqOrzru4yowQz67dz2yc"", ""'APO'!AM3:AM139""),MATCH(D102,IMPORTRANGE(""1y0FWgjbB0gVlqn-q5LMJbGIsqOrzru4yowQz67dz2yc"", ""'APO'!D3:D139""),0))"),"")</f>
        <v/>
      </c>
      <c r="Z102" s="1"/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6" t="s">
        <v>213</v>
      </c>
      <c r="H103" s="8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2" t="s">
        <v>218</v>
      </c>
      <c r="O103" s="2" t="s">
        <v>218</v>
      </c>
      <c r="P103" s="15">
        <f t="shared" ref="P103:Q103" si="22">P102/P101</f>
        <v>0.49541559297656856</v>
      </c>
      <c r="Q103" s="15">
        <f t="shared" si="22"/>
        <v>0.49541559297656856</v>
      </c>
      <c r="R103" s="1"/>
      <c r="S103" s="47">
        <v>0.50700000000000001</v>
      </c>
      <c r="T103" s="47"/>
      <c r="U103" s="47">
        <v>0.51800000000000002</v>
      </c>
      <c r="V103" s="47">
        <v>0.53</v>
      </c>
      <c r="W103" s="37">
        <v>0.53</v>
      </c>
      <c r="X103" s="15">
        <f>X102/X101</f>
        <v>0.49541559297656856</v>
      </c>
      <c r="Y103" s="48" t="str">
        <f ca="1">IFERROR(__xludf.DUMMYFUNCTION("INDEX(IMPORTRANGE(""1y0FWgjbB0gVlqn-q5LMJbGIsqOrzru4yowQz67dz2yc"", ""'APO'!AM3:AM139""),MATCH(D103,IMPORTRANGE(""1y0FWgjbB0gVlqn-q5LMJbGIsqOrzru4yowQz67dz2yc"", ""'APO'!D3:D139""),0))"),"")</f>
        <v/>
      </c>
      <c r="Z103" s="25"/>
      <c r="AA103" s="1"/>
      <c r="AB103" s="1"/>
      <c r="AC103" s="1"/>
    </row>
    <row r="104" spans="1:29">
      <c r="A104" s="7" t="s">
        <v>275</v>
      </c>
      <c r="B104" s="7" t="s">
        <v>276</v>
      </c>
      <c r="C104" s="16" t="s">
        <v>30</v>
      </c>
      <c r="D104" s="7" t="s">
        <v>294</v>
      </c>
      <c r="E104" s="7" t="s">
        <v>38</v>
      </c>
      <c r="F104" s="9" t="s">
        <v>295</v>
      </c>
      <c r="G104" s="16" t="s">
        <v>213</v>
      </c>
      <c r="H104" s="8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2" t="s">
        <v>218</v>
      </c>
      <c r="O104" s="2" t="s">
        <v>218</v>
      </c>
      <c r="P104" s="50"/>
      <c r="Q104" s="50"/>
      <c r="R104" s="1"/>
      <c r="S104" s="1"/>
      <c r="T104" s="1"/>
      <c r="U104" s="1"/>
      <c r="V104" s="1"/>
      <c r="W104" s="1"/>
      <c r="X104" s="50"/>
      <c r="Y104" s="46" t="str">
        <f ca="1">IFERROR(__xludf.DUMMYFUNCTION("INDEX(IMPORTRANGE(""1y0FWgjbB0gVlqn-q5LMJbGIsqOrzru4yowQz67dz2yc"", ""'APO'!AM3:AM139""),MATCH(D104,IMPORTRANGE(""1y0FWgjbB0gVlqn-q5LMJbGIsqOrzru4yowQz67dz2yc"", ""'APO'!D3:D139""),0))"),"")</f>
        <v/>
      </c>
      <c r="Z104" s="1"/>
      <c r="AA104" s="1"/>
      <c r="AB104" s="1"/>
      <c r="AC104" s="1"/>
    </row>
    <row r="105" spans="1:29">
      <c r="A105" s="7" t="s">
        <v>275</v>
      </c>
      <c r="B105" s="7" t="s">
        <v>276</v>
      </c>
      <c r="C105" s="16" t="s">
        <v>36</v>
      </c>
      <c r="D105" s="7" t="s">
        <v>296</v>
      </c>
      <c r="E105" s="7" t="s">
        <v>38</v>
      </c>
      <c r="F105" s="9" t="s">
        <v>297</v>
      </c>
      <c r="G105" s="16" t="s">
        <v>213</v>
      </c>
      <c r="H105" s="8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2" t="s">
        <v>218</v>
      </c>
      <c r="O105" s="2" t="s">
        <v>218</v>
      </c>
      <c r="P105" s="50">
        <v>325523993.34999996</v>
      </c>
      <c r="Q105" s="50">
        <v>325523993.34999996</v>
      </c>
      <c r="R105" s="1"/>
      <c r="S105" s="51">
        <v>328825456.89999998</v>
      </c>
      <c r="T105" s="1"/>
      <c r="U105" s="51">
        <v>332126920.5</v>
      </c>
      <c r="V105" s="51">
        <v>335428384</v>
      </c>
      <c r="W105" s="51">
        <v>335428384</v>
      </c>
      <c r="X105" s="50">
        <v>325523993.34999996</v>
      </c>
      <c r="Y105" s="52" t="str">
        <f ca="1">IFERROR(__xludf.DUMMYFUNCTION("INDEX(IMPORTRANGE(""1y0FWgjbB0gVlqn-q5LMJbGIsqOrzru4yowQz67dz2yc"", ""'APO'!AM3:AM139""),MATCH(D105,IMPORTRANGE(""1y0FWgjbB0gVlqn-q5LMJbGIsqOrzru4yowQz67dz2yc"", ""'APO'!D3:D139""),0))"),"")</f>
        <v/>
      </c>
      <c r="Z105" s="53"/>
      <c r="AA105" s="1"/>
      <c r="AB105" s="1"/>
      <c r="AC105" s="1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6" t="s">
        <v>213</v>
      </c>
      <c r="H106" s="8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2" t="s">
        <v>218</v>
      </c>
      <c r="O106" s="2" t="s">
        <v>218</v>
      </c>
      <c r="P106" s="50">
        <v>2328307996.9899998</v>
      </c>
      <c r="Q106" s="50">
        <v>2328307996.9899998</v>
      </c>
      <c r="R106" s="13"/>
      <c r="S106" s="13"/>
      <c r="T106" s="13"/>
      <c r="U106" s="13"/>
      <c r="V106" s="13"/>
      <c r="W106" s="13"/>
      <c r="X106" s="50">
        <v>2328307996.9899998</v>
      </c>
      <c r="Y106" s="46" t="str">
        <f ca="1">IFERROR(__xludf.DUMMYFUNCTION("INDEX(IMPORTRANGE(""1y0FWgjbB0gVlqn-q5LMJbGIsqOrzru4yowQz67dz2yc"", ""'APO'!AM3:AM139""),MATCH(D106,IMPORTRANGE(""1y0FWgjbB0gVlqn-q5LMJbGIsqOrzru4yowQz67dz2yc"", ""'APO'!D3:D139""),0))"),"")</f>
        <v/>
      </c>
      <c r="Z106" s="1"/>
      <c r="AA106" s="1"/>
      <c r="AB106" s="1"/>
      <c r="AC106" s="1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6" t="s">
        <v>213</v>
      </c>
      <c r="H107" s="8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2" t="s">
        <v>218</v>
      </c>
      <c r="O107" s="2" t="s">
        <v>218</v>
      </c>
      <c r="P107" s="15">
        <f t="shared" ref="P107:Q107" si="23">P99/P106</f>
        <v>0.81743848971462973</v>
      </c>
      <c r="Q107" s="15">
        <f t="shared" si="23"/>
        <v>0.81743848971462973</v>
      </c>
      <c r="R107" s="1"/>
      <c r="S107" s="37">
        <v>0.8</v>
      </c>
      <c r="T107" s="1"/>
      <c r="U107" s="37">
        <v>0.8</v>
      </c>
      <c r="V107" s="37">
        <v>0.8</v>
      </c>
      <c r="W107" s="37">
        <v>0.8</v>
      </c>
      <c r="X107" s="15">
        <f>X99/X106</f>
        <v>0.81743848971462973</v>
      </c>
      <c r="Y107" s="48" t="str">
        <f ca="1">IFERROR(__xludf.DUMMYFUNCTION("INDEX(IMPORTRANGE(""1y0FWgjbB0gVlqn-q5LMJbGIsqOrzru4yowQz67dz2yc"", ""'APO'!AM3:AM139""),MATCH(D107,IMPORTRANGE(""1y0FWgjbB0gVlqn-q5LMJbGIsqOrzru4yowQz67dz2yc"", ""'APO'!D3:D139""),0))"),"")</f>
        <v/>
      </c>
      <c r="Z107" s="53"/>
      <c r="AA107" s="1"/>
      <c r="AB107" s="1"/>
      <c r="AC107" s="1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43"/>
      <c r="I108" s="1" t="s">
        <v>254</v>
      </c>
      <c r="J108" s="13"/>
      <c r="K108" s="1" t="s">
        <v>255</v>
      </c>
      <c r="L108" s="13"/>
      <c r="M108" s="1" t="s">
        <v>256</v>
      </c>
      <c r="N108" s="49">
        <v>45473</v>
      </c>
      <c r="O108" s="2"/>
      <c r="P108" s="12" t="s">
        <v>308</v>
      </c>
      <c r="Q108" s="12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1" t="s">
        <v>308</v>
      </c>
      <c r="X108" s="12" t="s">
        <v>308</v>
      </c>
      <c r="Y108" s="46" t="str">
        <f ca="1">IFERROR(__xludf.DUMMYFUNCTION("INDEX(IMPORTRANGE(""1y0FWgjbB0gVlqn-q5LMJbGIsqOrzru4yowQz67dz2yc"", ""'APO'!AM3:AM139""),MATCH(D108,IMPORTRANGE(""1y0FWgjbB0gVlqn-q5LMJbGIsqOrzru4yowQz67dz2yc"", ""'APO'!D3:D139""),0))"),"")</f>
        <v/>
      </c>
      <c r="Z108" s="53"/>
      <c r="AA108" s="1"/>
      <c r="AB108" s="1"/>
      <c r="AC108" s="1"/>
    </row>
    <row r="109" spans="1:29">
      <c r="A109" s="1"/>
      <c r="B109" s="1"/>
      <c r="C109" s="1"/>
      <c r="D109" s="1"/>
      <c r="E109" s="1"/>
      <c r="F109" s="1"/>
      <c r="G109" s="10" t="s">
        <v>307</v>
      </c>
      <c r="H109" s="43"/>
      <c r="I109" s="1"/>
      <c r="J109" s="1"/>
      <c r="K109" s="1"/>
      <c r="L109" s="1"/>
      <c r="M109" s="1"/>
      <c r="N109" s="2"/>
      <c r="O109" s="2"/>
      <c r="P109" s="12"/>
      <c r="Q109" s="2"/>
      <c r="R109" s="1"/>
      <c r="S109" s="1"/>
      <c r="T109" s="1"/>
      <c r="U109" s="1"/>
      <c r="V109" s="1"/>
      <c r="W109" s="1"/>
      <c r="X109" s="2"/>
      <c r="Y109" s="1"/>
      <c r="Z109" s="1"/>
      <c r="AA109" s="1"/>
      <c r="AB109" s="1"/>
      <c r="AC109" s="1"/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0834-2EB3-D646-BBE3-8F69F0EFE6A5}">
  <dimension ref="A1:M39"/>
  <sheetViews>
    <sheetView workbookViewId="0">
      <selection activeCell="I4" sqref="I4"/>
    </sheetView>
  </sheetViews>
  <sheetFormatPr baseColWidth="10" defaultRowHeight="16"/>
  <cols>
    <col min="1" max="1" width="10.83203125" style="118"/>
    <col min="3" max="3" width="20" customWidth="1"/>
    <col min="4" max="4" width="11.83203125" customWidth="1"/>
    <col min="5" max="5" width="12" customWidth="1"/>
    <col min="7" max="7" width="12.5" customWidth="1"/>
    <col min="8" max="8" width="12.3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30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ESC'!$D$2:$AB$113,4,0)</f>
        <v>44469</v>
      </c>
      <c r="E2" s="212">
        <f>VLOOKUP(C2,'BD EVA 4 ESC'!$D$2:$AB$113,13,0)</f>
        <v>531</v>
      </c>
      <c r="F2" s="75">
        <f>VLOOKUP(C2,'BD EVA 4 ESC'!$D$2:$AB$113,10,0)</f>
        <v>45382</v>
      </c>
      <c r="G2" s="212">
        <f>VLOOKUP(C2,'BD EVA 4 ESC'!$D$2:$AC$113,25,0)</f>
        <v>602</v>
      </c>
      <c r="H2" s="72">
        <f>VLOOKUP(C2,'BD EVA 4 ESC'!$D$2:$AC$113,18,0)</f>
        <v>626</v>
      </c>
      <c r="I2" s="78">
        <f>IF(G2&gt;=E2,G2/H2,0)</f>
        <v>0.96166134185303509</v>
      </c>
      <c r="J2" s="72" t="s">
        <v>316</v>
      </c>
      <c r="K2" s="81">
        <v>2.7</v>
      </c>
      <c r="L2" s="81">
        <f t="shared" ref="L2:L39" si="0">IF(I2&lt;0,0,IF(I2&gt;1,K2,I2*K2))</f>
        <v>2.5964856230031947</v>
      </c>
      <c r="M2" s="124">
        <f>SUM(L2:L4)</f>
        <v>9.5880429747859104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ESC'!$D$3:$AB$113,4,0)</f>
        <v>44469</v>
      </c>
      <c r="E3" s="207">
        <f>VLOOKUP(C3,'BD EVA 4 ESC'!$D$3:$AB$113,13,0)</f>
        <v>0.89077212806026362</v>
      </c>
      <c r="F3" s="75">
        <f>VLOOKUP(C3,'BD EVA 4 ESC'!$D$3:$AB$113,10,0)</f>
        <v>45382</v>
      </c>
      <c r="G3" s="207">
        <f>VLOOKUP(C3,'BD EVA 4 ESC'!$D$3:$AC$113,25,0)</f>
        <v>0.96843853820598003</v>
      </c>
      <c r="H3" s="207" t="str">
        <f>VLOOKUP(C3,'BD EVA 4 ESC'!$D$3:$AC$113,18,0)</f>
        <v>&gt;=97%</v>
      </c>
      <c r="I3" s="78">
        <f>IF(G3&gt;=97%,1,G3/97%)</f>
        <v>0.99839024557317535</v>
      </c>
      <c r="J3" s="75" t="s">
        <v>318</v>
      </c>
      <c r="K3" s="81">
        <v>3.8</v>
      </c>
      <c r="L3" s="81">
        <f t="shared" si="0"/>
        <v>3.7938829331780664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ESC'!$D$3:$AB$113,4,0)</f>
        <v>44469</v>
      </c>
      <c r="E4" s="207">
        <f>VLOOKUP(C4,'BD EVA 4 ESC'!$D$3:$AB$113,13,0)</f>
        <v>0</v>
      </c>
      <c r="F4" s="75">
        <f>VLOOKUP(C4,'BD EVA 4 ESC'!$D$3:$AB$113,10,0)</f>
        <v>45382</v>
      </c>
      <c r="G4" s="207">
        <f>VLOOKUP(C4,'BD EVA 4 ESC'!$D$3:$AC$113,25,0)</f>
        <v>7.3089700996677706E-2</v>
      </c>
      <c r="H4" s="207">
        <f>VLOOKUP(C4,'BD EVA 4 ESC'!$D$3:$AC$113,18,0)</f>
        <v>0.08</v>
      </c>
      <c r="I4" s="77">
        <f t="shared" ref="I4:I5" si="1">G4/H4</f>
        <v>0.91362126245847131</v>
      </c>
      <c r="J4" s="75" t="s">
        <v>318</v>
      </c>
      <c r="K4" s="81">
        <v>3.5</v>
      </c>
      <c r="L4" s="81">
        <f t="shared" si="0"/>
        <v>3.1976744186046497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4 ESC'!$D$3:$AB$113,4,0)</f>
        <v>octubre 20 - mar 21</v>
      </c>
      <c r="E5" s="207">
        <f>VLOOKUP(C5,'BD EVA 4 ESC'!$D$3:$AB$113,13,0)</f>
        <v>0</v>
      </c>
      <c r="F5" s="75" t="str">
        <f>VLOOKUP(C5,'BD EVA 4 ESC'!$D$3:$AB$113,10,0)</f>
        <v>octubre 23- mar 24</v>
      </c>
      <c r="G5" s="207">
        <f>VLOOKUP(C5,'BD EVA 4 ESC'!$D$3:$AC$113,25,0)</f>
        <v>2.06569590247206E-2</v>
      </c>
      <c r="H5" s="207">
        <f>VLOOKUP(C5,'BD EVA 4 ESC'!$D$3:$AC$113,18,0)</f>
        <v>0.12</v>
      </c>
      <c r="I5" s="77">
        <f t="shared" si="1"/>
        <v>0.172141325206005</v>
      </c>
      <c r="J5" s="75" t="s">
        <v>318</v>
      </c>
      <c r="K5" s="208">
        <v>1.6</v>
      </c>
      <c r="L5" s="209">
        <f t="shared" si="0"/>
        <v>0.275426120329608</v>
      </c>
      <c r="M5" s="130">
        <f>SUM(L5:L10)</f>
        <v>1.1114673385038785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4 ESC'!$D$3:$AB$113,4,0)</f>
        <v>octubre 20 - mar 21</v>
      </c>
      <c r="E6" s="209">
        <f>VLOOKUP(C6,'BD EVA 4 ESC'!$D$3:$AB$113,13,0)</f>
        <v>7.1900912084217108</v>
      </c>
      <c r="F6" s="75" t="str">
        <f>VLOOKUP(C6,'BD EVA 4 ESC'!$D$3:$AB$113,10,0)</f>
        <v>octubre 23- mar 24</v>
      </c>
      <c r="G6" s="209">
        <f>VLOOKUP(C6,'BD EVA 4 ESC'!$D$3:$AC$113,25,0)</f>
        <v>5.32616622555084</v>
      </c>
      <c r="H6" s="209">
        <f>VLOOKUP(C6,'BD EVA 4 ESC'!$D$3:$AC$113,18,0)</f>
        <v>3.4</v>
      </c>
      <c r="I6" s="78">
        <f t="shared" ref="I6:I10" si="2">(G6-E6)/(H6-E6)</f>
        <v>0.49178895186721799</v>
      </c>
      <c r="J6" s="71" t="s">
        <v>319</v>
      </c>
      <c r="K6" s="208">
        <v>1.7</v>
      </c>
      <c r="L6" s="209">
        <f t="shared" si="0"/>
        <v>0.83604121817427057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4 ESC'!$D$3:$AB$113,4,0)</f>
        <v>octubre 20 - mar 21</v>
      </c>
      <c r="E7" s="208">
        <f>VLOOKUP(C7,'BD EVA 4 ESC'!$D$3:$AB$113,13,0)</f>
        <v>149.51160248100442</v>
      </c>
      <c r="F7" s="75" t="str">
        <f>VLOOKUP(C7,'BD EVA 4 ESC'!$D$3:$AB$113,10,0)</f>
        <v>octubre 23- mar 24</v>
      </c>
      <c r="G7" s="208">
        <f>VLOOKUP(C7,'BD EVA 4 ESC'!$D$3:$AC$113,25,0)</f>
        <v>151.59088488106201</v>
      </c>
      <c r="H7" s="208">
        <f>VLOOKUP(C7,'BD EVA 4 ESC'!$D$3:$AC$113,18,0)</f>
        <v>87.7</v>
      </c>
      <c r="I7" s="78">
        <f t="shared" si="2"/>
        <v>-3.3639030806499257E-2</v>
      </c>
      <c r="J7" s="71" t="s">
        <v>319</v>
      </c>
      <c r="K7" s="208">
        <v>1.6</v>
      </c>
      <c r="L7" s="209">
        <f t="shared" si="0"/>
        <v>0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4 ESC'!$D$3:$AB$113,4,0)</f>
        <v>octubre 20 - mar 21</v>
      </c>
      <c r="E8" s="208">
        <f>VLOOKUP(C8,'BD EVA 4 ESC'!$D$3:$AB$113,13,0)</f>
        <v>349.77678996263268</v>
      </c>
      <c r="F8" s="75" t="str">
        <f>VLOOKUP(C8,'BD EVA 4 ESC'!$D$3:$AB$113,10,0)</f>
        <v>octubre 23- mar 24</v>
      </c>
      <c r="G8" s="208">
        <f>VLOOKUP(C8,'BD EVA 4 ESC'!$D$3:$AC$113,25,0)</f>
        <v>499.02080482468699</v>
      </c>
      <c r="H8" s="208">
        <f>VLOOKUP(C8,'BD EVA 4 ESC'!$D$3:$AC$113,18,0)</f>
        <v>176.4</v>
      </c>
      <c r="I8" s="78">
        <f t="shared" si="2"/>
        <v>-0.8608073485166059</v>
      </c>
      <c r="J8" s="71" t="s">
        <v>319</v>
      </c>
      <c r="K8" s="208">
        <v>1.7</v>
      </c>
      <c r="L8" s="209">
        <f t="shared" si="0"/>
        <v>0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4 ESC'!$D$3:$AB$113,4,0)</f>
        <v>octubre 20 - mar 21</v>
      </c>
      <c r="E9" s="208">
        <f>VLOOKUP(C9,'BD EVA 4 ESC'!$D$3:$AB$113,13,0)</f>
        <v>68.94028629251406</v>
      </c>
      <c r="F9" s="75" t="str">
        <f>VLOOKUP(C9,'BD EVA 4 ESC'!$D$3:$AB$113,10,0)</f>
        <v>octubre 23- mar 24</v>
      </c>
      <c r="G9" s="208">
        <f>VLOOKUP(C9,'BD EVA 4 ESC'!$D$3:$AC$113,25,0)</f>
        <v>79.482788288989497</v>
      </c>
      <c r="H9" s="208">
        <f>VLOOKUP(C9,'BD EVA 4 ESC'!$D$3:$AC$113,18,0)</f>
        <v>32.5</v>
      </c>
      <c r="I9" s="78">
        <f t="shared" si="2"/>
        <v>-0.289308978306276</v>
      </c>
      <c r="J9" s="71" t="s">
        <v>319</v>
      </c>
      <c r="K9" s="208">
        <v>1.7</v>
      </c>
      <c r="L9" s="209">
        <f t="shared" si="0"/>
        <v>0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4 ESC'!$D$3:$AB$113,4,0)</f>
        <v>octubre 20 - mar 21</v>
      </c>
      <c r="E10" s="208">
        <f>VLOOKUP(C10,'BD EVA 4 ESC'!$D$3:$AB$113,13,0)</f>
        <v>5.2868317708983179</v>
      </c>
      <c r="F10" s="75" t="str">
        <f>VLOOKUP(C10,'BD EVA 4 ESC'!$D$3:$AB$113,10,0)</f>
        <v>octubre 23- mar 24</v>
      </c>
      <c r="G10" s="208">
        <f>VLOOKUP(C10,'BD EVA 4 ESC'!$D$3:$AC$113,25,0)</f>
        <v>10.6523324511016</v>
      </c>
      <c r="H10" s="208">
        <f>VLOOKUP(C10,'BD EVA 4 ESC'!$D$3:$AC$113,18,0)</f>
        <v>0.9</v>
      </c>
      <c r="I10" s="78">
        <f t="shared" si="2"/>
        <v>-1.2230924184960383</v>
      </c>
      <c r="J10" s="71" t="s">
        <v>319</v>
      </c>
      <c r="K10" s="208">
        <v>1.7</v>
      </c>
      <c r="L10" s="209">
        <f t="shared" si="0"/>
        <v>0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ESC'!$D$3:$AB$113,4,0)</f>
        <v>44469</v>
      </c>
      <c r="E11" s="78">
        <f>VLOOKUP(C11,'BD EVA 4 ESC'!$D$3:$AB$113,13,0)</f>
        <v>0</v>
      </c>
      <c r="F11" s="89">
        <f>VLOOKUP(C11,'BD EVA 4 ESC'!$D$3:$AB$113,10,0)</f>
        <v>45382</v>
      </c>
      <c r="G11" s="78">
        <f>VLOOKUP(C11,'BD EVA 4 ESC'!$D$3:$AC$113,25,0)</f>
        <v>0</v>
      </c>
      <c r="H11" s="291" t="s">
        <v>419</v>
      </c>
      <c r="I11" s="77">
        <v>0</v>
      </c>
      <c r="J11" s="89" t="s">
        <v>318</v>
      </c>
      <c r="K11" s="81">
        <v>1.05</v>
      </c>
      <c r="L11" s="209">
        <f t="shared" si="0"/>
        <v>0</v>
      </c>
      <c r="M11" s="130">
        <f>SUM(L11:L15)</f>
        <v>8.0600355913795578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4 ESC'!$D$3:$AB$113,4,0)</f>
        <v>octubre 20 - mar 21</v>
      </c>
      <c r="E12" s="310">
        <f>VLOOKUP(C12,'BD EVA 4 ESC'!$D$3:$AB$113,13,0)</f>
        <v>0</v>
      </c>
      <c r="F12" s="89" t="str">
        <f>VLOOKUP(C12,'BD EVA 4 ESC'!$D$3:$AB$113,10,0)</f>
        <v>octubre 23- mar 24</v>
      </c>
      <c r="G12" s="210">
        <f>VLOOKUP(C12,'BD EVA 4 ESC'!$D$3:$AC$113,25,0)</f>
        <v>7.6207424466456406E-5</v>
      </c>
      <c r="H12" s="210">
        <f>VLOOKUP(C12,'BD EVA 4 ESC'!$D$3:$AC$113,18,0)</f>
        <v>5.0000000000000001E-4</v>
      </c>
      <c r="I12" s="78">
        <f t="shared" ref="I12:I15" si="3">G12/H12</f>
        <v>0.15241484893291282</v>
      </c>
      <c r="J12" s="75" t="s">
        <v>318</v>
      </c>
      <c r="K12" s="81">
        <v>1.05</v>
      </c>
      <c r="L12" s="209">
        <f t="shared" si="0"/>
        <v>0.16003559137955847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4 ESC'!$D$3:$AB$113,4,0)</f>
        <v>octubre 20 - mar 21</v>
      </c>
      <c r="E13" s="212">
        <f>VLOOKUP(C13,'BD EVA 4 ESC'!$D$3:$AB$113,13,0)</f>
        <v>0</v>
      </c>
      <c r="F13" s="89" t="str">
        <f>VLOOKUP(C13,'BD EVA 4 ESC'!$D$3:$AB$113,10,0)</f>
        <v>octubre 21 - mar 24</v>
      </c>
      <c r="G13" s="212">
        <f>VLOOKUP(C13,'BD EVA 4 ESC'!$D$3:$AC$113,25,0)</f>
        <v>3</v>
      </c>
      <c r="H13" s="212">
        <f>VLOOKUP(C13,'BD EVA 4 ESC'!$D$3:$AC$113,18,0)</f>
        <v>3</v>
      </c>
      <c r="I13" s="78">
        <f t="shared" si="3"/>
        <v>1</v>
      </c>
      <c r="J13" s="75" t="s">
        <v>318</v>
      </c>
      <c r="K13" s="81">
        <v>2.4</v>
      </c>
      <c r="L13" s="209">
        <f t="shared" si="0"/>
        <v>2.4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4 ESC'!$D$3:$AB$113,4,0)</f>
        <v>octubre 20 - mar 21</v>
      </c>
      <c r="E14" s="212">
        <f>VLOOKUP(C14,'BD EVA 4 ESC'!$D$3:$AB$113,13,0)</f>
        <v>0</v>
      </c>
      <c r="F14" s="89" t="str">
        <f>VLOOKUP(C14,'BD EVA 4 ESC'!$D$3:$AB$113,10,0)</f>
        <v>octubre 21 - mar 24</v>
      </c>
      <c r="G14" s="212">
        <f>VLOOKUP(C14,'BD EVA 4 ESC'!$D$3:$AC$113,25,0)</f>
        <v>3825</v>
      </c>
      <c r="H14" s="212">
        <f>VLOOKUP(C14,'BD EVA 4 ESC'!$D$3:$AC$113,18,0)</f>
        <v>2500</v>
      </c>
      <c r="I14" s="78">
        <f t="shared" si="3"/>
        <v>1.53</v>
      </c>
      <c r="J14" s="75" t="s">
        <v>318</v>
      </c>
      <c r="K14" s="81">
        <v>2.4</v>
      </c>
      <c r="L14" s="209">
        <f t="shared" si="0"/>
        <v>2.4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71" t="str">
        <f>VLOOKUP(C15,'BD EVA 4 ESC'!$D$3:$AB$113,4,0)</f>
        <v>octubre 20 - mar 21</v>
      </c>
      <c r="E15" s="212">
        <f>VLOOKUP(C15,'BD EVA 4 ESC'!$D$3:$AB$113,13,0)</f>
        <v>0</v>
      </c>
      <c r="F15" s="89" t="str">
        <f>VLOOKUP(C15,'BD EVA 4 ESC'!$D$3:$AB$113,10,0)</f>
        <v>octubre 21 - mar 24</v>
      </c>
      <c r="G15" s="212">
        <f>VLOOKUP(C15,'BD EVA 4 ESC'!$D$3:$AC$113,25,0)</f>
        <v>7</v>
      </c>
      <c r="H15" s="212">
        <f>VLOOKUP(C15,'BD EVA 4 ESC'!$D$3:$AC$113,18,0)</f>
        <v>6</v>
      </c>
      <c r="I15" s="78">
        <f t="shared" si="3"/>
        <v>1.1666666666666667</v>
      </c>
      <c r="J15" s="75" t="s">
        <v>318</v>
      </c>
      <c r="K15" s="81">
        <v>3.1</v>
      </c>
      <c r="L15" s="209">
        <f t="shared" si="0"/>
        <v>3.1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ESC'!$D$3:$AB$113,4,0)</f>
        <v>44469</v>
      </c>
      <c r="E16" s="213">
        <f>VLOOKUP(C16,'BD EVA 4 ESC'!$D$3:$AB$113,13,0)</f>
        <v>0.33333333333333331</v>
      </c>
      <c r="F16" s="75">
        <f>VLOOKUP(C16,'BD EVA 4 ESC'!$D$3:$AB$113,10,0)</f>
        <v>45382</v>
      </c>
      <c r="G16" s="213">
        <f>VLOOKUP(C16,'BD EVA 4 ESC'!$D$3:$AC$113,25,0)</f>
        <v>1</v>
      </c>
      <c r="H16" s="213" t="str">
        <f>VLOOKUP(C16,'BD EVA 4 ESC'!$D$3:$AC$113,18,0)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si="4">G16/1</f>
        <v>1</v>
      </c>
      <c r="J16" s="75" t="s">
        <v>318</v>
      </c>
      <c r="K16" s="81">
        <v>1.5</v>
      </c>
      <c r="L16" s="209">
        <f t="shared" si="0"/>
        <v>1.5</v>
      </c>
      <c r="M16" s="130">
        <f>SUM(L16:L23)</f>
        <v>8.1520406108527848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ESC'!$D$3:$AB$113,4,0)</f>
        <v>44469</v>
      </c>
      <c r="E17" s="212">
        <f>VLOOKUP(C17,'BD EVA 4 ESC'!$D$3:$AB$113,13,0)</f>
        <v>0</v>
      </c>
      <c r="F17" s="75">
        <f>VLOOKUP(C17,'BD EVA 4 ESC'!$D$3:$AB$113,10,0)</f>
        <v>45382</v>
      </c>
      <c r="G17" s="212">
        <f>VLOOKUP(C17,'BD EVA 4 ESC'!$D$3:$AC$113,25,0)</f>
        <v>0</v>
      </c>
      <c r="H17" s="212" t="str">
        <f>VLOOKUP(C17,'BD EVA 4 ESC'!$D$3:$AC$113,18,0)</f>
        <v>Actualizado al 2019</v>
      </c>
      <c r="I17" s="214">
        <f t="shared" si="4"/>
        <v>0</v>
      </c>
      <c r="J17" s="75" t="s">
        <v>318</v>
      </c>
      <c r="K17" s="81">
        <v>1.5</v>
      </c>
      <c r="L17" s="209">
        <f t="shared" si="0"/>
        <v>0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ESC'!$D$3:$AB$113,4,0)</f>
        <v>44469</v>
      </c>
      <c r="E18" s="207">
        <f>VLOOKUP(C18,'BD EVA 4 ESC'!$D$3:$AB$113,13,0)</f>
        <v>0.5</v>
      </c>
      <c r="F18" s="75">
        <f>VLOOKUP(C18,'BD EVA 4 ESC'!$D$3:$AB$113,10,0)</f>
        <v>45382</v>
      </c>
      <c r="G18" s="207">
        <f>VLOOKUP(C18,'BD EVA 4 ESC'!$D$3:$AC$113,25,0)</f>
        <v>0.66666666666666596</v>
      </c>
      <c r="H18" s="207">
        <f>VLOOKUP(C18,'BD EVA 4 ESC'!$D$3:$AC$113,18,0)</f>
        <v>1</v>
      </c>
      <c r="I18" s="214">
        <f t="shared" ref="I18:I27" si="5">G18/H18</f>
        <v>0.66666666666666596</v>
      </c>
      <c r="J18" s="75" t="s">
        <v>318</v>
      </c>
      <c r="K18" s="81">
        <v>0.3</v>
      </c>
      <c r="L18" s="209">
        <f t="shared" si="0"/>
        <v>0.19999999999999979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ESC'!$D$3:$AB$113,4,0)</f>
        <v>44469</v>
      </c>
      <c r="E19" s="207">
        <f>VLOOKUP(C19,'BD EVA 4 ESC'!$D$3:$AB$113,13,0)</f>
        <v>0.99909357343565885</v>
      </c>
      <c r="F19" s="75">
        <f>VLOOKUP(C19,'BD EVA 4 ESC'!$D$3:$AB$113,10,0)</f>
        <v>45382</v>
      </c>
      <c r="G19" s="207">
        <f>VLOOKUP(C19,'BD EVA 4 ESC'!$D$3:$AC$113,25,0)</f>
        <v>0.99729891956782701</v>
      </c>
      <c r="H19" s="207">
        <f>VLOOKUP(C19,'BD EVA 4 ESC'!$D$3:$AC$113,18,0)</f>
        <v>1</v>
      </c>
      <c r="I19" s="214">
        <f t="shared" si="5"/>
        <v>0.99729891956782701</v>
      </c>
      <c r="J19" s="75" t="s">
        <v>318</v>
      </c>
      <c r="K19" s="81">
        <v>1.5</v>
      </c>
      <c r="L19" s="209">
        <f t="shared" si="0"/>
        <v>1.4959483793517405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ESC'!$D$3:$AB$113,4,0)</f>
        <v>44469</v>
      </c>
      <c r="E20" s="214">
        <f>VLOOKUP(C20,'BD EVA 4 ESC'!$D$3:$AB$113,13,0)</f>
        <v>1</v>
      </c>
      <c r="F20" s="75">
        <f>VLOOKUP(C20,'BD EVA 4 ESC'!$D$3:$AB$113,10,0)</f>
        <v>45382</v>
      </c>
      <c r="G20" s="214">
        <f>VLOOKUP(C20,'BD EVA 4 ESC'!$D$3:$AC$113,25,0)</f>
        <v>1</v>
      </c>
      <c r="H20" s="214">
        <f>VLOOKUP(C20,'BD EVA 4 ESC'!$D$3:$AC$113,18,0)</f>
        <v>1</v>
      </c>
      <c r="I20" s="214">
        <f t="shared" si="5"/>
        <v>1</v>
      </c>
      <c r="J20" s="75" t="s">
        <v>318</v>
      </c>
      <c r="K20" s="81">
        <v>1.5</v>
      </c>
      <c r="L20" s="209">
        <f t="shared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ESC'!$D$3:$AB$113,4,0)</f>
        <v>44469</v>
      </c>
      <c r="E21" s="207">
        <f>VLOOKUP(C21,'BD EVA 4 ESC'!$D$3:$AB$113,13,0)</f>
        <v>0.89530311989709388</v>
      </c>
      <c r="F21" s="75">
        <f>VLOOKUP(C21,'BD EVA 4 ESC'!$D$3:$AB$113,10,0)</f>
        <v>45382</v>
      </c>
      <c r="G21" s="207">
        <f>VLOOKUP(C21,'BD EVA 4 ESC'!$D$3:$AC$113,25,0)</f>
        <v>0.91767967818631202</v>
      </c>
      <c r="H21" s="207">
        <f>VLOOKUP(C21,'BD EVA 4 ESC'!$D$3:$AC$113,18,0)</f>
        <v>1</v>
      </c>
      <c r="I21" s="214">
        <f t="shared" si="5"/>
        <v>0.91767967818631202</v>
      </c>
      <c r="J21" s="75" t="s">
        <v>318</v>
      </c>
      <c r="K21" s="81">
        <v>0.9</v>
      </c>
      <c r="L21" s="209">
        <f t="shared" si="0"/>
        <v>0.82591171036768085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ESC'!$D$3:$AB$113,4,0)</f>
        <v>44469</v>
      </c>
      <c r="E22" s="207">
        <f>VLOOKUP(C22,'BD EVA 4 ESC'!$D$3:$AB$113,13,0)</f>
        <v>0.89295554513586539</v>
      </c>
      <c r="F22" s="75">
        <f>VLOOKUP(C22,'BD EVA 4 ESC'!$D$3:$AB$113,10,0)</f>
        <v>45382</v>
      </c>
      <c r="G22" s="207">
        <f>VLOOKUP(C22,'BD EVA 4 ESC'!$D$3:$AC$113,25,0)</f>
        <v>0.88678701408890903</v>
      </c>
      <c r="H22" s="207">
        <f>VLOOKUP(C22,'BD EVA 4 ESC'!$D$3:$AC$113,18,0)</f>
        <v>1</v>
      </c>
      <c r="I22" s="214">
        <f t="shared" si="5"/>
        <v>0.88678701408890903</v>
      </c>
      <c r="J22" s="75" t="s">
        <v>318</v>
      </c>
      <c r="K22" s="81">
        <v>1.5</v>
      </c>
      <c r="L22" s="209">
        <f t="shared" si="0"/>
        <v>1.3301805211333635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71" t="str">
        <f>VLOOKUP(C23,'BD EVA 4 ESC'!$D$3:$AB$113,4,0)</f>
        <v>octubre 20 - mar 21</v>
      </c>
      <c r="E23" s="208">
        <f>VLOOKUP(C23,'BD EVA 4 ESC'!$D$3:$AB$113,13,0)</f>
        <v>0</v>
      </c>
      <c r="F23" s="89" t="str">
        <f>VLOOKUP(C23,'BD EVA 4 ESC'!$D$3:$AB$113,10,0)</f>
        <v>octubre 23 - mar 24</v>
      </c>
      <c r="G23" s="208">
        <f>VLOOKUP(C23,'BD EVA 4 ESC'!$D$3:$AC$113,25,0)</f>
        <v>6.6</v>
      </c>
      <c r="H23" s="208">
        <f>VLOOKUP(C23,'BD EVA 4 ESC'!$D$3:$AC$113,18,0)</f>
        <v>3.9</v>
      </c>
      <c r="I23" s="214">
        <f t="shared" si="5"/>
        <v>1.6923076923076923</v>
      </c>
      <c r="J23" s="75" t="s">
        <v>318</v>
      </c>
      <c r="K23" s="81">
        <v>1.3</v>
      </c>
      <c r="L23" s="209">
        <f t="shared" si="0"/>
        <v>1.3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ESC'!$D$3:$AB$113,4,0)</f>
        <v>44469</v>
      </c>
      <c r="E24" s="171">
        <f>VLOOKUP(C24,'BD EVA 4 ESC'!$D$3:$AB$113,13,0)</f>
        <v>5.04</v>
      </c>
      <c r="F24" s="75">
        <f>VLOOKUP(C24,'BD EVA 4 ESC'!$D$3:$AB$113,10,0)</f>
        <v>45382</v>
      </c>
      <c r="G24" s="171">
        <f>VLOOKUP(C24,'BD EVA 4 ESC'!$D$3:$AC$113,25,0)</f>
        <v>8.9</v>
      </c>
      <c r="H24" s="171">
        <f>VLOOKUP(C24,'BD EVA 4 ESC'!$D$3:$AC$113,18,0)</f>
        <v>10.768000000000001</v>
      </c>
      <c r="I24" s="214">
        <f t="shared" si="5"/>
        <v>0.82652303120356607</v>
      </c>
      <c r="J24" s="75" t="s">
        <v>318</v>
      </c>
      <c r="K24" s="81">
        <v>1.9450000000000001</v>
      </c>
      <c r="L24" s="82">
        <f t="shared" si="0"/>
        <v>1.6075872956909361</v>
      </c>
      <c r="M24" s="130">
        <f>SUM(L24:L28)</f>
        <v>6.0660924971309358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ESC'!$D$3:$AB$113,4,0)</f>
        <v>octubre 20 - mar 21</v>
      </c>
      <c r="E25" s="311">
        <f>VLOOKUP(C25,'BD EVA 4 ESC'!$D$3:$AB$113,13,0)</f>
        <v>0</v>
      </c>
      <c r="F25" s="71" t="str">
        <f>VLOOKUP(C25,'BD EVA 4 ESC'!$D$3:$AB$113,10,0)</f>
        <v>octubre 23 - mar 24</v>
      </c>
      <c r="G25" s="212">
        <f>VLOOKUP(C25,'BD EVA 4 ESC'!$D$3:$AC$113,25,0)</f>
        <v>1968.61</v>
      </c>
      <c r="H25" s="212">
        <f>VLOOKUP(C25,'BD EVA 4 ESC'!$D$3:$AC$113,18,0)</f>
        <v>12500</v>
      </c>
      <c r="I25" s="214">
        <f t="shared" si="5"/>
        <v>0.15748879999999998</v>
      </c>
      <c r="J25" s="75" t="s">
        <v>318</v>
      </c>
      <c r="K25" s="81">
        <v>1.6337999999999999</v>
      </c>
      <c r="L25" s="209">
        <f t="shared" si="0"/>
        <v>0.25730520143999996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ESC'!$D$3:$AB$113,4,0)</f>
        <v>enero - diciembre 2021</v>
      </c>
      <c r="E26" s="210">
        <f>VLOOKUP(C26,'BD EVA 4 ESC'!$D$3:$AB$113,13,0)</f>
        <v>2.8107601719401219E-2</v>
      </c>
      <c r="F26" s="71" t="str">
        <f>VLOOKUP(C26,'BD EVA 4 ESC'!$D$3:$AB$113,10,0)</f>
        <v>enero- diciembre 2023</v>
      </c>
      <c r="G26" s="210">
        <f>VLOOKUP(C26,'BD EVA 4 ESC'!$D$3:$AC$113,25,0)</f>
        <v>7.8664893553776205E-2</v>
      </c>
      <c r="H26" s="210">
        <f>VLOOKUP(C26,'BD EVA 4 ESC'!$D$3:$AC$113,18,0)</f>
        <v>2.3E-2</v>
      </c>
      <c r="I26" s="214">
        <f t="shared" si="5"/>
        <v>3.4202127632076613</v>
      </c>
      <c r="J26" s="75" t="s">
        <v>318</v>
      </c>
      <c r="K26" s="81">
        <v>2.1006</v>
      </c>
      <c r="L26" s="209">
        <f t="shared" si="0"/>
        <v>2.1006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ESC'!$D$3:$AB$113,4,0)</f>
        <v>octubre 20 - mar 21</v>
      </c>
      <c r="E27" s="212">
        <f>VLOOKUP(C27,'BD EVA 4 ESC'!$D$3:$AB$113,13,0)</f>
        <v>0</v>
      </c>
      <c r="F27" s="71" t="str">
        <f>VLOOKUP(C27,'BD EVA 4 ESC'!$D$3:$AB$113,10,0)</f>
        <v>octubre 23 - mar 24</v>
      </c>
      <c r="G27" s="212">
        <f>VLOOKUP(C27,'BD EVA 4 ESC'!$D$3:$AC$113,25,0)</f>
        <v>3</v>
      </c>
      <c r="H27" s="212">
        <f>VLOOKUP(C27,'BD EVA 4 ESC'!$D$3:$AC$113,18,0)</f>
        <v>2</v>
      </c>
      <c r="I27" s="214">
        <f t="shared" si="5"/>
        <v>1.5</v>
      </c>
      <c r="J27" s="75" t="s">
        <v>318</v>
      </c>
      <c r="K27" s="81">
        <v>2.1006</v>
      </c>
      <c r="L27" s="209">
        <f t="shared" si="0"/>
        <v>2.1006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71" t="str">
        <f>VLOOKUP(C28,'BD EVA 4 ESC'!$D$3:$AB$113,4,0)</f>
        <v>octubre 2018 - marzo 2019</v>
      </c>
      <c r="E28" s="212">
        <f>VLOOKUP(C28,'BD EVA 4 ESC'!$D$3:$AB$113,13,0)</f>
        <v>1703</v>
      </c>
      <c r="F28" s="89" t="str">
        <f>VLOOKUP(C28,'BD EVA 4 ESC'!$D$3:$AB$113,10,0)</f>
        <v>octubre 23 - mar 24</v>
      </c>
      <c r="G28" s="212">
        <f>VLOOKUP(C28,'BD EVA 4 ESC'!$D$3:$AC$113,25,0)</f>
        <v>1940</v>
      </c>
      <c r="H28" s="212">
        <f>VLOOKUP(C28,'BD EVA 4 ESC'!$D$3:$AC$113,18,0)</f>
        <v>1686</v>
      </c>
      <c r="I28" s="78">
        <f>(G28-E28)/(H28-E28)</f>
        <v>-13.941176470588236</v>
      </c>
      <c r="J28" s="89" t="s">
        <v>319</v>
      </c>
      <c r="K28" s="81">
        <v>2.2200000000000002</v>
      </c>
      <c r="L28" s="209">
        <f t="shared" si="0"/>
        <v>0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4 ESC'!$D$3:$AB$113,4,0)</f>
        <v>octubre 20 - mar 21</v>
      </c>
      <c r="E29" s="212">
        <f>VLOOKUP(C29,'BD EVA 4 ESC'!$D$3:$AB$113,13,0)</f>
        <v>0</v>
      </c>
      <c r="F29" s="89" t="str">
        <f>VLOOKUP(C29,'BD EVA 4 ESC'!$D$3:$AB$113,10,0)</f>
        <v>octubre 23 - mar 24</v>
      </c>
      <c r="G29" s="212">
        <f>VLOOKUP(C29,'BD EVA 4 ESC'!$D$3:$AC$113,25,0)</f>
        <v>89</v>
      </c>
      <c r="H29" s="212">
        <f>VLOOKUP(C29,'BD EVA 4 ESC'!$D$3:$AC$113,18,0)</f>
        <v>3</v>
      </c>
      <c r="I29" s="78">
        <f t="shared" ref="I29:I33" si="6">G29/H29</f>
        <v>29.666666666666668</v>
      </c>
      <c r="J29" s="75" t="s">
        <v>318</v>
      </c>
      <c r="K29" s="81">
        <v>2</v>
      </c>
      <c r="L29" s="209">
        <f t="shared" si="0"/>
        <v>2</v>
      </c>
      <c r="M29" s="130">
        <f>SUM(L29:L33)</f>
        <v>8.6940142382207917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ESC'!$D$3:$AB$113,4,0)</f>
        <v>44469</v>
      </c>
      <c r="E30" s="212">
        <f>VLOOKUP(C30,'BD EVA 4 ESC'!$D$3:$AB$113,13,0)</f>
        <v>1</v>
      </c>
      <c r="F30" s="75">
        <f>VLOOKUP(C30,'BD EVA 4 ESC'!$D$3:$AB$113,10,0)</f>
        <v>45382</v>
      </c>
      <c r="G30" s="212">
        <f>VLOOKUP(C30,'BD EVA 4 ESC'!$D$3:$AC$113,25,0)</f>
        <v>36</v>
      </c>
      <c r="H30" s="212">
        <f>VLOOKUP(C30,'BD EVA 4 ESC'!$D$3:$AC$113,18,0)</f>
        <v>11</v>
      </c>
      <c r="I30" s="78">
        <f t="shared" si="6"/>
        <v>3.2727272727272729</v>
      </c>
      <c r="J30" s="75" t="s">
        <v>318</v>
      </c>
      <c r="K30" s="81">
        <v>2</v>
      </c>
      <c r="L30" s="209">
        <f t="shared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ESC'!$D$3:$AB$113,4,0)</f>
        <v>44469</v>
      </c>
      <c r="E31" s="212">
        <f>VLOOKUP(C31,'BD EVA 4 ESC'!$D$3:$AB$113,13,0)</f>
        <v>100</v>
      </c>
      <c r="F31" s="75" t="str">
        <f>VLOOKUP(C31,'BD EVA 4 ESC'!$D$3:$AB$113,10,0)</f>
        <v>Dic 2023</v>
      </c>
      <c r="G31" s="212">
        <f>VLOOKUP(C31,'BD EVA 4 ESC'!$D$3:$AC$113,25,0)</f>
        <v>96.97</v>
      </c>
      <c r="H31" s="212">
        <f>VLOOKUP(C31,'BD EVA 4 ESC'!$D$3:$AC$113,18,0)</f>
        <v>100</v>
      </c>
      <c r="I31" s="78">
        <f t="shared" si="6"/>
        <v>0.96970000000000001</v>
      </c>
      <c r="J31" s="75" t="s">
        <v>318</v>
      </c>
      <c r="K31" s="81">
        <v>2</v>
      </c>
      <c r="L31" s="209">
        <f t="shared" si="0"/>
        <v>1.9394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ESC'!$D$3:$AB$113,4,0)</f>
        <v>44469</v>
      </c>
      <c r="E32" s="209">
        <f>VLOOKUP(C32,'BD EVA 4 ESC'!$D$3:$AB$113,13,0)</f>
        <v>0</v>
      </c>
      <c r="F32" s="75">
        <f>VLOOKUP(C32,'BD EVA 4 ESC'!$D$3:$AB$113,10,0)</f>
        <v>45382</v>
      </c>
      <c r="G32" s="209">
        <f>VLOOKUP(C32,'BD EVA 4 ESC'!$D$3:$AC$113,25,0)</f>
        <v>3.27972027972028</v>
      </c>
      <c r="H32" s="209">
        <f>VLOOKUP(C32,'BD EVA 4 ESC'!$D$3:$AC$113,18,0)</f>
        <v>4</v>
      </c>
      <c r="I32" s="78">
        <f t="shared" si="6"/>
        <v>0.81993006993007</v>
      </c>
      <c r="J32" s="75" t="s">
        <v>318</v>
      </c>
      <c r="K32" s="81">
        <v>2</v>
      </c>
      <c r="L32" s="209">
        <f t="shared" si="0"/>
        <v>1.63986013986014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ESC'!$D$3:$AB$113,4,0)</f>
        <v>44469</v>
      </c>
      <c r="E33" s="312">
        <f>VLOOKUP(C33,'BD EVA 4 ESC'!$D$3:$AB$113,13,0)</f>
        <v>0</v>
      </c>
      <c r="F33" s="75">
        <f>VLOOKUP(C33,'BD EVA 4 ESC'!$D$3:$AB$113,10,0)</f>
        <v>45382</v>
      </c>
      <c r="G33" s="207">
        <f>VLOOKUP(C33,'BD EVA 4 ESC'!$D$3:$AC$113,25,0)</f>
        <v>0.27868852459016302</v>
      </c>
      <c r="H33" s="207">
        <f>VLOOKUP(C33,'BD EVA 4 ESC'!$D$3:$AC$113,18,0)</f>
        <v>0.5</v>
      </c>
      <c r="I33" s="78">
        <f t="shared" si="6"/>
        <v>0.55737704918032605</v>
      </c>
      <c r="J33" s="75" t="s">
        <v>318</v>
      </c>
      <c r="K33" s="81">
        <v>2</v>
      </c>
      <c r="L33" s="209">
        <f t="shared" si="0"/>
        <v>1.1147540983606521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4 ESC'!$D$3:$AB$113,4,0)</f>
        <v>enero - diciembre 2021</v>
      </c>
      <c r="E34" s="78">
        <f>VLOOKUP(C34,'BD EVA 4 ESC'!$D$3:$AB$113,13,0)</f>
        <v>0.33190512986812276</v>
      </c>
      <c r="F34" s="89" t="str">
        <f>VLOOKUP(C34,'BD EVA 4 ESC'!$D$3:$AB$113,10,0)</f>
        <v>enero- diciembre 2023</v>
      </c>
      <c r="G34" s="78">
        <f>VLOOKUP(C34,'BD EVA 4 ESC'!$D$3:$AC$113,25,0)</f>
        <v>0.32075480347575103</v>
      </c>
      <c r="H34" s="78">
        <f>VLOOKUP(C34,'BD EVA 4 ESC'!$D$3:$AC$113,18,0)</f>
        <v>0.33700000000000002</v>
      </c>
      <c r="I34" s="78">
        <f>(G34/H34)</f>
        <v>0.95179466906751042</v>
      </c>
      <c r="J34" s="75" t="s">
        <v>318</v>
      </c>
      <c r="K34" s="81">
        <v>2.1631999999999998</v>
      </c>
      <c r="L34" s="209">
        <f t="shared" si="0"/>
        <v>2.0589222281268382</v>
      </c>
      <c r="M34" s="130">
        <f>SUM(L34:L39)</f>
        <v>7.7325222281268386</v>
      </c>
    </row>
    <row r="35" spans="1:13" ht="117">
      <c r="A35" s="121" t="s">
        <v>275</v>
      </c>
      <c r="B35" s="72" t="s">
        <v>276</v>
      </c>
      <c r="C35" s="72" t="s">
        <v>287</v>
      </c>
      <c r="D35" s="71" t="str">
        <f>VLOOKUP(C35,'BD EVA 4 ESC'!$D$3:$AB$113,4,0)</f>
        <v>enero - diciembre 2021</v>
      </c>
      <c r="E35" s="78">
        <f>VLOOKUP(C35,'BD EVA 4 ESC'!$D$3:$AB$113,13,0)</f>
        <v>0.52896110104463856</v>
      </c>
      <c r="F35" s="89" t="str">
        <f>VLOOKUP(C35,'BD EVA 4 ESC'!$D$3:$AB$113,10,0)</f>
        <v>enero- diciembre 2023</v>
      </c>
      <c r="G35" s="78">
        <f>VLOOKUP(C35,'BD EVA 4 ESC'!$D$3:$AC$113,25,0)</f>
        <v>0.55839080799165497</v>
      </c>
      <c r="H35" s="78">
        <f>VLOOKUP(C35,'BD EVA 4 ESC'!$D$3:$AC$113,18,0)</f>
        <v>0.54300000000000004</v>
      </c>
      <c r="I35" s="78">
        <f>G35/H35</f>
        <v>1.0283440294505615</v>
      </c>
      <c r="J35" s="75" t="s">
        <v>318</v>
      </c>
      <c r="K35" s="81">
        <v>1.3520000000000001</v>
      </c>
      <c r="L35" s="209">
        <f t="shared" si="0"/>
        <v>1.3520000000000001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1" t="str">
        <f>VLOOKUP(C36,'BD EVA 4 ESC'!$D$3:$AB$113,4,0)</f>
        <v>enero - diciembre 2021</v>
      </c>
      <c r="E36" s="78">
        <f>VLOOKUP(C36,'BD EVA 4 ESC'!$D$3:$AB$113,13,0)</f>
        <v>0.43290989660265877</v>
      </c>
      <c r="F36" s="89" t="str">
        <f>VLOOKUP(C36,'BD EVA 4 ESC'!$D$3:$AB$113,10,0)</f>
        <v>enero- diciembre 2023</v>
      </c>
      <c r="G36" s="78">
        <f>VLOOKUP(C36,'BD EVA 4 ESC'!$D$3:$AC$113,25,0)</f>
        <v>0.422964847363552</v>
      </c>
      <c r="H36" s="78">
        <f>VLOOKUP(C36,'BD EVA 4 ESC'!$D$3:$AC$113,18,0)</f>
        <v>0.44800000000000001</v>
      </c>
      <c r="I36" s="78">
        <f>IF(G36&lt;E36,0,G36/H36)</f>
        <v>0</v>
      </c>
      <c r="J36" s="72" t="s">
        <v>316</v>
      </c>
      <c r="K36" s="81">
        <v>2.1631999999999998</v>
      </c>
      <c r="L36" s="209">
        <f t="shared" si="0"/>
        <v>0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1" t="str">
        <f>VLOOKUP(C37,'BD EVA 4 ESC'!$D$3:$AB$113,4,0)</f>
        <v>enero - diciembre 2021</v>
      </c>
      <c r="E37" s="90">
        <f>VLOOKUP(C37,'BD EVA 4 ESC'!$D$3:$AB$113,13,0)</f>
        <v>151349507.40000001</v>
      </c>
      <c r="F37" s="89" t="str">
        <f>VLOOKUP(C37,'BD EVA 4 ESC'!$D$3:$AB$113,10,0)</f>
        <v>enero- diciembre 2023</v>
      </c>
      <c r="G37" s="90">
        <f>VLOOKUP(C37,'BD EVA 4 ESC'!$D$3:$AC$113,25,0)</f>
        <v>203360245.22999999</v>
      </c>
      <c r="H37" s="90">
        <f>VLOOKUP(C37,'BD EVA 4 ESC'!$D$3:$AC$113,18,0)</f>
        <v>159983169.13</v>
      </c>
      <c r="I37" s="78">
        <f>G37/H37</f>
        <v>1.2711352471381061</v>
      </c>
      <c r="J37" s="75" t="s">
        <v>318</v>
      </c>
      <c r="K37" s="81">
        <v>1.0815999999999999</v>
      </c>
      <c r="L37" s="209">
        <f t="shared" si="0"/>
        <v>1.0815999999999999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1" t="str">
        <f>VLOOKUP(C38,'BD EVA 4 ESC'!$D$3:$AB$113,4,0)</f>
        <v>enero - diciembre 2021</v>
      </c>
      <c r="E38" s="78">
        <f>VLOOKUP(C38,'BD EVA 4 ESC'!$D$3:$AB$113,13,0)</f>
        <v>0.69821910047947722</v>
      </c>
      <c r="F38" s="89" t="str">
        <f>VLOOKUP(C38,'BD EVA 4 ESC'!$D$3:$AB$113,10,0)</f>
        <v>enero- diciembre 2023</v>
      </c>
      <c r="G38" s="78">
        <f>VLOOKUP(C38,'BD EVA 4 ESC'!$D$3:$AC$113,25,0)</f>
        <v>0.537005210048077</v>
      </c>
      <c r="H38" s="78">
        <f>VLOOKUP(C38,'BD EVA 4 ESC'!$D$3:$AC$113,18,0)</f>
        <v>0.66600000000000004</v>
      </c>
      <c r="I38" s="78">
        <f>(H38/G38)</f>
        <v>1.2402114309847654</v>
      </c>
      <c r="J38" s="71" t="s">
        <v>341</v>
      </c>
      <c r="K38" s="81">
        <v>1.62</v>
      </c>
      <c r="L38" s="209">
        <f t="shared" si="0"/>
        <v>1.62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ESC'!$D$3:$AB$113,4,0)</f>
        <v>Dic 2020</v>
      </c>
      <c r="E39" s="76" t="str">
        <f>VLOOKUP(C39,'BD EVA 4 ESC'!$D$3:$AB$113,13,0)</f>
        <v>Verde</v>
      </c>
      <c r="F39" s="89" t="str">
        <f>VLOOKUP(C39,'BD EVA 4 ESC'!$D$3:$AB$113,10,0)</f>
        <v>Dic 2023</v>
      </c>
      <c r="G39" s="76" t="str">
        <f>VLOOKUP(C39,'BD EVA 4 ESC'!$D$3:$AC$113,25,0)</f>
        <v>Verde</v>
      </c>
      <c r="H39" s="76" t="str">
        <f>VLOOKUP(C39,'BD EVA 4 ESC'!$D$3:$AC$113,18,0)</f>
        <v>Verde</v>
      </c>
      <c r="I39" s="76">
        <f>IF(G39="Verde",1,0)</f>
        <v>1</v>
      </c>
      <c r="J39" s="75" t="s">
        <v>318</v>
      </c>
      <c r="K39" s="81">
        <v>1.62</v>
      </c>
      <c r="L39" s="209">
        <f t="shared" si="0"/>
        <v>1.62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CE8F4-67AB-664D-BADC-F6CEB966DAFB}">
  <dimension ref="A1:AF113"/>
  <sheetViews>
    <sheetView workbookViewId="0">
      <selection activeCell="O29" sqref="O29"/>
    </sheetView>
  </sheetViews>
  <sheetFormatPr baseColWidth="10" defaultRowHeight="16"/>
  <sheetData>
    <row r="1" spans="1:32" ht="78">
      <c r="A1" s="119" t="s">
        <v>0</v>
      </c>
      <c r="B1" s="119" t="s">
        <v>1</v>
      </c>
      <c r="C1" s="119" t="s">
        <v>2</v>
      </c>
      <c r="D1" s="119" t="s">
        <v>3</v>
      </c>
      <c r="E1" s="119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423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  <c r="AF1" s="1"/>
    </row>
    <row r="2" spans="1:32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2">
        <v>2021</v>
      </c>
      <c r="J2" s="4">
        <v>2022</v>
      </c>
      <c r="K2" s="66">
        <v>2022</v>
      </c>
      <c r="L2" s="4">
        <v>2023</v>
      </c>
      <c r="M2" s="4">
        <v>2023</v>
      </c>
      <c r="N2" s="4">
        <v>2024</v>
      </c>
      <c r="O2" s="4">
        <v>2024</v>
      </c>
      <c r="P2" s="13"/>
      <c r="Q2" s="12">
        <v>472873</v>
      </c>
      <c r="R2" s="12">
        <v>472873</v>
      </c>
      <c r="S2" s="12">
        <v>472873</v>
      </c>
      <c r="T2" s="4"/>
      <c r="U2" s="6"/>
      <c r="V2" s="6"/>
      <c r="W2" s="6"/>
      <c r="X2" s="6"/>
      <c r="Y2" s="6"/>
      <c r="Z2" s="12">
        <v>478712</v>
      </c>
      <c r="AA2" s="5">
        <v>478712</v>
      </c>
      <c r="AB2" s="12">
        <v>483816</v>
      </c>
      <c r="AC2" s="5">
        <v>483816</v>
      </c>
      <c r="AD2" s="12">
        <v>488156</v>
      </c>
      <c r="AE2" s="5">
        <v>488156</v>
      </c>
      <c r="AF2" s="1"/>
    </row>
    <row r="3" spans="1:32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531</v>
      </c>
      <c r="R3" s="2">
        <v>531</v>
      </c>
      <c r="S3" s="2">
        <f ca="1">IFERROR(__xludf.DUMMYFUNCTION("INDEX(IMPORTRANGE(""17pNv02DXDpQT9S3w4-QeNym2QJy2BzMBqDXp-XtzJBM"", ""'ESC'!BG3:BG139""),MATCH($D3,IMPORTRANGE(""17pNv02DXDpQT9S3w4-QeNym2QJy2BzMBqDXp-XtzJBM"", ""'ESC'!D3:D139""),0))"),531)</f>
        <v>531</v>
      </c>
      <c r="T3" s="2">
        <v>555</v>
      </c>
      <c r="U3" s="2">
        <v>579</v>
      </c>
      <c r="V3" s="2">
        <v>602</v>
      </c>
      <c r="W3" s="2">
        <v>626</v>
      </c>
      <c r="X3" s="2">
        <f>((Y3-W3)/6)*5+W3</f>
        <v>646</v>
      </c>
      <c r="Y3" s="2">
        <v>650</v>
      </c>
      <c r="Z3" s="2">
        <f ca="1">IFERROR(__xludf.DUMMYFUNCTION("INDEX(IMPORTRANGE(""17pNv02DXDpQT9S3w4-QeNym2QJy2BzMBqDXp-XtzJBM"", ""'ESC'!BH3:BH139""),MATCH($D3,IMPORTRANGE(""17pNv02DXDpQT9S3w4-QeNym2QJy2BzMBqDXp-XtzJBM"", ""'ESC'!D3:D139""),0))"),542)</f>
        <v>542</v>
      </c>
      <c r="AA3" s="2">
        <f ca="1">IFERROR(__xludf.DUMMYFUNCTION("INDEX(IMPORTRANGE(""17pNv02DXDpQT9S3w4-QeNym2QJy2BzMBqDXp-XtzJBM"", ""'ESC'!BI3:BI139""),MATCH($D3,IMPORTRANGE(""17pNv02DXDpQT9S3w4-QeNym2QJy2BzMBqDXp-XtzJBM"", ""'ESC'!D3:D139""),0))"),534)</f>
        <v>534</v>
      </c>
      <c r="AB3" s="2">
        <f ca="1">IFERROR(__xludf.DUMMYFUNCTION("INDEX(IMPORTRANGE(""17pNv02DXDpQT9S3w4-QeNym2QJy2BzMBqDXp-XtzJBM"", ""'ESC'!BJ3:BJ139""),MATCH($D3,IMPORTRANGE(""17pNv02DXDpQT9S3w4-QeNym2QJy2BzMBqDXp-XtzJBM"", ""'ESC'!D3:D139""),0))"),540)</f>
        <v>540</v>
      </c>
      <c r="AC3" s="2">
        <f ca="1">IFERROR(__xludf.DUMMYFUNCTION("INDEX(IMPORTRANGE(""17pNv02DXDpQT9S3w4-QeNym2QJy2BzMBqDXp-XtzJBM"", ""'ESC'!BK3:BK139""),MATCH($D3,IMPORTRANGE(""17pNv02DXDpQT9S3w4-QeNym2QJy2BzMBqDXp-XtzJBM"", ""'ESC'!D3:D139""),0))"),583)</f>
        <v>583</v>
      </c>
      <c r="AD3" s="2">
        <f ca="1">IFERROR(__xludf.DUMMYFUNCTION("INDEX(IMPORTRANGE(""17pNv02DXDpQT9S3w4-QeNym2QJy2BzMBqDXp-XtzJBM"", ""'ESC'!BL3:BL139""),MATCH($D3,IMPORTRANGE(""17pNv02DXDpQT9S3w4-QeNym2QJy2BzMBqDXp-XtzJBM"", ""'ESC'!D3:D139""),0))"),602)</f>
        <v>602</v>
      </c>
      <c r="AE3" s="2">
        <f ca="1">IFERROR(__xludf.DUMMYFUNCTION("INDEX(IMPORTRANGE(""17pNv02DXDpQT9S3w4-QeNym2QJy2BzMBqDXp-XtzJBM"", ""'ESC'!BM3:BM139""),MATCH($D3,IMPORTRANGE(""17pNv02DXDpQT9S3w4-QeNym2QJy2BzMBqDXp-XtzJBM"", ""'ESC'!D3:D139""),0))"),678)</f>
        <v>678</v>
      </c>
      <c r="AF3" s="1"/>
    </row>
    <row r="4" spans="1:32">
      <c r="A4" s="7" t="s">
        <v>34</v>
      </c>
      <c r="B4" s="7" t="s">
        <v>40</v>
      </c>
      <c r="C4" s="1" t="s">
        <v>30</v>
      </c>
      <c r="D4" s="1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473</v>
      </c>
      <c r="R4" s="2">
        <v>473</v>
      </c>
      <c r="S4" s="2">
        <f ca="1">IFERROR(__xludf.DUMMYFUNCTION("INDEX(IMPORTRANGE(""17pNv02DXDpQT9S3w4-QeNym2QJy2BzMBqDXp-XtzJBM"", ""'ESC'!BG3:BG139""),MATCH($D4,IMPORTRANGE(""17pNv02DXDpQT9S3w4-QeNym2QJy2BzMBqDXp-XtzJBM"", ""'ESC'!D3:D139""),0))"),473)</f>
        <v>473</v>
      </c>
      <c r="T4" s="4"/>
      <c r="U4" s="4"/>
      <c r="V4" s="4"/>
      <c r="W4" s="4"/>
      <c r="X4" s="4"/>
      <c r="Y4" s="4"/>
      <c r="Z4" s="2">
        <f ca="1">IFERROR(__xludf.DUMMYFUNCTION("INDEX(IMPORTRANGE(""17pNv02DXDpQT9S3w4-QeNym2QJy2BzMBqDXp-XtzJBM"", ""'ESC'!BH3:BH139""),MATCH($D4,IMPORTRANGE(""17pNv02DXDpQT9S3w4-QeNym2QJy2BzMBqDXp-XtzJBM"", ""'ESC'!D3:D139""),0))"),512)</f>
        <v>512</v>
      </c>
      <c r="AA4" s="2">
        <f ca="1">IFERROR(__xludf.DUMMYFUNCTION("INDEX(IMPORTRANGE(""17pNv02DXDpQT9S3w4-QeNym2QJy2BzMBqDXp-XtzJBM"", ""'ESC'!BI3:BI139""),MATCH($D4,IMPORTRANGE(""17pNv02DXDpQT9S3w4-QeNym2QJy2BzMBqDXp-XtzJBM"", ""'ESC'!D3:D139""),0))"),496)</f>
        <v>496</v>
      </c>
      <c r="AB4" s="2">
        <f ca="1">IFERROR(__xludf.DUMMYFUNCTION("INDEX(IMPORTRANGE(""17pNv02DXDpQT9S3w4-QeNym2QJy2BzMBqDXp-XtzJBM"", ""'ESC'!BJ3:BJ139""),MATCH($D4,IMPORTRANGE(""17pNv02DXDpQT9S3w4-QeNym2QJy2BzMBqDXp-XtzJBM"", ""'ESC'!D3:D139""),0))"),504)</f>
        <v>504</v>
      </c>
      <c r="AC4" s="2">
        <f ca="1">IFERROR(__xludf.DUMMYFUNCTION("INDEX(IMPORTRANGE(""17pNv02DXDpQT9S3w4-QeNym2QJy2BzMBqDXp-XtzJBM"", ""'ESC'!BK3:BK139""),MATCH($D4,IMPORTRANGE(""17pNv02DXDpQT9S3w4-QeNym2QJy2BzMBqDXp-XtzJBM"", ""'ESC'!D3:D139""),0))"),544)</f>
        <v>544</v>
      </c>
      <c r="AD4" s="2">
        <f ca="1">IFERROR(__xludf.DUMMYFUNCTION("INDEX(IMPORTRANGE(""17pNv02DXDpQT9S3w4-QeNym2QJy2BzMBqDXp-XtzJBM"", ""'ESC'!BL3:BL139""),MATCH($D4,IMPORTRANGE(""17pNv02DXDpQT9S3w4-QeNym2QJy2BzMBqDXp-XtzJBM"", ""'ESC'!D3:D139""),0))"),583)</f>
        <v>583</v>
      </c>
      <c r="AE4" s="2">
        <f ca="1">IFERROR(__xludf.DUMMYFUNCTION("INDEX(IMPORTRANGE(""17pNv02DXDpQT9S3w4-QeNym2QJy2BzMBqDXp-XtzJBM"", ""'ESC'!BM3:BM139""),MATCH($D4,IMPORTRANGE(""17pNv02DXDpQT9S3w4-QeNym2QJy2BzMBqDXp-XtzJBM"", ""'ESC'!D3:D139""),0))"),600)</f>
        <v>600</v>
      </c>
      <c r="AF4" s="1"/>
    </row>
    <row r="5" spans="1:32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0.89077212806026362</v>
      </c>
      <c r="R5" s="15">
        <f t="shared" si="0"/>
        <v>0.89077212806026362</v>
      </c>
      <c r="S5" s="15">
        <f ca="1">IFERROR(__xludf.DUMMYFUNCTION("INDEX(IMPORTRANGE(""17pNv02DXDpQT9S3w4-QeNym2QJy2BzMBqDXp-XtzJBM"", ""'ESC'!BG3:BG139""),MATCH($D5,IMPORTRANGE(""17pNv02DXDpQT9S3w4-QeNym2QJy2BzMBqDXp-XtzJBM"", ""'ESC'!D3:D139""),0))"),0.890772128060263)</f>
        <v>0.89077212806026296</v>
      </c>
      <c r="T5" s="14" t="s">
        <v>327</v>
      </c>
      <c r="U5" s="14" t="s">
        <v>327</v>
      </c>
      <c r="V5" s="14" t="s">
        <v>327</v>
      </c>
      <c r="W5" s="14" t="s">
        <v>327</v>
      </c>
      <c r="X5" s="14" t="s">
        <v>327</v>
      </c>
      <c r="Y5" s="14" t="s">
        <v>327</v>
      </c>
      <c r="Z5" s="15">
        <f ca="1">IFERROR(__xludf.DUMMYFUNCTION("INDEX(IMPORTRANGE(""17pNv02DXDpQT9S3w4-QeNym2QJy2BzMBqDXp-XtzJBM"", ""'ESC'!BH3:BH139""),MATCH($D5,IMPORTRANGE(""17pNv02DXDpQT9S3w4-QeNym2QJy2BzMBqDXp-XtzJBM"", ""'ESC'!D3:D139""),0))"),0.944649446494464)</f>
        <v>0.94464944649446403</v>
      </c>
      <c r="AA5" s="15">
        <f ca="1">IFERROR(__xludf.DUMMYFUNCTION("INDEX(IMPORTRANGE(""17pNv02DXDpQT9S3w4-QeNym2QJy2BzMBqDXp-XtzJBM"", ""'ESC'!BI3:BI139""),MATCH($D5,IMPORTRANGE(""17pNv02DXDpQT9S3w4-QeNym2QJy2BzMBqDXp-XtzJBM"", ""'ESC'!D3:D139""),0))"),0.928838951310861)</f>
        <v>0.92883895131086103</v>
      </c>
      <c r="AB5" s="15">
        <f ca="1">IFERROR(__xludf.DUMMYFUNCTION("INDEX(IMPORTRANGE(""17pNv02DXDpQT9S3w4-QeNym2QJy2BzMBqDXp-XtzJBM"", ""'ESC'!BJ3:BJ139""),MATCH($D5,IMPORTRANGE(""17pNv02DXDpQT9S3w4-QeNym2QJy2BzMBqDXp-XtzJBM"", ""'ESC'!D3:D139""),0))"),0.933333333333333)</f>
        <v>0.93333333333333302</v>
      </c>
      <c r="AC5" s="15">
        <f ca="1">IFERROR(__xludf.DUMMYFUNCTION("INDEX(IMPORTRANGE(""17pNv02DXDpQT9S3w4-QeNym2QJy2BzMBqDXp-XtzJBM"", ""'ESC'!BK3:BK139""),MATCH($D5,IMPORTRANGE(""17pNv02DXDpQT9S3w4-QeNym2QJy2BzMBqDXp-XtzJBM"", ""'ESC'!D3:D139""),0))"),0.933104631217838)</f>
        <v>0.93310463121783804</v>
      </c>
      <c r="AD5" s="15">
        <f ca="1">IFERROR(__xludf.DUMMYFUNCTION("INDEX(IMPORTRANGE(""17pNv02DXDpQT9S3w4-QeNym2QJy2BzMBqDXp-XtzJBM"", ""'ESC'!BL3:BL139""),MATCH($D5,IMPORTRANGE(""17pNv02DXDpQT9S3w4-QeNym2QJy2BzMBqDXp-XtzJBM"", ""'ESC'!D3:D139""),0))"),0.96843853820598)</f>
        <v>0.96843853820598003</v>
      </c>
      <c r="AE5" s="15">
        <f ca="1">IFERROR(__xludf.DUMMYFUNCTION("INDEX(IMPORTRANGE(""17pNv02DXDpQT9S3w4-QeNym2QJy2BzMBqDXp-XtzJBM"", ""'ESC'!BM3:BM139""),MATCH($D5,IMPORTRANGE(""17pNv02DXDpQT9S3w4-QeNym2QJy2BzMBqDXp-XtzJBM"", ""'ESC'!D3:D139""),0))"),0.884955752212389)</f>
        <v>0.88495575221238898</v>
      </c>
      <c r="AF5" s="1"/>
    </row>
    <row r="6" spans="1:32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12"/>
      <c r="R6" s="2"/>
      <c r="S6" s="2">
        <f ca="1">IFERROR(__xludf.DUMMYFUNCTION("INDEX(IMPORTRANGE(""17pNv02DXDpQT9S3w4-QeNym2QJy2BzMBqDXp-XtzJBM"", ""'ESC'!BG3:BG139""),MATCH($D6,IMPORTRANGE(""17pNv02DXDpQT9S3w4-QeNym2QJy2BzMBqDXp-XtzJBM"", ""'ESC'!D3:D139""),0))"),10)</f>
        <v>10</v>
      </c>
      <c r="T6" s="2"/>
      <c r="U6" s="2"/>
      <c r="V6" s="2"/>
      <c r="W6" s="2"/>
      <c r="X6" s="2"/>
      <c r="Y6" s="14"/>
      <c r="Z6" s="2">
        <f ca="1">IFERROR(__xludf.DUMMYFUNCTION("INDEX(IMPORTRANGE(""17pNv02DXDpQT9S3w4-QeNym2QJy2BzMBqDXp-XtzJBM"", ""'ESC'!BH3:BH139""),MATCH($D6,IMPORTRANGE(""17pNv02DXDpQT9S3w4-QeNym2QJy2BzMBqDXp-XtzJBM"", ""'ESC'!D3:D139""),0))"),5)</f>
        <v>5</v>
      </c>
      <c r="AA6" s="2">
        <f ca="1">IFERROR(__xludf.DUMMYFUNCTION("INDEX(IMPORTRANGE(""17pNv02DXDpQT9S3w4-QeNym2QJy2BzMBqDXp-XtzJBM"", ""'ESC'!BI3:BI139""),MATCH($D6,IMPORTRANGE(""17pNv02DXDpQT9S3w4-QeNym2QJy2BzMBqDXp-XtzJBM"", ""'ESC'!D3:D139""),0))"),8)</f>
        <v>8</v>
      </c>
      <c r="AB6" s="2">
        <f ca="1">IFERROR(__xludf.DUMMYFUNCTION("INDEX(IMPORTRANGE(""17pNv02DXDpQT9S3w4-QeNym2QJy2BzMBqDXp-XtzJBM"", ""'ESC'!BJ3:BJ139""),MATCH($D6,IMPORTRANGE(""17pNv02DXDpQT9S3w4-QeNym2QJy2BzMBqDXp-XtzJBM"", ""'ESC'!D3:D139""),0))"),0)</f>
        <v>0</v>
      </c>
      <c r="AC6" s="2">
        <f ca="1">IFERROR(__xludf.DUMMYFUNCTION("INDEX(IMPORTRANGE(""17pNv02DXDpQT9S3w4-QeNym2QJy2BzMBqDXp-XtzJBM"", ""'ESC'!BK3:BK139""),MATCH($D6,IMPORTRANGE(""17pNv02DXDpQT9S3w4-QeNym2QJy2BzMBqDXp-XtzJBM"", ""'ESC'!D3:D139""),0))"),38)</f>
        <v>38</v>
      </c>
      <c r="AD6" s="2">
        <f ca="1">IFERROR(__xludf.DUMMYFUNCTION("INDEX(IMPORTRANGE(""17pNv02DXDpQT9S3w4-QeNym2QJy2BzMBqDXp-XtzJBM"", ""'ESC'!BL3:BL139""),MATCH($D6,IMPORTRANGE(""17pNv02DXDpQT9S3w4-QeNym2QJy2BzMBqDXp-XtzJBM"", ""'ESC'!D3:D139""),0))"),44)</f>
        <v>44</v>
      </c>
      <c r="AE6" s="2">
        <f ca="1">IFERROR(__xludf.DUMMYFUNCTION("INDEX(IMPORTRANGE(""17pNv02DXDpQT9S3w4-QeNym2QJy2BzMBqDXp-XtzJBM"", ""'ESC'!BM3:BM139""),MATCH($D6,IMPORTRANGE(""17pNv02DXDpQT9S3w4-QeNym2QJy2BzMBqDXp-XtzJBM"", ""'ESC'!D3:D139""),0))"),48)</f>
        <v>48</v>
      </c>
      <c r="AF6" s="1"/>
    </row>
    <row r="7" spans="1:32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5"/>
      <c r="R7" s="15"/>
      <c r="S7" s="15" t="str">
        <f ca="1">IFERROR(__xludf.DUMMYFUNCTION("INDEX(IMPORTRANGE(""17pNv02DXDpQT9S3w4-QeNym2QJy2BzMBqDXp-XtzJBM"", ""'ESC'!BG3:BG139""),MATCH($D7,IMPORTRANGE(""17pNv02DXDpQT9S3w4-QeNym2QJy2BzMBqDXp-XtzJBM"", ""'ESC'!D3:D139""),0))"),"")</f>
        <v/>
      </c>
      <c r="T7" s="2"/>
      <c r="U7" s="2">
        <f>7%/5</f>
        <v>1.4000000000000002E-2</v>
      </c>
      <c r="V7" s="2"/>
      <c r="W7" s="2"/>
      <c r="X7" s="2"/>
      <c r="Y7" s="14">
        <v>7.0000000000000007E-2</v>
      </c>
      <c r="Z7" s="2">
        <f ca="1">IFERROR(__xludf.DUMMYFUNCTION("INDEX(IMPORTRANGE(""17pNv02DXDpQT9S3w4-QeNym2QJy2BzMBqDXp-XtzJBM"", ""'ESC'!BH3:BH139""),MATCH($D7,IMPORTRANGE(""17pNv02DXDpQT9S3w4-QeNym2QJy2BzMBqDXp-XtzJBM"", ""'ESC'!D3:D139""),0))"),0)</f>
        <v>0</v>
      </c>
      <c r="AA7" s="2" t="str">
        <f ca="1">IFERROR(__xludf.DUMMYFUNCTION("INDEX(IMPORTRANGE(""17pNv02DXDpQT9S3w4-QeNym2QJy2BzMBqDXp-XtzJBM"", ""'ESC'!BI3:BI139""),MATCH($D7,IMPORTRANGE(""17pNv02DXDpQT9S3w4-QeNym2QJy2BzMBqDXp-XtzJBM"", ""'ESC'!D3:D139""),0))"),"")</f>
        <v/>
      </c>
      <c r="AB7" s="2">
        <f ca="1">IFERROR(__xludf.DUMMYFUNCTION("INDEX(IMPORTRANGE(""17pNv02DXDpQT9S3w4-QeNym2QJy2BzMBqDXp-XtzJBM"", ""'ESC'!BJ3:BJ139""),MATCH($D7,IMPORTRANGE(""17pNv02DXDpQT9S3w4-QeNym2QJy2BzMBqDXp-XtzJBM"", ""'ESC'!D3:D139""),0))"),0)</f>
        <v>0</v>
      </c>
      <c r="AC7" s="2">
        <f ca="1">IFERROR(__xludf.DUMMYFUNCTION("INDEX(IMPORTRANGE(""17pNv02DXDpQT9S3w4-QeNym2QJy2BzMBqDXp-XtzJBM"", ""'ESC'!BK3:BK139""),MATCH($D7,IMPORTRANGE(""17pNv02DXDpQT9S3w4-QeNym2QJy2BzMBqDXp-XtzJBM"", ""'ESC'!D3:D139""),0))"),0)</f>
        <v>0</v>
      </c>
      <c r="AD7" s="2">
        <f ca="1">IFERROR(__xludf.DUMMYFUNCTION("INDEX(IMPORTRANGE(""17pNv02DXDpQT9S3w4-QeNym2QJy2BzMBqDXp-XtzJBM"", ""'ESC'!BL3:BL139""),MATCH($D7,IMPORTRANGE(""17pNv02DXDpQT9S3w4-QeNym2QJy2BzMBqDXp-XtzJBM"", ""'ESC'!D3:D139""),0))"),0)</f>
        <v>0</v>
      </c>
      <c r="AE7" s="2">
        <f ca="1">IFERROR(__xludf.DUMMYFUNCTION("INDEX(IMPORTRANGE(""17pNv02DXDpQT9S3w4-QeNym2QJy2BzMBqDXp-XtzJBM"", ""'ESC'!BM3:BM139""),MATCH($D7,IMPORTRANGE(""17pNv02DXDpQT9S3w4-QeNym2QJy2BzMBqDXp-XtzJBM"", ""'ESC'!D3:D139""),0))"),0)</f>
        <v>0</v>
      </c>
      <c r="AF7" s="1"/>
    </row>
    <row r="8" spans="1:32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5">
        <f t="shared" ref="Q8:R8" si="1">Q6/Q2</f>
        <v>0</v>
      </c>
      <c r="R8" s="15">
        <f t="shared" si="1"/>
        <v>0</v>
      </c>
      <c r="S8" s="15">
        <f ca="1">IFERROR(__xludf.DUMMYFUNCTION("INDEX(IMPORTRANGE(""17pNv02DXDpQT9S3w4-QeNym2QJy2BzMBqDXp-XtzJBM"", ""'ESC'!BG3:BG139""),MATCH($D8,IMPORTRANGE(""17pNv02DXDpQT9S3w4-QeNym2QJy2BzMBqDXp-XtzJBM"", ""'ESC'!D3:D139""),0))"),0.0188323917137476)</f>
        <v>1.88323917137476E-2</v>
      </c>
      <c r="T8" s="14">
        <v>0.02</v>
      </c>
      <c r="U8" s="14">
        <v>0.04</v>
      </c>
      <c r="V8" s="14">
        <v>0.06</v>
      </c>
      <c r="W8" s="14">
        <v>0.08</v>
      </c>
      <c r="X8" s="15">
        <f>((Y8-W8)/6)*5+W8</f>
        <v>9.6666666666666679E-2</v>
      </c>
      <c r="Y8" s="14">
        <v>0.1</v>
      </c>
      <c r="Z8" s="15">
        <f ca="1">IFERROR(__xludf.DUMMYFUNCTION("INDEX(IMPORTRANGE(""17pNv02DXDpQT9S3w4-QeNym2QJy2BzMBqDXp-XtzJBM"", ""'ESC'!BH3:BH139""),MATCH($D8,IMPORTRANGE(""17pNv02DXDpQT9S3w4-QeNym2QJy2BzMBqDXp-XtzJBM"", ""'ESC'!D3:D139""),0))"),0.00922509225092251)</f>
        <v>9.2250922509225092E-3</v>
      </c>
      <c r="AA8" s="15">
        <f ca="1">IFERROR(__xludf.DUMMYFUNCTION("INDEX(IMPORTRANGE(""17pNv02DXDpQT9S3w4-QeNym2QJy2BzMBqDXp-XtzJBM"", ""'ESC'!BI3:BI139""),MATCH($D8,IMPORTRANGE(""17pNv02DXDpQT9S3w4-QeNym2QJy2BzMBqDXp-XtzJBM"", ""'ESC'!D3:D139""),0))"),0.0149812734082397)</f>
        <v>1.4981273408239701E-2</v>
      </c>
      <c r="AB8" s="15">
        <f ca="1">IFERROR(__xludf.DUMMYFUNCTION("INDEX(IMPORTRANGE(""17pNv02DXDpQT9S3w4-QeNym2QJy2BzMBqDXp-XtzJBM"", ""'ESC'!BJ3:BJ139""),MATCH($D8,IMPORTRANGE(""17pNv02DXDpQT9S3w4-QeNym2QJy2BzMBqDXp-XtzJBM"", ""'ESC'!D3:D139""),0))"),0)</f>
        <v>0</v>
      </c>
      <c r="AC8" s="15">
        <f ca="1">IFERROR(__xludf.DUMMYFUNCTION("INDEX(IMPORTRANGE(""17pNv02DXDpQT9S3w4-QeNym2QJy2BzMBqDXp-XtzJBM"", ""'ESC'!BK3:BK139""),MATCH($D8,IMPORTRANGE(""17pNv02DXDpQT9S3w4-QeNym2QJy2BzMBqDXp-XtzJBM"", ""'ESC'!D3:D139""),0))"),0.0651801029159519)</f>
        <v>6.5180102915951901E-2</v>
      </c>
      <c r="AD8" s="15">
        <f ca="1">IFERROR(__xludf.DUMMYFUNCTION("INDEX(IMPORTRANGE(""17pNv02DXDpQT9S3w4-QeNym2QJy2BzMBqDXp-XtzJBM"", ""'ESC'!BL3:BL139""),MATCH($D8,IMPORTRANGE(""17pNv02DXDpQT9S3w4-QeNym2QJy2BzMBqDXp-XtzJBM"", ""'ESC'!D3:D139""),0))"),0.0730897009966777)</f>
        <v>7.3089700996677706E-2</v>
      </c>
      <c r="AE8" s="15">
        <f ca="1">IFERROR(__xludf.DUMMYFUNCTION("INDEX(IMPORTRANGE(""17pNv02DXDpQT9S3w4-QeNym2QJy2BzMBqDXp-XtzJBM"", ""'ESC'!BM3:BM139""),MATCH($D8,IMPORTRANGE(""17pNv02DXDpQT9S3w4-QeNym2QJy2BzMBqDXp-XtzJBM"", ""'ESC'!D3:D139""),0))"),0.0707964601769911)</f>
        <v>7.0796460176991094E-2</v>
      </c>
      <c r="AF8" s="1"/>
    </row>
    <row r="9" spans="1:32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2">
        <v>0</v>
      </c>
      <c r="R9" s="2">
        <v>0</v>
      </c>
      <c r="S9" s="2" t="str">
        <f ca="1">IFERROR(__xludf.DUMMYFUNCTION("INDEX(IMPORTRANGE(""17pNv02DXDpQT9S3w4-QeNym2QJy2BzMBqDXp-XtzJBM"", ""'ESC'!BG3:BG139""),MATCH($D9,IMPORTRANGE(""17pNv02DXDpQT9S3w4-QeNym2QJy2BzMBqDXp-XtzJBM"", ""'ESC'!D3:D139""),0))"),"")</f>
        <v/>
      </c>
      <c r="T9" s="4"/>
      <c r="U9" s="4"/>
      <c r="V9" s="4"/>
      <c r="W9" s="4"/>
      <c r="X9" s="4"/>
      <c r="Y9" s="4"/>
      <c r="Z9" s="2">
        <f ca="1">IFERROR(__xludf.DUMMYFUNCTION("INDEX(IMPORTRANGE(""17pNv02DXDpQT9S3w4-QeNym2QJy2BzMBqDXp-XtzJBM"", ""'ESC'!BH3:BH139""),MATCH($D9,IMPORTRANGE(""17pNv02DXDpQT9S3w4-QeNym2QJy2BzMBqDXp-XtzJBM"", ""'ESC'!D3:D139""),0))"),1)</f>
        <v>1</v>
      </c>
      <c r="AA9" s="2">
        <f ca="1">IFERROR(__xludf.DUMMYFUNCTION("INDEX(IMPORTRANGE(""17pNv02DXDpQT9S3w4-QeNym2QJy2BzMBqDXp-XtzJBM"", ""'ESC'!BI3:BI139""),MATCH($D9,IMPORTRANGE(""17pNv02DXDpQT9S3w4-QeNym2QJy2BzMBqDXp-XtzJBM"", ""'ESC'!D3:D139""),0))"),165)</f>
        <v>165</v>
      </c>
      <c r="AB9" s="2">
        <f ca="1">IFERROR(__xludf.DUMMYFUNCTION("INDEX(IMPORTRANGE(""17pNv02DXDpQT9S3w4-QeNym2QJy2BzMBqDXp-XtzJBM"", ""'ESC'!BJ3:BJ139""),MATCH($D9,IMPORTRANGE(""17pNv02DXDpQT9S3w4-QeNym2QJy2BzMBqDXp-XtzJBM"", ""'ESC'!D3:D139""),0))"),115)</f>
        <v>115</v>
      </c>
      <c r="AC9" s="2">
        <f ca="1">IFERROR(__xludf.DUMMYFUNCTION("INDEX(IMPORTRANGE(""17pNv02DXDpQT9S3w4-QeNym2QJy2BzMBqDXp-XtzJBM"", ""'ESC'!BK3:BK139""),MATCH($D9,IMPORTRANGE(""17pNv02DXDpQT9S3w4-QeNym2QJy2BzMBqDXp-XtzJBM"", ""'ESC'!D3:D139""),0))"),430)</f>
        <v>430</v>
      </c>
      <c r="AD9" s="2">
        <f ca="1">IFERROR(__xludf.DUMMYFUNCTION("INDEX(IMPORTRANGE(""17pNv02DXDpQT9S3w4-QeNym2QJy2BzMBqDXp-XtzJBM"", ""'ESC'!BL3:BL139""),MATCH($D9,IMPORTRANGE(""17pNv02DXDpQT9S3w4-QeNym2QJy2BzMBqDXp-XtzJBM"", ""'ESC'!D3:D139""),0))"),61)</f>
        <v>61</v>
      </c>
      <c r="AE9" s="2">
        <f ca="1">IFERROR(__xludf.DUMMYFUNCTION("INDEX(IMPORTRANGE(""17pNv02DXDpQT9S3w4-QeNym2QJy2BzMBqDXp-XtzJBM"", ""'ESC'!BM3:BM139""),MATCH($D9,IMPORTRANGE(""17pNv02DXDpQT9S3w4-QeNym2QJy2BzMBqDXp-XtzJBM"", ""'ESC'!D3:D139""),0))"),466)</f>
        <v>466</v>
      </c>
      <c r="AF9" s="1"/>
    </row>
    <row r="10" spans="1:32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2117</v>
      </c>
      <c r="R10" s="12">
        <v>4034</v>
      </c>
      <c r="S10" s="12">
        <f ca="1">IFERROR(__xludf.DUMMYFUNCTION("INDEX(IMPORTRANGE(""17pNv02DXDpQT9S3w4-QeNym2QJy2BzMBqDXp-XtzJBM"", ""'ESC'!BG3:BG139""),MATCH($D10,IMPORTRANGE(""17pNv02DXDpQT9S3w4-QeNym2QJy2BzMBqDXp-XtzJBM"", ""'ESC'!D3:D139""),0))"),4034)</f>
        <v>4034</v>
      </c>
      <c r="T10" s="4"/>
      <c r="U10" s="4"/>
      <c r="V10" s="4"/>
      <c r="W10" s="4"/>
      <c r="X10" s="4"/>
      <c r="Y10" s="4"/>
      <c r="Z10" s="2">
        <f ca="1">IFERROR(__xludf.DUMMYFUNCTION("INDEX(IMPORTRANGE(""17pNv02DXDpQT9S3w4-QeNym2QJy2BzMBqDXp-XtzJBM"", ""'ESC'!BH3:BH139""),MATCH($D10,IMPORTRANGE(""17pNv02DXDpQT9S3w4-QeNym2QJy2BzMBqDXp-XtzJBM"", ""'ESC'!D3:D139""),0))"),1931)</f>
        <v>1931</v>
      </c>
      <c r="AA10" s="2">
        <f ca="1">IFERROR(__xludf.DUMMYFUNCTION("INDEX(IMPORTRANGE(""17pNv02DXDpQT9S3w4-QeNym2QJy2BzMBqDXp-XtzJBM"", ""'ESC'!BI3:BI139""),MATCH($D10,IMPORTRANGE(""17pNv02DXDpQT9S3w4-QeNym2QJy2BzMBqDXp-XtzJBM"", ""'ESC'!D3:D139""),0))"),4251)</f>
        <v>4251</v>
      </c>
      <c r="AB10" s="2">
        <f ca="1">IFERROR(__xludf.DUMMYFUNCTION("INDEX(IMPORTRANGE(""17pNv02DXDpQT9S3w4-QeNym2QJy2BzMBqDXp-XtzJBM"", ""'ESC'!BJ3:BJ139""),MATCH($D10,IMPORTRANGE(""17pNv02DXDpQT9S3w4-QeNym2QJy2BzMBqDXp-XtzJBM"", ""'ESC'!D3:D139""),0))"),1820)</f>
        <v>1820</v>
      </c>
      <c r="AC10" s="2">
        <f ca="1">IFERROR(__xludf.DUMMYFUNCTION("INDEX(IMPORTRANGE(""17pNv02DXDpQT9S3w4-QeNym2QJy2BzMBqDXp-XtzJBM"", ""'ESC'!BK3:BK139""),MATCH($D10,IMPORTRANGE(""17pNv02DXDpQT9S3w4-QeNym2QJy2BzMBqDXp-XtzJBM"", ""'ESC'!D3:D139""),0))"),5335)</f>
        <v>5335</v>
      </c>
      <c r="AD10" s="2">
        <f ca="1">IFERROR(__xludf.DUMMYFUNCTION("INDEX(IMPORTRANGE(""17pNv02DXDpQT9S3w4-QeNym2QJy2BzMBqDXp-XtzJBM"", ""'ESC'!BL3:BL139""),MATCH($D10,IMPORTRANGE(""17pNv02DXDpQT9S3w4-QeNym2QJy2BzMBqDXp-XtzJBM"", ""'ESC'!D3:D139""),0))"),2953)</f>
        <v>2953</v>
      </c>
      <c r="AE10" s="2">
        <f ca="1">IFERROR(__xludf.DUMMYFUNCTION("INDEX(IMPORTRANGE(""17pNv02DXDpQT9S3w4-QeNym2QJy2BzMBqDXp-XtzJBM"", ""'ESC'!BM3:BM139""),MATCH($D10,IMPORTRANGE(""17pNv02DXDpQT9S3w4-QeNym2QJy2BzMBqDXp-XtzJBM"", ""'ESC'!D3:D139""),0))"),5423)</f>
        <v>5423</v>
      </c>
      <c r="AF10" s="1"/>
    </row>
    <row r="11" spans="1:32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</v>
      </c>
      <c r="R11" s="15">
        <f t="shared" si="2"/>
        <v>0</v>
      </c>
      <c r="S11" s="15">
        <f ca="1">IFERROR(__xludf.DUMMYFUNCTION("INDEX(IMPORTRANGE(""17pNv02DXDpQT9S3w4-QeNym2QJy2BzMBqDXp-XtzJBM"", ""'ESC'!BG3:BG139""),MATCH($D11,IMPORTRANGE(""17pNv02DXDpQT9S3w4-QeNym2QJy2BzMBqDXp-XtzJBM"", ""'ESC'!D3:D139""),0))"),0)</f>
        <v>0</v>
      </c>
      <c r="T11" s="14">
        <v>0.03</v>
      </c>
      <c r="U11" s="14">
        <v>0.06</v>
      </c>
      <c r="V11" s="14">
        <v>0.09</v>
      </c>
      <c r="W11" s="14">
        <v>0.12</v>
      </c>
      <c r="X11" s="15">
        <f>((Y11-W11)/6)*5+W11</f>
        <v>0.14499999999999999</v>
      </c>
      <c r="Y11" s="14">
        <v>0.15</v>
      </c>
      <c r="Z11" s="15">
        <f ca="1">IFERROR(__xludf.DUMMYFUNCTION("INDEX(IMPORTRANGE(""17pNv02DXDpQT9S3w4-QeNym2QJy2BzMBqDXp-XtzJBM"", ""'ESC'!BH3:BH139""),MATCH($D11,IMPORTRANGE(""17pNv02DXDpQT9S3w4-QeNym2QJy2BzMBqDXp-XtzJBM"", ""'ESC'!D3:D139""),0))"),0.000517866390471258)</f>
        <v>5.1786639047125805E-4</v>
      </c>
      <c r="AA11" s="15">
        <f ca="1">IFERROR(__xludf.DUMMYFUNCTION("INDEX(IMPORTRANGE(""17pNv02DXDpQT9S3w4-QeNym2QJy2BzMBqDXp-XtzJBM"", ""'ESC'!BI3:BI139""),MATCH($D11,IMPORTRANGE(""17pNv02DXDpQT9S3w4-QeNym2QJy2BzMBqDXp-XtzJBM"", ""'ESC'!D3:D139""),0))"),0.0388143966125617)</f>
        <v>3.8814396612561697E-2</v>
      </c>
      <c r="AB11" s="15">
        <f ca="1">IFERROR(__xludf.DUMMYFUNCTION("INDEX(IMPORTRANGE(""17pNv02DXDpQT9S3w4-QeNym2QJy2BzMBqDXp-XtzJBM"", ""'ESC'!BJ3:BJ139""),MATCH($D11,IMPORTRANGE(""17pNv02DXDpQT9S3w4-QeNym2QJy2BzMBqDXp-XtzJBM"", ""'ESC'!D3:D139""),0))"),0.0631868131868131)</f>
        <v>6.3186813186813101E-2</v>
      </c>
      <c r="AC11" s="15">
        <f ca="1">IFERROR(__xludf.DUMMYFUNCTION("INDEX(IMPORTRANGE(""17pNv02DXDpQT9S3w4-QeNym2QJy2BzMBqDXp-XtzJBM"", ""'ESC'!BK3:BK139""),MATCH($D11,IMPORTRANGE(""17pNv02DXDpQT9S3w4-QeNym2QJy2BzMBqDXp-XtzJBM"", ""'ESC'!D3:D139""),0))"),0.0805998125585754)</f>
        <v>8.0599812558575401E-2</v>
      </c>
      <c r="AD11" s="15">
        <f ca="1">IFERROR(__xludf.DUMMYFUNCTION("INDEX(IMPORTRANGE(""17pNv02DXDpQT9S3w4-QeNym2QJy2BzMBqDXp-XtzJBM"", ""'ESC'!BL3:BL139""),MATCH($D11,IMPORTRANGE(""17pNv02DXDpQT9S3w4-QeNym2QJy2BzMBqDXp-XtzJBM"", ""'ESC'!D3:D139""),0))"),0.0206569590247206)</f>
        <v>2.06569590247206E-2</v>
      </c>
      <c r="AE11" s="15">
        <f ca="1">IFERROR(__xludf.DUMMYFUNCTION("INDEX(IMPORTRANGE(""17pNv02DXDpQT9S3w4-QeNym2QJy2BzMBqDXp-XtzJBM"", ""'ESC'!BM3:BM139""),MATCH($D11,IMPORTRANGE(""17pNv02DXDpQT9S3w4-QeNym2QJy2BzMBqDXp-XtzJBM"", ""'ESC'!D3:D139""),0))"),0.0859302968836437)</f>
        <v>8.5930296883643703E-2</v>
      </c>
      <c r="AF11" s="1"/>
    </row>
    <row r="12" spans="1:32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34</v>
      </c>
      <c r="R12" s="12">
        <v>81</v>
      </c>
      <c r="S12" s="12">
        <f ca="1">IFERROR(__xludf.DUMMYFUNCTION("INDEX(IMPORTRANGE(""17pNv02DXDpQT9S3w4-QeNym2QJy2BzMBqDXp-XtzJBM"", ""'ESC'!BG3:BG139""),MATCH($D12,IMPORTRANGE(""17pNv02DXDpQT9S3w4-QeNym2QJy2BzMBqDXp-XtzJBM"", ""'ESC'!D3:D139""),0))"),79)</f>
        <v>79</v>
      </c>
      <c r="T12" s="4"/>
      <c r="U12" s="4"/>
      <c r="V12" s="4"/>
      <c r="W12" s="4"/>
      <c r="X12" s="4"/>
      <c r="Y12" s="4"/>
      <c r="Z12" s="2">
        <f ca="1">IFERROR(__xludf.DUMMYFUNCTION("INDEX(IMPORTRANGE(""17pNv02DXDpQT9S3w4-QeNym2QJy2BzMBqDXp-XtzJBM"", ""'ESC'!BH3:BH139""),MATCH($D12,IMPORTRANGE(""17pNv02DXDpQT9S3w4-QeNym2QJy2BzMBqDXp-XtzJBM"", ""'ESC'!D3:D139""),0))"),47)</f>
        <v>47</v>
      </c>
      <c r="AA12" s="2">
        <f ca="1">IFERROR(__xludf.DUMMYFUNCTION("INDEX(IMPORTRANGE(""17pNv02DXDpQT9S3w4-QeNym2QJy2BzMBqDXp-XtzJBM"", ""'ESC'!BI3:BI139""),MATCH($D12,IMPORTRANGE(""17pNv02DXDpQT9S3w4-QeNym2QJy2BzMBqDXp-XtzJBM"", ""'ESC'!D3:D139""),0))"),109)</f>
        <v>109</v>
      </c>
      <c r="AB12" s="2">
        <f ca="1">IFERROR(__xludf.DUMMYFUNCTION("INDEX(IMPORTRANGE(""17pNv02DXDpQT9S3w4-QeNym2QJy2BzMBqDXp-XtzJBM"", ""'ESC'!BJ3:BJ139""),MATCH($D12,IMPORTRANGE(""17pNv02DXDpQT9S3w4-QeNym2QJy2BzMBqDXp-XtzJBM"", ""'ESC'!D3:D139""),0))"),50)</f>
        <v>50</v>
      </c>
      <c r="AC12" s="2">
        <f ca="1">IFERROR(__xludf.DUMMYFUNCTION("INDEX(IMPORTRANGE(""17pNv02DXDpQT9S3w4-QeNym2QJy2BzMBqDXp-XtzJBM"", ""'ESC'!BK3:BK139""),MATCH($D12,IMPORTRANGE(""17pNv02DXDpQT9S3w4-QeNym2QJy2BzMBqDXp-XtzJBM"", ""'ESC'!D3:D139""),0))"),83)</f>
        <v>83</v>
      </c>
      <c r="AD12" s="2">
        <f ca="1">IFERROR(__xludf.DUMMYFUNCTION("INDEX(IMPORTRANGE(""17pNv02DXDpQT9S3w4-QeNym2QJy2BzMBqDXp-XtzJBM"", ""'ESC'!BL3:BL139""),MATCH($D12,IMPORTRANGE(""17pNv02DXDpQT9S3w4-QeNym2QJy2BzMBqDXp-XtzJBM"", ""'ESC'!D3:D139""),0))"),26)</f>
        <v>26</v>
      </c>
      <c r="AE12" s="2">
        <f ca="1">IFERROR(__xludf.DUMMYFUNCTION("INDEX(IMPORTRANGE(""17pNv02DXDpQT9S3w4-QeNym2QJy2BzMBqDXp-XtzJBM"", ""'ESC'!BM3:BM139""),MATCH($D12,IMPORTRANGE(""17pNv02DXDpQT9S3w4-QeNym2QJy2BzMBqDXp-XtzJBM"", ""'ESC'!D3:D139""),0))"),63)</f>
        <v>63</v>
      </c>
      <c r="AF12" s="1"/>
    </row>
    <row r="13" spans="1:32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7.1900912084217108</v>
      </c>
      <c r="R13" s="23">
        <f t="shared" si="3"/>
        <v>17.129334937710546</v>
      </c>
      <c r="S13" s="23">
        <f ca="1">IFERROR(__xludf.DUMMYFUNCTION("INDEX(IMPORTRANGE(""17pNv02DXDpQT9S3w4-QeNym2QJy2BzMBqDXp-XtzJBM"", ""'ESC'!BG3:BG139""),MATCH($D13,IMPORTRANGE(""17pNv02DXDpQT9S3w4-QeNym2QJy2BzMBqDXp-XtzJBM"", ""'ESC'!D3:D139""),0))"),16.7063883960386)</f>
        <v>16.706388396038601</v>
      </c>
      <c r="T13" s="2">
        <v>14.1</v>
      </c>
      <c r="U13" s="2">
        <v>4.9000000000000004</v>
      </c>
      <c r="V13" s="2">
        <v>11.6</v>
      </c>
      <c r="W13" s="2">
        <v>3.4</v>
      </c>
      <c r="X13" s="24">
        <f ca="1">+S13*(1+(Y13-R13)/R13)</f>
        <v>7.8024691358024327</v>
      </c>
      <c r="Y13" s="2">
        <v>8</v>
      </c>
      <c r="Z13" s="23">
        <f ca="1">IFERROR(__xludf.DUMMYFUNCTION("INDEX(IMPORTRANGE(""17pNv02DXDpQT9S3w4-QeNym2QJy2BzMBqDXp-XtzJBM"", ""'ESC'!BH3:BH139""),MATCH($D13,IMPORTRANGE(""17pNv02DXDpQT9S3w4-QeNym2QJy2BzMBqDXp-XtzJBM"", ""'ESC'!D3:D139""),0))"),9.81801166463343)</f>
        <v>9.8180116646334294</v>
      </c>
      <c r="AA13" s="23">
        <f ca="1">IFERROR(__xludf.DUMMYFUNCTION("INDEX(IMPORTRANGE(""17pNv02DXDpQT9S3w4-QeNym2QJy2BzMBqDXp-XtzJBM"", ""'ESC'!BI3:BI139""),MATCH($D13,IMPORTRANGE(""17pNv02DXDpQT9S3w4-QeNym2QJy2BzMBqDXp-XtzJBM"", ""'ESC'!D3:D139""),0))"),22.7694313073413)</f>
        <v>22.7694313073413</v>
      </c>
      <c r="AB13" s="23">
        <f ca="1">IFERROR(__xludf.DUMMYFUNCTION("INDEX(IMPORTRANGE(""17pNv02DXDpQT9S3w4-QeNym2QJy2BzMBqDXp-XtzJBM"", ""'ESC'!BJ3:BJ139""),MATCH($D13,IMPORTRANGE(""17pNv02DXDpQT9S3w4-QeNym2QJy2BzMBqDXp-XtzJBM"", ""'ESC'!D3:D139""),0))"),10.3345073333664)</f>
        <v>10.3345073333664</v>
      </c>
      <c r="AC13" s="23">
        <f ca="1">IFERROR(__xludf.DUMMYFUNCTION("INDEX(IMPORTRANGE(""17pNv02DXDpQT9S3w4-QeNym2QJy2BzMBqDXp-XtzJBM"", ""'ESC'!BK3:BK139""),MATCH($D13,IMPORTRANGE(""17pNv02DXDpQT9S3w4-QeNym2QJy2BzMBqDXp-XtzJBM"", ""'ESC'!D3:D139""),0))"),17.1552821733882)</f>
        <v>17.155282173388201</v>
      </c>
      <c r="AD13" s="23">
        <f ca="1">IFERROR(__xludf.DUMMYFUNCTION("INDEX(IMPORTRANGE(""17pNv02DXDpQT9S3w4-QeNym2QJy2BzMBqDXp-XtzJBM"", ""'ESC'!BL3:BL139""),MATCH($D13,IMPORTRANGE(""17pNv02DXDpQT9S3w4-QeNym2QJy2BzMBqDXp-XtzJBM"", ""'ESC'!D3:D139""),0))"),5.32616622555084)</f>
        <v>5.32616622555084</v>
      </c>
      <c r="AE13" s="23">
        <f ca="1">IFERROR(__xludf.DUMMYFUNCTION("INDEX(IMPORTRANGE(""17pNv02DXDpQT9S3w4-QeNym2QJy2BzMBqDXp-XtzJBM"", ""'ESC'!BM3:BM139""),MATCH($D13,IMPORTRANGE(""17pNv02DXDpQT9S3w4-QeNym2QJy2BzMBqDXp-XtzJBM"", ""'ESC'!D3:D139""),0))"),12.9057104696039)</f>
        <v>12.9057104696039</v>
      </c>
      <c r="AF13" s="1"/>
    </row>
    <row r="14" spans="1:32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231</v>
      </c>
      <c r="R14" s="12">
        <v>407</v>
      </c>
      <c r="S14" s="12">
        <f ca="1">IFERROR(__xludf.DUMMYFUNCTION("INDEX(IMPORTRANGE(""17pNv02DXDpQT9S3w4-QeNym2QJy2BzMBqDXp-XtzJBM"", ""'ESC'!BG3:BG139""),MATCH($D14,IMPORTRANGE(""17pNv02DXDpQT9S3w4-QeNym2QJy2BzMBqDXp-XtzJBM"", ""'ESC'!D3:D139""),0))"),389)</f>
        <v>389</v>
      </c>
      <c r="T14" s="4"/>
      <c r="U14" s="4"/>
      <c r="V14" s="4"/>
      <c r="W14" s="4"/>
      <c r="X14" s="4"/>
      <c r="Y14" s="4"/>
      <c r="Z14" s="2">
        <f ca="1">IFERROR(__xludf.DUMMYFUNCTION("INDEX(IMPORTRANGE(""17pNv02DXDpQT9S3w4-QeNym2QJy2BzMBqDXp-XtzJBM"", ""'ESC'!BH3:BH139""),MATCH($D14,IMPORTRANGE(""17pNv02DXDpQT9S3w4-QeNym2QJy2BzMBqDXp-XtzJBM"", ""'ESC'!D3:D139""),0))"),258)</f>
        <v>258</v>
      </c>
      <c r="AA14" s="2">
        <f ca="1">IFERROR(__xludf.DUMMYFUNCTION("INDEX(IMPORTRANGE(""17pNv02DXDpQT9S3w4-QeNym2QJy2BzMBqDXp-XtzJBM"", ""'ESC'!BI3:BI139""),MATCH($D14,IMPORTRANGE(""17pNv02DXDpQT9S3w4-QeNym2QJy2BzMBqDXp-XtzJBM"", ""'ESC'!D3:D139""),0))"),480)</f>
        <v>480</v>
      </c>
      <c r="AB14" s="2">
        <f ca="1">IFERROR(__xludf.DUMMYFUNCTION("INDEX(IMPORTRANGE(""17pNv02DXDpQT9S3w4-QeNym2QJy2BzMBqDXp-XtzJBM"", ""'ESC'!BJ3:BJ139""),MATCH($D14,IMPORTRANGE(""17pNv02DXDpQT9S3w4-QeNym2QJy2BzMBqDXp-XtzJBM"", ""'ESC'!D3:D139""),0))"),219)</f>
        <v>219</v>
      </c>
      <c r="AC14" s="2">
        <f ca="1">IFERROR(__xludf.DUMMYFUNCTION("INDEX(IMPORTRANGE(""17pNv02DXDpQT9S3w4-QeNym2QJy2BzMBqDXp-XtzJBM"", ""'ESC'!BK3:BK139""),MATCH($D14,IMPORTRANGE(""17pNv02DXDpQT9S3w4-QeNym2QJy2BzMBqDXp-XtzJBM"", ""'ESC'!D3:D139""),0))"),445)</f>
        <v>445</v>
      </c>
      <c r="AD14" s="2">
        <f ca="1">IFERROR(__xludf.DUMMYFUNCTION("INDEX(IMPORTRANGE(""17pNv02DXDpQT9S3w4-QeNym2QJy2BzMBqDXp-XtzJBM"", ""'ESC'!BL3:BL139""),MATCH($D14,IMPORTRANGE(""17pNv02DXDpQT9S3w4-QeNym2QJy2BzMBqDXp-XtzJBM"", ""'ESC'!D3:D139""),0))"),170)</f>
        <v>170</v>
      </c>
      <c r="AE14" s="2">
        <f ca="1">IFERROR(__xludf.DUMMYFUNCTION("INDEX(IMPORTRANGE(""17pNv02DXDpQT9S3w4-QeNym2QJy2BzMBqDXp-XtzJBM"", ""'ESC'!BM3:BM139""),MATCH($D14,IMPORTRANGE(""17pNv02DXDpQT9S3w4-QeNym2QJy2BzMBqDXp-XtzJBM"", ""'ESC'!D3:D139""),0))"),310)</f>
        <v>310</v>
      </c>
      <c r="AF14" s="1"/>
    </row>
    <row r="15" spans="1:32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282</v>
      </c>
      <c r="R15" s="12">
        <v>618</v>
      </c>
      <c r="S15" s="12">
        <f ca="1">IFERROR(__xludf.DUMMYFUNCTION("INDEX(IMPORTRANGE(""17pNv02DXDpQT9S3w4-QeNym2QJy2BzMBqDXp-XtzJBM"", ""'ESC'!BG3:BG139""),MATCH($D15,IMPORTRANGE(""17pNv02DXDpQT9S3w4-QeNym2QJy2BzMBqDXp-XtzJBM"", ""'ESC'!D3:D139""),0))"),562)</f>
        <v>562</v>
      </c>
      <c r="T15" s="4"/>
      <c r="U15" s="4"/>
      <c r="V15" s="4"/>
      <c r="W15" s="4"/>
      <c r="X15" s="4"/>
      <c r="Y15" s="4"/>
      <c r="Z15" s="2">
        <f ca="1">IFERROR(__xludf.DUMMYFUNCTION("INDEX(IMPORTRANGE(""17pNv02DXDpQT9S3w4-QeNym2QJy2BzMBqDXp-XtzJBM"", ""'ESC'!BH3:BH139""),MATCH($D15,IMPORTRANGE(""17pNv02DXDpQT9S3w4-QeNym2QJy2BzMBqDXp-XtzJBM"", ""'ESC'!D3:D139""),0))"),420)</f>
        <v>420</v>
      </c>
      <c r="AA15" s="2">
        <f ca="1">IFERROR(__xludf.DUMMYFUNCTION("INDEX(IMPORTRANGE(""17pNv02DXDpQT9S3w4-QeNym2QJy2BzMBqDXp-XtzJBM"", ""'ESC'!BI3:BI139""),MATCH($D15,IMPORTRANGE(""17pNv02DXDpQT9S3w4-QeNym2QJy2BzMBqDXp-XtzJBM"", ""'ESC'!D3:D139""),0))"),818)</f>
        <v>818</v>
      </c>
      <c r="AB15" s="2">
        <f ca="1">IFERROR(__xludf.DUMMYFUNCTION("INDEX(IMPORTRANGE(""17pNv02DXDpQT9S3w4-QeNym2QJy2BzMBqDXp-XtzJBM"", ""'ESC'!BJ3:BJ139""),MATCH($D15,IMPORTRANGE(""17pNv02DXDpQT9S3w4-QeNym2QJy2BzMBqDXp-XtzJBM"", ""'ESC'!D3:D139""),0))"),323)</f>
        <v>323</v>
      </c>
      <c r="AC15" s="2">
        <f ca="1">IFERROR(__xludf.DUMMYFUNCTION("INDEX(IMPORTRANGE(""17pNv02DXDpQT9S3w4-QeNym2QJy2BzMBqDXp-XtzJBM"", ""'ESC'!BK3:BK139""),MATCH($D15,IMPORTRANGE(""17pNv02DXDpQT9S3w4-QeNym2QJy2BzMBqDXp-XtzJBM"", ""'ESC'!D3:D139""),0))"),687)</f>
        <v>687</v>
      </c>
      <c r="AD15" s="2">
        <f ca="1">IFERROR(__xludf.DUMMYFUNCTION("INDEX(IMPORTRANGE(""17pNv02DXDpQT9S3w4-QeNym2QJy2BzMBqDXp-XtzJBM"", ""'ESC'!BL3:BL139""),MATCH($D15,IMPORTRANGE(""17pNv02DXDpQT9S3w4-QeNym2QJy2BzMBqDXp-XtzJBM"", ""'ESC'!D3:D139""),0))"),315)</f>
        <v>315</v>
      </c>
      <c r="AE15" s="2">
        <f ca="1">IFERROR(__xludf.DUMMYFUNCTION("INDEX(IMPORTRANGE(""17pNv02DXDpQT9S3w4-QeNym2QJy2BzMBqDXp-XtzJBM"", ""'ESC'!BM3:BM139""),MATCH($D15,IMPORTRANGE(""17pNv02DXDpQT9S3w4-QeNym2QJy2BzMBqDXp-XtzJBM"", ""'ESC'!D3:D139""),0))"),522)</f>
        <v>522</v>
      </c>
      <c r="AF15" s="1"/>
    </row>
    <row r="16" spans="1:32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126</v>
      </c>
      <c r="R16" s="12">
        <v>279</v>
      </c>
      <c r="S16" s="12">
        <f ca="1">IFERROR(__xludf.DUMMYFUNCTION("INDEX(IMPORTRANGE(""17pNv02DXDpQT9S3w4-QeNym2QJy2BzMBqDXp-XtzJBM"", ""'ESC'!BG3:BG139""),MATCH($D16,IMPORTRANGE(""17pNv02DXDpQT9S3w4-QeNym2QJy2BzMBqDXp-XtzJBM"", ""'ESC'!D3:D139""),0))"),256)</f>
        <v>256</v>
      </c>
      <c r="T16" s="4"/>
      <c r="U16" s="4"/>
      <c r="V16" s="4"/>
      <c r="W16" s="4"/>
      <c r="X16" s="4"/>
      <c r="Y16" s="4"/>
      <c r="Z16" s="2">
        <f ca="1">IFERROR(__xludf.DUMMYFUNCTION("INDEX(IMPORTRANGE(""17pNv02DXDpQT9S3w4-QeNym2QJy2BzMBqDXp-XtzJBM"", ""'ESC'!BH3:BH139""),MATCH($D16,IMPORTRANGE(""17pNv02DXDpQT9S3w4-QeNym2QJy2BzMBqDXp-XtzJBM"", ""'ESC'!D3:D139""),0))"),174)</f>
        <v>174</v>
      </c>
      <c r="AA16" s="2">
        <f ca="1">IFERROR(__xludf.DUMMYFUNCTION("INDEX(IMPORTRANGE(""17pNv02DXDpQT9S3w4-QeNym2QJy2BzMBqDXp-XtzJBM"", ""'ESC'!BI3:BI139""),MATCH($D16,IMPORTRANGE(""17pNv02DXDpQT9S3w4-QeNym2QJy2BzMBqDXp-XtzJBM"", ""'ESC'!D3:D139""),0))"),336)</f>
        <v>336</v>
      </c>
      <c r="AB16" s="2">
        <f ca="1">IFERROR(__xludf.DUMMYFUNCTION("INDEX(IMPORTRANGE(""17pNv02DXDpQT9S3w4-QeNym2QJy2BzMBqDXp-XtzJBM"", ""'ESC'!BJ3:BJ139""),MATCH($D16,IMPORTRANGE(""17pNv02DXDpQT9S3w4-QeNym2QJy2BzMBqDXp-XtzJBM"", ""'ESC'!D3:D139""),0))"),235)</f>
        <v>235</v>
      </c>
      <c r="AC16" s="2">
        <f ca="1">IFERROR(__xludf.DUMMYFUNCTION("INDEX(IMPORTRANGE(""17pNv02DXDpQT9S3w4-QeNym2QJy2BzMBqDXp-XtzJBM"", ""'ESC'!BK3:BK139""),MATCH($D16,IMPORTRANGE(""17pNv02DXDpQT9S3w4-QeNym2QJy2BzMBqDXp-XtzJBM"", ""'ESC'!D3:D139""),0))"),400)</f>
        <v>400</v>
      </c>
      <c r="AD16" s="2">
        <f ca="1">IFERROR(__xludf.DUMMYFUNCTION("INDEX(IMPORTRANGE(""17pNv02DXDpQT9S3w4-QeNym2QJy2BzMBqDXp-XtzJBM"", ""'ESC'!BL3:BL139""),MATCH($D16,IMPORTRANGE(""17pNv02DXDpQT9S3w4-QeNym2QJy2BzMBqDXp-XtzJBM"", ""'ESC'!D3:D139""),0))"),167)</f>
        <v>167</v>
      </c>
      <c r="AE16" s="2">
        <f ca="1">IFERROR(__xludf.DUMMYFUNCTION("INDEX(IMPORTRANGE(""17pNv02DXDpQT9S3w4-QeNym2QJy2BzMBqDXp-XtzJBM"", ""'ESC'!BM3:BM139""),MATCH($D16,IMPORTRANGE(""17pNv02DXDpQT9S3w4-QeNym2QJy2BzMBqDXp-XtzJBM"", ""'ESC'!D3:D139""),0))"),269)</f>
        <v>269</v>
      </c>
      <c r="AF16" s="1"/>
    </row>
    <row r="17" spans="1:32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68</v>
      </c>
      <c r="R17" s="12">
        <v>131</v>
      </c>
      <c r="S17" s="12">
        <f ca="1">IFERROR(__xludf.DUMMYFUNCTION("INDEX(IMPORTRANGE(""17pNv02DXDpQT9S3w4-QeNym2QJy2BzMBqDXp-XtzJBM"", ""'ESC'!BG3:BG139""),MATCH($D17,IMPORTRANGE(""17pNv02DXDpQT9S3w4-QeNym2QJy2BzMBqDXp-XtzJBM"", ""'ESC'!D3:D139""),0))"),124)</f>
        <v>124</v>
      </c>
      <c r="T17" s="4"/>
      <c r="U17" s="4"/>
      <c r="V17" s="4"/>
      <c r="W17" s="4"/>
      <c r="X17" s="4"/>
      <c r="Y17" s="4"/>
      <c r="Z17" s="2">
        <f ca="1">IFERROR(__xludf.DUMMYFUNCTION("INDEX(IMPORTRANGE(""17pNv02DXDpQT9S3w4-QeNym2QJy2BzMBqDXp-XtzJBM"", ""'ESC'!BH3:BH139""),MATCH($D17,IMPORTRANGE(""17pNv02DXDpQT9S3w4-QeNym2QJy2BzMBqDXp-XtzJBM"", ""'ESC'!D3:D139""),0))"),108)</f>
        <v>108</v>
      </c>
      <c r="AA17" s="2">
        <f ca="1">IFERROR(__xludf.DUMMYFUNCTION("INDEX(IMPORTRANGE(""17pNv02DXDpQT9S3w4-QeNym2QJy2BzMBqDXp-XtzJBM"", ""'ESC'!BI3:BI139""),MATCH($D17,IMPORTRANGE(""17pNv02DXDpQT9S3w4-QeNym2QJy2BzMBqDXp-XtzJBM"", ""'ESC'!D3:D139""),0))"),177)</f>
        <v>177</v>
      </c>
      <c r="AB17" s="2">
        <f ca="1">IFERROR(__xludf.DUMMYFUNCTION("INDEX(IMPORTRANGE(""17pNv02DXDpQT9S3w4-QeNym2QJy2BzMBqDXp-XtzJBM"", ""'ESC'!BJ3:BJ139""),MATCH($D17,IMPORTRANGE(""17pNv02DXDpQT9S3w4-QeNym2QJy2BzMBqDXp-XtzJBM"", ""'ESC'!D3:D139""),0))"),73)</f>
        <v>73</v>
      </c>
      <c r="AC17" s="2">
        <f ca="1">IFERROR(__xludf.DUMMYFUNCTION("INDEX(IMPORTRANGE(""17pNv02DXDpQT9S3w4-QeNym2QJy2BzMBqDXp-XtzJBM"", ""'ESC'!BK3:BK139""),MATCH($D17,IMPORTRANGE(""17pNv02DXDpQT9S3w4-QeNym2QJy2BzMBqDXp-XtzJBM"", ""'ESC'!D3:D139""),0))"),165)</f>
        <v>165</v>
      </c>
      <c r="AD17" s="2">
        <f ca="1">IFERROR(__xludf.DUMMYFUNCTION("INDEX(IMPORTRANGE(""17pNv02DXDpQT9S3w4-QeNym2QJy2BzMBqDXp-XtzJBM"", ""'ESC'!BL3:BL139""),MATCH($D17,IMPORTRANGE(""17pNv02DXDpQT9S3w4-QeNym2QJy2BzMBqDXp-XtzJBM"", ""'ESC'!D3:D139""),0))"),88)</f>
        <v>88</v>
      </c>
      <c r="AE17" s="2">
        <f ca="1">IFERROR(__xludf.DUMMYFUNCTION("INDEX(IMPORTRANGE(""17pNv02DXDpQT9S3w4-QeNym2QJy2BzMBqDXp-XtzJBM"", ""'ESC'!BM3:BM139""),MATCH($D17,IMPORTRANGE(""17pNv02DXDpQT9S3w4-QeNym2QJy2BzMBqDXp-XtzJBM"", ""'ESC'!D3:D139""),0))"),161)</f>
        <v>161</v>
      </c>
      <c r="AF17" s="1"/>
    </row>
    <row r="18" spans="1:32">
      <c r="A18" s="16" t="s">
        <v>52</v>
      </c>
      <c r="B18" s="16" t="s">
        <v>68</v>
      </c>
      <c r="C18" s="8" t="s">
        <v>30</v>
      </c>
      <c r="D18" s="16" t="s">
        <v>342</v>
      </c>
      <c r="E18" s="16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21" t="s">
        <v>363</v>
      </c>
      <c r="P18" s="21" t="s">
        <v>349</v>
      </c>
      <c r="Q18" s="262">
        <f t="shared" ref="Q18:R18" si="4">SUM(Q14:Q17)</f>
        <v>707</v>
      </c>
      <c r="R18" s="262">
        <f t="shared" si="4"/>
        <v>1435</v>
      </c>
      <c r="S18" s="262">
        <f ca="1">IFERROR(__xludf.DUMMYFUNCTION("INDEX(IMPORTRANGE(""17pNv02DXDpQT9S3w4-QeNym2QJy2BzMBqDXp-XtzJBM"", ""'ESC'!BG3:BG139""),MATCH($D18,IMPORTRANGE(""17pNv02DXDpQT9S3w4-QeNym2QJy2BzMBqDXp-XtzJBM"", ""'ESC'!D3:D139""),0))"),1331)</f>
        <v>1331</v>
      </c>
      <c r="T18" s="43"/>
      <c r="U18" s="43"/>
      <c r="V18" s="43"/>
      <c r="W18" s="43"/>
      <c r="X18" s="43"/>
      <c r="Y18" s="43"/>
      <c r="Z18" s="2">
        <f ca="1">IFERROR(__xludf.DUMMYFUNCTION("INDEX(IMPORTRANGE(""17pNv02DXDpQT9S3w4-QeNym2QJy2BzMBqDXp-XtzJBM"", ""'ESC'!BH3:BH139""),MATCH($D18,IMPORTRANGE(""17pNv02DXDpQT9S3w4-QeNym2QJy2BzMBqDXp-XtzJBM"", ""'ESC'!D3:D139""),0))"),960)</f>
        <v>960</v>
      </c>
      <c r="AA18" s="2">
        <f ca="1">IFERROR(__xludf.DUMMYFUNCTION("INDEX(IMPORTRANGE(""17pNv02DXDpQT9S3w4-QeNym2QJy2BzMBqDXp-XtzJBM"", ""'ESC'!BI3:BI139""),MATCH($D18,IMPORTRANGE(""17pNv02DXDpQT9S3w4-QeNym2QJy2BzMBqDXp-XtzJBM"", ""'ESC'!D3:D139""),0))"),1811)</f>
        <v>1811</v>
      </c>
      <c r="AB18" s="2">
        <f ca="1">IFERROR(__xludf.DUMMYFUNCTION("INDEX(IMPORTRANGE(""17pNv02DXDpQT9S3w4-QeNym2QJy2BzMBqDXp-XtzJBM"", ""'ESC'!BJ3:BJ139""),MATCH($D18,IMPORTRANGE(""17pNv02DXDpQT9S3w4-QeNym2QJy2BzMBqDXp-XtzJBM"", ""'ESC'!D3:D139""),0))"),850)</f>
        <v>850</v>
      </c>
      <c r="AC18" s="2">
        <f ca="1">IFERROR(__xludf.DUMMYFUNCTION("INDEX(IMPORTRANGE(""17pNv02DXDpQT9S3w4-QeNym2QJy2BzMBqDXp-XtzJBM"", ""'ESC'!BK3:BK139""),MATCH($D18,IMPORTRANGE(""17pNv02DXDpQT9S3w4-QeNym2QJy2BzMBqDXp-XtzJBM"", ""'ESC'!D3:D139""),0))"),1697)</f>
        <v>1697</v>
      </c>
      <c r="AD18" s="2">
        <f ca="1">IFERROR(__xludf.DUMMYFUNCTION("INDEX(IMPORTRANGE(""17pNv02DXDpQT9S3w4-QeNym2QJy2BzMBqDXp-XtzJBM"", ""'ESC'!BL3:BL139""),MATCH($D18,IMPORTRANGE(""17pNv02DXDpQT9S3w4-QeNym2QJy2BzMBqDXp-XtzJBM"", ""'ESC'!D3:D139""),0))"),740)</f>
        <v>740</v>
      </c>
      <c r="AE18" s="2">
        <f ca="1">IFERROR(__xludf.DUMMYFUNCTION("INDEX(IMPORTRANGE(""17pNv02DXDpQT9S3w4-QeNym2QJy2BzMBqDXp-XtzJBM"", ""'ESC'!BM3:BM139""),MATCH($D18,IMPORTRANGE(""17pNv02DXDpQT9S3w4-QeNym2QJy2BzMBqDXp-XtzJBM"", ""'ESC'!D3:D139""),0))"),1262)</f>
        <v>1262</v>
      </c>
      <c r="AF18" s="314"/>
    </row>
    <row r="19" spans="1:32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149.51160248100442</v>
      </c>
      <c r="R19" s="23">
        <f t="shared" si="5"/>
        <v>303.46414364956343</v>
      </c>
      <c r="S19" s="23">
        <f ca="1">IFERROR(__xludf.DUMMYFUNCTION("INDEX(IMPORTRANGE(""17pNv02DXDpQT9S3w4-QeNym2QJy2BzMBqDXp-XtzJBM"", ""'ESC'!BG3:BG139""),MATCH($D19,IMPORTRANGE(""17pNv02DXDpQT9S3w4-QeNym2QJy2BzMBqDXp-XtzJBM"", ""'ESC'!D3:D139""),0))"),281.470923482626)</f>
        <v>281.47092348262601</v>
      </c>
      <c r="T19" s="2">
        <v>261.60000000000002</v>
      </c>
      <c r="U19" s="2">
        <v>111.1</v>
      </c>
      <c r="V19" s="2">
        <v>225.6</v>
      </c>
      <c r="W19" s="2">
        <v>87.7</v>
      </c>
      <c r="X19" s="24">
        <f ca="1">+S19*(1+(Y19-R19)/R19)</f>
        <v>165.09965156794399</v>
      </c>
      <c r="Y19" s="2">
        <v>178</v>
      </c>
      <c r="Z19" s="23">
        <f ca="1">IFERROR(__xludf.DUMMYFUNCTION("INDEX(IMPORTRANGE(""17pNv02DXDpQT9S3w4-QeNym2QJy2BzMBqDXp-XtzJBM"", ""'ESC'!BH3:BH139""),MATCH($D19,IMPORTRANGE(""17pNv02DXDpQT9S3w4-QeNym2QJy2BzMBqDXp-XtzJBM"", ""'ESC'!D3:D139""),0))"),200.538110596768)</f>
        <v>200.53811059676801</v>
      </c>
      <c r="AA19" s="23">
        <f ca="1">IFERROR(__xludf.DUMMYFUNCTION("INDEX(IMPORTRANGE(""17pNv02DXDpQT9S3w4-QeNym2QJy2BzMBqDXp-XtzJBM"", ""'ESC'!BI3:BI139""),MATCH($D19,IMPORTRANGE(""17pNv02DXDpQT9S3w4-QeNym2QJy2BzMBqDXp-XtzJBM"", ""'ESC'!D3:D139""),0))"),378.306789886194)</f>
        <v>378.306789886194</v>
      </c>
      <c r="AB19" s="23">
        <f ca="1">IFERROR(__xludf.DUMMYFUNCTION("INDEX(IMPORTRANGE(""17pNv02DXDpQT9S3w4-QeNym2QJy2BzMBqDXp-XtzJBM"", ""'ESC'!BJ3:BJ139""),MATCH($D19,IMPORTRANGE(""17pNv02DXDpQT9S3w4-QeNym2QJy2BzMBqDXp-XtzJBM"", ""'ESC'!D3:D139""),0))"),175.686624667228)</f>
        <v>175.68662466722799</v>
      </c>
      <c r="AC19" s="23">
        <f ca="1">IFERROR(__xludf.DUMMYFUNCTION("INDEX(IMPORTRANGE(""17pNv02DXDpQT9S3w4-QeNym2QJy2BzMBqDXp-XtzJBM"", ""'ESC'!BK3:BK139""),MATCH($D19,IMPORTRANGE(""17pNv02DXDpQT9S3w4-QeNym2QJy2BzMBqDXp-XtzJBM"", ""'ESC'!D3:D139""),0))"),350.753178894455)</f>
        <v>350.753178894455</v>
      </c>
      <c r="AD19" s="23">
        <f ca="1">IFERROR(__xludf.DUMMYFUNCTION("INDEX(IMPORTRANGE(""17pNv02DXDpQT9S3w4-QeNym2QJy2BzMBqDXp-XtzJBM"", ""'ESC'!BL3:BL139""),MATCH($D19,IMPORTRANGE(""17pNv02DXDpQT9S3w4-QeNym2QJy2BzMBqDXp-XtzJBM"", ""'ESC'!D3:D139""),0))"),151.590884881062)</f>
        <v>151.59088488106201</v>
      </c>
      <c r="AE19" s="23">
        <f ca="1">IFERROR(__xludf.DUMMYFUNCTION("INDEX(IMPORTRANGE(""17pNv02DXDpQT9S3w4-QeNym2QJy2BzMBqDXp-XtzJBM"", ""'ESC'!BM3:BM139""),MATCH($D19,IMPORTRANGE(""17pNv02DXDpQT9S3w4-QeNym2QJy2BzMBqDXp-XtzJBM"", ""'ESC'!D3:D139""),0))"),258.523914486352)</f>
        <v>258.523914486352</v>
      </c>
      <c r="AF19" s="1"/>
    </row>
    <row r="20" spans="1:32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1654</v>
      </c>
      <c r="R20" s="12">
        <v>3920</v>
      </c>
      <c r="S20" s="12">
        <f ca="1">IFERROR(__xludf.DUMMYFUNCTION("INDEX(IMPORTRANGE(""17pNv02DXDpQT9S3w4-QeNym2QJy2BzMBqDXp-XtzJBM"", ""'ESC'!BG3:BG139""),MATCH($D20,IMPORTRANGE(""17pNv02DXDpQT9S3w4-QeNym2QJy2BzMBqDXp-XtzJBM"", ""'ESC'!D3:D139""),0))"),3653)</f>
        <v>3653</v>
      </c>
      <c r="T20" s="4"/>
      <c r="U20" s="4"/>
      <c r="V20" s="4"/>
      <c r="W20" s="4"/>
      <c r="X20" s="4"/>
      <c r="Y20" s="4"/>
      <c r="Z20" s="2">
        <f ca="1">IFERROR(__xludf.DUMMYFUNCTION("INDEX(IMPORTRANGE(""17pNv02DXDpQT9S3w4-QeNym2QJy2BzMBqDXp-XtzJBM"", ""'ESC'!BH3:BH139""),MATCH($D20,IMPORTRANGE(""17pNv02DXDpQT9S3w4-QeNym2QJy2BzMBqDXp-XtzJBM"", ""'ESC'!D3:D139""),0))"),2141)</f>
        <v>2141</v>
      </c>
      <c r="AA20" s="2">
        <f ca="1">IFERROR(__xludf.DUMMYFUNCTION("INDEX(IMPORTRANGE(""17pNv02DXDpQT9S3w4-QeNym2QJy2BzMBqDXp-XtzJBM"", ""'ESC'!BI3:BI139""),MATCH($D20,IMPORTRANGE(""17pNv02DXDpQT9S3w4-QeNym2QJy2BzMBqDXp-XtzJBM"", ""'ESC'!D3:D139""),0))"),4915)</f>
        <v>4915</v>
      </c>
      <c r="AB20" s="2">
        <f ca="1">IFERROR(__xludf.DUMMYFUNCTION("INDEX(IMPORTRANGE(""17pNv02DXDpQT9S3w4-QeNym2QJy2BzMBqDXp-XtzJBM"", ""'ESC'!BJ3:BJ139""),MATCH($D20,IMPORTRANGE(""17pNv02DXDpQT9S3w4-QeNym2QJy2BzMBqDXp-XtzJBM"", ""'ESC'!D3:D139""),0))"),2327)</f>
        <v>2327</v>
      </c>
      <c r="AC20" s="2">
        <f ca="1">IFERROR(__xludf.DUMMYFUNCTION("INDEX(IMPORTRANGE(""17pNv02DXDpQT9S3w4-QeNym2QJy2BzMBqDXp-XtzJBM"", ""'ESC'!BK3:BK139""),MATCH($D20,IMPORTRANGE(""17pNv02DXDpQT9S3w4-QeNym2QJy2BzMBqDXp-XtzJBM"", ""'ESC'!D3:D139""),0))"),5313)</f>
        <v>5313</v>
      </c>
      <c r="AD20" s="2">
        <f ca="1">IFERROR(__xludf.DUMMYFUNCTION("INDEX(IMPORTRANGE(""17pNv02DXDpQT9S3w4-QeNym2QJy2BzMBqDXp-XtzJBM"", ""'ESC'!BL3:BL139""),MATCH($D20,IMPORTRANGE(""17pNv02DXDpQT9S3w4-QeNym2QJy2BzMBqDXp-XtzJBM"", ""'ESC'!D3:D139""),0))"),2436)</f>
        <v>2436</v>
      </c>
      <c r="AE20" s="2">
        <f ca="1">IFERROR(__xludf.DUMMYFUNCTION("INDEX(IMPORTRANGE(""17pNv02DXDpQT9S3w4-QeNym2QJy2BzMBqDXp-XtzJBM"", ""'ESC'!BM3:BM139""),MATCH($D20,IMPORTRANGE(""17pNv02DXDpQT9S3w4-QeNym2QJy2BzMBqDXp-XtzJBM"", ""'ESC'!D3:D139""),0))"),5031)</f>
        <v>5031</v>
      </c>
      <c r="AF20" s="1"/>
    </row>
    <row r="21" spans="1:32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349.77678996263268</v>
      </c>
      <c r="R21" s="23">
        <f t="shared" si="6"/>
        <v>828.97522167685622</v>
      </c>
      <c r="S21" s="23">
        <f ca="1">IFERROR(__xludf.DUMMYFUNCTION("INDEX(IMPORTRANGE(""17pNv02DXDpQT9S3w4-QeNym2QJy2BzMBqDXp-XtzJBM"", ""'ESC'!BG3:BG139""),MATCH($D21,IMPORTRANGE(""17pNv02DXDpQT9S3w4-QeNym2QJy2BzMBqDXp-XtzJBM"", ""'ESC'!D3:D139""),0))"),772.511858363662)</f>
        <v>772.51185836366199</v>
      </c>
      <c r="T21" s="2">
        <v>692</v>
      </c>
      <c r="U21" s="2">
        <v>243.7</v>
      </c>
      <c r="V21" s="2">
        <v>577.6</v>
      </c>
      <c r="W21" s="2">
        <v>176.4</v>
      </c>
      <c r="X21" s="24">
        <f ca="1">+S21*(1+(Y21-R21)/R21)</f>
        <v>389.52908163265295</v>
      </c>
      <c r="Y21" s="2">
        <v>418</v>
      </c>
      <c r="Z21" s="23">
        <f ca="1">IFERROR(__xludf.DUMMYFUNCTION("INDEX(IMPORTRANGE(""17pNv02DXDpQT9S3w4-QeNym2QJy2BzMBqDXp-XtzJBM"", ""'ESC'!BH3:BH139""),MATCH($D21,IMPORTRANGE(""17pNv02DXDpQT9S3w4-QeNym2QJy2BzMBqDXp-XtzJBM"", ""'ESC'!D3:D139""),0))"),447.241765403833)</f>
        <v>447.24176540383303</v>
      </c>
      <c r="AA21" s="23">
        <f ca="1">IFERROR(__xludf.DUMMYFUNCTION("INDEX(IMPORTRANGE(""17pNv02DXDpQT9S3w4-QeNym2QJy2BzMBqDXp-XtzJBM"", ""'ESC'!BI3:BI139""),MATCH($D21,IMPORTRANGE(""17pNv02DXDpQT9S3w4-QeNym2QJy2BzMBqDXp-XtzJBM"", ""'ESC'!D3:D139""),0))"),1026.71334748241)</f>
        <v>1026.71334748241</v>
      </c>
      <c r="AB21" s="23">
        <f ca="1">IFERROR(__xludf.DUMMYFUNCTION("INDEX(IMPORTRANGE(""17pNv02DXDpQT9S3w4-QeNym2QJy2BzMBqDXp-XtzJBM"", ""'ESC'!BJ3:BJ139""),MATCH($D21,IMPORTRANGE(""17pNv02DXDpQT9S3w4-QeNym2QJy2BzMBqDXp-XtzJBM"", ""'ESC'!D3:D139""),0))"),480.967971294872)</f>
        <v>480.96797129487197</v>
      </c>
      <c r="AC21" s="23">
        <f ca="1">IFERROR(__xludf.DUMMYFUNCTION("INDEX(IMPORTRANGE(""17pNv02DXDpQT9S3w4-QeNym2QJy2BzMBqDXp-XtzJBM"", ""'ESC'!BK3:BK139""),MATCH($D21,IMPORTRANGE(""17pNv02DXDpQT9S3w4-QeNym2QJy2BzMBqDXp-XtzJBM"", ""'ESC'!D3:D139""),0))"),1098.14474924351)</f>
        <v>1098.14474924351</v>
      </c>
      <c r="AD21" s="23">
        <f ca="1">IFERROR(__xludf.DUMMYFUNCTION("INDEX(IMPORTRANGE(""17pNv02DXDpQT9S3w4-QeNym2QJy2BzMBqDXp-XtzJBM"", ""'ESC'!BL3:BL139""),MATCH($D21,IMPORTRANGE(""17pNv02DXDpQT9S3w4-QeNym2QJy2BzMBqDXp-XtzJBM"", ""'ESC'!D3:D139""),0))"),499.020804824687)</f>
        <v>499.02080482468699</v>
      </c>
      <c r="AE21" s="23">
        <f ca="1">IFERROR(__xludf.DUMMYFUNCTION("INDEX(IMPORTRANGE(""17pNv02DXDpQT9S3w4-QeNym2QJy2BzMBqDXp-XtzJBM"", ""'ESC'!BM3:BM139""),MATCH($D21,IMPORTRANGE(""17pNv02DXDpQT9S3w4-QeNym2QJy2BzMBqDXp-XtzJBM"", ""'ESC'!D3:D139""),0))"),1030.61316464408)</f>
        <v>1030.6131646440799</v>
      </c>
      <c r="AF21" s="1"/>
    </row>
    <row r="22" spans="1:32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326</v>
      </c>
      <c r="R22" s="12">
        <v>733</v>
      </c>
      <c r="S22" s="12">
        <f ca="1">IFERROR(__xludf.DUMMYFUNCTION("INDEX(IMPORTRANGE(""17pNv02DXDpQT9S3w4-QeNym2QJy2BzMBqDXp-XtzJBM"", ""'ESC'!BG3:BG139""),MATCH($D22,IMPORTRANGE(""17pNv02DXDpQT9S3w4-QeNym2QJy2BzMBqDXp-XtzJBM"", ""'ESC'!D3:D139""),0))"),680)</f>
        <v>680</v>
      </c>
      <c r="T22" s="4"/>
      <c r="U22" s="4"/>
      <c r="V22" s="4"/>
      <c r="W22" s="4"/>
      <c r="X22" s="4"/>
      <c r="Y22" s="4"/>
      <c r="Z22" s="2">
        <f ca="1">IFERROR(__xludf.DUMMYFUNCTION("INDEX(IMPORTRANGE(""17pNv02DXDpQT9S3w4-QeNym2QJy2BzMBqDXp-XtzJBM"", ""'ESC'!BH3:BH139""),MATCH($D22,IMPORTRANGE(""17pNv02DXDpQT9S3w4-QeNym2QJy2BzMBqDXp-XtzJBM"", ""'ESC'!D3:D139""),0))"),358)</f>
        <v>358</v>
      </c>
      <c r="AA22" s="2">
        <f ca="1">IFERROR(__xludf.DUMMYFUNCTION("INDEX(IMPORTRANGE(""17pNv02DXDpQT9S3w4-QeNym2QJy2BzMBqDXp-XtzJBM"", ""'ESC'!BI3:BI139""),MATCH($D22,IMPORTRANGE(""17pNv02DXDpQT9S3w4-QeNym2QJy2BzMBqDXp-XtzJBM"", ""'ESC'!D3:D139""),0))"),832)</f>
        <v>832</v>
      </c>
      <c r="AB22" s="2">
        <f ca="1">IFERROR(__xludf.DUMMYFUNCTION("INDEX(IMPORTRANGE(""17pNv02DXDpQT9S3w4-QeNym2QJy2BzMBqDXp-XtzJBM"", ""'ESC'!BJ3:BJ139""),MATCH($D22,IMPORTRANGE(""17pNv02DXDpQT9S3w4-QeNym2QJy2BzMBqDXp-XtzJBM"", ""'ESC'!D3:D139""),0))"),341)</f>
        <v>341</v>
      </c>
      <c r="AC22" s="2">
        <f ca="1">IFERROR(__xludf.DUMMYFUNCTION("INDEX(IMPORTRANGE(""17pNv02DXDpQT9S3w4-QeNym2QJy2BzMBqDXp-XtzJBM"", ""'ESC'!BK3:BK139""),MATCH($D22,IMPORTRANGE(""17pNv02DXDpQT9S3w4-QeNym2QJy2BzMBqDXp-XtzJBM"", ""'ESC'!D3:D139""),0))"),749)</f>
        <v>749</v>
      </c>
      <c r="AD22" s="2">
        <f ca="1">IFERROR(__xludf.DUMMYFUNCTION("INDEX(IMPORTRANGE(""17pNv02DXDpQT9S3w4-QeNym2QJy2BzMBqDXp-XtzJBM"", ""'ESC'!BL3:BL139""),MATCH($D22,IMPORTRANGE(""17pNv02DXDpQT9S3w4-QeNym2QJy2BzMBqDXp-XtzJBM"", ""'ESC'!D3:D139""),0))"),388)</f>
        <v>388</v>
      </c>
      <c r="AE22" s="2">
        <f ca="1">IFERROR(__xludf.DUMMYFUNCTION("INDEX(IMPORTRANGE(""17pNv02DXDpQT9S3w4-QeNym2QJy2BzMBqDXp-XtzJBM"", ""'ESC'!BM3:BM139""),MATCH($D22,IMPORTRANGE(""17pNv02DXDpQT9S3w4-QeNym2QJy2BzMBqDXp-XtzJBM"", ""'ESC'!D3:D139""),0))"),792)</f>
        <v>792</v>
      </c>
      <c r="AF22" s="1"/>
    </row>
    <row r="23" spans="1:32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68.94028629251406</v>
      </c>
      <c r="R23" s="23">
        <f t="shared" si="7"/>
        <v>155.00990752273867</v>
      </c>
      <c r="S23" s="23">
        <f ca="1">IFERROR(__xludf.DUMMYFUNCTION("INDEX(IMPORTRANGE(""17pNv02DXDpQT9S3w4-QeNym2QJy2BzMBqDXp-XtzJBM"", ""'ESC'!BG3:BG139""),MATCH($D23,IMPORTRANGE(""17pNv02DXDpQT9S3w4-QeNym2QJy2BzMBqDXp-XtzJBM"", ""'ESC'!D3:D139""),0))"),143.801824168434)</f>
        <v>143.801824168434</v>
      </c>
      <c r="T23" s="2">
        <v>127.7</v>
      </c>
      <c r="U23" s="2">
        <v>46.8</v>
      </c>
      <c r="V23" s="2">
        <v>105.2</v>
      </c>
      <c r="W23" s="2">
        <v>32.5</v>
      </c>
      <c r="X23" s="24">
        <f ca="1">+S23*(1+(Y23-R23)/R23)</f>
        <v>67.721691678035356</v>
      </c>
      <c r="Y23" s="2">
        <v>73</v>
      </c>
      <c r="Z23" s="23">
        <f ca="1">IFERROR(__xludf.DUMMYFUNCTION("INDEX(IMPORTRANGE(""17pNv02DXDpQT9S3w4-QeNym2QJy2BzMBqDXp-XtzJBM"", ""'ESC'!BH3:BH139""),MATCH($D23,IMPORTRANGE(""17pNv02DXDpQT9S3w4-QeNym2QJy2BzMBqDXp-XtzJBM"", ""'ESC'!D3:D139""),0))"),74.784003743378)</f>
        <v>74.784003743377994</v>
      </c>
      <c r="AA23" s="23">
        <f ca="1">IFERROR(__xludf.DUMMYFUNCTION("INDEX(IMPORTRANGE(""17pNv02DXDpQT9S3w4-QeNym2QJy2BzMBqDXp-XtzJBM"", ""'ESC'!BI3:BI139""),MATCH($D23,IMPORTRANGE(""17pNv02DXDpQT9S3w4-QeNym2QJy2BzMBqDXp-XtzJBM"", ""'ESC'!D3:D139""),0))"),173.799695850532)</f>
        <v>173.799695850532</v>
      </c>
      <c r="AB23" s="23">
        <f ca="1">IFERROR(__xludf.DUMMYFUNCTION("INDEX(IMPORTRANGE(""17pNv02DXDpQT9S3w4-QeNym2QJy2BzMBqDXp-XtzJBM"", ""'ESC'!BJ3:BJ139""),MATCH($D23,IMPORTRANGE(""17pNv02DXDpQT9S3w4-QeNym2QJy2BzMBqDXp-XtzJBM"", ""'ESC'!D3:D139""),0))"),70.4813400135588)</f>
        <v>70.481340013558807</v>
      </c>
      <c r="AC23" s="23">
        <f ca="1">IFERROR(__xludf.DUMMYFUNCTION("INDEX(IMPORTRANGE(""17pNv02DXDpQT9S3w4-QeNym2QJy2BzMBqDXp-XtzJBM"", ""'ESC'!BK3:BK139""),MATCH($D23,IMPORTRANGE(""17pNv02DXDpQT9S3w4-QeNym2QJy2BzMBqDXp-XtzJBM"", ""'ESC'!D3:D139""),0))"),154.810919853828)</f>
        <v>154.81091985382801</v>
      </c>
      <c r="AD23" s="23">
        <f ca="1">IFERROR(__xludf.DUMMYFUNCTION("INDEX(IMPORTRANGE(""17pNv02DXDpQT9S3w4-QeNym2QJy2BzMBqDXp-XtzJBM"", ""'ESC'!BL3:BL139""),MATCH($D23,IMPORTRANGE(""17pNv02DXDpQT9S3w4-QeNym2QJy2BzMBqDXp-XtzJBM"", ""'ESC'!D3:D139""),0))"),79.4827882889895)</f>
        <v>79.482788288989497</v>
      </c>
      <c r="AE23" s="23">
        <f ca="1">IFERROR(__xludf.DUMMYFUNCTION("INDEX(IMPORTRANGE(""17pNv02DXDpQT9S3w4-QeNym2QJy2BzMBqDXp-XtzJBM"", ""'ESC'!BM3:BM139""),MATCH($D23,IMPORTRANGE(""17pNv02DXDpQT9S3w4-QeNym2QJy2BzMBqDXp-XtzJBM"", ""'ESC'!D3:D139""),0))"),162.243217332164)</f>
        <v>162.24321733216399</v>
      </c>
      <c r="AF23" s="1"/>
    </row>
    <row r="24" spans="1:32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29">
        <v>7</v>
      </c>
      <c r="R24" s="29">
        <v>23</v>
      </c>
      <c r="S24" s="29">
        <f ca="1">IFERROR(__xludf.DUMMYFUNCTION("INDEX(IMPORTRANGE(""17pNv02DXDpQT9S3w4-QeNym2QJy2BzMBqDXp-XtzJBM"", ""'ESC'!BG3:BG139""),MATCH($D24,IMPORTRANGE(""17pNv02DXDpQT9S3w4-QeNym2QJy2BzMBqDXp-XtzJBM"", ""'ESC'!D3:D139""),0))"),21)</f>
        <v>21</v>
      </c>
      <c r="T24" s="4"/>
      <c r="U24" s="4"/>
      <c r="V24" s="4"/>
      <c r="W24" s="4"/>
      <c r="X24" s="4"/>
      <c r="Y24" s="4"/>
      <c r="Z24" s="2">
        <f ca="1">IFERROR(__xludf.DUMMYFUNCTION("INDEX(IMPORTRANGE(""17pNv02DXDpQT9S3w4-QeNym2QJy2BzMBqDXp-XtzJBM"", ""'ESC'!BH3:BH139""),MATCH($D24,IMPORTRANGE(""17pNv02DXDpQT9S3w4-QeNym2QJy2BzMBqDXp-XtzJBM"", ""'ESC'!D3:D139""),0))"),16)</f>
        <v>16</v>
      </c>
      <c r="AA24" s="2">
        <f ca="1">IFERROR(__xludf.DUMMYFUNCTION("INDEX(IMPORTRANGE(""17pNv02DXDpQT9S3w4-QeNym2QJy2BzMBqDXp-XtzJBM"", ""'ESC'!BI3:BI139""),MATCH($D24,IMPORTRANGE(""17pNv02DXDpQT9S3w4-QeNym2QJy2BzMBqDXp-XtzJBM"", ""'ESC'!D3:D139""),0))"),37)</f>
        <v>37</v>
      </c>
      <c r="AB24" s="2">
        <f ca="1">IFERROR(__xludf.DUMMYFUNCTION("INDEX(IMPORTRANGE(""17pNv02DXDpQT9S3w4-QeNym2QJy2BzMBqDXp-XtzJBM"", ""'ESC'!BJ3:BJ139""),MATCH($D24,IMPORTRANGE(""17pNv02DXDpQT9S3w4-QeNym2QJy2BzMBqDXp-XtzJBM"", ""'ESC'!D3:D139""),0))"),22)</f>
        <v>22</v>
      </c>
      <c r="AC24" s="2">
        <f ca="1">IFERROR(__xludf.DUMMYFUNCTION("INDEX(IMPORTRANGE(""17pNv02DXDpQT9S3w4-QeNym2QJy2BzMBqDXp-XtzJBM"", ""'ESC'!BK3:BK139""),MATCH($D24,IMPORTRANGE(""17pNv02DXDpQT9S3w4-QeNym2QJy2BzMBqDXp-XtzJBM"", ""'ESC'!D3:D139""),0))"),44)</f>
        <v>44</v>
      </c>
      <c r="AD24" s="2">
        <f ca="1">IFERROR(__xludf.DUMMYFUNCTION("INDEX(IMPORTRANGE(""17pNv02DXDpQT9S3w4-QeNym2QJy2BzMBqDXp-XtzJBM"", ""'ESC'!BL3:BL139""),MATCH($D24,IMPORTRANGE(""17pNv02DXDpQT9S3w4-QeNym2QJy2BzMBqDXp-XtzJBM"", ""'ESC'!D3:D139""),0))"),16)</f>
        <v>16</v>
      </c>
      <c r="AE24" s="2">
        <f ca="1">IFERROR(__xludf.DUMMYFUNCTION("INDEX(IMPORTRANGE(""17pNv02DXDpQT9S3w4-QeNym2QJy2BzMBqDXp-XtzJBM"", ""'ESC'!BM3:BM139""),MATCH($D24,IMPORTRANGE(""17pNv02DXDpQT9S3w4-QeNym2QJy2BzMBqDXp-XtzJBM"", ""'ESC'!D3:D139""),0))"),37)</f>
        <v>37</v>
      </c>
      <c r="AF24" s="1"/>
    </row>
    <row r="25" spans="1:32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29">
        <v>6</v>
      </c>
      <c r="R25" s="29">
        <v>21</v>
      </c>
      <c r="S25" s="29">
        <f ca="1">IFERROR(__xludf.DUMMYFUNCTION("INDEX(IMPORTRANGE(""17pNv02DXDpQT9S3w4-QeNym2QJy2BzMBqDXp-XtzJBM"", ""'ESC'!BG3:BG139""),MATCH($D25,IMPORTRANGE(""17pNv02DXDpQT9S3w4-QeNym2QJy2BzMBqDXp-XtzJBM"", ""'ESC'!D3:D139""),0))"),18)</f>
        <v>18</v>
      </c>
      <c r="T25" s="4"/>
      <c r="U25" s="4"/>
      <c r="V25" s="4"/>
      <c r="W25" s="4"/>
      <c r="X25" s="4"/>
      <c r="Y25" s="4"/>
      <c r="Z25" s="2">
        <f ca="1">IFERROR(__xludf.DUMMYFUNCTION("INDEX(IMPORTRANGE(""17pNv02DXDpQT9S3w4-QeNym2QJy2BzMBqDXp-XtzJBM"", ""'ESC'!BH3:BH139""),MATCH($D25,IMPORTRANGE(""17pNv02DXDpQT9S3w4-QeNym2QJy2BzMBqDXp-XtzJBM"", ""'ESC'!D3:D139""),0))"),12)</f>
        <v>12</v>
      </c>
      <c r="AA25" s="2">
        <f ca="1">IFERROR(__xludf.DUMMYFUNCTION("INDEX(IMPORTRANGE(""17pNv02DXDpQT9S3w4-QeNym2QJy2BzMBqDXp-XtzJBM"", ""'ESC'!BI3:BI139""),MATCH($D25,IMPORTRANGE(""17pNv02DXDpQT9S3w4-QeNym2QJy2BzMBqDXp-XtzJBM"", ""'ESC'!D3:D139""),0))"),40)</f>
        <v>40</v>
      </c>
      <c r="AB25" s="2">
        <f ca="1">IFERROR(__xludf.DUMMYFUNCTION("INDEX(IMPORTRANGE(""17pNv02DXDpQT9S3w4-QeNym2QJy2BzMBqDXp-XtzJBM"", ""'ESC'!BJ3:BJ139""),MATCH($D25,IMPORTRANGE(""17pNv02DXDpQT9S3w4-QeNym2QJy2BzMBqDXp-XtzJBM"", ""'ESC'!D3:D139""),0))"),10)</f>
        <v>10</v>
      </c>
      <c r="AC25" s="2">
        <f ca="1">IFERROR(__xludf.DUMMYFUNCTION("INDEX(IMPORTRANGE(""17pNv02DXDpQT9S3w4-QeNym2QJy2BzMBqDXp-XtzJBM"", ""'ESC'!BK3:BK139""),MATCH($D25,IMPORTRANGE(""17pNv02DXDpQT9S3w4-QeNym2QJy2BzMBqDXp-XtzJBM"", ""'ESC'!D3:D139""),0))"),30)</f>
        <v>30</v>
      </c>
      <c r="AD25" s="2">
        <f ca="1">IFERROR(__xludf.DUMMYFUNCTION("INDEX(IMPORTRANGE(""17pNv02DXDpQT9S3w4-QeNym2QJy2BzMBqDXp-XtzJBM"", ""'ESC'!BL3:BL139""),MATCH($D25,IMPORTRANGE(""17pNv02DXDpQT9S3w4-QeNym2QJy2BzMBqDXp-XtzJBM"", ""'ESC'!D3:D139""),0))"),20)</f>
        <v>20</v>
      </c>
      <c r="AE25" s="2">
        <f ca="1">IFERROR(__xludf.DUMMYFUNCTION("INDEX(IMPORTRANGE(""17pNv02DXDpQT9S3w4-QeNym2QJy2BzMBqDXp-XtzJBM"", ""'ESC'!BM3:BM139""),MATCH($D25,IMPORTRANGE(""17pNv02DXDpQT9S3w4-QeNym2QJy2BzMBqDXp-XtzJBM"", ""'ESC'!D3:D139""),0))"),39)</f>
        <v>39</v>
      </c>
      <c r="AF25" s="1"/>
    </row>
    <row r="26" spans="1:32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29">
        <v>5</v>
      </c>
      <c r="R26" s="29">
        <v>11</v>
      </c>
      <c r="S26" s="29">
        <f ca="1">IFERROR(__xludf.DUMMYFUNCTION("INDEX(IMPORTRANGE(""17pNv02DXDpQT9S3w4-QeNym2QJy2BzMBqDXp-XtzJBM"", ""'ESC'!BG3:BG139""),MATCH($D26,IMPORTRANGE(""17pNv02DXDpQT9S3w4-QeNym2QJy2BzMBqDXp-XtzJBM"", ""'ESC'!D3:D139""),0))"),10)</f>
        <v>10</v>
      </c>
      <c r="T26" s="4"/>
      <c r="U26" s="4"/>
      <c r="V26" s="4"/>
      <c r="W26" s="4"/>
      <c r="X26" s="4"/>
      <c r="Y26" s="4"/>
      <c r="Z26" s="2">
        <f ca="1">IFERROR(__xludf.DUMMYFUNCTION("INDEX(IMPORTRANGE(""17pNv02DXDpQT9S3w4-QeNym2QJy2BzMBqDXp-XtzJBM"", ""'ESC'!BH3:BH139""),MATCH($D26,IMPORTRANGE(""17pNv02DXDpQT9S3w4-QeNym2QJy2BzMBqDXp-XtzJBM"", ""'ESC'!D3:D139""),0))"),3)</f>
        <v>3</v>
      </c>
      <c r="AA26" s="2">
        <f ca="1">IFERROR(__xludf.DUMMYFUNCTION("INDEX(IMPORTRANGE(""17pNv02DXDpQT9S3w4-QeNym2QJy2BzMBqDXp-XtzJBM"", ""'ESC'!BI3:BI139""),MATCH($D26,IMPORTRANGE(""17pNv02DXDpQT9S3w4-QeNym2QJy2BzMBqDXp-XtzJBM"", ""'ESC'!D3:D139""),0))"),10)</f>
        <v>10</v>
      </c>
      <c r="AB26" s="2">
        <f ca="1">IFERROR(__xludf.DUMMYFUNCTION("INDEX(IMPORTRANGE(""17pNv02DXDpQT9S3w4-QeNym2QJy2BzMBqDXp-XtzJBM"", ""'ESC'!BJ3:BJ139""),MATCH($D26,IMPORTRANGE(""17pNv02DXDpQT9S3w4-QeNym2QJy2BzMBqDXp-XtzJBM"", ""'ESC'!D3:D139""),0))"),1)</f>
        <v>1</v>
      </c>
      <c r="AC26" s="2">
        <f ca="1">IFERROR(__xludf.DUMMYFUNCTION("INDEX(IMPORTRANGE(""17pNv02DXDpQT9S3w4-QeNym2QJy2BzMBqDXp-XtzJBM"", ""'ESC'!BK3:BK139""),MATCH($D26,IMPORTRANGE(""17pNv02DXDpQT9S3w4-QeNym2QJy2BzMBqDXp-XtzJBM"", ""'ESC'!D3:D139""),0))"),4)</f>
        <v>4</v>
      </c>
      <c r="AD26" s="2">
        <f ca="1">IFERROR(__xludf.DUMMYFUNCTION("INDEX(IMPORTRANGE(""17pNv02DXDpQT9S3w4-QeNym2QJy2BzMBqDXp-XtzJBM"", ""'ESC'!BL3:BL139""),MATCH($D26,IMPORTRANGE(""17pNv02DXDpQT9S3w4-QeNym2QJy2BzMBqDXp-XtzJBM"", ""'ESC'!D3:D139""),0))"),10)</f>
        <v>10</v>
      </c>
      <c r="AE26" s="2">
        <f ca="1">IFERROR(__xludf.DUMMYFUNCTION("INDEX(IMPORTRANGE(""17pNv02DXDpQT9S3w4-QeNym2QJy2BzMBqDXp-XtzJBM"", ""'ESC'!BM3:BM139""),MATCH($D26,IMPORTRANGE(""17pNv02DXDpQT9S3w4-QeNym2QJy2BzMBqDXp-XtzJBM"", ""'ESC'!D3:D139""),0))"),18)</f>
        <v>18</v>
      </c>
      <c r="AF26" s="1"/>
    </row>
    <row r="27" spans="1:32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29">
        <v>0</v>
      </c>
      <c r="R27" s="29">
        <v>0</v>
      </c>
      <c r="S27" s="29">
        <f ca="1">IFERROR(__xludf.DUMMYFUNCTION("INDEX(IMPORTRANGE(""17pNv02DXDpQT9S3w4-QeNym2QJy2BzMBqDXp-XtzJBM"", ""'ESC'!BG3:BG139""),MATCH($D27,IMPORTRANGE(""17pNv02DXDpQT9S3w4-QeNym2QJy2BzMBqDXp-XtzJBM"", ""'ESC'!D3:D139""),0))"),0)</f>
        <v>0</v>
      </c>
      <c r="T27" s="4"/>
      <c r="U27" s="4"/>
      <c r="V27" s="4"/>
      <c r="W27" s="4"/>
      <c r="X27" s="4"/>
      <c r="Y27" s="4"/>
      <c r="Z27" s="2">
        <f ca="1">IFERROR(__xludf.DUMMYFUNCTION("INDEX(IMPORTRANGE(""17pNv02DXDpQT9S3w4-QeNym2QJy2BzMBqDXp-XtzJBM"", ""'ESC'!BH3:BH139""),MATCH($D27,IMPORTRANGE(""17pNv02DXDpQT9S3w4-QeNym2QJy2BzMBqDXp-XtzJBM"", ""'ESC'!D3:D139""),0))"),0)</f>
        <v>0</v>
      </c>
      <c r="AA27" s="2">
        <f ca="1">IFERROR(__xludf.DUMMYFUNCTION("INDEX(IMPORTRANGE(""17pNv02DXDpQT9S3w4-QeNym2QJy2BzMBqDXp-XtzJBM"", ""'ESC'!BI3:BI139""),MATCH($D27,IMPORTRANGE(""17pNv02DXDpQT9S3w4-QeNym2QJy2BzMBqDXp-XtzJBM"", ""'ESC'!D3:D139""),0))"),2)</f>
        <v>2</v>
      </c>
      <c r="AB27" s="2">
        <f ca="1">IFERROR(__xludf.DUMMYFUNCTION("INDEX(IMPORTRANGE(""17pNv02DXDpQT9S3w4-QeNym2QJy2BzMBqDXp-XtzJBM"", ""'ESC'!BJ3:BJ139""),MATCH($D27,IMPORTRANGE(""17pNv02DXDpQT9S3w4-QeNym2QJy2BzMBqDXp-XtzJBM"", ""'ESC'!D3:D139""),0))"),0)</f>
        <v>0</v>
      </c>
      <c r="AC27" s="2">
        <f ca="1">IFERROR(__xludf.DUMMYFUNCTION("INDEX(IMPORTRANGE(""17pNv02DXDpQT9S3w4-QeNym2QJy2BzMBqDXp-XtzJBM"", ""'ESC'!BK3:BK139""),MATCH($D27,IMPORTRANGE(""17pNv02DXDpQT9S3w4-QeNym2QJy2BzMBqDXp-XtzJBM"", ""'ESC'!D3:D139""),0))"),1)</f>
        <v>1</v>
      </c>
      <c r="AD27" s="2">
        <f ca="1">IFERROR(__xludf.DUMMYFUNCTION("INDEX(IMPORTRANGE(""17pNv02DXDpQT9S3w4-QeNym2QJy2BzMBqDXp-XtzJBM"", ""'ESC'!BL3:BL139""),MATCH($D27,IMPORTRANGE(""17pNv02DXDpQT9S3w4-QeNym2QJy2BzMBqDXp-XtzJBM"", ""'ESC'!D3:D139""),0))"),0)</f>
        <v>0</v>
      </c>
      <c r="AE27" s="2">
        <f ca="1">IFERROR(__xludf.DUMMYFUNCTION("INDEX(IMPORTRANGE(""17pNv02DXDpQT9S3w4-QeNym2QJy2BzMBqDXp-XtzJBM"", ""'ESC'!BM3:BM139""),MATCH($D27,IMPORTRANGE(""17pNv02DXDpQT9S3w4-QeNym2QJy2BzMBqDXp-XtzJBM"", ""'ESC'!D3:D139""),0))"),0)</f>
        <v>0</v>
      </c>
      <c r="AF27" s="1"/>
    </row>
    <row r="28" spans="1:32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29">
        <v>2</v>
      </c>
      <c r="R28" s="29">
        <v>4</v>
      </c>
      <c r="S28" s="29">
        <f ca="1">IFERROR(__xludf.DUMMYFUNCTION("INDEX(IMPORTRANGE(""17pNv02DXDpQT9S3w4-QeNym2QJy2BzMBqDXp-XtzJBM"", ""'ESC'!BG3:BG139""),MATCH($D28,IMPORTRANGE(""17pNv02DXDpQT9S3w4-QeNym2QJy2BzMBqDXp-XtzJBM"", ""'ESC'!D3:D139""),0))"),4)</f>
        <v>4</v>
      </c>
      <c r="T28" s="4"/>
      <c r="U28" s="4"/>
      <c r="V28" s="4"/>
      <c r="W28" s="4"/>
      <c r="X28" s="4"/>
      <c r="Y28" s="4"/>
      <c r="Z28" s="2">
        <f ca="1">IFERROR(__xludf.DUMMYFUNCTION("INDEX(IMPORTRANGE(""17pNv02DXDpQT9S3w4-QeNym2QJy2BzMBqDXp-XtzJBM"", ""'ESC'!BH3:BH139""),MATCH($D28,IMPORTRANGE(""17pNv02DXDpQT9S3w4-QeNym2QJy2BzMBqDXp-XtzJBM"", ""'ESC'!D3:D139""),0))"),1)</f>
        <v>1</v>
      </c>
      <c r="AA28" s="2">
        <f ca="1">IFERROR(__xludf.DUMMYFUNCTION("INDEX(IMPORTRANGE(""17pNv02DXDpQT9S3w4-QeNym2QJy2BzMBqDXp-XtzJBM"", ""'ESC'!BI3:BI139""),MATCH($D28,IMPORTRANGE(""17pNv02DXDpQT9S3w4-QeNym2QJy2BzMBqDXp-XtzJBM"", ""'ESC'!D3:D139""),0))"),4)</f>
        <v>4</v>
      </c>
      <c r="AB28" s="2">
        <f ca="1">IFERROR(__xludf.DUMMYFUNCTION("INDEX(IMPORTRANGE(""17pNv02DXDpQT9S3w4-QeNym2QJy2BzMBqDXp-XtzJBM"", ""'ESC'!BJ3:BJ139""),MATCH($D28,IMPORTRANGE(""17pNv02DXDpQT9S3w4-QeNym2QJy2BzMBqDXp-XtzJBM"", ""'ESC'!D3:D139""),0))"),6)</f>
        <v>6</v>
      </c>
      <c r="AC28" s="2">
        <f ca="1">IFERROR(__xludf.DUMMYFUNCTION("INDEX(IMPORTRANGE(""17pNv02DXDpQT9S3w4-QeNym2QJy2BzMBqDXp-XtzJBM"", ""'ESC'!BK3:BK139""),MATCH($D28,IMPORTRANGE(""17pNv02DXDpQT9S3w4-QeNym2QJy2BzMBqDXp-XtzJBM"", ""'ESC'!D3:D139""),0))"),13)</f>
        <v>13</v>
      </c>
      <c r="AD28" s="2">
        <f ca="1">IFERROR(__xludf.DUMMYFUNCTION("INDEX(IMPORTRANGE(""17pNv02DXDpQT9S3w4-QeNym2QJy2BzMBqDXp-XtzJBM"", ""'ESC'!BL3:BL139""),MATCH($D28,IMPORTRANGE(""17pNv02DXDpQT9S3w4-QeNym2QJy2BzMBqDXp-XtzJBM"", ""'ESC'!D3:D139""),0))"),1)</f>
        <v>1</v>
      </c>
      <c r="AE28" s="2">
        <f ca="1">IFERROR(__xludf.DUMMYFUNCTION("INDEX(IMPORTRANGE(""17pNv02DXDpQT9S3w4-QeNym2QJy2BzMBqDXp-XtzJBM"", ""'ESC'!BM3:BM139""),MATCH($D28,IMPORTRANGE(""17pNv02DXDpQT9S3w4-QeNym2QJy2BzMBqDXp-XtzJBM"", ""'ESC'!D3:D139""),0))"),6)</f>
        <v>6</v>
      </c>
      <c r="AF28" s="1"/>
    </row>
    <row r="29" spans="1:32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29">
        <v>0</v>
      </c>
      <c r="R29" s="29">
        <v>0</v>
      </c>
      <c r="S29" s="29">
        <f ca="1">IFERROR(__xludf.DUMMYFUNCTION("INDEX(IMPORTRANGE(""17pNv02DXDpQT9S3w4-QeNym2QJy2BzMBqDXp-XtzJBM"", ""'ESC'!BG3:BG139""),MATCH($D29,IMPORTRANGE(""17pNv02DXDpQT9S3w4-QeNym2QJy2BzMBqDXp-XtzJBM"", ""'ESC'!D3:D139""),0))"),0)</f>
        <v>0</v>
      </c>
      <c r="T29" s="4"/>
      <c r="U29" s="4"/>
      <c r="V29" s="4"/>
      <c r="W29" s="4"/>
      <c r="X29" s="4"/>
      <c r="Y29" s="4"/>
      <c r="Z29" s="2">
        <f ca="1">IFERROR(__xludf.DUMMYFUNCTION("INDEX(IMPORTRANGE(""17pNv02DXDpQT9S3w4-QeNym2QJy2BzMBqDXp-XtzJBM"", ""'ESC'!BH3:BH139""),MATCH($D29,IMPORTRANGE(""17pNv02DXDpQT9S3w4-QeNym2QJy2BzMBqDXp-XtzJBM"", ""'ESC'!D3:D139""),0))"),0)</f>
        <v>0</v>
      </c>
      <c r="AA29" s="2">
        <f ca="1">IFERROR(__xludf.DUMMYFUNCTION("INDEX(IMPORTRANGE(""17pNv02DXDpQT9S3w4-QeNym2QJy2BzMBqDXp-XtzJBM"", ""'ESC'!BI3:BI139""),MATCH($D29,IMPORTRANGE(""17pNv02DXDpQT9S3w4-QeNym2QJy2BzMBqDXp-XtzJBM"", ""'ESC'!D3:D139""),0))"),0)</f>
        <v>0</v>
      </c>
      <c r="AB29" s="2">
        <f ca="1">IFERROR(__xludf.DUMMYFUNCTION("INDEX(IMPORTRANGE(""17pNv02DXDpQT9S3w4-QeNym2QJy2BzMBqDXp-XtzJBM"", ""'ESC'!BJ3:BJ139""),MATCH($D29,IMPORTRANGE(""17pNv02DXDpQT9S3w4-QeNym2QJy2BzMBqDXp-XtzJBM"", ""'ESC'!D3:D139""),0))"),0)</f>
        <v>0</v>
      </c>
      <c r="AC29" s="2">
        <f ca="1">IFERROR(__xludf.DUMMYFUNCTION("INDEX(IMPORTRANGE(""17pNv02DXDpQT9S3w4-QeNym2QJy2BzMBqDXp-XtzJBM"", ""'ESC'!BK3:BK139""),MATCH($D29,IMPORTRANGE(""17pNv02DXDpQT9S3w4-QeNym2QJy2BzMBqDXp-XtzJBM"", ""'ESC'!D3:D139""),0))"),0)</f>
        <v>0</v>
      </c>
      <c r="AD29" s="2">
        <f ca="1">IFERROR(__xludf.DUMMYFUNCTION("INDEX(IMPORTRANGE(""17pNv02DXDpQT9S3w4-QeNym2QJy2BzMBqDXp-XtzJBM"", ""'ESC'!BL3:BL139""),MATCH($D29,IMPORTRANGE(""17pNv02DXDpQT9S3w4-QeNym2QJy2BzMBqDXp-XtzJBM"", ""'ESC'!D3:D139""),0))"),0)</f>
        <v>0</v>
      </c>
      <c r="AE29" s="2">
        <f ca="1">IFERROR(__xludf.DUMMYFUNCTION("INDEX(IMPORTRANGE(""17pNv02DXDpQT9S3w4-QeNym2QJy2BzMBqDXp-XtzJBM"", ""'ESC'!BM3:BM139""),MATCH($D29,IMPORTRANGE(""17pNv02DXDpQT9S3w4-QeNym2QJy2BzMBqDXp-XtzJBM"", ""'ESC'!D3:D139""),0))"),0)</f>
        <v>0</v>
      </c>
      <c r="AF29" s="1"/>
    </row>
    <row r="30" spans="1:32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29">
        <v>4</v>
      </c>
      <c r="R30" s="29">
        <v>15</v>
      </c>
      <c r="S30" s="29">
        <f ca="1">IFERROR(__xludf.DUMMYFUNCTION("INDEX(IMPORTRANGE(""17pNv02DXDpQT9S3w4-QeNym2QJy2BzMBqDXp-XtzJBM"", ""'ESC'!BG3:BG139""),MATCH($D30,IMPORTRANGE(""17pNv02DXDpQT9S3w4-QeNym2QJy2BzMBqDXp-XtzJBM"", ""'ESC'!D3:D139""),0))"),13)</f>
        <v>13</v>
      </c>
      <c r="T30" s="4"/>
      <c r="U30" s="4"/>
      <c r="V30" s="4"/>
      <c r="W30" s="4"/>
      <c r="X30" s="4"/>
      <c r="Y30" s="4"/>
      <c r="Z30" s="2">
        <f ca="1">IFERROR(__xludf.DUMMYFUNCTION("INDEX(IMPORTRANGE(""17pNv02DXDpQT9S3w4-QeNym2QJy2BzMBqDXp-XtzJBM"", ""'ESC'!BH3:BH139""),MATCH($D30,IMPORTRANGE(""17pNv02DXDpQT9S3w4-QeNym2QJy2BzMBqDXp-XtzJBM"", ""'ESC'!D3:D139""),0))"),7)</f>
        <v>7</v>
      </c>
      <c r="AA30" s="2">
        <f ca="1">IFERROR(__xludf.DUMMYFUNCTION("INDEX(IMPORTRANGE(""17pNv02DXDpQT9S3w4-QeNym2QJy2BzMBqDXp-XtzJBM"", ""'ESC'!BI3:BI139""),MATCH($D30,IMPORTRANGE(""17pNv02DXDpQT9S3w4-QeNym2QJy2BzMBqDXp-XtzJBM"", ""'ESC'!D3:D139""),0))"),12)</f>
        <v>12</v>
      </c>
      <c r="AB30" s="2">
        <f ca="1">IFERROR(__xludf.DUMMYFUNCTION("INDEX(IMPORTRANGE(""17pNv02DXDpQT9S3w4-QeNym2QJy2BzMBqDXp-XtzJBM"", ""'ESC'!BJ3:BJ139""),MATCH($D30,IMPORTRANGE(""17pNv02DXDpQT9S3w4-QeNym2QJy2BzMBqDXp-XtzJBM"", ""'ESC'!D3:D139""),0))"),5)</f>
        <v>5</v>
      </c>
      <c r="AC30" s="2">
        <f ca="1">IFERROR(__xludf.DUMMYFUNCTION("INDEX(IMPORTRANGE(""17pNv02DXDpQT9S3w4-QeNym2QJy2BzMBqDXp-XtzJBM"", ""'ESC'!BK3:BK139""),MATCH($D30,IMPORTRANGE(""17pNv02DXDpQT9S3w4-QeNym2QJy2BzMBqDXp-XtzJBM"", ""'ESC'!D3:D139""),0))"),11)</f>
        <v>11</v>
      </c>
      <c r="AD30" s="2">
        <f ca="1">IFERROR(__xludf.DUMMYFUNCTION("INDEX(IMPORTRANGE(""17pNv02DXDpQT9S3w4-QeNym2QJy2BzMBqDXp-XtzJBM"", ""'ESC'!BL3:BL139""),MATCH($D30,IMPORTRANGE(""17pNv02DXDpQT9S3w4-QeNym2QJy2BzMBqDXp-XtzJBM"", ""'ESC'!D3:D139""),0))"),3)</f>
        <v>3</v>
      </c>
      <c r="AE30" s="2">
        <f ca="1">IFERROR(__xludf.DUMMYFUNCTION("INDEX(IMPORTRANGE(""17pNv02DXDpQT9S3w4-QeNym2QJy2BzMBqDXp-XtzJBM"", ""'ESC'!BM3:BM139""),MATCH($D30,IMPORTRANGE(""17pNv02DXDpQT9S3w4-QeNym2QJy2BzMBqDXp-XtzJBM"", ""'ESC'!D3:D139""),0))"),11)</f>
        <v>11</v>
      </c>
      <c r="AF30" s="1"/>
    </row>
    <row r="31" spans="1:32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29">
        <v>1</v>
      </c>
      <c r="R31" s="29">
        <v>3</v>
      </c>
      <c r="S31" s="29">
        <f ca="1">IFERROR(__xludf.DUMMYFUNCTION("INDEX(IMPORTRANGE(""17pNv02DXDpQT9S3w4-QeNym2QJy2BzMBqDXp-XtzJBM"", ""'ESC'!BG3:BG139""),MATCH($D31,IMPORTRANGE(""17pNv02DXDpQT9S3w4-QeNym2QJy2BzMBqDXp-XtzJBM"", ""'ESC'!D3:D139""),0))"),3)</f>
        <v>3</v>
      </c>
      <c r="T31" s="4"/>
      <c r="U31" s="4"/>
      <c r="V31" s="4"/>
      <c r="W31" s="4"/>
      <c r="X31" s="4"/>
      <c r="Y31" s="4"/>
      <c r="Z31" s="2">
        <f ca="1">IFERROR(__xludf.DUMMYFUNCTION("INDEX(IMPORTRANGE(""17pNv02DXDpQT9S3w4-QeNym2QJy2BzMBqDXp-XtzJBM"", ""'ESC'!BH3:BH139""),MATCH($D31,IMPORTRANGE(""17pNv02DXDpQT9S3w4-QeNym2QJy2BzMBqDXp-XtzJBM"", ""'ESC'!D3:D139""),0))"),1)</f>
        <v>1</v>
      </c>
      <c r="AA31" s="2">
        <f ca="1">IFERROR(__xludf.DUMMYFUNCTION("INDEX(IMPORTRANGE(""17pNv02DXDpQT9S3w4-QeNym2QJy2BzMBqDXp-XtzJBM"", ""'ESC'!BI3:BI139""),MATCH($D31,IMPORTRANGE(""17pNv02DXDpQT9S3w4-QeNym2QJy2BzMBqDXp-XtzJBM"", ""'ESC'!D3:D139""),0))"),2)</f>
        <v>2</v>
      </c>
      <c r="AB31" s="2">
        <f ca="1">IFERROR(__xludf.DUMMYFUNCTION("INDEX(IMPORTRANGE(""17pNv02DXDpQT9S3w4-QeNym2QJy2BzMBqDXp-XtzJBM"", ""'ESC'!BJ3:BJ139""),MATCH($D31,IMPORTRANGE(""17pNv02DXDpQT9S3w4-QeNym2QJy2BzMBqDXp-XtzJBM"", ""'ESC'!D3:D139""),0))"),4)</f>
        <v>4</v>
      </c>
      <c r="AC31" s="2">
        <f ca="1">IFERROR(__xludf.DUMMYFUNCTION("INDEX(IMPORTRANGE(""17pNv02DXDpQT9S3w4-QeNym2QJy2BzMBqDXp-XtzJBM"", ""'ESC'!BK3:BK139""),MATCH($D31,IMPORTRANGE(""17pNv02DXDpQT9S3w4-QeNym2QJy2BzMBqDXp-XtzJBM"", ""'ESC'!D3:D139""),0))"),4)</f>
        <v>4</v>
      </c>
      <c r="AD31" s="2">
        <f ca="1">IFERROR(__xludf.DUMMYFUNCTION("INDEX(IMPORTRANGE(""17pNv02DXDpQT9S3w4-QeNym2QJy2BzMBqDXp-XtzJBM"", ""'ESC'!BL3:BL139""),MATCH($D31,IMPORTRANGE(""17pNv02DXDpQT9S3w4-QeNym2QJy2BzMBqDXp-XtzJBM"", ""'ESC'!D3:D139""),0))"),1)</f>
        <v>1</v>
      </c>
      <c r="AE31" s="2">
        <f ca="1">IFERROR(__xludf.DUMMYFUNCTION("INDEX(IMPORTRANGE(""17pNv02DXDpQT9S3w4-QeNym2QJy2BzMBqDXp-XtzJBM"", ""'ESC'!BM3:BM139""),MATCH($D31,IMPORTRANGE(""17pNv02DXDpQT9S3w4-QeNym2QJy2BzMBqDXp-XtzJBM"", ""'ESC'!D3:D139""),0))"),1)</f>
        <v>1</v>
      </c>
      <c r="AF31" s="1"/>
    </row>
    <row r="32" spans="1:32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29">
        <v>0</v>
      </c>
      <c r="R32" s="29">
        <v>0</v>
      </c>
      <c r="S32" s="29">
        <f ca="1">IFERROR(__xludf.DUMMYFUNCTION("INDEX(IMPORTRANGE(""17pNv02DXDpQT9S3w4-QeNym2QJy2BzMBqDXp-XtzJBM"", ""'ESC'!BG3:BG139""),MATCH($D32,IMPORTRANGE(""17pNv02DXDpQT9S3w4-QeNym2QJy2BzMBqDXp-XtzJBM"", ""'ESC'!D3:D139""),0))"),0)</f>
        <v>0</v>
      </c>
      <c r="T32" s="4"/>
      <c r="U32" s="4"/>
      <c r="V32" s="4"/>
      <c r="W32" s="4"/>
      <c r="X32" s="4"/>
      <c r="Y32" s="4"/>
      <c r="Z32" s="2">
        <f ca="1">IFERROR(__xludf.DUMMYFUNCTION("INDEX(IMPORTRANGE(""17pNv02DXDpQT9S3w4-QeNym2QJy2BzMBqDXp-XtzJBM"", ""'ESC'!BH3:BH139""),MATCH($D32,IMPORTRANGE(""17pNv02DXDpQT9S3w4-QeNym2QJy2BzMBqDXp-XtzJBM"", ""'ESC'!D3:D139""),0))"),0)</f>
        <v>0</v>
      </c>
      <c r="AA32" s="2">
        <f ca="1">IFERROR(__xludf.DUMMYFUNCTION("INDEX(IMPORTRANGE(""17pNv02DXDpQT9S3w4-QeNym2QJy2BzMBqDXp-XtzJBM"", ""'ESC'!BI3:BI139""),MATCH($D32,IMPORTRANGE(""17pNv02DXDpQT9S3w4-QeNym2QJy2BzMBqDXp-XtzJBM"", ""'ESC'!D3:D139""),0))"),0)</f>
        <v>0</v>
      </c>
      <c r="AB32" s="2">
        <f ca="1">IFERROR(__xludf.DUMMYFUNCTION("INDEX(IMPORTRANGE(""17pNv02DXDpQT9S3w4-QeNym2QJy2BzMBqDXp-XtzJBM"", ""'ESC'!BJ3:BJ139""),MATCH($D32,IMPORTRANGE(""17pNv02DXDpQT9S3w4-QeNym2QJy2BzMBqDXp-XtzJBM"", ""'ESC'!D3:D139""),0))"),0)</f>
        <v>0</v>
      </c>
      <c r="AC32" s="2">
        <f ca="1">IFERROR(__xludf.DUMMYFUNCTION("INDEX(IMPORTRANGE(""17pNv02DXDpQT9S3w4-QeNym2QJy2BzMBqDXp-XtzJBM"", ""'ESC'!BK3:BK139""),MATCH($D32,IMPORTRANGE(""17pNv02DXDpQT9S3w4-QeNym2QJy2BzMBqDXp-XtzJBM"", ""'ESC'!D3:D139""),0))"),0)</f>
        <v>0</v>
      </c>
      <c r="AD32" s="2">
        <f ca="1">IFERROR(__xludf.DUMMYFUNCTION("INDEX(IMPORTRANGE(""17pNv02DXDpQT9S3w4-QeNym2QJy2BzMBqDXp-XtzJBM"", ""'ESC'!BL3:BL139""),MATCH($D32,IMPORTRANGE(""17pNv02DXDpQT9S3w4-QeNym2QJy2BzMBqDXp-XtzJBM"", ""'ESC'!D3:D139""),0))"),0)</f>
        <v>0</v>
      </c>
      <c r="AE32" s="2">
        <f ca="1">IFERROR(__xludf.DUMMYFUNCTION("INDEX(IMPORTRANGE(""17pNv02DXDpQT9S3w4-QeNym2QJy2BzMBqDXp-XtzJBM"", ""'ESC'!BM3:BM139""),MATCH($D32,IMPORTRANGE(""17pNv02DXDpQT9S3w4-QeNym2QJy2BzMBqDXp-XtzJBM"", ""'ESC'!D3:D139""),0))"),0)</f>
        <v>0</v>
      </c>
      <c r="AF32" s="1"/>
    </row>
    <row r="33" spans="1:32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29">
        <v>0</v>
      </c>
      <c r="R33" s="29">
        <v>2</v>
      </c>
      <c r="S33" s="29">
        <f ca="1">IFERROR(__xludf.DUMMYFUNCTION("INDEX(IMPORTRANGE(""17pNv02DXDpQT9S3w4-QeNym2QJy2BzMBqDXp-XtzJBM"", ""'ESC'!BG3:BG139""),MATCH($D33,IMPORTRANGE(""17pNv02DXDpQT9S3w4-QeNym2QJy2BzMBqDXp-XtzJBM"", ""'ESC'!D3:D139""),0))"),1)</f>
        <v>1</v>
      </c>
      <c r="T33" s="4"/>
      <c r="U33" s="4"/>
      <c r="V33" s="4"/>
      <c r="W33" s="4"/>
      <c r="X33" s="4"/>
      <c r="Y33" s="4"/>
      <c r="Z33" s="2">
        <f ca="1">IFERROR(__xludf.DUMMYFUNCTION("INDEX(IMPORTRANGE(""17pNv02DXDpQT9S3w4-QeNym2QJy2BzMBqDXp-XtzJBM"", ""'ESC'!BH3:BH139""),MATCH($D33,IMPORTRANGE(""17pNv02DXDpQT9S3w4-QeNym2QJy2BzMBqDXp-XtzJBM"", ""'ESC'!D3:D139""),0))"),2)</f>
        <v>2</v>
      </c>
      <c r="AA33" s="2">
        <f ca="1">IFERROR(__xludf.DUMMYFUNCTION("INDEX(IMPORTRANGE(""17pNv02DXDpQT9S3w4-QeNym2QJy2BzMBqDXp-XtzJBM"", ""'ESC'!BI3:BI139""),MATCH($D33,IMPORTRANGE(""17pNv02DXDpQT9S3w4-QeNym2QJy2BzMBqDXp-XtzJBM"", ""'ESC'!D3:D139""),0))"),2)</f>
        <v>2</v>
      </c>
      <c r="AB33" s="2">
        <f ca="1">IFERROR(__xludf.DUMMYFUNCTION("INDEX(IMPORTRANGE(""17pNv02DXDpQT9S3w4-QeNym2QJy2BzMBqDXp-XtzJBM"", ""'ESC'!BJ3:BJ139""),MATCH($D33,IMPORTRANGE(""17pNv02DXDpQT9S3w4-QeNym2QJy2BzMBqDXp-XtzJBM"", ""'ESC'!D3:D139""),0))"),2)</f>
        <v>2</v>
      </c>
      <c r="AC33" s="2">
        <f ca="1">IFERROR(__xludf.DUMMYFUNCTION("INDEX(IMPORTRANGE(""17pNv02DXDpQT9S3w4-QeNym2QJy2BzMBqDXp-XtzJBM"", ""'ESC'!BK3:BK139""),MATCH($D33,IMPORTRANGE(""17pNv02DXDpQT9S3w4-QeNym2QJy2BzMBqDXp-XtzJBM"", ""'ESC'!D3:D139""),0))"),2)</f>
        <v>2</v>
      </c>
      <c r="AD33" s="2">
        <f ca="1">IFERROR(__xludf.DUMMYFUNCTION("INDEX(IMPORTRANGE(""17pNv02DXDpQT9S3w4-QeNym2QJy2BzMBqDXp-XtzJBM"", ""'ESC'!BL3:BL139""),MATCH($D33,IMPORTRANGE(""17pNv02DXDpQT9S3w4-QeNym2QJy2BzMBqDXp-XtzJBM"", ""'ESC'!D3:D139""),0))"),0)</f>
        <v>0</v>
      </c>
      <c r="AE33" s="2">
        <f ca="1">IFERROR(__xludf.DUMMYFUNCTION("INDEX(IMPORTRANGE(""17pNv02DXDpQT9S3w4-QeNym2QJy2BzMBqDXp-XtzJBM"", ""'ESC'!BM3:BM139""),MATCH($D33,IMPORTRANGE(""17pNv02DXDpQT9S3w4-QeNym2QJy2BzMBqDXp-XtzJBM"", ""'ESC'!D3:D139""),0))"),0)</f>
        <v>0</v>
      </c>
      <c r="AF33" s="1"/>
    </row>
    <row r="34" spans="1:32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29">
        <v>0</v>
      </c>
      <c r="R34" s="29">
        <v>1</v>
      </c>
      <c r="S34" s="29">
        <f ca="1">IFERROR(__xludf.DUMMYFUNCTION("INDEX(IMPORTRANGE(""17pNv02DXDpQT9S3w4-QeNym2QJy2BzMBqDXp-XtzJBM"", ""'ESC'!BG3:BG139""),MATCH($D34,IMPORTRANGE(""17pNv02DXDpQT9S3w4-QeNym2QJy2BzMBqDXp-XtzJBM"", ""'ESC'!D3:D139""),0))"),1)</f>
        <v>1</v>
      </c>
      <c r="T34" s="4"/>
      <c r="U34" s="4"/>
      <c r="V34" s="4"/>
      <c r="W34" s="4"/>
      <c r="X34" s="4"/>
      <c r="Y34" s="4"/>
      <c r="Z34" s="2">
        <f ca="1">IFERROR(__xludf.DUMMYFUNCTION("INDEX(IMPORTRANGE(""17pNv02DXDpQT9S3w4-QeNym2QJy2BzMBqDXp-XtzJBM"", ""'ESC'!BH3:BH139""),MATCH($D34,IMPORTRANGE(""17pNv02DXDpQT9S3w4-QeNym2QJy2BzMBqDXp-XtzJBM"", ""'ESC'!D3:D139""),0))"),1)</f>
        <v>1</v>
      </c>
      <c r="AA34" s="2">
        <f ca="1">IFERROR(__xludf.DUMMYFUNCTION("INDEX(IMPORTRANGE(""17pNv02DXDpQT9S3w4-QeNym2QJy2BzMBqDXp-XtzJBM"", ""'ESC'!BI3:BI139""),MATCH($D34,IMPORTRANGE(""17pNv02DXDpQT9S3w4-QeNym2QJy2BzMBqDXp-XtzJBM"", ""'ESC'!D3:D139""),0))"),2)</f>
        <v>2</v>
      </c>
      <c r="AB34" s="2">
        <f ca="1">IFERROR(__xludf.DUMMYFUNCTION("INDEX(IMPORTRANGE(""17pNv02DXDpQT9S3w4-QeNym2QJy2BzMBqDXp-XtzJBM"", ""'ESC'!BJ3:BJ139""),MATCH($D34,IMPORTRANGE(""17pNv02DXDpQT9S3w4-QeNym2QJy2BzMBqDXp-XtzJBM"", ""'ESC'!D3:D139""),0))"),1)</f>
        <v>1</v>
      </c>
      <c r="AC34" s="2">
        <f ca="1">IFERROR(__xludf.DUMMYFUNCTION("INDEX(IMPORTRANGE(""17pNv02DXDpQT9S3w4-QeNym2QJy2BzMBqDXp-XtzJBM"", ""'ESC'!BK3:BK139""),MATCH($D34,IMPORTRANGE(""17pNv02DXDpQT9S3w4-QeNym2QJy2BzMBqDXp-XtzJBM"", ""'ESC'!D3:D139""),0))"),3)</f>
        <v>3</v>
      </c>
      <c r="AD34" s="2">
        <f ca="1">IFERROR(__xludf.DUMMYFUNCTION("INDEX(IMPORTRANGE(""17pNv02DXDpQT9S3w4-QeNym2QJy2BzMBqDXp-XtzJBM"", ""'ESC'!BL3:BL139""),MATCH($D34,IMPORTRANGE(""17pNv02DXDpQT9S3w4-QeNym2QJy2BzMBqDXp-XtzJBM"", ""'ESC'!D3:D139""),0))"),1)</f>
        <v>1</v>
      </c>
      <c r="AE34" s="2">
        <f ca="1">IFERROR(__xludf.DUMMYFUNCTION("INDEX(IMPORTRANGE(""17pNv02DXDpQT9S3w4-QeNym2QJy2BzMBqDXp-XtzJBM"", ""'ESC'!BM3:BM139""),MATCH($D34,IMPORTRANGE(""17pNv02DXDpQT9S3w4-QeNym2QJy2BzMBqDXp-XtzJBM"", ""'ESC'!D3:D139""),0))"),3)</f>
        <v>3</v>
      </c>
      <c r="AF34" s="1"/>
    </row>
    <row r="35" spans="1:32">
      <c r="A35" s="16" t="s">
        <v>52</v>
      </c>
      <c r="B35" s="16" t="s">
        <v>86</v>
      </c>
      <c r="C35" s="8" t="s">
        <v>30</v>
      </c>
      <c r="D35" s="16" t="s">
        <v>350</v>
      </c>
      <c r="E35" s="16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21" t="s">
        <v>363</v>
      </c>
      <c r="P35" s="21" t="s">
        <v>349</v>
      </c>
      <c r="Q35" s="262">
        <f t="shared" ref="Q35:R35" si="8">SUM(Q24:Q34)</f>
        <v>25</v>
      </c>
      <c r="R35" s="262">
        <f t="shared" si="8"/>
        <v>80</v>
      </c>
      <c r="S35" s="262">
        <f ca="1">IFERROR(__xludf.DUMMYFUNCTION("INDEX(IMPORTRANGE(""17pNv02DXDpQT9S3w4-QeNym2QJy2BzMBqDXp-XtzJBM"", ""'ESC'!BG3:BG139""),MATCH($D35,IMPORTRANGE(""17pNv02DXDpQT9S3w4-QeNym2QJy2BzMBqDXp-XtzJBM"", ""'ESC'!D3:D139""),0))"),71)</f>
        <v>71</v>
      </c>
      <c r="T35" s="4"/>
      <c r="U35" s="4"/>
      <c r="V35" s="4"/>
      <c r="W35" s="4"/>
      <c r="X35" s="4"/>
      <c r="Y35" s="4"/>
      <c r="Z35" s="2">
        <f ca="1">IFERROR(__xludf.DUMMYFUNCTION("INDEX(IMPORTRANGE(""17pNv02DXDpQT9S3w4-QeNym2QJy2BzMBqDXp-XtzJBM"", ""'ESC'!BH3:BH139""),MATCH($D35,IMPORTRANGE(""17pNv02DXDpQT9S3w4-QeNym2QJy2BzMBqDXp-XtzJBM"", ""'ESC'!D3:D139""),0))"),43)</f>
        <v>43</v>
      </c>
      <c r="AA35" s="2">
        <f ca="1">IFERROR(__xludf.DUMMYFUNCTION("INDEX(IMPORTRANGE(""17pNv02DXDpQT9S3w4-QeNym2QJy2BzMBqDXp-XtzJBM"", ""'ESC'!BI3:BI139""),MATCH($D35,IMPORTRANGE(""17pNv02DXDpQT9S3w4-QeNym2QJy2BzMBqDXp-XtzJBM"", ""'ESC'!D3:D139""),0))"),111)</f>
        <v>111</v>
      </c>
      <c r="AB35" s="2">
        <f ca="1">IFERROR(__xludf.DUMMYFUNCTION("INDEX(IMPORTRANGE(""17pNv02DXDpQT9S3w4-QeNym2QJy2BzMBqDXp-XtzJBM"", ""'ESC'!BJ3:BJ139""),MATCH($D35,IMPORTRANGE(""17pNv02DXDpQT9S3w4-QeNym2QJy2BzMBqDXp-XtzJBM"", ""'ESC'!D3:D139""),0))"),51)</f>
        <v>51</v>
      </c>
      <c r="AC35" s="2">
        <f ca="1">IFERROR(__xludf.DUMMYFUNCTION("INDEX(IMPORTRANGE(""17pNv02DXDpQT9S3w4-QeNym2QJy2BzMBqDXp-XtzJBM"", ""'ESC'!BK3:BK139""),MATCH($D35,IMPORTRANGE(""17pNv02DXDpQT9S3w4-QeNym2QJy2BzMBqDXp-XtzJBM"", ""'ESC'!D3:D139""),0))"),112)</f>
        <v>112</v>
      </c>
      <c r="AD35" s="2">
        <f ca="1">IFERROR(__xludf.DUMMYFUNCTION("INDEX(IMPORTRANGE(""17pNv02DXDpQT9S3w4-QeNym2QJy2BzMBqDXp-XtzJBM"", ""'ESC'!BL3:BL139""),MATCH($D35,IMPORTRANGE(""17pNv02DXDpQT9S3w4-QeNym2QJy2BzMBqDXp-XtzJBM"", ""'ESC'!D3:D139""),0))"),52)</f>
        <v>52</v>
      </c>
      <c r="AE35" s="2">
        <f ca="1">IFERROR(__xludf.DUMMYFUNCTION("INDEX(IMPORTRANGE(""17pNv02DXDpQT9S3w4-QeNym2QJy2BzMBqDXp-XtzJBM"", ""'ESC'!BM3:BM139""),MATCH($D35,IMPORTRANGE(""17pNv02DXDpQT9S3w4-QeNym2QJy2BzMBqDXp-XtzJBM"", ""'ESC'!D3:D139""),0))"),115)</f>
        <v>115</v>
      </c>
      <c r="AF35" s="314"/>
    </row>
    <row r="36" spans="1:32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2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5.2868317708983179</v>
      </c>
      <c r="R36" s="23">
        <f t="shared" si="9"/>
        <v>16.917861666874614</v>
      </c>
      <c r="S36" s="23">
        <f ca="1">IFERROR(__xludf.DUMMYFUNCTION("INDEX(IMPORTRANGE(""17pNv02DXDpQT9S3w4-QeNym2QJy2BzMBqDXp-XtzJBM"", ""'ESC'!BG3:BG139""),MATCH($D36,IMPORTRANGE(""17pNv02DXDpQT9S3w4-QeNym2QJy2BzMBqDXp-XtzJBM"", ""'ESC'!D3:D139""),0))"),15.0146022293512)</f>
        <v>15.014602229351199</v>
      </c>
      <c r="T36" s="2">
        <v>12.3</v>
      </c>
      <c r="U36" s="2">
        <v>2.8</v>
      </c>
      <c r="V36" s="2">
        <v>8.9</v>
      </c>
      <c r="W36" s="2">
        <v>0.9</v>
      </c>
      <c r="X36" s="24">
        <f ca="1">+S36*(1+(Y36-R36)/R36)</f>
        <v>2.662499999999997</v>
      </c>
      <c r="Y36" s="2">
        <v>3</v>
      </c>
      <c r="Z36" s="23">
        <f ca="1">IFERROR(__xludf.DUMMYFUNCTION("INDEX(IMPORTRANGE(""17pNv02DXDpQT9S3w4-QeNym2QJy2BzMBqDXp-XtzJBM"", ""'ESC'!BH3:BH139""),MATCH($D36,IMPORTRANGE(""17pNv02DXDpQT9S3w4-QeNym2QJy2BzMBqDXp-XtzJBM"", ""'ESC'!D3:D139""),0))"),8.98243620381356)</f>
        <v>8.9824362038135597</v>
      </c>
      <c r="AA36" s="23">
        <f ca="1">IFERROR(__xludf.DUMMYFUNCTION("INDEX(IMPORTRANGE(""17pNv02DXDpQT9S3w4-QeNym2QJy2BzMBqDXp-XtzJBM"", ""'ESC'!BI3:BI139""),MATCH($D36,IMPORTRANGE(""17pNv02DXDpQT9S3w4-QeNym2QJy2BzMBqDXp-XtzJBM"", ""'ESC'!D3:D139""),0))"),23.1872190377512)</f>
        <v>23.187219037751198</v>
      </c>
      <c r="AB36" s="23">
        <f ca="1">IFERROR(__xludf.DUMMYFUNCTION("INDEX(IMPORTRANGE(""17pNv02DXDpQT9S3w4-QeNym2QJy2BzMBqDXp-XtzJBM"", ""'ESC'!BJ3:BJ139""),MATCH($D36,IMPORTRANGE(""17pNv02DXDpQT9S3w4-QeNym2QJy2BzMBqDXp-XtzJBM"", ""'ESC'!D3:D139""),0))"),10.5411974800337)</f>
        <v>10.5411974800337</v>
      </c>
      <c r="AC36" s="23">
        <f ca="1">IFERROR(__xludf.DUMMYFUNCTION("INDEX(IMPORTRANGE(""17pNv02DXDpQT9S3w4-QeNym2QJy2BzMBqDXp-XtzJBM"", ""'ESC'!BK3:BK139""),MATCH($D36,IMPORTRANGE(""17pNv02DXDpQT9S3w4-QeNym2QJy2BzMBqDXp-XtzJBM"", ""'ESC'!D3:D139""),0))"),23.1492964267407)</f>
        <v>23.149296426740701</v>
      </c>
      <c r="AD36" s="23">
        <f ca="1">IFERROR(__xludf.DUMMYFUNCTION("INDEX(IMPORTRANGE(""17pNv02DXDpQT9S3w4-QeNym2QJy2BzMBqDXp-XtzJBM"", ""'ESC'!BL3:BL139""),MATCH($D36,IMPORTRANGE(""17pNv02DXDpQT9S3w4-QeNym2QJy2BzMBqDXp-XtzJBM"", ""'ESC'!D3:D139""),0))"),10.6523324511016)</f>
        <v>10.6523324511016</v>
      </c>
      <c r="AE36" s="23">
        <f ca="1">IFERROR(__xludf.DUMMYFUNCTION("INDEX(IMPORTRANGE(""17pNv02DXDpQT9S3w4-QeNym2QJy2BzMBqDXp-XtzJBM"", ""'ESC'!BM3:BM139""),MATCH($D36,IMPORTRANGE(""17pNv02DXDpQT9S3w4-QeNym2QJy2BzMBqDXp-XtzJBM"", ""'ESC'!D3:D139""),0))"),23.5580429207056)</f>
        <v>23.558042920705599</v>
      </c>
      <c r="AF36" s="1"/>
    </row>
    <row r="37" spans="1:32">
      <c r="A37" s="7" t="s">
        <v>119</v>
      </c>
      <c r="B37" s="7" t="s">
        <v>120</v>
      </c>
      <c r="C37" s="1" t="s">
        <v>30</v>
      </c>
      <c r="D37" s="1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12">
        <v>138494</v>
      </c>
      <c r="R37" s="12">
        <v>138494</v>
      </c>
      <c r="S37" s="12">
        <f ca="1">IFERROR(__xludf.DUMMYFUNCTION("INDEX(IMPORTRANGE(""17pNv02DXDpQT9S3w4-QeNym2QJy2BzMBqDXp-XtzJBM"", ""'ESC'!BG3:BG139""),MATCH($D37,IMPORTRANGE(""17pNv02DXDpQT9S3w4-QeNym2QJy2BzMBqDXp-XtzJBM"", ""'ESC'!D3:D139""),0))"),138494)</f>
        <v>138494</v>
      </c>
      <c r="T37" s="4"/>
      <c r="U37" s="4"/>
      <c r="V37" s="4"/>
      <c r="W37" s="4"/>
      <c r="X37" s="4"/>
      <c r="Y37" s="4"/>
      <c r="Z37" s="12">
        <f ca="1">IFERROR(__xludf.DUMMYFUNCTION("INDEX(IMPORTRANGE(""17pNv02DXDpQT9S3w4-QeNym2QJy2BzMBqDXp-XtzJBM"", ""'ESC'!BH3:BH139""),MATCH($D37,IMPORTRANGE(""17pNv02DXDpQT9S3w4-QeNym2QJy2BzMBqDXp-XtzJBM"", ""'ESC'!D3:D139""),0))"),138494)</f>
        <v>138494</v>
      </c>
      <c r="AA37" s="12">
        <f ca="1">IFERROR(__xludf.DUMMYFUNCTION("INDEX(IMPORTRANGE(""17pNv02DXDpQT9S3w4-QeNym2QJy2BzMBqDXp-XtzJBM"", ""'ESC'!BI3:BI139""),MATCH($D37,IMPORTRANGE(""17pNv02DXDpQT9S3w4-QeNym2QJy2BzMBqDXp-XtzJBM"", ""'ESC'!D3:D139""),0))"),178382)</f>
        <v>178382</v>
      </c>
      <c r="AB37" s="12">
        <f ca="1">IFERROR(__xludf.DUMMYFUNCTION("INDEX(IMPORTRANGE(""17pNv02DXDpQT9S3w4-QeNym2QJy2BzMBqDXp-XtzJBM"", ""'ESC'!BJ3:BJ139""),MATCH($D37,IMPORTRANGE(""17pNv02DXDpQT9S3w4-QeNym2QJy2BzMBqDXp-XtzJBM"", ""'ESC'!D3:D139""),0))"),425077)</f>
        <v>425077</v>
      </c>
      <c r="AC37" s="12">
        <f ca="1">IFERROR(__xludf.DUMMYFUNCTION("INDEX(IMPORTRANGE(""17pNv02DXDpQT9S3w4-QeNym2QJy2BzMBqDXp-XtzJBM"", ""'ESC'!BK3:BK139""),MATCH($D37,IMPORTRANGE(""17pNv02DXDpQT9S3w4-QeNym2QJy2BzMBqDXp-XtzJBM"", ""'ESC'!D3:D139""),0))"),144664)</f>
        <v>144664</v>
      </c>
      <c r="AD37" s="12">
        <f ca="1">IFERROR(__xludf.DUMMYFUNCTION("INDEX(IMPORTRANGE(""17pNv02DXDpQT9S3w4-QeNym2QJy2BzMBqDXp-XtzJBM"", ""'ESC'!BL3:BL139""),MATCH($D37,IMPORTRANGE(""17pNv02DXDpQT9S3w4-QeNym2QJy2BzMBqDXp-XtzJBM"", ""'ESC'!D3:D139""),0))"),144664)</f>
        <v>144664</v>
      </c>
      <c r="AE37" s="12">
        <f ca="1">IFERROR(__xludf.DUMMYFUNCTION("INDEX(IMPORTRANGE(""17pNv02DXDpQT9S3w4-QeNym2QJy2BzMBqDXp-XtzJBM"", ""'ESC'!BM3:BM139""),MATCH($D37,IMPORTRANGE(""17pNv02DXDpQT9S3w4-QeNym2QJy2BzMBqDXp-XtzJBM"", ""'ESC'!D3:D139""),0))"),144664)</f>
        <v>144664</v>
      </c>
      <c r="AF37" s="1"/>
    </row>
    <row r="38" spans="1:32">
      <c r="A38" s="7" t="s">
        <v>119</v>
      </c>
      <c r="B38" s="7" t="s">
        <v>120</v>
      </c>
      <c r="C38" s="1" t="s">
        <v>30</v>
      </c>
      <c r="D38" s="7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1" t="s">
        <v>361</v>
      </c>
      <c r="P38" s="11">
        <v>45565</v>
      </c>
      <c r="Q38" s="12"/>
      <c r="R38" s="12"/>
      <c r="S38" s="12" t="str">
        <f ca="1">IFERROR(__xludf.DUMMYFUNCTION("INDEX(IMPORTRANGE(""17pNv02DXDpQT9S3w4-QeNym2QJy2BzMBqDXp-XtzJBM"", ""'ESC'!BG3:BG139""),MATCH($D38,IMPORTRANGE(""17pNv02DXDpQT9S3w4-QeNym2QJy2BzMBqDXp-XtzJBM"", ""'ESC'!D3:D139""),0))"),"")</f>
        <v/>
      </c>
      <c r="T38" s="4"/>
      <c r="U38" s="4"/>
      <c r="V38" s="4"/>
      <c r="W38" s="4"/>
      <c r="X38" s="4"/>
      <c r="Y38" s="4"/>
      <c r="Z38" s="12">
        <f ca="1">IFERROR(__xludf.DUMMYFUNCTION("INDEX(IMPORTRANGE(""17pNv02DXDpQT9S3w4-QeNym2QJy2BzMBqDXp-XtzJBM"", ""'ESC'!BH3:BH139""),MATCH($D38,IMPORTRANGE(""17pNv02DXDpQT9S3w4-QeNym2QJy2BzMBqDXp-XtzJBM"", ""'ESC'!D3:D139""),0))"),131579)</f>
        <v>131579</v>
      </c>
      <c r="AA38" s="12">
        <f ca="1">IFERROR(__xludf.DUMMYFUNCTION("INDEX(IMPORTRANGE(""17pNv02DXDpQT9S3w4-QeNym2QJy2BzMBqDXp-XtzJBM"", ""'ESC'!BI3:BI139""),MATCH($D38,IMPORTRANGE(""17pNv02DXDpQT9S3w4-QeNym2QJy2BzMBqDXp-XtzJBM"", ""'ESC'!D3:D139""),0))"),0)</f>
        <v>0</v>
      </c>
      <c r="AB38" s="12">
        <f ca="1">IFERROR(__xludf.DUMMYFUNCTION("INDEX(IMPORTRANGE(""17pNv02DXDpQT9S3w4-QeNym2QJy2BzMBqDXp-XtzJBM"", ""'ESC'!BJ3:BJ139""),MATCH($D38,IMPORTRANGE(""17pNv02DXDpQT9S3w4-QeNym2QJy2BzMBqDXp-XtzJBM"", ""'ESC'!D3:D139""),0))"),0)</f>
        <v>0</v>
      </c>
      <c r="AC38" s="12">
        <f ca="1">IFERROR(__xludf.DUMMYFUNCTION("INDEX(IMPORTRANGE(""17pNv02DXDpQT9S3w4-QeNym2QJy2BzMBqDXp-XtzJBM"", ""'ESC'!BK3:BK139""),MATCH($D38,IMPORTRANGE(""17pNv02DXDpQT9S3w4-QeNym2QJy2BzMBqDXp-XtzJBM"", ""'ESC'!D3:D139""),0))"),0)</f>
        <v>0</v>
      </c>
      <c r="AD38" s="12">
        <f ca="1">IFERROR(__xludf.DUMMYFUNCTION("INDEX(IMPORTRANGE(""17pNv02DXDpQT9S3w4-QeNym2QJy2BzMBqDXp-XtzJBM"", ""'ESC'!BL3:BL139""),MATCH($D38,IMPORTRANGE(""17pNv02DXDpQT9S3w4-QeNym2QJy2BzMBqDXp-XtzJBM"", ""'ESC'!D3:D139""),0))"),0)</f>
        <v>0</v>
      </c>
      <c r="AE38" s="12">
        <f ca="1">IFERROR(__xludf.DUMMYFUNCTION("INDEX(IMPORTRANGE(""17pNv02DXDpQT9S3w4-QeNym2QJy2BzMBqDXp-XtzJBM"", ""'ESC'!BM3:BM139""),MATCH($D38,IMPORTRANGE(""17pNv02DXDpQT9S3w4-QeNym2QJy2BzMBqDXp-XtzJBM"", ""'ESC'!D3:D139""),0))"),0)</f>
        <v>0</v>
      </c>
      <c r="AF38" s="1"/>
    </row>
    <row r="39" spans="1:32">
      <c r="A39" s="7" t="s">
        <v>119</v>
      </c>
      <c r="B39" s="7" t="s">
        <v>120</v>
      </c>
      <c r="C39" s="1" t="s">
        <v>36</v>
      </c>
      <c r="D39" s="7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1" t="s">
        <v>361</v>
      </c>
      <c r="P39" s="11">
        <v>45565</v>
      </c>
      <c r="Q39" s="15">
        <f t="shared" ref="Q39:R39" si="10">Q38/Q37</f>
        <v>0</v>
      </c>
      <c r="R39" s="15">
        <f t="shared" si="10"/>
        <v>0</v>
      </c>
      <c r="S39" s="15">
        <f ca="1">IFERROR(__xludf.DUMMYFUNCTION("INDEX(IMPORTRANGE(""17pNv02DXDpQT9S3w4-QeNym2QJy2BzMBqDXp-XtzJBM"", ""'ESC'!BG3:BG139""),MATCH($D39,IMPORTRANGE(""17pNv02DXDpQT9S3w4-QeNym2QJy2BzMBqDXp-XtzJBM"", ""'ESC'!D3:D139""),0))"),0)</f>
        <v>0</v>
      </c>
      <c r="T39" s="56" t="s">
        <v>419</v>
      </c>
      <c r="U39" s="56" t="s">
        <v>419</v>
      </c>
      <c r="V39" s="56" t="s">
        <v>419</v>
      </c>
      <c r="W39" s="56" t="s">
        <v>419</v>
      </c>
      <c r="X39" s="56" t="s">
        <v>419</v>
      </c>
      <c r="Y39" s="56" t="s">
        <v>419</v>
      </c>
      <c r="Z39" s="15">
        <f ca="1">IFERROR(__xludf.DUMMYFUNCTION("INDEX(IMPORTRANGE(""17pNv02DXDpQT9S3w4-QeNym2QJy2BzMBqDXp-XtzJBM"", ""'ESC'!BH3:BH139""),MATCH($D39,IMPORTRANGE(""17pNv02DXDpQT9S3w4-QeNym2QJy2BzMBqDXp-XtzJBM"", ""'ESC'!D3:D139""),0))"),0.950070039135269)</f>
        <v>0.950070039135269</v>
      </c>
      <c r="AA39" s="15">
        <f ca="1">IFERROR(__xludf.DUMMYFUNCTION("INDEX(IMPORTRANGE(""17pNv02DXDpQT9S3w4-QeNym2QJy2BzMBqDXp-XtzJBM"", ""'ESC'!BI3:BI139""),MATCH($D39,IMPORTRANGE(""17pNv02DXDpQT9S3w4-QeNym2QJy2BzMBqDXp-XtzJBM"", ""'ESC'!D3:D139""),0))"),0)</f>
        <v>0</v>
      </c>
      <c r="AB39" s="15">
        <f ca="1">IFERROR(__xludf.DUMMYFUNCTION("INDEX(IMPORTRANGE(""17pNv02DXDpQT9S3w4-QeNym2QJy2BzMBqDXp-XtzJBM"", ""'ESC'!BJ3:BJ139""),MATCH($D39,IMPORTRANGE(""17pNv02DXDpQT9S3w4-QeNym2QJy2BzMBqDXp-XtzJBM"", ""'ESC'!D3:D139""),0))"),0)</f>
        <v>0</v>
      </c>
      <c r="AC39" s="15">
        <f ca="1">IFERROR(__xludf.DUMMYFUNCTION("INDEX(IMPORTRANGE(""17pNv02DXDpQT9S3w4-QeNym2QJy2BzMBqDXp-XtzJBM"", ""'ESC'!BK3:BK139""),MATCH($D39,IMPORTRANGE(""17pNv02DXDpQT9S3w4-QeNym2QJy2BzMBqDXp-XtzJBM"", ""'ESC'!D3:D139""),0))"),0)</f>
        <v>0</v>
      </c>
      <c r="AD39" s="15">
        <f ca="1">IFERROR(__xludf.DUMMYFUNCTION("INDEX(IMPORTRANGE(""17pNv02DXDpQT9S3w4-QeNym2QJy2BzMBqDXp-XtzJBM"", ""'ESC'!BL3:BL139""),MATCH($D39,IMPORTRANGE(""17pNv02DXDpQT9S3w4-QeNym2QJy2BzMBqDXp-XtzJBM"", ""'ESC'!D3:D139""),0))"),0)</f>
        <v>0</v>
      </c>
      <c r="AE39" s="15">
        <f ca="1">IFERROR(__xludf.DUMMYFUNCTION("INDEX(IMPORTRANGE(""17pNv02DXDpQT9S3w4-QeNym2QJy2BzMBqDXp-XtzJBM"", ""'ESC'!BM3:BM139""),MATCH($D39,IMPORTRANGE(""17pNv02DXDpQT9S3w4-QeNym2QJy2BzMBqDXp-XtzJBM"", ""'ESC'!D3:D139""),0))"),0)</f>
        <v>0</v>
      </c>
      <c r="AF39" s="1"/>
    </row>
    <row r="40" spans="1:32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""'ESC'!BG3:BG139""),MATCH($D40,IMPORTRANGE(""17pNv02DXDpQT9S3w4-QeNym2QJy2BzMBqDXp-XtzJBM"", ""'ESC'!D3:D139""),0))"),"")</f>
        <v/>
      </c>
      <c r="T40" s="2"/>
      <c r="U40" s="2"/>
      <c r="V40" s="2"/>
      <c r="W40" s="2"/>
      <c r="X40" s="2"/>
      <c r="Y40" s="12"/>
      <c r="Z40" s="30" t="str">
        <f ca="1">IFERROR(__xludf.DUMMYFUNCTION("INDEX(IMPORTRANGE(""17pNv02DXDpQT9S3w4-QeNym2QJy2BzMBqDXp-XtzJBM"", ""'ESC'!BH3:BH139""),MATCH($D40,IMPORTRANGE(""17pNv02DXDpQT9S3w4-QeNym2QJy2BzMBqDXp-XtzJBM"", ""'ESC'!D3:D139""),0))"),"")</f>
        <v/>
      </c>
      <c r="AA40" s="30" t="str">
        <f ca="1">IFERROR(__xludf.DUMMYFUNCTION("INDEX(IMPORTRANGE(""17pNv02DXDpQT9S3w4-QeNym2QJy2BzMBqDXp-XtzJBM"", ""'ESC'!BI3:BI139""),MATCH($D40,IMPORTRANGE(""17pNv02DXDpQT9S3w4-QeNym2QJy2BzMBqDXp-XtzJBM"", ""'ESC'!D3:D139""),0))"),"")</f>
        <v/>
      </c>
      <c r="AB40" s="30">
        <f ca="1">IFERROR(__xludf.DUMMYFUNCTION("INDEX(IMPORTRANGE(""17pNv02DXDpQT9S3w4-QeNym2QJy2BzMBqDXp-XtzJBM"", ""'ESC'!BJ3:BJ139""),MATCH($D40,IMPORTRANGE(""17pNv02DXDpQT9S3w4-QeNym2QJy2BzMBqDXp-XtzJBM"", ""'ESC'!D3:D139""),0))"),23.1707499999999)</f>
        <v>23.170749999999899</v>
      </c>
      <c r="AC40" s="30">
        <f ca="1">IFERROR(__xludf.DUMMYFUNCTION("INDEX(IMPORTRANGE(""17pNv02DXDpQT9S3w4-QeNym2QJy2BzMBqDXp-XtzJBM"", ""'ESC'!BK3:BK139""),MATCH($D40,IMPORTRANGE(""17pNv02DXDpQT9S3w4-QeNym2QJy2BzMBqDXp-XtzJBM"", ""'ESC'!D3:D139""),0))"),53.7427499999999)</f>
        <v>53.742749999999901</v>
      </c>
      <c r="AD40" s="30">
        <f ca="1">IFERROR(__xludf.DUMMYFUNCTION("INDEX(IMPORTRANGE(""17pNv02DXDpQT9S3w4-QeNym2QJy2BzMBqDXp-XtzJBM"", ""'ESC'!BL3:BL139""),MATCH($D40,IMPORTRANGE(""17pNv02DXDpQT9S3w4-QeNym2QJy2BzMBqDXp-XtzJBM"", ""'ESC'!D3:D139""),0))"),5.824)</f>
        <v>5.8239999999999998</v>
      </c>
      <c r="AE40" s="30">
        <f ca="1">IFERROR(__xludf.DUMMYFUNCTION("INDEX(IMPORTRANGE(""17pNv02DXDpQT9S3w4-QeNym2QJy2BzMBqDXp-XtzJBM"", ""'ESC'!BM3:BM139""),MATCH($D40,IMPORTRANGE(""17pNv02DXDpQT9S3w4-QeNym2QJy2BzMBqDXp-XtzJBM"", ""'ESC'!D3:D139""),0))"),14.554)</f>
        <v>14.554</v>
      </c>
      <c r="AF40" s="1"/>
    </row>
    <row r="41" spans="1:32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""'ESC'!BG3:BG139""),MATCH($D41,IMPORTRANGE(""17pNv02DXDpQT9S3w4-QeNym2QJy2BzMBqDXp-XtzJBM"", ""'ESC'!D3:D139""),0))"),"")</f>
        <v/>
      </c>
      <c r="T41" s="2"/>
      <c r="U41" s="2"/>
      <c r="V41" s="2"/>
      <c r="W41" s="2"/>
      <c r="X41" s="2"/>
      <c r="Y41" s="12"/>
      <c r="Z41" s="30" t="str">
        <f ca="1">IFERROR(__xludf.DUMMYFUNCTION("INDEX(IMPORTRANGE(""17pNv02DXDpQT9S3w4-QeNym2QJy2BzMBqDXp-XtzJBM"", ""'ESC'!BH3:BH139""),MATCH($D41,IMPORTRANGE(""17pNv02DXDpQT9S3w4-QeNym2QJy2BzMBqDXp-XtzJBM"", ""'ESC'!D3:D139""),0))"),"")</f>
        <v/>
      </c>
      <c r="AA41" s="30" t="str">
        <f ca="1">IFERROR(__xludf.DUMMYFUNCTION("INDEX(IMPORTRANGE(""17pNv02DXDpQT9S3w4-QeNym2QJy2BzMBqDXp-XtzJBM"", ""'ESC'!BI3:BI139""),MATCH($D41,IMPORTRANGE(""17pNv02DXDpQT9S3w4-QeNym2QJy2BzMBqDXp-XtzJBM"", ""'ESC'!D3:D139""),0))"),"")</f>
        <v/>
      </c>
      <c r="AB41" s="30">
        <f ca="1">IFERROR(__xludf.DUMMYFUNCTION("INDEX(IMPORTRANGE(""17pNv02DXDpQT9S3w4-QeNym2QJy2BzMBqDXp-XtzJBM"", ""'ESC'!BJ3:BJ139""),MATCH($D41,IMPORTRANGE(""17pNv02DXDpQT9S3w4-QeNym2QJy2BzMBqDXp-XtzJBM"", ""'ESC'!D3:D139""),0))"),60338.1707999999)</f>
        <v>60338.170799999898</v>
      </c>
      <c r="AC41" s="30">
        <f ca="1">IFERROR(__xludf.DUMMYFUNCTION("INDEX(IMPORTRANGE(""17pNv02DXDpQT9S3w4-QeNym2QJy2BzMBqDXp-XtzJBM"", ""'ESC'!BK3:BK139""),MATCH($D41,IMPORTRANGE(""17pNv02DXDpQT9S3w4-QeNym2QJy2BzMBqDXp-XtzJBM"", ""'ESC'!D3:D139""),0))"),60338.1707999999)</f>
        <v>60338.170799999898</v>
      </c>
      <c r="AD41" s="30">
        <f ca="1">IFERROR(__xludf.DUMMYFUNCTION("INDEX(IMPORTRANGE(""17pNv02DXDpQT9S3w4-QeNym2QJy2BzMBqDXp-XtzJBM"", ""'ESC'!BL3:BL139""),MATCH($D41,IMPORTRANGE(""17pNv02DXDpQT9S3w4-QeNym2QJy2BzMBqDXp-XtzJBM"", ""'ESC'!D3:D139""),0))"),76423)</f>
        <v>76423</v>
      </c>
      <c r="AE41" s="30">
        <f ca="1">IFERROR(__xludf.DUMMYFUNCTION("INDEX(IMPORTRANGE(""17pNv02DXDpQT9S3w4-QeNym2QJy2BzMBqDXp-XtzJBM"", ""'ESC'!BM3:BM139""),MATCH($D41,IMPORTRANGE(""17pNv02DXDpQT9S3w4-QeNym2QJy2BzMBqDXp-XtzJBM"", ""'ESC'!D3:D139""),0))"),143980.28)</f>
        <v>143980.28</v>
      </c>
      <c r="AF41" s="1"/>
    </row>
    <row r="42" spans="1:32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""'ESC'!BG3:BG139""),MATCH($D42,IMPORTRANGE(""17pNv02DXDpQT9S3w4-QeNym2QJy2BzMBqDXp-XtzJBM"", ""'ESC'!D3:D139""),0))"),"")</f>
        <v/>
      </c>
      <c r="T42" s="2"/>
      <c r="U42" s="26">
        <v>4.0000000000000002E-4</v>
      </c>
      <c r="V42" s="26">
        <v>5.0000000000000001E-4</v>
      </c>
      <c r="W42" s="26">
        <v>5.0000000000000001E-4</v>
      </c>
      <c r="X42" s="152">
        <f>((Y42-W42)/6)*5+W42</f>
        <v>5.8333333333333327E-4</v>
      </c>
      <c r="Y42" s="26">
        <v>5.9999999999999995E-4</v>
      </c>
      <c r="Z42" s="15" t="str">
        <f ca="1">IFERROR(__xludf.DUMMYFUNCTION("INDEX(IMPORTRANGE(""17pNv02DXDpQT9S3w4-QeNym2QJy2BzMBqDXp-XtzJBM"", ""'ESC'!BH3:BH139""),MATCH($D42,IMPORTRANGE(""17pNv02DXDpQT9S3w4-QeNym2QJy2BzMBqDXp-XtzJBM"", ""'ESC'!D3:D139""),0))"),"")</f>
        <v/>
      </c>
      <c r="AA42" s="15" t="str">
        <f ca="1">IFERROR(__xludf.DUMMYFUNCTION("INDEX(IMPORTRANGE(""17pNv02DXDpQT9S3w4-QeNym2QJy2BzMBqDXp-XtzJBM"", ""'ESC'!BI3:BI139""),MATCH($D42,IMPORTRANGE(""17pNv02DXDpQT9S3w4-QeNym2QJy2BzMBqDXp-XtzJBM"", ""'ESC'!D3:D139""),0))"),"")</f>
        <v/>
      </c>
      <c r="AB42" s="15">
        <f ca="1">IFERROR(__xludf.DUMMYFUNCTION("INDEX(IMPORTRANGE(""17pNv02DXDpQT9S3w4-QeNym2QJy2BzMBqDXp-XtzJBM"", ""'ESC'!BJ3:BJ139""),MATCH($D42,IMPORTRANGE(""17pNv02DXDpQT9S3w4-QeNym2QJy2BzMBqDXp-XtzJBM"", ""'ESC'!D3:D139""),0))"),0.000384014790186512)</f>
        <v>3.8401479018651199E-4</v>
      </c>
      <c r="AC42" s="15">
        <f ca="1">IFERROR(__xludf.DUMMYFUNCTION("INDEX(IMPORTRANGE(""17pNv02DXDpQT9S3w4-QeNym2QJy2BzMBqDXp-XtzJBM"", ""'ESC'!BK3:BK139""),MATCH($D42,IMPORTRANGE(""17pNv02DXDpQT9S3w4-QeNym2QJy2BzMBqDXp-XtzJBM"", ""'ESC'!D3:D139""),0))"),0.000890692397324049)</f>
        <v>8.9069239732404899E-4</v>
      </c>
      <c r="AD42" s="26">
        <f ca="1">IFERROR(__xludf.DUMMYFUNCTION("INDEX(IMPORTRANGE(""17pNv02DXDpQT9S3w4-QeNym2QJy2BzMBqDXp-XtzJBM"", ""'ESC'!BL3:BL139""),MATCH($D42,IMPORTRANGE(""17pNv02DXDpQT9S3w4-QeNym2QJy2BzMBqDXp-XtzJBM"", ""'ESC'!D3:D139""),0))"),0.0000762074244664564)</f>
        <v>7.6207424466456406E-5</v>
      </c>
      <c r="AE42" s="26">
        <f ca="1">IFERROR(__xludf.DUMMYFUNCTION("INDEX(IMPORTRANGE(""17pNv02DXDpQT9S3w4-QeNym2QJy2BzMBqDXp-XtzJBM"", ""'ESC'!BM3:BM139""),MATCH($D42,IMPORTRANGE(""17pNv02DXDpQT9S3w4-QeNym2QJy2BzMBqDXp-XtzJBM"", ""'ESC'!D3:D139""),0))"),0.000101083287239058)</f>
        <v>1.01083287239058E-4</v>
      </c>
      <c r="AF42" s="1"/>
    </row>
    <row r="43" spans="1:32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2" t="s">
        <v>56</v>
      </c>
      <c r="H43" s="22" t="s">
        <v>57</v>
      </c>
      <c r="I43" s="2" t="s">
        <v>362</v>
      </c>
      <c r="J43" s="22" t="s">
        <v>58</v>
      </c>
      <c r="K43" s="22" t="s">
        <v>59</v>
      </c>
      <c r="L43" s="22" t="s">
        <v>335</v>
      </c>
      <c r="M43" s="22" t="s">
        <v>336</v>
      </c>
      <c r="N43" s="22" t="s">
        <v>337</v>
      </c>
      <c r="O43" s="22" t="s">
        <v>364</v>
      </c>
      <c r="P43" s="22" t="s">
        <v>132</v>
      </c>
      <c r="Q43" s="12"/>
      <c r="R43" s="12"/>
      <c r="S43" s="12">
        <f ca="1">IFERROR(__xludf.DUMMYFUNCTION("INDEX(IMPORTRANGE(""17pNv02DXDpQT9S3w4-QeNym2QJy2BzMBqDXp-XtzJBM"", ""'ESC'!BG3:BG139""),MATCH($D43,IMPORTRANGE(""17pNv02DXDpQT9S3w4-QeNym2QJy2BzMBqDXp-XtzJBM"", ""'ESC'!D3:D139""),0))"),0)</f>
        <v>0</v>
      </c>
      <c r="T43" s="2">
        <v>1</v>
      </c>
      <c r="U43" s="2">
        <v>2</v>
      </c>
      <c r="V43" s="2">
        <v>2</v>
      </c>
      <c r="W43" s="2">
        <v>3</v>
      </c>
      <c r="X43" s="2">
        <v>3</v>
      </c>
      <c r="Y43" s="12">
        <v>3</v>
      </c>
      <c r="Z43" s="2">
        <f ca="1">IFERROR(__xludf.DUMMYFUNCTION("INDEX(IMPORTRANGE(""17pNv02DXDpQT9S3w4-QeNym2QJy2BzMBqDXp-XtzJBM"", ""'ESC'!BH3:BH139""),MATCH($D43,IMPORTRANGE(""17pNv02DXDpQT9S3w4-QeNym2QJy2BzMBqDXp-XtzJBM"", ""'ESC'!D3:D139""),0))"),1)</f>
        <v>1</v>
      </c>
      <c r="AA43" s="2">
        <f ca="1">IFERROR(__xludf.DUMMYFUNCTION("INDEX(IMPORTRANGE(""17pNv02DXDpQT9S3w4-QeNym2QJy2BzMBqDXp-XtzJBM"", ""'ESC'!BI3:BI139""),MATCH($D43,IMPORTRANGE(""17pNv02DXDpQT9S3w4-QeNym2QJy2BzMBqDXp-XtzJBM"", ""'ESC'!D3:D139""),0))"),1)</f>
        <v>1</v>
      </c>
      <c r="AB43" s="2">
        <f ca="1">IFERROR(__xludf.DUMMYFUNCTION("INDEX(IMPORTRANGE(""17pNv02DXDpQT9S3w4-QeNym2QJy2BzMBqDXp-XtzJBM"", ""'ESC'!BJ3:BJ139""),MATCH($D43,IMPORTRANGE(""17pNv02DXDpQT9S3w4-QeNym2QJy2BzMBqDXp-XtzJBM"", ""'ESC'!D3:D139""),0))"),1)</f>
        <v>1</v>
      </c>
      <c r="AC43" s="2">
        <f ca="1">IFERROR(__xludf.DUMMYFUNCTION("INDEX(IMPORTRANGE(""17pNv02DXDpQT9S3w4-QeNym2QJy2BzMBqDXp-XtzJBM"", ""'ESC'!BK3:BK139""),MATCH($D43,IMPORTRANGE(""17pNv02DXDpQT9S3w4-QeNym2QJy2BzMBqDXp-XtzJBM"", ""'ESC'!D3:D139""),0))"),3)</f>
        <v>3</v>
      </c>
      <c r="AD43" s="2">
        <f ca="1">IFERROR(__xludf.DUMMYFUNCTION("INDEX(IMPORTRANGE(""17pNv02DXDpQT9S3w4-QeNym2QJy2BzMBqDXp-XtzJBM"", ""'ESC'!BL3:BL139""),MATCH($D43,IMPORTRANGE(""17pNv02DXDpQT9S3w4-QeNym2QJy2BzMBqDXp-XtzJBM"", ""'ESC'!D3:D139""),0))"),3)</f>
        <v>3</v>
      </c>
      <c r="AE43" s="2">
        <f ca="1">IFERROR(__xludf.DUMMYFUNCTION("INDEX(IMPORTRANGE(""17pNv02DXDpQT9S3w4-QeNym2QJy2BzMBqDXp-XtzJBM"", ""'ESC'!BM3:BM139""),MATCH($D43,IMPORTRANGE(""17pNv02DXDpQT9S3w4-QeNym2QJy2BzMBqDXp-XtzJBM"", ""'ESC'!D3:D139""),0))"),3)</f>
        <v>3</v>
      </c>
      <c r="AF43" s="1"/>
    </row>
    <row r="44" spans="1:32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2" t="s">
        <v>56</v>
      </c>
      <c r="H44" s="22" t="s">
        <v>57</v>
      </c>
      <c r="I44" s="2" t="s">
        <v>362</v>
      </c>
      <c r="J44" s="22" t="s">
        <v>58</v>
      </c>
      <c r="K44" s="22" t="s">
        <v>59</v>
      </c>
      <c r="L44" s="22" t="s">
        <v>335</v>
      </c>
      <c r="M44" s="22" t="s">
        <v>336</v>
      </c>
      <c r="N44" s="22" t="s">
        <v>337</v>
      </c>
      <c r="O44" s="22" t="s">
        <v>364</v>
      </c>
      <c r="P44" s="22" t="s">
        <v>132</v>
      </c>
      <c r="Q44" s="12"/>
      <c r="R44" s="12"/>
      <c r="S44" s="12">
        <f ca="1">IFERROR(__xludf.DUMMYFUNCTION("INDEX(IMPORTRANGE(""17pNv02DXDpQT9S3w4-QeNym2QJy2BzMBqDXp-XtzJBM"", ""'ESC'!BG3:BG139""),MATCH($D44,IMPORTRANGE(""17pNv02DXDpQT9S3w4-QeNym2QJy2BzMBqDXp-XtzJBM"", ""'ESC'!D3:D139""),0))"),3665)</f>
        <v>3665</v>
      </c>
      <c r="T44" s="12">
        <v>1000</v>
      </c>
      <c r="U44" s="12">
        <f>500+T44</f>
        <v>1500</v>
      </c>
      <c r="V44" s="12">
        <f t="shared" ref="V44:W44" si="11">U44+500</f>
        <v>2000</v>
      </c>
      <c r="W44" s="12">
        <f t="shared" si="11"/>
        <v>2500</v>
      </c>
      <c r="X44" s="12">
        <f>((Y44-W44)/6)*5+W44</f>
        <v>2916.6666666666665</v>
      </c>
      <c r="Y44" s="12">
        <v>3000</v>
      </c>
      <c r="Z44" s="12">
        <f ca="1">IFERROR(__xludf.DUMMYFUNCTION("INDEX(IMPORTRANGE(""17pNv02DXDpQT9S3w4-QeNym2QJy2BzMBqDXp-XtzJBM"", ""'ESC'!BH3:BH139""),MATCH($D44,IMPORTRANGE(""17pNv02DXDpQT9S3w4-QeNym2QJy2BzMBqDXp-XtzJBM"", ""'ESC'!D3:D139""),0))"),186)</f>
        <v>186</v>
      </c>
      <c r="AA44" s="12">
        <f ca="1">IFERROR(__xludf.DUMMYFUNCTION("INDEX(IMPORTRANGE(""17pNv02DXDpQT9S3w4-QeNym2QJy2BzMBqDXp-XtzJBM"", ""'ESC'!BI3:BI139""),MATCH($D44,IMPORTRANGE(""17pNv02DXDpQT9S3w4-QeNym2QJy2BzMBqDXp-XtzJBM"", ""'ESC'!D3:D139""),0))"),513)</f>
        <v>513</v>
      </c>
      <c r="AB44" s="12">
        <f ca="1">IFERROR(__xludf.DUMMYFUNCTION("INDEX(IMPORTRANGE(""17pNv02DXDpQT9S3w4-QeNym2QJy2BzMBqDXp-XtzJBM"", ""'ESC'!BJ3:BJ139""),MATCH($D44,IMPORTRANGE(""17pNv02DXDpQT9S3w4-QeNym2QJy2BzMBqDXp-XtzJBM"", ""'ESC'!D3:D139""),0))"),1022)</f>
        <v>1022</v>
      </c>
      <c r="AC44" s="12">
        <f ca="1">IFERROR(__xludf.DUMMYFUNCTION("INDEX(IMPORTRANGE(""17pNv02DXDpQT9S3w4-QeNym2QJy2BzMBqDXp-XtzJBM"", ""'ESC'!BK3:BK139""),MATCH($D44,IMPORTRANGE(""17pNv02DXDpQT9S3w4-QeNym2QJy2BzMBqDXp-XtzJBM"", ""'ESC'!D3:D139""),0))"),2850)</f>
        <v>2850</v>
      </c>
      <c r="AD44" s="12">
        <f ca="1">IFERROR(__xludf.DUMMYFUNCTION("INDEX(IMPORTRANGE(""17pNv02DXDpQT9S3w4-QeNym2QJy2BzMBqDXp-XtzJBM"", ""'ESC'!BL3:BL139""),MATCH($D44,IMPORTRANGE(""17pNv02DXDpQT9S3w4-QeNym2QJy2BzMBqDXp-XtzJBM"", ""'ESC'!D3:D139""),0))"),3825)</f>
        <v>3825</v>
      </c>
      <c r="AE44" s="12">
        <f ca="1">IFERROR(__xludf.DUMMYFUNCTION("INDEX(IMPORTRANGE(""17pNv02DXDpQT9S3w4-QeNym2QJy2BzMBqDXp-XtzJBM"", ""'ESC'!BM3:BM139""),MATCH($D44,IMPORTRANGE(""17pNv02DXDpQT9S3w4-QeNym2QJy2BzMBqDXp-XtzJBM"", ""'ESC'!D3:D139""),0))"),4019)</f>
        <v>4019</v>
      </c>
      <c r="AF44" s="1" t="s">
        <v>417</v>
      </c>
    </row>
    <row r="45" spans="1:32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2" t="s">
        <v>56</v>
      </c>
      <c r="H45" s="22" t="s">
        <v>57</v>
      </c>
      <c r="I45" s="2" t="s">
        <v>362</v>
      </c>
      <c r="J45" s="22" t="s">
        <v>58</v>
      </c>
      <c r="K45" s="22" t="s">
        <v>59</v>
      </c>
      <c r="L45" s="22" t="s">
        <v>335</v>
      </c>
      <c r="M45" s="22" t="s">
        <v>336</v>
      </c>
      <c r="N45" s="22" t="s">
        <v>337</v>
      </c>
      <c r="O45" s="22" t="s">
        <v>364</v>
      </c>
      <c r="P45" s="22" t="s">
        <v>132</v>
      </c>
      <c r="Q45" s="12"/>
      <c r="R45" s="12"/>
      <c r="S45" s="12">
        <f ca="1">IFERROR(__xludf.DUMMYFUNCTION("INDEX(IMPORTRANGE(""17pNv02DXDpQT9S3w4-QeNym2QJy2BzMBqDXp-XtzJBM"", ""'ESC'!BG3:BG139""),MATCH($D45,IMPORTRANGE(""17pNv02DXDpQT9S3w4-QeNym2QJy2BzMBqDXp-XtzJBM"", ""'ESC'!D3:D139""),0))"),3)</f>
        <v>3</v>
      </c>
      <c r="T45" s="4"/>
      <c r="U45" s="4"/>
      <c r="V45" s="4"/>
      <c r="W45" s="4"/>
      <c r="X45" s="4"/>
      <c r="Y45" s="4"/>
      <c r="Z45" s="2">
        <f ca="1">IFERROR(__xludf.DUMMYFUNCTION("INDEX(IMPORTRANGE(""17pNv02DXDpQT9S3w4-QeNym2QJy2BzMBqDXp-XtzJBM"", ""'ESC'!BH3:BH139""),MATCH($D45,IMPORTRANGE(""17pNv02DXDpQT9S3w4-QeNym2QJy2BzMBqDXp-XtzJBM"", ""'ESC'!D3:D139""),0))"),1)</f>
        <v>1</v>
      </c>
      <c r="AA45" s="2">
        <f ca="1">IFERROR(__xludf.DUMMYFUNCTION("INDEX(IMPORTRANGE(""17pNv02DXDpQT9S3w4-QeNym2QJy2BzMBqDXp-XtzJBM"", ""'ESC'!BI3:BI139""),MATCH($D45,IMPORTRANGE(""17pNv02DXDpQT9S3w4-QeNym2QJy2BzMBqDXp-XtzJBM"", ""'ESC'!D3:D139""),0))"),1)</f>
        <v>1</v>
      </c>
      <c r="AB45" s="2">
        <f ca="1">IFERROR(__xludf.DUMMYFUNCTION("INDEX(IMPORTRANGE(""17pNv02DXDpQT9S3w4-QeNym2QJy2BzMBqDXp-XtzJBM"", ""'ESC'!BJ3:BJ139""),MATCH($D45,IMPORTRANGE(""17pNv02DXDpQT9S3w4-QeNym2QJy2BzMBqDXp-XtzJBM"", ""'ESC'!D3:D139""),0))"),3)</f>
        <v>3</v>
      </c>
      <c r="AC45" s="2">
        <f ca="1">IFERROR(__xludf.DUMMYFUNCTION("INDEX(IMPORTRANGE(""17pNv02DXDpQT9S3w4-QeNym2QJy2BzMBqDXp-XtzJBM"", ""'ESC'!BK3:BK139""),MATCH($D45,IMPORTRANGE(""17pNv02DXDpQT9S3w4-QeNym2QJy2BzMBqDXp-XtzJBM"", ""'ESC'!D3:D139""),0))"),5)</f>
        <v>5</v>
      </c>
      <c r="AD45" s="2">
        <f ca="1">IFERROR(__xludf.DUMMYFUNCTION("INDEX(IMPORTRANGE(""17pNv02DXDpQT9S3w4-QeNym2QJy2BzMBqDXp-XtzJBM"", ""'ESC'!BL3:BL139""),MATCH($D45,IMPORTRANGE(""17pNv02DXDpQT9S3w4-QeNym2QJy2BzMBqDXp-XtzJBM"", ""'ESC'!D3:D139""),0))"),5)</f>
        <v>5</v>
      </c>
      <c r="AE45" s="2">
        <f ca="1">IFERROR(__xludf.DUMMYFUNCTION("INDEX(IMPORTRANGE(""17pNv02DXDpQT9S3w4-QeNym2QJy2BzMBqDXp-XtzJBM"", ""'ESC'!BM3:BM139""),MATCH($D45,IMPORTRANGE(""17pNv02DXDpQT9S3w4-QeNym2QJy2BzMBqDXp-XtzJBM"", ""'ESC'!D3:D139""),0))"),5)</f>
        <v>5</v>
      </c>
      <c r="AF45" s="1"/>
    </row>
    <row r="46" spans="1:32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2" t="s">
        <v>56</v>
      </c>
      <c r="H46" s="22" t="s">
        <v>57</v>
      </c>
      <c r="I46" s="2" t="s">
        <v>362</v>
      </c>
      <c r="J46" s="22" t="s">
        <v>58</v>
      </c>
      <c r="K46" s="22" t="s">
        <v>59</v>
      </c>
      <c r="L46" s="22" t="s">
        <v>335</v>
      </c>
      <c r="M46" s="22" t="s">
        <v>336</v>
      </c>
      <c r="N46" s="22" t="s">
        <v>337</v>
      </c>
      <c r="O46" s="22" t="s">
        <v>364</v>
      </c>
      <c r="P46" s="22" t="s">
        <v>132</v>
      </c>
      <c r="Q46" s="12"/>
      <c r="R46" s="12"/>
      <c r="S46" s="12">
        <f ca="1">IFERROR(__xludf.DUMMYFUNCTION("INDEX(IMPORTRANGE(""17pNv02DXDpQT9S3w4-QeNym2QJy2BzMBqDXp-XtzJBM"", ""'ESC'!BG3:BG139""),MATCH($D46,IMPORTRANGE(""17pNv02DXDpQT9S3w4-QeNym2QJy2BzMBqDXp-XtzJBM"", ""'ESC'!D3:D139""),0))"),0)</f>
        <v>0</v>
      </c>
      <c r="T46" s="4"/>
      <c r="U46" s="4"/>
      <c r="V46" s="4"/>
      <c r="W46" s="4"/>
      <c r="X46" s="4"/>
      <c r="Y46" s="4"/>
      <c r="Z46" s="2" t="str">
        <f ca="1">IFERROR(__xludf.DUMMYFUNCTION("INDEX(IMPORTRANGE(""17pNv02DXDpQT9S3w4-QeNym2QJy2BzMBqDXp-XtzJBM"", ""'ESC'!BH3:BH139""),MATCH($D46,IMPORTRANGE(""17pNv02DXDpQT9S3w4-QeNym2QJy2BzMBqDXp-XtzJBM"", ""'ESC'!D3:D139""),0))"),"")</f>
        <v/>
      </c>
      <c r="AA46" s="2">
        <f ca="1">IFERROR(__xludf.DUMMYFUNCTION("INDEX(IMPORTRANGE(""17pNv02DXDpQT9S3w4-QeNym2QJy2BzMBqDXp-XtzJBM"", ""'ESC'!BI3:BI139""),MATCH($D46,IMPORTRANGE(""17pNv02DXDpQT9S3w4-QeNym2QJy2BzMBqDXp-XtzJBM"", ""'ESC'!D3:D139""),0))"),0)</f>
        <v>0</v>
      </c>
      <c r="AB46" s="2">
        <f ca="1">IFERROR(__xludf.DUMMYFUNCTION("INDEX(IMPORTRANGE(""17pNv02DXDpQT9S3w4-QeNym2QJy2BzMBqDXp-XtzJBM"", ""'ESC'!BJ3:BJ139""),MATCH($D46,IMPORTRANGE(""17pNv02DXDpQT9S3w4-QeNym2QJy2BzMBqDXp-XtzJBM"", ""'ESC'!D3:D139""),0))"),0)</f>
        <v>0</v>
      </c>
      <c r="AC46" s="2">
        <f ca="1">IFERROR(__xludf.DUMMYFUNCTION("INDEX(IMPORTRANGE(""17pNv02DXDpQT9S3w4-QeNym2QJy2BzMBqDXp-XtzJBM"", ""'ESC'!BK3:BK139""),MATCH($D46,IMPORTRANGE(""17pNv02DXDpQT9S3w4-QeNym2QJy2BzMBqDXp-XtzJBM"", ""'ESC'!D3:D139""),0))"),0)</f>
        <v>0</v>
      </c>
      <c r="AD46" s="2">
        <f ca="1">IFERROR(__xludf.DUMMYFUNCTION("INDEX(IMPORTRANGE(""17pNv02DXDpQT9S3w4-QeNym2QJy2BzMBqDXp-XtzJBM"", ""'ESC'!BL3:BL139""),MATCH($D46,IMPORTRANGE(""17pNv02DXDpQT9S3w4-QeNym2QJy2BzMBqDXp-XtzJBM"", ""'ESC'!D3:D139""),0))"),0)</f>
        <v>0</v>
      </c>
      <c r="AE46" s="2">
        <f ca="1">IFERROR(__xludf.DUMMYFUNCTION("INDEX(IMPORTRANGE(""17pNv02DXDpQT9S3w4-QeNym2QJy2BzMBqDXp-XtzJBM"", ""'ESC'!BM3:BM139""),MATCH($D46,IMPORTRANGE(""17pNv02DXDpQT9S3w4-QeNym2QJy2BzMBqDXp-XtzJBM"", ""'ESC'!D3:D139""),0))"),0)</f>
        <v>0</v>
      </c>
      <c r="AF46" s="1"/>
    </row>
    <row r="47" spans="1:32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2" t="s">
        <v>56</v>
      </c>
      <c r="H47" s="22" t="s">
        <v>57</v>
      </c>
      <c r="I47" s="2" t="s">
        <v>362</v>
      </c>
      <c r="J47" s="22" t="s">
        <v>58</v>
      </c>
      <c r="K47" s="22" t="s">
        <v>59</v>
      </c>
      <c r="L47" s="22" t="s">
        <v>335</v>
      </c>
      <c r="M47" s="22" t="s">
        <v>336</v>
      </c>
      <c r="N47" s="22" t="s">
        <v>337</v>
      </c>
      <c r="O47" s="22" t="s">
        <v>364</v>
      </c>
      <c r="P47" s="22" t="s">
        <v>132</v>
      </c>
      <c r="Q47" s="12"/>
      <c r="R47" s="12"/>
      <c r="S47" s="12">
        <f ca="1">IFERROR(__xludf.DUMMYFUNCTION("INDEX(IMPORTRANGE(""17pNv02DXDpQT9S3w4-QeNym2QJy2BzMBqDXp-XtzJBM"", ""'ESC'!BG3:BG139""),MATCH($D47,IMPORTRANGE(""17pNv02DXDpQT9S3w4-QeNym2QJy2BzMBqDXp-XtzJBM"", ""'ESC'!D3:D139""),0))"),1)</f>
        <v>1</v>
      </c>
      <c r="T47" s="4"/>
      <c r="U47" s="4"/>
      <c r="V47" s="4"/>
      <c r="W47" s="4"/>
      <c r="X47" s="4"/>
      <c r="Y47" s="4"/>
      <c r="Z47" s="2">
        <f ca="1">IFERROR(__xludf.DUMMYFUNCTION("INDEX(IMPORTRANGE(""17pNv02DXDpQT9S3w4-QeNym2QJy2BzMBqDXp-XtzJBM"", ""'ESC'!BH3:BH139""),MATCH($D47,IMPORTRANGE(""17pNv02DXDpQT9S3w4-QeNym2QJy2BzMBqDXp-XtzJBM"", ""'ESC'!D3:D139""),0))"),0)</f>
        <v>0</v>
      </c>
      <c r="AA47" s="2">
        <f ca="1">IFERROR(__xludf.DUMMYFUNCTION("INDEX(IMPORTRANGE(""17pNv02DXDpQT9S3w4-QeNym2QJy2BzMBqDXp-XtzJBM"", ""'ESC'!BI3:BI139""),MATCH($D47,IMPORTRANGE(""17pNv02DXDpQT9S3w4-QeNym2QJy2BzMBqDXp-XtzJBM"", ""'ESC'!D3:D139""),0))"),0)</f>
        <v>0</v>
      </c>
      <c r="AB47" s="2">
        <f ca="1">IFERROR(__xludf.DUMMYFUNCTION("INDEX(IMPORTRANGE(""17pNv02DXDpQT9S3w4-QeNym2QJy2BzMBqDXp-XtzJBM"", ""'ESC'!BJ3:BJ139""),MATCH($D47,IMPORTRANGE(""17pNv02DXDpQT9S3w4-QeNym2QJy2BzMBqDXp-XtzJBM"", ""'ESC'!D3:D139""),0))"),1)</f>
        <v>1</v>
      </c>
      <c r="AC47" s="2">
        <f ca="1">IFERROR(__xludf.DUMMYFUNCTION("INDEX(IMPORTRANGE(""17pNv02DXDpQT9S3w4-QeNym2QJy2BzMBqDXp-XtzJBM"", ""'ESC'!BK3:BK139""),MATCH($D47,IMPORTRANGE(""17pNv02DXDpQT9S3w4-QeNym2QJy2BzMBqDXp-XtzJBM"", ""'ESC'!D3:D139""),0))"),1)</f>
        <v>1</v>
      </c>
      <c r="AD47" s="2">
        <f ca="1">IFERROR(__xludf.DUMMYFUNCTION("INDEX(IMPORTRANGE(""17pNv02DXDpQT9S3w4-QeNym2QJy2BzMBqDXp-XtzJBM"", ""'ESC'!BL3:BL139""),MATCH($D47,IMPORTRANGE(""17pNv02DXDpQT9S3w4-QeNym2QJy2BzMBqDXp-XtzJBM"", ""'ESC'!D3:D139""),0))"),2)</f>
        <v>2</v>
      </c>
      <c r="AE47" s="2">
        <f ca="1">IFERROR(__xludf.DUMMYFUNCTION("INDEX(IMPORTRANGE(""17pNv02DXDpQT9S3w4-QeNym2QJy2BzMBqDXp-XtzJBM"", ""'ESC'!BM3:BM139""),MATCH($D47,IMPORTRANGE(""17pNv02DXDpQT9S3w4-QeNym2QJy2BzMBqDXp-XtzJBM"", ""'ESC'!D3:D139""),0))"),2)</f>
        <v>2</v>
      </c>
      <c r="AF47" s="1"/>
    </row>
    <row r="48" spans="1:32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2" t="s">
        <v>56</v>
      </c>
      <c r="H48" s="22" t="s">
        <v>57</v>
      </c>
      <c r="I48" s="2" t="s">
        <v>362</v>
      </c>
      <c r="J48" s="22" t="s">
        <v>58</v>
      </c>
      <c r="K48" s="22" t="s">
        <v>59</v>
      </c>
      <c r="L48" s="22" t="s">
        <v>335</v>
      </c>
      <c r="M48" s="22" t="s">
        <v>336</v>
      </c>
      <c r="N48" s="22" t="s">
        <v>337</v>
      </c>
      <c r="O48" s="22" t="s">
        <v>364</v>
      </c>
      <c r="P48" s="22" t="s">
        <v>132</v>
      </c>
      <c r="Q48" s="12"/>
      <c r="R48" s="12"/>
      <c r="S48" s="12">
        <f ca="1">IFERROR(__xludf.DUMMYFUNCTION("INDEX(IMPORTRANGE(""17pNv02DXDpQT9S3w4-QeNym2QJy2BzMBqDXp-XtzJBM"", ""'ESC'!BG3:BG139""),MATCH($D48,IMPORTRANGE(""17pNv02DXDpQT9S3w4-QeNym2QJy2BzMBqDXp-XtzJBM"", ""'ESC'!D3:D139""),0))"),0)</f>
        <v>0</v>
      </c>
      <c r="T48" s="4"/>
      <c r="U48" s="4"/>
      <c r="V48" s="4"/>
      <c r="W48" s="4"/>
      <c r="X48" s="4"/>
      <c r="Y48" s="4"/>
      <c r="Z48" s="2" t="str">
        <f ca="1">IFERROR(__xludf.DUMMYFUNCTION("INDEX(IMPORTRANGE(""17pNv02DXDpQT9S3w4-QeNym2QJy2BzMBqDXp-XtzJBM"", ""'ESC'!BH3:BH139""),MATCH($D48,IMPORTRANGE(""17pNv02DXDpQT9S3w4-QeNym2QJy2BzMBqDXp-XtzJBM"", ""'ESC'!D3:D139""),0))"),"")</f>
        <v/>
      </c>
      <c r="AA48" s="2">
        <f ca="1">IFERROR(__xludf.DUMMYFUNCTION("INDEX(IMPORTRANGE(""17pNv02DXDpQT9S3w4-QeNym2QJy2BzMBqDXp-XtzJBM"", ""'ESC'!BI3:BI139""),MATCH($D48,IMPORTRANGE(""17pNv02DXDpQT9S3w4-QeNym2QJy2BzMBqDXp-XtzJBM"", ""'ESC'!D3:D139""),0))"),0)</f>
        <v>0</v>
      </c>
      <c r="AB48" s="2">
        <f ca="1">IFERROR(__xludf.DUMMYFUNCTION("INDEX(IMPORTRANGE(""17pNv02DXDpQT9S3w4-QeNym2QJy2BzMBqDXp-XtzJBM"", ""'ESC'!BJ3:BJ139""),MATCH($D48,IMPORTRANGE(""17pNv02DXDpQT9S3w4-QeNym2QJy2BzMBqDXp-XtzJBM"", ""'ESC'!D3:D139""),0))"),0)</f>
        <v>0</v>
      </c>
      <c r="AC48" s="2">
        <f ca="1">IFERROR(__xludf.DUMMYFUNCTION("INDEX(IMPORTRANGE(""17pNv02DXDpQT9S3w4-QeNym2QJy2BzMBqDXp-XtzJBM"", ""'ESC'!BK3:BK139""),MATCH($D48,IMPORTRANGE(""17pNv02DXDpQT9S3w4-QeNym2QJy2BzMBqDXp-XtzJBM"", ""'ESC'!D3:D139""),0))"),0)</f>
        <v>0</v>
      </c>
      <c r="AD48" s="2">
        <f ca="1">IFERROR(__xludf.DUMMYFUNCTION("INDEX(IMPORTRANGE(""17pNv02DXDpQT9S3w4-QeNym2QJy2BzMBqDXp-XtzJBM"", ""'ESC'!BL3:BL139""),MATCH($D48,IMPORTRANGE(""17pNv02DXDpQT9S3w4-QeNym2QJy2BzMBqDXp-XtzJBM"", ""'ESC'!D3:D139""),0))"),0)</f>
        <v>0</v>
      </c>
      <c r="AE48" s="2">
        <f ca="1">IFERROR(__xludf.DUMMYFUNCTION("INDEX(IMPORTRANGE(""17pNv02DXDpQT9S3w4-QeNym2QJy2BzMBqDXp-XtzJBM"", ""'ESC'!BM3:BM139""),MATCH($D48,IMPORTRANGE(""17pNv02DXDpQT9S3w4-QeNym2QJy2BzMBqDXp-XtzJBM"", ""'ESC'!D3:D139""),0))"),0)</f>
        <v>0</v>
      </c>
      <c r="AF48" s="1"/>
    </row>
    <row r="49" spans="1:32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2" t="s">
        <v>56</v>
      </c>
      <c r="H49" s="22" t="s">
        <v>57</v>
      </c>
      <c r="I49" s="2" t="s">
        <v>362</v>
      </c>
      <c r="J49" s="22" t="s">
        <v>58</v>
      </c>
      <c r="K49" s="22" t="s">
        <v>59</v>
      </c>
      <c r="L49" s="22" t="s">
        <v>335</v>
      </c>
      <c r="M49" s="22" t="s">
        <v>336</v>
      </c>
      <c r="N49" s="22" t="s">
        <v>337</v>
      </c>
      <c r="O49" s="22" t="s">
        <v>364</v>
      </c>
      <c r="P49" s="22" t="s">
        <v>132</v>
      </c>
      <c r="Q49" s="12"/>
      <c r="R49" s="12"/>
      <c r="S49" s="12">
        <f ca="1">IFERROR(__xludf.DUMMYFUNCTION("INDEX(IMPORTRANGE(""17pNv02DXDpQT9S3w4-QeNym2QJy2BzMBqDXp-XtzJBM"", ""'ESC'!BG3:BG139""),MATCH($D49,IMPORTRANGE(""17pNv02DXDpQT9S3w4-QeNym2QJy2BzMBqDXp-XtzJBM"", ""'ESC'!D3:D139""),0))"),4)</f>
        <v>4</v>
      </c>
      <c r="T49" s="2">
        <v>2</v>
      </c>
      <c r="U49" s="2">
        <v>2</v>
      </c>
      <c r="V49" s="2">
        <v>5</v>
      </c>
      <c r="W49" s="2">
        <v>6</v>
      </c>
      <c r="X49" s="12">
        <f>((Y49-W49)/6)*5+W49</f>
        <v>6.833333333333333</v>
      </c>
      <c r="Y49" s="2">
        <v>7</v>
      </c>
      <c r="Z49" s="2">
        <f ca="1">IFERROR(__xludf.DUMMYFUNCTION("INDEX(IMPORTRANGE(""17pNv02DXDpQT9S3w4-QeNym2QJy2BzMBqDXp-XtzJBM"", ""'ESC'!BH3:BH139""),MATCH($D49,IMPORTRANGE(""17pNv02DXDpQT9S3w4-QeNym2QJy2BzMBqDXp-XtzJBM"", ""'ESC'!D3:D139""),0))"),1)</f>
        <v>1</v>
      </c>
      <c r="AA49" s="2">
        <f ca="1">IFERROR(__xludf.DUMMYFUNCTION("INDEX(IMPORTRANGE(""17pNv02DXDpQT9S3w4-QeNym2QJy2BzMBqDXp-XtzJBM"", ""'ESC'!BI3:BI139""),MATCH($D49,IMPORTRANGE(""17pNv02DXDpQT9S3w4-QeNym2QJy2BzMBqDXp-XtzJBM"", ""'ESC'!D3:D139""),0))"),1)</f>
        <v>1</v>
      </c>
      <c r="AB49" s="2">
        <f ca="1">IFERROR(__xludf.DUMMYFUNCTION("INDEX(IMPORTRANGE(""17pNv02DXDpQT9S3w4-QeNym2QJy2BzMBqDXp-XtzJBM"", ""'ESC'!BJ3:BJ139""),MATCH($D49,IMPORTRANGE(""17pNv02DXDpQT9S3w4-QeNym2QJy2BzMBqDXp-XtzJBM"", ""'ESC'!D3:D139""),0))"),4)</f>
        <v>4</v>
      </c>
      <c r="AC49" s="2">
        <f ca="1">IFERROR(__xludf.DUMMYFUNCTION("INDEX(IMPORTRANGE(""17pNv02DXDpQT9S3w4-QeNym2QJy2BzMBqDXp-XtzJBM"", ""'ESC'!BK3:BK139""),MATCH($D49,IMPORTRANGE(""17pNv02DXDpQT9S3w4-QeNym2QJy2BzMBqDXp-XtzJBM"", ""'ESC'!D3:D139""),0))"),6)</f>
        <v>6</v>
      </c>
      <c r="AD49" s="2">
        <f ca="1">IFERROR(__xludf.DUMMYFUNCTION("INDEX(IMPORTRANGE(""17pNv02DXDpQT9S3w4-QeNym2QJy2BzMBqDXp-XtzJBM"", ""'ESC'!BL3:BL139""),MATCH($D49,IMPORTRANGE(""17pNv02DXDpQT9S3w4-QeNym2QJy2BzMBqDXp-XtzJBM"", ""'ESC'!D3:D139""),0))"),7)</f>
        <v>7</v>
      </c>
      <c r="AE49" s="2">
        <f ca="1">IFERROR(__xludf.DUMMYFUNCTION("INDEX(IMPORTRANGE(""17pNv02DXDpQT9S3w4-QeNym2QJy2BzMBqDXp-XtzJBM"", ""'ESC'!BM3:BM139""),MATCH($D49,IMPORTRANGE(""17pNv02DXDpQT9S3w4-QeNym2QJy2BzMBqDXp-XtzJBM"", ""'ESC'!D3:D139""),0))"),7)</f>
        <v>7</v>
      </c>
      <c r="AF49" s="1"/>
    </row>
    <row r="50" spans="1:32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150</v>
      </c>
      <c r="R50" s="30" t="s">
        <v>150</v>
      </c>
      <c r="S50" s="30" t="str">
        <f ca="1">IFERROR(__xludf.DUMMYFUNCTION("INDEX(IMPORTRANGE(""17pNv02DXDpQT9S3w4-QeNym2QJy2BzMBqDXp-XtzJBM"", ""'ESC'!BG3:BG139""),MATCH($D50,IMPORTRANGE(""17pNv02DXDpQT9S3w4-QeNym2QJy2BzMBqDXp-XtzJBM"", ""'ESC'!D3:D139""),0))"),"No")</f>
        <v>No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151</v>
      </c>
      <c r="Y50" s="2" t="s">
        <v>151</v>
      </c>
      <c r="Z50" s="2" t="str">
        <f ca="1">IFERROR(__xludf.DUMMYFUNCTION("INDEX(IMPORTRANGE(""17pNv02DXDpQT9S3w4-QeNym2QJy2BzMBqDXp-XtzJBM"", ""'ESC'!BH3:BH139""),MATCH($D50,IMPORTRANGE(""17pNv02DXDpQT9S3w4-QeNym2QJy2BzMBqDXp-XtzJBM"", ""'ESC'!D3:D139""),0))"),"Sí")</f>
        <v>Sí</v>
      </c>
      <c r="AA50" s="2" t="str">
        <f ca="1">IFERROR(__xludf.DUMMYFUNCTION("INDEX(IMPORTRANGE(""17pNv02DXDpQT9S3w4-QeNym2QJy2BzMBqDXp-XtzJBM"", ""'ESC'!BI3:BI139""),MATCH($D50,IMPORTRANGE(""17pNv02DXDpQT9S3w4-QeNym2QJy2BzMBqDXp-XtzJBM"", ""'ESC'!D3:D139""),0))"),"")</f>
        <v/>
      </c>
      <c r="AB50" s="2" t="str">
        <f ca="1">IFERROR(__xludf.DUMMYFUNCTION("INDEX(IMPORTRANGE(""17pNv02DXDpQT9S3w4-QeNym2QJy2BzMBqDXp-XtzJBM"", ""'ESC'!BJ3:BJ139""),MATCH($D50,IMPORTRANGE(""17pNv02DXDpQT9S3w4-QeNym2QJy2BzMBqDXp-XtzJBM"", ""'ESC'!D3:D139""),0))"),"Sí")</f>
        <v>Sí</v>
      </c>
      <c r="AC50" s="2" t="str">
        <f ca="1">IFERROR(__xludf.DUMMYFUNCTION("INDEX(IMPORTRANGE(""17pNv02DXDpQT9S3w4-QeNym2QJy2BzMBqDXp-XtzJBM"", ""'ESC'!BK3:BK139""),MATCH($D50,IMPORTRANGE(""17pNv02DXDpQT9S3w4-QeNym2QJy2BzMBqDXp-XtzJBM"", ""'ESC'!D3:D139""),0))"),"Sí")</f>
        <v>Sí</v>
      </c>
      <c r="AD50" s="2" t="str">
        <f ca="1">IFERROR(__xludf.DUMMYFUNCTION("INDEX(IMPORTRANGE(""17pNv02DXDpQT9S3w4-QeNym2QJy2BzMBqDXp-XtzJBM"", ""'ESC'!BL3:BL139""),MATCH($D50,IMPORTRANGE(""17pNv02DXDpQT9S3w4-QeNym2QJy2BzMBqDXp-XtzJBM"", ""'ESC'!D3:D139""),0))"),"Sí")</f>
        <v>Sí</v>
      </c>
      <c r="AE50" s="2" t="str">
        <f ca="1">IFERROR(__xludf.DUMMYFUNCTION("INDEX(IMPORTRANGE(""17pNv02DXDpQT9S3w4-QeNym2QJy2BzMBqDXp-XtzJBM"", ""'ESC'!BM3:BM139""),MATCH($D50,IMPORTRANGE(""17pNv02DXDpQT9S3w4-QeNym2QJy2BzMBqDXp-XtzJBM"", ""'ESC'!D3:D139""),0))"),"Sí")</f>
        <v>Sí</v>
      </c>
      <c r="AF50" s="1"/>
    </row>
    <row r="51" spans="1:32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150</v>
      </c>
      <c r="R51" s="2" t="s">
        <v>150</v>
      </c>
      <c r="S51" s="2" t="str">
        <f ca="1">IFERROR(__xludf.DUMMYFUNCTION("INDEX(IMPORTRANGE(""17pNv02DXDpQT9S3w4-QeNym2QJy2BzMBqDXp-XtzJBM"", ""'ESC'!BG3:BG139""),MATCH($D51,IMPORTRANGE(""17pNv02DXDpQT9S3w4-QeNym2QJy2BzMBqDXp-XtzJBM"", ""'ESC'!D3:D139""),0))"),"No")</f>
        <v>No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151</v>
      </c>
      <c r="Y51" s="2" t="s">
        <v>151</v>
      </c>
      <c r="Z51" s="2" t="str">
        <f ca="1">IFERROR(__xludf.DUMMYFUNCTION("INDEX(IMPORTRANGE(""17pNv02DXDpQT9S3w4-QeNym2QJy2BzMBqDXp-XtzJBM"", ""'ESC'!BH3:BH139""),MATCH($D51,IMPORTRANGE(""17pNv02DXDpQT9S3w4-QeNym2QJy2BzMBqDXp-XtzJBM"", ""'ESC'!D3:D139""),0))"),"Sí")</f>
        <v>Sí</v>
      </c>
      <c r="AA51" s="2" t="str">
        <f ca="1">IFERROR(__xludf.DUMMYFUNCTION("INDEX(IMPORTRANGE(""17pNv02DXDpQT9S3w4-QeNym2QJy2BzMBqDXp-XtzJBM"", ""'ESC'!BI3:BI139""),MATCH($D51,IMPORTRANGE(""17pNv02DXDpQT9S3w4-QeNym2QJy2BzMBqDXp-XtzJBM"", ""'ESC'!D3:D139""),0))"),"")</f>
        <v/>
      </c>
      <c r="AB51" s="2" t="str">
        <f ca="1">IFERROR(__xludf.DUMMYFUNCTION("INDEX(IMPORTRANGE(""17pNv02DXDpQT9S3w4-QeNym2QJy2BzMBqDXp-XtzJBM"", ""'ESC'!BJ3:BJ139""),MATCH($D51,IMPORTRANGE(""17pNv02DXDpQT9S3w4-QeNym2QJy2BzMBqDXp-XtzJBM"", ""'ESC'!D3:D139""),0))"),"Sí")</f>
        <v>Sí</v>
      </c>
      <c r="AC51" s="2" t="str">
        <f ca="1">IFERROR(__xludf.DUMMYFUNCTION("INDEX(IMPORTRANGE(""17pNv02DXDpQT9S3w4-QeNym2QJy2BzMBqDXp-XtzJBM"", ""'ESC'!BK3:BK139""),MATCH($D51,IMPORTRANGE(""17pNv02DXDpQT9S3w4-QeNym2QJy2BzMBqDXp-XtzJBM"", ""'ESC'!D3:D139""),0))"),"Sí")</f>
        <v>Sí</v>
      </c>
      <c r="AD51" s="2" t="str">
        <f ca="1">IFERROR(__xludf.DUMMYFUNCTION("INDEX(IMPORTRANGE(""17pNv02DXDpQT9S3w4-QeNym2QJy2BzMBqDXp-XtzJBM"", ""'ESC'!BL3:BL139""),MATCH($D51,IMPORTRANGE(""17pNv02DXDpQT9S3w4-QeNym2QJy2BzMBqDXp-XtzJBM"", ""'ESC'!D3:D139""),0))"),"Sí")</f>
        <v>Sí</v>
      </c>
      <c r="AE51" s="2" t="str">
        <f ca="1">IFERROR(__xludf.DUMMYFUNCTION("INDEX(IMPORTRANGE(""17pNv02DXDpQT9S3w4-QeNym2QJy2BzMBqDXp-XtzJBM"", ""'ESC'!BM3:BM139""),MATCH($D51,IMPORTRANGE(""17pNv02DXDpQT9S3w4-QeNym2QJy2BzMBqDXp-XtzJBM"", ""'ESC'!D3:D139""),0))"),"Sí")</f>
        <v>Sí</v>
      </c>
      <c r="AF51" s="1"/>
    </row>
    <row r="52" spans="1:32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418</v>
      </c>
      <c r="R52" s="2" t="s">
        <v>418</v>
      </c>
      <c r="S52" s="2" t="str">
        <f ca="1">IFERROR(__xludf.DUMMYFUNCTION("INDEX(IMPORTRANGE(""17pNv02DXDpQT9S3w4-QeNym2QJy2BzMBqDXp-XtzJBM"", ""'ESC'!BG3:BG139""),MATCH($D52,IMPORTRANGE(""17pNv02DXDpQT9S3w4-QeNym2QJy2BzMBqDXp-XtzJBM"", ""'ESC'!D3:D139""),0))"),"sí")</f>
        <v>sí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155</v>
      </c>
      <c r="Y52" s="2" t="s">
        <v>155</v>
      </c>
      <c r="Z52" s="2" t="str">
        <f ca="1">IFERROR(__xludf.DUMMYFUNCTION("INDEX(IMPORTRANGE(""17pNv02DXDpQT9S3w4-QeNym2QJy2BzMBqDXp-XtzJBM"", ""'ESC'!BH3:BH139""),MATCH($D52,IMPORTRANGE(""17pNv02DXDpQT9S3w4-QeNym2QJy2BzMBqDXp-XtzJBM"", ""'ESC'!D3:D139""),0))"),"Sí")</f>
        <v>Sí</v>
      </c>
      <c r="AA52" s="2" t="str">
        <f ca="1">IFERROR(__xludf.DUMMYFUNCTION("INDEX(IMPORTRANGE(""17pNv02DXDpQT9S3w4-QeNym2QJy2BzMBqDXp-XtzJBM"", ""'ESC'!BI3:BI139""),MATCH($D52,IMPORTRANGE(""17pNv02DXDpQT9S3w4-QeNym2QJy2BzMBqDXp-XtzJBM"", ""'ESC'!D3:D139""),0))"),"")</f>
        <v/>
      </c>
      <c r="AB52" s="2" t="str">
        <f ca="1">IFERROR(__xludf.DUMMYFUNCTION("INDEX(IMPORTRANGE(""17pNv02DXDpQT9S3w4-QeNym2QJy2BzMBqDXp-XtzJBM"", ""'ESC'!BJ3:BJ139""),MATCH($D52,IMPORTRANGE(""17pNv02DXDpQT9S3w4-QeNym2QJy2BzMBqDXp-XtzJBM"", ""'ESC'!D3:D139""),0))"),"Sí")</f>
        <v>Sí</v>
      </c>
      <c r="AC52" s="2" t="str">
        <f ca="1">IFERROR(__xludf.DUMMYFUNCTION("INDEX(IMPORTRANGE(""17pNv02DXDpQT9S3w4-QeNym2QJy2BzMBqDXp-XtzJBM"", ""'ESC'!BK3:BK139""),MATCH($D52,IMPORTRANGE(""17pNv02DXDpQT9S3w4-QeNym2QJy2BzMBqDXp-XtzJBM"", ""'ESC'!D3:D139""),0))"),"Sí")</f>
        <v>Sí</v>
      </c>
      <c r="AD52" s="2" t="str">
        <f ca="1">IFERROR(__xludf.DUMMYFUNCTION("INDEX(IMPORTRANGE(""17pNv02DXDpQT9S3w4-QeNym2QJy2BzMBqDXp-XtzJBM"", ""'ESC'!BL3:BL139""),MATCH($D52,IMPORTRANGE(""17pNv02DXDpQT9S3w4-QeNym2QJy2BzMBqDXp-XtzJBM"", ""'ESC'!D3:D139""),0))"),"Sí")</f>
        <v>Sí</v>
      </c>
      <c r="AE52" s="2" t="str">
        <f ca="1">IFERROR(__xludf.DUMMYFUNCTION("INDEX(IMPORTRANGE(""17pNv02DXDpQT9S3w4-QeNym2QJy2BzMBqDXp-XtzJBM"", ""'ESC'!BM3:BM139""),MATCH($D52,IMPORTRANGE(""17pNv02DXDpQT9S3w4-QeNym2QJy2BzMBqDXp-XtzJBM"", ""'ESC'!D3:D139""),0))"),"Sí")</f>
        <v>Sí</v>
      </c>
      <c r="AF52" s="1"/>
    </row>
    <row r="53" spans="1:32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30">
        <f t="shared" ref="Q53:R53" si="12">COUNTIF(Q50:Q52,"Sí")*(1/3)</f>
        <v>0.33333333333333331</v>
      </c>
      <c r="R53" s="30">
        <f t="shared" si="12"/>
        <v>0.33333333333333331</v>
      </c>
      <c r="S53" s="30">
        <f ca="1">IFERROR(__xludf.DUMMYFUNCTION("INDEX(IMPORTRANGE(""17pNv02DXDpQT9S3w4-QeNym2QJy2BzMBqDXp-XtzJBM"", ""'ESC'!BG3:BG139""),MATCH($D53,IMPORTRANGE(""17pNv02DXDpQT9S3w4-QeNym2QJy2BzMBqDXp-XtzJBM"", ""'ESC'!D3:D139""),0))"),0.333333333333333)</f>
        <v>0.33333333333333298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2" t="str">
        <f ca="1">IFERROR(__xludf.DUMMYFUNCTION("INDEX(IMPORTRANGE(""17pNv02DXDpQT9S3w4-QeNym2QJy2BzMBqDXp-XtzJBM"", ""'ESC'!BH3:BH139""),MATCH($D53,IMPORTRANGE(""17pNv02DXDpQT9S3w4-QeNym2QJy2BzMBqDXp-XtzJBM"", ""'ESC'!D3:D139""),0))"),"")</f>
        <v/>
      </c>
      <c r="AA53" s="2">
        <f ca="1">IFERROR(__xludf.DUMMYFUNCTION("INDEX(IMPORTRANGE(""17pNv02DXDpQT9S3w4-QeNym2QJy2BzMBqDXp-XtzJBM"", ""'ESC'!BI3:BI139""),MATCH($D53,IMPORTRANGE(""17pNv02DXDpQT9S3w4-QeNym2QJy2BzMBqDXp-XtzJBM"", ""'ESC'!D3:D139""),0))"),0)</f>
        <v>0</v>
      </c>
      <c r="AB53" s="2">
        <f ca="1">IFERROR(__xludf.DUMMYFUNCTION("INDEX(IMPORTRANGE(""17pNv02DXDpQT9S3w4-QeNym2QJy2BzMBqDXp-XtzJBM"", ""'ESC'!BJ3:BJ139""),MATCH($D53,IMPORTRANGE(""17pNv02DXDpQT9S3w4-QeNym2QJy2BzMBqDXp-XtzJBM"", ""'ESC'!D3:D139""),0))"),1)</f>
        <v>1</v>
      </c>
      <c r="AC53" s="2">
        <f ca="1">IFERROR(__xludf.DUMMYFUNCTION("INDEX(IMPORTRANGE(""17pNv02DXDpQT9S3w4-QeNym2QJy2BzMBqDXp-XtzJBM"", ""'ESC'!BK3:BK139""),MATCH($D53,IMPORTRANGE(""17pNv02DXDpQT9S3w4-QeNym2QJy2BzMBqDXp-XtzJBM"", ""'ESC'!D3:D139""),0))"),1)</f>
        <v>1</v>
      </c>
      <c r="AD53" s="2">
        <f ca="1">IFERROR(__xludf.DUMMYFUNCTION("INDEX(IMPORTRANGE(""17pNv02DXDpQT9S3w4-QeNym2QJy2BzMBqDXp-XtzJBM"", ""'ESC'!BL3:BL139""),MATCH($D53,IMPORTRANGE(""17pNv02DXDpQT9S3w4-QeNym2QJy2BzMBqDXp-XtzJBM"", ""'ESC'!D3:D139""),0))"),1)</f>
        <v>1</v>
      </c>
      <c r="AE53" s="2">
        <f ca="1">IFERROR(__xludf.DUMMYFUNCTION("INDEX(IMPORTRANGE(""17pNv02DXDpQT9S3w4-QeNym2QJy2BzMBqDXp-XtzJBM"", ""'ESC'!BM3:BM139""),MATCH($D53,IMPORTRANGE(""17pNv02DXDpQT9S3w4-QeNym2QJy2BzMBqDXp-XtzJBM"", ""'ESC'!D3:D139""),0))"),1)</f>
        <v>1</v>
      </c>
      <c r="AF53" s="1"/>
    </row>
    <row r="54" spans="1:32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12">
        <v>0</v>
      </c>
      <c r="R54" s="12">
        <v>0</v>
      </c>
      <c r="S54" s="12">
        <f ca="1">IFERROR(__xludf.DUMMYFUNCTION("INDEX(IMPORTRANGE(""17pNv02DXDpQT9S3w4-QeNym2QJy2BzMBqDXp-XtzJBM"", ""'ESC'!BG3:BG139""),MATCH($D54,IMPORTRANGE(""17pNv02DXDpQT9S3w4-QeNym2QJy2BzMBqDXp-XtzJBM"", ""'ESC'!D3:D139""),0))"),0)</f>
        <v>0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29">
        <f ca="1">IFERROR(__xludf.DUMMYFUNCTION("INDEX(IMPORTRANGE(""17pNv02DXDpQT9S3w4-QeNym2QJy2BzMBqDXp-XtzJBM"", ""'ESC'!BH3:BH139""),MATCH($D54,IMPORTRANGE(""17pNv02DXDpQT9S3w4-QeNym2QJy2BzMBqDXp-XtzJBM"", ""'ESC'!D3:D139""),0))"),0)</f>
        <v>0</v>
      </c>
      <c r="AA54" s="29">
        <f ca="1">IFERROR(__xludf.DUMMYFUNCTION("INDEX(IMPORTRANGE(""17pNv02DXDpQT9S3w4-QeNym2QJy2BzMBqDXp-XtzJBM"", ""'ESC'!BI3:BI139""),MATCH($D54,IMPORTRANGE(""17pNv02DXDpQT9S3w4-QeNym2QJy2BzMBqDXp-XtzJBM"", ""'ESC'!D3:D139""),0))"),0)</f>
        <v>0</v>
      </c>
      <c r="AB54" s="29">
        <f ca="1">IFERROR(__xludf.DUMMYFUNCTION("INDEX(IMPORTRANGE(""17pNv02DXDpQT9S3w4-QeNym2QJy2BzMBqDXp-XtzJBM"", ""'ESC'!BJ3:BJ139""),MATCH($D54,IMPORTRANGE(""17pNv02DXDpQT9S3w4-QeNym2QJy2BzMBqDXp-XtzJBM"", ""'ESC'!D3:D139""),0))"),0)</f>
        <v>0</v>
      </c>
      <c r="AC54" s="29">
        <f ca="1">IFERROR(__xludf.DUMMYFUNCTION("INDEX(IMPORTRANGE(""17pNv02DXDpQT9S3w4-QeNym2QJy2BzMBqDXp-XtzJBM"", ""'ESC'!BK3:BK139""),MATCH($D54,IMPORTRANGE(""17pNv02DXDpQT9S3w4-QeNym2QJy2BzMBqDXp-XtzJBM"", ""'ESC'!D3:D139""),0))"),0)</f>
        <v>0</v>
      </c>
      <c r="AD54" s="29">
        <f ca="1">IFERROR(__xludf.DUMMYFUNCTION("INDEX(IMPORTRANGE(""17pNv02DXDpQT9S3w4-QeNym2QJy2BzMBqDXp-XtzJBM"", ""'ESC'!BL3:BL139""),MATCH($D54,IMPORTRANGE(""17pNv02DXDpQT9S3w4-QeNym2QJy2BzMBqDXp-XtzJBM"", ""'ESC'!D3:D139""),0))"),0)</f>
        <v>0</v>
      </c>
      <c r="AE54" s="29">
        <f ca="1">IFERROR(__xludf.DUMMYFUNCTION("INDEX(IMPORTRANGE(""17pNv02DXDpQT9S3w4-QeNym2QJy2BzMBqDXp-XtzJBM"", ""'ESC'!BM3:BM139""),MATCH($D54,IMPORTRANGE(""17pNv02DXDpQT9S3w4-QeNym2QJy2BzMBqDXp-XtzJBM"", ""'ESC'!D3:D139""),0))"),0)</f>
        <v>0</v>
      </c>
      <c r="AF54" s="1"/>
    </row>
    <row r="55" spans="1:32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2</v>
      </c>
      <c r="R55" s="12">
        <v>2</v>
      </c>
      <c r="S55" s="12">
        <f ca="1">IFERROR(__xludf.DUMMYFUNCTION("INDEX(IMPORTRANGE(""17pNv02DXDpQT9S3w4-QeNym2QJy2BzMBqDXp-XtzJBM"", ""'ESC'!BG3:BG139""),MATCH($D55,IMPORTRANGE(""17pNv02DXDpQT9S3w4-QeNym2QJy2BzMBqDXp-XtzJBM"", ""'ESC'!D3:D139""),0))"),2)</f>
        <v>2</v>
      </c>
      <c r="T55" s="4"/>
      <c r="U55" s="4"/>
      <c r="V55" s="4"/>
      <c r="W55" s="4"/>
      <c r="X55" s="4"/>
      <c r="Y55" s="4"/>
      <c r="Z55" s="2">
        <f ca="1">IFERROR(__xludf.DUMMYFUNCTION("INDEX(IMPORTRANGE(""17pNv02DXDpQT9S3w4-QeNym2QJy2BzMBqDXp-XtzJBM"", ""'ESC'!BH3:BH139""),MATCH($D55,IMPORTRANGE(""17pNv02DXDpQT9S3w4-QeNym2QJy2BzMBqDXp-XtzJBM"", ""'ESC'!D3:D139""),0))"),3)</f>
        <v>3</v>
      </c>
      <c r="AA55" s="2">
        <f ca="1">IFERROR(__xludf.DUMMYFUNCTION("INDEX(IMPORTRANGE(""17pNv02DXDpQT9S3w4-QeNym2QJy2BzMBqDXp-XtzJBM"", ""'ESC'!BI3:BI139""),MATCH($D55,IMPORTRANGE(""17pNv02DXDpQT9S3w4-QeNym2QJy2BzMBqDXp-XtzJBM"", ""'ESC'!D3:D139""),0))"),3)</f>
        <v>3</v>
      </c>
      <c r="AB55" s="2">
        <f ca="1">IFERROR(__xludf.DUMMYFUNCTION("INDEX(IMPORTRANGE(""17pNv02DXDpQT9S3w4-QeNym2QJy2BzMBqDXp-XtzJBM"", ""'ESC'!BJ3:BJ139""),MATCH($D55,IMPORTRANGE(""17pNv02DXDpQT9S3w4-QeNym2QJy2BzMBqDXp-XtzJBM"", ""'ESC'!D3:D139""),0))"),3)</f>
        <v>3</v>
      </c>
      <c r="AC55" s="2">
        <f ca="1">IFERROR(__xludf.DUMMYFUNCTION("INDEX(IMPORTRANGE(""17pNv02DXDpQT9S3w4-QeNym2QJy2BzMBqDXp-XtzJBM"", ""'ESC'!BK3:BK139""),MATCH($D55,IMPORTRANGE(""17pNv02DXDpQT9S3w4-QeNym2QJy2BzMBqDXp-XtzJBM"", ""'ESC'!D3:D139""),0))"),3)</f>
        <v>3</v>
      </c>
      <c r="AD55" s="2">
        <f ca="1">IFERROR(__xludf.DUMMYFUNCTION("INDEX(IMPORTRANGE(""17pNv02DXDpQT9S3w4-QeNym2QJy2BzMBqDXp-XtzJBM"", ""'ESC'!BL3:BL139""),MATCH($D55,IMPORTRANGE(""17pNv02DXDpQT9S3w4-QeNym2QJy2BzMBqDXp-XtzJBM"", ""'ESC'!D3:D139""),0))"),3)</f>
        <v>3</v>
      </c>
      <c r="AE55" s="2">
        <f ca="1">IFERROR(__xludf.DUMMYFUNCTION("INDEX(IMPORTRANGE(""17pNv02DXDpQT9S3w4-QeNym2QJy2BzMBqDXp-XtzJBM"", ""'ESC'!BM3:BM139""),MATCH($D55,IMPORTRANGE(""17pNv02DXDpQT9S3w4-QeNym2QJy2BzMBqDXp-XtzJBM"", ""'ESC'!D3:D139""),0))"),3)</f>
        <v>3</v>
      </c>
      <c r="AF55" s="1"/>
    </row>
    <row r="56" spans="1:32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1</v>
      </c>
      <c r="R56" s="12">
        <v>1</v>
      </c>
      <c r="S56" s="12">
        <f ca="1">IFERROR(__xludf.DUMMYFUNCTION("INDEX(IMPORTRANGE(""17pNv02DXDpQT9S3w4-QeNym2QJy2BzMBqDXp-XtzJBM"", ""'ESC'!BG3:BG139""),MATCH($D56,IMPORTRANGE(""17pNv02DXDpQT9S3w4-QeNym2QJy2BzMBqDXp-XtzJBM"", ""'ESC'!D3:D139""),0))"),1)</f>
        <v>1</v>
      </c>
      <c r="T56" s="4"/>
      <c r="U56" s="4"/>
      <c r="V56" s="4"/>
      <c r="W56" s="4"/>
      <c r="X56" s="4"/>
      <c r="Y56" s="4"/>
      <c r="Z56" s="2">
        <f ca="1">IFERROR(__xludf.DUMMYFUNCTION("INDEX(IMPORTRANGE(""17pNv02DXDpQT9S3w4-QeNym2QJy2BzMBqDXp-XtzJBM"", ""'ESC'!BH3:BH139""),MATCH($D56,IMPORTRANGE(""17pNv02DXDpQT9S3w4-QeNym2QJy2BzMBqDXp-XtzJBM"", ""'ESC'!D3:D139""),0))"),2)</f>
        <v>2</v>
      </c>
      <c r="AA56" s="2">
        <f ca="1">IFERROR(__xludf.DUMMYFUNCTION("INDEX(IMPORTRANGE(""17pNv02DXDpQT9S3w4-QeNym2QJy2BzMBqDXp-XtzJBM"", ""'ESC'!BI3:BI139""),MATCH($D56,IMPORTRANGE(""17pNv02DXDpQT9S3w4-QeNym2QJy2BzMBqDXp-XtzJBM"", ""'ESC'!D3:D139""),0))"),1)</f>
        <v>1</v>
      </c>
      <c r="AB56" s="2">
        <f ca="1">IFERROR(__xludf.DUMMYFUNCTION("INDEX(IMPORTRANGE(""17pNv02DXDpQT9S3w4-QeNym2QJy2BzMBqDXp-XtzJBM"", ""'ESC'!BJ3:BJ139""),MATCH($D56,IMPORTRANGE(""17pNv02DXDpQT9S3w4-QeNym2QJy2BzMBqDXp-XtzJBM"", ""'ESC'!D3:D139""),0))"),2)</f>
        <v>2</v>
      </c>
      <c r="AC56" s="2">
        <f ca="1">IFERROR(__xludf.DUMMYFUNCTION("INDEX(IMPORTRANGE(""17pNv02DXDpQT9S3w4-QeNym2QJy2BzMBqDXp-XtzJBM"", ""'ESC'!BK3:BK139""),MATCH($D56,IMPORTRANGE(""17pNv02DXDpQT9S3w4-QeNym2QJy2BzMBqDXp-XtzJBM"", ""'ESC'!D3:D139""),0))"),2)</f>
        <v>2</v>
      </c>
      <c r="AD56" s="2">
        <f ca="1">IFERROR(__xludf.DUMMYFUNCTION("INDEX(IMPORTRANGE(""17pNv02DXDpQT9S3w4-QeNym2QJy2BzMBqDXp-XtzJBM"", ""'ESC'!BL3:BL139""),MATCH($D56,IMPORTRANGE(""17pNv02DXDpQT9S3w4-QeNym2QJy2BzMBqDXp-XtzJBM"", ""'ESC'!D3:D139""),0))"),2)</f>
        <v>2</v>
      </c>
      <c r="AE56" s="2">
        <f ca="1">IFERROR(__xludf.DUMMYFUNCTION("INDEX(IMPORTRANGE(""17pNv02DXDpQT9S3w4-QeNym2QJy2BzMBqDXp-XtzJBM"", ""'ESC'!BM3:BM139""),MATCH($D56,IMPORTRANGE(""17pNv02DXDpQT9S3w4-QeNym2QJy2BzMBqDXp-XtzJBM"", ""'ESC'!D3:D139""),0))"),2)</f>
        <v>2</v>
      </c>
      <c r="AF56" s="1"/>
    </row>
    <row r="57" spans="1:32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15">
        <f t="shared" ref="Q57:R57" si="13">Q56/Q55</f>
        <v>0.5</v>
      </c>
      <c r="R57" s="15">
        <f t="shared" si="13"/>
        <v>0.5</v>
      </c>
      <c r="S57" s="15">
        <f ca="1">IFERROR(__xludf.DUMMYFUNCTION("INDEX(IMPORTRANGE(""17pNv02DXDpQT9S3w4-QeNym2QJy2BzMBqDXp-XtzJBM"", ""'ESC'!BG3:BG139""),MATCH($D57,IMPORTRANGE(""17pNv02DXDpQT9S3w4-QeNym2QJy2BzMBqDXp-XtzJBM"", ""'ESC'!D3:D139""),0))"),0.5)</f>
        <v>0.5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5">
        <f ca="1">IFERROR(__xludf.DUMMYFUNCTION("INDEX(IMPORTRANGE(""17pNv02DXDpQT9S3w4-QeNym2QJy2BzMBqDXp-XtzJBM"", ""'ESC'!BH3:BH139""),MATCH($D57,IMPORTRANGE(""17pNv02DXDpQT9S3w4-QeNym2QJy2BzMBqDXp-XtzJBM"", ""'ESC'!D3:D139""),0))"),0.666666666666666)</f>
        <v>0.66666666666666596</v>
      </c>
      <c r="AA57" s="15">
        <f ca="1">IFERROR(__xludf.DUMMYFUNCTION("INDEX(IMPORTRANGE(""17pNv02DXDpQT9S3w4-QeNym2QJy2BzMBqDXp-XtzJBM"", ""'ESC'!BI3:BI139""),MATCH($D57,IMPORTRANGE(""17pNv02DXDpQT9S3w4-QeNym2QJy2BzMBqDXp-XtzJBM"", ""'ESC'!D3:D139""),0))"),0.333333333333333)</f>
        <v>0.33333333333333298</v>
      </c>
      <c r="AB57" s="15">
        <f ca="1">IFERROR(__xludf.DUMMYFUNCTION("INDEX(IMPORTRANGE(""17pNv02DXDpQT9S3w4-QeNym2QJy2BzMBqDXp-XtzJBM"", ""'ESC'!BJ3:BJ139""),MATCH($D57,IMPORTRANGE(""17pNv02DXDpQT9S3w4-QeNym2QJy2BzMBqDXp-XtzJBM"", ""'ESC'!D3:D139""),0))"),0.666666666666666)</f>
        <v>0.66666666666666596</v>
      </c>
      <c r="AC57" s="15">
        <f ca="1">IFERROR(__xludf.DUMMYFUNCTION("INDEX(IMPORTRANGE(""17pNv02DXDpQT9S3w4-QeNym2QJy2BzMBqDXp-XtzJBM"", ""'ESC'!BK3:BK139""),MATCH($D57,IMPORTRANGE(""17pNv02DXDpQT9S3w4-QeNym2QJy2BzMBqDXp-XtzJBM"", ""'ESC'!D3:D139""),0))"),0.666666666666666)</f>
        <v>0.66666666666666596</v>
      </c>
      <c r="AD57" s="15">
        <f ca="1">IFERROR(__xludf.DUMMYFUNCTION("INDEX(IMPORTRANGE(""17pNv02DXDpQT9S3w4-QeNym2QJy2BzMBqDXp-XtzJBM"", ""'ESC'!BL3:BL139""),MATCH($D57,IMPORTRANGE(""17pNv02DXDpQT9S3w4-QeNym2QJy2BzMBqDXp-XtzJBM"", ""'ESC'!D3:D139""),0))"),0.666666666666666)</f>
        <v>0.66666666666666596</v>
      </c>
      <c r="AE57" s="15">
        <f ca="1">IFERROR(__xludf.DUMMYFUNCTION("INDEX(IMPORTRANGE(""17pNv02DXDpQT9S3w4-QeNym2QJy2BzMBqDXp-XtzJBM"", ""'ESC'!BM3:BM139""),MATCH($D57,IMPORTRANGE(""17pNv02DXDpQT9S3w4-QeNym2QJy2BzMBqDXp-XtzJBM"", ""'ESC'!D3:D139""),0))"),0.666666666666666)</f>
        <v>0.66666666666666596</v>
      </c>
      <c r="AF57" s="1"/>
    </row>
    <row r="58" spans="1:32">
      <c r="A58" s="7" t="s">
        <v>147</v>
      </c>
      <c r="B58" s="7" t="s">
        <v>168</v>
      </c>
      <c r="C58" s="1" t="s">
        <v>30</v>
      </c>
      <c r="D58" s="7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33067</v>
      </c>
      <c r="R58" s="12">
        <v>33067</v>
      </c>
      <c r="S58" s="12">
        <f ca="1">IFERROR(__xludf.DUMMYFUNCTION("INDEX(IMPORTRANGE(""17pNv02DXDpQT9S3w4-QeNym2QJy2BzMBqDXp-XtzJBM"", ""'ESC'!BG3:BG139""),MATCH($D58,IMPORTRANGE(""17pNv02DXDpQT9S3w4-QeNym2QJy2BzMBqDXp-XtzJBM"", ""'ESC'!D3:D139""),0))"),33067)</f>
        <v>33067</v>
      </c>
      <c r="T58" s="4"/>
      <c r="U58" s="4"/>
      <c r="V58" s="4"/>
      <c r="W58" s="4"/>
      <c r="X58" s="4"/>
      <c r="Y58" s="4"/>
      <c r="Z58" s="12">
        <f ca="1">IFERROR(__xludf.DUMMYFUNCTION("INDEX(IMPORTRANGE(""17pNv02DXDpQT9S3w4-QeNym2QJy2BzMBqDXp-XtzJBM"", ""'ESC'!BH3:BH139""),MATCH($D58,IMPORTRANGE(""17pNv02DXDpQT9S3w4-QeNym2QJy2BzMBqDXp-XtzJBM"", ""'ESC'!D3:D139""),0))"),33067)</f>
        <v>33067</v>
      </c>
      <c r="AA58" s="12">
        <f ca="1">IFERROR(__xludf.DUMMYFUNCTION("INDEX(IMPORTRANGE(""17pNv02DXDpQT9S3w4-QeNym2QJy2BzMBqDXp-XtzJBM"", ""'ESC'!BI3:BI139""),MATCH($D58,IMPORTRANGE(""17pNv02DXDpQT9S3w4-QeNym2QJy2BzMBqDXp-XtzJBM"", ""'ESC'!D3:D139""),0))"),33118)</f>
        <v>33118</v>
      </c>
      <c r="AB58" s="12">
        <f ca="1">IFERROR(__xludf.DUMMYFUNCTION("INDEX(IMPORTRANGE(""17pNv02DXDpQT9S3w4-QeNym2QJy2BzMBqDXp-XtzJBM"", ""'ESC'!BJ3:BJ139""),MATCH($D58,IMPORTRANGE(""17pNv02DXDpQT9S3w4-QeNym2QJy2BzMBqDXp-XtzJBM"", ""'ESC'!D3:D139""),0))"),33158)</f>
        <v>33158</v>
      </c>
      <c r="AC58" s="12">
        <f ca="1">IFERROR(__xludf.DUMMYFUNCTION("INDEX(IMPORTRANGE(""17pNv02DXDpQT9S3w4-QeNym2QJy2BzMBqDXp-XtzJBM"", ""'ESC'!BK3:BK139""),MATCH($D58,IMPORTRANGE(""17pNv02DXDpQT9S3w4-QeNym2QJy2BzMBqDXp-XtzJBM"", ""'ESC'!D3:D139""),0))"),33185)</f>
        <v>33185</v>
      </c>
      <c r="AD58" s="12">
        <f ca="1">IFERROR(__xludf.DUMMYFUNCTION("INDEX(IMPORTRANGE(""17pNv02DXDpQT9S3w4-QeNym2QJy2BzMBqDXp-XtzJBM"", ""'ESC'!BL3:BL139""),MATCH($D58,IMPORTRANGE(""17pNv02DXDpQT9S3w4-QeNym2QJy2BzMBqDXp-XtzJBM"", ""'ESC'!D3:D139""),0))"),33230)</f>
        <v>33230</v>
      </c>
      <c r="AE58" s="12">
        <f ca="1">IFERROR(__xludf.DUMMYFUNCTION("INDEX(IMPORTRANGE(""17pNv02DXDpQT9S3w4-QeNym2QJy2BzMBqDXp-XtzJBM"", ""'ESC'!BM3:BM139""),MATCH($D58,IMPORTRANGE(""17pNv02DXDpQT9S3w4-QeNym2QJy2BzMBqDXp-XtzJBM"", ""'ESC'!D3:D139""),0))"),33263)</f>
        <v>33263</v>
      </c>
      <c r="AF58" s="1"/>
    </row>
    <row r="59" spans="1:32">
      <c r="A59" s="7" t="s">
        <v>147</v>
      </c>
      <c r="B59" s="7" t="s">
        <v>168</v>
      </c>
      <c r="C59" s="1" t="s">
        <v>30</v>
      </c>
      <c r="D59" s="7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12">
        <v>33097</v>
      </c>
      <c r="R59" s="12">
        <v>33097</v>
      </c>
      <c r="S59" s="12">
        <f ca="1">IFERROR(__xludf.DUMMYFUNCTION("INDEX(IMPORTRANGE(""17pNv02DXDpQT9S3w4-QeNym2QJy2BzMBqDXp-XtzJBM"", ""'ESC'!BG3:BG139""),MATCH($D59,IMPORTRANGE(""17pNv02DXDpQT9S3w4-QeNym2QJy2BzMBqDXp-XtzJBM"", ""'ESC'!D3:D139""),0))"),33097)</f>
        <v>33097</v>
      </c>
      <c r="T59" s="4"/>
      <c r="U59" s="4"/>
      <c r="V59" s="4"/>
      <c r="W59" s="4"/>
      <c r="X59" s="4"/>
      <c r="Y59" s="4"/>
      <c r="Z59" s="12">
        <f ca="1">IFERROR(__xludf.DUMMYFUNCTION("INDEX(IMPORTRANGE(""17pNv02DXDpQT9S3w4-QeNym2QJy2BzMBqDXp-XtzJBM"", ""'ESC'!BH3:BH139""),MATCH($D59,IMPORTRANGE(""17pNv02DXDpQT9S3w4-QeNym2QJy2BzMBqDXp-XtzJBM"", ""'ESC'!D3:D139""),0))"),33097)</f>
        <v>33097</v>
      </c>
      <c r="AA59" s="12">
        <f ca="1">IFERROR(__xludf.DUMMYFUNCTION("INDEX(IMPORTRANGE(""17pNv02DXDpQT9S3w4-QeNym2QJy2BzMBqDXp-XtzJBM"", ""'ESC'!BI3:BI139""),MATCH($D59,IMPORTRANGE(""17pNv02DXDpQT9S3w4-QeNym2QJy2BzMBqDXp-XtzJBM"", ""'ESC'!D3:D139""),0))"),33158)</f>
        <v>33158</v>
      </c>
      <c r="AB59" s="12">
        <f ca="1">IFERROR(__xludf.DUMMYFUNCTION("INDEX(IMPORTRANGE(""17pNv02DXDpQT9S3w4-QeNym2QJy2BzMBqDXp-XtzJBM"", ""'ESC'!BJ3:BJ139""),MATCH($D59,IMPORTRANGE(""17pNv02DXDpQT9S3w4-QeNym2QJy2BzMBqDXp-XtzJBM"", ""'ESC'!D3:D139""),0))"),33203)</f>
        <v>33203</v>
      </c>
      <c r="AC59" s="12">
        <f ca="1">IFERROR(__xludf.DUMMYFUNCTION("INDEX(IMPORTRANGE(""17pNv02DXDpQT9S3w4-QeNym2QJy2BzMBqDXp-XtzJBM"", ""'ESC'!BK3:BK139""),MATCH($D59,IMPORTRANGE(""17pNv02DXDpQT9S3w4-QeNym2QJy2BzMBqDXp-XtzJBM"", ""'ESC'!D3:D139""),0))"),33250)</f>
        <v>33250</v>
      </c>
      <c r="AD59" s="12">
        <f ca="1">IFERROR(__xludf.DUMMYFUNCTION("INDEX(IMPORTRANGE(""17pNv02DXDpQT9S3w4-QeNym2QJy2BzMBqDXp-XtzJBM"", ""'ESC'!BL3:BL139""),MATCH($D59,IMPORTRANGE(""17pNv02DXDpQT9S3w4-QeNym2QJy2BzMBqDXp-XtzJBM"", ""'ESC'!D3:D139""),0))"),33320)</f>
        <v>33320</v>
      </c>
      <c r="AE59" s="12">
        <f ca="1">IFERROR(__xludf.DUMMYFUNCTION("INDEX(IMPORTRANGE(""17pNv02DXDpQT9S3w4-QeNym2QJy2BzMBqDXp-XtzJBM"", ""'ESC'!BM3:BM139""),MATCH($D59,IMPORTRANGE(""17pNv02DXDpQT9S3w4-QeNym2QJy2BzMBqDXp-XtzJBM"", ""'ESC'!D3:D139""),0))"),33320)</f>
        <v>33320</v>
      </c>
      <c r="AF59" s="1"/>
    </row>
    <row r="60" spans="1:32">
      <c r="A60" s="7" t="s">
        <v>147</v>
      </c>
      <c r="B60" s="7" t="s">
        <v>168</v>
      </c>
      <c r="C60" s="1" t="s">
        <v>36</v>
      </c>
      <c r="D60" s="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15">
        <f t="shared" ref="Q60:R60" si="14">Q58/Q59</f>
        <v>0.99909357343565885</v>
      </c>
      <c r="R60" s="15">
        <f t="shared" si="14"/>
        <v>0.99909357343565885</v>
      </c>
      <c r="S60" s="15">
        <f ca="1">IFERROR(__xludf.DUMMYFUNCTION("INDEX(IMPORTRANGE(""17pNv02DXDpQT9S3w4-QeNym2QJy2BzMBqDXp-XtzJBM"", ""'ESC'!BG3:BG139""),MATCH($D60,IMPORTRANGE(""17pNv02DXDpQT9S3w4-QeNym2QJy2BzMBqDXp-XtzJBM"", ""'ESC'!D3:D139""),0))"),0.999093573435658)</f>
        <v>0.99909357343565797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""'ESC'!BH3:BH139""),MATCH($D60,IMPORTRANGE(""17pNv02DXDpQT9S3w4-QeNym2QJy2BzMBqDXp-XtzJBM"", ""'ESC'!D3:D139""),0))"),0.999093573435658)</f>
        <v>0.99909357343565797</v>
      </c>
      <c r="AA60" s="15">
        <f ca="1">IFERROR(__xludf.DUMMYFUNCTION("INDEX(IMPORTRANGE(""17pNv02DXDpQT9S3w4-QeNym2QJy2BzMBqDXp-XtzJBM"", ""'ESC'!BI3:BI139""),MATCH($D60,IMPORTRANGE(""17pNv02DXDpQT9S3w4-QeNym2QJy2BzMBqDXp-XtzJBM"", ""'ESC'!D3:D139""),0))"),0.998793654623318)</f>
        <v>0.99879365462331804</v>
      </c>
      <c r="AB60" s="15">
        <f ca="1">IFERROR(__xludf.DUMMYFUNCTION("INDEX(IMPORTRANGE(""17pNv02DXDpQT9S3w4-QeNym2QJy2BzMBqDXp-XtzJBM"", ""'ESC'!BJ3:BJ139""),MATCH($D60,IMPORTRANGE(""17pNv02DXDpQT9S3w4-QeNym2QJy2BzMBqDXp-XtzJBM"", ""'ESC'!D3:D139""),0))"),0.99864470078005)</f>
        <v>0.99864470078004997</v>
      </c>
      <c r="AC60" s="15">
        <f ca="1">IFERROR(__xludf.DUMMYFUNCTION("INDEX(IMPORTRANGE(""17pNv02DXDpQT9S3w4-QeNym2QJy2BzMBqDXp-XtzJBM"", ""'ESC'!BK3:BK139""),MATCH($D60,IMPORTRANGE(""17pNv02DXDpQT9S3w4-QeNym2QJy2BzMBqDXp-XtzJBM"", ""'ESC'!D3:D139""),0))"),0.998045112781954)</f>
        <v>0.99804511278195396</v>
      </c>
      <c r="AD60" s="15">
        <f ca="1">IFERROR(__xludf.DUMMYFUNCTION("INDEX(IMPORTRANGE(""17pNv02DXDpQT9S3w4-QeNym2QJy2BzMBqDXp-XtzJBM"", ""'ESC'!BL3:BL139""),MATCH($D60,IMPORTRANGE(""17pNv02DXDpQT9S3w4-QeNym2QJy2BzMBqDXp-XtzJBM"", ""'ESC'!D3:D139""),0))"),0.997298919567827)</f>
        <v>0.99729891956782701</v>
      </c>
      <c r="AE60" s="15">
        <f ca="1">IFERROR(__xludf.DUMMYFUNCTION("INDEX(IMPORTRANGE(""17pNv02DXDpQT9S3w4-QeNym2QJy2BzMBqDXp-XtzJBM"", ""'ESC'!BM3:BM139""),MATCH($D60,IMPORTRANGE(""17pNv02DXDpQT9S3w4-QeNym2QJy2BzMBqDXp-XtzJBM"", ""'ESC'!D3:D139""),0))"),0.99828931572629)</f>
        <v>0.99828931572628998</v>
      </c>
      <c r="AF60" s="1"/>
    </row>
    <row r="61" spans="1:32">
      <c r="A61" s="7" t="s">
        <v>147</v>
      </c>
      <c r="B61" s="7" t="s">
        <v>168</v>
      </c>
      <c r="C61" s="1" t="s">
        <v>30</v>
      </c>
      <c r="D61" s="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138494</v>
      </c>
      <c r="R61" s="12">
        <v>138494</v>
      </c>
      <c r="S61" s="12">
        <f ca="1">IFERROR(__xludf.DUMMYFUNCTION("INDEX(IMPORTRANGE(""17pNv02DXDpQT9S3w4-QeNym2QJy2BzMBqDXp-XtzJBM"", ""'ESC'!BG3:BG139""),MATCH($D61,IMPORTRANGE(""17pNv02DXDpQT9S3w4-QeNym2QJy2BzMBqDXp-XtzJBM"", ""'ESC'!D3:D139""),0))"),138494)</f>
        <v>138494</v>
      </c>
      <c r="T61" s="4"/>
      <c r="U61" s="4"/>
      <c r="V61" s="4"/>
      <c r="W61" s="4"/>
      <c r="X61" s="4"/>
      <c r="Y61" s="4"/>
      <c r="Z61" s="12">
        <f ca="1">IFERROR(__xludf.DUMMYFUNCTION("INDEX(IMPORTRANGE(""17pNv02DXDpQT9S3w4-QeNym2QJy2BzMBqDXp-XtzJBM"", ""'ESC'!BH3:BH139""),MATCH($D61,IMPORTRANGE(""17pNv02DXDpQT9S3w4-QeNym2QJy2BzMBqDXp-XtzJBM"", ""'ESC'!D3:D139""),0))"),138494)</f>
        <v>138494</v>
      </c>
      <c r="AA61" s="12">
        <f ca="1">IFERROR(__xludf.DUMMYFUNCTION("INDEX(IMPORTRANGE(""17pNv02DXDpQT9S3w4-QeNym2QJy2BzMBqDXp-XtzJBM"", ""'ESC'!BI3:BI139""),MATCH($D61,IMPORTRANGE(""17pNv02DXDpQT9S3w4-QeNym2QJy2BzMBqDXp-XtzJBM"", ""'ESC'!D3:D139""),0))"),144464)</f>
        <v>144464</v>
      </c>
      <c r="AB61" s="12">
        <f ca="1">IFERROR(__xludf.DUMMYFUNCTION("INDEX(IMPORTRANGE(""17pNv02DXDpQT9S3w4-QeNym2QJy2BzMBqDXp-XtzJBM"", ""'ESC'!BJ3:BJ139""),MATCH($D61,IMPORTRANGE(""17pNv02DXDpQT9S3w4-QeNym2QJy2BzMBqDXp-XtzJBM"", ""'ESC'!D3:D139""),0))"),425077)</f>
        <v>425077</v>
      </c>
      <c r="AC61" s="12">
        <f ca="1">IFERROR(__xludf.DUMMYFUNCTION("INDEX(IMPORTRANGE(""17pNv02DXDpQT9S3w4-QeNym2QJy2BzMBqDXp-XtzJBM"", ""'ESC'!BK3:BK139""),MATCH($D61,IMPORTRANGE(""17pNv02DXDpQT9S3w4-QeNym2QJy2BzMBqDXp-XtzJBM"", ""'ESC'!D3:D139""),0))"),144664)</f>
        <v>144664</v>
      </c>
      <c r="AD61" s="12">
        <f ca="1">IFERROR(__xludf.DUMMYFUNCTION("INDEX(IMPORTRANGE(""17pNv02DXDpQT9S3w4-QeNym2QJy2BzMBqDXp-XtzJBM"", ""'ESC'!BL3:BL139""),MATCH($D61,IMPORTRANGE(""17pNv02DXDpQT9S3w4-QeNym2QJy2BzMBqDXp-XtzJBM"", ""'ESC'!D3:D139""),0))"),144664)</f>
        <v>144664</v>
      </c>
      <c r="AE61" s="12">
        <f ca="1">IFERROR(__xludf.DUMMYFUNCTION("INDEX(IMPORTRANGE(""17pNv02DXDpQT9S3w4-QeNym2QJy2BzMBqDXp-XtzJBM"", ""'ESC'!BM3:BM139""),MATCH($D61,IMPORTRANGE(""17pNv02DXDpQT9S3w4-QeNym2QJy2BzMBqDXp-XtzJBM"", ""'ESC'!D3:D139""),0))"),144664)</f>
        <v>144664</v>
      </c>
      <c r="AF61" s="1"/>
    </row>
    <row r="62" spans="1:32">
      <c r="A62" s="7" t="s">
        <v>147</v>
      </c>
      <c r="B62" s="7" t="s">
        <v>168</v>
      </c>
      <c r="C62" s="1" t="s">
        <v>36</v>
      </c>
      <c r="D62" s="7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15">
        <f t="shared" ref="Q62:R62" si="15">Q61/Q37</f>
        <v>1</v>
      </c>
      <c r="R62" s="15">
        <f t="shared" si="15"/>
        <v>1</v>
      </c>
      <c r="S62" s="15">
        <f ca="1">IFERROR(__xludf.DUMMYFUNCTION("INDEX(IMPORTRANGE(""17pNv02DXDpQT9S3w4-QeNym2QJy2BzMBqDXp-XtzJBM"", ""'ESC'!BG3:BG139""),MATCH($D62,IMPORTRANGE(""17pNv02DXDpQT9S3w4-QeNym2QJy2BzMBqDXp-XtzJBM"", ""'ESC'!D3:D139""),0))"),1)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4">
        <f ca="1">IFERROR(__xludf.DUMMYFUNCTION("INDEX(IMPORTRANGE(""17pNv02DXDpQT9S3w4-QeNym2QJy2BzMBqDXp-XtzJBM"", ""'ESC'!BH3:BH139""),MATCH($D62,IMPORTRANGE(""17pNv02DXDpQT9S3w4-QeNym2QJy2BzMBqDXp-XtzJBM"", ""'ESC'!D3:D139""),0))"),1)</f>
        <v>1</v>
      </c>
      <c r="AA62" s="14">
        <f ca="1">IFERROR(__xludf.DUMMYFUNCTION("INDEX(IMPORTRANGE(""17pNv02DXDpQT9S3w4-QeNym2QJy2BzMBqDXp-XtzJBM"", ""'ESC'!BI3:BI139""),MATCH($D62,IMPORTRANGE(""17pNv02DXDpQT9S3w4-QeNym2QJy2BzMBqDXp-XtzJBM"", ""'ESC'!D3:D139""),0))"),0.80985749683264)</f>
        <v>0.80985749683263997</v>
      </c>
      <c r="AB62" s="14">
        <f ca="1">IFERROR(__xludf.DUMMYFUNCTION("INDEX(IMPORTRANGE(""17pNv02DXDpQT9S3w4-QeNym2QJy2BzMBqDXp-XtzJBM"", ""'ESC'!BJ3:BJ139""),MATCH($D62,IMPORTRANGE(""17pNv02DXDpQT9S3w4-QeNym2QJy2BzMBqDXp-XtzJBM"", ""'ESC'!D3:D139""),0))"),1)</f>
        <v>1</v>
      </c>
      <c r="AC62" s="14">
        <f ca="1">IFERROR(__xludf.DUMMYFUNCTION("INDEX(IMPORTRANGE(""17pNv02DXDpQT9S3w4-QeNym2QJy2BzMBqDXp-XtzJBM"", ""'ESC'!BK3:BK139""),MATCH($D62,IMPORTRANGE(""17pNv02DXDpQT9S3w4-QeNym2QJy2BzMBqDXp-XtzJBM"", ""'ESC'!D3:D139""),0))"),1)</f>
        <v>1</v>
      </c>
      <c r="AD62" s="14">
        <f ca="1">IFERROR(__xludf.DUMMYFUNCTION("INDEX(IMPORTRANGE(""17pNv02DXDpQT9S3w4-QeNym2QJy2BzMBqDXp-XtzJBM"", ""'ESC'!BL3:BL139""),MATCH($D62,IMPORTRANGE(""17pNv02DXDpQT9S3w4-QeNym2QJy2BzMBqDXp-XtzJBM"", ""'ESC'!D3:D139""),0))"),1)</f>
        <v>1</v>
      </c>
      <c r="AE62" s="14">
        <f ca="1">IFERROR(__xludf.DUMMYFUNCTION("INDEX(IMPORTRANGE(""17pNv02DXDpQT9S3w4-QeNym2QJy2BzMBqDXp-XtzJBM"", ""'ESC'!BM3:BM139""),MATCH($D62,IMPORTRANGE(""17pNv02DXDpQT9S3w4-QeNym2QJy2BzMBqDXp-XtzJBM"", ""'ESC'!D3:D139""),0))"),1)</f>
        <v>1</v>
      </c>
      <c r="AF62" s="1"/>
    </row>
    <row r="63" spans="1:32">
      <c r="A63" s="7" t="s">
        <v>147</v>
      </c>
      <c r="B63" s="7" t="s">
        <v>168</v>
      </c>
      <c r="C63" s="1" t="s">
        <v>30</v>
      </c>
      <c r="D63" s="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23">
        <v>8356776.6900000004</v>
      </c>
      <c r="R63" s="23">
        <v>8356776.6900000004</v>
      </c>
      <c r="S63" s="23">
        <f ca="1">IFERROR(__xludf.DUMMYFUNCTION("INDEX(IMPORTRANGE(""17pNv02DXDpQT9S3w4-QeNym2QJy2BzMBqDXp-XtzJBM"", ""'ESC'!BG3:BG139""),MATCH($D63,IMPORTRANGE(""17pNv02DXDpQT9S3w4-QeNym2QJy2BzMBqDXp-XtzJBM"", ""'ESC'!D3:D139""),0))"),8356776.69)</f>
        <v>8356776.6900000004</v>
      </c>
      <c r="T63" s="4"/>
      <c r="U63" s="4"/>
      <c r="V63" s="4"/>
      <c r="W63" s="4"/>
      <c r="X63" s="4"/>
      <c r="Y63" s="4"/>
      <c r="Z63" s="12">
        <f ca="1">IFERROR(__xludf.DUMMYFUNCTION("INDEX(IMPORTRANGE(""17pNv02DXDpQT9S3w4-QeNym2QJy2BzMBqDXp-XtzJBM"", ""'ESC'!BH3:BH139""),MATCH($D63,IMPORTRANGE(""17pNv02DXDpQT9S3w4-QeNym2QJy2BzMBqDXp-XtzJBM"", ""'ESC'!D3:D139""),0))"),8356776.69)</f>
        <v>8356776.6900000004</v>
      </c>
      <c r="AA63" s="12">
        <f ca="1">IFERROR(__xludf.DUMMYFUNCTION("INDEX(IMPORTRANGE(""17pNv02DXDpQT9S3w4-QeNym2QJy2BzMBqDXp-XtzJBM"", ""'ESC'!BI3:BI139""),MATCH($D63,IMPORTRANGE(""17pNv02DXDpQT9S3w4-QeNym2QJy2BzMBqDXp-XtzJBM"", ""'ESC'!D3:D139""),0))"),8412306.69)</f>
        <v>8412306.6899999995</v>
      </c>
      <c r="AB63" s="12">
        <f ca="1">IFERROR(__xludf.DUMMYFUNCTION("INDEX(IMPORTRANGE(""17pNv02DXDpQT9S3w4-QeNym2QJy2BzMBqDXp-XtzJBM"", ""'ESC'!BJ3:BJ139""),MATCH($D63,IMPORTRANGE(""17pNv02DXDpQT9S3w4-QeNym2QJy2BzMBqDXp-XtzJBM"", ""'ESC'!D3:D139""),0))"),8429848.69)</f>
        <v>8429848.6899999995</v>
      </c>
      <c r="AC63" s="12">
        <f ca="1">IFERROR(__xludf.DUMMYFUNCTION("INDEX(IMPORTRANGE(""17pNv02DXDpQT9S3w4-QeNym2QJy2BzMBqDXp-XtzJBM"", ""'ESC'!BK3:BK139""),MATCH($D63,IMPORTRANGE(""17pNv02DXDpQT9S3w4-QeNym2QJy2BzMBqDXp-XtzJBM"", ""'ESC'!D3:D139""),0))"),8429848.69)</f>
        <v>8429848.6899999995</v>
      </c>
      <c r="AD63" s="12">
        <f ca="1">IFERROR(__xludf.DUMMYFUNCTION("INDEX(IMPORTRANGE(""17pNv02DXDpQT9S3w4-QeNym2QJy2BzMBqDXp-XtzJBM"", ""'ESC'!BL3:BL139""),MATCH($D63,IMPORTRANGE(""17pNv02DXDpQT9S3w4-QeNym2QJy2BzMBqDXp-XtzJBM"", ""'ESC'!D3:D139""),0))"),8565639.91)</f>
        <v>8565639.9100000001</v>
      </c>
      <c r="AE63" s="12">
        <f ca="1">IFERROR(__xludf.DUMMYFUNCTION("INDEX(IMPORTRANGE(""17pNv02DXDpQT9S3w4-QeNym2QJy2BzMBqDXp-XtzJBM"", ""'ESC'!BM3:BM139""),MATCH($D63,IMPORTRANGE(""17pNv02DXDpQT9S3w4-QeNym2QJy2BzMBqDXp-XtzJBM"", ""'ESC'!D3:D139""),0))"),8697544.1)</f>
        <v>8697544.0999999996</v>
      </c>
      <c r="AF63" s="1"/>
    </row>
    <row r="64" spans="1:32">
      <c r="A64" s="7" t="s">
        <v>147</v>
      </c>
      <c r="B64" s="7" t="s">
        <v>168</v>
      </c>
      <c r="C64" s="1" t="s">
        <v>30</v>
      </c>
      <c r="D64" s="7" t="s">
        <v>181</v>
      </c>
      <c r="E64" s="7" t="s">
        <v>38</v>
      </c>
      <c r="F64" s="2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23">
        <v>9334019.4000000004</v>
      </c>
      <c r="R64" s="23">
        <v>9334019.4000000004</v>
      </c>
      <c r="S64" s="23">
        <f ca="1">IFERROR(__xludf.DUMMYFUNCTION("INDEX(IMPORTRANGE(""17pNv02DXDpQT9S3w4-QeNym2QJy2BzMBqDXp-XtzJBM"", ""'ESC'!BG3:BG139""),MATCH($D64,IMPORTRANGE(""17pNv02DXDpQT9S3w4-QeNym2QJy2BzMBqDXp-XtzJBM"", ""'ESC'!D3:D139""),0))"),9334019.4)</f>
        <v>9334019.4000000004</v>
      </c>
      <c r="T64" s="4"/>
      <c r="U64" s="4"/>
      <c r="V64" s="4"/>
      <c r="W64" s="4"/>
      <c r="X64" s="4"/>
      <c r="Y64" s="4"/>
      <c r="Z64" s="12">
        <f ca="1">IFERROR(__xludf.DUMMYFUNCTION("INDEX(IMPORTRANGE(""17pNv02DXDpQT9S3w4-QeNym2QJy2BzMBqDXp-XtzJBM"", ""'ESC'!BH3:BH139""),MATCH($D64,IMPORTRANGE(""17pNv02DXDpQT9S3w4-QeNym2QJy2BzMBqDXp-XtzJBM"", ""'ESC'!D3:D139""),0))"),9334019.4)</f>
        <v>9334019.4000000004</v>
      </c>
      <c r="AA64" s="12">
        <f ca="1">IFERROR(__xludf.DUMMYFUNCTION("INDEX(IMPORTRANGE(""17pNv02DXDpQT9S3w4-QeNym2QJy2BzMBqDXp-XtzJBM"", ""'ESC'!BI3:BI139""),MATCH($D64,IMPORTRANGE(""17pNv02DXDpQT9S3w4-QeNym2QJy2BzMBqDXp-XtzJBM"", ""'ESC'!D3:D139""),0))"),9334019.38999999)</f>
        <v>9334019.3899999894</v>
      </c>
      <c r="AB64" s="12">
        <f ca="1">IFERROR(__xludf.DUMMYFUNCTION("INDEX(IMPORTRANGE(""17pNv02DXDpQT9S3w4-QeNym2QJy2BzMBqDXp-XtzJBM"", ""'ESC'!BJ3:BJ139""),MATCH($D64,IMPORTRANGE(""17pNv02DXDpQT9S3w4-QeNym2QJy2BzMBqDXp-XtzJBM"", ""'ESC'!D3:D139""),0))"),9351561.38999999)</f>
        <v>9351561.3899999894</v>
      </c>
      <c r="AC64" s="12">
        <f ca="1">IFERROR(__xludf.DUMMYFUNCTION("INDEX(IMPORTRANGE(""17pNv02DXDpQT9S3w4-QeNym2QJy2BzMBqDXp-XtzJBM"", ""'ESC'!BK3:BK139""),MATCH($D64,IMPORTRANGE(""17pNv02DXDpQT9S3w4-QeNym2QJy2BzMBqDXp-XtzJBM"", ""'ESC'!D3:D139""),0))"),9334019.39)</f>
        <v>9334019.3900000006</v>
      </c>
      <c r="AD64" s="12">
        <f ca="1">IFERROR(__xludf.DUMMYFUNCTION("INDEX(IMPORTRANGE(""17pNv02DXDpQT9S3w4-QeNym2QJy2BzMBqDXp-XtzJBM"", ""'ESC'!BL3:BL139""),MATCH($D64,IMPORTRANGE(""17pNv02DXDpQT9S3w4-QeNym2QJy2BzMBqDXp-XtzJBM"", ""'ESC'!D3:D139""),0))"),9334019.39)</f>
        <v>9334019.3900000006</v>
      </c>
      <c r="AE64" s="12">
        <f ca="1">IFERROR(__xludf.DUMMYFUNCTION("INDEX(IMPORTRANGE(""17pNv02DXDpQT9S3w4-QeNym2QJy2BzMBqDXp-XtzJBM"", ""'ESC'!BM3:BM139""),MATCH($D64,IMPORTRANGE(""17pNv02DXDpQT9S3w4-QeNym2QJy2BzMBqDXp-XtzJBM"", ""'ESC'!D3:D139""),0))"),9334019.39)</f>
        <v>9334019.3900000006</v>
      </c>
      <c r="AF64" s="1"/>
    </row>
    <row r="65" spans="1:32">
      <c r="A65" s="7" t="s">
        <v>147</v>
      </c>
      <c r="B65" s="7" t="s">
        <v>168</v>
      </c>
      <c r="C65" s="1" t="s">
        <v>36</v>
      </c>
      <c r="D65" s="7" t="s">
        <v>183</v>
      </c>
      <c r="E65" s="7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15">
        <f t="shared" ref="Q65:R65" si="16">Q63/Q64</f>
        <v>0.89530311989709388</v>
      </c>
      <c r="R65" s="15">
        <f t="shared" si="16"/>
        <v>0.89530311989709388</v>
      </c>
      <c r="S65" s="15">
        <f ca="1">IFERROR(__xludf.DUMMYFUNCTION("INDEX(IMPORTRANGE(""17pNv02DXDpQT9S3w4-QeNym2QJy2BzMBqDXp-XtzJBM"", ""'ESC'!BG3:BG139""),MATCH($D65,IMPORTRANGE(""17pNv02DXDpQT9S3w4-QeNym2QJy2BzMBqDXp-XtzJBM"", ""'ESC'!D3:D139""),0))"),0.895303119897093)</f>
        <v>0.89530311989709299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""'ESC'!BH3:BH139""),MATCH($D65,IMPORTRANGE(""17pNv02DXDpQT9S3w4-QeNym2QJy2BzMBqDXp-XtzJBM"", ""'ESC'!D3:D139""),0))"),0.895303119897093)</f>
        <v>0.89530311989709299</v>
      </c>
      <c r="AA65" s="15">
        <f ca="1">IFERROR(__xludf.DUMMYFUNCTION("INDEX(IMPORTRANGE(""17pNv02DXDpQT9S3w4-QeNym2QJy2BzMBqDXp-XtzJBM"", ""'ESC'!BI3:BI139""),MATCH($D65,IMPORTRANGE(""17pNv02DXDpQT9S3w4-QeNym2QJy2BzMBqDXp-XtzJBM"", ""'ESC'!D3:D139""),0))"),0.901252326410691)</f>
        <v>0.90125232641069097</v>
      </c>
      <c r="AB65" s="15">
        <f ca="1">IFERROR(__xludf.DUMMYFUNCTION("INDEX(IMPORTRANGE(""17pNv02DXDpQT9S3w4-QeNym2QJy2BzMBqDXp-XtzJBM"", ""'ESC'!BJ3:BJ139""),MATCH($D65,IMPORTRANGE(""17pNv02DXDpQT9S3w4-QeNym2QJy2BzMBqDXp-XtzJBM"", ""'ESC'!D3:D139""),0))"),0.901437560899121)</f>
        <v>0.90143756089912097</v>
      </c>
      <c r="AC65" s="15">
        <f ca="1">IFERROR(__xludf.DUMMYFUNCTION("INDEX(IMPORTRANGE(""17pNv02DXDpQT9S3w4-QeNym2QJy2BzMBqDXp-XtzJBM"", ""'ESC'!BK3:BK139""),MATCH($D65,IMPORTRANGE(""17pNv02DXDpQT9S3w4-QeNym2QJy2BzMBqDXp-XtzJBM"", ""'ESC'!D3:D139""),0))"),0.903131688266184)</f>
        <v>0.90313168826618395</v>
      </c>
      <c r="AD65" s="15">
        <f ca="1">IFERROR(__xludf.DUMMYFUNCTION("INDEX(IMPORTRANGE(""17pNv02DXDpQT9S3w4-QeNym2QJy2BzMBqDXp-XtzJBM"", ""'ESC'!BL3:BL139""),MATCH($D65,IMPORTRANGE(""17pNv02DXDpQT9S3w4-QeNym2QJy2BzMBqDXp-XtzJBM"", ""'ESC'!D3:D139""),0))"),0.917679678186312)</f>
        <v>0.91767967818631202</v>
      </c>
      <c r="AE65" s="15">
        <f ca="1">IFERROR(__xludf.DUMMYFUNCTION("INDEX(IMPORTRANGE(""17pNv02DXDpQT9S3w4-QeNym2QJy2BzMBqDXp-XtzJBM"", ""'ESC'!BM3:BM139""),MATCH($D65,IMPORTRANGE(""17pNv02DXDpQT9S3w4-QeNym2QJy2BzMBqDXp-XtzJBM"", ""'ESC'!D3:D139""),0))"),0.93181123121708)</f>
        <v>0.93181123121707998</v>
      </c>
      <c r="AF65" s="1"/>
    </row>
    <row r="66" spans="1:32">
      <c r="A66" s="7" t="s">
        <v>147</v>
      </c>
      <c r="B66" s="7" t="s">
        <v>168</v>
      </c>
      <c r="C66" s="1" t="s">
        <v>30</v>
      </c>
      <c r="D66" s="7" t="s">
        <v>185</v>
      </c>
      <c r="E66" s="7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23">
        <v>39992.800000000003</v>
      </c>
      <c r="R66" s="23">
        <v>39992.800000000003</v>
      </c>
      <c r="S66" s="23">
        <f ca="1">IFERROR(__xludf.DUMMYFUNCTION("INDEX(IMPORTRANGE(""17pNv02DXDpQT9S3w4-QeNym2QJy2BzMBqDXp-XtzJBM"", ""'ESC'!BG3:BG139""),MATCH($D66,IMPORTRANGE(""17pNv02DXDpQT9S3w4-QeNym2QJy2BzMBqDXp-XtzJBM"", ""'ESC'!D3:D139""),0))"),39992.8)</f>
        <v>39992.800000000003</v>
      </c>
      <c r="T66" s="4"/>
      <c r="U66" s="4"/>
      <c r="V66" s="4"/>
      <c r="W66" s="4"/>
      <c r="X66" s="4"/>
      <c r="Y66" s="4"/>
      <c r="Z66" s="12">
        <f ca="1">IFERROR(__xludf.DUMMYFUNCTION("INDEX(IMPORTRANGE(""17pNv02DXDpQT9S3w4-QeNym2QJy2BzMBqDXp-XtzJBM"", ""'ESC'!BH3:BH139""),MATCH($D66,IMPORTRANGE(""17pNv02DXDpQT9S3w4-QeNym2QJy2BzMBqDXp-XtzJBM"", ""'ESC'!D3:D139""),0))"),39992.8)</f>
        <v>39992.800000000003</v>
      </c>
      <c r="AA66" s="12">
        <f ca="1">IFERROR(__xludf.DUMMYFUNCTION("INDEX(IMPORTRANGE(""17pNv02DXDpQT9S3w4-QeNym2QJy2BzMBqDXp-XtzJBM"", ""'ESC'!BI3:BI139""),MATCH($D66,IMPORTRANGE(""17pNv02DXDpQT9S3w4-QeNym2QJy2BzMBqDXp-XtzJBM"", ""'ESC'!D3:D139""),0))"),41172.03)</f>
        <v>41172.03</v>
      </c>
      <c r="AB66" s="12">
        <f ca="1">IFERROR(__xludf.DUMMYFUNCTION("INDEX(IMPORTRANGE(""17pNv02DXDpQT9S3w4-QeNym2QJy2BzMBqDXp-XtzJBM"", ""'ESC'!BJ3:BJ139""),MATCH($D66,IMPORTRANGE(""17pNv02DXDpQT9S3w4-QeNym2QJy2BzMBqDXp-XtzJBM"", ""'ESC'!D3:D139""),0))"),41810.03)</f>
        <v>41810.03</v>
      </c>
      <c r="AC66" s="12">
        <f ca="1">IFERROR(__xludf.DUMMYFUNCTION("INDEX(IMPORTRANGE(""17pNv02DXDpQT9S3w4-QeNym2QJy2BzMBqDXp-XtzJBM"", ""'ESC'!BK3:BK139""),MATCH($D66,IMPORTRANGE(""17pNv02DXDpQT9S3w4-QeNym2QJy2BzMBqDXp-XtzJBM"", ""'ESC'!D3:D139""),0))"),41504.03)</f>
        <v>41504.03</v>
      </c>
      <c r="AD66" s="12">
        <f ca="1">IFERROR(__xludf.DUMMYFUNCTION("INDEX(IMPORTRANGE(""17pNv02DXDpQT9S3w4-QeNym2QJy2BzMBqDXp-XtzJBM"", ""'ESC'!BL3:BL139""),MATCH($D66,IMPORTRANGE(""17pNv02DXDpQT9S3w4-QeNym2QJy2BzMBqDXp-XtzJBM"", ""'ESC'!D3:D139""),0))"),39716.53)</f>
        <v>39716.53</v>
      </c>
      <c r="AE66" s="12">
        <f ca="1">IFERROR(__xludf.DUMMYFUNCTION("INDEX(IMPORTRANGE(""17pNv02DXDpQT9S3w4-QeNym2QJy2BzMBqDXp-XtzJBM"", ""'ESC'!BM3:BM139""),MATCH($D66,IMPORTRANGE(""17pNv02DXDpQT9S3w4-QeNym2QJy2BzMBqDXp-XtzJBM"", ""'ESC'!D3:D139""),0))"),39170.3)</f>
        <v>39170.300000000003</v>
      </c>
      <c r="AF66" s="1"/>
    </row>
    <row r="67" spans="1:32">
      <c r="A67" s="7" t="s">
        <v>147</v>
      </c>
      <c r="B67" s="7" t="s">
        <v>168</v>
      </c>
      <c r="C67" s="1" t="s">
        <v>30</v>
      </c>
      <c r="D67" s="7" t="s">
        <v>187</v>
      </c>
      <c r="E67" s="7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23">
        <v>44787</v>
      </c>
      <c r="R67" s="23">
        <v>44787</v>
      </c>
      <c r="S67" s="23">
        <f ca="1">IFERROR(__xludf.DUMMYFUNCTION("INDEX(IMPORTRANGE(""17pNv02DXDpQT9S3w4-QeNym2QJy2BzMBqDXp-XtzJBM"", ""'ESC'!BG3:BG139""),MATCH($D67,IMPORTRANGE(""17pNv02DXDpQT9S3w4-QeNym2QJy2BzMBqDXp-XtzJBM"", ""'ESC'!D3:D139""),0))"),44787)</f>
        <v>44787</v>
      </c>
      <c r="T67" s="4"/>
      <c r="U67" s="4"/>
      <c r="V67" s="4"/>
      <c r="W67" s="4"/>
      <c r="X67" s="4"/>
      <c r="Y67" s="4"/>
      <c r="Z67" s="12">
        <f ca="1">IFERROR(__xludf.DUMMYFUNCTION("INDEX(IMPORTRANGE(""17pNv02DXDpQT9S3w4-QeNym2QJy2BzMBqDXp-XtzJBM"", ""'ESC'!BH3:BH139""),MATCH($D67,IMPORTRANGE(""17pNv02DXDpQT9S3w4-QeNym2QJy2BzMBqDXp-XtzJBM"", ""'ESC'!D3:D139""),0))"),44787)</f>
        <v>44787</v>
      </c>
      <c r="AA67" s="12">
        <f ca="1">IFERROR(__xludf.DUMMYFUNCTION("INDEX(IMPORTRANGE(""17pNv02DXDpQT9S3w4-QeNym2QJy2BzMBqDXp-XtzJBM"", ""'ESC'!BI3:BI139""),MATCH($D67,IMPORTRANGE(""17pNv02DXDpQT9S3w4-QeNym2QJy2BzMBqDXp-XtzJBM"", ""'ESC'!D3:D139""),0))"),44787)</f>
        <v>44787</v>
      </c>
      <c r="AB67" s="12">
        <f ca="1">IFERROR(__xludf.DUMMYFUNCTION("INDEX(IMPORTRANGE(""17pNv02DXDpQT9S3w4-QeNym2QJy2BzMBqDXp-XtzJBM"", ""'ESC'!BJ3:BJ139""),MATCH($D67,IMPORTRANGE(""17pNv02DXDpQT9S3w4-QeNym2QJy2BzMBqDXp-XtzJBM"", ""'ESC'!D3:D139""),0))"),44787)</f>
        <v>44787</v>
      </c>
      <c r="AC67" s="12">
        <f ca="1">IFERROR(__xludf.DUMMYFUNCTION("INDEX(IMPORTRANGE(""17pNv02DXDpQT9S3w4-QeNym2QJy2BzMBqDXp-XtzJBM"", ""'ESC'!BK3:BK139""),MATCH($D67,IMPORTRANGE(""17pNv02DXDpQT9S3w4-QeNym2QJy2BzMBqDXp-XtzJBM"", ""'ESC'!D3:D139""),0))"),44787)</f>
        <v>44787</v>
      </c>
      <c r="AD67" s="12">
        <f ca="1">IFERROR(__xludf.DUMMYFUNCTION("INDEX(IMPORTRANGE(""17pNv02DXDpQT9S3w4-QeNym2QJy2BzMBqDXp-XtzJBM"", ""'ESC'!BL3:BL139""),MATCH($D67,IMPORTRANGE(""17pNv02DXDpQT9S3w4-QeNym2QJy2BzMBqDXp-XtzJBM"", ""'ESC'!D3:D139""),0))"),44787)</f>
        <v>44787</v>
      </c>
      <c r="AE67" s="12">
        <f ca="1">IFERROR(__xludf.DUMMYFUNCTION("INDEX(IMPORTRANGE(""17pNv02DXDpQT9S3w4-QeNym2QJy2BzMBqDXp-XtzJBM"", ""'ESC'!BM3:BM139""),MATCH($D67,IMPORTRANGE(""17pNv02DXDpQT9S3w4-QeNym2QJy2BzMBqDXp-XtzJBM"", ""'ESC'!D3:D139""),0))"),44787)</f>
        <v>44787</v>
      </c>
      <c r="AF67" s="1"/>
    </row>
    <row r="68" spans="1:32">
      <c r="A68" s="7" t="s">
        <v>147</v>
      </c>
      <c r="B68" s="7" t="s">
        <v>168</v>
      </c>
      <c r="C68" s="1" t="s">
        <v>36</v>
      </c>
      <c r="D68" s="7" t="s">
        <v>189</v>
      </c>
      <c r="E68" s="7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15">
        <f t="shared" ref="Q68:R68" si="17">Q66/Q67</f>
        <v>0.89295554513586539</v>
      </c>
      <c r="R68" s="15">
        <f t="shared" si="17"/>
        <v>0.89295554513586539</v>
      </c>
      <c r="S68" s="15">
        <f ca="1">IFERROR(__xludf.DUMMYFUNCTION("INDEX(IMPORTRANGE(""17pNv02DXDpQT9S3w4-QeNym2QJy2BzMBqDXp-XtzJBM"", ""'ESC'!BG3:BG139""),MATCH($D68,IMPORTRANGE(""17pNv02DXDpQT9S3w4-QeNym2QJy2BzMBqDXp-XtzJBM"", ""'ESC'!D3:D139""),0))"),0.892955545135865)</f>
        <v>0.89295554513586495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""'ESC'!BH3:BH139""),MATCH($D68,IMPORTRANGE(""17pNv02DXDpQT9S3w4-QeNym2QJy2BzMBqDXp-XtzJBM"", ""'ESC'!D3:D139""),0))"),0.892955545135865)</f>
        <v>0.89295554513586495</v>
      </c>
      <c r="AA68" s="15">
        <f ca="1">IFERROR(__xludf.DUMMYFUNCTION("INDEX(IMPORTRANGE(""17pNv02DXDpQT9S3w4-QeNym2QJy2BzMBqDXp-XtzJBM"", ""'ESC'!BI3:BI139""),MATCH($D68,IMPORTRANGE(""17pNv02DXDpQT9S3w4-QeNym2QJy2BzMBqDXp-XtzJBM"", ""'ESC'!D3:D139""),0))"),0.919285283676066)</f>
        <v>0.91928528367606599</v>
      </c>
      <c r="AB68" s="15">
        <f ca="1">IFERROR(__xludf.DUMMYFUNCTION("INDEX(IMPORTRANGE(""17pNv02DXDpQT9S3w4-QeNym2QJy2BzMBqDXp-XtzJBM"", ""'ESC'!BJ3:BJ139""),MATCH($D68,IMPORTRANGE(""17pNv02DXDpQT9S3w4-QeNym2QJy2BzMBqDXp-XtzJBM"", ""'ESC'!D3:D139""),0))"),0.933530488757898)</f>
        <v>0.93353048875789801</v>
      </c>
      <c r="AC68" s="15">
        <f ca="1">IFERROR(__xludf.DUMMYFUNCTION("INDEX(IMPORTRANGE(""17pNv02DXDpQT9S3w4-QeNym2QJy2BzMBqDXp-XtzJBM"", ""'ESC'!BK3:BK139""),MATCH($D68,IMPORTRANGE(""17pNv02DXDpQT9S3w4-QeNym2QJy2BzMBqDXp-XtzJBM"", ""'ESC'!D3:D139""),0))"),0.926698149016455)</f>
        <v>0.92669814901645498</v>
      </c>
      <c r="AD68" s="15">
        <f ca="1">IFERROR(__xludf.DUMMYFUNCTION("INDEX(IMPORTRANGE(""17pNv02DXDpQT9S3w4-QeNym2QJy2BzMBqDXp-XtzJBM"", ""'ESC'!BL3:BL139""),MATCH($D68,IMPORTRANGE(""17pNv02DXDpQT9S3w4-QeNym2QJy2BzMBqDXp-XtzJBM"", ""'ESC'!D3:D139""),0))"),0.886787014088909)</f>
        <v>0.88678701408890903</v>
      </c>
      <c r="AE68" s="15">
        <f ca="1">IFERROR(__xludf.DUMMYFUNCTION("INDEX(IMPORTRANGE(""17pNv02DXDpQT9S3w4-QeNym2QJy2BzMBqDXp-XtzJBM"", ""'ESC'!BM3:BM139""),MATCH($D68,IMPORTRANGE(""17pNv02DXDpQT9S3w4-QeNym2QJy2BzMBqDXp-XtzJBM"", ""'ESC'!D3:D139""),0))"),0.874590841092281)</f>
        <v>0.87459084109228102</v>
      </c>
      <c r="AF68" s="1"/>
    </row>
    <row r="69" spans="1:32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12">
        <v>0</v>
      </c>
      <c r="R69" s="12">
        <v>0</v>
      </c>
      <c r="S69" s="12">
        <f ca="1">IFERROR(__xludf.DUMMYFUNCTION("INDEX(IMPORTRANGE(""17pNv02DXDpQT9S3w4-QeNym2QJy2BzMBqDXp-XtzJBM"", ""'ESC'!BG3:BG139""),MATCH($D69,IMPORTRANGE(""17pNv02DXDpQT9S3w4-QeNym2QJy2BzMBqDXp-XtzJBM"", ""'ESC'!D3:D139""),0))"),0)</f>
        <v>0</v>
      </c>
      <c r="T69" s="4"/>
      <c r="U69" s="4"/>
      <c r="V69" s="4"/>
      <c r="W69" s="4"/>
      <c r="X69" s="4"/>
      <c r="Y69" s="4"/>
      <c r="Z69" s="24">
        <f ca="1">IFERROR(__xludf.DUMMYFUNCTION("INDEX(IMPORTRANGE(""17pNv02DXDpQT9S3w4-QeNym2QJy2BzMBqDXp-XtzJBM"", ""'ESC'!BH3:BH139""),MATCH($D69,IMPORTRANGE(""17pNv02DXDpQT9S3w4-QeNym2QJy2BzMBqDXp-XtzJBM"", ""'ESC'!D3:D139""),0))"),0)</f>
        <v>0</v>
      </c>
      <c r="AA69" s="24">
        <f ca="1">IFERROR(__xludf.DUMMYFUNCTION("INDEX(IMPORTRANGE(""17pNv02DXDpQT9S3w4-QeNym2QJy2BzMBqDXp-XtzJBM"", ""'ESC'!BI3:BI139""),MATCH($D69,IMPORTRANGE(""17pNv02DXDpQT9S3w4-QeNym2QJy2BzMBqDXp-XtzJBM"", ""'ESC'!D3:D139""),0))"),2.6)</f>
        <v>2.6</v>
      </c>
      <c r="AB69" s="24">
        <f ca="1">IFERROR(__xludf.DUMMYFUNCTION("INDEX(IMPORTRANGE(""17pNv02DXDpQT9S3w4-QeNym2QJy2BzMBqDXp-XtzJBM"", ""'ESC'!BJ3:BJ139""),MATCH($D69,IMPORTRANGE(""17pNv02DXDpQT9S3w4-QeNym2QJy2BzMBqDXp-XtzJBM"", ""'ESC'!D3:D139""),0))"),0.45)</f>
        <v>0.45</v>
      </c>
      <c r="AC69" s="24">
        <f ca="1">IFERROR(__xludf.DUMMYFUNCTION("INDEX(IMPORTRANGE(""17pNv02DXDpQT9S3w4-QeNym2QJy2BzMBqDXp-XtzJBM"", ""'ESC'!BK3:BK139""),MATCH($D69,IMPORTRANGE(""17pNv02DXDpQT9S3w4-QeNym2QJy2BzMBqDXp-XtzJBM"", ""'ESC'!D3:D139""),0))"),10.0499999999999)</f>
        <v>10.049999999999899</v>
      </c>
      <c r="AD69" s="24">
        <f ca="1">IFERROR(__xludf.DUMMYFUNCTION("INDEX(IMPORTRANGE(""17pNv02DXDpQT9S3w4-QeNym2QJy2BzMBqDXp-XtzJBM"", ""'ESC'!BL3:BL139""),MATCH($D69,IMPORTRANGE(""17pNv02DXDpQT9S3w4-QeNym2QJy2BzMBqDXp-XtzJBM"", ""'ESC'!D3:D139""),0))"),6.6)</f>
        <v>6.6</v>
      </c>
      <c r="AE69" s="24">
        <f ca="1">IFERROR(__xludf.DUMMYFUNCTION("INDEX(IMPORTRANGE(""17pNv02DXDpQT9S3w4-QeNym2QJy2BzMBqDXp-XtzJBM"", ""'ESC'!BM3:BM139""),MATCH($D69,IMPORTRANGE(""17pNv02DXDpQT9S3w4-QeNym2QJy2BzMBqDXp-XtzJBM"", ""'ESC'!D3:D139""),0))"),6.6)</f>
        <v>6.6</v>
      </c>
      <c r="AF69" s="1"/>
    </row>
    <row r="70" spans="1:32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12">
        <v>0</v>
      </c>
      <c r="R70" s="12">
        <v>0</v>
      </c>
      <c r="S70" s="12">
        <f ca="1">IFERROR(__xludf.DUMMYFUNCTION("INDEX(IMPORTRANGE(""17pNv02DXDpQT9S3w4-QeNym2QJy2BzMBqDXp-XtzJBM"", ""'ESC'!BG3:BG139""),MATCH($D70,IMPORTRANGE(""17pNv02DXDpQT9S3w4-QeNym2QJy2BzMBqDXp-XtzJBM"", ""'ESC'!D3:D139""),0))"),0)</f>
        <v>0</v>
      </c>
      <c r="T70" s="4"/>
      <c r="U70" s="4"/>
      <c r="V70" s="4"/>
      <c r="W70" s="4"/>
      <c r="X70" s="4"/>
      <c r="Y70" s="4"/>
      <c r="Z70" s="2">
        <f ca="1">IFERROR(__xludf.DUMMYFUNCTION("INDEX(IMPORTRANGE(""17pNv02DXDpQT9S3w4-QeNym2QJy2BzMBqDXp-XtzJBM"", ""'ESC'!BH3:BH139""),MATCH($D70,IMPORTRANGE(""17pNv02DXDpQT9S3w4-QeNym2QJy2BzMBqDXp-XtzJBM"", ""'ESC'!D3:D139""),0))"),0)</f>
        <v>0</v>
      </c>
      <c r="AA70" s="2">
        <f ca="1">IFERROR(__xludf.DUMMYFUNCTION("INDEX(IMPORTRANGE(""17pNv02DXDpQT9S3w4-QeNym2QJy2BzMBqDXp-XtzJBM"", ""'ESC'!BI3:BI139""),MATCH($D70,IMPORTRANGE(""17pNv02DXDpQT9S3w4-QeNym2QJy2BzMBqDXp-XtzJBM"", ""'ESC'!D3:D139""),0))"),14.7)</f>
        <v>14.7</v>
      </c>
      <c r="AB70" s="2">
        <f ca="1">IFERROR(__xludf.DUMMYFUNCTION("INDEX(IMPORTRANGE(""17pNv02DXDpQT9S3w4-QeNym2QJy2BzMBqDXp-XtzJBM"", ""'ESC'!BJ3:BJ139""),MATCH($D70,IMPORTRANGE(""17pNv02DXDpQT9S3w4-QeNym2QJy2BzMBqDXp-XtzJBM"", ""'ESC'!D3:D139""),0))"),0)</f>
        <v>0</v>
      </c>
      <c r="AC70" s="2">
        <f ca="1">IFERROR(__xludf.DUMMYFUNCTION("INDEX(IMPORTRANGE(""17pNv02DXDpQT9S3w4-QeNym2QJy2BzMBqDXp-XtzJBM"", ""'ESC'!BK3:BK139""),MATCH($D70,IMPORTRANGE(""17pNv02DXDpQT9S3w4-QeNym2QJy2BzMBqDXp-XtzJBM"", ""'ESC'!D3:D139""),0))"),0)</f>
        <v>0</v>
      </c>
      <c r="AD70" s="2">
        <f ca="1">IFERROR(__xludf.DUMMYFUNCTION("INDEX(IMPORTRANGE(""17pNv02DXDpQT9S3w4-QeNym2QJy2BzMBqDXp-XtzJBM"", ""'ESC'!BL3:BL139""),MATCH($D70,IMPORTRANGE(""17pNv02DXDpQT9S3w4-QeNym2QJy2BzMBqDXp-XtzJBM"", ""'ESC'!D3:D139""),0))"),0)</f>
        <v>0</v>
      </c>
      <c r="AE70" s="2">
        <f ca="1">IFERROR(__xludf.DUMMYFUNCTION("INDEX(IMPORTRANGE(""17pNv02DXDpQT9S3w4-QeNym2QJy2BzMBqDXp-XtzJBM"", ""'ESC'!BM3:BM139""),MATCH($D70,IMPORTRANGE(""17pNv02DXDpQT9S3w4-QeNym2QJy2BzMBqDXp-XtzJBM"", ""'ESC'!D3:D139""),0))"),0.52223)</f>
        <v>0.52222999999999997</v>
      </c>
      <c r="AF70" s="1"/>
    </row>
    <row r="71" spans="1:32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12" t="s">
        <v>150</v>
      </c>
      <c r="R71" s="12" t="s">
        <v>150</v>
      </c>
      <c r="S71" s="12" t="str">
        <f ca="1">IFERROR(__xludf.DUMMYFUNCTION("INDEX(IMPORTRANGE(""17pNv02DXDpQT9S3w4-QeNym2QJy2BzMBqDXp-XtzJBM"", ""'ESC'!BG3:BG139""),MATCH($D71,IMPORTRANGE(""17pNv02DXDpQT9S3w4-QeNym2QJy2BzMBqDXp-XtzJBM"", ""'ESC'!D3:D139""),0))"),"No")</f>
        <v>No</v>
      </c>
      <c r="T71" s="4"/>
      <c r="U71" s="4"/>
      <c r="V71" s="4"/>
      <c r="W71" s="4"/>
      <c r="X71" s="4"/>
      <c r="Y71" s="4"/>
      <c r="Z71" s="12">
        <f ca="1">IFERROR(__xludf.DUMMYFUNCTION("INDEX(IMPORTRANGE(""17pNv02DXDpQT9S3w4-QeNym2QJy2BzMBqDXp-XtzJBM"", ""'ESC'!BH3:BH139""),MATCH($D71,IMPORTRANGE(""17pNv02DXDpQT9S3w4-QeNym2QJy2BzMBqDXp-XtzJBM"", ""'ESC'!D3:D139""),0))"),0)</f>
        <v>0</v>
      </c>
      <c r="AA71" s="12" t="str">
        <f ca="1">IFERROR(__xludf.DUMMYFUNCTION("INDEX(IMPORTRANGE(""17pNv02DXDpQT9S3w4-QeNym2QJy2BzMBqDXp-XtzJBM"", ""'ESC'!BI3:BI139""),MATCH($D71,IMPORTRANGE(""17pNv02DXDpQT9S3w4-QeNym2QJy2BzMBqDXp-XtzJBM"", ""'ESC'!D3:D139""),0))"),"")</f>
        <v/>
      </c>
      <c r="AB71" s="12" t="str">
        <f ca="1">IFERROR(__xludf.DUMMYFUNCTION("INDEX(IMPORTRANGE(""17pNv02DXDpQT9S3w4-QeNym2QJy2BzMBqDXp-XtzJBM"", ""'ESC'!BJ3:BJ139""),MATCH($D71,IMPORTRANGE(""17pNv02DXDpQT9S3w4-QeNym2QJy2BzMBqDXp-XtzJBM"", ""'ESC'!D3:D139""),0))"),"")</f>
        <v/>
      </c>
      <c r="AC71" s="12" t="str">
        <f ca="1">IFERROR(__xludf.DUMMYFUNCTION("INDEX(IMPORTRANGE(""17pNv02DXDpQT9S3w4-QeNym2QJy2BzMBqDXp-XtzJBM"", ""'ESC'!BK3:BK139""),MATCH($D71,IMPORTRANGE(""17pNv02DXDpQT9S3w4-QeNym2QJy2BzMBqDXp-XtzJBM"", ""'ESC'!D3:D139""),0))"),"")</f>
        <v/>
      </c>
      <c r="AD71" s="12" t="str">
        <f ca="1">IFERROR(__xludf.DUMMYFUNCTION("INDEX(IMPORTRANGE(""17pNv02DXDpQT9S3w4-QeNym2QJy2BzMBqDXp-XtzJBM"", ""'ESC'!BL3:BL139""),MATCH($D71,IMPORTRANGE(""17pNv02DXDpQT9S3w4-QeNym2QJy2BzMBqDXp-XtzJBM"", ""'ESC'!D3:D139""),0))"),"")</f>
        <v/>
      </c>
      <c r="AE71" s="315" t="str">
        <f ca="1">IFERROR(__xludf.DUMMYFUNCTION("INDEX(IMPORTRANGE(""17pNv02DXDpQT9S3w4-QeNym2QJy2BzMBqDXp-XtzJBM"", ""'ESC'!BM3:BM139""),MATCH($D71,IMPORTRANGE(""17pNv02DXDpQT9S3w4-QeNym2QJy2BzMBqDXp-XtzJBM"", ""'ESC'!D3:D139""),0))"),"https://escobedo.gob.mx/transparencia/doc/HV-CON/2024091800090210.pdf				")</f>
        <v xml:space="preserve">https://escobedo.gob.mx/transparencia/doc/HV-CON/2024091800090210.pdf				</v>
      </c>
      <c r="AF71" s="1"/>
    </row>
    <row r="72" spans="1:32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>Q69+Q70</f>
        <v>0</v>
      </c>
      <c r="R72" s="23">
        <v>0</v>
      </c>
      <c r="S72" s="23">
        <f ca="1">IFERROR(__xludf.DUMMYFUNCTION("INDEX(IMPORTRANGE(""17pNv02DXDpQT9S3w4-QeNym2QJy2BzMBqDXp-XtzJBM"", ""'ESC'!BG3:BG139""),MATCH($D72,IMPORTRANGE(""17pNv02DXDpQT9S3w4-QeNym2QJy2BzMBqDXp-XtzJBM"", ""'ESC'!D3:D139""),0))"),0)</f>
        <v>0</v>
      </c>
      <c r="T72" s="2">
        <v>7.7</v>
      </c>
      <c r="U72" s="2">
        <v>3.9</v>
      </c>
      <c r="V72" s="2">
        <v>7.7</v>
      </c>
      <c r="W72" s="2">
        <v>3.9</v>
      </c>
      <c r="X72" s="2">
        <f>W72/6*5+W72</f>
        <v>7.15</v>
      </c>
      <c r="Y72" s="2">
        <v>23.2</v>
      </c>
      <c r="Z72" s="23">
        <f ca="1">IFERROR(__xludf.DUMMYFUNCTION("INDEX(IMPORTRANGE(""17pNv02DXDpQT9S3w4-QeNym2QJy2BzMBqDXp-XtzJBM"", ""'ESC'!BH3:BH139""),MATCH($D72,IMPORTRANGE(""17pNv02DXDpQT9S3w4-QeNym2QJy2BzMBqDXp-XtzJBM"", ""'ESC'!D3:D139""),0))"),0)</f>
        <v>0</v>
      </c>
      <c r="AA72" s="23">
        <f ca="1">IFERROR(__xludf.DUMMYFUNCTION("INDEX(IMPORTRANGE(""17pNv02DXDpQT9S3w4-QeNym2QJy2BzMBqDXp-XtzJBM"", ""'ESC'!BI3:BI139""),MATCH($D72,IMPORTRANGE(""17pNv02DXDpQT9S3w4-QeNym2QJy2BzMBqDXp-XtzJBM"", ""'ESC'!D3:D139""),0))"),17.3)</f>
        <v>17.3</v>
      </c>
      <c r="AB72" s="23">
        <f ca="1">IFERROR(__xludf.DUMMYFUNCTION("INDEX(IMPORTRANGE(""17pNv02DXDpQT9S3w4-QeNym2QJy2BzMBqDXp-XtzJBM"", ""'ESC'!BJ3:BJ139""),MATCH($D72,IMPORTRANGE(""17pNv02DXDpQT9S3w4-QeNym2QJy2BzMBqDXp-XtzJBM"", ""'ESC'!D3:D139""),0))"),0.45)</f>
        <v>0.45</v>
      </c>
      <c r="AC72" s="23">
        <f ca="1">IFERROR(__xludf.DUMMYFUNCTION("INDEX(IMPORTRANGE(""17pNv02DXDpQT9S3w4-QeNym2QJy2BzMBqDXp-XtzJBM"", ""'ESC'!BK3:BK139""),MATCH($D72,IMPORTRANGE(""17pNv02DXDpQT9S3w4-QeNym2QJy2BzMBqDXp-XtzJBM"", ""'ESC'!D3:D139""),0))"),10.0499999999999)</f>
        <v>10.049999999999899</v>
      </c>
      <c r="AD72" s="23">
        <f ca="1">IFERROR(__xludf.DUMMYFUNCTION("INDEX(IMPORTRANGE(""17pNv02DXDpQT9S3w4-QeNym2QJy2BzMBqDXp-XtzJBM"", ""'ESC'!BL3:BL139""),MATCH($D72,IMPORTRANGE(""17pNv02DXDpQT9S3w4-QeNym2QJy2BzMBqDXp-XtzJBM"", ""'ESC'!D3:D139""),0))"),6.6)</f>
        <v>6.6</v>
      </c>
      <c r="AE72" s="23">
        <f ca="1">IFERROR(__xludf.DUMMYFUNCTION("INDEX(IMPORTRANGE(""17pNv02DXDpQT9S3w4-QeNym2QJy2BzMBqDXp-XtzJBM"", ""'ESC'!BM3:BM139""),MATCH($D72,IMPORTRANGE(""17pNv02DXDpQT9S3w4-QeNym2QJy2BzMBqDXp-XtzJBM"", ""'ESC'!D3:D139""),0))"),7.12223)</f>
        <v>7.1222300000000001</v>
      </c>
      <c r="AF72" s="1"/>
    </row>
    <row r="73" spans="1:32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">
        <v>5.04</v>
      </c>
      <c r="R73" s="2">
        <v>5.04</v>
      </c>
      <c r="S73" s="2">
        <f ca="1">IFERROR(__xludf.DUMMYFUNCTION("INDEX(IMPORTRANGE(""17pNv02DXDpQT9S3w4-QeNym2QJy2BzMBqDXp-XtzJBM"", ""'ESC'!BG3:BG139""),MATCH($D73,IMPORTRANGE(""17pNv02DXDpQT9S3w4-QeNym2QJy2BzMBqDXp-XtzJBM"", ""'ESC'!D3:D139""),0))"),7)</f>
        <v>7</v>
      </c>
      <c r="T73" s="2">
        <v>6.4720000000000004</v>
      </c>
      <c r="U73" s="2">
        <v>7.9039999999999999</v>
      </c>
      <c r="V73" s="2">
        <v>9.3360000000000003</v>
      </c>
      <c r="W73" s="2">
        <v>10.768000000000001</v>
      </c>
      <c r="X73" s="23">
        <f>((Y73-W73)/6)*5+W73</f>
        <v>11.961333333333332</v>
      </c>
      <c r="Y73" s="2">
        <v>12.2</v>
      </c>
      <c r="Z73" s="32">
        <f ca="1">IFERROR(__xludf.DUMMYFUNCTION("INDEX(IMPORTRANGE(""17pNv02DXDpQT9S3w4-QeNym2QJy2BzMBqDXp-XtzJBM"", ""'ESC'!BH3:BH139""),MATCH($D73,IMPORTRANGE(""17pNv02DXDpQT9S3w4-QeNym2QJy2BzMBqDXp-XtzJBM"", ""'ESC'!D3:D139""),0))"),5.04)</f>
        <v>5.04</v>
      </c>
      <c r="AA73" s="32">
        <f ca="1">IFERROR(__xludf.DUMMYFUNCTION("INDEX(IMPORTRANGE(""17pNv02DXDpQT9S3w4-QeNym2QJy2BzMBqDXp-XtzJBM"", ""'ESC'!BI3:BI139""),MATCH($D73,IMPORTRANGE(""17pNv02DXDpQT9S3w4-QeNym2QJy2BzMBqDXp-XtzJBM"", ""'ESC'!D3:D139""),0))"),3.88)</f>
        <v>3.88</v>
      </c>
      <c r="AB73" s="32">
        <f ca="1">IFERROR(__xludf.DUMMYFUNCTION("INDEX(IMPORTRANGE(""17pNv02DXDpQT9S3w4-QeNym2QJy2BzMBqDXp-XtzJBM"", ""'ESC'!BJ3:BJ139""),MATCH($D73,IMPORTRANGE(""17pNv02DXDpQT9S3w4-QeNym2QJy2BzMBqDXp-XtzJBM"", ""'ESC'!D3:D139""),0))"),5.65)</f>
        <v>5.65</v>
      </c>
      <c r="AC73" s="32">
        <f ca="1">IFERROR(__xludf.DUMMYFUNCTION("INDEX(IMPORTRANGE(""17pNv02DXDpQT9S3w4-QeNym2QJy2BzMBqDXp-XtzJBM"", ""'ESC'!BK3:BK139""),MATCH($D73,IMPORTRANGE(""17pNv02DXDpQT9S3w4-QeNym2QJy2BzMBqDXp-XtzJBM"", ""'ESC'!D3:D139""),0))"),8.9)</f>
        <v>8.9</v>
      </c>
      <c r="AD73" s="32">
        <f ca="1">IFERROR(__xludf.DUMMYFUNCTION("INDEX(IMPORTRANGE(""17pNv02DXDpQT9S3w4-QeNym2QJy2BzMBqDXp-XtzJBM"", ""'ESC'!BL3:BL139""),MATCH($D73,IMPORTRANGE(""17pNv02DXDpQT9S3w4-QeNym2QJy2BzMBqDXp-XtzJBM"", ""'ESC'!D3:D139""),0))"),8.9)</f>
        <v>8.9</v>
      </c>
      <c r="AE73" s="32">
        <f ca="1">IFERROR(__xludf.DUMMYFUNCTION("INDEX(IMPORTRANGE(""17pNv02DXDpQT9S3w4-QeNym2QJy2BzMBqDXp-XtzJBM"", ""'ESC'!BM3:BM139""),MATCH($D73,IMPORTRANGE(""17pNv02DXDpQT9S3w4-QeNym2QJy2BzMBqDXp-XtzJBM"", ""'ESC'!D3:D139""),0))"),7)</f>
        <v>7</v>
      </c>
      <c r="AF73" s="1"/>
    </row>
    <row r="74" spans="1:32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 t="str">
        <f ca="1">IFERROR(__xludf.DUMMYFUNCTION("INDEX(IMPORTRANGE(""17pNv02DXDpQT9S3w4-QeNym2QJy2BzMBqDXp-XtzJBM"", ""'ESC'!BG3:BG139""),MATCH($D74,IMPORTRANGE(""17pNv02DXDpQT9S3w4-QeNym2QJy2BzMBqDXp-XtzJBM"", ""'ESC'!D3:D139""),0))"),"")</f>
        <v/>
      </c>
      <c r="T74" s="2"/>
      <c r="U74" s="2"/>
      <c r="V74" s="2"/>
      <c r="W74" s="2"/>
      <c r="X74" s="2"/>
      <c r="Y74" s="2"/>
      <c r="Z74" s="12">
        <f ca="1">IFERROR(__xludf.DUMMYFUNCTION("INDEX(IMPORTRANGE(""17pNv02DXDpQT9S3w4-QeNym2QJy2BzMBqDXp-XtzJBM"", ""'ESC'!BH3:BH139""),MATCH($D74,IMPORTRANGE(""17pNv02DXDpQT9S3w4-QeNym2QJy2BzMBqDXp-XtzJBM"", ""'ESC'!D3:D139""),0))"),0)</f>
        <v>0</v>
      </c>
      <c r="AA74" s="12">
        <f ca="1">IFERROR(__xludf.DUMMYFUNCTION("INDEX(IMPORTRANGE(""17pNv02DXDpQT9S3w4-QeNym2QJy2BzMBqDXp-XtzJBM"", ""'ESC'!BI3:BI139""),MATCH($D74,IMPORTRANGE(""17pNv02DXDpQT9S3w4-QeNym2QJy2BzMBqDXp-XtzJBM"", ""'ESC'!D3:D139""),0))"),0)</f>
        <v>0</v>
      </c>
      <c r="AB74" s="12">
        <f ca="1">IFERROR(__xludf.DUMMYFUNCTION("INDEX(IMPORTRANGE(""17pNv02DXDpQT9S3w4-QeNym2QJy2BzMBqDXp-XtzJBM"", ""'ESC'!BJ3:BJ139""),MATCH($D74,IMPORTRANGE(""17pNv02DXDpQT9S3w4-QeNym2QJy2BzMBqDXp-XtzJBM"", ""'ESC'!D3:D139""),0))"),4516)</f>
        <v>4516</v>
      </c>
      <c r="AC74" s="12">
        <f ca="1">IFERROR(__xludf.DUMMYFUNCTION("INDEX(IMPORTRANGE(""17pNv02DXDpQT9S3w4-QeNym2QJy2BzMBqDXp-XtzJBM"", ""'ESC'!BK3:BK139""),MATCH($D74,IMPORTRANGE(""17pNv02DXDpQT9S3w4-QeNym2QJy2BzMBqDXp-XtzJBM"", ""'ESC'!D3:D139""),0))"),21026)</f>
        <v>21026</v>
      </c>
      <c r="AD74" s="12">
        <f ca="1">IFERROR(__xludf.DUMMYFUNCTION("INDEX(IMPORTRANGE(""17pNv02DXDpQT9S3w4-QeNym2QJy2BzMBqDXp-XtzJBM"", ""'ESC'!BL3:BL139""),MATCH($D74,IMPORTRANGE(""17pNv02DXDpQT9S3w4-QeNym2QJy2BzMBqDXp-XtzJBM"", ""'ESC'!D3:D139""),0))"),1968.61)</f>
        <v>1968.61</v>
      </c>
      <c r="AE74" s="12">
        <f ca="1">IFERROR(__xludf.DUMMYFUNCTION("INDEX(IMPORTRANGE(""17pNv02DXDpQT9S3w4-QeNym2QJy2BzMBqDXp-XtzJBM"", ""'ESC'!BM3:BM139""),MATCH($D74,IMPORTRANGE(""17pNv02DXDpQT9S3w4-QeNym2QJy2BzMBqDXp-XtzJBM"", ""'ESC'!D3:D139""),0))"),7471.61)</f>
        <v>7471.61</v>
      </c>
      <c r="AF74" s="1"/>
    </row>
    <row r="75" spans="1:32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 t="str">
        <f ca="1">IFERROR(__xludf.DUMMYFUNCTION("INDEX(IMPORTRANGE(""17pNv02DXDpQT9S3w4-QeNym2QJy2BzMBqDXp-XtzJBM"", ""'ESC'!BG3:BG139""),MATCH($D75,IMPORTRANGE(""17pNv02DXDpQT9S3w4-QeNym2QJy2BzMBqDXp-XtzJBM"", ""'ESC'!D3:D139""),0))"),"")</f>
        <v/>
      </c>
      <c r="T75" s="2"/>
      <c r="U75" s="2"/>
      <c r="V75" s="2"/>
      <c r="W75" s="2"/>
      <c r="X75" s="2"/>
      <c r="Y75" s="2"/>
      <c r="Z75" s="12">
        <f ca="1">IFERROR(__xludf.DUMMYFUNCTION("INDEX(IMPORTRANGE(""17pNv02DXDpQT9S3w4-QeNym2QJy2BzMBqDXp-XtzJBM"", ""'ESC'!BH3:BH139""),MATCH($D75,IMPORTRANGE(""17pNv02DXDpQT9S3w4-QeNym2QJy2BzMBqDXp-XtzJBM"", ""'ESC'!D3:D139""),0))"),0)</f>
        <v>0</v>
      </c>
      <c r="AA75" s="12">
        <f ca="1">IFERROR(__xludf.DUMMYFUNCTION("INDEX(IMPORTRANGE(""17pNv02DXDpQT9S3w4-QeNym2QJy2BzMBqDXp-XtzJBM"", ""'ESC'!BI3:BI139""),MATCH($D75,IMPORTRANGE(""17pNv02DXDpQT9S3w4-QeNym2QJy2BzMBqDXp-XtzJBM"", ""'ESC'!D3:D139""),0))"),26000)</f>
        <v>26000</v>
      </c>
      <c r="AB75" s="12">
        <f ca="1">IFERROR(__xludf.DUMMYFUNCTION("INDEX(IMPORTRANGE(""17pNv02DXDpQT9S3w4-QeNym2QJy2BzMBqDXp-XtzJBM"", ""'ESC'!BJ3:BJ139""),MATCH($D75,IMPORTRANGE(""17pNv02DXDpQT9S3w4-QeNym2QJy2BzMBqDXp-XtzJBM"", ""'ESC'!D3:D139""),0))"),1464.29)</f>
        <v>1464.29</v>
      </c>
      <c r="AC75" s="12">
        <f ca="1">IFERROR(__xludf.DUMMYFUNCTION("INDEX(IMPORTRANGE(""17pNv02DXDpQT9S3w4-QeNym2QJy2BzMBqDXp-XtzJBM"", ""'ESC'!BK3:BK139""),MATCH($D75,IMPORTRANGE(""17pNv02DXDpQT9S3w4-QeNym2QJy2BzMBqDXp-XtzJBM"", ""'ESC'!D3:D139""),0))"),1464.29)</f>
        <v>1464.29</v>
      </c>
      <c r="AD75" s="12">
        <f ca="1">IFERROR(__xludf.DUMMYFUNCTION("INDEX(IMPORTRANGE(""17pNv02DXDpQT9S3w4-QeNym2QJy2BzMBqDXp-XtzJBM"", ""'ESC'!BL3:BL139""),MATCH($D75,IMPORTRANGE(""17pNv02DXDpQT9S3w4-QeNym2QJy2BzMBqDXp-XtzJBM"", ""'ESC'!D3:D139""),0))"),0)</f>
        <v>0</v>
      </c>
      <c r="AE75" s="12">
        <f ca="1">IFERROR(__xludf.DUMMYFUNCTION("INDEX(IMPORTRANGE(""17pNv02DXDpQT9S3w4-QeNym2QJy2BzMBqDXp-XtzJBM"", ""'ESC'!BM3:BM139""),MATCH($D75,IMPORTRANGE(""17pNv02DXDpQT9S3w4-QeNym2QJy2BzMBqDXp-XtzJBM"", ""'ESC'!D3:D139""),0))"),0)</f>
        <v>0</v>
      </c>
      <c r="AF75" s="1"/>
    </row>
    <row r="76" spans="1:32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""'ESC'!BG3:BG139""),MATCH($D76,IMPORTRANGE(""17pNv02DXDpQT9S3w4-QeNym2QJy2BzMBqDXp-XtzJBM"", ""'ESC'!D3:D139""),0))"),"")</f>
        <v/>
      </c>
      <c r="T76" s="2"/>
      <c r="U76" s="2"/>
      <c r="V76" s="2"/>
      <c r="W76" s="2"/>
      <c r="X76" s="2"/>
      <c r="Y76" s="2"/>
      <c r="Z76" s="12">
        <f ca="1">IFERROR(__xludf.DUMMYFUNCTION("INDEX(IMPORTRANGE(""17pNv02DXDpQT9S3w4-QeNym2QJy2BzMBqDXp-XtzJBM"", ""'ESC'!BH3:BH139""),MATCH($D76,IMPORTRANGE(""17pNv02DXDpQT9S3w4-QeNym2QJy2BzMBqDXp-XtzJBM"", ""'ESC'!D3:D139""),0))"),0)</f>
        <v>0</v>
      </c>
      <c r="AA76" s="12">
        <f ca="1">IFERROR(__xludf.DUMMYFUNCTION("INDEX(IMPORTRANGE(""17pNv02DXDpQT9S3w4-QeNym2QJy2BzMBqDXp-XtzJBM"", ""'ESC'!BI3:BI139""),MATCH($D76,IMPORTRANGE(""17pNv02DXDpQT9S3w4-QeNym2QJy2BzMBqDXp-XtzJBM"", ""'ESC'!D3:D139""),0))"),0)</f>
        <v>0</v>
      </c>
      <c r="AB76" s="12">
        <f ca="1">IFERROR(__xludf.DUMMYFUNCTION("INDEX(IMPORTRANGE(""17pNv02DXDpQT9S3w4-QeNym2QJy2BzMBqDXp-XtzJBM"", ""'ESC'!BJ3:BJ139""),MATCH($D76,IMPORTRANGE(""17pNv02DXDpQT9S3w4-QeNym2QJy2BzMBqDXp-XtzJBM"", ""'ESC'!D3:D139""),0))"),1479)</f>
        <v>1479</v>
      </c>
      <c r="AC76" s="12">
        <f ca="1">IFERROR(__xludf.DUMMYFUNCTION("INDEX(IMPORTRANGE(""17pNv02DXDpQT9S3w4-QeNym2QJy2BzMBqDXp-XtzJBM"", ""'ESC'!BK3:BK139""),MATCH($D76,IMPORTRANGE(""17pNv02DXDpQT9S3w4-QeNym2QJy2BzMBqDXp-XtzJBM"", ""'ESC'!D3:D139""),0))"),1479)</f>
        <v>1479</v>
      </c>
      <c r="AD76" s="12">
        <f ca="1">IFERROR(__xludf.DUMMYFUNCTION("INDEX(IMPORTRANGE(""17pNv02DXDpQT9S3w4-QeNym2QJy2BzMBqDXp-XtzJBM"", ""'ESC'!BL3:BL139""),MATCH($D76,IMPORTRANGE(""17pNv02DXDpQT9S3w4-QeNym2QJy2BzMBqDXp-XtzJBM"", ""'ESC'!D3:D139""),0))"),0)</f>
        <v>0</v>
      </c>
      <c r="AE76" s="12">
        <f ca="1">IFERROR(__xludf.DUMMYFUNCTION("INDEX(IMPORTRANGE(""17pNv02DXDpQT9S3w4-QeNym2QJy2BzMBqDXp-XtzJBM"", ""'ESC'!BM3:BM139""),MATCH($D76,IMPORTRANGE(""17pNv02DXDpQT9S3w4-QeNym2QJy2BzMBqDXp-XtzJBM"", ""'ESC'!D3:D139""),0))"),0)</f>
        <v>0</v>
      </c>
      <c r="AF76" s="1"/>
    </row>
    <row r="77" spans="1:32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""'ESC'!BG3:BG139""),MATCH($D77,IMPORTRANGE(""17pNv02DXDpQT9S3w4-QeNym2QJy2BzMBqDXp-XtzJBM"", ""'ESC'!D3:D139""),0))"),"")</f>
        <v/>
      </c>
      <c r="T77" s="4">
        <v>25000</v>
      </c>
      <c r="U77" s="4">
        <v>12500</v>
      </c>
      <c r="V77" s="4">
        <v>25000</v>
      </c>
      <c r="W77" s="4">
        <v>12500</v>
      </c>
      <c r="X77" s="217">
        <f>(W77)/6*5+W77</f>
        <v>22916.666666666668</v>
      </c>
      <c r="Y77" s="4">
        <v>75000</v>
      </c>
      <c r="Z77" s="12">
        <f ca="1">IFERROR(__xludf.DUMMYFUNCTION("INDEX(IMPORTRANGE(""17pNv02DXDpQT9S3w4-QeNym2QJy2BzMBqDXp-XtzJBM"", ""'ESC'!BH3:BH139""),MATCH($D77,IMPORTRANGE(""17pNv02DXDpQT9S3w4-QeNym2QJy2BzMBqDXp-XtzJBM"", ""'ESC'!D3:D139""),0))"),0)</f>
        <v>0</v>
      </c>
      <c r="AA77" s="12">
        <f ca="1">IFERROR(__xludf.DUMMYFUNCTION("INDEX(IMPORTRANGE(""17pNv02DXDpQT9S3w4-QeNym2QJy2BzMBqDXp-XtzJBM"", ""'ESC'!BI3:BI139""),MATCH($D77,IMPORTRANGE(""17pNv02DXDpQT9S3w4-QeNym2QJy2BzMBqDXp-XtzJBM"", ""'ESC'!D3:D139""),0))"),26000)</f>
        <v>26000</v>
      </c>
      <c r="AB77" s="12">
        <f ca="1">IFERROR(__xludf.DUMMYFUNCTION("INDEX(IMPORTRANGE(""17pNv02DXDpQT9S3w4-QeNym2QJy2BzMBqDXp-XtzJBM"", ""'ESC'!BJ3:BJ139""),MATCH($D77,IMPORTRANGE(""17pNv02DXDpQT9S3w4-QeNym2QJy2BzMBqDXp-XtzJBM"", ""'ESC'!D3:D139""),0))"),7459.29)</f>
        <v>7459.29</v>
      </c>
      <c r="AC77" s="12">
        <f ca="1">IFERROR(__xludf.DUMMYFUNCTION("INDEX(IMPORTRANGE(""17pNv02DXDpQT9S3w4-QeNym2QJy2BzMBqDXp-XtzJBM"", ""'ESC'!BK3:BK139""),MATCH($D77,IMPORTRANGE(""17pNv02DXDpQT9S3w4-QeNym2QJy2BzMBqDXp-XtzJBM"", ""'ESC'!D3:D139""),0))"),23969.29)</f>
        <v>23969.29</v>
      </c>
      <c r="AD77" s="12">
        <f ca="1">IFERROR(__xludf.DUMMYFUNCTION("INDEX(IMPORTRANGE(""17pNv02DXDpQT9S3w4-QeNym2QJy2BzMBqDXp-XtzJBM"", ""'ESC'!BL3:BL139""),MATCH($D77,IMPORTRANGE(""17pNv02DXDpQT9S3w4-QeNym2QJy2BzMBqDXp-XtzJBM"", ""'ESC'!D3:D139""),0))"),1968.61)</f>
        <v>1968.61</v>
      </c>
      <c r="AE77" s="12">
        <f ca="1">IFERROR(__xludf.DUMMYFUNCTION("INDEX(IMPORTRANGE(""17pNv02DXDpQT9S3w4-QeNym2QJy2BzMBqDXp-XtzJBM"", ""'ESC'!BM3:BM139""),MATCH($D77,IMPORTRANGE(""17pNv02DXDpQT9S3w4-QeNym2QJy2BzMBqDXp-XtzJBM"", ""'ESC'!D3:D139""),0))"),7471.61)</f>
        <v>7471.61</v>
      </c>
      <c r="AF77" s="1"/>
    </row>
    <row r="78" spans="1:32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7" t="s">
        <v>366</v>
      </c>
      <c r="P78" s="1" t="s">
        <v>218</v>
      </c>
      <c r="Q78" s="50">
        <v>67162250.939999998</v>
      </c>
      <c r="R78" s="50">
        <v>67162250.939999998</v>
      </c>
      <c r="S78" s="50">
        <f ca="1">IFERROR(__xludf.DUMMYFUNCTION("INDEX(IMPORTRANGE(""17pNv02DXDpQT9S3w4-QeNym2QJy2BzMBqDXp-XtzJBM"", ""'ESC'!BG3:BG139""),MATCH($D78,IMPORTRANGE(""17pNv02DXDpQT9S3w4-QeNym2QJy2BzMBqDXp-XtzJBM"", ""'ESC'!D3:D139""),0))"),67162250.94)</f>
        <v>67162250.939999998</v>
      </c>
      <c r="T78" s="4"/>
      <c r="U78" s="4"/>
      <c r="V78" s="4"/>
      <c r="W78" s="4"/>
      <c r="X78" s="4"/>
      <c r="Y78" s="4"/>
      <c r="Z78" s="50">
        <f ca="1">IFERROR(__xludf.DUMMYFUNCTION("INDEX(IMPORTRANGE(""17pNv02DXDpQT9S3w4-QeNym2QJy2BzMBqDXp-XtzJBM"", ""'ESC'!BH3:BH139""),MATCH($D78,IMPORTRANGE(""17pNv02DXDpQT9S3w4-QeNym2QJy2BzMBqDXp-XtzJBM"", ""'ESC'!D3:D139""),0))"),67162250.94)</f>
        <v>67162250.939999998</v>
      </c>
      <c r="AA78" s="184" t="str">
        <f ca="1">IFERROR(__xludf.DUMMYFUNCTION("INDEX(IMPORTRANGE(""17pNv02DXDpQT9S3w4-QeNym2QJy2BzMBqDXp-XtzJBM"", ""'ESC'!BI3:BI139""),MATCH($D78,IMPORTRANGE(""17pNv02DXDpQT9S3w4-QeNym2QJy2BzMBqDXp-XtzJBM"", ""'ESC'!D3:D139""),0))"),"")</f>
        <v/>
      </c>
      <c r="AB78" s="50">
        <f ca="1">IFERROR(__xludf.DUMMYFUNCTION("INDEX(IMPORTRANGE(""17pNv02DXDpQT9S3w4-QeNym2QJy2BzMBqDXp-XtzJBM"", ""'ESC'!BJ3:BJ139""),MATCH($D78,IMPORTRANGE(""17pNv02DXDpQT9S3w4-QeNym2QJy2BzMBqDXp-XtzJBM"", ""'ESC'!D3:D139""),0))"),132365663.81)</f>
        <v>132365663.81</v>
      </c>
      <c r="AC78" s="184" t="str">
        <f ca="1">IFERROR(__xludf.DUMMYFUNCTION("INDEX(IMPORTRANGE(""17pNv02DXDpQT9S3w4-QeNym2QJy2BzMBqDXp-XtzJBM"", ""'ESC'!BK3:BK139""),MATCH($D78,IMPORTRANGE(""17pNv02DXDpQT9S3w4-QeNym2QJy2BzMBqDXp-XtzJBM"", ""'ESC'!D3:D139""),0))"),"")</f>
        <v/>
      </c>
      <c r="AD78" s="50">
        <f ca="1">IFERROR(__xludf.DUMMYFUNCTION("INDEX(IMPORTRANGE(""17pNv02DXDpQT9S3w4-QeNym2QJy2BzMBqDXp-XtzJBM"", ""'ESC'!BL3:BL139""),MATCH($D78,IMPORTRANGE(""17pNv02DXDpQT9S3w4-QeNym2QJy2BzMBqDXp-XtzJBM"", ""'ESC'!D3:D139""),0))"),111174323.83)</f>
        <v>111174323.83</v>
      </c>
      <c r="AE78" s="50">
        <f ca="1">IFERROR(__xludf.DUMMYFUNCTION("INDEX(IMPORTRANGE(""17pNv02DXDpQT9S3w4-QeNym2QJy2BzMBqDXp-XtzJBM"", ""'ESC'!BM3:BM139""),MATCH($D78,IMPORTRANGE(""17pNv02DXDpQT9S3w4-QeNym2QJy2BzMBqDXp-XtzJBM"", ""'ESC'!D3:D139""),0))"),1)</f>
        <v>1</v>
      </c>
      <c r="AF78" s="1"/>
    </row>
    <row r="79" spans="1:32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7" t="s">
        <v>366</v>
      </c>
      <c r="P79" s="1" t="s">
        <v>218</v>
      </c>
      <c r="Q79" s="50">
        <v>1887769.8</v>
      </c>
      <c r="R79" s="50">
        <v>1887769.8</v>
      </c>
      <c r="S79" s="50">
        <f ca="1">IFERROR(__xludf.DUMMYFUNCTION("INDEX(IMPORTRANGE(""17pNv02DXDpQT9S3w4-QeNym2QJy2BzMBqDXp-XtzJBM"", ""'ESC'!BG3:BG139""),MATCH($D79,IMPORTRANGE(""17pNv02DXDpQT9S3w4-QeNym2QJy2BzMBqDXp-XtzJBM"", ""'ESC'!D3:D139""),0))"),1887769.8)</f>
        <v>1887769.8</v>
      </c>
      <c r="T79" s="4"/>
      <c r="U79" s="4"/>
      <c r="V79" s="4"/>
      <c r="W79" s="4"/>
      <c r="X79" s="4"/>
      <c r="Y79" s="4"/>
      <c r="Z79" s="50">
        <f ca="1">IFERROR(__xludf.DUMMYFUNCTION("INDEX(IMPORTRANGE(""17pNv02DXDpQT9S3w4-QeNym2QJy2BzMBqDXp-XtzJBM"", ""'ESC'!BH3:BH139""),MATCH($D79,IMPORTRANGE(""17pNv02DXDpQT9S3w4-QeNym2QJy2BzMBqDXp-XtzJBM"", ""'ESC'!D3:D139""),0))"),1887769.8)</f>
        <v>1887769.8</v>
      </c>
      <c r="AA79" s="184" t="str">
        <f ca="1">IFERROR(__xludf.DUMMYFUNCTION("INDEX(IMPORTRANGE(""17pNv02DXDpQT9S3w4-QeNym2QJy2BzMBqDXp-XtzJBM"", ""'ESC'!BI3:BI139""),MATCH($D79,IMPORTRANGE(""17pNv02DXDpQT9S3w4-QeNym2QJy2BzMBqDXp-XtzJBM"", ""'ESC'!D3:D139""),0))"),"")</f>
        <v/>
      </c>
      <c r="AB79" s="50">
        <f ca="1">IFERROR(__xludf.DUMMYFUNCTION("INDEX(IMPORTRANGE(""17pNv02DXDpQT9S3w4-QeNym2QJy2BzMBqDXp-XtzJBM"", ""'ESC'!BJ3:BJ139""),MATCH($D79,IMPORTRANGE(""17pNv02DXDpQT9S3w4-QeNym2QJy2BzMBqDXp-XtzJBM"", ""'ESC'!D3:D139""),0))"),14395646.19)</f>
        <v>14395646.189999999</v>
      </c>
      <c r="AC79" s="184" t="str">
        <f ca="1">IFERROR(__xludf.DUMMYFUNCTION("INDEX(IMPORTRANGE(""17pNv02DXDpQT9S3w4-QeNym2QJy2BzMBqDXp-XtzJBM"", ""'ESC'!BK3:BK139""),MATCH($D79,IMPORTRANGE(""17pNv02DXDpQT9S3w4-QeNym2QJy2BzMBqDXp-XtzJBM"", ""'ESC'!D3:D139""),0))"),"")</f>
        <v/>
      </c>
      <c r="AD79" s="50">
        <f ca="1">IFERROR(__xludf.DUMMYFUNCTION("INDEX(IMPORTRANGE(""17pNv02DXDpQT9S3w4-QeNym2QJy2BzMBqDXp-XtzJBM"", ""'ESC'!BL3:BL139""),MATCH($D79,IMPORTRANGE(""17pNv02DXDpQT9S3w4-QeNym2QJy2BzMBqDXp-XtzJBM"", ""'ESC'!D3:D139""),0))"),8745516.35)</f>
        <v>8745516.3499999996</v>
      </c>
      <c r="AE79" s="50">
        <f ca="1">IFERROR(__xludf.DUMMYFUNCTION("INDEX(IMPORTRANGE(""17pNv02DXDpQT9S3w4-QeNym2QJy2BzMBqDXp-XtzJBM"", ""'ESC'!BM3:BM139""),MATCH($D79,IMPORTRANGE(""17pNv02DXDpQT9S3w4-QeNym2QJy2BzMBqDXp-XtzJBM"", ""'ESC'!D3:D139""),0))"),0)</f>
        <v>0</v>
      </c>
      <c r="AF79" s="1"/>
    </row>
    <row r="80" spans="1:32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2" t="s">
        <v>365</v>
      </c>
      <c r="J80" s="7" t="s">
        <v>215</v>
      </c>
      <c r="K80" s="13"/>
      <c r="L80" s="7" t="s">
        <v>216</v>
      </c>
      <c r="M80" s="13"/>
      <c r="N80" s="7" t="s">
        <v>217</v>
      </c>
      <c r="O80" s="7" t="s">
        <v>366</v>
      </c>
      <c r="P80" s="1" t="s">
        <v>218</v>
      </c>
      <c r="Q80" s="15">
        <f t="shared" ref="Q80:R80" si="18">Q79/Q78</f>
        <v>2.8107601719401219E-2</v>
      </c>
      <c r="R80" s="15">
        <f t="shared" si="18"/>
        <v>2.8107601719401219E-2</v>
      </c>
      <c r="S80" s="15">
        <f ca="1">IFERROR(__xludf.DUMMYFUNCTION("INDEX(IMPORTRANGE(""17pNv02DXDpQT9S3w4-QeNym2QJy2BzMBqDXp-XtzJBM"", ""'ESC'!BG3:BG139""),MATCH($D80,IMPORTRANGE(""17pNv02DXDpQT9S3w4-QeNym2QJy2BzMBqDXp-XtzJBM"", ""'ESC'!D3:D139""),0))"),0.0281076017194012)</f>
        <v>2.8107601719401201E-2</v>
      </c>
      <c r="T80" s="2"/>
      <c r="U80" s="26">
        <v>2.5000000000000001E-2</v>
      </c>
      <c r="V80" s="252"/>
      <c r="W80" s="26">
        <v>2.3E-2</v>
      </c>
      <c r="X80" s="26">
        <v>0.02</v>
      </c>
      <c r="Y80" s="14">
        <v>0.02</v>
      </c>
      <c r="Z80" s="15">
        <f ca="1">IFERROR(__xludf.DUMMYFUNCTION("INDEX(IMPORTRANGE(""17pNv02DXDpQT9S3w4-QeNym2QJy2BzMBqDXp-XtzJBM"", ""'ESC'!BH3:BH139""),MATCH($D80,IMPORTRANGE(""17pNv02DXDpQT9S3w4-QeNym2QJy2BzMBqDXp-XtzJBM"", ""'ESC'!D3:D139""),0))"),0.0281076017194012)</f>
        <v>2.8107601719401201E-2</v>
      </c>
      <c r="AA80" s="38" t="str">
        <f ca="1">IFERROR(__xludf.DUMMYFUNCTION("INDEX(IMPORTRANGE(""17pNv02DXDpQT9S3w4-QeNym2QJy2BzMBqDXp-XtzJBM"", ""'ESC'!BI3:BI139""),MATCH($D80,IMPORTRANGE(""17pNv02DXDpQT9S3w4-QeNym2QJy2BzMBqDXp-XtzJBM"", ""'ESC'!D3:D139""),0))"),"")</f>
        <v/>
      </c>
      <c r="AB80" s="15">
        <f ca="1">IFERROR(__xludf.DUMMYFUNCTION("INDEX(IMPORTRANGE(""17pNv02DXDpQT9S3w4-QeNym2QJy2BzMBqDXp-XtzJBM"", ""'ESC'!BJ3:BJ139""),MATCH($D80,IMPORTRANGE(""17pNv02DXDpQT9S3w4-QeNym2QJy2BzMBqDXp-XtzJBM"", ""'ESC'!D3:D139""),0))"),0.108756650143527)</f>
        <v>0.10875665014352701</v>
      </c>
      <c r="AC80" s="38" t="str">
        <f ca="1">IFERROR(__xludf.DUMMYFUNCTION("INDEX(IMPORTRANGE(""17pNv02DXDpQT9S3w4-QeNym2QJy2BzMBqDXp-XtzJBM"", ""'ESC'!BK3:BK139""),MATCH($D80,IMPORTRANGE(""17pNv02DXDpQT9S3w4-QeNym2QJy2BzMBqDXp-XtzJBM"", ""'ESC'!D3:D139""),0))"),"")</f>
        <v/>
      </c>
      <c r="AD80" s="15">
        <f ca="1">IFERROR(__xludf.DUMMYFUNCTION("INDEX(IMPORTRANGE(""17pNv02DXDpQT9S3w4-QeNym2QJy2BzMBqDXp-XtzJBM"", ""'ESC'!BL3:BL139""),MATCH($D80,IMPORTRANGE(""17pNv02DXDpQT9S3w4-QeNym2QJy2BzMBqDXp-XtzJBM"", ""'ESC'!D3:D139""),0))"),0.0786648935537762)</f>
        <v>7.8664893553776205E-2</v>
      </c>
      <c r="AE80" s="26">
        <f ca="1">IFERROR(__xludf.DUMMYFUNCTION("INDEX(IMPORTRANGE(""17pNv02DXDpQT9S3w4-QeNym2QJy2BzMBqDXp-XtzJBM"", ""'ESC'!BM3:BM139""),MATCH($D80,IMPORTRANGE(""17pNv02DXDpQT9S3w4-QeNym2QJy2BzMBqDXp-XtzJBM"", ""'ESC'!D3:D139""),0))"),0)</f>
        <v>0</v>
      </c>
      <c r="AF80" s="1"/>
    </row>
    <row r="81" spans="1:32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0</v>
      </c>
      <c r="R81" s="12">
        <v>0</v>
      </c>
      <c r="S81" s="12">
        <f ca="1">IFERROR(__xludf.DUMMYFUNCTION("INDEX(IMPORTRANGE(""17pNv02DXDpQT9S3w4-QeNym2QJy2BzMBqDXp-XtzJBM"", ""'ESC'!BG3:BG139""),MATCH($D81,IMPORTRANGE(""17pNv02DXDpQT9S3w4-QeNym2QJy2BzMBqDXp-XtzJBM"", ""'ESC'!D3:D139""),0))"),0)</f>
        <v>0</v>
      </c>
      <c r="T81" s="2"/>
      <c r="U81" s="2"/>
      <c r="V81" s="2"/>
      <c r="W81" s="2"/>
      <c r="X81" s="2"/>
      <c r="Y81" s="2"/>
      <c r="Z81" s="12">
        <f ca="1">IFERROR(__xludf.DUMMYFUNCTION("INDEX(IMPORTRANGE(""17pNv02DXDpQT9S3w4-QeNym2QJy2BzMBqDXp-XtzJBM"", ""'ESC'!BH3:BH139""),MATCH($D81,IMPORTRANGE(""17pNv02DXDpQT9S3w4-QeNym2QJy2BzMBqDXp-XtzJBM"", ""'ESC'!D3:D139""),0))"),0)</f>
        <v>0</v>
      </c>
      <c r="AA81" s="12">
        <f ca="1">IFERROR(__xludf.DUMMYFUNCTION("INDEX(IMPORTRANGE(""17pNv02DXDpQT9S3w4-QeNym2QJy2BzMBqDXp-XtzJBM"", ""'ESC'!BI3:BI139""),MATCH($D81,IMPORTRANGE(""17pNv02DXDpQT9S3w4-QeNym2QJy2BzMBqDXp-XtzJBM"", ""'ESC'!D3:D139""),0))"),0)</f>
        <v>0</v>
      </c>
      <c r="AB81" s="12">
        <f ca="1">IFERROR(__xludf.DUMMYFUNCTION("INDEX(IMPORTRANGE(""17pNv02DXDpQT9S3w4-QeNym2QJy2BzMBqDXp-XtzJBM"", ""'ESC'!BJ3:BJ139""),MATCH($D81,IMPORTRANGE(""17pNv02DXDpQT9S3w4-QeNym2QJy2BzMBqDXp-XtzJBM"", ""'ESC'!D3:D139""),0))"),3)</f>
        <v>3</v>
      </c>
      <c r="AC81" s="12">
        <f ca="1">IFERROR(__xludf.DUMMYFUNCTION("INDEX(IMPORTRANGE(""17pNv02DXDpQT9S3w4-QeNym2QJy2BzMBqDXp-XtzJBM"", ""'ESC'!BK3:BK139""),MATCH($D81,IMPORTRANGE(""17pNv02DXDpQT9S3w4-QeNym2QJy2BzMBqDXp-XtzJBM"", ""'ESC'!D3:D139""),0))"),6)</f>
        <v>6</v>
      </c>
      <c r="AD81" s="12">
        <f ca="1">IFERROR(__xludf.DUMMYFUNCTION("INDEX(IMPORTRANGE(""17pNv02DXDpQT9S3w4-QeNym2QJy2BzMBqDXp-XtzJBM"", ""'ESC'!BL3:BL139""),MATCH($D81,IMPORTRANGE(""17pNv02DXDpQT9S3w4-QeNym2QJy2BzMBqDXp-XtzJBM"", ""'ESC'!D3:D139""),0))"),3)</f>
        <v>3</v>
      </c>
      <c r="AE81" s="12">
        <f ca="1">IFERROR(__xludf.DUMMYFUNCTION("INDEX(IMPORTRANGE(""17pNv02DXDpQT9S3w4-QeNym2QJy2BzMBqDXp-XtzJBM"", ""'ESC'!BM3:BM139""),MATCH($D81,IMPORTRANGE(""17pNv02DXDpQT9S3w4-QeNym2QJy2BzMBqDXp-XtzJBM"", ""'ESC'!D3:D139""),0))"),3)</f>
        <v>3</v>
      </c>
      <c r="AF81" s="1"/>
    </row>
    <row r="82" spans="1:32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0</v>
      </c>
      <c r="R82" s="12">
        <v>0</v>
      </c>
      <c r="S82" s="12">
        <f ca="1">IFERROR(__xludf.DUMMYFUNCTION("INDEX(IMPORTRANGE(""17pNv02DXDpQT9S3w4-QeNym2QJy2BzMBqDXp-XtzJBM"", ""'ESC'!BG3:BG139""),MATCH($D82,IMPORTRANGE(""17pNv02DXDpQT9S3w4-QeNym2QJy2BzMBqDXp-XtzJBM"", ""'ESC'!D3:D139""),0))"),0)</f>
        <v>0</v>
      </c>
      <c r="T82" s="2"/>
      <c r="U82" s="2"/>
      <c r="V82" s="2"/>
      <c r="W82" s="2"/>
      <c r="X82" s="2"/>
      <c r="Y82" s="2"/>
      <c r="Z82" s="12">
        <f ca="1">IFERROR(__xludf.DUMMYFUNCTION("INDEX(IMPORTRANGE(""17pNv02DXDpQT9S3w4-QeNym2QJy2BzMBqDXp-XtzJBM"", ""'ESC'!BH3:BH139""),MATCH($D82,IMPORTRANGE(""17pNv02DXDpQT9S3w4-QeNym2QJy2BzMBqDXp-XtzJBM"", ""'ESC'!D3:D139""),0))"),0)</f>
        <v>0</v>
      </c>
      <c r="AA82" s="12">
        <f ca="1">IFERROR(__xludf.DUMMYFUNCTION("INDEX(IMPORTRANGE(""17pNv02DXDpQT9S3w4-QeNym2QJy2BzMBqDXp-XtzJBM"", ""'ESC'!BI3:BI139""),MATCH($D82,IMPORTRANGE(""17pNv02DXDpQT9S3w4-QeNym2QJy2BzMBqDXp-XtzJBM"", ""'ESC'!D3:D139""),0))"),0)</f>
        <v>0</v>
      </c>
      <c r="AB82" s="12">
        <f ca="1">IFERROR(__xludf.DUMMYFUNCTION("INDEX(IMPORTRANGE(""17pNv02DXDpQT9S3w4-QeNym2QJy2BzMBqDXp-XtzJBM"", ""'ESC'!BJ3:BJ139""),MATCH($D82,IMPORTRANGE(""17pNv02DXDpQT9S3w4-QeNym2QJy2BzMBqDXp-XtzJBM"", ""'ESC'!D3:D139""),0))"),0)</f>
        <v>0</v>
      </c>
      <c r="AC82" s="12">
        <f ca="1">IFERROR(__xludf.DUMMYFUNCTION("INDEX(IMPORTRANGE(""17pNv02DXDpQT9S3w4-QeNym2QJy2BzMBqDXp-XtzJBM"", ""'ESC'!BK3:BK139""),MATCH($D82,IMPORTRANGE(""17pNv02DXDpQT9S3w4-QeNym2QJy2BzMBqDXp-XtzJBM"", ""'ESC'!D3:D139""),0))"),0)</f>
        <v>0</v>
      </c>
      <c r="AD82" s="12">
        <f ca="1">IFERROR(__xludf.DUMMYFUNCTION("INDEX(IMPORTRANGE(""17pNv02DXDpQT9S3w4-QeNym2QJy2BzMBqDXp-XtzJBM"", ""'ESC'!BL3:BL139""),MATCH($D82,IMPORTRANGE(""17pNv02DXDpQT9S3w4-QeNym2QJy2BzMBqDXp-XtzJBM"", ""'ESC'!D3:D139""),0))"),0)</f>
        <v>0</v>
      </c>
      <c r="AE82" s="12">
        <f ca="1">IFERROR(__xludf.DUMMYFUNCTION("INDEX(IMPORTRANGE(""17pNv02DXDpQT9S3w4-QeNym2QJy2BzMBqDXp-XtzJBM"", ""'ESC'!BM3:BM139""),MATCH($D82,IMPORTRANGE(""17pNv02DXDpQT9S3w4-QeNym2QJy2BzMBqDXp-XtzJBM"", ""'ESC'!D3:D139""),0))"),0)</f>
        <v>0</v>
      </c>
      <c r="AF82" s="1"/>
    </row>
    <row r="83" spans="1:32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v>0</v>
      </c>
      <c r="R83" s="12">
        <v>0</v>
      </c>
      <c r="S83" s="12">
        <f ca="1">IFERROR(__xludf.DUMMYFUNCTION("INDEX(IMPORTRANGE(""17pNv02DXDpQT9S3w4-QeNym2QJy2BzMBqDXp-XtzJBM"", ""'ESC'!BG3:BG139""),MATCH($D83,IMPORTRANGE(""17pNv02DXDpQT9S3w4-QeNym2QJy2BzMBqDXp-XtzJBM"", ""'ESC'!D3:D139""),0))"),0)</f>
        <v>0</v>
      </c>
      <c r="T83" s="4">
        <v>3</v>
      </c>
      <c r="U83" s="4">
        <v>2</v>
      </c>
      <c r="V83" s="4">
        <v>4</v>
      </c>
      <c r="W83" s="4">
        <v>2</v>
      </c>
      <c r="X83" s="217">
        <f>W83/6*5+W83</f>
        <v>3.6666666666666665</v>
      </c>
      <c r="Y83" s="4">
        <v>11</v>
      </c>
      <c r="Z83" s="12">
        <f ca="1">IFERROR(__xludf.DUMMYFUNCTION("INDEX(IMPORTRANGE(""17pNv02DXDpQT9S3w4-QeNym2QJy2BzMBqDXp-XtzJBM"", ""'ESC'!BH3:BH139""),MATCH($D83,IMPORTRANGE(""17pNv02DXDpQT9S3w4-QeNym2QJy2BzMBqDXp-XtzJBM"", ""'ESC'!D3:D139""),0))"),0)</f>
        <v>0</v>
      </c>
      <c r="AA83" s="12">
        <f ca="1">IFERROR(__xludf.DUMMYFUNCTION("INDEX(IMPORTRANGE(""17pNv02DXDpQT9S3w4-QeNym2QJy2BzMBqDXp-XtzJBM"", ""'ESC'!BI3:BI139""),MATCH($D83,IMPORTRANGE(""17pNv02DXDpQT9S3w4-QeNym2QJy2BzMBqDXp-XtzJBM"", ""'ESC'!D3:D139""),0))"),0)</f>
        <v>0</v>
      </c>
      <c r="AB83" s="12">
        <f ca="1">IFERROR(__xludf.DUMMYFUNCTION("INDEX(IMPORTRANGE(""17pNv02DXDpQT9S3w4-QeNym2QJy2BzMBqDXp-XtzJBM"", ""'ESC'!BJ3:BJ139""),MATCH($D83,IMPORTRANGE(""17pNv02DXDpQT9S3w4-QeNym2QJy2BzMBqDXp-XtzJBM"", ""'ESC'!D3:D139""),0))"),3)</f>
        <v>3</v>
      </c>
      <c r="AC83" s="12">
        <f ca="1">IFERROR(__xludf.DUMMYFUNCTION("INDEX(IMPORTRANGE(""17pNv02DXDpQT9S3w4-QeNym2QJy2BzMBqDXp-XtzJBM"", ""'ESC'!BK3:BK139""),MATCH($D83,IMPORTRANGE(""17pNv02DXDpQT9S3w4-QeNym2QJy2BzMBqDXp-XtzJBM"", ""'ESC'!D3:D139""),0))"),6)</f>
        <v>6</v>
      </c>
      <c r="AD83" s="12">
        <f ca="1">IFERROR(__xludf.DUMMYFUNCTION("INDEX(IMPORTRANGE(""17pNv02DXDpQT9S3w4-QeNym2QJy2BzMBqDXp-XtzJBM"", ""'ESC'!BL3:BL139""),MATCH($D83,IMPORTRANGE(""17pNv02DXDpQT9S3w4-QeNym2QJy2BzMBqDXp-XtzJBM"", ""'ESC'!D3:D139""),0))"),3)</f>
        <v>3</v>
      </c>
      <c r="AE83" s="12">
        <f ca="1">IFERROR(__xludf.DUMMYFUNCTION("INDEX(IMPORTRANGE(""17pNv02DXDpQT9S3w4-QeNym2QJy2BzMBqDXp-XtzJBM"", ""'ESC'!BM3:BM139""),MATCH($D83,IMPORTRANGE(""17pNv02DXDpQT9S3w4-QeNym2QJy2BzMBqDXp-XtzJBM"", ""'ESC'!D3:D139""),0))"),3)</f>
        <v>3</v>
      </c>
      <c r="AF83" s="1"/>
    </row>
    <row r="84" spans="1:32">
      <c r="A84" s="7" t="s">
        <v>199</v>
      </c>
      <c r="B84" s="7" t="s">
        <v>228</v>
      </c>
      <c r="C84" s="1" t="s">
        <v>30</v>
      </c>
      <c r="D84" s="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69</v>
      </c>
      <c r="R84" s="12">
        <v>94</v>
      </c>
      <c r="S84" s="12">
        <f ca="1">IFERROR(__xludf.DUMMYFUNCTION("INDEX(IMPORTRANGE(""17pNv02DXDpQT9S3w4-QeNym2QJy2BzMBqDXp-XtzJBM"", ""'ESC'!BG3:BG139""),MATCH($D84,IMPORTRANGE(""17pNv02DXDpQT9S3w4-QeNym2QJy2BzMBqDXp-XtzJBM"", ""'ESC'!D3:D139""),0))"),86)</f>
        <v>86</v>
      </c>
      <c r="T84" s="4"/>
      <c r="U84" s="4"/>
      <c r="V84" s="4"/>
      <c r="W84" s="4"/>
      <c r="X84" s="4"/>
      <c r="Y84" s="4"/>
      <c r="Z84" s="12">
        <f ca="1">IFERROR(__xludf.DUMMYFUNCTION("INDEX(IMPORTRANGE(""17pNv02DXDpQT9S3w4-QeNym2QJy2BzMBqDXp-XtzJBM"", ""'ESC'!BH3:BH139""),MATCH($D84,IMPORTRANGE(""17pNv02DXDpQT9S3w4-QeNym2QJy2BzMBqDXp-XtzJBM"", ""'ESC'!D3:D139""),0))"),60)</f>
        <v>60</v>
      </c>
      <c r="AA84" s="12">
        <f ca="1">IFERROR(__xludf.DUMMYFUNCTION("INDEX(IMPORTRANGE(""17pNv02DXDpQT9S3w4-QeNym2QJy2BzMBqDXp-XtzJBM"", ""'ESC'!BI3:BI139""),MATCH($D84,IMPORTRANGE(""17pNv02DXDpQT9S3w4-QeNym2QJy2BzMBqDXp-XtzJBM"", ""'ESC'!D3:D139""),0))"),149)</f>
        <v>149</v>
      </c>
      <c r="AB84" s="12">
        <f ca="1">IFERROR(__xludf.DUMMYFUNCTION("INDEX(IMPORTRANGE(""17pNv02DXDpQT9S3w4-QeNym2QJy2BzMBqDXp-XtzJBM"", ""'ESC'!BJ3:BJ139""),MATCH($D84,IMPORTRANGE(""17pNv02DXDpQT9S3w4-QeNym2QJy2BzMBqDXp-XtzJBM"", ""'ESC'!D3:D139""),0))"),66)</f>
        <v>66</v>
      </c>
      <c r="AC84" s="12">
        <f ca="1">IFERROR(__xludf.DUMMYFUNCTION("INDEX(IMPORTRANGE(""17pNv02DXDpQT9S3w4-QeNym2QJy2BzMBqDXp-XtzJBM"", ""'ESC'!BK3:BK139""),MATCH($D84,IMPORTRANGE(""17pNv02DXDpQT9S3w4-QeNym2QJy2BzMBqDXp-XtzJBM"", ""'ESC'!D3:D139""),0))"),124)</f>
        <v>124</v>
      </c>
      <c r="AD84" s="12">
        <f ca="1">IFERROR(__xludf.DUMMYFUNCTION("INDEX(IMPORTRANGE(""17pNv02DXDpQT9S3w4-QeNym2QJy2BzMBqDXp-XtzJBM"", ""'ESC'!BL3:BL139""),MATCH($D84,IMPORTRANGE(""17pNv02DXDpQT9S3w4-QeNym2QJy2BzMBqDXp-XtzJBM"", ""'ESC'!D3:D139""),0))"),69)</f>
        <v>69</v>
      </c>
      <c r="AE84" s="12">
        <f ca="1">IFERROR(__xludf.DUMMYFUNCTION("INDEX(IMPORTRANGE(""17pNv02DXDpQT9S3w4-QeNym2QJy2BzMBqDXp-XtzJBM"", ""'ESC'!BM3:BM139""),MATCH($D84,IMPORTRANGE(""17pNv02DXDpQT9S3w4-QeNym2QJy2BzMBqDXp-XtzJBM"", ""'ESC'!D3:D139""),0))"),124)</f>
        <v>124</v>
      </c>
      <c r="AF84" s="1"/>
    </row>
    <row r="85" spans="1:32">
      <c r="A85" s="7" t="s">
        <v>199</v>
      </c>
      <c r="B85" s="7" t="s">
        <v>228</v>
      </c>
      <c r="C85" s="1" t="s">
        <v>30</v>
      </c>
      <c r="D85" s="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11</v>
      </c>
      <c r="R85" s="12">
        <v>18</v>
      </c>
      <c r="S85" s="12">
        <f ca="1">IFERROR(__xludf.DUMMYFUNCTION("INDEX(IMPORTRANGE(""17pNv02DXDpQT9S3w4-QeNym2QJy2BzMBqDXp-XtzJBM"", ""'ESC'!BG3:BG139""),MATCH($D85,IMPORTRANGE(""17pNv02DXDpQT9S3w4-QeNym2QJy2BzMBqDXp-XtzJBM"", ""'ESC'!D3:D139""),0))"),16)</f>
        <v>16</v>
      </c>
      <c r="T85" s="4"/>
      <c r="U85" s="4"/>
      <c r="V85" s="4"/>
      <c r="W85" s="4"/>
      <c r="X85" s="4"/>
      <c r="Y85" s="4"/>
      <c r="Z85" s="12">
        <f ca="1">IFERROR(__xludf.DUMMYFUNCTION("INDEX(IMPORTRANGE(""17pNv02DXDpQT9S3w4-QeNym2QJy2BzMBqDXp-XtzJBM"", ""'ESC'!BH3:BH139""),MATCH($D85,IMPORTRANGE(""17pNv02DXDpQT9S3w4-QeNym2QJy2BzMBqDXp-XtzJBM"", ""'ESC'!D3:D139""),0))"),11)</f>
        <v>11</v>
      </c>
      <c r="AA85" s="12">
        <f ca="1">IFERROR(__xludf.DUMMYFUNCTION("INDEX(IMPORTRANGE(""17pNv02DXDpQT9S3w4-QeNym2QJy2BzMBqDXp-XtzJBM"", ""'ESC'!BI3:BI139""),MATCH($D85,IMPORTRANGE(""17pNv02DXDpQT9S3w4-QeNym2QJy2BzMBqDXp-XtzJBM"", ""'ESC'!D3:D139""),0))"),33)</f>
        <v>33</v>
      </c>
      <c r="AB85" s="12">
        <f ca="1">IFERROR(__xludf.DUMMYFUNCTION("INDEX(IMPORTRANGE(""17pNv02DXDpQT9S3w4-QeNym2QJy2BzMBqDXp-XtzJBM"", ""'ESC'!BJ3:BJ139""),MATCH($D85,IMPORTRANGE(""17pNv02DXDpQT9S3w4-QeNym2QJy2BzMBqDXp-XtzJBM"", ""'ESC'!D3:D139""),0))"),14)</f>
        <v>14</v>
      </c>
      <c r="AC85" s="12">
        <f ca="1">IFERROR(__xludf.DUMMYFUNCTION("INDEX(IMPORTRANGE(""17pNv02DXDpQT9S3w4-QeNym2QJy2BzMBqDXp-XtzJBM"", ""'ESC'!BK3:BK139""),MATCH($D85,IMPORTRANGE(""17pNv02DXDpQT9S3w4-QeNym2QJy2BzMBqDXp-XtzJBM"", ""'ESC'!D3:D139""),0))"),24)</f>
        <v>24</v>
      </c>
      <c r="AD85" s="12">
        <f ca="1">IFERROR(__xludf.DUMMYFUNCTION("INDEX(IMPORTRANGE(""17pNv02DXDpQT9S3w4-QeNym2QJy2BzMBqDXp-XtzJBM"", ""'ESC'!BL3:BL139""),MATCH($D85,IMPORTRANGE(""17pNv02DXDpQT9S3w4-QeNym2QJy2BzMBqDXp-XtzJBM"", ""'ESC'!D3:D139""),0))"),9)</f>
        <v>9</v>
      </c>
      <c r="AE85" s="12">
        <f ca="1">IFERROR(__xludf.DUMMYFUNCTION("INDEX(IMPORTRANGE(""17pNv02DXDpQT9S3w4-QeNym2QJy2BzMBqDXp-XtzJBM"", ""'ESC'!BM3:BM139""),MATCH($D85,IMPORTRANGE(""17pNv02DXDpQT9S3w4-QeNym2QJy2BzMBqDXp-XtzJBM"", ""'ESC'!D3:D139""),0))"),19)</f>
        <v>19</v>
      </c>
      <c r="AF85" s="1"/>
    </row>
    <row r="86" spans="1:32">
      <c r="A86" s="7" t="s">
        <v>199</v>
      </c>
      <c r="B86" s="7" t="s">
        <v>228</v>
      </c>
      <c r="C86" s="1" t="s">
        <v>30</v>
      </c>
      <c r="D86" s="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1018</v>
      </c>
      <c r="R86" s="12">
        <v>2197</v>
      </c>
      <c r="S86" s="12">
        <f ca="1">IFERROR(__xludf.DUMMYFUNCTION("INDEX(IMPORTRANGE(""17pNv02DXDpQT9S3w4-QeNym2QJy2BzMBqDXp-XtzJBM"", ""'ESC'!BG3:BG139""),MATCH($D86,IMPORTRANGE(""17pNv02DXDpQT9S3w4-QeNym2QJy2BzMBqDXp-XtzJBM"", ""'ESC'!D3:D139""),0))"),2028)</f>
        <v>2028</v>
      </c>
      <c r="T86" s="4"/>
      <c r="U86" s="4"/>
      <c r="V86" s="4"/>
      <c r="W86" s="4"/>
      <c r="X86" s="4"/>
      <c r="Y86" s="4"/>
      <c r="Z86" s="12">
        <f ca="1">IFERROR(__xludf.DUMMYFUNCTION("INDEX(IMPORTRANGE(""17pNv02DXDpQT9S3w4-QeNym2QJy2BzMBqDXp-XtzJBM"", ""'ESC'!BH3:BH139""),MATCH($D86,IMPORTRANGE(""17pNv02DXDpQT9S3w4-QeNym2QJy2BzMBqDXp-XtzJBM"", ""'ESC'!D3:D139""),0))"),1459)</f>
        <v>1459</v>
      </c>
      <c r="AA86" s="12">
        <f ca="1">IFERROR(__xludf.DUMMYFUNCTION("INDEX(IMPORTRANGE(""17pNv02DXDpQT9S3w4-QeNym2QJy2BzMBqDXp-XtzJBM"", ""'ESC'!BI3:BI139""),MATCH($D86,IMPORTRANGE(""17pNv02DXDpQT9S3w4-QeNym2QJy2BzMBqDXp-XtzJBM"", ""'ESC'!D3:D139""),0))"),3886)</f>
        <v>3886</v>
      </c>
      <c r="AB86" s="12">
        <f ca="1">IFERROR(__xludf.DUMMYFUNCTION("INDEX(IMPORTRANGE(""17pNv02DXDpQT9S3w4-QeNym2QJy2BzMBqDXp-XtzJBM"", ""'ESC'!BJ3:BJ139""),MATCH($D86,IMPORTRANGE(""17pNv02DXDpQT9S3w4-QeNym2QJy2BzMBqDXp-XtzJBM"", ""'ESC'!D3:D139""),0))"),2407)</f>
        <v>2407</v>
      </c>
      <c r="AC86" s="12">
        <f ca="1">IFERROR(__xludf.DUMMYFUNCTION("INDEX(IMPORTRANGE(""17pNv02DXDpQT9S3w4-QeNym2QJy2BzMBqDXp-XtzJBM"", ""'ESC'!BK3:BK139""),MATCH($D86,IMPORTRANGE(""17pNv02DXDpQT9S3w4-QeNym2QJy2BzMBqDXp-XtzJBM"", ""'ESC'!D3:D139""),0))"),4290)</f>
        <v>4290</v>
      </c>
      <c r="AD86" s="12">
        <f ca="1">IFERROR(__xludf.DUMMYFUNCTION("INDEX(IMPORTRANGE(""17pNv02DXDpQT9S3w4-QeNym2QJy2BzMBqDXp-XtzJBM"", ""'ESC'!BL3:BL139""),MATCH($D86,IMPORTRANGE(""17pNv02DXDpQT9S3w4-QeNym2QJy2BzMBqDXp-XtzJBM"", ""'ESC'!D3:D139""),0))"),1331)</f>
        <v>1331</v>
      </c>
      <c r="AE86" s="12">
        <f ca="1">IFERROR(__xludf.DUMMYFUNCTION("INDEX(IMPORTRANGE(""17pNv02DXDpQT9S3w4-QeNym2QJy2BzMBqDXp-XtzJBM"", ""'ESC'!BM3:BM139""),MATCH($D86,IMPORTRANGE(""17pNv02DXDpQT9S3w4-QeNym2QJy2BzMBqDXp-XtzJBM"", ""'ESC'!D3:D139""),0))"),1869)</f>
        <v>1869</v>
      </c>
      <c r="AF86" s="1"/>
    </row>
    <row r="87" spans="1:32">
      <c r="A87" s="7" t="s">
        <v>199</v>
      </c>
      <c r="B87" s="7" t="s">
        <v>228</v>
      </c>
      <c r="C87" s="1" t="s">
        <v>30</v>
      </c>
      <c r="D87" s="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58</v>
      </c>
      <c r="R87" s="12">
        <v>97</v>
      </c>
      <c r="S87" s="12">
        <f ca="1">IFERROR(__xludf.DUMMYFUNCTION("INDEX(IMPORTRANGE(""17pNv02DXDpQT9S3w4-QeNym2QJy2BzMBqDXp-XtzJBM"", ""'ESC'!BG3:BG139""),MATCH($D87,IMPORTRANGE(""17pNv02DXDpQT9S3w4-QeNym2QJy2BzMBqDXp-XtzJBM"", ""'ESC'!D3:D139""),0))"),82)</f>
        <v>82</v>
      </c>
      <c r="T87" s="4"/>
      <c r="U87" s="4"/>
      <c r="V87" s="4"/>
      <c r="W87" s="4"/>
      <c r="X87" s="4"/>
      <c r="Y87" s="4"/>
      <c r="Z87" s="12">
        <f ca="1">IFERROR(__xludf.DUMMYFUNCTION("INDEX(IMPORTRANGE(""17pNv02DXDpQT9S3w4-QeNym2QJy2BzMBqDXp-XtzJBM"", ""'ESC'!BH3:BH139""),MATCH($D87,IMPORTRANGE(""17pNv02DXDpQT9S3w4-QeNym2QJy2BzMBqDXp-XtzJBM"", ""'ESC'!D3:D139""),0))"),231)</f>
        <v>231</v>
      </c>
      <c r="AA87" s="12">
        <f ca="1">IFERROR(__xludf.DUMMYFUNCTION("INDEX(IMPORTRANGE(""17pNv02DXDpQT9S3w4-QeNym2QJy2BzMBqDXp-XtzJBM"", ""'ESC'!BI3:BI139""),MATCH($D87,IMPORTRANGE(""17pNv02DXDpQT9S3w4-QeNym2QJy2BzMBqDXp-XtzJBM"", ""'ESC'!D3:D139""),0))"),537)</f>
        <v>537</v>
      </c>
      <c r="AB87" s="12">
        <f ca="1">IFERROR(__xludf.DUMMYFUNCTION("INDEX(IMPORTRANGE(""17pNv02DXDpQT9S3w4-QeNym2QJy2BzMBqDXp-XtzJBM"", ""'ESC'!BJ3:BJ139""),MATCH($D87,IMPORTRANGE(""17pNv02DXDpQT9S3w4-QeNym2QJy2BzMBqDXp-XtzJBM"", ""'ESC'!D3:D139""),0))"),285)</f>
        <v>285</v>
      </c>
      <c r="AC87" s="12">
        <f ca="1">IFERROR(__xludf.DUMMYFUNCTION("INDEX(IMPORTRANGE(""17pNv02DXDpQT9S3w4-QeNym2QJy2BzMBqDXp-XtzJBM"", ""'ESC'!BK3:BK139""),MATCH($D87,IMPORTRANGE(""17pNv02DXDpQT9S3w4-QeNym2QJy2BzMBqDXp-XtzJBM"", ""'ESC'!D3:D139""),0))"),446)</f>
        <v>446</v>
      </c>
      <c r="AD87" s="12">
        <f ca="1">IFERROR(__xludf.DUMMYFUNCTION("INDEX(IMPORTRANGE(""17pNv02DXDpQT9S3w4-QeNym2QJy2BzMBqDXp-XtzJBM"", ""'ESC'!BL3:BL139""),MATCH($D87,IMPORTRANGE(""17pNv02DXDpQT9S3w4-QeNym2QJy2BzMBqDXp-XtzJBM"", ""'ESC'!D3:D139""),0))"),198)</f>
        <v>198</v>
      </c>
      <c r="AE87" s="12">
        <f ca="1">IFERROR(__xludf.DUMMYFUNCTION("INDEX(IMPORTRANGE(""17pNv02DXDpQT9S3w4-QeNym2QJy2BzMBqDXp-XtzJBM"", ""'ESC'!BM3:BM139""),MATCH($D87,IMPORTRANGE(""17pNv02DXDpQT9S3w4-QeNym2QJy2BzMBqDXp-XtzJBM"", ""'ESC'!D3:D139""),0))"),367)</f>
        <v>367</v>
      </c>
      <c r="AF87" s="1"/>
    </row>
    <row r="88" spans="1:32">
      <c r="A88" s="7" t="s">
        <v>199</v>
      </c>
      <c r="B88" s="7" t="s">
        <v>228</v>
      </c>
      <c r="C88" s="1" t="s">
        <v>30</v>
      </c>
      <c r="D88" s="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547</v>
      </c>
      <c r="R88" s="12">
        <v>759</v>
      </c>
      <c r="S88" s="12">
        <f ca="1">IFERROR(__xludf.DUMMYFUNCTION("INDEX(IMPORTRANGE(""17pNv02DXDpQT9S3w4-QeNym2QJy2BzMBqDXp-XtzJBM"", ""'ESC'!BG3:BG139""),MATCH($D88,IMPORTRANGE(""17pNv02DXDpQT9S3w4-QeNym2QJy2BzMBqDXp-XtzJBM"", ""'ESC'!D3:D139""),0))"),719)</f>
        <v>719</v>
      </c>
      <c r="T88" s="4"/>
      <c r="U88" s="4"/>
      <c r="V88" s="4"/>
      <c r="W88" s="4"/>
      <c r="X88" s="4"/>
      <c r="Y88" s="4"/>
      <c r="Z88" s="12">
        <f ca="1">IFERROR(__xludf.DUMMYFUNCTION("INDEX(IMPORTRANGE(""17pNv02DXDpQT9S3w4-QeNym2QJy2BzMBqDXp-XtzJBM"", ""'ESC'!BH3:BH139""),MATCH($D88,IMPORTRANGE(""17pNv02DXDpQT9S3w4-QeNym2QJy2BzMBqDXp-XtzJBM"", ""'ESC'!D3:D139""),0))"),171)</f>
        <v>171</v>
      </c>
      <c r="AA88" s="12">
        <f ca="1">IFERROR(__xludf.DUMMYFUNCTION("INDEX(IMPORTRANGE(""17pNv02DXDpQT9S3w4-QeNym2QJy2BzMBqDXp-XtzJBM"", ""'ESC'!BI3:BI139""),MATCH($D88,IMPORTRANGE(""17pNv02DXDpQT9S3w4-QeNym2QJy2BzMBqDXp-XtzJBM"", ""'ESC'!D3:D139""),0))"),171)</f>
        <v>171</v>
      </c>
      <c r="AB88" s="12">
        <f ca="1">IFERROR(__xludf.DUMMYFUNCTION("INDEX(IMPORTRANGE(""17pNv02DXDpQT9S3w4-QeNym2QJy2BzMBqDXp-XtzJBM"", ""'ESC'!BJ3:BJ139""),MATCH($D88,IMPORTRANGE(""17pNv02DXDpQT9S3w4-QeNym2QJy2BzMBqDXp-XtzJBM"", ""'ESC'!D3:D139""),0))"),153)</f>
        <v>153</v>
      </c>
      <c r="AC88" s="12">
        <f ca="1">IFERROR(__xludf.DUMMYFUNCTION("INDEX(IMPORTRANGE(""17pNv02DXDpQT9S3w4-QeNym2QJy2BzMBqDXp-XtzJBM"", ""'ESC'!BK3:BK139""),MATCH($D88,IMPORTRANGE(""17pNv02DXDpQT9S3w4-QeNym2QJy2BzMBqDXp-XtzJBM"", ""'ESC'!D3:D139""),0))"),311)</f>
        <v>311</v>
      </c>
      <c r="AD88" s="12">
        <f ca="1">IFERROR(__xludf.DUMMYFUNCTION("INDEX(IMPORTRANGE(""17pNv02DXDpQT9S3w4-QeNym2QJy2BzMBqDXp-XtzJBM"", ""'ESC'!BL3:BL139""),MATCH($D88,IMPORTRANGE(""17pNv02DXDpQT9S3w4-QeNym2QJy2BzMBqDXp-XtzJBM"", ""'ESC'!D3:D139""),0))"),333)</f>
        <v>333</v>
      </c>
      <c r="AE88" s="12">
        <f ca="1">IFERROR(__xludf.DUMMYFUNCTION("INDEX(IMPORTRANGE(""17pNv02DXDpQT9S3w4-QeNym2QJy2BzMBqDXp-XtzJBM"", ""'ESC'!BM3:BM139""),MATCH($D88,IMPORTRANGE(""17pNv02DXDpQT9S3w4-QeNym2QJy2BzMBqDXp-XtzJBM"", ""'ESC'!D3:D139""),0))"),973)</f>
        <v>973</v>
      </c>
      <c r="AF88" s="1"/>
    </row>
    <row r="89" spans="1:32">
      <c r="A89" s="7" t="s">
        <v>199</v>
      </c>
      <c r="B89" s="7" t="s">
        <v>228</v>
      </c>
      <c r="C89" s="1" t="s">
        <v>36</v>
      </c>
      <c r="D89" s="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 t="shared" ref="Q89:R89" si="19">SUM(Q84:Q88)</f>
        <v>1703</v>
      </c>
      <c r="R89" s="12">
        <f t="shared" si="19"/>
        <v>3165</v>
      </c>
      <c r="S89" s="12">
        <f ca="1">IFERROR(__xludf.DUMMYFUNCTION("INDEX(IMPORTRANGE(""17pNv02DXDpQT9S3w4-QeNym2QJy2BzMBqDXp-XtzJBM"", ""'ESC'!BG3:BG139""),MATCH($D89,IMPORTRANGE(""17pNv02DXDpQT9S3w4-QeNym2QJy2BzMBqDXp-XtzJBM"", ""'ESC'!D3:D139""),0))"),2931)</f>
        <v>2931</v>
      </c>
      <c r="T89" s="2">
        <v>3154</v>
      </c>
      <c r="U89" s="2">
        <v>1692</v>
      </c>
      <c r="V89" s="2">
        <v>3144</v>
      </c>
      <c r="W89" s="2">
        <v>1686</v>
      </c>
      <c r="X89" s="24">
        <f ca="1">+S89*(1+((Y89-R89)/R89))</f>
        <v>2901.3658767772513</v>
      </c>
      <c r="Y89" s="2">
        <v>3133</v>
      </c>
      <c r="Z89" s="12">
        <f ca="1">IFERROR(__xludf.DUMMYFUNCTION("INDEX(IMPORTRANGE(""17pNv02DXDpQT9S3w4-QeNym2QJy2BzMBqDXp-XtzJBM"", ""'ESC'!BH3:BH139""),MATCH($D89,IMPORTRANGE(""17pNv02DXDpQT9S3w4-QeNym2QJy2BzMBqDXp-XtzJBM"", ""'ESC'!D3:D139""),0))"),1932)</f>
        <v>1932</v>
      </c>
      <c r="AA89" s="12">
        <f ca="1">IFERROR(__xludf.DUMMYFUNCTION("INDEX(IMPORTRANGE(""17pNv02DXDpQT9S3w4-QeNym2QJy2BzMBqDXp-XtzJBM"", ""'ESC'!BI3:BI139""),MATCH($D89,IMPORTRANGE(""17pNv02DXDpQT9S3w4-QeNym2QJy2BzMBqDXp-XtzJBM"", ""'ESC'!D3:D139""),0))"),4776)</f>
        <v>4776</v>
      </c>
      <c r="AB89" s="12">
        <f ca="1">IFERROR(__xludf.DUMMYFUNCTION("INDEX(IMPORTRANGE(""17pNv02DXDpQT9S3w4-QeNym2QJy2BzMBqDXp-XtzJBM"", ""'ESC'!BJ3:BJ139""),MATCH($D89,IMPORTRANGE(""17pNv02DXDpQT9S3w4-QeNym2QJy2BzMBqDXp-XtzJBM"", ""'ESC'!D3:D139""),0))"),2925)</f>
        <v>2925</v>
      </c>
      <c r="AC89" s="12">
        <f ca="1">IFERROR(__xludf.DUMMYFUNCTION("INDEX(IMPORTRANGE(""17pNv02DXDpQT9S3w4-QeNym2QJy2BzMBqDXp-XtzJBM"", ""'ESC'!BK3:BK139""),MATCH($D89,IMPORTRANGE(""17pNv02DXDpQT9S3w4-QeNym2QJy2BzMBqDXp-XtzJBM"", ""'ESC'!D3:D139""),0))"),5195)</f>
        <v>5195</v>
      </c>
      <c r="AD89" s="12">
        <f ca="1">IFERROR(__xludf.DUMMYFUNCTION("INDEX(IMPORTRANGE(""17pNv02DXDpQT9S3w4-QeNym2QJy2BzMBqDXp-XtzJBM"", ""'ESC'!BL3:BL139""),MATCH($D89,IMPORTRANGE(""17pNv02DXDpQT9S3w4-QeNym2QJy2BzMBqDXp-XtzJBM"", ""'ESC'!D3:D139""),0))"),1940)</f>
        <v>1940</v>
      </c>
      <c r="AE89" s="12">
        <f ca="1">IFERROR(__xludf.DUMMYFUNCTION("INDEX(IMPORTRANGE(""17pNv02DXDpQT9S3w4-QeNym2QJy2BzMBqDXp-XtzJBM"", ""'ESC'!BM3:BM139""),MATCH($D89,IMPORTRANGE(""17pNv02DXDpQT9S3w4-QeNym2QJy2BzMBqDXp-XtzJBM"", ""'ESC'!D3:D139""),0))"),3352)</f>
        <v>3352</v>
      </c>
      <c r="AF89" s="1"/>
    </row>
    <row r="90" spans="1:32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2">
        <v>0</v>
      </c>
      <c r="R90" s="2">
        <v>0</v>
      </c>
      <c r="S90" s="2">
        <f ca="1">IFERROR(__xludf.DUMMYFUNCTION("INDEX(IMPORTRANGE(""17pNv02DXDpQT9S3w4-QeNym2QJy2BzMBqDXp-XtzJBM"", ""'ESC'!BG3:BG139""),MATCH($D90,IMPORTRANGE(""17pNv02DXDpQT9S3w4-QeNym2QJy2BzMBqDXp-XtzJBM"", ""'ESC'!D3:D139""),0))"),0)</f>
        <v>0</v>
      </c>
      <c r="T90" s="2">
        <v>1</v>
      </c>
      <c r="U90" s="2">
        <v>2</v>
      </c>
      <c r="V90" s="2">
        <v>2</v>
      </c>
      <c r="W90" s="2">
        <v>3</v>
      </c>
      <c r="X90" s="2">
        <v>3</v>
      </c>
      <c r="Y90" s="2">
        <v>3</v>
      </c>
      <c r="Z90" s="2">
        <f ca="1">IFERROR(__xludf.DUMMYFUNCTION("INDEX(IMPORTRANGE(""17pNv02DXDpQT9S3w4-QeNym2QJy2BzMBqDXp-XtzJBM"", ""'ESC'!BH3:BH139""),MATCH($D90,IMPORTRANGE(""17pNv02DXDpQT9S3w4-QeNym2QJy2BzMBqDXp-XtzJBM"", ""'ESC'!D3:D139""),0))"),0)</f>
        <v>0</v>
      </c>
      <c r="AA90" s="2">
        <f ca="1">IFERROR(__xludf.DUMMYFUNCTION("INDEX(IMPORTRANGE(""17pNv02DXDpQT9S3w4-QeNym2QJy2BzMBqDXp-XtzJBM"", ""'ESC'!BI3:BI139""),MATCH($D90,IMPORTRANGE(""17pNv02DXDpQT9S3w4-QeNym2QJy2BzMBqDXp-XtzJBM"", ""'ESC'!D3:D139""),0))"),0)</f>
        <v>0</v>
      </c>
      <c r="AB90" s="2">
        <f ca="1">IFERROR(__xludf.DUMMYFUNCTION("INDEX(IMPORTRANGE(""17pNv02DXDpQT9S3w4-QeNym2QJy2BzMBqDXp-XtzJBM"", ""'ESC'!BJ3:BJ139""),MATCH($D90,IMPORTRANGE(""17pNv02DXDpQT9S3w4-QeNym2QJy2BzMBqDXp-XtzJBM"", ""'ESC'!D3:D139""),0))"),89)</f>
        <v>89</v>
      </c>
      <c r="AC90" s="2">
        <f ca="1">IFERROR(__xludf.DUMMYFUNCTION("INDEX(IMPORTRANGE(""17pNv02DXDpQT9S3w4-QeNym2QJy2BzMBqDXp-XtzJBM"", ""'ESC'!BK3:BK139""),MATCH($D90,IMPORTRANGE(""17pNv02DXDpQT9S3w4-QeNym2QJy2BzMBqDXp-XtzJBM"", ""'ESC'!D3:D139""),0))"),183)</f>
        <v>183</v>
      </c>
      <c r="AD90" s="2">
        <f ca="1">IFERROR(__xludf.DUMMYFUNCTION("INDEX(IMPORTRANGE(""17pNv02DXDpQT9S3w4-QeNym2QJy2BzMBqDXp-XtzJBM"", ""'ESC'!BL3:BL139""),MATCH($D90,IMPORTRANGE(""17pNv02DXDpQT9S3w4-QeNym2QJy2BzMBqDXp-XtzJBM"", ""'ESC'!D3:D139""),0))"),89)</f>
        <v>89</v>
      </c>
      <c r="AE90" s="2">
        <f ca="1">IFERROR(__xludf.DUMMYFUNCTION("INDEX(IMPORTRANGE(""17pNv02DXDpQT9S3w4-QeNym2QJy2BzMBqDXp-XtzJBM"", ""'ESC'!BM3:BM139""),MATCH($D90,IMPORTRANGE(""17pNv02DXDpQT9S3w4-QeNym2QJy2BzMBqDXp-XtzJBM"", ""'ESC'!D3:D139""),0))"),137)</f>
        <v>137</v>
      </c>
      <c r="AF90" s="1"/>
    </row>
    <row r="91" spans="1:32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1" t="s">
        <v>361</v>
      </c>
      <c r="P91" s="11">
        <v>45565</v>
      </c>
      <c r="Q91" s="29">
        <v>1</v>
      </c>
      <c r="R91" s="29">
        <v>1</v>
      </c>
      <c r="S91" s="29">
        <f ca="1">IFERROR(__xludf.DUMMYFUNCTION("INDEX(IMPORTRANGE(""17pNv02DXDpQT9S3w4-QeNym2QJy2BzMBqDXp-XtzJBM"", ""'ESC'!BG3:BG139""),MATCH($D91,IMPORTRANGE(""17pNv02DXDpQT9S3w4-QeNym2QJy2BzMBqDXp-XtzJBM"", ""'ESC'!D3:D139""),0))"),1)</f>
        <v>1</v>
      </c>
      <c r="T91" s="2">
        <v>4</v>
      </c>
      <c r="U91" s="2">
        <v>6</v>
      </c>
      <c r="V91" s="2">
        <v>8</v>
      </c>
      <c r="W91" s="2">
        <v>11</v>
      </c>
      <c r="X91" s="29">
        <f>(Y91-W91)/6*5+W91</f>
        <v>12.666666666666666</v>
      </c>
      <c r="Y91" s="2">
        <v>13</v>
      </c>
      <c r="Z91" s="2">
        <f ca="1">IFERROR(__xludf.DUMMYFUNCTION("INDEX(IMPORTRANGE(""17pNv02DXDpQT9S3w4-QeNym2QJy2BzMBqDXp-XtzJBM"", ""'ESC'!BH3:BH139""),MATCH($D91,IMPORTRANGE(""17pNv02DXDpQT9S3w4-QeNym2QJy2BzMBqDXp-XtzJBM"", ""'ESC'!D3:D139""),0))"),1)</f>
        <v>1</v>
      </c>
      <c r="AA91" s="2">
        <f ca="1">IFERROR(__xludf.DUMMYFUNCTION("INDEX(IMPORTRANGE(""17pNv02DXDpQT9S3w4-QeNym2QJy2BzMBqDXp-XtzJBM"", ""'ESC'!BI3:BI139""),MATCH($D91,IMPORTRANGE(""17pNv02DXDpQT9S3w4-QeNym2QJy2BzMBqDXp-XtzJBM"", ""'ESC'!D3:D139""),0))"),0)</f>
        <v>0</v>
      </c>
      <c r="AB91" s="2">
        <f ca="1">IFERROR(__xludf.DUMMYFUNCTION("INDEX(IMPORTRANGE(""17pNv02DXDpQT9S3w4-QeNym2QJy2BzMBqDXp-XtzJBM"", ""'ESC'!BJ3:BJ139""),MATCH($D91,IMPORTRANGE(""17pNv02DXDpQT9S3w4-QeNym2QJy2BzMBqDXp-XtzJBM"", ""'ESC'!D3:D139""),0))"),24)</f>
        <v>24</v>
      </c>
      <c r="AC91" s="2">
        <f ca="1">IFERROR(__xludf.DUMMYFUNCTION("INDEX(IMPORTRANGE(""17pNv02DXDpQT9S3w4-QeNym2QJy2BzMBqDXp-XtzJBM"", ""'ESC'!BK3:BK139""),MATCH($D91,IMPORTRANGE(""17pNv02DXDpQT9S3w4-QeNym2QJy2BzMBqDXp-XtzJBM"", ""'ESC'!D3:D139""),0))"),36)</f>
        <v>36</v>
      </c>
      <c r="AD91" s="2">
        <f ca="1">IFERROR(__xludf.DUMMYFUNCTION("INDEX(IMPORTRANGE(""17pNv02DXDpQT9S3w4-QeNym2QJy2BzMBqDXp-XtzJBM"", ""'ESC'!BL3:BL139""),MATCH($D91,IMPORTRANGE(""17pNv02DXDpQT9S3w4-QeNym2QJy2BzMBqDXp-XtzJBM"", ""'ESC'!D3:D139""),0))"),36)</f>
        <v>36</v>
      </c>
      <c r="AE91" s="2">
        <f ca="1">IFERROR(__xludf.DUMMYFUNCTION("INDEX(IMPORTRANGE(""17pNv02DXDpQT9S3w4-QeNym2QJy2BzMBqDXp-XtzJBM"", ""'ESC'!BM3:BM139""),MATCH($D91,IMPORTRANGE(""17pNv02DXDpQT9S3w4-QeNym2QJy2BzMBqDXp-XtzJBM"", ""'ESC'!D3:D139""),0))"),36)</f>
        <v>36</v>
      </c>
      <c r="AF91" s="1"/>
    </row>
    <row r="92" spans="1:32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12">
        <v>100</v>
      </c>
      <c r="R92" s="12">
        <v>100</v>
      </c>
      <c r="S92" s="12">
        <f ca="1">IFERROR(__xludf.DUMMYFUNCTION("INDEX(IMPORTRANGE(""17pNv02DXDpQT9S3w4-QeNym2QJy2BzMBqDXp-XtzJBM"", ""'ESC'!BG3:BG139""),MATCH($D92,IMPORTRANGE(""17pNv02DXDpQT9S3w4-QeNym2QJy2BzMBqDXp-XtzJBM"", ""'ESC'!D3:D139""),0))"),100)</f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4">
        <f ca="1">IFERROR(__xludf.DUMMYFUNCTION("INDEX(IMPORTRANGE(""17pNv02DXDpQT9S3w4-QeNym2QJy2BzMBqDXp-XtzJBM"", ""'ESC'!BH3:BH139""),MATCH($D92,IMPORTRANGE(""17pNv02DXDpQT9S3w4-QeNym2QJy2BzMBqDXp-XtzJBM"", ""'ESC'!D3:D139""),0))"),100)</f>
        <v>100</v>
      </c>
      <c r="AA92" s="24">
        <f ca="1">IFERROR(__xludf.DUMMYFUNCTION("INDEX(IMPORTRANGE(""17pNv02DXDpQT9S3w4-QeNym2QJy2BzMBqDXp-XtzJBM"", ""'ESC'!BI3:BI139""),MATCH($D92,IMPORTRANGE(""17pNv02DXDpQT9S3w4-QeNym2QJy2BzMBqDXp-XtzJBM"", ""'ESC'!D3:D139""),0))"),96.43)</f>
        <v>96.43</v>
      </c>
      <c r="AB92" s="24">
        <f ca="1">IFERROR(__xludf.DUMMYFUNCTION("INDEX(IMPORTRANGE(""17pNv02DXDpQT9S3w4-QeNym2QJy2BzMBqDXp-XtzJBM"", ""'ESC'!BJ3:BJ139""),MATCH($D92,IMPORTRANGE(""17pNv02DXDpQT9S3w4-QeNym2QJy2BzMBqDXp-XtzJBM"", ""'ESC'!D3:D139""),0))"),96.29)</f>
        <v>96.29</v>
      </c>
      <c r="AC92" s="24">
        <f ca="1">IFERROR(__xludf.DUMMYFUNCTION("INDEX(IMPORTRANGE(""17pNv02DXDpQT9S3w4-QeNym2QJy2BzMBqDXp-XtzJBM"", ""'ESC'!BK3:BK139""),MATCH($D92,IMPORTRANGE(""17pNv02DXDpQT9S3w4-QeNym2QJy2BzMBqDXp-XtzJBM"", ""'ESC'!D3:D139""),0))"),98.03)</f>
        <v>98.03</v>
      </c>
      <c r="AD92" s="24">
        <f ca="1">IFERROR(__xludf.DUMMYFUNCTION("INDEX(IMPORTRANGE(""17pNv02DXDpQT9S3w4-QeNym2QJy2BzMBqDXp-XtzJBM"", ""'ESC'!BL3:BL139""),MATCH($D92,IMPORTRANGE(""17pNv02DXDpQT9S3w4-QeNym2QJy2BzMBqDXp-XtzJBM"", ""'ESC'!D3:D139""),0))"),96.97)</f>
        <v>96.97</v>
      </c>
      <c r="AE92" s="24">
        <f ca="1">IFERROR(__xludf.DUMMYFUNCTION("INDEX(IMPORTRANGE(""17pNv02DXDpQT9S3w4-QeNym2QJy2BzMBqDXp-XtzJBM"", ""'ESC'!BM3:BM139""),MATCH($D92,IMPORTRANGE(""17pNv02DXDpQT9S3w4-QeNym2QJy2BzMBqDXp-XtzJBM"", ""'ESC'!D3:D139""),0))"),96.97)</f>
        <v>96.97</v>
      </c>
      <c r="AF92" s="1"/>
    </row>
    <row r="93" spans="1:32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8">
        <v>0</v>
      </c>
      <c r="R93" s="18">
        <v>0</v>
      </c>
      <c r="S93" s="2">
        <f ca="1">IFERROR(__xludf.DUMMYFUNCTION("INDEX(IMPORTRANGE(""17pNv02DXDpQT9S3w4-QeNym2QJy2BzMBqDXp-XtzJBM"", ""'ESC'!BG3:BG139""),MATCH($D93,IMPORTRANGE(""17pNv02DXDpQT9S3w4-QeNym2QJy2BzMBqDXp-XtzJBM"", ""'ESC'!D3:D139""),0))"),0)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23">
        <f ca="1">IFERROR(__xludf.DUMMYFUNCTION("INDEX(IMPORTRANGE(""17pNv02DXDpQT9S3w4-QeNym2QJy2BzMBqDXp-XtzJBM"", ""'ESC'!BH3:BH139""),MATCH($D93,IMPORTRANGE(""17pNv02DXDpQT9S3w4-QeNym2QJy2BzMBqDXp-XtzJBM"", ""'ESC'!D3:D139""),0))"),0)</f>
        <v>0</v>
      </c>
      <c r="AA93" s="23">
        <f ca="1">IFERROR(__xludf.DUMMYFUNCTION("INDEX(IMPORTRANGE(""17pNv02DXDpQT9S3w4-QeNym2QJy2BzMBqDXp-XtzJBM"", ""'ESC'!BI3:BI139""),MATCH($D93,IMPORTRANGE(""17pNv02DXDpQT9S3w4-QeNym2QJy2BzMBqDXp-XtzJBM"", ""'ESC'!D3:D139""),0))"),0)</f>
        <v>0</v>
      </c>
      <c r="AB93" s="23">
        <f ca="1">IFERROR(__xludf.DUMMYFUNCTION("INDEX(IMPORTRANGE(""17pNv02DXDpQT9S3w4-QeNym2QJy2BzMBqDXp-XtzJBM"", ""'ESC'!BJ3:BJ139""),MATCH($D93,IMPORTRANGE(""17pNv02DXDpQT9S3w4-QeNym2QJy2BzMBqDXp-XtzJBM"", ""'ESC'!D3:D139""),0))"),3.710407239819)</f>
        <v>3.7104072398189998</v>
      </c>
      <c r="AC93" s="23">
        <f ca="1">IFERROR(__xludf.DUMMYFUNCTION("INDEX(IMPORTRANGE(""17pNv02DXDpQT9S3w4-QeNym2QJy2BzMBqDXp-XtzJBM"", ""'ESC'!BK3:BK139""),MATCH($D93,IMPORTRANGE(""17pNv02DXDpQT9S3w4-QeNym2QJy2BzMBqDXp-XtzJBM"", ""'ESC'!D3:D139""),0))"),2.9132044426162)</f>
        <v>2.9132044426162</v>
      </c>
      <c r="AD93" s="23">
        <f ca="1">IFERROR(__xludf.DUMMYFUNCTION("INDEX(IMPORTRANGE(""17pNv02DXDpQT9S3w4-QeNym2QJy2BzMBqDXp-XtzJBM"", ""'ESC'!BL3:BL139""),MATCH($D93,IMPORTRANGE(""17pNv02DXDpQT9S3w4-QeNym2QJy2BzMBqDXp-XtzJBM"", ""'ESC'!D3:D139""),0))"),3.27972027972028)</f>
        <v>3.27972027972028</v>
      </c>
      <c r="AE93" s="23">
        <f ca="1">IFERROR(__xludf.DUMMYFUNCTION("INDEX(IMPORTRANGE(""17pNv02DXDpQT9S3w4-QeNym2QJy2BzMBqDXp-XtzJBM"", ""'ESC'!BM3:BM139""),MATCH($D93,IMPORTRANGE(""17pNv02DXDpQT9S3w4-QeNym2QJy2BzMBqDXp-XtzJBM"", ""'ESC'!D3:D139""),0))"),3.51048951048951)</f>
        <v>3.51048951048951</v>
      </c>
      <c r="AF93" s="1"/>
    </row>
    <row r="94" spans="1:32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287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11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""'ESC'!BG3:BG139""),MATCH($D94,IMPORTRANGE(""17pNv02DXDpQT9S3w4-QeNym2QJy2BzMBqDXp-XtzJBM"", ""'ESC'!D3:D139""),0))"),"")</f>
        <v/>
      </c>
      <c r="T94" s="4"/>
      <c r="U94" s="4"/>
      <c r="V94" s="4"/>
      <c r="W94" s="4"/>
      <c r="X94" s="4"/>
      <c r="Y94" s="4"/>
      <c r="Z94" s="2">
        <f ca="1">IFERROR(__xludf.DUMMYFUNCTION("INDEX(IMPORTRANGE(""17pNv02DXDpQT9S3w4-QeNym2QJy2BzMBqDXp-XtzJBM"", ""'ESC'!BH3:BH139""),MATCH($D94,IMPORTRANGE(""17pNv02DXDpQT9S3w4-QeNym2QJy2BzMBqDXp-XtzJBM"", ""'ESC'!D3:D139""),0))"),3)</f>
        <v>3</v>
      </c>
      <c r="AA94" s="2">
        <f ca="1">IFERROR(__xludf.DUMMYFUNCTION("INDEX(IMPORTRANGE(""17pNv02DXDpQT9S3w4-QeNym2QJy2BzMBqDXp-XtzJBM"", ""'ESC'!BI3:BI139""),MATCH($D94,IMPORTRANGE(""17pNv02DXDpQT9S3w4-QeNym2QJy2BzMBqDXp-XtzJBM"", ""'ESC'!D3:D139""),0))"),3)</f>
        <v>3</v>
      </c>
      <c r="AB94" s="2">
        <f ca="1">IFERROR(__xludf.DUMMYFUNCTION("INDEX(IMPORTRANGE(""17pNv02DXDpQT9S3w4-QeNym2QJy2BzMBqDXp-XtzJBM"", ""'ESC'!BJ3:BJ139""),MATCH($D94,IMPORTRANGE(""17pNv02DXDpQT9S3w4-QeNym2QJy2BzMBqDXp-XtzJBM"", ""'ESC'!D3:D139""),0))"),2)</f>
        <v>2</v>
      </c>
      <c r="AC94" s="2" t="str">
        <f ca="1">IFERROR(__xludf.DUMMYFUNCTION("INDEX(IMPORTRANGE(""17pNv02DXDpQT9S3w4-QeNym2QJy2BzMBqDXp-XtzJBM"", ""'ESC'!BK3:BK139""),MATCH($D94,IMPORTRANGE(""17pNv02DXDpQT9S3w4-QeNym2QJy2BzMBqDXp-XtzJBM"", ""'ESC'!D3:D139""),0))"),"")</f>
        <v/>
      </c>
      <c r="AD94" s="2">
        <f ca="1">IFERROR(__xludf.DUMMYFUNCTION("INDEX(IMPORTRANGE(""17pNv02DXDpQT9S3w4-QeNym2QJy2BzMBqDXp-XtzJBM"", ""'ESC'!BL3:BL139""),MATCH($D94,IMPORTRANGE(""17pNv02DXDpQT9S3w4-QeNym2QJy2BzMBqDXp-XtzJBM"", ""'ESC'!D3:D139""),0))"),3)</f>
        <v>3</v>
      </c>
      <c r="AE94" s="2">
        <f ca="1">IFERROR(__xludf.DUMMYFUNCTION("INDEX(IMPORTRANGE(""17pNv02DXDpQT9S3w4-QeNym2QJy2BzMBqDXp-XtzJBM"", ""'ESC'!BM3:BM139""),MATCH($D94,IMPORTRANGE(""17pNv02DXDpQT9S3w4-QeNym2QJy2BzMBqDXp-XtzJBM"", ""'ESC'!D3:D139""),0))"),2)</f>
        <v>2</v>
      </c>
      <c r="AF94" s="1"/>
    </row>
    <row r="95" spans="1:32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11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""'ESC'!BG3:BG139""),MATCH($D95,IMPORTRANGE(""17pNv02DXDpQT9S3w4-QeNym2QJy2BzMBqDXp-XtzJBM"", ""'ESC'!D3:D139""),0))"),"")</f>
        <v/>
      </c>
      <c r="T95" s="4"/>
      <c r="U95" s="4"/>
      <c r="V95" s="4"/>
      <c r="W95" s="4"/>
      <c r="X95" s="4"/>
      <c r="Y95" s="4"/>
      <c r="Z95" s="2">
        <f ca="1">IFERROR(__xludf.DUMMYFUNCTION("INDEX(IMPORTRANGE(""17pNv02DXDpQT9S3w4-QeNym2QJy2BzMBqDXp-XtzJBM"", ""'ESC'!BH3:BH139""),MATCH($D95,IMPORTRANGE(""17pNv02DXDpQT9S3w4-QeNym2QJy2BzMBqDXp-XtzJBM"", ""'ESC'!D3:D139""),0))"),37)</f>
        <v>37</v>
      </c>
      <c r="AA95" s="2">
        <f ca="1">IFERROR(__xludf.DUMMYFUNCTION("INDEX(IMPORTRANGE(""17pNv02DXDpQT9S3w4-QeNym2QJy2BzMBqDXp-XtzJBM"", ""'ESC'!BI3:BI139""),MATCH($D95,IMPORTRANGE(""17pNv02DXDpQT9S3w4-QeNym2QJy2BzMBqDXp-XtzJBM"", ""'ESC'!D3:D139""),0))"),15)</f>
        <v>15</v>
      </c>
      <c r="AB95" s="2">
        <f ca="1">IFERROR(__xludf.DUMMYFUNCTION("INDEX(IMPORTRANGE(""17pNv02DXDpQT9S3w4-QeNym2QJy2BzMBqDXp-XtzJBM"", ""'ESC'!BJ3:BJ139""),MATCH($D95,IMPORTRANGE(""17pNv02DXDpQT9S3w4-QeNym2QJy2BzMBqDXp-XtzJBM"", ""'ESC'!D3:D139""),0))"),15)</f>
        <v>15</v>
      </c>
      <c r="AC95" s="2">
        <f ca="1">IFERROR(__xludf.DUMMYFUNCTION("INDEX(IMPORTRANGE(""17pNv02DXDpQT9S3w4-QeNym2QJy2BzMBqDXp-XtzJBM"", ""'ESC'!BK3:BK139""),MATCH($D95,IMPORTRANGE(""17pNv02DXDpQT9S3w4-QeNym2QJy2BzMBqDXp-XtzJBM"", ""'ESC'!D3:D139""),0))"),0)</f>
        <v>0</v>
      </c>
      <c r="AD95" s="2">
        <f ca="1">IFERROR(__xludf.DUMMYFUNCTION("INDEX(IMPORTRANGE(""17pNv02DXDpQT9S3w4-QeNym2QJy2BzMBqDXp-XtzJBM"", ""'ESC'!BL3:BL139""),MATCH($D95,IMPORTRANGE(""17pNv02DXDpQT9S3w4-QeNym2QJy2BzMBqDXp-XtzJBM"", ""'ESC'!D3:D139""),0))"),15)</f>
        <v>15</v>
      </c>
      <c r="AE95" s="2">
        <f ca="1">IFERROR(__xludf.DUMMYFUNCTION("INDEX(IMPORTRANGE(""17pNv02DXDpQT9S3w4-QeNym2QJy2BzMBqDXp-XtzJBM"", ""'ESC'!BM3:BM139""),MATCH($D95,IMPORTRANGE(""17pNv02DXDpQT9S3w4-QeNym2QJy2BzMBqDXp-XtzJBM"", ""'ESC'!D3:D139""),0))"),15)</f>
        <v>15</v>
      </c>
      <c r="AF95" s="1"/>
    </row>
    <row r="96" spans="1:32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11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""'ESC'!BG3:BG139""),MATCH($D96,IMPORTRANGE(""17pNv02DXDpQT9S3w4-QeNym2QJy2BzMBqDXp-XtzJBM"", ""'ESC'!D3:D139""),0))"),"")</f>
        <v/>
      </c>
      <c r="T96" s="4"/>
      <c r="U96" s="4"/>
      <c r="V96" s="4"/>
      <c r="W96" s="4"/>
      <c r="X96" s="4"/>
      <c r="Y96" s="4"/>
      <c r="Z96" s="2">
        <f ca="1">IFERROR(__xludf.DUMMYFUNCTION("INDEX(IMPORTRANGE(""17pNv02DXDpQT9S3w4-QeNym2QJy2BzMBqDXp-XtzJBM"", ""'ESC'!BH3:BH139""),MATCH($D96,IMPORTRANGE(""17pNv02DXDpQT9S3w4-QeNym2QJy2BzMBqDXp-XtzJBM"", ""'ESC'!D3:D139""),0))"),0)</f>
        <v>0</v>
      </c>
      <c r="AA96" s="2">
        <f ca="1">IFERROR(__xludf.DUMMYFUNCTION("INDEX(IMPORTRANGE(""17pNv02DXDpQT9S3w4-QeNym2QJy2BzMBqDXp-XtzJBM"", ""'ESC'!BI3:BI139""),MATCH($D96,IMPORTRANGE(""17pNv02DXDpQT9S3w4-QeNym2QJy2BzMBqDXp-XtzJBM"", ""'ESC'!D3:D139""),0))"),0)</f>
        <v>0</v>
      </c>
      <c r="AB96" s="2" t="str">
        <f ca="1">IFERROR(__xludf.DUMMYFUNCTION("INDEX(IMPORTRANGE(""17pNv02DXDpQT9S3w4-QeNym2QJy2BzMBqDXp-XtzJBM"", ""'ESC'!BJ3:BJ139""),MATCH($D96,IMPORTRANGE(""17pNv02DXDpQT9S3w4-QeNym2QJy2BzMBqDXp-XtzJBM"", ""'ESC'!D3:D139""),0))"),"")</f>
        <v/>
      </c>
      <c r="AC96" s="2" t="str">
        <f ca="1">IFERROR(__xludf.DUMMYFUNCTION("INDEX(IMPORTRANGE(""17pNv02DXDpQT9S3w4-QeNym2QJy2BzMBqDXp-XtzJBM"", ""'ESC'!BK3:BK139""),MATCH($D96,IMPORTRANGE(""17pNv02DXDpQT9S3w4-QeNym2QJy2BzMBqDXp-XtzJBM"", ""'ESC'!D3:D139""),0))"),"")</f>
        <v/>
      </c>
      <c r="AD96" s="2" t="str">
        <f ca="1">IFERROR(__xludf.DUMMYFUNCTION("INDEX(IMPORTRANGE(""17pNv02DXDpQT9S3w4-QeNym2QJy2BzMBqDXp-XtzJBM"", ""'ESC'!BL3:BL139""),MATCH($D96,IMPORTRANGE(""17pNv02DXDpQT9S3w4-QeNym2QJy2BzMBqDXp-XtzJBM"", ""'ESC'!D3:D139""),0))"),"")</f>
        <v/>
      </c>
      <c r="AE96" s="2">
        <f ca="1">IFERROR(__xludf.DUMMYFUNCTION("INDEX(IMPORTRANGE(""17pNv02DXDpQT9S3w4-QeNym2QJy2BzMBqDXp-XtzJBM"", ""'ESC'!BM3:BM139""),MATCH($D96,IMPORTRANGE(""17pNv02DXDpQT9S3w4-QeNym2QJy2BzMBqDXp-XtzJBM"", ""'ESC'!D3:D139""),0))"),0)</f>
        <v>0</v>
      </c>
      <c r="AF96" s="1"/>
    </row>
    <row r="97" spans="1:32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11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""'ESC'!BG3:BG139""),MATCH($D97,IMPORTRANGE(""17pNv02DXDpQT9S3w4-QeNym2QJy2BzMBqDXp-XtzJBM"", ""'ESC'!D3:D139""),0))"),"")</f>
        <v/>
      </c>
      <c r="T97" s="4"/>
      <c r="U97" s="4"/>
      <c r="V97" s="4"/>
      <c r="W97" s="4"/>
      <c r="X97" s="4"/>
      <c r="Y97" s="4"/>
      <c r="Z97" s="2">
        <f ca="1">IFERROR(__xludf.DUMMYFUNCTION("INDEX(IMPORTRANGE(""17pNv02DXDpQT9S3w4-QeNym2QJy2BzMBqDXp-XtzJBM"", ""'ESC'!BH3:BH139""),MATCH($D97,IMPORTRANGE(""17pNv02DXDpQT9S3w4-QeNym2QJy2BzMBqDXp-XtzJBM"", ""'ESC'!D3:D139""),0))"),0)</f>
        <v>0</v>
      </c>
      <c r="AA97" s="2">
        <f ca="1">IFERROR(__xludf.DUMMYFUNCTION("INDEX(IMPORTRANGE(""17pNv02DXDpQT9S3w4-QeNym2QJy2BzMBqDXp-XtzJBM"", ""'ESC'!BI3:BI139""),MATCH($D97,IMPORTRANGE(""17pNv02DXDpQT9S3w4-QeNym2QJy2BzMBqDXp-XtzJBM"", ""'ESC'!D3:D139""),0))"),0)</f>
        <v>0</v>
      </c>
      <c r="AB97" s="2">
        <f ca="1">IFERROR(__xludf.DUMMYFUNCTION("INDEX(IMPORTRANGE(""17pNv02DXDpQT9S3w4-QeNym2QJy2BzMBqDXp-XtzJBM"", ""'ESC'!BJ3:BJ139""),MATCH($D97,IMPORTRANGE(""17pNv02DXDpQT9S3w4-QeNym2QJy2BzMBqDXp-XtzJBM"", ""'ESC'!D3:D139""),0))"),0)</f>
        <v>0</v>
      </c>
      <c r="AC97" s="2">
        <f ca="1">IFERROR(__xludf.DUMMYFUNCTION("INDEX(IMPORTRANGE(""17pNv02DXDpQT9S3w4-QeNym2QJy2BzMBqDXp-XtzJBM"", ""'ESC'!BK3:BK139""),MATCH($D97,IMPORTRANGE(""17pNv02DXDpQT9S3w4-QeNym2QJy2BzMBqDXp-XtzJBM"", ""'ESC'!D3:D139""),0))"),0)</f>
        <v>0</v>
      </c>
      <c r="AD97" s="2">
        <f ca="1">IFERROR(__xludf.DUMMYFUNCTION("INDEX(IMPORTRANGE(""17pNv02DXDpQT9S3w4-QeNym2QJy2BzMBqDXp-XtzJBM"", ""'ESC'!BL3:BL139""),MATCH($D97,IMPORTRANGE(""17pNv02DXDpQT9S3w4-QeNym2QJy2BzMBqDXp-XtzJBM"", ""'ESC'!D3:D139""),0))"),0)</f>
        <v>0</v>
      </c>
      <c r="AE97" s="2">
        <f ca="1">IFERROR(__xludf.DUMMYFUNCTION("INDEX(IMPORTRANGE(""17pNv02DXDpQT9S3w4-QeNym2QJy2BzMBqDXp-XtzJBM"", ""'ESC'!BM3:BM139""),MATCH($D97,IMPORTRANGE(""17pNv02DXDpQT9S3w4-QeNym2QJy2BzMBqDXp-XtzJBM"", ""'ESC'!D3:D139""),0))"),0)</f>
        <v>0</v>
      </c>
      <c r="AF97" s="1"/>
    </row>
    <row r="98" spans="1:32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11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""'ESC'!BG3:BG139""),MATCH($D98,IMPORTRANGE(""17pNv02DXDpQT9S3w4-QeNym2QJy2BzMBqDXp-XtzJBM"", ""'ESC'!D3:D139""),0))"),"")</f>
        <v/>
      </c>
      <c r="T98" s="4"/>
      <c r="U98" s="4"/>
      <c r="V98" s="4"/>
      <c r="W98" s="4"/>
      <c r="X98" s="4"/>
      <c r="Y98" s="4"/>
      <c r="Z98" s="2">
        <f ca="1">IFERROR(__xludf.DUMMYFUNCTION("INDEX(IMPORTRANGE(""17pNv02DXDpQT9S3w4-QeNym2QJy2BzMBqDXp-XtzJBM"", ""'ESC'!BH3:BH139""),MATCH($D98,IMPORTRANGE(""17pNv02DXDpQT9S3w4-QeNym2QJy2BzMBqDXp-XtzJBM"", ""'ESC'!D3:D139""),0))"),16)</f>
        <v>16</v>
      </c>
      <c r="AA98" s="2">
        <f ca="1">IFERROR(__xludf.DUMMYFUNCTION("INDEX(IMPORTRANGE(""17pNv02DXDpQT9S3w4-QeNym2QJy2BzMBqDXp-XtzJBM"", ""'ESC'!BI3:BI139""),MATCH($D98,IMPORTRANGE(""17pNv02DXDpQT9S3w4-QeNym2QJy2BzMBqDXp-XtzJBM"", ""'ESC'!D3:D139""),0))"),17)</f>
        <v>17</v>
      </c>
      <c r="AB98" s="2">
        <f ca="1">IFERROR(__xludf.DUMMYFUNCTION("INDEX(IMPORTRANGE(""17pNv02DXDpQT9S3w4-QeNym2QJy2BzMBqDXp-XtzJBM"", ""'ESC'!BJ3:BJ139""),MATCH($D98,IMPORTRANGE(""17pNv02DXDpQT9S3w4-QeNym2QJy2BzMBqDXp-XtzJBM"", ""'ESC'!D3:D139""),0))"),11)</f>
        <v>11</v>
      </c>
      <c r="AC98" s="2" t="str">
        <f ca="1">IFERROR(__xludf.DUMMYFUNCTION("INDEX(IMPORTRANGE(""17pNv02DXDpQT9S3w4-QeNym2QJy2BzMBqDXp-XtzJBM"", ""'ESC'!BK3:BK139""),MATCH($D98,IMPORTRANGE(""17pNv02DXDpQT9S3w4-QeNym2QJy2BzMBqDXp-XtzJBM"", ""'ESC'!D3:D139""),0))"),"")</f>
        <v/>
      </c>
      <c r="AD98" s="2">
        <f ca="1">IFERROR(__xludf.DUMMYFUNCTION("INDEX(IMPORTRANGE(""17pNv02DXDpQT9S3w4-QeNym2QJy2BzMBqDXp-XtzJBM"", ""'ESC'!BL3:BL139""),MATCH($D98,IMPORTRANGE(""17pNv02DXDpQT9S3w4-QeNym2QJy2BzMBqDXp-XtzJBM"", ""'ESC'!D3:D139""),0))"),14)</f>
        <v>14</v>
      </c>
      <c r="AE98" s="2">
        <f ca="1">IFERROR(__xludf.DUMMYFUNCTION("INDEX(IMPORTRANGE(""17pNv02DXDpQT9S3w4-QeNym2QJy2BzMBqDXp-XtzJBM"", ""'ESC'!BM3:BM139""),MATCH($D98,IMPORTRANGE(""17pNv02DXDpQT9S3w4-QeNym2QJy2BzMBqDXp-XtzJBM"", ""'ESC'!D3:D139""),0))"),16)</f>
        <v>16</v>
      </c>
      <c r="AF98" s="1"/>
    </row>
    <row r="99" spans="1:32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11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""'ESC'!BG3:BG139""),MATCH($D99,IMPORTRANGE(""17pNv02DXDpQT9S3w4-QeNym2QJy2BzMBqDXp-XtzJBM"", ""'ESC'!D3:D139""),0))"),"")</f>
        <v/>
      </c>
      <c r="T99" s="4"/>
      <c r="U99" s="4"/>
      <c r="V99" s="4"/>
      <c r="W99" s="4"/>
      <c r="X99" s="4"/>
      <c r="Y99" s="4"/>
      <c r="Z99" s="2">
        <f ca="1">IFERROR(__xludf.DUMMYFUNCTION("INDEX(IMPORTRANGE(""17pNv02DXDpQT9S3w4-QeNym2QJy2BzMBqDXp-XtzJBM"", ""'ESC'!BH3:BH139""),MATCH($D99,IMPORTRANGE(""17pNv02DXDpQT9S3w4-QeNym2QJy2BzMBqDXp-XtzJBM"", ""'ESC'!D3:D139""),0))"),16)</f>
        <v>16</v>
      </c>
      <c r="AA99" s="2">
        <f ca="1">IFERROR(__xludf.DUMMYFUNCTION("INDEX(IMPORTRANGE(""17pNv02DXDpQT9S3w4-QeNym2QJy2BzMBqDXp-XtzJBM"", ""'ESC'!BI3:BI139""),MATCH($D99,IMPORTRANGE(""17pNv02DXDpQT9S3w4-QeNym2QJy2BzMBqDXp-XtzJBM"", ""'ESC'!D3:D139""),0))"),50)</f>
        <v>50</v>
      </c>
      <c r="AB99" s="2">
        <f ca="1">IFERROR(__xludf.DUMMYFUNCTION("INDEX(IMPORTRANGE(""17pNv02DXDpQT9S3w4-QeNym2QJy2BzMBqDXp-XtzJBM"", ""'ESC'!BJ3:BJ139""),MATCH($D99,IMPORTRANGE(""17pNv02DXDpQT9S3w4-QeNym2QJy2BzMBqDXp-XtzJBM"", ""'ESC'!D3:D139""),0))"),49)</f>
        <v>49</v>
      </c>
      <c r="AC99" s="2">
        <f ca="1">IFERROR(__xludf.DUMMYFUNCTION("INDEX(IMPORTRANGE(""17pNv02DXDpQT9S3w4-QeNym2QJy2BzMBqDXp-XtzJBM"", ""'ESC'!BK3:BK139""),MATCH($D99,IMPORTRANGE(""17pNv02DXDpQT9S3w4-QeNym2QJy2BzMBqDXp-XtzJBM"", ""'ESC'!D3:D139""),0))"),0)</f>
        <v>0</v>
      </c>
      <c r="AD99" s="2">
        <f ca="1">IFERROR(__xludf.DUMMYFUNCTION("INDEX(IMPORTRANGE(""17pNv02DXDpQT9S3w4-QeNym2QJy2BzMBqDXp-XtzJBM"", ""'ESC'!BL3:BL139""),MATCH($D99,IMPORTRANGE(""17pNv02DXDpQT9S3w4-QeNym2QJy2BzMBqDXp-XtzJBM"", ""'ESC'!D3:D139""),0))"),46)</f>
        <v>46</v>
      </c>
      <c r="AE99" s="2">
        <f ca="1">IFERROR(__xludf.DUMMYFUNCTION("INDEX(IMPORTRANGE(""17pNv02DXDpQT9S3w4-QeNym2QJy2BzMBqDXp-XtzJBM"", ""'ESC'!BM3:BM139""),MATCH($D99,IMPORTRANGE(""17pNv02DXDpQT9S3w4-QeNym2QJy2BzMBqDXp-XtzJBM"", ""'ESC'!D3:D139""),0))"),47)</f>
        <v>47</v>
      </c>
      <c r="AF99" s="1"/>
    </row>
    <row r="100" spans="1:32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1">
        <v>44469</v>
      </c>
      <c r="H100" s="13"/>
      <c r="I100" s="49">
        <v>44440</v>
      </c>
      <c r="J100" s="11">
        <v>44651</v>
      </c>
      <c r="K100" s="13"/>
      <c r="L100" s="11">
        <v>45016</v>
      </c>
      <c r="M100" s="13"/>
      <c r="N100" s="11">
        <v>45382</v>
      </c>
      <c r="O100" s="11" t="s">
        <v>361</v>
      </c>
      <c r="P100" s="11">
        <v>45565</v>
      </c>
      <c r="Q100" s="254"/>
      <c r="R100" s="254"/>
      <c r="S100" s="30" t="str">
        <f ca="1">IFERROR(__xludf.DUMMYFUNCTION("INDEX(IMPORTRANGE(""17pNv02DXDpQT9S3w4-QeNym2QJy2BzMBqDXp-XtzJBM"", ""'ESC'!BG3:BG139""),MATCH($D100,IMPORTRANGE(""17pNv02DXDpQT9S3w4-QeNym2QJy2BzMBqDXp-XtzJBM"", ""'ESC'!D3:D139""),0))"),"")</f>
        <v/>
      </c>
      <c r="T100" s="60">
        <v>0.5</v>
      </c>
      <c r="U100" s="60">
        <v>0.5</v>
      </c>
      <c r="V100" s="60">
        <v>0.5</v>
      </c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""'ESC'!BH3:BH139""),MATCH($D100,IMPORTRANGE(""17pNv02DXDpQT9S3w4-QeNym2QJy2BzMBqDXp-XtzJBM"", ""'ESC'!D3:D139""),0))"),0.358490566037735)</f>
        <v>0.35849056603773499</v>
      </c>
      <c r="AA100" s="15">
        <f ca="1">IFERROR(__xludf.DUMMYFUNCTION("INDEX(IMPORTRANGE(""17pNv02DXDpQT9S3w4-QeNym2QJy2BzMBqDXp-XtzJBM"", ""'ESC'!BI3:BI139""),MATCH($D100,IMPORTRANGE(""17pNv02DXDpQT9S3w4-QeNym2QJy2BzMBqDXp-XtzJBM"", ""'ESC'!D3:D139""),0))"),0.307692307692307)</f>
        <v>0.30769230769230699</v>
      </c>
      <c r="AB100" s="15">
        <f ca="1">IFERROR(__xludf.DUMMYFUNCTION("INDEX(IMPORTRANGE(""17pNv02DXDpQT9S3w4-QeNym2QJy2BzMBqDXp-XtzJBM"", ""'ESC'!BJ3:BJ139""),MATCH($D100,IMPORTRANGE(""17pNv02DXDpQT9S3w4-QeNym2QJy2BzMBqDXp-XtzJBM"", ""'ESC'!D3:D139""),0))"),0.203125)</f>
        <v>0.203125</v>
      </c>
      <c r="AC100" s="15" t="str">
        <f ca="1">IFERROR(__xludf.DUMMYFUNCTION("INDEX(IMPORTRANGE(""17pNv02DXDpQT9S3w4-QeNym2QJy2BzMBqDXp-XtzJBM"", ""'ESC'!BK3:BK139""),MATCH($D100,IMPORTRANGE(""17pNv02DXDpQT9S3w4-QeNym2QJy2BzMBqDXp-XtzJBM"", ""'ESC'!D3:D139""),0))"),"")</f>
        <v/>
      </c>
      <c r="AD100" s="15">
        <f ca="1">IFERROR(__xludf.DUMMYFUNCTION("INDEX(IMPORTRANGE(""17pNv02DXDpQT9S3w4-QeNym2QJy2BzMBqDXp-XtzJBM"", ""'ESC'!BL3:BL139""),MATCH($D100,IMPORTRANGE(""17pNv02DXDpQT9S3w4-QeNym2QJy2BzMBqDXp-XtzJBM"", ""'ESC'!D3:D139""),0))"),0.278688524590163)</f>
        <v>0.27868852459016302</v>
      </c>
      <c r="AE100" s="15">
        <f ca="1">IFERROR(__xludf.DUMMYFUNCTION("INDEX(IMPORTRANGE(""17pNv02DXDpQT9S3w4-QeNym2QJy2BzMBqDXp-XtzJBM"", ""'ESC'!BM3:BM139""),MATCH($D100,IMPORTRANGE(""17pNv02DXDpQT9S3w4-QeNym2QJy2BzMBqDXp-XtzJBM"", ""'ESC'!D3:D139""),0))"),0.290322580645161)</f>
        <v>0.29032258064516098</v>
      </c>
      <c r="AF100" s="1"/>
    </row>
    <row r="101" spans="1:32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183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7" t="s">
        <v>369</v>
      </c>
      <c r="P101" s="1" t="s">
        <v>218</v>
      </c>
      <c r="Q101" s="36">
        <v>481128007.70999998</v>
      </c>
      <c r="R101" s="36">
        <v>481128007.70999998</v>
      </c>
      <c r="S101" s="36">
        <f ca="1">IFERROR(__xludf.DUMMYFUNCTION("INDEX(IMPORTRANGE(""17pNv02DXDpQT9S3w4-QeNym2QJy2BzMBqDXp-XtzJBM"", ""'ESC'!BG3:BG139""),MATCH($D101,IMPORTRANGE(""17pNv02DXDpQT9S3w4-QeNym2QJy2BzMBqDXp-XtzJBM"", ""'ESC'!D3:D139""),0))"),220898240.91)</f>
        <v>220898240.91</v>
      </c>
      <c r="T101" s="4"/>
      <c r="U101" s="4"/>
      <c r="V101" s="4"/>
      <c r="W101" s="4"/>
      <c r="X101" s="4"/>
      <c r="Y101" s="4"/>
      <c r="Z101" s="36">
        <f ca="1">IFERROR(__xludf.DUMMYFUNCTION("INDEX(IMPORTRANGE(""17pNv02DXDpQT9S3w4-QeNym2QJy2BzMBqDXp-XtzJBM"", ""'ESC'!BH3:BH139""),MATCH($D101,IMPORTRANGE(""17pNv02DXDpQT9S3w4-QeNym2QJy2BzMBqDXp-XtzJBM"", ""'ESC'!D3:D139""),0))"),481128007.71)</f>
        <v>481128007.70999998</v>
      </c>
      <c r="AA101" s="52" t="str">
        <f ca="1">IFERROR(__xludf.DUMMYFUNCTION("INDEX(IMPORTRANGE(""17pNv02DXDpQT9S3w4-QeNym2QJy2BzMBqDXp-XtzJBM"", ""'ESC'!BI3:BI139""),MATCH($D101,IMPORTRANGE(""17pNv02DXDpQT9S3w4-QeNym2QJy2BzMBqDXp-XtzJBM"", ""'ESC'!D3:D139""),0))"),"")</f>
        <v/>
      </c>
      <c r="AB101" s="36">
        <f ca="1">IFERROR(__xludf.DUMMYFUNCTION("INDEX(IMPORTRANGE(""17pNv02DXDpQT9S3w4-QeNym2QJy2BzMBqDXp-XtzJBM"", ""'ESC'!BJ3:BJ139""),MATCH($D101,IMPORTRANGE(""17pNv02DXDpQT9S3w4-QeNym2QJy2BzMBqDXp-XtzJBM"", ""'ESC'!D3:D139""),0))"),467600711.98)</f>
        <v>467600711.98000002</v>
      </c>
      <c r="AC101" s="52" t="str">
        <f ca="1">IFERROR(__xludf.DUMMYFUNCTION("INDEX(IMPORTRANGE(""17pNv02DXDpQT9S3w4-QeNym2QJy2BzMBqDXp-XtzJBM"", ""'ESC'!BK3:BK139""),MATCH($D101,IMPORTRANGE(""17pNv02DXDpQT9S3w4-QeNym2QJy2BzMBqDXp-XtzJBM"", ""'ESC'!D3:D139""),0))"),"")</f>
        <v/>
      </c>
      <c r="AD101" s="36">
        <f ca="1">IFERROR(__xludf.DUMMYFUNCTION("INDEX(IMPORTRANGE(""17pNv02DXDpQT9S3w4-QeNym2QJy2BzMBqDXp-XtzJBM"", ""'ESC'!BL3:BL139""),MATCH($D101,IMPORTRANGE(""17pNv02DXDpQT9S3w4-QeNym2QJy2BzMBqDXp-XtzJBM"", ""'ESC'!D3:D139""),0))"),684337905.43)</f>
        <v>684337905.42999995</v>
      </c>
      <c r="AE101" s="36">
        <f ca="1">IFERROR(__xludf.DUMMYFUNCTION("INDEX(IMPORTRANGE(""17pNv02DXDpQT9S3w4-QeNym2QJy2BzMBqDXp-XtzJBM"", ""'ESC'!BM3:BM139""),MATCH($D101,IMPORTRANGE(""17pNv02DXDpQT9S3w4-QeNym2QJy2BzMBqDXp-XtzJBM"", ""'ESC'!D3:D139""),0))"),506291196.8)</f>
        <v>506291196.80000001</v>
      </c>
      <c r="AF101" s="1"/>
    </row>
    <row r="102" spans="1:32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7" t="s">
        <v>369</v>
      </c>
      <c r="P102" s="1" t="s">
        <v>218</v>
      </c>
      <c r="Q102" s="36">
        <v>1449594972.8199999</v>
      </c>
      <c r="R102" s="36">
        <v>1449594972.8199999</v>
      </c>
      <c r="S102" s="36">
        <f ca="1">IFERROR(__xludf.DUMMYFUNCTION("INDEX(IMPORTRANGE(""17pNv02DXDpQT9S3w4-QeNym2QJy2BzMBqDXp-XtzJBM"", ""'ESC'!BG3:BG139""),MATCH($D102,IMPORTRANGE(""17pNv02DXDpQT9S3w4-QeNym2QJy2BzMBqDXp-XtzJBM"", ""'ESC'!D3:D139""),0))"),699267932.51)</f>
        <v>699267932.50999999</v>
      </c>
      <c r="T102" s="4"/>
      <c r="U102" s="4"/>
      <c r="V102" s="4"/>
      <c r="W102" s="4"/>
      <c r="X102" s="4"/>
      <c r="Y102" s="4"/>
      <c r="Z102" s="36">
        <f ca="1">IFERROR(__xludf.DUMMYFUNCTION("INDEX(IMPORTRANGE(""17pNv02DXDpQT9S3w4-QeNym2QJy2BzMBqDXp-XtzJBM"", ""'ESC'!BH3:BH139""),MATCH($D102,IMPORTRANGE(""17pNv02DXDpQT9S3w4-QeNym2QJy2BzMBqDXp-XtzJBM"", ""'ESC'!D3:D139""),0))"),1449594972.82)</f>
        <v>1449594972.8199999</v>
      </c>
      <c r="AA102" s="52" t="str">
        <f ca="1">IFERROR(__xludf.DUMMYFUNCTION("INDEX(IMPORTRANGE(""17pNv02DXDpQT9S3w4-QeNym2QJy2BzMBqDXp-XtzJBM"", ""'ESC'!BI3:BI139""),MATCH($D102,IMPORTRANGE(""17pNv02DXDpQT9S3w4-QeNym2QJy2BzMBqDXp-XtzJBM"", ""'ESC'!D3:D139""),0))"),"")</f>
        <v/>
      </c>
      <c r="AB102" s="36">
        <f ca="1">IFERROR(__xludf.DUMMYFUNCTION("INDEX(IMPORTRANGE(""17pNv02DXDpQT9S3w4-QeNym2QJy2BzMBqDXp-XtzJBM"", ""'ESC'!BJ3:BJ139""),MATCH($D102,IMPORTRANGE(""17pNv02DXDpQT9S3w4-QeNym2QJy2BzMBqDXp-XtzJBM"", ""'ESC'!D3:D139""),0))"),1724456616.21)</f>
        <v>1724456616.21</v>
      </c>
      <c r="AC102" s="52" t="str">
        <f ca="1">IFERROR(__xludf.DUMMYFUNCTION("INDEX(IMPORTRANGE(""17pNv02DXDpQT9S3w4-QeNym2QJy2BzMBqDXp-XtzJBM"", ""'ESC'!BK3:BK139""),MATCH($D102,IMPORTRANGE(""17pNv02DXDpQT9S3w4-QeNym2QJy2BzMBqDXp-XtzJBM"", ""'ESC'!D3:D139""),0))"),"")</f>
        <v/>
      </c>
      <c r="AD102" s="36">
        <f ca="1">IFERROR(__xludf.DUMMYFUNCTION("INDEX(IMPORTRANGE(""17pNv02DXDpQT9S3w4-QeNym2QJy2BzMBqDXp-XtzJBM"", ""'ESC'!BL3:BL139""),MATCH($D102,IMPORTRANGE(""17pNv02DXDpQT9S3w4-QeNym2QJy2BzMBqDXp-XtzJBM"", ""'ESC'!D3:D139""),0))"),2133523482.78)</f>
        <v>2133523482.78</v>
      </c>
      <c r="AE102" s="36">
        <f ca="1">IFERROR(__xludf.DUMMYFUNCTION("INDEX(IMPORTRANGE(""17pNv02DXDpQT9S3w4-QeNym2QJy2BzMBqDXp-XtzJBM"", ""'ESC'!BM3:BM139""),MATCH($D102,IMPORTRANGE(""17pNv02DXDpQT9S3w4-QeNym2QJy2BzMBqDXp-XtzJBM"", ""'ESC'!D3:D139""),0))"),1388550645.45)</f>
        <v>1388550645.45</v>
      </c>
      <c r="AF102" s="1"/>
    </row>
    <row r="103" spans="1:32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2" t="s">
        <v>368</v>
      </c>
      <c r="J103" s="7" t="s">
        <v>215</v>
      </c>
      <c r="K103" s="13"/>
      <c r="L103" s="7" t="s">
        <v>216</v>
      </c>
      <c r="M103" s="13"/>
      <c r="N103" s="7" t="s">
        <v>217</v>
      </c>
      <c r="O103" s="7" t="s">
        <v>369</v>
      </c>
      <c r="P103" s="1" t="s">
        <v>218</v>
      </c>
      <c r="Q103" s="15">
        <f t="shared" ref="Q103:R103" si="20">Q101/Q102</f>
        <v>0.33190512986812276</v>
      </c>
      <c r="R103" s="15">
        <f t="shared" si="20"/>
        <v>0.33190512986812276</v>
      </c>
      <c r="S103" s="15">
        <f ca="1">IFERROR(__xludf.DUMMYFUNCTION("INDEX(IMPORTRANGE(""17pNv02DXDpQT9S3w4-QeNym2QJy2BzMBqDXp-XtzJBM"", ""'ESC'!BG3:BG139""),MATCH($D103,IMPORTRANGE(""17pNv02DXDpQT9S3w4-QeNym2QJy2BzMBqDXp-XtzJBM"", ""'ESC'!D3:D139""),0))"),0.315899286439595)</f>
        <v>0.31589928643959497</v>
      </c>
      <c r="T103" s="2"/>
      <c r="U103" s="15">
        <v>0.33500000000000002</v>
      </c>
      <c r="V103" s="308"/>
      <c r="W103" s="15">
        <v>0.33700000000000002</v>
      </c>
      <c r="X103" s="15">
        <f>(Y103-W103)/6*5+W103</f>
        <v>0.33950000000000002</v>
      </c>
      <c r="Y103" s="15">
        <v>0.34</v>
      </c>
      <c r="Z103" s="15">
        <f ca="1">IFERROR(__xludf.DUMMYFUNCTION("INDEX(IMPORTRANGE(""17pNv02DXDpQT9S3w4-QeNym2QJy2BzMBqDXp-XtzJBM"", ""'ESC'!BH3:BH139""),MATCH($D103,IMPORTRANGE(""17pNv02DXDpQT9S3w4-QeNym2QJy2BzMBqDXp-XtzJBM"", ""'ESC'!D3:D139""),0))"),0.331905129868122)</f>
        <v>0.33190512986812198</v>
      </c>
      <c r="AA103" s="48" t="str">
        <f ca="1">IFERROR(__xludf.DUMMYFUNCTION("INDEX(IMPORTRANGE(""17pNv02DXDpQT9S3w4-QeNym2QJy2BzMBqDXp-XtzJBM"", ""'ESC'!BI3:BI139""),MATCH($D103,IMPORTRANGE(""17pNv02DXDpQT9S3w4-QeNym2QJy2BzMBqDXp-XtzJBM"", ""'ESC'!D3:D139""),0))"),"")</f>
        <v/>
      </c>
      <c r="AB103" s="15">
        <f ca="1">IFERROR(__xludf.DUMMYFUNCTION("INDEX(IMPORTRANGE(""17pNv02DXDpQT9S3w4-QeNym2QJy2BzMBqDXp-XtzJBM"", ""'ESC'!BJ3:BJ139""),MATCH($D103,IMPORTRANGE(""17pNv02DXDpQT9S3w4-QeNym2QJy2BzMBqDXp-XtzJBM"", ""'ESC'!D3:D139""),0))"),0.27115829275409)</f>
        <v>0.27115829275408998</v>
      </c>
      <c r="AC103" s="48" t="str">
        <f ca="1">IFERROR(__xludf.DUMMYFUNCTION("INDEX(IMPORTRANGE(""17pNv02DXDpQT9S3w4-QeNym2QJy2BzMBqDXp-XtzJBM"", ""'ESC'!BK3:BK139""),MATCH($D103,IMPORTRANGE(""17pNv02DXDpQT9S3w4-QeNym2QJy2BzMBqDXp-XtzJBM"", ""'ESC'!D3:D139""),0))"),"")</f>
        <v/>
      </c>
      <c r="AD103" s="15">
        <f ca="1">IFERROR(__xludf.DUMMYFUNCTION("INDEX(IMPORTRANGE(""17pNv02DXDpQT9S3w4-QeNym2QJy2BzMBqDXp-XtzJBM"", ""'ESC'!BL3:BL139""),MATCH($D103,IMPORTRANGE(""17pNv02DXDpQT9S3w4-QeNym2QJy2BzMBqDXp-XtzJBM"", ""'ESC'!D3:D139""),0))"),0.320754803475751)</f>
        <v>0.32075480347575103</v>
      </c>
      <c r="AE103" s="26">
        <f ca="1">IFERROR(__xludf.DUMMYFUNCTION("INDEX(IMPORTRANGE(""17pNv02DXDpQT9S3w4-QeNym2QJy2BzMBqDXp-XtzJBM"", ""'ESC'!BM3:BM139""),MATCH($D103,IMPORTRANGE(""17pNv02DXDpQT9S3w4-QeNym2QJy2BzMBqDXp-XtzJBM"", ""'ESC'!D3:D139""),0))"),0.364618459153084)</f>
        <v>0.364618459153084</v>
      </c>
      <c r="AF103" s="1"/>
    </row>
    <row r="104" spans="1:32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7" t="s">
        <v>369</v>
      </c>
      <c r="P104" s="1" t="s">
        <v>218</v>
      </c>
      <c r="Q104" s="36">
        <v>909571624</v>
      </c>
      <c r="R104" s="36">
        <v>909571624</v>
      </c>
      <c r="S104" s="36">
        <f ca="1">IFERROR(__xludf.DUMMYFUNCTION("INDEX(IMPORTRANGE(""17pNv02DXDpQT9S3w4-QeNym2QJy2BzMBqDXp-XtzJBM"", ""'ESC'!BG3:BG139""),MATCH($D104,IMPORTRANGE(""17pNv02DXDpQT9S3w4-QeNym2QJy2BzMBqDXp-XtzJBM"", ""'ESC'!D3:D139""),0))"),398180674)</f>
        <v>398180674</v>
      </c>
      <c r="T104" s="4"/>
      <c r="U104" s="4"/>
      <c r="V104" s="252"/>
      <c r="W104" s="4"/>
      <c r="X104" s="4"/>
      <c r="Y104" s="4"/>
      <c r="Z104" s="36">
        <f ca="1">IFERROR(__xludf.DUMMYFUNCTION("INDEX(IMPORTRANGE(""17pNv02DXDpQT9S3w4-QeNym2QJy2BzMBqDXp-XtzJBM"", ""'ESC'!BH3:BH139""),MATCH($D104,IMPORTRANGE(""17pNv02DXDpQT9S3w4-QeNym2QJy2BzMBqDXp-XtzJBM"", ""'ESC'!D3:D139""),0))"),909571624)</f>
        <v>909571624</v>
      </c>
      <c r="AA104" s="52" t="str">
        <f ca="1">IFERROR(__xludf.DUMMYFUNCTION("INDEX(IMPORTRANGE(""17pNv02DXDpQT9S3w4-QeNym2QJy2BzMBqDXp-XtzJBM"", ""'ESC'!BI3:BI139""),MATCH($D104,IMPORTRANGE(""17pNv02DXDpQT9S3w4-QeNym2QJy2BzMBqDXp-XtzJBM"", ""'ESC'!D3:D139""),0))"),"")</f>
        <v/>
      </c>
      <c r="AB104" s="36">
        <f ca="1">IFERROR(__xludf.DUMMYFUNCTION("INDEX(IMPORTRANGE(""17pNv02DXDpQT9S3w4-QeNym2QJy2BzMBqDXp-XtzJBM"", ""'ESC'!BJ3:BJ139""),MATCH($D104,IMPORTRANGE(""17pNv02DXDpQT9S3w4-QeNym2QJy2BzMBqDXp-XtzJBM"", ""'ESC'!D3:D139""),0))"),910373998.86)</f>
        <v>910373998.86000001</v>
      </c>
      <c r="AC104" s="52" t="str">
        <f ca="1">IFERROR(__xludf.DUMMYFUNCTION("INDEX(IMPORTRANGE(""17pNv02DXDpQT9S3w4-QeNym2QJy2BzMBqDXp-XtzJBM"", ""'ESC'!BK3:BK139""),MATCH($D104,IMPORTRANGE(""17pNv02DXDpQT9S3w4-QeNym2QJy2BzMBqDXp-XtzJBM"", ""'ESC'!D3:D139""),0))"),"")</f>
        <v/>
      </c>
      <c r="AD104" s="36">
        <f ca="1">IFERROR(__xludf.DUMMYFUNCTION("INDEX(IMPORTRANGE(""17pNv02DXDpQT9S3w4-QeNym2QJy2BzMBqDXp-XtzJBM"", ""'ESC'!BL3:BL139""),MATCH($D104,IMPORTRANGE(""17pNv02DXDpQT9S3w4-QeNym2QJy2BzMBqDXp-XtzJBM"", ""'ESC'!D3:D139""),0))"),1225553672.51)</f>
        <v>1225553672.51</v>
      </c>
      <c r="AE104" s="36">
        <f ca="1">IFERROR(__xludf.DUMMYFUNCTION("INDEX(IMPORTRANGE(""17pNv02DXDpQT9S3w4-QeNym2QJy2BzMBqDXp-XtzJBM"", ""'ESC'!BM3:BM139""),MATCH($D104,IMPORTRANGE(""17pNv02DXDpQT9S3w4-QeNym2QJy2BzMBqDXp-XtzJBM"", ""'ESC'!D3:D139""),0))"),628319194.13)</f>
        <v>628319194.13</v>
      </c>
      <c r="AF104" s="1"/>
    </row>
    <row r="105" spans="1:32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213</v>
      </c>
      <c r="H105" s="1" t="s">
        <v>214</v>
      </c>
      <c r="I105" s="2" t="s">
        <v>368</v>
      </c>
      <c r="J105" s="7" t="s">
        <v>215</v>
      </c>
      <c r="K105" s="13"/>
      <c r="L105" s="7" t="s">
        <v>216</v>
      </c>
      <c r="M105" s="13"/>
      <c r="N105" s="7" t="s">
        <v>217</v>
      </c>
      <c r="O105" s="7" t="s">
        <v>369</v>
      </c>
      <c r="P105" s="1" t="s">
        <v>218</v>
      </c>
      <c r="Q105" s="15">
        <f t="shared" ref="Q105:R105" si="21">Q101/Q104</f>
        <v>0.52896110104463856</v>
      </c>
      <c r="R105" s="15">
        <f t="shared" si="21"/>
        <v>0.52896110104463856</v>
      </c>
      <c r="S105" s="15">
        <f ca="1">IFERROR(__xludf.DUMMYFUNCTION("INDEX(IMPORTRANGE(""17pNv02DXDpQT9S3w4-QeNym2QJy2BzMBqDXp-XtzJBM"", ""'ESC'!BG3:BG139""),MATCH($D105,IMPORTRANGE(""17pNv02DXDpQT9S3w4-QeNym2QJy2BzMBqDXp-XtzJBM"", ""'ESC'!D3:D139""),0))"),0.528961101044638)</f>
        <v>0.528961101044638</v>
      </c>
      <c r="T105" s="2"/>
      <c r="U105" s="15">
        <v>0.53600000000000003</v>
      </c>
      <c r="V105" s="308"/>
      <c r="W105" s="15">
        <v>0.54300000000000004</v>
      </c>
      <c r="X105" s="15">
        <f>(Y105-W105)/6*5+W105</f>
        <v>0.5488333333333334</v>
      </c>
      <c r="Y105" s="15">
        <v>0.55000000000000004</v>
      </c>
      <c r="Z105" s="15">
        <f ca="1">IFERROR(__xludf.DUMMYFUNCTION("INDEX(IMPORTRANGE(""17pNv02DXDpQT9S3w4-QeNym2QJy2BzMBqDXp-XtzJBM"", ""'ESC'!BH3:BH139""),MATCH($D105,IMPORTRANGE(""17pNv02DXDpQT9S3w4-QeNym2QJy2BzMBqDXp-XtzJBM"", ""'ESC'!D3:D139""),0))"),0.528961101044638)</f>
        <v>0.528961101044638</v>
      </c>
      <c r="AA105" s="48" t="str">
        <f ca="1">IFERROR(__xludf.DUMMYFUNCTION("INDEX(IMPORTRANGE(""17pNv02DXDpQT9S3w4-QeNym2QJy2BzMBqDXp-XtzJBM"", ""'ESC'!BI3:BI139""),MATCH($D105,IMPORTRANGE(""17pNv02DXDpQT9S3w4-QeNym2QJy2BzMBqDXp-XtzJBM"", ""'ESC'!D3:D139""),0))"),"")</f>
        <v/>
      </c>
      <c r="AB105" s="15">
        <f ca="1">IFERROR(__xludf.DUMMYFUNCTION("INDEX(IMPORTRANGE(""17pNv02DXDpQT9S3w4-QeNym2QJy2BzMBqDXp-XtzJBM"", ""'ESC'!BJ3:BJ139""),MATCH($D105,IMPORTRANGE(""17pNv02DXDpQT9S3w4-QeNym2QJy2BzMBqDXp-XtzJBM"", ""'ESC'!D3:D139""),0))"),0.513635838200063)</f>
        <v>0.51363583820006298</v>
      </c>
      <c r="AC105" s="48" t="str">
        <f ca="1">IFERROR(__xludf.DUMMYFUNCTION("INDEX(IMPORTRANGE(""17pNv02DXDpQT9S3w4-QeNym2QJy2BzMBqDXp-XtzJBM"", ""'ESC'!BK3:BK139""),MATCH($D105,IMPORTRANGE(""17pNv02DXDpQT9S3w4-QeNym2QJy2BzMBqDXp-XtzJBM"", ""'ESC'!D3:D139""),0))"),"")</f>
        <v/>
      </c>
      <c r="AD105" s="15">
        <f ca="1">IFERROR(__xludf.DUMMYFUNCTION("INDEX(IMPORTRANGE(""17pNv02DXDpQT9S3w4-QeNym2QJy2BzMBqDXp-XtzJBM"", ""'ESC'!BL3:BL139""),MATCH($D105,IMPORTRANGE(""17pNv02DXDpQT9S3w4-QeNym2QJy2BzMBqDXp-XtzJBM"", ""'ESC'!D3:D139""),0))"),0.558390807991655)</f>
        <v>0.55839080799165497</v>
      </c>
      <c r="AE105" s="26">
        <f ca="1">IFERROR(__xludf.DUMMYFUNCTION("INDEX(IMPORTRANGE(""17pNv02DXDpQT9S3w4-QeNym2QJy2BzMBqDXp-XtzJBM"", ""'ESC'!BM3:BM139""),MATCH($D105,IMPORTRANGE(""17pNv02DXDpQT9S3w4-QeNym2QJy2BzMBqDXp-XtzJBM"", ""'ESC'!D3:D139""),0))"),0.805786615354054)</f>
        <v>0.80578661535405405</v>
      </c>
      <c r="AF105" s="1"/>
    </row>
    <row r="106" spans="1:32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254</v>
      </c>
      <c r="H106" s="7" t="s">
        <v>254</v>
      </c>
      <c r="I106" s="2" t="s">
        <v>370</v>
      </c>
      <c r="J106" s="7" t="s">
        <v>254</v>
      </c>
      <c r="K106" s="13"/>
      <c r="L106" s="7" t="s">
        <v>255</v>
      </c>
      <c r="M106" s="13"/>
      <c r="N106" s="7" t="s">
        <v>256</v>
      </c>
      <c r="O106" s="7" t="s">
        <v>361</v>
      </c>
      <c r="P106" s="1" t="s">
        <v>218</v>
      </c>
      <c r="Q106" s="12">
        <v>169250</v>
      </c>
      <c r="R106" s="12">
        <v>169250</v>
      </c>
      <c r="S106" s="12">
        <f ca="1">IFERROR(__xludf.DUMMYFUNCTION("INDEX(IMPORTRANGE(""17pNv02DXDpQT9S3w4-QeNym2QJy2BzMBqDXp-XtzJBM"", ""'ESC'!BG3:BG139""),MATCH($D106,IMPORTRANGE(""17pNv02DXDpQT9S3w4-QeNym2QJy2BzMBqDXp-XtzJBM"", ""'ESC'!D3:D139""),0))"),171662)</f>
        <v>171662</v>
      </c>
      <c r="T106" s="4"/>
      <c r="U106" s="4"/>
      <c r="V106" s="252"/>
      <c r="W106" s="4"/>
      <c r="X106" s="4"/>
      <c r="Y106" s="4"/>
      <c r="Z106" s="12">
        <f ca="1">IFERROR(__xludf.DUMMYFUNCTION("INDEX(IMPORTRANGE(""17pNv02DXDpQT9S3w4-QeNym2QJy2BzMBqDXp-XtzJBM"", ""'ESC'!BH3:BH139""),MATCH($D106,IMPORTRANGE(""17pNv02DXDpQT9S3w4-QeNym2QJy2BzMBqDXp-XtzJBM"", ""'ESC'!D3:D139""),0))"),169250)</f>
        <v>169250</v>
      </c>
      <c r="AA106" s="289" t="str">
        <f ca="1">IFERROR(__xludf.DUMMYFUNCTION("INDEX(IMPORTRANGE(""17pNv02DXDpQT9S3w4-QeNym2QJy2BzMBqDXp-XtzJBM"", ""'ESC'!BI3:BI139""),MATCH($D106,IMPORTRANGE(""17pNv02DXDpQT9S3w4-QeNym2QJy2BzMBqDXp-XtzJBM"", ""'ESC'!D3:D139""),0))"),"")</f>
        <v/>
      </c>
      <c r="AB106" s="12">
        <f ca="1">IFERROR(__xludf.DUMMYFUNCTION("INDEX(IMPORTRANGE(""17pNv02DXDpQT9S3w4-QeNym2QJy2BzMBqDXp-XtzJBM"", ""'ESC'!BJ3:BJ139""),MATCH($D106,IMPORTRANGE(""17pNv02DXDpQT9S3w4-QeNym2QJy2BzMBqDXp-XtzJBM"", ""'ESC'!D3:D139""),0))"),178382)</f>
        <v>178382</v>
      </c>
      <c r="AC106" s="289" t="str">
        <f ca="1">IFERROR(__xludf.DUMMYFUNCTION("INDEX(IMPORTRANGE(""17pNv02DXDpQT9S3w4-QeNym2QJy2BzMBqDXp-XtzJBM"", ""'ESC'!BK3:BK139""),MATCH($D106,IMPORTRANGE(""17pNv02DXDpQT9S3w4-QeNym2QJy2BzMBqDXp-XtzJBM"", ""'ESC'!D3:D139""),0))"),"")</f>
        <v/>
      </c>
      <c r="AD106" s="12">
        <f ca="1">IFERROR(__xludf.DUMMYFUNCTION("INDEX(IMPORTRANGE(""17pNv02DXDpQT9S3w4-QeNym2QJy2BzMBqDXp-XtzJBM"", ""'ESC'!BL3:BL139""),MATCH($D106,IMPORTRANGE(""17pNv02DXDpQT9S3w4-QeNym2QJy2BzMBqDXp-XtzJBM"", ""'ESC'!D3:D139""),0))"),172960)</f>
        <v>172960</v>
      </c>
      <c r="AE106" s="12">
        <f ca="1">IFERROR(__xludf.DUMMYFUNCTION("INDEX(IMPORTRANGE(""17pNv02DXDpQT9S3w4-QeNym2QJy2BzMBqDXp-XtzJBM"", ""'ESC'!BM3:BM139""),MATCH($D106,IMPORTRANGE(""17pNv02DXDpQT9S3w4-QeNym2QJy2BzMBqDXp-XtzJBM"", ""'ESC'!D3:D139""),0))"),172960)</f>
        <v>172960</v>
      </c>
      <c r="AF106" s="1"/>
    </row>
    <row r="107" spans="1:32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7" t="s">
        <v>366</v>
      </c>
      <c r="P107" s="1" t="s">
        <v>218</v>
      </c>
      <c r="Q107" s="12">
        <v>73270</v>
      </c>
      <c r="R107" s="12">
        <v>73270</v>
      </c>
      <c r="S107" s="12">
        <f ca="1">IFERROR(__xludf.DUMMYFUNCTION("INDEX(IMPORTRANGE(""17pNv02DXDpQT9S3w4-QeNym2QJy2BzMBqDXp-XtzJBM"", ""'ESC'!BG3:BG139""),MATCH($D107,IMPORTRANGE(""17pNv02DXDpQT9S3w4-QeNym2QJy2BzMBqDXp-XtzJBM"", ""'ESC'!D3:D139""),0))"),59156)</f>
        <v>59156</v>
      </c>
      <c r="T107" s="4"/>
      <c r="U107" s="4"/>
      <c r="V107" s="252"/>
      <c r="W107" s="4"/>
      <c r="X107" s="4"/>
      <c r="Y107" s="4"/>
      <c r="Z107" s="12">
        <f ca="1">IFERROR(__xludf.DUMMYFUNCTION("INDEX(IMPORTRANGE(""17pNv02DXDpQT9S3w4-QeNym2QJy2BzMBqDXp-XtzJBM"", ""'ESC'!BH3:BH139""),MATCH($D107,IMPORTRANGE(""17pNv02DXDpQT9S3w4-QeNym2QJy2BzMBqDXp-XtzJBM"", ""'ESC'!D3:D139""),0))"),73270)</f>
        <v>73270</v>
      </c>
      <c r="AA107" s="289" t="str">
        <f ca="1">IFERROR(__xludf.DUMMYFUNCTION("INDEX(IMPORTRANGE(""17pNv02DXDpQT9S3w4-QeNym2QJy2BzMBqDXp-XtzJBM"", ""'ESC'!BI3:BI139""),MATCH($D107,IMPORTRANGE(""17pNv02DXDpQT9S3w4-QeNym2QJy2BzMBqDXp-XtzJBM"", ""'ESC'!D3:D139""),0))"),"")</f>
        <v/>
      </c>
      <c r="AB107" s="12">
        <f ca="1">IFERROR(__xludf.DUMMYFUNCTION("INDEX(IMPORTRANGE(""17pNv02DXDpQT9S3w4-QeNym2QJy2BzMBqDXp-XtzJBM"", ""'ESC'!BJ3:BJ139""),MATCH($D107,IMPORTRANGE(""17pNv02DXDpQT9S3w4-QeNym2QJy2BzMBqDXp-XtzJBM"", ""'ESC'!D3:D139""),0))"),70721)</f>
        <v>70721</v>
      </c>
      <c r="AC107" s="289" t="str">
        <f ca="1">IFERROR(__xludf.DUMMYFUNCTION("INDEX(IMPORTRANGE(""17pNv02DXDpQT9S3w4-QeNym2QJy2BzMBqDXp-XtzJBM"", ""'ESC'!BK3:BK139""),MATCH($D107,IMPORTRANGE(""17pNv02DXDpQT9S3w4-QeNym2QJy2BzMBqDXp-XtzJBM"", ""'ESC'!D3:D139""),0))"),"")</f>
        <v/>
      </c>
      <c r="AD107" s="12">
        <f ca="1">IFERROR(__xludf.DUMMYFUNCTION("INDEX(IMPORTRANGE(""17pNv02DXDpQT9S3w4-QeNym2QJy2BzMBqDXp-XtzJBM"", ""'ESC'!BL3:BL139""),MATCH($D107,IMPORTRANGE(""17pNv02DXDpQT9S3w4-QeNym2QJy2BzMBqDXp-XtzJBM"", ""'ESC'!D3:D139""),0))"),73156)</f>
        <v>73156</v>
      </c>
      <c r="AE107" s="12">
        <f ca="1">IFERROR(__xludf.DUMMYFUNCTION("INDEX(IMPORTRANGE(""17pNv02DXDpQT9S3w4-QeNym2QJy2BzMBqDXp-XtzJBM"", ""'ESC'!BM3:BM139""),MATCH($D107,IMPORTRANGE(""17pNv02DXDpQT9S3w4-QeNym2QJy2BzMBqDXp-XtzJBM"", ""'ESC'!D3:D139""),0))"),76952)</f>
        <v>76952</v>
      </c>
      <c r="AF107" s="1"/>
    </row>
    <row r="108" spans="1:32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2" t="s">
        <v>365</v>
      </c>
      <c r="J108" s="7" t="s">
        <v>215</v>
      </c>
      <c r="K108" s="13"/>
      <c r="L108" s="7" t="s">
        <v>216</v>
      </c>
      <c r="M108" s="13"/>
      <c r="N108" s="7" t="s">
        <v>217</v>
      </c>
      <c r="O108" s="7" t="s">
        <v>366</v>
      </c>
      <c r="P108" s="1" t="s">
        <v>218</v>
      </c>
      <c r="Q108" s="15">
        <f t="shared" ref="Q108:R108" si="22">Q107/Q106</f>
        <v>0.43290989660265877</v>
      </c>
      <c r="R108" s="15">
        <f t="shared" si="22"/>
        <v>0.43290989660265877</v>
      </c>
      <c r="S108" s="15">
        <f ca="1">IFERROR(__xludf.DUMMYFUNCTION("INDEX(IMPORTRANGE(""17pNv02DXDpQT9S3w4-QeNym2QJy2BzMBqDXp-XtzJBM"", ""'ESC'!BG3:BG139""),MATCH($D108,IMPORTRANGE(""17pNv02DXDpQT9S3w4-QeNym2QJy2BzMBqDXp-XtzJBM"", ""'ESC'!D3:D139""),0))"),0.344607426221295)</f>
        <v>0.34460742622129498</v>
      </c>
      <c r="T108" s="2"/>
      <c r="U108" s="15">
        <v>0.44</v>
      </c>
      <c r="V108" s="308"/>
      <c r="W108" s="15">
        <v>0.44800000000000001</v>
      </c>
      <c r="X108" s="15">
        <f>(Y108-W108)/6*5+W108</f>
        <v>0.45383333333333337</v>
      </c>
      <c r="Y108" s="15">
        <v>0.45500000000000002</v>
      </c>
      <c r="Z108" s="15">
        <f ca="1">IFERROR(__xludf.DUMMYFUNCTION("INDEX(IMPORTRANGE(""17pNv02DXDpQT9S3w4-QeNym2QJy2BzMBqDXp-XtzJBM"", ""'ESC'!BH3:BH139""),MATCH($D108,IMPORTRANGE(""17pNv02DXDpQT9S3w4-QeNym2QJy2BzMBqDXp-XtzJBM"", ""'ESC'!D3:D139""),0))"),0.432909896602658)</f>
        <v>0.432909896602658</v>
      </c>
      <c r="AA108" s="48" t="str">
        <f ca="1">IFERROR(__xludf.DUMMYFUNCTION("INDEX(IMPORTRANGE(""17pNv02DXDpQT9S3w4-QeNym2QJy2BzMBqDXp-XtzJBM"", ""'ESC'!BI3:BI139""),MATCH($D108,IMPORTRANGE(""17pNv02DXDpQT9S3w4-QeNym2QJy2BzMBqDXp-XtzJBM"", ""'ESC'!D3:D139""),0))"),"")</f>
        <v/>
      </c>
      <c r="AB108" s="15">
        <f ca="1">IFERROR(__xludf.DUMMYFUNCTION("INDEX(IMPORTRANGE(""17pNv02DXDpQT9S3w4-QeNym2QJy2BzMBqDXp-XtzJBM"", ""'ESC'!BJ3:BJ139""),MATCH($D108,IMPORTRANGE(""17pNv02DXDpQT9S3w4-QeNym2QJy2BzMBqDXp-XtzJBM"", ""'ESC'!D3:D139""),0))"),0.396458162819118)</f>
        <v>0.396458162819118</v>
      </c>
      <c r="AC108" s="48" t="str">
        <f ca="1">IFERROR(__xludf.DUMMYFUNCTION("INDEX(IMPORTRANGE(""17pNv02DXDpQT9S3w4-QeNym2QJy2BzMBqDXp-XtzJBM"", ""'ESC'!BK3:BK139""),MATCH($D108,IMPORTRANGE(""17pNv02DXDpQT9S3w4-QeNym2QJy2BzMBqDXp-XtzJBM"", ""'ESC'!D3:D139""),0))"),"")</f>
        <v/>
      </c>
      <c r="AD108" s="15">
        <f ca="1">IFERROR(__xludf.DUMMYFUNCTION("INDEX(IMPORTRANGE(""17pNv02DXDpQT9S3w4-QeNym2QJy2BzMBqDXp-XtzJBM"", ""'ESC'!BL3:BL139""),MATCH($D108,IMPORTRANGE(""17pNv02DXDpQT9S3w4-QeNym2QJy2BzMBqDXp-XtzJBM"", ""'ESC'!D3:D139""),0))"),0.422964847363552)</f>
        <v>0.422964847363552</v>
      </c>
      <c r="AE108" s="26">
        <f ca="1">IFERROR(__xludf.DUMMYFUNCTION("INDEX(IMPORTRANGE(""17pNv02DXDpQT9S3w4-QeNym2QJy2BzMBqDXp-XtzJBM"", ""'ESC'!BM3:BM139""),MATCH($D108,IMPORTRANGE(""17pNv02DXDpQT9S3w4-QeNym2QJy2BzMBqDXp-XtzJBM"", ""'ESC'!D3:D139""),0))"),0.44491211840888)</f>
        <v>0.44491211840888001</v>
      </c>
      <c r="AF108" s="1"/>
    </row>
    <row r="109" spans="1:32">
      <c r="A109" s="7" t="s">
        <v>275</v>
      </c>
      <c r="B109" s="7" t="s">
        <v>276</v>
      </c>
      <c r="C109" s="7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7" t="s">
        <v>366</v>
      </c>
      <c r="P109" s="1" t="s">
        <v>218</v>
      </c>
      <c r="Q109" s="36"/>
      <c r="R109" s="36"/>
      <c r="S109" s="36">
        <f ca="1">IFERROR(__xludf.DUMMYFUNCTION("INDEX(IMPORTRANGE(""17pNv02DXDpQT9S3w4-QeNym2QJy2BzMBqDXp-XtzJBM"", ""'ESC'!BG3:BG139""),MATCH($D109,IMPORTRANGE(""17pNv02DXDpQT9S3w4-QeNym2QJy2BzMBqDXp-XtzJBM"", ""'ESC'!D3:D139""),0))"),119790486.2)</f>
        <v>119790486.2</v>
      </c>
      <c r="T109" s="2"/>
      <c r="U109" s="2"/>
      <c r="V109" s="252"/>
      <c r="W109" s="2"/>
      <c r="X109" s="2"/>
      <c r="Y109" s="2"/>
      <c r="Z109" s="36">
        <f ca="1">IFERROR(__xludf.DUMMYFUNCTION("INDEX(IMPORTRANGE(""17pNv02DXDpQT9S3w4-QeNym2QJy2BzMBqDXp-XtzJBM"", ""'ESC'!BH3:BH139""),MATCH($D109,IMPORTRANGE(""17pNv02DXDpQT9S3w4-QeNym2QJy2BzMBqDXp-XtzJBM"", ""'ESC'!D3:D139""),0))"),151349507.399999)</f>
        <v>151349507.39999899</v>
      </c>
      <c r="AA109" s="46" t="str">
        <f ca="1">IFERROR(__xludf.DUMMYFUNCTION("INDEX(IMPORTRANGE(""17pNv02DXDpQT9S3w4-QeNym2QJy2BzMBqDXp-XtzJBM"", ""'ESC'!BI3:BI139""),MATCH($D109,IMPORTRANGE(""17pNv02DXDpQT9S3w4-QeNym2QJy2BzMBqDXp-XtzJBM"", ""'ESC'!D3:D139""),0))"),"")</f>
        <v/>
      </c>
      <c r="AB109" s="36">
        <f ca="1">IFERROR(__xludf.DUMMYFUNCTION("INDEX(IMPORTRANGE(""17pNv02DXDpQT9S3w4-QeNym2QJy2BzMBqDXp-XtzJBM"", ""'ESC'!BJ3:BJ139""),MATCH($D109,IMPORTRANGE(""17pNv02DXDpQT9S3w4-QeNym2QJy2BzMBqDXp-XtzJBM"", ""'ESC'!D3:D139""),0))"),165744773.61)</f>
        <v>165744773.61000001</v>
      </c>
      <c r="AC109" s="46" t="str">
        <f ca="1">IFERROR(__xludf.DUMMYFUNCTION("INDEX(IMPORTRANGE(""17pNv02DXDpQT9S3w4-QeNym2QJy2BzMBqDXp-XtzJBM"", ""'ESC'!BK3:BK139""),MATCH($D109,IMPORTRANGE(""17pNv02DXDpQT9S3w4-QeNym2QJy2BzMBqDXp-XtzJBM"", ""'ESC'!D3:D139""),0))"),"")</f>
        <v/>
      </c>
      <c r="AD109" s="36">
        <f ca="1">IFERROR(__xludf.DUMMYFUNCTION("INDEX(IMPORTRANGE(""17pNv02DXDpQT9S3w4-QeNym2QJy2BzMBqDXp-XtzJBM"", ""'ESC'!BL3:BL139""),MATCH($D109,IMPORTRANGE(""17pNv02DXDpQT9S3w4-QeNym2QJy2BzMBqDXp-XtzJBM"", ""'ESC'!D3:D139""),0))"),197949868.049999)</f>
        <v>197949868.049999</v>
      </c>
      <c r="AE109" s="2">
        <f ca="1">IFERROR(__xludf.DUMMYFUNCTION("INDEX(IMPORTRANGE(""17pNv02DXDpQT9S3w4-QeNym2QJy2BzMBqDXp-XtzJBM"", ""'ESC'!BM3:BM139""),MATCH($D109,IMPORTRANGE(""17pNv02DXDpQT9S3w4-QeNym2QJy2BzMBqDXp-XtzJBM"", ""'ESC'!D3:D139""),0))"),462376040.899999)</f>
        <v>462376040.89999902</v>
      </c>
      <c r="AF109" s="1"/>
    </row>
    <row r="110" spans="1:32">
      <c r="A110" s="7" t="s">
        <v>275</v>
      </c>
      <c r="B110" s="7" t="s">
        <v>276</v>
      </c>
      <c r="C110" s="7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2" t="s">
        <v>365</v>
      </c>
      <c r="J110" s="7" t="s">
        <v>215</v>
      </c>
      <c r="K110" s="13"/>
      <c r="L110" s="7" t="s">
        <v>216</v>
      </c>
      <c r="M110" s="13"/>
      <c r="N110" s="7" t="s">
        <v>217</v>
      </c>
      <c r="O110" s="7" t="s">
        <v>366</v>
      </c>
      <c r="P110" s="1" t="s">
        <v>218</v>
      </c>
      <c r="Q110" s="36">
        <v>151349507.40000001</v>
      </c>
      <c r="R110" s="36">
        <v>151349507.40000001</v>
      </c>
      <c r="S110" s="36" t="str">
        <f ca="1">IFERROR(__xludf.DUMMYFUNCTION("INDEX(IMPORTRANGE(""17pNv02DXDpQT9S3w4-QeNym2QJy2BzMBqDXp-XtzJBM"", ""'ESC'!BG3:BG139""),MATCH($D110,IMPORTRANGE(""17pNv02DXDpQT9S3w4-QeNym2QJy2BzMBqDXp-XtzJBM"", ""'ESC'!D3:D139""),0))"),"")</f>
        <v/>
      </c>
      <c r="T110" s="2"/>
      <c r="U110" s="36">
        <v>155666338.27000001</v>
      </c>
      <c r="V110" s="252"/>
      <c r="W110" s="36">
        <v>159983169.13</v>
      </c>
      <c r="X110" s="36">
        <f>(Y110-W110)/6*5+W110</f>
        <v>163580528.18833333</v>
      </c>
      <c r="Y110" s="36">
        <v>164300000</v>
      </c>
      <c r="Z110" s="36" t="str">
        <f ca="1">IFERROR(__xludf.DUMMYFUNCTION("INDEX(IMPORTRANGE(""17pNv02DXDpQT9S3w4-QeNym2QJy2BzMBqDXp-XtzJBM"", ""'ESC'!BH3:BH139""),MATCH($D110,IMPORTRANGE(""17pNv02DXDpQT9S3w4-QeNym2QJy2BzMBqDXp-XtzJBM"", ""'ESC'!D3:D139""),0))"),"")</f>
        <v/>
      </c>
      <c r="AA110" s="52" t="str">
        <f ca="1">IFERROR(__xludf.DUMMYFUNCTION("INDEX(IMPORTRANGE(""17pNv02DXDpQT9S3w4-QeNym2QJy2BzMBqDXp-XtzJBM"", ""'ESC'!BI3:BI139""),MATCH($D110,IMPORTRANGE(""17pNv02DXDpQT9S3w4-QeNym2QJy2BzMBqDXp-XtzJBM"", ""'ESC'!D3:D139""),0))"),"")</f>
        <v/>
      </c>
      <c r="AB110" s="36">
        <f ca="1">IFERROR(__xludf.DUMMYFUNCTION("INDEX(IMPORTRANGE(""17pNv02DXDpQT9S3w4-QeNym2QJy2BzMBqDXp-XtzJBM"", ""'ESC'!BJ3:BJ139""),MATCH($D110,IMPORTRANGE(""17pNv02DXDpQT9S3w4-QeNym2QJy2BzMBqDXp-XtzJBM"", ""'ESC'!D3:D139""),0))"),167007731.61)</f>
        <v>167007731.61000001</v>
      </c>
      <c r="AC110" s="52" t="str">
        <f ca="1">IFERROR(__xludf.DUMMYFUNCTION("INDEX(IMPORTRANGE(""17pNv02DXDpQT9S3w4-QeNym2QJy2BzMBqDXp-XtzJBM"", ""'ESC'!BK3:BK139""),MATCH($D110,IMPORTRANGE(""17pNv02DXDpQT9S3w4-QeNym2QJy2BzMBqDXp-XtzJBM"", ""'ESC'!D3:D139""),0))"),"")</f>
        <v/>
      </c>
      <c r="AD110" s="36">
        <f ca="1">IFERROR(__xludf.DUMMYFUNCTION("INDEX(IMPORTRANGE(""17pNv02DXDpQT9S3w4-QeNym2QJy2BzMBqDXp-XtzJBM"", ""'ESC'!BL3:BL139""),MATCH($D110,IMPORTRANGE(""17pNv02DXDpQT9S3w4-QeNym2QJy2BzMBqDXp-XtzJBM"", ""'ESC'!D3:D139""),0))"),203360245.23)</f>
        <v>203360245.22999999</v>
      </c>
      <c r="AE110" s="36">
        <f ca="1">IFERROR(__xludf.DUMMYFUNCTION("INDEX(IMPORTRANGE(""17pNv02DXDpQT9S3w4-QeNym2QJy2BzMBqDXp-XtzJBM"", ""'ESC'!BM3:BM139""),MATCH($D110,IMPORTRANGE(""17pNv02DXDpQT9S3w4-QeNym2QJy2BzMBqDXp-XtzJBM"", ""'ESC'!D3:D139""),0))"),47483936.67)</f>
        <v>47483936.670000002</v>
      </c>
      <c r="AF110" s="1"/>
    </row>
    <row r="111" spans="1:32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7" t="s">
        <v>369</v>
      </c>
      <c r="P111" s="1" t="s">
        <v>218</v>
      </c>
      <c r="Q111" s="36">
        <v>1302702294.1300001</v>
      </c>
      <c r="R111" s="36">
        <v>1302702294.1300001</v>
      </c>
      <c r="S111" s="36">
        <f ca="1">IFERROR(__xludf.DUMMYFUNCTION("INDEX(IMPORTRANGE(""17pNv02DXDpQT9S3w4-QeNym2QJy2BzMBqDXp-XtzJBM"", ""'ESC'!BG3:BG139""),MATCH($D111,IMPORTRANGE(""17pNv02DXDpQT9S3w4-QeNym2QJy2BzMBqDXp-XtzJBM"", ""'ESC'!D3:D139""),0))"),630383126)</f>
        <v>630383126</v>
      </c>
      <c r="T111" s="4"/>
      <c r="U111" s="4"/>
      <c r="V111" s="252"/>
      <c r="W111" s="4"/>
      <c r="X111" s="4"/>
      <c r="Y111" s="4"/>
      <c r="Z111" s="36">
        <f ca="1">IFERROR(__xludf.DUMMYFUNCTION("INDEX(IMPORTRANGE(""17pNv02DXDpQT9S3w4-QeNym2QJy2BzMBqDXp-XtzJBM"", ""'ESC'!BH3:BH139""),MATCH($D111,IMPORTRANGE(""17pNv02DXDpQT9S3w4-QeNym2QJy2BzMBqDXp-XtzJBM"", ""'ESC'!D3:D139""),0))"),1302702294.13)</f>
        <v>1302702294.1300001</v>
      </c>
      <c r="AA111" s="52" t="str">
        <f ca="1">IFERROR(__xludf.DUMMYFUNCTION("INDEX(IMPORTRANGE(""17pNv02DXDpQT9S3w4-QeNym2QJy2BzMBqDXp-XtzJBM"", ""'ESC'!BI3:BI139""),MATCH($D111,IMPORTRANGE(""17pNv02DXDpQT9S3w4-QeNym2QJy2BzMBqDXp-XtzJBM"", ""'ESC'!D3:D139""),0))"),"")</f>
        <v/>
      </c>
      <c r="AB111" s="36">
        <f ca="1">IFERROR(__xludf.DUMMYFUNCTION("INDEX(IMPORTRANGE(""17pNv02DXDpQT9S3w4-QeNym2QJy2BzMBqDXp-XtzJBM"", ""'ESC'!BJ3:BJ139""),MATCH($D111,IMPORTRANGE(""17pNv02DXDpQT9S3w4-QeNym2QJy2BzMBqDXp-XtzJBM"", ""'ESC'!D3:D139""),0))"),1623875835.75)</f>
        <v>1623875835.75</v>
      </c>
      <c r="AC111" s="52" t="str">
        <f ca="1">IFERROR(__xludf.DUMMYFUNCTION("INDEX(IMPORTRANGE(""17pNv02DXDpQT9S3w4-QeNym2QJy2BzMBqDXp-XtzJBM"", ""'ESC'!BK3:BK139""),MATCH($D111,IMPORTRANGE(""17pNv02DXDpQT9S3w4-QeNym2QJy2BzMBqDXp-XtzJBM"", ""'ESC'!D3:D139""),0))"),"")</f>
        <v/>
      </c>
      <c r="AD111" s="36">
        <f ca="1">IFERROR(__xludf.DUMMYFUNCTION("INDEX(IMPORTRANGE(""17pNv02DXDpQT9S3w4-QeNym2QJy2BzMBqDXp-XtzJBM"", ""'ESC'!BL3:BL139""),MATCH($D111,IMPORTRANGE(""17pNv02DXDpQT9S3w4-QeNym2QJy2BzMBqDXp-XtzJBM"", ""'ESC'!D3:D139""),0))"),2282200711.61)</f>
        <v>2282200711.6100001</v>
      </c>
      <c r="AE111" s="36">
        <f ca="1">IFERROR(__xludf.DUMMYFUNCTION("INDEX(IMPORTRANGE(""17pNv02DXDpQT9S3w4-QeNym2QJy2BzMBqDXp-XtzJBM"", ""'ESC'!BM3:BM139""),MATCH($D111,IMPORTRANGE(""17pNv02DXDpQT9S3w4-QeNym2QJy2BzMBqDXp-XtzJBM"", ""'ESC'!D3:D139""),0))"),1331613777.39)</f>
        <v>1331613777.3900001</v>
      </c>
      <c r="AF111" s="1"/>
    </row>
    <row r="112" spans="1:32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7" t="s">
        <v>213</v>
      </c>
      <c r="H112" s="1" t="s">
        <v>214</v>
      </c>
      <c r="I112" s="2" t="s">
        <v>368</v>
      </c>
      <c r="J112" s="7" t="s">
        <v>215</v>
      </c>
      <c r="K112" s="13"/>
      <c r="L112" s="7" t="s">
        <v>216</v>
      </c>
      <c r="M112" s="13"/>
      <c r="N112" s="7" t="s">
        <v>217</v>
      </c>
      <c r="O112" s="7" t="s">
        <v>369</v>
      </c>
      <c r="P112" s="1" t="s">
        <v>218</v>
      </c>
      <c r="Q112" s="15">
        <f t="shared" ref="Q112:R112" si="23">Q104/Q111</f>
        <v>0.69821910047947722</v>
      </c>
      <c r="R112" s="15">
        <f t="shared" si="23"/>
        <v>0.69821910047947722</v>
      </c>
      <c r="S112" s="15">
        <f ca="1">IFERROR(__xludf.DUMMYFUNCTION("INDEX(IMPORTRANGE(""17pNv02DXDpQT9S3w4-QeNym2QJy2BzMBqDXp-XtzJBM"", ""'ESC'!BG3:BG139""),MATCH($D112,IMPORTRANGE(""17pNv02DXDpQT9S3w4-QeNym2QJy2BzMBqDXp-XtzJBM"", ""'ESC'!D3:D139""),0))"),0.631648687246111)</f>
        <v>0.63164868724611101</v>
      </c>
      <c r="T112" s="2"/>
      <c r="U112" s="15">
        <v>0.68200000000000005</v>
      </c>
      <c r="V112" s="308"/>
      <c r="W112" s="15">
        <v>0.66600000000000004</v>
      </c>
      <c r="X112" s="15">
        <f>(Y112-W112)/6*5+W112</f>
        <v>0.65266666666666673</v>
      </c>
      <c r="Y112" s="15">
        <v>0.65</v>
      </c>
      <c r="Z112" s="15">
        <f ca="1">IFERROR(__xludf.DUMMYFUNCTION("INDEX(IMPORTRANGE(""17pNv02DXDpQT9S3w4-QeNym2QJy2BzMBqDXp-XtzJBM"", ""'ESC'!BH3:BH139""),MATCH($D112,IMPORTRANGE(""17pNv02DXDpQT9S3w4-QeNym2QJy2BzMBqDXp-XtzJBM"", ""'ESC'!D3:D139""),0))"),0.698219100479477)</f>
        <v>0.698219100479477</v>
      </c>
      <c r="AA112" s="48" t="str">
        <f ca="1">IFERROR(__xludf.DUMMYFUNCTION("INDEX(IMPORTRANGE(""17pNv02DXDpQT9S3w4-QeNym2QJy2BzMBqDXp-XtzJBM"", ""'ESC'!BI3:BI139""),MATCH($D112,IMPORTRANGE(""17pNv02DXDpQT9S3w4-QeNym2QJy2BzMBqDXp-XtzJBM"", ""'ESC'!D3:D139""),0))"),"")</f>
        <v/>
      </c>
      <c r="AB112" s="15">
        <f ca="1">IFERROR(__xludf.DUMMYFUNCTION("INDEX(IMPORTRANGE(""17pNv02DXDpQT9S3w4-QeNym2QJy2BzMBqDXp-XtzJBM"", ""'ESC'!BJ3:BJ139""),MATCH($D112,IMPORTRANGE(""17pNv02DXDpQT9S3w4-QeNym2QJy2BzMBqDXp-XtzJBM"", ""'ESC'!D3:D139""),0))"),0.560617984957905)</f>
        <v>0.56061798495790505</v>
      </c>
      <c r="AC112" s="48" t="str">
        <f ca="1">IFERROR(__xludf.DUMMYFUNCTION("INDEX(IMPORTRANGE(""17pNv02DXDpQT9S3w4-QeNym2QJy2BzMBqDXp-XtzJBM"", ""'ESC'!BK3:BK139""),MATCH($D112,IMPORTRANGE(""17pNv02DXDpQT9S3w4-QeNym2QJy2BzMBqDXp-XtzJBM"", ""'ESC'!D3:D139""),0))"),"")</f>
        <v/>
      </c>
      <c r="AD112" s="15">
        <f ca="1">IFERROR(__xludf.DUMMYFUNCTION("INDEX(IMPORTRANGE(""17pNv02DXDpQT9S3w4-QeNym2QJy2BzMBqDXp-XtzJBM"", ""'ESC'!BL3:BL139""),MATCH($D112,IMPORTRANGE(""17pNv02DXDpQT9S3w4-QeNym2QJy2BzMBqDXp-XtzJBM"", ""'ESC'!D3:D139""),0))"),0.537005210048077)</f>
        <v>0.537005210048077</v>
      </c>
      <c r="AE112" s="26">
        <f ca="1">IFERROR(__xludf.DUMMYFUNCTION("INDEX(IMPORTRANGE(""17pNv02DXDpQT9S3w4-QeNym2QJy2BzMBqDXp-XtzJBM"", ""'ESC'!BM3:BM139""),MATCH($D112,IMPORTRANGE(""17pNv02DXDpQT9S3w4-QeNym2QJy2BzMBqDXp-XtzJBM"", ""'ESC'!D3:D139""),0))"),0.471847922271818)</f>
        <v>0.47184792227181799</v>
      </c>
      <c r="AF112" s="1"/>
    </row>
    <row r="113" spans="1:32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49">
        <v>44348</v>
      </c>
      <c r="J113" s="1" t="s">
        <v>254</v>
      </c>
      <c r="K113" s="13"/>
      <c r="L113" s="1" t="s">
        <v>255</v>
      </c>
      <c r="M113" s="13"/>
      <c r="N113" s="1" t="s">
        <v>256</v>
      </c>
      <c r="O113" s="1">
        <v>45473</v>
      </c>
      <c r="P113" s="1"/>
      <c r="Q113" s="2" t="s">
        <v>308</v>
      </c>
      <c r="R113" s="2" t="s">
        <v>308</v>
      </c>
      <c r="S113" s="2" t="str">
        <f ca="1">IFERROR(__xludf.DUMMYFUNCTION("INDEX(IMPORTRANGE(""17pNv02DXDpQT9S3w4-QeNym2QJy2BzMBqDXp-XtzJBM"", ""'ESC'!BG3:BG139""),MATCH($D113,IMPORTRANGE(""17pNv02DXDpQT9S3w4-QeNym2QJy2BzMBqDXp-XtzJBM"", ""'ESC'!D3:D139""),0))"),"Verde")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2" t="str">
        <f ca="1">IFERROR(__xludf.DUMMYFUNCTION("INDEX(IMPORTRANGE(""17pNv02DXDpQT9S3w4-QeNym2QJy2BzMBqDXp-XtzJBM"", ""'ESC'!BH3:BH139""),MATCH($D113,IMPORTRANGE(""17pNv02DXDpQT9S3w4-QeNym2QJy2BzMBqDXp-XtzJBM"", ""'ESC'!D3:D139""),0))"),"verde")</f>
        <v>verde</v>
      </c>
      <c r="AA113" s="46" t="str">
        <f ca="1">IFERROR(__xludf.DUMMYFUNCTION("INDEX(IMPORTRANGE(""17pNv02DXDpQT9S3w4-QeNym2QJy2BzMBqDXp-XtzJBM"", ""'ESC'!BI3:BI139""),MATCH($D113,IMPORTRANGE(""17pNv02DXDpQT9S3w4-QeNym2QJy2BzMBqDXp-XtzJBM"", ""'ESC'!D3:D139""),0))"),"")</f>
        <v/>
      </c>
      <c r="AB113" s="2" t="str">
        <f ca="1">IFERROR(__xludf.DUMMYFUNCTION("INDEX(IMPORTRANGE(""17pNv02DXDpQT9S3w4-QeNym2QJy2BzMBqDXp-XtzJBM"", ""'ESC'!BJ3:BJ139""),MATCH($D113,IMPORTRANGE(""17pNv02DXDpQT9S3w4-QeNym2QJy2BzMBqDXp-XtzJBM"", ""'ESC'!D3:D139""),0))"),"Verde")</f>
        <v>Verde</v>
      </c>
      <c r="AC113" s="46" t="str">
        <f ca="1">IFERROR(__xludf.DUMMYFUNCTION("INDEX(IMPORTRANGE(""17pNv02DXDpQT9S3w4-QeNym2QJy2BzMBqDXp-XtzJBM"", ""'ESC'!BK3:BK139""),MATCH($D113,IMPORTRANGE(""17pNv02DXDpQT9S3w4-QeNym2QJy2BzMBqDXp-XtzJBM"", ""'ESC'!D3:D139""),0))"),"")</f>
        <v/>
      </c>
      <c r="AD113" s="2" t="str">
        <f ca="1">IFERROR(__xludf.DUMMYFUNCTION("INDEX(IMPORTRANGE(""17pNv02DXDpQT9S3w4-QeNym2QJy2BzMBqDXp-XtzJBM"", ""'ESC'!BL3:BL139""),MATCH($D113,IMPORTRANGE(""17pNv02DXDpQT9S3w4-QeNym2QJy2BzMBqDXp-XtzJBM"", ""'ESC'!D3:D139""),0))"),"Verde")</f>
        <v>Verde</v>
      </c>
      <c r="AE113" s="2" t="str">
        <f ca="1">IFERROR(__xludf.DUMMYFUNCTION("INDEX(IMPORTRANGE(""17pNv02DXDpQT9S3w4-QeNym2QJy2BzMBqDXp-XtzJBM"", ""'ESC'!BM3:BM139""),MATCH($D113,IMPORTRANGE(""17pNv02DXDpQT9S3w4-QeNym2QJy2BzMBqDXp-XtzJBM"", ""'ESC'!D3:D139""),0))"),"Verde")</f>
        <v>Verde</v>
      </c>
      <c r="AF113" s="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C54AE-DCA6-714A-82DF-355F5CCEF5C3}">
  <dimension ref="A1:M39"/>
  <sheetViews>
    <sheetView workbookViewId="0">
      <selection activeCell="O4" sqref="O4"/>
    </sheetView>
  </sheetViews>
  <sheetFormatPr baseColWidth="10" defaultRowHeight="16"/>
  <cols>
    <col min="1" max="1" width="10.83203125" style="118"/>
    <col min="3" max="3" width="18.6640625" customWidth="1"/>
    <col min="8" max="8" width="12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30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ESC'!$D$3:$AE$113,6,0)</f>
        <v>44469</v>
      </c>
      <c r="E2" s="212">
        <f ca="1">VLOOKUP(C2,'BD EVA 5 ESC'!$D$3:$AE$113,16,0)</f>
        <v>531</v>
      </c>
      <c r="F2" s="75" t="str">
        <f>VLOOKUP(C2,'BD EVA 5 ESC'!$D$3:$AE$113,12,0)</f>
        <v>Ago 2024</v>
      </c>
      <c r="G2" s="212">
        <f ca="1">VLOOKUP(C2,'BD EVA 5 ESC'!$D$3:$AE$113,28,0)</f>
        <v>678</v>
      </c>
      <c r="H2" s="212">
        <f>VLOOKUP(C2,'BD EVA 5 ESC'!$D$3:$AE$113,21,0)</f>
        <v>646</v>
      </c>
      <c r="I2" s="78">
        <f ca="1">IF(G2&gt;=E2,G2/H2,0)</f>
        <v>1.0495356037151702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8.7301570772865524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ESC'!$D$3:$AE$113,6,0)</f>
        <v>44469</v>
      </c>
      <c r="E3" s="207">
        <f ca="1">VLOOKUP(C3,'BD EVA 5 ESC'!$D$3:$AE$113,16,0)</f>
        <v>0.89077212806026296</v>
      </c>
      <c r="F3" s="75" t="str">
        <f>VLOOKUP(C3,'BD EVA 5 ESC'!$D$3:$AE$113,12,0)</f>
        <v>Ago 2024</v>
      </c>
      <c r="G3" s="207">
        <f ca="1">VLOOKUP(C3,'BD EVA 5 ESC'!$D$3:$AE$113,28,0)</f>
        <v>0.88495575221238898</v>
      </c>
      <c r="H3" s="207" t="str">
        <f>VLOOKUP(C3,'BD EVA 5 ESC'!$D$3:$AE$113,21,0)</f>
        <v>&gt;=97%</v>
      </c>
      <c r="I3" s="78">
        <f ca="1">IF(G3&gt;=97%,1,G3/97%)</f>
        <v>0.91232551774473092</v>
      </c>
      <c r="J3" s="75" t="s">
        <v>318</v>
      </c>
      <c r="K3" s="81">
        <v>3.8</v>
      </c>
      <c r="L3" s="81">
        <f t="shared" ca="1" si="0"/>
        <v>3.4668369674299773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ESC'!$D$3:$AE$113,6,0)</f>
        <v>44469</v>
      </c>
      <c r="E4" s="207">
        <f ca="1">VLOOKUP(C4,'BD EVA 5 ESC'!$D$3:$AE$113,16,0)</f>
        <v>1.88323917137476E-2</v>
      </c>
      <c r="F4" s="89" t="str">
        <f>VLOOKUP(C4,'BD EVA 5 ESC'!$D$3:$AE$113,12,0)</f>
        <v>Ago 2024</v>
      </c>
      <c r="G4" s="207">
        <f ca="1">VLOOKUP(C4,'BD EVA 5 ESC'!$D$3:$AE$113,28,0)</f>
        <v>7.0796460176991094E-2</v>
      </c>
      <c r="H4" s="207">
        <f>VLOOKUP(C4,'BD EVA 5 ESC'!$D$3:$AE$113,21,0)</f>
        <v>9.6666666666666679E-2</v>
      </c>
      <c r="I4" s="77">
        <f t="shared" ref="I4:I5" ca="1" si="1">G4/H4</f>
        <v>0.73237717424473536</v>
      </c>
      <c r="J4" s="75" t="s">
        <v>318</v>
      </c>
      <c r="K4" s="81">
        <v>3.5</v>
      </c>
      <c r="L4" s="81">
        <f t="shared" ca="1" si="0"/>
        <v>2.5633201098565737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ESC'!$D$3:$AE$113,6,0)</f>
        <v>octubre 20 - agosto 21</v>
      </c>
      <c r="E5" s="207">
        <f ca="1">VLOOKUP(C5,'BD EVA 5 ESC'!$D$3:$AE$113,16,0)</f>
        <v>0</v>
      </c>
      <c r="F5" s="75" t="str">
        <f>VLOOKUP(C5,'BD EVA 5 ESC'!$D$3:$AE$113,12,0)</f>
        <v>octubre 23 - agosto 24</v>
      </c>
      <c r="G5" s="207">
        <f ca="1">VLOOKUP(C5,'BD EVA 5 ESC'!$D$3:$AE$113,28,0)</f>
        <v>8.5930296883643703E-2</v>
      </c>
      <c r="H5" s="207">
        <f>VLOOKUP(C5,'BD EVA 5 ESC'!$D$3:$AE$113,21,0)</f>
        <v>0.14499999999999999</v>
      </c>
      <c r="I5" s="77">
        <f t="shared" ca="1" si="1"/>
        <v>0.59262273712857727</v>
      </c>
      <c r="J5" s="75" t="s">
        <v>318</v>
      </c>
      <c r="K5" s="208">
        <v>1.6</v>
      </c>
      <c r="L5" s="209">
        <f t="shared" ca="1" si="0"/>
        <v>0.94819637940572365</v>
      </c>
      <c r="M5" s="130">
        <f ca="1">SUM(L5:L10)</f>
        <v>1.9893496857919395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ESC'!$D$3:$AE$113,6,0)</f>
        <v>octubre 20 - agosto 21</v>
      </c>
      <c r="E6" s="209">
        <f ca="1">VLOOKUP(C6,'BD EVA 5 ESC'!$D$3:$AE$113,16,0)</f>
        <v>16.706388396038601</v>
      </c>
      <c r="F6" s="75" t="str">
        <f>VLOOKUP(C6,'BD EVA 5 ESC'!$D$3:$AE$113,12,0)</f>
        <v>octubre 23 - agosto 24</v>
      </c>
      <c r="G6" s="209">
        <f ca="1">VLOOKUP(C6,'BD EVA 5 ESC'!$D$3:$AE$113,28,0)</f>
        <v>12.9057104696039</v>
      </c>
      <c r="H6" s="209">
        <f ca="1">VLOOKUP(C6,'BD EVA 5 ESC'!$D$3:$AE$113,21,0)</f>
        <v>7.8024691358024327</v>
      </c>
      <c r="I6" s="78">
        <f t="shared" ref="I6:I10" ca="1" si="2">(G6-E6)/(H6-E6)</f>
        <v>0.42685449130340519</v>
      </c>
      <c r="J6" s="71" t="s">
        <v>319</v>
      </c>
      <c r="K6" s="208">
        <v>1.7</v>
      </c>
      <c r="L6" s="209">
        <f t="shared" ca="1" si="0"/>
        <v>0.72565263521578882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ESC'!$D$3:$AE$113,6,0)</f>
        <v>octubre 20 - agosto 21</v>
      </c>
      <c r="E7" s="208">
        <f ca="1">VLOOKUP(C7,'BD EVA 5 ESC'!$D$3:$AE$113,16,0)</f>
        <v>281.47092348262601</v>
      </c>
      <c r="F7" s="75" t="str">
        <f>VLOOKUP(C7,'BD EVA 5 ESC'!$D$3:$AE$113,12,0)</f>
        <v>octubre 23 - agosto 24</v>
      </c>
      <c r="G7" s="208">
        <f ca="1">VLOOKUP(C7,'BD EVA 5 ESC'!$D$3:$AE$113,28,0)</f>
        <v>258.523914486352</v>
      </c>
      <c r="H7" s="208">
        <f ca="1">VLOOKUP(C7,'BD EVA 5 ESC'!$D$3:$AE$113,21,0)</f>
        <v>165.09965156794399</v>
      </c>
      <c r="I7" s="78">
        <f t="shared" ca="1" si="2"/>
        <v>0.19718791948151673</v>
      </c>
      <c r="J7" s="71" t="s">
        <v>319</v>
      </c>
      <c r="K7" s="208">
        <v>1.6</v>
      </c>
      <c r="L7" s="209">
        <f t="shared" ca="1" si="0"/>
        <v>0.31550067117042679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ESC'!$D$3:$AE$113,6,0)</f>
        <v>octubre 20 - agosto 21</v>
      </c>
      <c r="E8" s="208">
        <f ca="1">VLOOKUP(C8,'BD EVA 5 ESC'!$D$3:$AE$113,16,0)</f>
        <v>772.51185836366199</v>
      </c>
      <c r="F8" s="75" t="str">
        <f>VLOOKUP(C8,'BD EVA 5 ESC'!$D$3:$AE$113,12,0)</f>
        <v>octubre 23 - agosto 24</v>
      </c>
      <c r="G8" s="208">
        <f ca="1">VLOOKUP(C8,'BD EVA 5 ESC'!$D$3:$AE$113,28,0)</f>
        <v>1030.6131646440799</v>
      </c>
      <c r="H8" s="208">
        <f ca="1">VLOOKUP(C8,'BD EVA 5 ESC'!$D$3:$AE$113,21,0)</f>
        <v>389.52908163265295</v>
      </c>
      <c r="I8" s="78">
        <f t="shared" ca="1" si="2"/>
        <v>-0.6739240560201416</v>
      </c>
      <c r="J8" s="71" t="s">
        <v>319</v>
      </c>
      <c r="K8" s="208">
        <v>1.7</v>
      </c>
      <c r="L8" s="209">
        <f t="shared" ca="1" si="0"/>
        <v>0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ESC'!$D$3:$AE$113,6,0)</f>
        <v>octubre 20 - agosto 21</v>
      </c>
      <c r="E9" s="208">
        <f ca="1">VLOOKUP(C9,'BD EVA 5 ESC'!$D$3:$AE$113,16,0)</f>
        <v>143.801824168434</v>
      </c>
      <c r="F9" s="75" t="str">
        <f>VLOOKUP(C9,'BD EVA 5 ESC'!$D$3:$AE$113,12,0)</f>
        <v>octubre 23 - agosto 24</v>
      </c>
      <c r="G9" s="208">
        <f ca="1">VLOOKUP(C9,'BD EVA 5 ESC'!$D$3:$AE$113,28,0)</f>
        <v>162.24321733216399</v>
      </c>
      <c r="H9" s="208">
        <f ca="1">VLOOKUP(C9,'BD EVA 5 ESC'!$D$3:$AE$113,21,0)</f>
        <v>67.721691678035356</v>
      </c>
      <c r="I9" s="78">
        <f t="shared" ca="1" si="2"/>
        <v>-0.2423943355521537</v>
      </c>
      <c r="J9" s="71" t="s">
        <v>319</v>
      </c>
      <c r="K9" s="208">
        <v>1.7</v>
      </c>
      <c r="L9" s="209">
        <f t="shared" ca="1" si="0"/>
        <v>0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ESC'!$D$3:$AE$113,6,0)</f>
        <v>octubre 20 - agosto 21</v>
      </c>
      <c r="E10" s="208">
        <f ca="1">VLOOKUP(C10,'BD EVA 5 ESC'!$D$3:$AE$113,16,0)</f>
        <v>15.014602229351199</v>
      </c>
      <c r="F10" s="89" t="str">
        <f>VLOOKUP(C10,'BD EVA 5 ESC'!$D$3:$AE$113,12,0)</f>
        <v>octubre 23 - agosto 24</v>
      </c>
      <c r="G10" s="208">
        <f ca="1">VLOOKUP(C10,'BD EVA 5 ESC'!$D$3:$AE$113,28,0)</f>
        <v>23.558042920705599</v>
      </c>
      <c r="H10" s="208">
        <f ca="1">VLOOKUP(C10,'BD EVA 5 ESC'!$D$3:$AE$113,21,0)</f>
        <v>2.662499999999997</v>
      </c>
      <c r="I10" s="78">
        <f t="shared" ca="1" si="2"/>
        <v>-0.69165883933937822</v>
      </c>
      <c r="J10" s="71" t="s">
        <v>319</v>
      </c>
      <c r="K10" s="208">
        <v>1.7</v>
      </c>
      <c r="L10" s="209">
        <f t="shared" ca="1" si="0"/>
        <v>0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ESC'!$D$3:$AE$113,6,0)</f>
        <v>44469</v>
      </c>
      <c r="E11" s="78">
        <f ca="1">VLOOKUP(C11,'BD EVA 5 ESC'!$D$3:$AE$113,16,0)</f>
        <v>0</v>
      </c>
      <c r="F11" s="75" t="str">
        <f>VLOOKUP(C11,'BD EVA 5 ESC'!$D$3:$AE$113,12,0)</f>
        <v>Ago 2024</v>
      </c>
      <c r="G11" s="78">
        <f ca="1">VLOOKUP(C11,'BD EVA 5 ESC'!$D$3:$AE$113,28,0)</f>
        <v>0</v>
      </c>
      <c r="H11" s="78" t="str">
        <f>VLOOKUP(C11,'BD EVA 5 ESC'!$D$3:$AE$113,21,0)</f>
        <v>Sin meta</v>
      </c>
      <c r="I11" s="77">
        <v>0</v>
      </c>
      <c r="J11" s="89" t="s">
        <v>318</v>
      </c>
      <c r="K11" s="81">
        <v>1.05</v>
      </c>
      <c r="L11" s="209">
        <f t="shared" si="0"/>
        <v>0</v>
      </c>
      <c r="M11" s="130">
        <f ca="1">SUM(L11:L15)</f>
        <v>8.081949917030304</v>
      </c>
    </row>
    <row r="12" spans="1:13" ht="91">
      <c r="A12" s="121" t="s">
        <v>119</v>
      </c>
      <c r="B12" s="72" t="s">
        <v>120</v>
      </c>
      <c r="C12" s="72" t="s">
        <v>333</v>
      </c>
      <c r="D12" s="75" t="str">
        <f>VLOOKUP(C12,'BD EVA 5 ESC'!$D$3:$AE$113,6,0)</f>
        <v>octubre 20 - agosto 21</v>
      </c>
      <c r="E12" s="210" t="str">
        <f ca="1">VLOOKUP(C12,'BD EVA 5 ESC'!$D$3:$AE$113,16,0)</f>
        <v/>
      </c>
      <c r="F12" s="75" t="str">
        <f>VLOOKUP(C12,'BD EVA 5 ESC'!$D$3:$AE$113,12,0)</f>
        <v>octubre 23 - agosto 24</v>
      </c>
      <c r="G12" s="210">
        <f ca="1">VLOOKUP(C12,'BD EVA 5 ESC'!$D$3:$AE$113,28,0)</f>
        <v>1.01083287239058E-4</v>
      </c>
      <c r="H12" s="210">
        <f>VLOOKUP(C12,'BD EVA 5 ESC'!$D$3:$AE$113,21,0)</f>
        <v>5.8333333333333327E-4</v>
      </c>
      <c r="I12" s="78">
        <f t="shared" ref="I12:I15" ca="1" si="3">G12/H12</f>
        <v>0.17328563526695659</v>
      </c>
      <c r="J12" s="75" t="s">
        <v>318</v>
      </c>
      <c r="K12" s="81">
        <v>1.05</v>
      </c>
      <c r="L12" s="209">
        <f t="shared" ca="1" si="0"/>
        <v>0.18194991703030441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ESC'!$D$3:$AE$113,6,0)</f>
        <v>octubre 20 - agosto 21</v>
      </c>
      <c r="E13" s="212">
        <f ca="1">VLOOKUP(C13,'BD EVA 5 ESC'!$D$3:$AE$113,16,0)</f>
        <v>0</v>
      </c>
      <c r="F13" s="75" t="str">
        <f>VLOOKUP(C13,'BD EVA 5 ESC'!$D$3:$AE$113,12,0)</f>
        <v>octubre 21 - agosto 24</v>
      </c>
      <c r="G13" s="212">
        <f ca="1">VLOOKUP(C13,'BD EVA 5 ESC'!$D$3:$AE$113,28,0)</f>
        <v>3</v>
      </c>
      <c r="H13" s="212">
        <f>VLOOKUP(C13,'BD EVA 5 ESC'!$D$3:$AE$113,21,0)</f>
        <v>3</v>
      </c>
      <c r="I13" s="78">
        <f t="shared" ca="1" si="3"/>
        <v>1</v>
      </c>
      <c r="J13" s="75" t="s">
        <v>318</v>
      </c>
      <c r="K13" s="81">
        <v>2.4</v>
      </c>
      <c r="L13" s="209">
        <f t="shared" ca="1" si="0"/>
        <v>2.4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ESC'!$D$3:$AE$113,6,0)</f>
        <v>octubre 20 - agosto 21</v>
      </c>
      <c r="E14" s="212">
        <f ca="1">VLOOKUP(C14,'BD EVA 5 ESC'!$D$3:$AE$113,16,0)</f>
        <v>3665</v>
      </c>
      <c r="F14" s="75" t="str">
        <f>VLOOKUP(C14,'BD EVA 5 ESC'!$D$3:$AE$113,12,0)</f>
        <v>octubre 21 - agosto 24</v>
      </c>
      <c r="G14" s="212">
        <f ca="1">VLOOKUP(C14,'BD EVA 5 ESC'!$D$3:$AE$113,28,0)</f>
        <v>4019</v>
      </c>
      <c r="H14" s="212">
        <f>VLOOKUP(C14,'BD EVA 5 ESC'!$D$3:$AE$113,21,0)</f>
        <v>2916.6666666666665</v>
      </c>
      <c r="I14" s="78">
        <f t="shared" ca="1" si="3"/>
        <v>1.3779428571428571</v>
      </c>
      <c r="J14" s="75" t="s">
        <v>318</v>
      </c>
      <c r="K14" s="81">
        <v>2.4</v>
      </c>
      <c r="L14" s="209">
        <f t="shared" ca="1" si="0"/>
        <v>2.4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ESC'!$D$3:$AE$113,6,0)</f>
        <v>octubre 20 - agosto 21</v>
      </c>
      <c r="E15" s="212">
        <f ca="1">VLOOKUP(C15,'BD EVA 5 ESC'!$D$3:$AE$113,16,0)</f>
        <v>4</v>
      </c>
      <c r="F15" s="89" t="str">
        <f>VLOOKUP(C15,'BD EVA 5 ESC'!$D$3:$AE$113,12,0)</f>
        <v>octubre 21 - agosto 24</v>
      </c>
      <c r="G15" s="212">
        <f ca="1">VLOOKUP(C15,'BD EVA 5 ESC'!$D$3:$AE$113,28,0)</f>
        <v>7</v>
      </c>
      <c r="H15" s="212">
        <f>VLOOKUP(C15,'BD EVA 5 ESC'!$D$3:$AE$113,21,0)</f>
        <v>6.833333333333333</v>
      </c>
      <c r="I15" s="78">
        <f t="shared" ca="1" si="3"/>
        <v>1.024390243902439</v>
      </c>
      <c r="J15" s="75" t="s">
        <v>318</v>
      </c>
      <c r="K15" s="81">
        <v>3.1</v>
      </c>
      <c r="L15" s="209">
        <f t="shared" ca="1" si="0"/>
        <v>3.1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ESC'!$D$3:$AE$113,6,0)</f>
        <v>44469</v>
      </c>
      <c r="E16" s="213">
        <f ca="1">VLOOKUP(C16,'BD EVA 5 ESC'!$D$3:$AE$113,16,0)</f>
        <v>0.33333333333333298</v>
      </c>
      <c r="F16" s="75" t="str">
        <f>VLOOKUP(C16,'BD EVA 5 ESC'!$D$3:$AE$113,12,0)</f>
        <v>Ago 2024</v>
      </c>
      <c r="G16" s="213">
        <f ca="1">VLOOKUP(C16,'BD EVA 5 ESC'!$D$3:$AE$113,28,0)</f>
        <v>1</v>
      </c>
      <c r="H16" s="213" t="str">
        <f>VLOOKUP(C16,'BD EVA 5 ESC'!$D$3:$AE$113,21,0)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09">
        <f t="shared" ca="1" si="0"/>
        <v>1.5</v>
      </c>
      <c r="M16" s="130">
        <f ca="1">SUM(L16:L23)</f>
        <v>8.1429012524141378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ESC'!$D$3:$AE$113,6,0)</f>
        <v>44469</v>
      </c>
      <c r="E17" s="212">
        <f ca="1">VLOOKUP(C17,'BD EVA 5 ESC'!$D$3:$AE$113,16,0)</f>
        <v>0</v>
      </c>
      <c r="F17" s="75" t="str">
        <f>VLOOKUP(C17,'BD EVA 5 ESC'!$D$3:$AE$113,12,0)</f>
        <v>Ago 2024</v>
      </c>
      <c r="G17" s="212">
        <f ca="1">VLOOKUP(C17,'BD EVA 5 ESC'!$D$3:$AE$113,28,0)</f>
        <v>0</v>
      </c>
      <c r="H17" s="212" t="str">
        <f>VLOOKUP(C17,'BD EVA 5 ESC'!$D$3:$AE$113,21,0)</f>
        <v>Actualizado al 2019</v>
      </c>
      <c r="I17" s="214">
        <f t="shared" ca="1" si="4"/>
        <v>0</v>
      </c>
      <c r="J17" s="75" t="s">
        <v>318</v>
      </c>
      <c r="K17" s="81">
        <v>1.5</v>
      </c>
      <c r="L17" s="209">
        <f t="shared" ca="1" si="0"/>
        <v>0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ESC'!$D$3:$AE$113,6,0)</f>
        <v>44469</v>
      </c>
      <c r="E18" s="207">
        <f ca="1">VLOOKUP(C18,'BD EVA 5 ESC'!$D$3:$AE$113,16,0)</f>
        <v>0.5</v>
      </c>
      <c r="F18" s="75" t="str">
        <f>VLOOKUP(C18,'BD EVA 5 ESC'!$D$3:$AE$113,12,0)</f>
        <v>Ago 2024</v>
      </c>
      <c r="G18" s="207">
        <f ca="1">VLOOKUP(C18,'BD EVA 5 ESC'!$D$3:$AE$113,28,0)</f>
        <v>0.66666666666666596</v>
      </c>
      <c r="H18" s="207">
        <f>VLOOKUP(C18,'BD EVA 5 ESC'!$D$3:$AE$113,21,0)</f>
        <v>1</v>
      </c>
      <c r="I18" s="214">
        <f t="shared" ref="I18:I27" ca="1" si="5">G18/H18</f>
        <v>0.66666666666666596</v>
      </c>
      <c r="J18" s="75" t="s">
        <v>318</v>
      </c>
      <c r="K18" s="81">
        <v>0.3</v>
      </c>
      <c r="L18" s="209">
        <f t="shared" ca="1" si="0"/>
        <v>0.19999999999999979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ESC'!$D$3:$AE$113,6,0)</f>
        <v>44469</v>
      </c>
      <c r="E19" s="207">
        <f ca="1">VLOOKUP(C19,'BD EVA 5 ESC'!$D$3:$AE$113,16,0)</f>
        <v>0.99909357343565797</v>
      </c>
      <c r="F19" s="75" t="str">
        <f>VLOOKUP(C19,'BD EVA 5 ESC'!$D$3:$AE$113,12,0)</f>
        <v>Ago 2024</v>
      </c>
      <c r="G19" s="207">
        <f ca="1">VLOOKUP(C19,'BD EVA 5 ESC'!$D$3:$AE$113,28,0)</f>
        <v>0.99828931572628998</v>
      </c>
      <c r="H19" s="207">
        <f>VLOOKUP(C19,'BD EVA 5 ESC'!$D$3:$AE$113,21,0)</f>
        <v>1</v>
      </c>
      <c r="I19" s="214">
        <f t="shared" ca="1" si="5"/>
        <v>0.99828931572628998</v>
      </c>
      <c r="J19" s="75" t="s">
        <v>318</v>
      </c>
      <c r="K19" s="81">
        <v>1.5</v>
      </c>
      <c r="L19" s="209">
        <f t="shared" ca="1" si="0"/>
        <v>1.4974339735894349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ESC'!$D$3:$AE$113,6,0)</f>
        <v>44469</v>
      </c>
      <c r="E20" s="214">
        <f ca="1">VLOOKUP(C20,'BD EVA 5 ESC'!$D$3:$AE$113,16,0)</f>
        <v>1</v>
      </c>
      <c r="F20" s="75" t="str">
        <f>VLOOKUP(C20,'BD EVA 5 ESC'!$D$3:$AE$113,12,0)</f>
        <v>Ago 2024</v>
      </c>
      <c r="G20" s="214">
        <f ca="1">VLOOKUP(C20,'BD EVA 5 ESC'!$D$3:$AE$113,28,0)</f>
        <v>1</v>
      </c>
      <c r="H20" s="214">
        <f>VLOOKUP(C20,'BD EVA 5 ESC'!$D$3:$AE$113,21,0)</f>
        <v>1</v>
      </c>
      <c r="I20" s="214">
        <f t="shared" ca="1" si="5"/>
        <v>1</v>
      </c>
      <c r="J20" s="75" t="s">
        <v>318</v>
      </c>
      <c r="K20" s="81">
        <v>1.5</v>
      </c>
      <c r="L20" s="209">
        <f t="shared" ca="1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ESC'!$D$3:$AE$113,6,0)</f>
        <v>44469</v>
      </c>
      <c r="E21" s="207">
        <f ca="1">VLOOKUP(C21,'BD EVA 5 ESC'!$D$3:$AE$113,16,0)</f>
        <v>0.89530311989709299</v>
      </c>
      <c r="F21" s="75" t="str">
        <f>VLOOKUP(C21,'BD EVA 5 ESC'!$D$3:$AE$113,12,0)</f>
        <v>Ago 2024</v>
      </c>
      <c r="G21" s="207">
        <f ca="1">VLOOKUP(C21,'BD EVA 5 ESC'!$D$3:$AE$113,28,0)</f>
        <v>0.93181123121707998</v>
      </c>
      <c r="H21" s="207">
        <f>VLOOKUP(C21,'BD EVA 5 ESC'!$D$3:$AE$113,21,0)</f>
        <v>1</v>
      </c>
      <c r="I21" s="214">
        <f t="shared" ca="1" si="5"/>
        <v>0.93181123121707998</v>
      </c>
      <c r="J21" s="75" t="s">
        <v>318</v>
      </c>
      <c r="K21" s="81">
        <v>0.9</v>
      </c>
      <c r="L21" s="209">
        <f t="shared" ca="1" si="0"/>
        <v>0.83863010809537197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ESC'!$D$3:$AE$113,6,0)</f>
        <v>44469</v>
      </c>
      <c r="E22" s="207">
        <f ca="1">VLOOKUP(C22,'BD EVA 5 ESC'!$D$3:$AE$113,16,0)</f>
        <v>0.89295554513586495</v>
      </c>
      <c r="F22" s="75" t="str">
        <f>VLOOKUP(C22,'BD EVA 5 ESC'!$D$3:$AE$113,12,0)</f>
        <v>Ago 2024</v>
      </c>
      <c r="G22" s="207">
        <f ca="1">VLOOKUP(C22,'BD EVA 5 ESC'!$D$3:$AE$113,28,0)</f>
        <v>0.87459084109228102</v>
      </c>
      <c r="H22" s="207">
        <f>VLOOKUP(C22,'BD EVA 5 ESC'!$D$3:$AE$113,21,0)</f>
        <v>1</v>
      </c>
      <c r="I22" s="214">
        <f t="shared" ca="1" si="5"/>
        <v>0.87459084109228102</v>
      </c>
      <c r="J22" s="75" t="s">
        <v>318</v>
      </c>
      <c r="K22" s="81">
        <v>1.5</v>
      </c>
      <c r="L22" s="209">
        <f t="shared" ca="1" si="0"/>
        <v>1.3118862616384215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ESC'!$D$3:$AE$113,6,0)</f>
        <v>octubre 20 - septiembre 21</v>
      </c>
      <c r="E23" s="208">
        <f ca="1">VLOOKUP(C23,'BD EVA 5 ESC'!$D$3:$AE$113,16,0)</f>
        <v>0</v>
      </c>
      <c r="F23" s="89" t="str">
        <f>VLOOKUP(C23,'BD EVA 5 ESC'!$D$3:$AE$113,12,0)</f>
        <v>octubre 23 - septiembre 24</v>
      </c>
      <c r="G23" s="208">
        <f ca="1">VLOOKUP(C23,'BD EVA 5 ESC'!$D$3:$AE$113,28,0)</f>
        <v>7.1222300000000001</v>
      </c>
      <c r="H23" s="208">
        <f>VLOOKUP(C23,'BD EVA 5 ESC'!$D$3:$AE$113,21,0)</f>
        <v>7.15</v>
      </c>
      <c r="I23" s="214">
        <f t="shared" ca="1" si="5"/>
        <v>0.99611608391608386</v>
      </c>
      <c r="J23" s="75" t="s">
        <v>318</v>
      </c>
      <c r="K23" s="81">
        <v>1.3</v>
      </c>
      <c r="L23" s="209">
        <f t="shared" ca="1" si="0"/>
        <v>1.294950909090909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ESC'!$D$3:$AE$113,6,0)</f>
        <v>44469</v>
      </c>
      <c r="E24" s="171">
        <f ca="1">VLOOKUP(C24,'BD EVA 5 ESC'!$D$3:$AE$113,16,0)</f>
        <v>7</v>
      </c>
      <c r="F24" s="75" t="str">
        <f>VLOOKUP(C24,'BD EVA 5 ESC'!$D$3:$AE$113,12,0)</f>
        <v>Ago 2024</v>
      </c>
      <c r="G24" s="171">
        <f ca="1">VLOOKUP(C24,'BD EVA 5 ESC'!$D$3:$AE$113,28,0)</f>
        <v>7</v>
      </c>
      <c r="H24" s="171">
        <f>VLOOKUP(C24,'BD EVA 5 ESC'!$D$3:$AE$113,21,0)</f>
        <v>11.961333333333332</v>
      </c>
      <c r="I24" s="214">
        <f t="shared" ca="1" si="5"/>
        <v>0.58521903912607298</v>
      </c>
      <c r="J24" s="75" t="s">
        <v>318</v>
      </c>
      <c r="K24" s="81">
        <v>1.9450000000000001</v>
      </c>
      <c r="L24" s="82">
        <f t="shared" ca="1" si="0"/>
        <v>1.1382510311002121</v>
      </c>
      <c r="M24" s="130">
        <f ca="1">SUM(L24:L28)</f>
        <v>3.3895979293402121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ESC'!$D$3:$AE$113,6,0)</f>
        <v>octubre 20 - agosto 21</v>
      </c>
      <c r="E25" s="212" t="str">
        <f ca="1">VLOOKUP(C25,'BD EVA 5 ESC'!$D$3:$AE$113,16,0)</f>
        <v/>
      </c>
      <c r="F25" s="75" t="str">
        <f>VLOOKUP(C25,'BD EVA 5 ESC'!$D$3:$AE$113,12,0)</f>
        <v>octubre 23 - agosto 24</v>
      </c>
      <c r="G25" s="212">
        <f ca="1">VLOOKUP(C25,'BD EVA 5 ESC'!$D$3:$AE$113,28,0)</f>
        <v>7471.61</v>
      </c>
      <c r="H25" s="212">
        <f>VLOOKUP(C25,'BD EVA 5 ESC'!$D$3:$AE$113,21,0)</f>
        <v>22916.666666666668</v>
      </c>
      <c r="I25" s="214">
        <f t="shared" ca="1" si="5"/>
        <v>0.32603389090909085</v>
      </c>
      <c r="J25" s="75" t="s">
        <v>318</v>
      </c>
      <c r="K25" s="81">
        <v>1.6337999999999999</v>
      </c>
      <c r="L25" s="209">
        <f t="shared" ca="1" si="0"/>
        <v>0.53267417096727265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ESC'!$D$3:$AE$113,6,0)</f>
        <v>enero - agosto 2021</v>
      </c>
      <c r="E26" s="210">
        <f ca="1">VLOOKUP(C26,'BD EVA 5 ESC'!$D$3:$AE$113,16,0)</f>
        <v>2.8107601719401201E-2</v>
      </c>
      <c r="F26" s="75" t="str">
        <f>VLOOKUP(C26,'BD EVA 5 ESC'!$D$3:$AE$113,12,0)</f>
        <v>enero- agosto 2024</v>
      </c>
      <c r="G26" s="210">
        <f ca="1">VLOOKUP(C26,'BD EVA 5 ESC'!$D$3:$AE$113,28,0)</f>
        <v>0</v>
      </c>
      <c r="H26" s="210">
        <f>VLOOKUP(C26,'BD EVA 5 ESC'!$D$3:$AE$113,21,0)</f>
        <v>0.02</v>
      </c>
      <c r="I26" s="214">
        <f t="shared" ca="1" si="5"/>
        <v>0</v>
      </c>
      <c r="J26" s="75" t="s">
        <v>318</v>
      </c>
      <c r="K26" s="81">
        <v>2.1006</v>
      </c>
      <c r="L26" s="209">
        <f t="shared" ca="1" si="0"/>
        <v>0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ESC'!$D$3:$AE$113,6,0)</f>
        <v>octubre 20 - agosto 21</v>
      </c>
      <c r="E27" s="212">
        <f ca="1">VLOOKUP(C27,'BD EVA 5 ESC'!$D$3:$AE$113,16,0)</f>
        <v>0</v>
      </c>
      <c r="F27" s="75" t="str">
        <f>VLOOKUP(C27,'BD EVA 5 ESC'!$D$3:$AE$113,12,0)</f>
        <v>octubre 23 - agosto 24</v>
      </c>
      <c r="G27" s="212">
        <f ca="1">VLOOKUP(C27,'BD EVA 5 ESC'!$D$3:$AE$113,28,0)</f>
        <v>3</v>
      </c>
      <c r="H27" s="212">
        <f>VLOOKUP(C27,'BD EVA 5 ESC'!$D$3:$AE$113,21,0)</f>
        <v>3.6666666666666665</v>
      </c>
      <c r="I27" s="214">
        <f t="shared" ca="1" si="5"/>
        <v>0.81818181818181823</v>
      </c>
      <c r="J27" s="75" t="s">
        <v>318</v>
      </c>
      <c r="K27" s="81">
        <v>2.1006</v>
      </c>
      <c r="L27" s="209">
        <f t="shared" ca="1" si="0"/>
        <v>1.7186727272727274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ESC'!$D$3:$AE$113,6,0)</f>
        <v>octubre 18 - agosto 19</v>
      </c>
      <c r="E28" s="212">
        <f ca="1">VLOOKUP(C28,'BD EVA 5 ESC'!$D$3:$AE$113,16,0)</f>
        <v>2931</v>
      </c>
      <c r="F28" s="89" t="str">
        <f>VLOOKUP(C28,'BD EVA 5 ESC'!$D$3:$AE$113,12,0)</f>
        <v>octubre 23 - agosto 24</v>
      </c>
      <c r="G28" s="212">
        <f ca="1">VLOOKUP(C28,'BD EVA 5 ESC'!$D$3:$AE$113,28,0)</f>
        <v>3352</v>
      </c>
      <c r="H28" s="212">
        <f ca="1">VLOOKUP(C28,'BD EVA 5 ESC'!$D$3:$AE$113,21,0)</f>
        <v>2901.3658767772513</v>
      </c>
      <c r="I28" s="78">
        <f ca="1">(G28-E28)/(H28-E28)</f>
        <v>-14.206595445240582</v>
      </c>
      <c r="J28" s="89" t="s">
        <v>319</v>
      </c>
      <c r="K28" s="81">
        <v>2.2200000000000002</v>
      </c>
      <c r="L28" s="209">
        <f t="shared" ca="1" si="0"/>
        <v>0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75" t="str">
        <f>VLOOKUP(C29,'BD EVA 5 ESC'!$D$3:$AE$113,6,0)</f>
        <v>octubre 20 - agosto 21</v>
      </c>
      <c r="E29" s="212">
        <f ca="1">VLOOKUP(C29,'BD EVA 5 ESC'!$D$3:$AE$113,16,0)</f>
        <v>0</v>
      </c>
      <c r="F29" s="75" t="str">
        <f>VLOOKUP(C29,'BD EVA 5 ESC'!$D$3:$AE$113,12,0)</f>
        <v>octubre 23 - agosto 24</v>
      </c>
      <c r="G29" s="212">
        <f ca="1">VLOOKUP(C29,'BD EVA 5 ESC'!$D$3:$AE$113,28,0)</f>
        <v>137</v>
      </c>
      <c r="H29" s="212">
        <f>VLOOKUP(C29,'BD EVA 5 ESC'!$D$3:$AE$113,21,0)</f>
        <v>3</v>
      </c>
      <c r="I29" s="78">
        <f t="shared" ref="I29:I33" ca="1" si="6">G29/H29</f>
        <v>45.666666666666664</v>
      </c>
      <c r="J29" s="75" t="s">
        <v>318</v>
      </c>
      <c r="K29" s="81">
        <v>2</v>
      </c>
      <c r="L29" s="209">
        <f t="shared" ca="1" si="0"/>
        <v>2</v>
      </c>
      <c r="M29" s="130">
        <f ca="1">SUM(L29:L33)</f>
        <v>8.8559350778253982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ESC'!$D$3:$AE$113,6,0)</f>
        <v>44469</v>
      </c>
      <c r="E30" s="212">
        <f ca="1">VLOOKUP(C30,'BD EVA 5 ESC'!$D$3:$AE$113,16,0)</f>
        <v>1</v>
      </c>
      <c r="F30" s="75" t="str">
        <f>VLOOKUP(C30,'BD EVA 5 ESC'!$D$3:$AE$113,12,0)</f>
        <v>Ago 2024</v>
      </c>
      <c r="G30" s="212">
        <f ca="1">VLOOKUP(C30,'BD EVA 5 ESC'!$D$3:$AE$113,28,0)</f>
        <v>36</v>
      </c>
      <c r="H30" s="212">
        <f>VLOOKUP(C30,'BD EVA 5 ESC'!$D$3:$AE$113,21,0)</f>
        <v>12.666666666666666</v>
      </c>
      <c r="I30" s="78">
        <f t="shared" ca="1" si="6"/>
        <v>2.8421052631578947</v>
      </c>
      <c r="J30" s="75" t="s">
        <v>318</v>
      </c>
      <c r="K30" s="81">
        <v>2</v>
      </c>
      <c r="L30" s="20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ESC'!$D$3:$AE$113,6,0)</f>
        <v>44440</v>
      </c>
      <c r="E31" s="212">
        <f ca="1">VLOOKUP(C31,'BD EVA 5 ESC'!$D$3:$AE$113,16,0)</f>
        <v>100</v>
      </c>
      <c r="F31" s="75">
        <f>VLOOKUP(C31,'BD EVA 5 ESC'!$D$3:$AE$113,12,0)</f>
        <v>45444</v>
      </c>
      <c r="G31" s="212">
        <f ca="1">VLOOKUP(C31,'BD EVA 5 ESC'!$D$3:$AE$113,28,0)</f>
        <v>96.97</v>
      </c>
      <c r="H31" s="212">
        <f>VLOOKUP(C31,'BD EVA 5 ESC'!$D$3:$AE$113,21,0)</f>
        <v>100</v>
      </c>
      <c r="I31" s="78">
        <f t="shared" ca="1" si="6"/>
        <v>0.96970000000000001</v>
      </c>
      <c r="J31" s="75" t="s">
        <v>318</v>
      </c>
      <c r="K31" s="81">
        <v>2</v>
      </c>
      <c r="L31" s="209">
        <f t="shared" ca="1" si="0"/>
        <v>1.9394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ESC'!$D$3:$AE$113,6,0)</f>
        <v>44440</v>
      </c>
      <c r="E32" s="209">
        <f ca="1">VLOOKUP(C32,'BD EVA 5 ESC'!$D$3:$AE$113,16,0)</f>
        <v>0</v>
      </c>
      <c r="F32" s="75" t="str">
        <f>VLOOKUP(C32,'BD EVA 5 ESC'!$D$3:$AE$113,12,0)</f>
        <v>Ago 2024</v>
      </c>
      <c r="G32" s="209">
        <f ca="1">VLOOKUP(C32,'BD EVA 5 ESC'!$D$3:$AE$113,28,0)</f>
        <v>3.51048951048951</v>
      </c>
      <c r="H32" s="209">
        <f>VLOOKUP(C32,'BD EVA 5 ESC'!$D$3:$AE$113,21,0)</f>
        <v>4</v>
      </c>
      <c r="I32" s="78">
        <f t="shared" ca="1" si="6"/>
        <v>0.87762237762237749</v>
      </c>
      <c r="J32" s="75" t="s">
        <v>318</v>
      </c>
      <c r="K32" s="81">
        <v>2</v>
      </c>
      <c r="L32" s="209">
        <f t="shared" ca="1" si="0"/>
        <v>1.755244755244755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ESC'!$D$3:$AE$113,6,0)</f>
        <v>44440</v>
      </c>
      <c r="E33" s="75" t="str">
        <f ca="1">VLOOKUP(C33,'BD EVA 5 ESC'!$D$3:$AE$113,16,0)</f>
        <v/>
      </c>
      <c r="F33" s="75" t="str">
        <f>VLOOKUP(C33,'BD EVA 5 ESC'!$D$3:$AE$113,12,0)</f>
        <v>Ago 2024</v>
      </c>
      <c r="G33" s="207">
        <f ca="1">VLOOKUP(C33,'BD EVA 5 ESC'!$D$3:$AE$113,28,0)</f>
        <v>0.29032258064516098</v>
      </c>
      <c r="H33" s="207">
        <f>VLOOKUP(C33,'BD EVA 5 ESC'!$D$3:$AE$113,21,0)</f>
        <v>0.5</v>
      </c>
      <c r="I33" s="207">
        <f t="shared" ca="1" si="6"/>
        <v>0.58064516129032195</v>
      </c>
      <c r="J33" s="207" t="s">
        <v>318</v>
      </c>
      <c r="K33" s="208">
        <v>2</v>
      </c>
      <c r="L33" s="209">
        <f t="shared" ca="1" si="0"/>
        <v>1.1612903225806439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ESC'!$D$3:$AE$113,6,0)</f>
        <v>enero - junio 2021</v>
      </c>
      <c r="E34" s="78">
        <f ca="1">VLOOKUP(C34,'BD EVA 5 ESC'!$D$3:$AE$113,16,0)</f>
        <v>0.31589928643959497</v>
      </c>
      <c r="F34" s="75" t="str">
        <f>VLOOKUP(C34,'BD EVA 5 ESC'!$D$3:$AE$113,12,0)</f>
        <v>enero- junio 2024</v>
      </c>
      <c r="G34" s="78">
        <f ca="1">VLOOKUP(C34,'BD EVA 5 ESC'!$D$3:$AE$113,28,0)</f>
        <v>0.364618459153084</v>
      </c>
      <c r="H34" s="78">
        <f>VLOOKUP(C34,'BD EVA 5 ESC'!$D$3:$AE$113,21,0)</f>
        <v>0.33950000000000002</v>
      </c>
      <c r="I34" s="78">
        <f ca="1">(G34/H34)</f>
        <v>1.0739866248986274</v>
      </c>
      <c r="J34" s="75" t="s">
        <v>318</v>
      </c>
      <c r="K34" s="81">
        <v>2.1631999999999998</v>
      </c>
      <c r="L34" s="209">
        <f t="shared" ca="1" si="0"/>
        <v>2.1631999999999998</v>
      </c>
      <c r="M34" s="130">
        <f ca="1">SUM(L34:L39)</f>
        <v>9.189842361516952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ESC'!$D$3:$AE$113,6,0)</f>
        <v>enero - junio 2021</v>
      </c>
      <c r="E35" s="78">
        <f ca="1">VLOOKUP(C35,'BD EVA 5 ESC'!$D$3:$AE$113,16,0)</f>
        <v>0.528961101044638</v>
      </c>
      <c r="F35" s="75" t="str">
        <f>VLOOKUP(C35,'BD EVA 5 ESC'!$D$3:$AE$113,12,0)</f>
        <v>enero- junio 2024</v>
      </c>
      <c r="G35" s="78">
        <f ca="1">VLOOKUP(C35,'BD EVA 5 ESC'!$D$3:$AE$113,28,0)</f>
        <v>0.80578661535405405</v>
      </c>
      <c r="H35" s="78">
        <f>VLOOKUP(C35,'BD EVA 5 ESC'!$D$3:$AE$113,21,0)</f>
        <v>0.5488333333333334</v>
      </c>
      <c r="I35" s="78">
        <f ca="1">G35/H35</f>
        <v>1.4681808964847627</v>
      </c>
      <c r="J35" s="75" t="s">
        <v>318</v>
      </c>
      <c r="K35" s="81">
        <v>1.3520000000000001</v>
      </c>
      <c r="L35" s="209">
        <f t="shared" ca="1" si="0"/>
        <v>1.3520000000000001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ESC'!$D$3:$AE$113,6,0)</f>
        <v>enero - agosto 2021</v>
      </c>
      <c r="E36" s="78">
        <f ca="1">VLOOKUP(C36,'BD EVA 5 ESC'!$D$3:$AE$113,16,0)</f>
        <v>0.34460742622129498</v>
      </c>
      <c r="F36" s="75" t="str">
        <f>VLOOKUP(C36,'BD EVA 5 ESC'!$D$3:$AE$113,12,0)</f>
        <v>enero- agosto 2024</v>
      </c>
      <c r="G36" s="78">
        <f ca="1">VLOOKUP(C36,'BD EVA 5 ESC'!$D$3:$AE$113,28,0)</f>
        <v>0.44491211840888001</v>
      </c>
      <c r="H36" s="78">
        <f>VLOOKUP(C36,'BD EVA 5 ESC'!$D$3:$AE$113,21,0)</f>
        <v>0.45383333333333337</v>
      </c>
      <c r="I36" s="78">
        <f ca="1">IF(G36&lt;E36,0,G36/H36)</f>
        <v>0.98034253046392938</v>
      </c>
      <c r="J36" s="72" t="s">
        <v>316</v>
      </c>
      <c r="K36" s="81">
        <v>2.1631999999999998</v>
      </c>
      <c r="L36" s="209">
        <f t="shared" ca="1" si="0"/>
        <v>2.120676961899572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ESC'!$D$3:$AE$113,6,0)</f>
        <v>enero - agosto 2021</v>
      </c>
      <c r="E37" s="90" t="str">
        <f ca="1">VLOOKUP(C37,'BD EVA 5 ESC'!$D$3:$AE$113,16,0)</f>
        <v/>
      </c>
      <c r="F37" s="75" t="str">
        <f>VLOOKUP(C37,'BD EVA 5 ESC'!$D$3:$AE$113,12,0)</f>
        <v>enero- agosto 2024</v>
      </c>
      <c r="G37" s="90">
        <f ca="1">VLOOKUP(C37,'BD EVA 5 ESC'!$D$3:$AE$113,28,0)</f>
        <v>47483936.670000002</v>
      </c>
      <c r="H37" s="90">
        <f>VLOOKUP(C37,'BD EVA 5 ESC'!$D$3:$AE$113,21,0)</f>
        <v>163580528.18833333</v>
      </c>
      <c r="I37" s="78">
        <f ca="1">G37/H37</f>
        <v>0.29027866088884891</v>
      </c>
      <c r="J37" s="75" t="s">
        <v>318</v>
      </c>
      <c r="K37" s="81">
        <v>1.0815999999999999</v>
      </c>
      <c r="L37" s="209">
        <f t="shared" ca="1" si="0"/>
        <v>0.31396539961737896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5 ESC'!$D$3:$AE$113,6,0)</f>
        <v>enero - junio 2021</v>
      </c>
      <c r="E38" s="78">
        <f ca="1">VLOOKUP(C38,'BD EVA 5 ESC'!$D$3:$AE$113,16,0)</f>
        <v>0.63164868724611101</v>
      </c>
      <c r="F38" s="75" t="str">
        <f>VLOOKUP(C38,'BD EVA 5 ESC'!$D$3:$AE$113,12,0)</f>
        <v>enero- junio 2024</v>
      </c>
      <c r="G38" s="78">
        <f ca="1">VLOOKUP(C38,'BD EVA 5 ESC'!$D$3:$AE$113,28,0)</f>
        <v>0.47184792227181799</v>
      </c>
      <c r="H38" s="78">
        <f>VLOOKUP(C38,'BD EVA 5 ESC'!$D$3:$AE$113,21,0)</f>
        <v>0.65266666666666673</v>
      </c>
      <c r="I38" s="78">
        <f ca="1">(H38/G38)</f>
        <v>1.3832140311739771</v>
      </c>
      <c r="J38" s="71" t="s">
        <v>341</v>
      </c>
      <c r="K38" s="81">
        <v>1.62</v>
      </c>
      <c r="L38" s="209">
        <f t="shared" ca="1" si="0"/>
        <v>1.62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ESC'!$D$3:$AE$113,6,0)</f>
        <v>44348</v>
      </c>
      <c r="E39" s="75" t="str">
        <f ca="1">VLOOKUP(C39,'BD EVA 5 ESC'!$D$3:$AE$113,16,0)</f>
        <v>Verde</v>
      </c>
      <c r="F39" s="75">
        <f>VLOOKUP(C39,'BD EVA 5 ESC'!$D$3:$AE$113,12,0)</f>
        <v>45473</v>
      </c>
      <c r="G39" s="75" t="str">
        <f ca="1">VLOOKUP(C39,'BD EVA 5 ESC'!$D$3:$AE$113,28,0)</f>
        <v>Verde</v>
      </c>
      <c r="H39" s="207" t="str">
        <f>VLOOKUP(C39,'BD EVA 5 ESC'!$D$3:$AE$113,21,0)</f>
        <v>Verde</v>
      </c>
      <c r="I39" s="207">
        <f ca="1">IF(G39="Verde",1,0)</f>
        <v>1</v>
      </c>
      <c r="J39" s="207" t="s">
        <v>318</v>
      </c>
      <c r="K39" s="208">
        <v>1.62</v>
      </c>
      <c r="L39" s="209">
        <f t="shared" ca="1" si="0"/>
        <v>1.62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2DA1-30A3-1F41-ACDC-7052BF3F439B}">
  <dimension ref="A1:L15"/>
  <sheetViews>
    <sheetView workbookViewId="0"/>
  </sheetViews>
  <sheetFormatPr baseColWidth="10" defaultRowHeight="16"/>
  <cols>
    <col min="1" max="1" width="20.5" customWidth="1"/>
    <col min="2" max="2" width="14.6640625" customWidth="1"/>
    <col min="4" max="4" width="12.5" customWidth="1"/>
    <col min="6" max="6" width="12.33203125" customWidth="1"/>
    <col min="8" max="8" width="12.1640625" customWidth="1"/>
    <col min="10" max="10" width="12.5" customWidth="1"/>
  </cols>
  <sheetData>
    <row r="1" spans="1:12" ht="22">
      <c r="A1" s="220" t="s">
        <v>376</v>
      </c>
    </row>
    <row r="2" spans="1:12">
      <c r="A2" s="221" t="s">
        <v>424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ESC'!M2</f>
        <v>8.7491486992610579</v>
      </c>
      <c r="D5" s="228">
        <v>8.5000000000000006E-2</v>
      </c>
      <c r="E5" s="229">
        <f ca="1">'EVA 2 ESC'!M2</f>
        <v>6.1744921033420566</v>
      </c>
      <c r="F5" s="228">
        <v>0.1</v>
      </c>
      <c r="G5" s="229">
        <f ca="1">'EVA 3 ESC'!M2</f>
        <v>9.7702454950404594</v>
      </c>
      <c r="H5" s="228">
        <v>8.5000000000000006E-2</v>
      </c>
      <c r="I5" s="229">
        <f>'EVA 4 ESC'!M2</f>
        <v>9.5880429747859104</v>
      </c>
      <c r="J5" s="228">
        <v>8.5000000000000006E-2</v>
      </c>
      <c r="K5" s="229">
        <f ca="1">'EVA 5 ESC'!M2</f>
        <v>8.7301570772865524</v>
      </c>
      <c r="L5" s="236">
        <f ca="1">AVERAGE(C5,E5,G5,I5,K5)</f>
        <v>8.6024172699432064</v>
      </c>
    </row>
    <row r="6" spans="1:12">
      <c r="A6" s="222" t="s">
        <v>52</v>
      </c>
      <c r="B6" s="227">
        <v>0.22</v>
      </c>
      <c r="C6" s="229">
        <f ca="1">'EVA 1 ESC'!M5</f>
        <v>1.5859999999999999</v>
      </c>
      <c r="D6" s="228">
        <v>0.188</v>
      </c>
      <c r="E6" s="229">
        <f ca="1">'EVA 2 ESC'!M5</f>
        <v>1.6</v>
      </c>
      <c r="F6" s="228">
        <v>0.221</v>
      </c>
      <c r="G6" s="229">
        <f ca="1">'EVA 3 ESC'!M5</f>
        <v>1.4396769572232415</v>
      </c>
      <c r="H6" s="228">
        <v>0.188</v>
      </c>
      <c r="I6" s="229">
        <f>'EVA 4 ESC'!M5</f>
        <v>1.1114673385038785</v>
      </c>
      <c r="J6" s="228">
        <v>0.188</v>
      </c>
      <c r="K6" s="229">
        <f ca="1">'EVA 5 ESC'!M5</f>
        <v>1.9893496857919395</v>
      </c>
      <c r="L6" s="236">
        <f t="shared" ref="L6:L11" ca="1" si="0">AVERAGE(C6,E6,G6,I6,K6)</f>
        <v>1.5452987963038118</v>
      </c>
    </row>
    <row r="7" spans="1:12">
      <c r="A7" s="222" t="s">
        <v>119</v>
      </c>
      <c r="B7" s="227">
        <v>0.11</v>
      </c>
      <c r="C7" s="229">
        <f ca="1">'EVA 1 ESC'!M11</f>
        <v>6.5903000000000009</v>
      </c>
      <c r="D7" s="228">
        <v>9.5000000000000001E-2</v>
      </c>
      <c r="E7" s="229">
        <f ca="1">'EVA 2 ESC'!M11</f>
        <v>6.9321740063462425</v>
      </c>
      <c r="F7" s="228">
        <v>0.111</v>
      </c>
      <c r="G7" s="229">
        <f ca="1">'EVA 3 ESC'!M11</f>
        <v>8.9</v>
      </c>
      <c r="H7" s="228">
        <v>9.5000000000000001E-2</v>
      </c>
      <c r="I7" s="229">
        <f>'EVA 4 ESC'!M11</f>
        <v>8.0600355913795578</v>
      </c>
      <c r="J7" s="228">
        <v>9.5000000000000001E-2</v>
      </c>
      <c r="K7" s="229">
        <f ca="1">'EVA 5 ESC'!M11</f>
        <v>8.081949917030304</v>
      </c>
      <c r="L7" s="236">
        <f t="shared" ca="1" si="0"/>
        <v>7.7128919029512222</v>
      </c>
    </row>
    <row r="8" spans="1:12">
      <c r="A8" s="222" t="s">
        <v>378</v>
      </c>
      <c r="B8" s="227">
        <v>0.24</v>
      </c>
      <c r="C8" s="229">
        <f ca="1">'EVA 1 ESC'!M15</f>
        <v>9.3030317464676582</v>
      </c>
      <c r="D8" s="228">
        <v>0.2</v>
      </c>
      <c r="E8" s="229">
        <f ca="1">'EVA 2 ESC'!M16</f>
        <v>7.0595565891161307</v>
      </c>
      <c r="F8" s="228">
        <v>0.23699999999999999</v>
      </c>
      <c r="G8" s="229">
        <f ca="1">'EVA 3 ESC'!M16</f>
        <v>8.1999334121371792</v>
      </c>
      <c r="H8" s="228">
        <v>0.2</v>
      </c>
      <c r="I8" s="229">
        <f>'EVA 4 ESC'!M16</f>
        <v>8.1520406108527848</v>
      </c>
      <c r="J8" s="228">
        <v>0.2</v>
      </c>
      <c r="K8" s="229">
        <f ca="1">'EVA 5 ESC'!M16</f>
        <v>8.1429012524141378</v>
      </c>
      <c r="L8" s="236">
        <f t="shared" ca="1" si="0"/>
        <v>8.1714927221975788</v>
      </c>
    </row>
    <row r="9" spans="1:12">
      <c r="A9" s="222" t="s">
        <v>199</v>
      </c>
      <c r="B9" s="227">
        <v>0.17</v>
      </c>
      <c r="C9" s="229">
        <f ca="1">'EVA 1 ESC'!M23</f>
        <v>3.9196922126081581</v>
      </c>
      <c r="D9" s="228">
        <v>0.14499999999999999</v>
      </c>
      <c r="E9" s="229">
        <f ca="1">'EVA 2 ESC'!M24</f>
        <v>6.5664993741680977</v>
      </c>
      <c r="F9" s="228">
        <v>0.17</v>
      </c>
      <c r="G9" s="229">
        <f ca="1">'EVA 3 ESC'!M24</f>
        <v>7.560180330142245</v>
      </c>
      <c r="H9" s="228">
        <v>0.14499999999999999</v>
      </c>
      <c r="I9" s="229">
        <f>'EVA 4 ESC'!M24</f>
        <v>6.0660924971309358</v>
      </c>
      <c r="J9" s="228">
        <v>0.14499999999999999</v>
      </c>
      <c r="K9" s="229">
        <f ca="1">'EVA 5 ESC'!M24</f>
        <v>3.3895979293402121</v>
      </c>
      <c r="L9" s="236">
        <f t="shared" ca="1" si="0"/>
        <v>5.5004124686779301</v>
      </c>
    </row>
    <row r="10" spans="1:12">
      <c r="A10" s="222" t="s">
        <v>243</v>
      </c>
      <c r="B10" s="227">
        <v>0.16</v>
      </c>
      <c r="C10" s="229">
        <f ca="1">'EVA 1 ESC'!M27</f>
        <v>2.4107500000000002</v>
      </c>
      <c r="D10" s="228">
        <v>0.13800000000000001</v>
      </c>
      <c r="E10" s="229">
        <f ca="1">'EVA 2 ESC'!M29</f>
        <v>8.5935036199095016</v>
      </c>
      <c r="F10" s="228">
        <v>0.161</v>
      </c>
      <c r="G10" s="229">
        <f ca="1">'EVA 3 ESC'!M28</f>
        <v>9.2715027766351259</v>
      </c>
      <c r="H10" s="228">
        <v>0.13800000000000001</v>
      </c>
      <c r="I10" s="229">
        <f>'EVA 4 ESC'!M29</f>
        <v>8.6940142382207917</v>
      </c>
      <c r="J10" s="228">
        <v>0.13800000000000001</v>
      </c>
      <c r="K10" s="229">
        <f ca="1">'EVA 5 ESC'!M29</f>
        <v>8.8559350778253982</v>
      </c>
      <c r="L10" s="236">
        <f t="shared" ca="1" si="0"/>
        <v>7.5651411425181632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ESC'!M34</f>
        <v>7.422327171594187</v>
      </c>
      <c r="F11" s="232"/>
      <c r="G11" s="232"/>
      <c r="H11" s="228">
        <v>0.14899999999999999</v>
      </c>
      <c r="I11" s="229">
        <f>'EVA 4 ESC'!M34</f>
        <v>7.7325222281268386</v>
      </c>
      <c r="J11" s="228">
        <v>0.14899999999999999</v>
      </c>
      <c r="K11" s="229">
        <f ca="1">'EVA 5 ESC'!M34</f>
        <v>9.189842361516952</v>
      </c>
      <c r="L11" s="236">
        <f t="shared" ca="1" si="0"/>
        <v>8.1148972537459922</v>
      </c>
    </row>
    <row r="12" spans="1:12">
      <c r="A12" s="223" t="s">
        <v>392</v>
      </c>
      <c r="B12" s="234"/>
      <c r="C12" s="231">
        <f ca="1">SUMPRODUCT(B5:B10,C5:C10)</f>
        <v>5.2335631652217307</v>
      </c>
      <c r="D12" s="234"/>
      <c r="E12" s="231">
        <f ca="1">SUMPRODUCT(D5:D11,E5:E11)</f>
        <v>6.1400723345796129</v>
      </c>
      <c r="F12" s="234"/>
      <c r="G12" s="231">
        <f ca="1">SUMPRODUCT(F5:F10,G5:G10)</f>
        <v>7.0044199788893309</v>
      </c>
      <c r="H12" s="234"/>
      <c r="I12" s="231">
        <f>SUMPRODUCT(H5:H11,I5:I11)</f>
        <v>6.6515542047965006</v>
      </c>
      <c r="J12" s="233"/>
      <c r="K12" s="231">
        <f ca="1">SUMPRODUCT(J5:J11,K5:K11)</f>
        <v>6.59532383745921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6.3249867041892767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7BFCA-1901-CA4B-A5EA-0200CE97E1DF}">
  <dimension ref="A1:AC108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12">
        <v>309453</v>
      </c>
      <c r="Q2" s="12">
        <v>309453</v>
      </c>
      <c r="R2" s="13"/>
      <c r="S2" s="316"/>
      <c r="T2" s="316"/>
      <c r="U2" s="316"/>
      <c r="V2" s="316"/>
      <c r="W2" s="6"/>
      <c r="X2" s="12">
        <v>316902</v>
      </c>
      <c r="Y2" s="12">
        <v>316902</v>
      </c>
      <c r="Z2" s="12">
        <v>322969</v>
      </c>
      <c r="AA2" s="12">
        <v>322969</v>
      </c>
      <c r="AB2" s="12">
        <v>327534</v>
      </c>
      <c r="AC2" s="12">
        <v>327534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382</v>
      </c>
      <c r="Q3" s="12">
        <v>382</v>
      </c>
      <c r="R3" s="257">
        <v>405</v>
      </c>
      <c r="S3" s="257">
        <v>428</v>
      </c>
      <c r="T3" s="257">
        <v>450</v>
      </c>
      <c r="U3" s="257">
        <v>473</v>
      </c>
      <c r="V3" s="257">
        <v>496</v>
      </c>
      <c r="W3" s="2">
        <v>496</v>
      </c>
      <c r="X3" s="12">
        <v>416</v>
      </c>
      <c r="Y3" s="2">
        <f ca="1">IFERROR(__xludf.DUMMYFUNCTION("INDEX(IMPORTRANGE(""1y0FWgjbB0gVlqn-q5LMJbGIsqOrzru4yowQz67dz2yc"", ""'GAR'!AM3:AM139""),MATCH(D3,IMPORTRANGE(""1y0FWgjbB0gVlqn-q5LMJbGIsqOrzru4yowQz67dz2yc"", ""'GAR'!D3:D139""),0))"),436)</f>
        <v>436</v>
      </c>
      <c r="Z3" s="1"/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197</v>
      </c>
      <c r="Q4" s="12">
        <v>197</v>
      </c>
      <c r="R4" s="13"/>
      <c r="S4" s="13"/>
      <c r="T4" s="13"/>
      <c r="U4" s="13"/>
      <c r="V4" s="13"/>
      <c r="W4" s="4"/>
      <c r="X4" s="12">
        <v>289</v>
      </c>
      <c r="Y4" s="2">
        <f ca="1">IFERROR(__xludf.DUMMYFUNCTION("INDEX(IMPORTRANGE(""1y0FWgjbB0gVlqn-q5LMJbGIsqOrzru4yowQz67dz2yc"", ""'GAR'!AM3:AM139""),MATCH(D4,IMPORTRANGE(""1y0FWgjbB0gVlqn-q5LMJbGIsqOrzru4yowQz67dz2yc"", ""'GAR'!D3:D139""),0))"),336)</f>
        <v>336</v>
      </c>
      <c r="Z4" s="1"/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56" t="s">
        <v>43</v>
      </c>
      <c r="E5" s="7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0.51570680628272247</v>
      </c>
      <c r="Q5" s="15">
        <f t="shared" si="0"/>
        <v>0.51570680628272247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0.69471153846153844</v>
      </c>
      <c r="Y5" s="15">
        <f ca="1">IFERROR(__xludf.DUMMYFUNCTION("INDEX(IMPORTRANGE(""1y0FWgjbB0gVlqn-q5LMJbGIsqOrzru4yowQz67dz2yc"", ""'GAR'!AM3:AM139""),MATCH(D5,IMPORTRANGE(""1y0FWgjbB0gVlqn-q5LMJbGIsqOrzru4yowQz67dz2yc"", ""'GAR'!D3:D139""),0))"),0.770642201834862)</f>
        <v>0.77064220183486198</v>
      </c>
      <c r="Z5" s="1"/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56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2"/>
      <c r="Y6" s="2">
        <f ca="1">IFERROR(__xludf.DUMMYFUNCTION("INDEX(IMPORTRANGE(""1y0FWgjbB0gVlqn-q5LMJbGIsqOrzru4yowQz67dz2yc"", ""'GAR'!AM3:AM139""),MATCH(D6,IMPORTRANGE(""1y0FWgjbB0gVlqn-q5LMJbGIsqOrzru4yowQz67dz2yc"", ""'GAR'!D3:D139""),0))"),18)</f>
        <v>18</v>
      </c>
      <c r="Z6" s="1"/>
      <c r="AA6" s="1"/>
      <c r="AB6" s="1"/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9"/>
      <c r="Q7" s="19"/>
      <c r="R7" s="1"/>
      <c r="S7" s="1"/>
      <c r="T7" s="1"/>
      <c r="U7" s="1"/>
      <c r="V7" s="1"/>
      <c r="W7" s="2"/>
      <c r="X7" s="15"/>
      <c r="Y7" s="2">
        <f ca="1">IFERROR(__xludf.DUMMYFUNCTION("INDEX(IMPORTRANGE(""1y0FWgjbB0gVlqn-q5LMJbGIsqOrzru4yowQz67dz2yc"", ""'GAR'!AM3:AM139""),MATCH(D7,IMPORTRANGE(""1y0FWgjbB0gVlqn-q5LMJbGIsqOrzru4yowQz67dz2yc"", ""'GAR'!D3:D139""),0))"),0)</f>
        <v>0</v>
      </c>
      <c r="Z7" s="1"/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97">
        <v>5.0000000000000001E-4</v>
      </c>
      <c r="S8" s="297">
        <v>5.0000000000000001E-4</v>
      </c>
      <c r="T8" s="297">
        <v>5.0000000000000001E-4</v>
      </c>
      <c r="U8" s="297">
        <v>5.0000000000000001E-4</v>
      </c>
      <c r="V8" s="297">
        <v>5.0000000000000001E-4</v>
      </c>
      <c r="W8" s="297">
        <v>5.0000000000000001E-4</v>
      </c>
      <c r="X8" s="15">
        <f>X6/X3</f>
        <v>0</v>
      </c>
      <c r="Y8" s="15">
        <f ca="1">IFERROR(__xludf.DUMMYFUNCTION("INDEX(IMPORTRANGE(""1y0FWgjbB0gVlqn-q5LMJbGIsqOrzru4yowQz67dz2yc"", ""'GAR'!AM3:AM139""),MATCH(D8,IMPORTRANGE(""1y0FWgjbB0gVlqn-q5LMJbGIsqOrzru4yowQz67dz2yc"", ""'GAR'!D3:D139""),0))"),0.0412844036697247)</f>
        <v>4.1284403669724697E-2</v>
      </c>
      <c r="Z8" s="1"/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2">
        <v>0</v>
      </c>
      <c r="R9" s="13"/>
      <c r="S9" s="13"/>
      <c r="T9" s="13"/>
      <c r="U9" s="13"/>
      <c r="V9" s="13"/>
      <c r="W9" s="4"/>
      <c r="X9" s="2">
        <v>0</v>
      </c>
      <c r="Y9" s="2">
        <f ca="1">IFERROR(__xludf.DUMMYFUNCTION("INDEX(IMPORTRANGE(""1y0FWgjbB0gVlqn-q5LMJbGIsqOrzru4yowQz67dz2yc"", ""'GAR'!AM3:AM139""),MATCH(D9,IMPORTRANGE(""1y0FWgjbB0gVlqn-q5LMJbGIsqOrzru4yowQz67dz2yc"", ""'GAR'!D3:D139""),0))"),373)</f>
        <v>373</v>
      </c>
      <c r="Z9" s="1"/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3037</v>
      </c>
      <c r="Q10" s="12">
        <v>5094</v>
      </c>
      <c r="R10" s="13"/>
      <c r="S10" s="13"/>
      <c r="T10" s="13"/>
      <c r="U10" s="13"/>
      <c r="V10" s="13"/>
      <c r="W10" s="4"/>
      <c r="X10" s="12">
        <v>2722</v>
      </c>
      <c r="Y10" s="12">
        <f ca="1">IFERROR(__xludf.DUMMYFUNCTION("INDEX(IMPORTRANGE(""1y0FWgjbB0gVlqn-q5LMJbGIsqOrzru4yowQz67dz2yc"", ""'GAR'!AM3:AM139""),MATCH(D10,IMPORTRANGE(""1y0FWgjbB0gVlqn-q5LMJbGIsqOrzru4yowQz67dz2yc"", ""'GAR'!D3:D139""),0))"),5147)</f>
        <v>5147</v>
      </c>
      <c r="Z10" s="1"/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47">
        <f>0.1/5</f>
        <v>0.02</v>
      </c>
      <c r="S11" s="47">
        <f t="shared" ref="S11:V11" si="3">R11+0.02</f>
        <v>0.04</v>
      </c>
      <c r="T11" s="47">
        <f t="shared" si="3"/>
        <v>0.06</v>
      </c>
      <c r="U11" s="47">
        <f t="shared" si="3"/>
        <v>0.08</v>
      </c>
      <c r="V11" s="47">
        <f t="shared" si="3"/>
        <v>0.1</v>
      </c>
      <c r="W11" s="14">
        <v>0.1</v>
      </c>
      <c r="X11" s="15">
        <f>X9/X10</f>
        <v>0</v>
      </c>
      <c r="Y11" s="15">
        <f ca="1">IFERROR(__xludf.DUMMYFUNCTION("INDEX(IMPORTRANGE(""1y0FWgjbB0gVlqn-q5LMJbGIsqOrzru4yowQz67dz2yc"", ""'GAR'!AM3:AM139""),MATCH(D11,IMPORTRANGE(""1y0FWgjbB0gVlqn-q5LMJbGIsqOrzru4yowQz67dz2yc"", ""'GAR'!D3:D139""),0))"),0.0724693996502817)</f>
        <v>7.2469399650281693E-2</v>
      </c>
      <c r="Z11" s="1"/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12">
        <v>58</v>
      </c>
      <c r="R12" s="13"/>
      <c r="S12" s="13"/>
      <c r="T12" s="13"/>
      <c r="U12" s="13"/>
      <c r="V12" s="13"/>
      <c r="W12" s="4"/>
      <c r="X12" s="12">
        <v>40</v>
      </c>
      <c r="Y12" s="2">
        <f ca="1">IFERROR(__xludf.DUMMYFUNCTION("INDEX(IMPORTRANGE(""1y0FWgjbB0gVlqn-q5LMJbGIsqOrzru4yowQz67dz2yc"", ""'GAR'!AM3:AM139""),MATCH(D12,IMPORTRANGE(""1y0FWgjbB0gVlqn-q5LMJbGIsqOrzru4yowQz67dz2yc"", ""'GAR'!D3:D139""),0))"),89)</f>
        <v>89</v>
      </c>
      <c r="Z12" s="1"/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9.6945255014493323</v>
      </c>
      <c r="Q13" s="23">
        <f t="shared" si="4"/>
        <v>18.742749302802043</v>
      </c>
      <c r="R13" s="1">
        <v>18.43</v>
      </c>
      <c r="S13" s="1">
        <v>9.4499999999999993</v>
      </c>
      <c r="T13" s="1">
        <v>18.12</v>
      </c>
      <c r="U13" s="1">
        <v>9.2100000000000009</v>
      </c>
      <c r="V13" s="1">
        <v>17.809999999999999</v>
      </c>
      <c r="W13" s="2">
        <v>17.809999999999999</v>
      </c>
      <c r="X13" s="23">
        <f>(X12/X$2)*100000</f>
        <v>12.622198660784722</v>
      </c>
      <c r="Y13" s="23">
        <f ca="1">IFERROR(__xludf.DUMMYFUNCTION("INDEX(IMPORTRANGE(""1y0FWgjbB0gVlqn-q5LMJbGIsqOrzru4yowQz67dz2yc"", ""'GAR'!AM3:AM139""),MATCH(D13,IMPORTRANGE(""1y0FWgjbB0gVlqn-q5LMJbGIsqOrzru4yowQz67dz2yc"", ""'GAR'!D3:D139""),0))"),28.084392020246)</f>
        <v>28.084392020246</v>
      </c>
      <c r="Z13" s="1"/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498</v>
      </c>
      <c r="Q14" s="12">
        <v>1059</v>
      </c>
      <c r="R14" s="13"/>
      <c r="S14" s="13"/>
      <c r="T14" s="13"/>
      <c r="U14" s="13"/>
      <c r="V14" s="13"/>
      <c r="W14" s="4"/>
      <c r="X14" s="12">
        <v>631</v>
      </c>
      <c r="Y14" s="12">
        <f ca="1">IFERROR(__xludf.DUMMYFUNCTION("INDEX(IMPORTRANGE(""1y0FWgjbB0gVlqn-q5LMJbGIsqOrzru4yowQz67dz2yc"", ""'GAR'!AM3:AM139""),MATCH(D14,IMPORTRANGE(""1y0FWgjbB0gVlqn-q5LMJbGIsqOrzru4yowQz67dz2yc"", ""'GAR'!D3:D139""),0))"),1187)</f>
        <v>1187</v>
      </c>
      <c r="Z14" s="1"/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246</v>
      </c>
      <c r="Q15" s="12">
        <v>546</v>
      </c>
      <c r="R15" s="13"/>
      <c r="S15" s="13"/>
      <c r="T15" s="13"/>
      <c r="U15" s="13"/>
      <c r="V15" s="13"/>
      <c r="W15" s="4"/>
      <c r="X15" s="12">
        <v>488</v>
      </c>
      <c r="Y15" s="12">
        <f ca="1">IFERROR(__xludf.DUMMYFUNCTION("INDEX(IMPORTRANGE(""1y0FWgjbB0gVlqn-q5LMJbGIsqOrzru4yowQz67dz2yc"", ""'GAR'!AM3:AM139""),MATCH(D15,IMPORTRANGE(""1y0FWgjbB0gVlqn-q5LMJbGIsqOrzru4yowQz67dz2yc"", ""'GAR'!D3:D139""),0))"),774)</f>
        <v>774</v>
      </c>
      <c r="Z15" s="1"/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132</v>
      </c>
      <c r="Q16" s="12">
        <v>282</v>
      </c>
      <c r="R16" s="13"/>
      <c r="S16" s="13"/>
      <c r="T16" s="13"/>
      <c r="U16" s="13"/>
      <c r="V16" s="13"/>
      <c r="W16" s="4"/>
      <c r="X16" s="12">
        <v>155</v>
      </c>
      <c r="Y16" s="12">
        <f ca="1">IFERROR(__xludf.DUMMYFUNCTION("INDEX(IMPORTRANGE(""1y0FWgjbB0gVlqn-q5LMJbGIsqOrzru4yowQz67dz2yc"", ""'GAR'!AM3:AM139""),MATCH(D16,IMPORTRANGE(""1y0FWgjbB0gVlqn-q5LMJbGIsqOrzru4yowQz67dz2yc"", ""'GAR'!D3:D139""),0))"),359)</f>
        <v>359</v>
      </c>
      <c r="Z16" s="1"/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115</v>
      </c>
      <c r="Q17" s="12">
        <v>209</v>
      </c>
      <c r="R17" s="13"/>
      <c r="S17" s="13"/>
      <c r="T17" s="13"/>
      <c r="U17" s="13"/>
      <c r="V17" s="13"/>
      <c r="W17" s="4"/>
      <c r="X17" s="12">
        <v>92</v>
      </c>
      <c r="Y17" s="12">
        <f ca="1">IFERROR(__xludf.DUMMYFUNCTION("INDEX(IMPORTRANGE(""1y0FWgjbB0gVlqn-q5LMJbGIsqOrzru4yowQz67dz2yc"", ""'GAR'!AM3:AM139""),MATCH(D17,IMPORTRANGE(""1y0FWgjbB0gVlqn-q5LMJbGIsqOrzru4yowQz67dz2yc"", ""'GAR'!D3:D139""),0))"),197)</f>
        <v>197</v>
      </c>
      <c r="Z17" s="1"/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5">(SUM(P14:P17)/P2)*100000</f>
        <v>320.24249239787628</v>
      </c>
      <c r="Q18" s="23">
        <f t="shared" si="5"/>
        <v>677.32418170125993</v>
      </c>
      <c r="R18" s="1">
        <v>654.70000000000005</v>
      </c>
      <c r="S18" s="1">
        <v>309.60000000000002</v>
      </c>
      <c r="T18" s="1">
        <v>632.20000000000005</v>
      </c>
      <c r="U18" s="1">
        <v>298.89999999999998</v>
      </c>
      <c r="V18" s="1">
        <v>288.2</v>
      </c>
      <c r="W18" s="2">
        <v>609.6</v>
      </c>
      <c r="X18" s="23">
        <f>(SUM(X14:X17)/X2)*100000</f>
        <v>431.04808426579825</v>
      </c>
      <c r="Y18" s="23">
        <f ca="1">IFERROR(__xludf.DUMMYFUNCTION("INDEX(IMPORTRANGE(""1y0FWgjbB0gVlqn-q5LMJbGIsqOrzru4yowQz67dz2yc"", ""'GAR'!AM3:AM139""),MATCH(D18,IMPORTRANGE(""1y0FWgjbB0gVlqn-q5LMJbGIsqOrzru4yowQz67dz2yc"", ""'GAR'!D3:D139""),0))"),794.251850729878)</f>
        <v>794.25185072987802</v>
      </c>
      <c r="Z18" s="1"/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977</v>
      </c>
      <c r="Q19" s="12">
        <v>2058</v>
      </c>
      <c r="R19" s="13"/>
      <c r="S19" s="13"/>
      <c r="T19" s="13"/>
      <c r="U19" s="13"/>
      <c r="V19" s="13"/>
      <c r="W19" s="4"/>
      <c r="X19" s="12">
        <v>1080</v>
      </c>
      <c r="Y19" s="12">
        <f ca="1">IFERROR(__xludf.DUMMYFUNCTION("INDEX(IMPORTRANGE(""1y0FWgjbB0gVlqn-q5LMJbGIsqOrzru4yowQz67dz2yc"", ""'GAR'!AM3:AM139""),MATCH(D19,IMPORTRANGE(""1y0FWgjbB0gVlqn-q5LMJbGIsqOrzru4yowQz67dz2yc"", ""'GAR'!D3:D139""),0))"),2540)</f>
        <v>2540</v>
      </c>
      <c r="Z19" s="1"/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(P19/P$2)*100000</f>
        <v>315.71838049719986</v>
      </c>
      <c r="Q20" s="23">
        <f t="shared" si="6"/>
        <v>665.04444939942414</v>
      </c>
      <c r="R20" s="1">
        <v>654</v>
      </c>
      <c r="S20" s="1">
        <v>310.5</v>
      </c>
      <c r="T20" s="1">
        <v>642.9</v>
      </c>
      <c r="U20" s="1">
        <v>305.2</v>
      </c>
      <c r="V20" s="1">
        <v>299.89999999999998</v>
      </c>
      <c r="W20" s="2">
        <v>631.79999999999995</v>
      </c>
      <c r="X20" s="23">
        <f>(X19/X$2)*100000</f>
        <v>340.79936384118747</v>
      </c>
      <c r="Y20" s="23">
        <f ca="1">IFERROR(__xludf.DUMMYFUNCTION("INDEX(IMPORTRANGE(""1y0FWgjbB0gVlqn-q5LMJbGIsqOrzru4yowQz67dz2yc"", ""'GAR'!AM3:AM139""),MATCH(D20,IMPORTRANGE(""1y0FWgjbB0gVlqn-q5LMJbGIsqOrzru4yowQz67dz2yc"", ""'GAR'!D3:D139""),0))"),801.509614959829)</f>
        <v>801.50961495982904</v>
      </c>
      <c r="Z20" s="1"/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1061</v>
      </c>
      <c r="Q21" s="12">
        <v>2862</v>
      </c>
      <c r="R21" s="13"/>
      <c r="S21" s="13"/>
      <c r="T21" s="13"/>
      <c r="U21" s="13"/>
      <c r="V21" s="13"/>
      <c r="W21" s="4"/>
      <c r="X21" s="12">
        <v>1584</v>
      </c>
      <c r="Y21" s="12">
        <f ca="1">IFERROR(__xludf.DUMMYFUNCTION("INDEX(IMPORTRANGE(""1y0FWgjbB0gVlqn-q5LMJbGIsqOrzru4yowQz67dz2yc"", ""'GAR'!AM3:AM139""),MATCH(D21,IMPORTRANGE(""1y0FWgjbB0gVlqn-q5LMJbGIsqOrzru4yowQz67dz2yc"", ""'GAR'!D3:D139""),0))"),3231)</f>
        <v>3231</v>
      </c>
      <c r="Z21" s="1"/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7">(P21/P$2)*100000</f>
        <v>342.86305190125802</v>
      </c>
      <c r="Q22" s="23">
        <f t="shared" si="7"/>
        <v>924.8577328382662</v>
      </c>
      <c r="R22" s="1">
        <v>909.4</v>
      </c>
      <c r="S22" s="1">
        <v>337.1</v>
      </c>
      <c r="T22" s="1">
        <v>894</v>
      </c>
      <c r="U22" s="1">
        <v>331.4</v>
      </c>
      <c r="V22" s="1">
        <v>325.7</v>
      </c>
      <c r="W22" s="2">
        <v>878.6</v>
      </c>
      <c r="X22" s="23">
        <f>(X21/X$2)*100000</f>
        <v>499.83906696707493</v>
      </c>
      <c r="Y22" s="23">
        <f ca="1">IFERROR(__xludf.DUMMYFUNCTION("INDEX(IMPORTRANGE(""1y0FWgjbB0gVlqn-q5LMJbGIsqOrzru4yowQz67dz2yc"", ""'GAR'!AM3:AM139""),MATCH(D22,IMPORTRANGE(""1y0FWgjbB0gVlqn-q5LMJbGIsqOrzru4yowQz67dz2yc"", ""'GAR'!D3:D139""),0))"),1019.55809682488)</f>
        <v>1019.55809682488</v>
      </c>
      <c r="Z22" s="1"/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15</v>
      </c>
      <c r="Q23" s="12">
        <v>30</v>
      </c>
      <c r="R23" s="13"/>
      <c r="S23" s="13"/>
      <c r="T23" s="13"/>
      <c r="U23" s="13"/>
      <c r="V23" s="13"/>
      <c r="W23" s="4"/>
      <c r="X23" s="12">
        <v>23</v>
      </c>
      <c r="Y23" s="12">
        <f ca="1">IFERROR(__xludf.DUMMYFUNCTION("INDEX(IMPORTRANGE(""1y0FWgjbB0gVlqn-q5LMJbGIsqOrzru4yowQz67dz2yc"", ""'GAR'!AM3:AM139""),MATCH(D23,IMPORTRANGE(""1y0FWgjbB0gVlqn-q5LMJbGIsqOrzru4yowQz67dz2yc"", ""'GAR'!D3:D139""),0))"),44)</f>
        <v>44</v>
      </c>
      <c r="Z23" s="1"/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9</v>
      </c>
      <c r="Q24" s="12">
        <v>27</v>
      </c>
      <c r="R24" s="13"/>
      <c r="S24" s="13"/>
      <c r="T24" s="13"/>
      <c r="U24" s="13"/>
      <c r="V24" s="13"/>
      <c r="W24" s="4"/>
      <c r="X24" s="12">
        <v>15</v>
      </c>
      <c r="Y24" s="12">
        <f ca="1">IFERROR(__xludf.DUMMYFUNCTION("INDEX(IMPORTRANGE(""1y0FWgjbB0gVlqn-q5LMJbGIsqOrzru4yowQz67dz2yc"", ""'GAR'!AM3:AM139""),MATCH(D24,IMPORTRANGE(""1y0FWgjbB0gVlqn-q5LMJbGIsqOrzru4yowQz67dz2yc"", ""'GAR'!D3:D139""),0))"),36)</f>
        <v>36</v>
      </c>
      <c r="Z24" s="1"/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2</v>
      </c>
      <c r="Q25" s="12">
        <v>5</v>
      </c>
      <c r="R25" s="13"/>
      <c r="S25" s="13"/>
      <c r="T25" s="13"/>
      <c r="U25" s="13"/>
      <c r="V25" s="13"/>
      <c r="W25" s="4"/>
      <c r="X25" s="12">
        <v>3</v>
      </c>
      <c r="Y25" s="12">
        <f ca="1">IFERROR(__xludf.DUMMYFUNCTION("INDEX(IMPORTRANGE(""1y0FWgjbB0gVlqn-q5LMJbGIsqOrzru4yowQz67dz2yc"", ""'GAR'!AM3:AM139""),MATCH(D25,IMPORTRANGE(""1y0FWgjbB0gVlqn-q5LMJbGIsqOrzru4yowQz67dz2yc"", ""'GAR'!D3:D139""),0))"),7)</f>
        <v>7</v>
      </c>
      <c r="Z25" s="1"/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0</v>
      </c>
      <c r="Q26" s="12">
        <v>0</v>
      </c>
      <c r="R26" s="13"/>
      <c r="S26" s="13"/>
      <c r="T26" s="13"/>
      <c r="U26" s="13"/>
      <c r="V26" s="13"/>
      <c r="W26" s="4"/>
      <c r="X26" s="12">
        <v>0</v>
      </c>
      <c r="Y26" s="12">
        <f ca="1">IFERROR(__xludf.DUMMYFUNCTION("INDEX(IMPORTRANGE(""1y0FWgjbB0gVlqn-q5LMJbGIsqOrzru4yowQz67dz2yc"", ""'GAR'!AM3:AM139""),MATCH(D26,IMPORTRANGE(""1y0FWgjbB0gVlqn-q5LMJbGIsqOrzru4yowQz67dz2yc"", ""'GAR'!D3:D139""),0))"),0)</f>
        <v>0</v>
      </c>
      <c r="Z26" s="1"/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13"/>
      <c r="S27" s="13"/>
      <c r="T27" s="13"/>
      <c r="U27" s="13"/>
      <c r="V27" s="13"/>
      <c r="W27" s="4"/>
      <c r="X27" s="12">
        <v>1</v>
      </c>
      <c r="Y27" s="12">
        <f ca="1">IFERROR(__xludf.DUMMYFUNCTION("INDEX(IMPORTRANGE(""1y0FWgjbB0gVlqn-q5LMJbGIsqOrzru4yowQz67dz2yc"", ""'GAR'!AM3:AM139""),MATCH(D27,IMPORTRANGE(""1y0FWgjbB0gVlqn-q5LMJbGIsqOrzru4yowQz67dz2yc"", ""'GAR'!D3:D139""),0))"),1)</f>
        <v>1</v>
      </c>
      <c r="Z27" s="1"/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4"/>
      <c r="X28" s="12">
        <v>0</v>
      </c>
      <c r="Y28" s="12">
        <f ca="1">IFERROR(__xludf.DUMMYFUNCTION("INDEX(IMPORTRANGE(""1y0FWgjbB0gVlqn-q5LMJbGIsqOrzru4yowQz67dz2yc"", ""'GAR'!AM3:AM139""),MATCH(D28,IMPORTRANGE(""1y0FWgjbB0gVlqn-q5LMJbGIsqOrzru4yowQz67dz2yc"", ""'GAR'!D3:D139""),0))"),0)</f>
        <v>0</v>
      </c>
      <c r="Z28" s="1"/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2</v>
      </c>
      <c r="Q29" s="12">
        <v>7</v>
      </c>
      <c r="R29" s="13"/>
      <c r="S29" s="13"/>
      <c r="T29" s="13"/>
      <c r="U29" s="13"/>
      <c r="V29" s="13"/>
      <c r="W29" s="4"/>
      <c r="X29" s="12">
        <v>9</v>
      </c>
      <c r="Y29" s="12">
        <f ca="1">IFERROR(__xludf.DUMMYFUNCTION("INDEX(IMPORTRANGE(""1y0FWgjbB0gVlqn-q5LMJbGIsqOrzru4yowQz67dz2yc"", ""'GAR'!AM3:AM139""),MATCH(D29,IMPORTRANGE(""1y0FWgjbB0gVlqn-q5LMJbGIsqOrzru4yowQz67dz2yc"", ""'GAR'!D3:D139""),0))"),20)</f>
        <v>20</v>
      </c>
      <c r="Z29" s="1"/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4</v>
      </c>
      <c r="Q30" s="12">
        <v>13</v>
      </c>
      <c r="R30" s="13"/>
      <c r="S30" s="13"/>
      <c r="T30" s="13"/>
      <c r="U30" s="13"/>
      <c r="V30" s="13"/>
      <c r="W30" s="4"/>
      <c r="X30" s="12">
        <v>3</v>
      </c>
      <c r="Y30" s="12">
        <f ca="1">IFERROR(__xludf.DUMMYFUNCTION("INDEX(IMPORTRANGE(""1y0FWgjbB0gVlqn-q5LMJbGIsqOrzru4yowQz67dz2yc"", ""'GAR'!AM3:AM139""),MATCH(D30,IMPORTRANGE(""1y0FWgjbB0gVlqn-q5LMJbGIsqOrzru4yowQz67dz2yc"", ""'GAR'!D3:D139""),0))"),5)</f>
        <v>5</v>
      </c>
      <c r="Z30" s="1"/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4"/>
      <c r="X31" s="12">
        <v>0</v>
      </c>
      <c r="Y31" s="12">
        <f ca="1">IFERROR(__xludf.DUMMYFUNCTION("INDEX(IMPORTRANGE(""1y0FWgjbB0gVlqn-q5LMJbGIsqOrzru4yowQz67dz2yc"", ""'GAR'!AM3:AM139""),MATCH(D31,IMPORTRANGE(""1y0FWgjbB0gVlqn-q5LMJbGIsqOrzru4yowQz67dz2yc"", ""'GAR'!D3:D139""),0))"),2)</f>
        <v>2</v>
      </c>
      <c r="Z31" s="1"/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4"/>
      <c r="X32" s="12">
        <v>1</v>
      </c>
      <c r="Y32" s="12">
        <f ca="1">IFERROR(__xludf.DUMMYFUNCTION("INDEX(IMPORTRANGE(""1y0FWgjbB0gVlqn-q5LMJbGIsqOrzru4yowQz67dz2yc"", ""'GAR'!AM3:AM139""),MATCH(D32,IMPORTRANGE(""1y0FWgjbB0gVlqn-q5LMJbGIsqOrzru4yowQz67dz2yc"", ""'GAR'!D3:D139""),0))"),5)</f>
        <v>5</v>
      </c>
      <c r="Z32" s="1"/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4"/>
      <c r="X33" s="12">
        <v>1</v>
      </c>
      <c r="Y33" s="12">
        <f ca="1">IFERROR(__xludf.DUMMYFUNCTION("INDEX(IMPORTRANGE(""1y0FWgjbB0gVlqn-q5LMJbGIsqOrzru4yowQz67dz2yc"", ""'GAR'!AM3:AM139""),MATCH(D33,IMPORTRANGE(""1y0FWgjbB0gVlqn-q5LMJbGIsqOrzru4yowQz67dz2yc"", ""'GAR'!D3:D139""),0))"),2)</f>
        <v>2</v>
      </c>
      <c r="Z33" s="1"/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8">(SUM(P23:P33)/P$2)*100000</f>
        <v>10.663978051594265</v>
      </c>
      <c r="Q34" s="23">
        <f t="shared" si="8"/>
        <v>26.821520554009815</v>
      </c>
      <c r="R34" s="1">
        <v>26.4</v>
      </c>
      <c r="S34" s="1">
        <v>10.5</v>
      </c>
      <c r="T34" s="1">
        <v>25.9</v>
      </c>
      <c r="U34" s="1">
        <v>10.3</v>
      </c>
      <c r="V34" s="1">
        <v>10.1</v>
      </c>
      <c r="W34" s="2">
        <v>25.5</v>
      </c>
      <c r="X34" s="23">
        <f>(SUM(X23:X33)/X$2)*100000</f>
        <v>17.67107812509861</v>
      </c>
      <c r="Y34" s="23">
        <f ca="1">IFERROR(__xludf.DUMMYFUNCTION("INDEX(IMPORTRANGE(""1y0FWgjbB0gVlqn-q5LMJbGIsqOrzru4yowQz67dz2yc"", ""'GAR'!AM3:AM139""),MATCH(D34,IMPORTRANGE(""1y0FWgjbB0gVlqn-q5LMJbGIsqOrzru4yowQz67dz2yc"", ""'GAR'!D3:D139""),0))"),38.4977059153934)</f>
        <v>38.497705915393396</v>
      </c>
      <c r="Z34" s="1"/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1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202489</v>
      </c>
      <c r="Q35" s="12">
        <v>202489</v>
      </c>
      <c r="R35" s="13"/>
      <c r="S35" s="13"/>
      <c r="T35" s="13"/>
      <c r="U35" s="13"/>
      <c r="V35" s="13"/>
      <c r="W35" s="4"/>
      <c r="X35" s="12">
        <v>202489</v>
      </c>
      <c r="Y35" s="2" t="str">
        <f ca="1">IFERROR(__xludf.DUMMYFUNCTION("INDEX(IMPORTRANGE(""1y0FWgjbB0gVlqn-q5LMJbGIsqOrzru4yowQz67dz2yc"", ""'GAR'!AM3:AM139""),MATCH(D35,IMPORTRANGE(""1y0FWgjbB0gVlqn-q5LMJbGIsqOrzru4yowQz67dz2yc"", ""'GAR'!D3:D139""),0))"),"Sin dato")</f>
        <v>Sin dato</v>
      </c>
      <c r="Z35" s="1"/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1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12">
        <v>0</v>
      </c>
      <c r="R36" s="1"/>
      <c r="S36" s="1"/>
      <c r="T36" s="1"/>
      <c r="U36" s="1"/>
      <c r="V36" s="1"/>
      <c r="W36" s="2"/>
      <c r="X36" s="12">
        <v>0</v>
      </c>
      <c r="Y36" s="2">
        <f ca="1">IFERROR(__xludf.DUMMYFUNCTION("INDEX(IMPORTRANGE(""1y0FWgjbB0gVlqn-q5LMJbGIsqOrzru4yowQz67dz2yc"", ""'GAR'!AM3:AM139""),MATCH(D36,IMPORTRANGE(""1y0FWgjbB0gVlqn-q5LMJbGIsqOrzru4yowQz67dz2yc"", ""'GAR'!D3:D139""),0))"),0)</f>
        <v>0</v>
      </c>
      <c r="Z36" s="1"/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1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9">P36/P35</f>
        <v>0</v>
      </c>
      <c r="Q37" s="15">
        <f t="shared" si="9"/>
        <v>0</v>
      </c>
      <c r="R37" s="34"/>
      <c r="S37" s="34"/>
      <c r="T37" s="34"/>
      <c r="U37" s="34"/>
      <c r="V37" s="34"/>
      <c r="W37" s="56"/>
      <c r="X37" s="15">
        <f>X36/X35</f>
        <v>0</v>
      </c>
      <c r="Y37" s="2" t="str">
        <f ca="1">IFERROR(__xludf.DUMMYFUNCTION("INDEX(IMPORTRANGE(""1y0FWgjbB0gVlqn-q5LMJbGIsqOrzru4yowQz67dz2yc"", ""'GAR'!AM3:AM139""),MATCH(D37,IMPORTRANGE(""1y0FWgjbB0gVlqn-q5LMJbGIsqOrzru4yowQz67dz2yc"", ""'GAR'!D3:D139""),0))"),"")</f>
        <v/>
      </c>
      <c r="Z37" s="1"/>
      <c r="AA37" s="1"/>
      <c r="AB37" s="1"/>
      <c r="AC37" s="1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9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12">
        <v>0</v>
      </c>
      <c r="R38" s="1">
        <v>1</v>
      </c>
      <c r="S38" s="1">
        <v>2</v>
      </c>
      <c r="T38" s="1">
        <v>2</v>
      </c>
      <c r="U38" s="1">
        <v>3</v>
      </c>
      <c r="V38" s="1">
        <v>3</v>
      </c>
      <c r="W38" s="2">
        <v>3</v>
      </c>
      <c r="X38" s="12">
        <v>0</v>
      </c>
      <c r="Y38" s="2">
        <f ca="1">IFERROR(__xludf.DUMMYFUNCTION("INDEX(IMPORTRANGE(""1y0FWgjbB0gVlqn-q5LMJbGIsqOrzru4yowQz67dz2yc"", ""'GAR'!AM3:AM139""),MATCH(D38,IMPORTRANGE(""1y0FWgjbB0gVlqn-q5LMJbGIsqOrzru4yowQz67dz2yc"", ""'GAR'!D3:D139""),0))"),0)</f>
        <v>0</v>
      </c>
      <c r="Z38" s="1"/>
      <c r="AA38" s="1"/>
      <c r="AB38" s="1"/>
      <c r="AC38" s="1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9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230</v>
      </c>
      <c r="Q39" s="12">
        <v>440</v>
      </c>
      <c r="R39" s="323">
        <v>1000</v>
      </c>
      <c r="S39" s="323">
        <v>500</v>
      </c>
      <c r="T39" s="323">
        <v>1000</v>
      </c>
      <c r="U39" s="323">
        <v>500</v>
      </c>
      <c r="V39" s="323">
        <v>1000</v>
      </c>
      <c r="W39" s="2">
        <v>3000</v>
      </c>
      <c r="X39" s="12">
        <v>779</v>
      </c>
      <c r="Y39" s="2">
        <f ca="1">IFERROR(__xludf.DUMMYFUNCTION("INDEX(IMPORTRANGE(""1y0FWgjbB0gVlqn-q5LMJbGIsqOrzru4yowQz67dz2yc"", ""'GAR'!AM3:AM139""),MATCH(D39,IMPORTRANGE(""1y0FWgjbB0gVlqn-q5LMJbGIsqOrzru4yowQz67dz2yc"", ""'GAR'!D3:D139""),0))"),922)</f>
        <v>922</v>
      </c>
      <c r="Z39" s="1"/>
      <c r="AA39" s="1"/>
      <c r="AB39" s="1"/>
      <c r="AC39" s="1"/>
    </row>
    <row r="40" spans="1:29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3</v>
      </c>
      <c r="Q40" s="12">
        <v>6</v>
      </c>
      <c r="R40" s="1"/>
      <c r="S40" s="1"/>
      <c r="T40" s="1"/>
      <c r="U40" s="1"/>
      <c r="V40" s="1"/>
      <c r="W40" s="2">
        <v>9</v>
      </c>
      <c r="X40" s="12">
        <v>3</v>
      </c>
      <c r="Y40" s="2">
        <f ca="1">IFERROR(__xludf.DUMMYFUNCTION("INDEX(IMPORTRANGE(""1y0FWgjbB0gVlqn-q5LMJbGIsqOrzru4yowQz67dz2yc"", ""'GAR'!AM3:AM139""),MATCH(D40,IMPORTRANGE(""1y0FWgjbB0gVlqn-q5LMJbGIsqOrzru4yowQz67dz2yc"", ""'GAR'!D3:D139""),0))"),6)</f>
        <v>6</v>
      </c>
      <c r="Z40" s="1"/>
      <c r="AA40" s="1"/>
      <c r="AB40" s="1"/>
      <c r="AC40" s="1"/>
    </row>
    <row r="41" spans="1:29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12"/>
      <c r="R41" s="1"/>
      <c r="S41" s="1"/>
      <c r="T41" s="1"/>
      <c r="U41" s="1"/>
      <c r="V41" s="1"/>
      <c r="W41" s="2"/>
      <c r="X41" s="12"/>
      <c r="Y41" s="2">
        <f ca="1">IFERROR(__xludf.DUMMYFUNCTION("INDEX(IMPORTRANGE(""1y0FWgjbB0gVlqn-q5LMJbGIsqOrzru4yowQz67dz2yc"", ""'GAR'!AM3:AM139""),MATCH(D41,IMPORTRANGE(""1y0FWgjbB0gVlqn-q5LMJbGIsqOrzru4yowQz67dz2yc"", ""'GAR'!D3:D139""),0))"),0)</f>
        <v>0</v>
      </c>
      <c r="Z41" s="1"/>
      <c r="AA41" s="1"/>
      <c r="AB41" s="1"/>
      <c r="AC41" s="1"/>
    </row>
    <row r="42" spans="1:29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6</v>
      </c>
      <c r="Q42" s="12">
        <v>19</v>
      </c>
      <c r="R42" s="1"/>
      <c r="S42" s="1"/>
      <c r="T42" s="1"/>
      <c r="U42" s="1"/>
      <c r="V42" s="1"/>
      <c r="W42" s="2">
        <v>40</v>
      </c>
      <c r="X42" s="12">
        <v>6</v>
      </c>
      <c r="Y42" s="2">
        <f ca="1">IFERROR(__xludf.DUMMYFUNCTION("INDEX(IMPORTRANGE(""1y0FWgjbB0gVlqn-q5LMJbGIsqOrzru4yowQz67dz2yc"", ""'GAR'!AM3:AM139""),MATCH(D42,IMPORTRANGE(""1y0FWgjbB0gVlqn-q5LMJbGIsqOrzru4yowQz67dz2yc"", ""'GAR'!D3:D139""),0))"),19)</f>
        <v>19</v>
      </c>
      <c r="Z42" s="1"/>
      <c r="AA42" s="1"/>
      <c r="AB42" s="1"/>
      <c r="AC42" s="1"/>
    </row>
    <row r="43" spans="1:29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12"/>
      <c r="R43" s="13"/>
      <c r="S43" s="13"/>
      <c r="T43" s="13"/>
      <c r="U43" s="13"/>
      <c r="V43" s="13"/>
      <c r="W43" s="4"/>
      <c r="X43" s="12"/>
      <c r="Y43" s="2">
        <f ca="1">IFERROR(__xludf.DUMMYFUNCTION("INDEX(IMPORTRANGE(""1y0FWgjbB0gVlqn-q5LMJbGIsqOrzru4yowQz67dz2yc"", ""'GAR'!AM3:AM139""),MATCH(D43,IMPORTRANGE(""1y0FWgjbB0gVlqn-q5LMJbGIsqOrzru4yowQz67dz2yc"", ""'GAR'!D3:D139""),0))"),0)</f>
        <v>0</v>
      </c>
      <c r="Z43" s="1"/>
      <c r="AA43" s="1"/>
      <c r="AB43" s="1"/>
      <c r="AC43" s="1"/>
    </row>
    <row r="44" spans="1:29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f t="shared" ref="P44:Q44" si="10">P40+P42</f>
        <v>9</v>
      </c>
      <c r="Q44" s="12">
        <f t="shared" si="10"/>
        <v>25</v>
      </c>
      <c r="R44" s="13">
        <v>16</v>
      </c>
      <c r="S44" s="13">
        <v>8</v>
      </c>
      <c r="T44" s="13">
        <v>17</v>
      </c>
      <c r="U44" s="13">
        <v>8</v>
      </c>
      <c r="V44" s="13">
        <v>16</v>
      </c>
      <c r="W44" s="4">
        <v>49</v>
      </c>
      <c r="X44" s="12">
        <f>X40+X42</f>
        <v>9</v>
      </c>
      <c r="Y44" s="2">
        <f ca="1">IFERROR(__xludf.DUMMYFUNCTION("INDEX(IMPORTRANGE(""1y0FWgjbB0gVlqn-q5LMJbGIsqOrzru4yowQz67dz2yc"", ""'GAR'!AM3:AM139""),MATCH(D44,IMPORTRANGE(""1y0FWgjbB0gVlqn-q5LMJbGIsqOrzru4yowQz67dz2yc"", ""'GAR'!D3:D139""),0))"),25)</f>
        <v>25</v>
      </c>
      <c r="Z44" s="1"/>
      <c r="AA44" s="1"/>
      <c r="AB44" s="1"/>
      <c r="AC44" s="1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9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150</v>
      </c>
      <c r="Q45" s="2" t="s">
        <v>150</v>
      </c>
      <c r="R45" s="156" t="s">
        <v>151</v>
      </c>
      <c r="S45" s="156" t="s">
        <v>151</v>
      </c>
      <c r="T45" s="156" t="s">
        <v>151</v>
      </c>
      <c r="U45" s="156" t="s">
        <v>151</v>
      </c>
      <c r="V45" s="156" t="s">
        <v>151</v>
      </c>
      <c r="W45" s="156" t="s">
        <v>151</v>
      </c>
      <c r="X45" s="2" t="s">
        <v>150</v>
      </c>
      <c r="Y45" s="2" t="str">
        <f ca="1">IFERROR(__xludf.DUMMYFUNCTION("INDEX(IMPORTRANGE(""1y0FWgjbB0gVlqn-q5LMJbGIsqOrzru4yowQz67dz2yc"", ""'GAR'!AM3:AM139""),MATCH(D45,IMPORTRANGE(""1y0FWgjbB0gVlqn-q5LMJbGIsqOrzru4yowQz67dz2yc"", ""'GAR'!D3:D139""),0))"),"No")</f>
        <v>No</v>
      </c>
      <c r="Z45" s="1"/>
      <c r="AA45" s="1"/>
      <c r="AB45" s="1"/>
      <c r="AC45" s="1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9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150</v>
      </c>
      <c r="Q46" s="2" t="s">
        <v>150</v>
      </c>
      <c r="R46" s="156" t="s">
        <v>151</v>
      </c>
      <c r="S46" s="156" t="s">
        <v>151</v>
      </c>
      <c r="T46" s="156" t="s">
        <v>151</v>
      </c>
      <c r="U46" s="156" t="s">
        <v>151</v>
      </c>
      <c r="V46" s="156" t="s">
        <v>151</v>
      </c>
      <c r="W46" s="156" t="s">
        <v>151</v>
      </c>
      <c r="X46" s="2" t="s">
        <v>150</v>
      </c>
      <c r="Y46" s="2" t="str">
        <f ca="1">IFERROR(__xludf.DUMMYFUNCTION("INDEX(IMPORTRANGE(""1y0FWgjbB0gVlqn-q5LMJbGIsqOrzru4yowQz67dz2yc"", ""'GAR'!AM3:AM139""),MATCH(D46,IMPORTRANGE(""1y0FWgjbB0gVlqn-q5LMJbGIsqOrzru4yowQz67dz2yc"", ""'GAR'!D3:D139""),0))"),"No")</f>
        <v>No</v>
      </c>
      <c r="Z46" s="1"/>
      <c r="AA46" s="1"/>
      <c r="AB46" s="1"/>
      <c r="AC46" s="1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9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150</v>
      </c>
      <c r="Q47" s="2" t="s">
        <v>150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150</v>
      </c>
      <c r="Y47" s="2" t="str">
        <f ca="1">IFERROR(__xludf.DUMMYFUNCTION("INDEX(IMPORTRANGE(""1y0FWgjbB0gVlqn-q5LMJbGIsqOrzru4yowQz67dz2yc"", ""'GAR'!AM3:AM139""),MATCH(D47,IMPORTRANGE(""1y0FWgjbB0gVlqn-q5LMJbGIsqOrzru4yowQz67dz2yc"", ""'GAR'!D3:D139""),0))"),"No Existe")</f>
        <v>No Existe</v>
      </c>
      <c r="Z47" s="1"/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12">
        <f t="shared" ref="P48:Q48" si="11">COUNTIF(P45:P47,"Sí")*(1/3)</f>
        <v>0</v>
      </c>
      <c r="Q48" s="12">
        <f t="shared" si="11"/>
        <v>0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12">
        <f>COUNTIF(X45:X47,"Sí")*(1/3)</f>
        <v>0</v>
      </c>
      <c r="Y48" s="2">
        <f ca="1">IFERROR(__xludf.DUMMYFUNCTION("INDEX(IMPORTRANGE(""1y0FWgjbB0gVlqn-q5LMJbGIsqOrzru4yowQz67dz2yc"", ""'GAR'!AM3:AM139""),MATCH(D48,IMPORTRANGE(""1y0FWgjbB0gVlqn-q5LMJbGIsqOrzru4yowQz67dz2yc"", ""'GAR'!D3:D139""),0))"),0)</f>
        <v>0</v>
      </c>
      <c r="Z48" s="1"/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0</v>
      </c>
      <c r="Q49" s="12">
        <v>0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12">
        <v>0</v>
      </c>
      <c r="Y49" s="2">
        <f ca="1">IFERROR(__xludf.DUMMYFUNCTION("INDEX(IMPORTRANGE(""1y0FWgjbB0gVlqn-q5LMJbGIsqOrzru4yowQz67dz2yc"", ""'GAR'!AM3:AM139""),MATCH(D49,IMPORTRANGE(""1y0FWgjbB0gVlqn-q5LMJbGIsqOrzru4yowQz67dz2yc"", ""'GAR'!D3:D139""),0))"),0)</f>
        <v>0</v>
      </c>
      <c r="Z49" s="1"/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9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0</v>
      </c>
      <c r="Q50" s="12">
        <v>0</v>
      </c>
      <c r="R50" s="13"/>
      <c r="S50" s="13"/>
      <c r="T50" s="13"/>
      <c r="U50" s="13"/>
      <c r="V50" s="13"/>
      <c r="W50" s="4"/>
      <c r="X50" s="12">
        <v>0</v>
      </c>
      <c r="Y50" s="2">
        <f ca="1">IFERROR(__xludf.DUMMYFUNCTION("INDEX(IMPORTRANGE(""1y0FWgjbB0gVlqn-q5LMJbGIsqOrzru4yowQz67dz2yc"", ""'GAR'!AM3:AM139""),MATCH(D50,IMPORTRANGE(""1y0FWgjbB0gVlqn-q5LMJbGIsqOrzru4yowQz67dz2yc"", ""'GAR'!D3:D139""),0))"),0)</f>
        <v>0</v>
      </c>
      <c r="Z50" s="1"/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9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4"/>
      <c r="X51" s="12">
        <v>0</v>
      </c>
      <c r="Y51" s="2">
        <f ca="1">IFERROR(__xludf.DUMMYFUNCTION("INDEX(IMPORTRANGE(""1y0FWgjbB0gVlqn-q5LMJbGIsqOrzru4yowQz67dz2yc"", ""'GAR'!AM3:AM139""),MATCH(D51,IMPORTRANGE(""1y0FWgjbB0gVlqn-q5LMJbGIsqOrzru4yowQz67dz2yc"", ""'GAR'!D3:D139""),0))"),0)</f>
        <v>0</v>
      </c>
      <c r="Z51" s="1"/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9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320</v>
      </c>
      <c r="Q52" s="30" t="s">
        <v>320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30" t="s">
        <v>320</v>
      </c>
      <c r="Y52" s="2" t="str">
        <f ca="1">IFERROR(__xludf.DUMMYFUNCTION("INDEX(IMPORTRANGE(""1y0FWgjbB0gVlqn-q5LMJbGIsqOrzru4yowQz67dz2yc"", ""'GAR'!AM3:AM139""),MATCH(D52,IMPORTRANGE(""1y0FWgjbB0gVlqn-q5LMJbGIsqOrzru4yowQz67dz2yc"", ""'GAR'!D3:D139""),0))"),"NA")</f>
        <v>NA</v>
      </c>
      <c r="Z52" s="1"/>
      <c r="AA52" s="1"/>
      <c r="AB52" s="1"/>
      <c r="AC52" s="1"/>
    </row>
    <row r="53" spans="1:29">
      <c r="A53" s="7" t="s">
        <v>147</v>
      </c>
      <c r="B53" s="7" t="s">
        <v>168</v>
      </c>
      <c r="C53" s="1" t="s">
        <v>30</v>
      </c>
      <c r="D53" s="155" t="s">
        <v>169</v>
      </c>
      <c r="E53" s="7" t="s">
        <v>38</v>
      </c>
      <c r="F53" s="9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27567</v>
      </c>
      <c r="Q53" s="12">
        <v>27567</v>
      </c>
      <c r="R53" s="13"/>
      <c r="S53" s="13"/>
      <c r="T53" s="13"/>
      <c r="U53" s="13"/>
      <c r="V53" s="13"/>
      <c r="W53" s="4"/>
      <c r="X53" s="12">
        <v>27919</v>
      </c>
      <c r="Y53" s="12">
        <f ca="1">IFERROR(__xludf.DUMMYFUNCTION("INDEX(IMPORTRANGE(""1y0FWgjbB0gVlqn-q5LMJbGIsqOrzru4yowQz67dz2yc"", ""'GAR'!AM3:AM139""),MATCH(D53,IMPORTRANGE(""1y0FWgjbB0gVlqn-q5LMJbGIsqOrzru4yowQz67dz2yc"", ""'GAR'!D3:D139""),0))"),27923)</f>
        <v>27923</v>
      </c>
      <c r="Z53" s="1"/>
      <c r="AA53" s="1"/>
      <c r="AB53" s="1"/>
      <c r="AC53" s="1"/>
    </row>
    <row r="54" spans="1:29">
      <c r="A54" s="7" t="s">
        <v>147</v>
      </c>
      <c r="B54" s="7" t="s">
        <v>168</v>
      </c>
      <c r="C54" s="1" t="s">
        <v>30</v>
      </c>
      <c r="D54" s="155" t="s">
        <v>171</v>
      </c>
      <c r="E54" s="7" t="s">
        <v>38</v>
      </c>
      <c r="F54" s="9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28500</v>
      </c>
      <c r="Q54" s="12">
        <v>28500</v>
      </c>
      <c r="R54" s="13"/>
      <c r="S54" s="13"/>
      <c r="T54" s="13"/>
      <c r="U54" s="13"/>
      <c r="V54" s="13"/>
      <c r="W54" s="4"/>
      <c r="X54" s="12">
        <v>28625</v>
      </c>
      <c r="Y54" s="12">
        <f ca="1">IFERROR(__xludf.DUMMYFUNCTION("INDEX(IMPORTRANGE(""1y0FWgjbB0gVlqn-q5LMJbGIsqOrzru4yowQz67dz2yc"", ""'GAR'!AM3:AM139""),MATCH(D54,IMPORTRANGE(""1y0FWgjbB0gVlqn-q5LMJbGIsqOrzru4yowQz67dz2yc"", ""'GAR'!D3:D139""),0))"),28032)</f>
        <v>28032</v>
      </c>
      <c r="Z54" s="1"/>
      <c r="AA54" s="1"/>
      <c r="AB54" s="1"/>
      <c r="AC54" s="1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9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2">P53/P54</f>
        <v>0.96726315789473682</v>
      </c>
      <c r="Q55" s="15">
        <f t="shared" si="12"/>
        <v>0.96726315789473682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X53/X54</f>
        <v>0.97533624454148471</v>
      </c>
      <c r="Y55" s="15">
        <f ca="1">IFERROR(__xludf.DUMMYFUNCTION("INDEX(IMPORTRANGE(""1y0FWgjbB0gVlqn-q5LMJbGIsqOrzru4yowQz67dz2yc"", ""'GAR'!AM3:AM139""),MATCH(D55,IMPORTRANGE(""1y0FWgjbB0gVlqn-q5LMJbGIsqOrzru4yowQz67dz2yc"", ""'GAR'!D3:D139""),0))"),0.99611158675799)</f>
        <v>0.99611158675799005</v>
      </c>
      <c r="Z55" s="1"/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9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120000</v>
      </c>
      <c r="Q56" s="12">
        <v>120000</v>
      </c>
      <c r="R56" s="13"/>
      <c r="S56" s="13"/>
      <c r="T56" s="13"/>
      <c r="U56" s="13"/>
      <c r="V56" s="13"/>
      <c r="W56" s="4"/>
      <c r="X56" s="12">
        <v>120000</v>
      </c>
      <c r="Y56" s="12">
        <f ca="1">IFERROR(__xludf.DUMMYFUNCTION("INDEX(IMPORTRANGE(""1y0FWgjbB0gVlqn-q5LMJbGIsqOrzru4yowQz67dz2yc"", ""'GAR'!AM3:AM139""),MATCH(D56,IMPORTRANGE(""1y0FWgjbB0gVlqn-q5LMJbGIsqOrzru4yowQz67dz2yc"", ""'GAR'!D3:D139""),0))"),202489)</f>
        <v>202489</v>
      </c>
      <c r="Z56" s="1"/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36</v>
      </c>
      <c r="D57" s="1" t="s">
        <v>177</v>
      </c>
      <c r="E57" s="1" t="s">
        <v>38</v>
      </c>
      <c r="F57" s="2" t="s">
        <v>178</v>
      </c>
      <c r="G57" s="10">
        <v>44469</v>
      </c>
      <c r="H57" s="10">
        <v>44469</v>
      </c>
      <c r="I57" s="49">
        <v>44651</v>
      </c>
      <c r="J57" s="49">
        <v>44834</v>
      </c>
      <c r="K57" s="49">
        <v>45016</v>
      </c>
      <c r="L57" s="49">
        <v>45199</v>
      </c>
      <c r="M57" s="49">
        <v>45382</v>
      </c>
      <c r="N57" s="49">
        <v>45565</v>
      </c>
      <c r="O57" s="49">
        <v>45565</v>
      </c>
      <c r="P57" s="15">
        <f t="shared" ref="P57:Q57" si="13">P56/P35</f>
        <v>0.59262478455619816</v>
      </c>
      <c r="Q57" s="15">
        <f t="shared" si="13"/>
        <v>0.59262478455619816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X56/X35</f>
        <v>0.59262478455619816</v>
      </c>
      <c r="Y57" s="317">
        <f ca="1">IFERROR(__xludf.DUMMYFUNCTION("INDEX(IMPORTRANGE(""1y0FWgjbB0gVlqn-q5LMJbGIsqOrzru4yowQz67dz2yc"", ""'GAR'!AM3:AM139""),MATCH(D57,IMPORTRANGE(""1y0FWgjbB0gVlqn-q5LMJbGIsqOrzru4yowQz67dz2yc"", ""'GAR'!D3:D139""),0))"),1)</f>
        <v>1</v>
      </c>
      <c r="Z57" s="1"/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9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23">
        <v>6304695.5899999999</v>
      </c>
      <c r="Q58" s="23">
        <v>6304695.5999999996</v>
      </c>
      <c r="R58" s="13"/>
      <c r="S58" s="13"/>
      <c r="T58" s="13"/>
      <c r="U58" s="13"/>
      <c r="V58" s="13"/>
      <c r="W58" s="4"/>
      <c r="X58" s="23">
        <v>6315863.54</v>
      </c>
      <c r="Y58" s="23">
        <f ca="1">IFERROR(__xludf.DUMMYFUNCTION("INDEX(IMPORTRANGE(""1y0FWgjbB0gVlqn-q5LMJbGIsqOrzru4yowQz67dz2yc"", ""'GAR'!AM3:AM139""),MATCH(D58,IMPORTRANGE(""1y0FWgjbB0gVlqn-q5LMJbGIsqOrzru4yowQz67dz2yc"", ""'GAR'!D3:D139""),0))"),15243.36)</f>
        <v>15243.36</v>
      </c>
      <c r="Z58" s="1"/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9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318">
        <v>7804695.5999999996</v>
      </c>
      <c r="Q59" s="318">
        <v>7804695.5999999996</v>
      </c>
      <c r="R59" s="13"/>
      <c r="S59" s="13"/>
      <c r="T59" s="13"/>
      <c r="U59" s="13"/>
      <c r="V59" s="13"/>
      <c r="W59" s="4"/>
      <c r="X59" s="318">
        <v>7804695.5999999996</v>
      </c>
      <c r="Y59" s="318">
        <f ca="1">IFERROR(__xludf.DUMMYFUNCTION("INDEX(IMPORTRANGE(""1y0FWgjbB0gVlqn-q5LMJbGIsqOrzru4yowQz67dz2yc"", ""'GAR'!AM3:AM139""),MATCH(D59,IMPORTRANGE(""1y0FWgjbB0gVlqn-q5LMJbGIsqOrzru4yowQz67dz2yc"", ""'GAR'!D3:D139""),0))"),1500000)</f>
        <v>1500000</v>
      </c>
      <c r="Z59" s="1"/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9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0.80780800599065006</v>
      </c>
      <c r="Q60" s="15">
        <f t="shared" si="14"/>
        <v>0.80780800727193003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0.80923893303410843</v>
      </c>
      <c r="Y60" s="15">
        <f ca="1">IFERROR(__xludf.DUMMYFUNCTION("INDEX(IMPORTRANGE(""1y0FWgjbB0gVlqn-q5LMJbGIsqOrzru4yowQz67dz2yc"", ""'GAR'!AM3:AM139""),MATCH(D60,IMPORTRANGE(""1y0FWgjbB0gVlqn-q5LMJbGIsqOrzru4yowQz67dz2yc"", ""'GAR'!D3:D139""),0))"),0.01016224)</f>
        <v>1.0162239999999999E-2</v>
      </c>
      <c r="Z60" s="1"/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9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7300</v>
      </c>
      <c r="Q61" s="12">
        <v>7300</v>
      </c>
      <c r="R61" s="13"/>
      <c r="S61" s="13"/>
      <c r="T61" s="13"/>
      <c r="U61" s="13"/>
      <c r="V61" s="13"/>
      <c r="W61" s="4"/>
      <c r="X61" s="12">
        <v>7300</v>
      </c>
      <c r="Y61" s="12">
        <f ca="1">IFERROR(__xludf.DUMMYFUNCTION("INDEX(IMPORTRANGE(""1y0FWgjbB0gVlqn-q5LMJbGIsqOrzru4yowQz67dz2yc"", ""'GAR'!AM3:AM139""),MATCH(D61,IMPORTRANGE(""1y0FWgjbB0gVlqn-q5LMJbGIsqOrzru4yowQz67dz2yc"", ""'GAR'!D3:D139""),0))"),8780.5)</f>
        <v>8780.5</v>
      </c>
      <c r="Z61" s="1"/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9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9800</v>
      </c>
      <c r="Q62" s="12">
        <v>9800</v>
      </c>
      <c r="R62" s="13"/>
      <c r="S62" s="13"/>
      <c r="T62" s="13"/>
      <c r="U62" s="13"/>
      <c r="V62" s="13"/>
      <c r="W62" s="4"/>
      <c r="X62" s="12">
        <v>9800</v>
      </c>
      <c r="Y62" s="12">
        <f ca="1">IFERROR(__xludf.DUMMYFUNCTION("INDEX(IMPORTRANGE(""1y0FWgjbB0gVlqn-q5LMJbGIsqOrzru4yowQz67dz2yc"", ""'GAR'!AM3:AM139""),MATCH(D62,IMPORTRANGE(""1y0FWgjbB0gVlqn-q5LMJbGIsqOrzru4yowQz67dz2yc"", ""'GAR'!D3:D139""),0))"),8780.5)</f>
        <v>8780.5</v>
      </c>
      <c r="Z62" s="1"/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9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5">P61/P62</f>
        <v>0.74489795918367352</v>
      </c>
      <c r="Q63" s="15">
        <f t="shared" si="15"/>
        <v>0.74489795918367352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0.74489795918367352</v>
      </c>
      <c r="Y63" s="317">
        <f ca="1">IFERROR(__xludf.DUMMYFUNCTION("INDEX(IMPORTRANGE(""1y0FWgjbB0gVlqn-q5LMJbGIsqOrzru4yowQz67dz2yc"", ""'GAR'!AM3:AM139""),MATCH(D63,IMPORTRANGE(""1y0FWgjbB0gVlqn-q5LMJbGIsqOrzru4yowQz67dz2yc"", ""'GAR'!D3:D139""),0))"),1)</f>
        <v>1</v>
      </c>
      <c r="Z63" s="1"/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9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23">
        <v>0</v>
      </c>
      <c r="Q64" s="23">
        <v>0</v>
      </c>
      <c r="R64" s="1"/>
      <c r="S64" s="1"/>
      <c r="T64" s="1"/>
      <c r="U64" s="1"/>
      <c r="V64" s="1"/>
      <c r="W64" s="12"/>
      <c r="X64" s="23">
        <v>0</v>
      </c>
      <c r="Y64" s="23">
        <f ca="1">IFERROR(__xludf.DUMMYFUNCTION("INDEX(IMPORTRANGE(""1y0FWgjbB0gVlqn-q5LMJbGIsqOrzru4yowQz67dz2yc"", ""'GAR'!AM3:AM139""),MATCH(D64,IMPORTRANGE(""1y0FWgjbB0gVlqn-q5LMJbGIsqOrzru4yowQz67dz2yc"", ""'GAR'!D3:D139""),0))"),0)</f>
        <v>0</v>
      </c>
      <c r="Z64" s="1"/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9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23">
        <v>0</v>
      </c>
      <c r="Q65" s="23">
        <v>0</v>
      </c>
      <c r="R65" s="1"/>
      <c r="S65" s="1"/>
      <c r="T65" s="1"/>
      <c r="U65" s="1"/>
      <c r="V65" s="1"/>
      <c r="W65" s="12"/>
      <c r="X65" s="23">
        <v>6319.82</v>
      </c>
      <c r="Y65" s="23">
        <f ca="1">IFERROR(__xludf.DUMMYFUNCTION("INDEX(IMPORTRANGE(""1y0FWgjbB0gVlqn-q5LMJbGIsqOrzru4yowQz67dz2yc"", ""'GAR'!AM3:AM139""),MATCH(D65,IMPORTRANGE(""1y0FWgjbB0gVlqn-q5LMJbGIsqOrzru4yowQz67dz2yc"", ""'GAR'!D3:D139""),0))"),6355.35881)</f>
        <v>6355.3588099999997</v>
      </c>
      <c r="Z65" s="1"/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9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0</v>
      </c>
      <c r="Q66" s="12">
        <v>0</v>
      </c>
      <c r="R66" s="13"/>
      <c r="S66" s="13"/>
      <c r="T66" s="13"/>
      <c r="U66" s="13"/>
      <c r="V66" s="13"/>
      <c r="W66" s="4"/>
      <c r="X66" s="12">
        <v>0</v>
      </c>
      <c r="Y66" s="2" t="str">
        <f ca="1">IFERROR(__xludf.DUMMYFUNCTION("INDEX(IMPORTRANGE(""1y0FWgjbB0gVlqn-q5LMJbGIsqOrzru4yowQz67dz2yc"", ""'GAR'!AM3:AM139""),MATCH(D66,IMPORTRANGE(""1y0FWgjbB0gVlqn-q5LMJbGIsqOrzru4yowQz67dz2yc"", ""'GAR'!D3:D139""),0))"),"")</f>
        <v/>
      </c>
      <c r="Z66" s="1"/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9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f t="shared" ref="P67:Q67" si="16">P64+P65</f>
        <v>0</v>
      </c>
      <c r="Q67" s="23">
        <f t="shared" si="16"/>
        <v>0</v>
      </c>
      <c r="R67" s="319">
        <v>2.4333333330000002</v>
      </c>
      <c r="S67" s="319">
        <v>2.4333333330000002</v>
      </c>
      <c r="T67" s="319">
        <v>2.4333333330000002</v>
      </c>
      <c r="U67" s="319">
        <v>2.4333333330000002</v>
      </c>
      <c r="V67" s="319">
        <v>2.4333333330000002</v>
      </c>
      <c r="W67" s="320">
        <v>7.3</v>
      </c>
      <c r="X67" s="23">
        <f>X64+X65</f>
        <v>6319.82</v>
      </c>
      <c r="Y67" s="23">
        <f ca="1">IFERROR(__xludf.DUMMYFUNCTION("INDEX(IMPORTRANGE(""1y0FWgjbB0gVlqn-q5LMJbGIsqOrzru4yowQz67dz2yc"", ""'GAR'!AM3:AM139""),MATCH(D67,IMPORTRANGE(""1y0FWgjbB0gVlqn-q5LMJbGIsqOrzru4yowQz67dz2yc"", ""'GAR'!D3:D139""),0))"),6355.35881)</f>
        <v>6355.3588099999997</v>
      </c>
      <c r="Z67" s="1"/>
      <c r="AA67" s="1"/>
      <c r="AB67" s="1"/>
      <c r="AC67" s="1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9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3">
        <v>1.5</v>
      </c>
      <c r="Q68" s="23">
        <v>1.5</v>
      </c>
      <c r="R68" s="56">
        <v>1.8</v>
      </c>
      <c r="S68" s="56">
        <v>1.8</v>
      </c>
      <c r="T68" s="56">
        <v>1.8</v>
      </c>
      <c r="U68" s="56">
        <v>1.8</v>
      </c>
      <c r="V68" s="56">
        <v>1.8</v>
      </c>
      <c r="W68" s="56">
        <v>1.8</v>
      </c>
      <c r="X68" s="23">
        <v>1.76</v>
      </c>
      <c r="Y68" s="23">
        <f ca="1">IFERROR(__xludf.DUMMYFUNCTION("INDEX(IMPORTRANGE(""1y0FWgjbB0gVlqn-q5LMJbGIsqOrzru4yowQz67dz2yc"", ""'GAR'!AM3:AM139""),MATCH(D68,IMPORTRANGE(""1y0FWgjbB0gVlqn-q5LMJbGIsqOrzru4yowQz67dz2yc"", ""'GAR'!D3:D139""),0))"),1.76)</f>
        <v>1.76</v>
      </c>
      <c r="Z68" s="1"/>
      <c r="AA68" s="1"/>
      <c r="AB68" s="1"/>
      <c r="AC68" s="1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9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"/>
      <c r="S69" s="1"/>
      <c r="T69" s="1"/>
      <c r="U69" s="1"/>
      <c r="V69" s="1"/>
      <c r="W69" s="2">
        <v>4500</v>
      </c>
      <c r="X69" s="23">
        <v>2494.96</v>
      </c>
      <c r="Y69" s="23">
        <f ca="1">IFERROR(__xludf.DUMMYFUNCTION("INDEX(IMPORTRANGE(""1y0FWgjbB0gVlqn-q5LMJbGIsqOrzru4yowQz67dz2yc"", ""'GAR'!AM3:AM139""),MATCH(D69,IMPORTRANGE(""1y0FWgjbB0gVlqn-q5LMJbGIsqOrzru4yowQz67dz2yc"", ""'GAR'!D3:D139""),0))"),3680.12)</f>
        <v>3680.12</v>
      </c>
      <c r="Z69" s="1"/>
      <c r="AA69" s="1"/>
      <c r="AB69" s="1"/>
      <c r="AC69" s="1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"/>
      <c r="S70" s="1"/>
      <c r="T70" s="1"/>
      <c r="U70" s="1"/>
      <c r="V70" s="1"/>
      <c r="W70" s="2">
        <v>300</v>
      </c>
      <c r="X70" s="12">
        <v>0</v>
      </c>
      <c r="Y70" s="24">
        <f ca="1">IFERROR(__xludf.DUMMYFUNCTION("INDEX(IMPORTRANGE(""1y0FWgjbB0gVlqn-q5LMJbGIsqOrzru4yowQz67dz2yc"", ""'GAR'!AM3:AM139""),MATCH(D70,IMPORTRANGE(""1y0FWgjbB0gVlqn-q5LMJbGIsqOrzru4yowQz67dz2yc"", ""'GAR'!D3:D139""),0))"),863.069999999999)</f>
        <v>863.06999999999903</v>
      </c>
      <c r="Z70" s="1"/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"/>
      <c r="S71" s="1"/>
      <c r="T71" s="1"/>
      <c r="U71" s="1"/>
      <c r="V71" s="1"/>
      <c r="W71" s="2">
        <v>500</v>
      </c>
      <c r="X71" s="12">
        <v>0</v>
      </c>
      <c r="Y71" s="24">
        <f ca="1">IFERROR(__xludf.DUMMYFUNCTION("INDEX(IMPORTRANGE(""1y0FWgjbB0gVlqn-q5LMJbGIsqOrzru4yowQz67dz2yc"", ""'GAR'!AM3:AM139""),MATCH(D71,IMPORTRANGE(""1y0FWgjbB0gVlqn-q5LMJbGIsqOrzru4yowQz67dz2yc"", ""'GAR'!D3:D139""),0))"),0)</f>
        <v>0</v>
      </c>
      <c r="Z71" s="1"/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3">
        <v>1766.7</v>
      </c>
      <c r="S72" s="13">
        <v>883.3</v>
      </c>
      <c r="T72" s="13">
        <v>1766.7</v>
      </c>
      <c r="U72" s="13">
        <v>883.3</v>
      </c>
      <c r="V72" s="13">
        <v>1766.7</v>
      </c>
      <c r="W72" s="4">
        <f>SUM(W69:W71)</f>
        <v>5300</v>
      </c>
      <c r="X72" s="23">
        <f>X69+X70+X71</f>
        <v>2494.96</v>
      </c>
      <c r="Y72" s="24">
        <f ca="1">IFERROR(__xludf.DUMMYFUNCTION("INDEX(IMPORTRANGE(""1y0FWgjbB0gVlqn-q5LMJbGIsqOrzru4yowQz67dz2yc"", ""'GAR'!AM3:AM139""),MATCH(D72,IMPORTRANGE(""1y0FWgjbB0gVlqn-q5LMJbGIsqOrzru4yowQz67dz2yc"", ""'GAR'!D3:D139""),0))"),4543.19)</f>
        <v>4543.1899999999996</v>
      </c>
      <c r="Z72" s="1"/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155" t="s">
        <v>211</v>
      </c>
      <c r="E73" s="7" t="s">
        <v>38</v>
      </c>
      <c r="F73" s="9" t="s">
        <v>212</v>
      </c>
      <c r="G73" s="155" t="s">
        <v>213</v>
      </c>
      <c r="H73" s="156" t="s">
        <v>214</v>
      </c>
      <c r="I73" s="7" t="s">
        <v>215</v>
      </c>
      <c r="J73" s="13"/>
      <c r="K73" s="7" t="s">
        <v>216</v>
      </c>
      <c r="L73" s="13"/>
      <c r="M73" s="7" t="s">
        <v>217</v>
      </c>
      <c r="N73" s="1" t="s">
        <v>218</v>
      </c>
      <c r="O73" s="1" t="s">
        <v>218</v>
      </c>
      <c r="P73" s="36">
        <v>21422303.489999998</v>
      </c>
      <c r="Q73" s="36">
        <v>21422303.489999998</v>
      </c>
      <c r="R73" s="13"/>
      <c r="S73" s="13"/>
      <c r="T73" s="13"/>
      <c r="U73" s="13"/>
      <c r="V73" s="13"/>
      <c r="W73" s="4"/>
      <c r="X73" s="36">
        <v>21422303.489999998</v>
      </c>
      <c r="Y73" s="178" t="str">
        <f ca="1">IFERROR(__xludf.DUMMYFUNCTION("INDEX(IMPORTRANGE(""1y0FWgjbB0gVlqn-q5LMJbGIsqOrzru4yowQz67dz2yc"", ""'GAR'!AM3:AM139""),MATCH(D73,IMPORTRANGE(""1y0FWgjbB0gVlqn-q5LMJbGIsqOrzru4yowQz67dz2yc"", ""'GAR'!D3:D139""),0))"),"")</f>
        <v/>
      </c>
      <c r="Z73" s="1"/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155" t="s">
        <v>219</v>
      </c>
      <c r="E74" s="7" t="s">
        <v>38</v>
      </c>
      <c r="F74" s="9" t="s">
        <v>220</v>
      </c>
      <c r="G74" s="155" t="s">
        <v>213</v>
      </c>
      <c r="H74" s="156" t="s">
        <v>214</v>
      </c>
      <c r="I74" s="7" t="s">
        <v>215</v>
      </c>
      <c r="J74" s="13"/>
      <c r="K74" s="7" t="s">
        <v>216</v>
      </c>
      <c r="L74" s="13"/>
      <c r="M74" s="7" t="s">
        <v>217</v>
      </c>
      <c r="N74" s="1" t="s">
        <v>218</v>
      </c>
      <c r="O74" s="1" t="s">
        <v>218</v>
      </c>
      <c r="P74" s="36">
        <v>1235527.21</v>
      </c>
      <c r="Q74" s="36">
        <v>1235527.21</v>
      </c>
      <c r="R74" s="13"/>
      <c r="S74" s="13"/>
      <c r="T74" s="13"/>
      <c r="U74" s="13"/>
      <c r="V74" s="13"/>
      <c r="W74" s="4"/>
      <c r="X74" s="36">
        <v>1235527.21</v>
      </c>
      <c r="Y74" s="178" t="str">
        <f ca="1">IFERROR(__xludf.DUMMYFUNCTION("INDEX(IMPORTRANGE(""1y0FWgjbB0gVlqn-q5LMJbGIsqOrzru4yowQz67dz2yc"", ""'GAR'!AM3:AM139""),MATCH(D74,IMPORTRANGE(""1y0FWgjbB0gVlqn-q5LMJbGIsqOrzru4yowQz67dz2yc"", ""'GAR'!D3:D139""),0))"),"")</f>
        <v/>
      </c>
      <c r="Z74" s="1"/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55" t="s">
        <v>213</v>
      </c>
      <c r="H75" s="156" t="s">
        <v>214</v>
      </c>
      <c r="I75" s="7" t="s">
        <v>215</v>
      </c>
      <c r="J75" s="13"/>
      <c r="K75" s="7" t="s">
        <v>216</v>
      </c>
      <c r="L75" s="13"/>
      <c r="M75" s="7" t="s">
        <v>217</v>
      </c>
      <c r="N75" s="1" t="s">
        <v>218</v>
      </c>
      <c r="O75" s="1" t="s">
        <v>218</v>
      </c>
      <c r="P75" s="15">
        <f t="shared" ref="P75:Q75" si="17">P74/P73</f>
        <v>5.767480656675171E-2</v>
      </c>
      <c r="Q75" s="15">
        <f t="shared" si="17"/>
        <v>5.767480656675171E-2</v>
      </c>
      <c r="R75" s="47">
        <v>7.1999999999999995E-2</v>
      </c>
      <c r="S75" s="47"/>
      <c r="T75" s="47">
        <v>8.5999999999999993E-2</v>
      </c>
      <c r="U75" s="47"/>
      <c r="V75" s="47"/>
      <c r="W75" s="15">
        <v>0.1</v>
      </c>
      <c r="X75" s="15">
        <f>X74/X73</f>
        <v>5.767480656675171E-2</v>
      </c>
      <c r="Y75" s="179" t="str">
        <f ca="1">IFERROR(__xludf.DUMMYFUNCTION("INDEX(IMPORTRANGE(""1y0FWgjbB0gVlqn-q5LMJbGIsqOrzru4yowQz67dz2yc"", ""'GAR'!AM3:AM139""),MATCH(D75,IMPORTRANGE(""1y0FWgjbB0gVlqn-q5LMJbGIsqOrzru4yowQz67dz2yc"", ""'GAR'!D3:D139""),0))"),"")</f>
        <v/>
      </c>
      <c r="Z75" s="1"/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0</v>
      </c>
      <c r="Q76" s="12">
        <v>0</v>
      </c>
      <c r="R76" s="1"/>
      <c r="S76" s="1"/>
      <c r="T76" s="1"/>
      <c r="U76" s="1"/>
      <c r="V76" s="1"/>
      <c r="W76" s="2">
        <v>3</v>
      </c>
      <c r="X76" s="12">
        <v>0</v>
      </c>
      <c r="Y76" s="2">
        <f ca="1">IFERROR(__xludf.DUMMYFUNCTION("INDEX(IMPORTRANGE(""1y0FWgjbB0gVlqn-q5LMJbGIsqOrzru4yowQz67dz2yc"", ""'GAR'!AM3:AM139""),MATCH(D76,IMPORTRANGE(""1y0FWgjbB0gVlqn-q5LMJbGIsqOrzru4yowQz67dz2yc"", ""'GAR'!D3:D139""),0))"),0)</f>
        <v>0</v>
      </c>
      <c r="Z76" s="1"/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155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0</v>
      </c>
      <c r="Q77" s="12">
        <v>0</v>
      </c>
      <c r="R77" s="1"/>
      <c r="S77" s="1"/>
      <c r="T77" s="1"/>
      <c r="U77" s="1"/>
      <c r="V77" s="1"/>
      <c r="W77" s="2">
        <v>5</v>
      </c>
      <c r="X77" s="12">
        <v>0</v>
      </c>
      <c r="Y77" s="2">
        <f ca="1">IFERROR(__xludf.DUMMYFUNCTION("INDEX(IMPORTRANGE(""1y0FWgjbB0gVlqn-q5LMJbGIsqOrzru4yowQz67dz2yc"", ""'GAR'!AM3:AM139""),MATCH(D77,IMPORTRANGE(""1y0FWgjbB0gVlqn-q5LMJbGIsqOrzru4yowQz67dz2yc"", ""'GAR'!D3:D139""),0))"),0)</f>
        <v>0</v>
      </c>
      <c r="Z77" s="1"/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155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f t="shared" ref="P78:Q78" si="18">P76+P77</f>
        <v>0</v>
      </c>
      <c r="Q78" s="12">
        <f t="shared" si="18"/>
        <v>0</v>
      </c>
      <c r="R78" s="13">
        <v>3</v>
      </c>
      <c r="S78" s="13">
        <v>2</v>
      </c>
      <c r="T78" s="13">
        <v>3</v>
      </c>
      <c r="U78" s="13">
        <v>1</v>
      </c>
      <c r="V78" s="13">
        <v>2</v>
      </c>
      <c r="W78" s="4">
        <f>SUM(W76:W77)</f>
        <v>8</v>
      </c>
      <c r="X78" s="12">
        <f>X76+X77</f>
        <v>0</v>
      </c>
      <c r="Y78" s="2">
        <f ca="1">IFERROR(__xludf.DUMMYFUNCTION("INDEX(IMPORTRANGE(""1y0FWgjbB0gVlqn-q5LMJbGIsqOrzru4yowQz67dz2yc"", ""'GAR'!AM3:AM139""),MATCH(D78,IMPORTRANGE(""1y0FWgjbB0gVlqn-q5LMJbGIsqOrzru4yowQz67dz2yc"", ""'GAR'!D3:D139""),0))"),0)</f>
        <v>0</v>
      </c>
      <c r="Z78" s="1"/>
      <c r="AA78" s="1"/>
      <c r="AB78" s="1"/>
      <c r="AC78" s="1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66</v>
      </c>
      <c r="Q79" s="12">
        <v>144</v>
      </c>
      <c r="R79" s="13"/>
      <c r="S79" s="13"/>
      <c r="T79" s="13"/>
      <c r="U79" s="13"/>
      <c r="V79" s="13"/>
      <c r="W79" s="4"/>
      <c r="X79" s="12">
        <v>44</v>
      </c>
      <c r="Y79" s="2">
        <f ca="1">IFERROR(__xludf.DUMMYFUNCTION("INDEX(IMPORTRANGE(""1y0FWgjbB0gVlqn-q5LMJbGIsqOrzru4yowQz67dz2yc"", ""'GAR'!AM3:AM139""),MATCH(D79,IMPORTRANGE(""1y0FWgjbB0gVlqn-q5LMJbGIsqOrzru4yowQz67dz2yc"", ""'GAR'!D3:D139""),0))"),109)</f>
        <v>109</v>
      </c>
      <c r="Z79" s="1"/>
      <c r="AA79" s="1"/>
      <c r="AB79" s="1"/>
      <c r="AC79" s="1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7</v>
      </c>
      <c r="Q80" s="12">
        <v>9</v>
      </c>
      <c r="R80" s="13"/>
      <c r="S80" s="13"/>
      <c r="T80" s="13"/>
      <c r="U80" s="13"/>
      <c r="V80" s="13"/>
      <c r="W80" s="4"/>
      <c r="X80" s="12">
        <v>4</v>
      </c>
      <c r="Y80" s="2">
        <f ca="1">IFERROR(__xludf.DUMMYFUNCTION("INDEX(IMPORTRANGE(""1y0FWgjbB0gVlqn-q5LMJbGIsqOrzru4yowQz67dz2yc"", ""'GAR'!AM3:AM139""),MATCH(D80,IMPORTRANGE(""1y0FWgjbB0gVlqn-q5LMJbGIsqOrzru4yowQz67dz2yc"", ""'GAR'!D3:D139""),0))"),15)</f>
        <v>15</v>
      </c>
      <c r="Z80" s="1"/>
      <c r="AA80" s="1"/>
      <c r="AB80" s="1"/>
      <c r="AC80" s="1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964</v>
      </c>
      <c r="Q81" s="12">
        <v>2141</v>
      </c>
      <c r="R81" s="13"/>
      <c r="S81" s="13"/>
      <c r="T81" s="13"/>
      <c r="U81" s="13"/>
      <c r="V81" s="13"/>
      <c r="W81" s="4"/>
      <c r="X81" s="12">
        <v>460</v>
      </c>
      <c r="Y81" s="2">
        <f ca="1">IFERROR(__xludf.DUMMYFUNCTION("INDEX(IMPORTRANGE(""1y0FWgjbB0gVlqn-q5LMJbGIsqOrzru4yowQz67dz2yc"", ""'GAR'!AM3:AM139""),MATCH(D81,IMPORTRANGE(""1y0FWgjbB0gVlqn-q5LMJbGIsqOrzru4yowQz67dz2yc"", ""'GAR'!D3:D139""),0))"),951)</f>
        <v>951</v>
      </c>
      <c r="Z81" s="1"/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62</v>
      </c>
      <c r="Q82" s="12">
        <v>79</v>
      </c>
      <c r="R82" s="13"/>
      <c r="S82" s="13"/>
      <c r="T82" s="13"/>
      <c r="U82" s="13"/>
      <c r="V82" s="13"/>
      <c r="W82" s="4"/>
      <c r="X82" s="12">
        <v>152</v>
      </c>
      <c r="Y82" s="2">
        <f ca="1">IFERROR(__xludf.DUMMYFUNCTION("INDEX(IMPORTRANGE(""1y0FWgjbB0gVlqn-q5LMJbGIsqOrzru4yowQz67dz2yc"", ""'GAR'!AM3:AM139""),MATCH(D82,IMPORTRANGE(""1y0FWgjbB0gVlqn-q5LMJbGIsqOrzru4yowQz67dz2yc"", ""'GAR'!D3:D139""),0))"),338)</f>
        <v>338</v>
      </c>
      <c r="Z82" s="1"/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367</v>
      </c>
      <c r="Q83" s="12">
        <v>751</v>
      </c>
      <c r="R83" s="13"/>
      <c r="S83" s="13"/>
      <c r="T83" s="13"/>
      <c r="U83" s="13"/>
      <c r="V83" s="13"/>
      <c r="W83" s="4"/>
      <c r="X83" s="12">
        <v>434</v>
      </c>
      <c r="Y83" s="2">
        <f ca="1">IFERROR(__xludf.DUMMYFUNCTION("INDEX(IMPORTRANGE(""1y0FWgjbB0gVlqn-q5LMJbGIsqOrzru4yowQz67dz2yc"", ""'GAR'!AM3:AM139""),MATCH(D83,IMPORTRANGE(""1y0FWgjbB0gVlqn-q5LMJbGIsqOrzru4yowQz67dz2yc"", ""'GAR'!D3:D139""),0))"),996)</f>
        <v>996</v>
      </c>
      <c r="Z83" s="1"/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1466</v>
      </c>
      <c r="Q84" s="12">
        <v>3124</v>
      </c>
      <c r="R84" s="28">
        <v>3020</v>
      </c>
      <c r="S84" s="28">
        <v>1417</v>
      </c>
      <c r="T84" s="28">
        <v>2915.7</v>
      </c>
      <c r="U84" s="28">
        <v>1368.3</v>
      </c>
      <c r="V84" s="28">
        <v>1319.4</v>
      </c>
      <c r="W84" s="28">
        <v>2811.6</v>
      </c>
      <c r="X84" s="12">
        <v>1094</v>
      </c>
      <c r="Y84" s="12">
        <f ca="1">IFERROR(__xludf.DUMMYFUNCTION("INDEX(IMPORTRANGE(""1y0FWgjbB0gVlqn-q5LMJbGIsqOrzru4yowQz67dz2yc"", ""'GAR'!AM3:AM139""),MATCH(D84,IMPORTRANGE(""1y0FWgjbB0gVlqn-q5LMJbGIsqOrzru4yowQz67dz2yc"", ""'GAR'!D3:D139""),0))"),2409)</f>
        <v>2409</v>
      </c>
      <c r="Z84" s="1"/>
      <c r="AA84" s="1"/>
      <c r="AB84" s="1"/>
      <c r="AC84" s="1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0</v>
      </c>
      <c r="Q85" s="12">
        <v>0</v>
      </c>
      <c r="R85" s="1">
        <v>40</v>
      </c>
      <c r="S85" s="1">
        <v>80</v>
      </c>
      <c r="T85" s="1">
        <v>120</v>
      </c>
      <c r="U85" s="1">
        <v>160</v>
      </c>
      <c r="V85" s="1">
        <v>200</v>
      </c>
      <c r="W85" s="2">
        <v>200</v>
      </c>
      <c r="X85" s="12">
        <v>6</v>
      </c>
      <c r="Y85" s="2">
        <f ca="1">IFERROR(__xludf.DUMMYFUNCTION("INDEX(IMPORTRANGE(""1y0FWgjbB0gVlqn-q5LMJbGIsqOrzru4yowQz67dz2yc"", ""'GAR'!AM3:AM139""),MATCH(D85,IMPORTRANGE(""1y0FWgjbB0gVlqn-q5LMJbGIsqOrzru4yowQz67dz2yc"", ""'GAR'!D3:D139""),0))"),52)</f>
        <v>52</v>
      </c>
      <c r="Z85" s="1"/>
      <c r="AA85" s="1"/>
      <c r="AB85" s="1"/>
      <c r="AC85" s="1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12">
        <v>2</v>
      </c>
      <c r="Q86" s="12">
        <v>2</v>
      </c>
      <c r="R86" s="1">
        <v>1</v>
      </c>
      <c r="S86" s="1">
        <v>2</v>
      </c>
      <c r="T86" s="1">
        <v>2</v>
      </c>
      <c r="U86" s="1">
        <v>3</v>
      </c>
      <c r="V86" s="1">
        <v>3</v>
      </c>
      <c r="W86" s="2">
        <v>3</v>
      </c>
      <c r="X86" s="12">
        <v>2</v>
      </c>
      <c r="Y86" s="2">
        <f ca="1">IFERROR(__xludf.DUMMYFUNCTION("INDEX(IMPORTRANGE(""1y0FWgjbB0gVlqn-q5LMJbGIsqOrzru4yowQz67dz2yc"", ""'GAR'!AM3:AM139""),MATCH(D86,IMPORTRANGE(""1y0FWgjbB0gVlqn-q5LMJbGIsqOrzru4yowQz67dz2yc"", ""'GAR'!D3:D139""),0))"),3)</f>
        <v>3</v>
      </c>
      <c r="Z86" s="1"/>
      <c r="AA86" s="1"/>
      <c r="AB86" s="1"/>
      <c r="AC86" s="1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94.73</v>
      </c>
      <c r="Q87" s="12">
        <v>94.73</v>
      </c>
      <c r="R87" s="1">
        <v>100</v>
      </c>
      <c r="S87" s="1">
        <v>100</v>
      </c>
      <c r="T87" s="1">
        <v>100</v>
      </c>
      <c r="U87" s="1">
        <v>100</v>
      </c>
      <c r="V87" s="1">
        <v>100</v>
      </c>
      <c r="W87" s="2">
        <v>100</v>
      </c>
      <c r="X87" s="12">
        <v>100</v>
      </c>
      <c r="Y87" s="24">
        <f ca="1">IFERROR(__xludf.DUMMYFUNCTION("INDEX(IMPORTRANGE(""1y0FWgjbB0gVlqn-q5LMJbGIsqOrzru4yowQz67dz2yc"", ""'GAR'!AM3:AM139""),MATCH(D87,IMPORTRANGE(""1y0FWgjbB0gVlqn-q5LMJbGIsqOrzru4yowQz67dz2yc"", ""'GAR'!D3:D139""),0))"),90.98)</f>
        <v>90.98</v>
      </c>
      <c r="Z87" s="1"/>
      <c r="AA87" s="1"/>
      <c r="AB87" s="1"/>
      <c r="AC87" s="1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12">
        <v>0</v>
      </c>
      <c r="R88" s="1">
        <v>4</v>
      </c>
      <c r="S88" s="1">
        <v>4</v>
      </c>
      <c r="T88" s="1">
        <v>4</v>
      </c>
      <c r="U88" s="1">
        <v>4</v>
      </c>
      <c r="V88" s="1">
        <v>4</v>
      </c>
      <c r="W88" s="2">
        <v>4</v>
      </c>
      <c r="X88" s="12">
        <v>0</v>
      </c>
      <c r="Y88" s="2">
        <f ca="1">IFERROR(__xludf.DUMMYFUNCTION("INDEX(IMPORTRANGE(""1y0FWgjbB0gVlqn-q5LMJbGIsqOrzru4yowQz67dz2yc"", ""'GAR'!AM3:AM139""),MATCH(D88,IMPORTRANGE(""1y0FWgjbB0gVlqn-q5LMJbGIsqOrzru4yowQz67dz2yc"", ""'GAR'!D3:D139""),0))"),0)</f>
        <v>0</v>
      </c>
      <c r="Z88" s="1"/>
      <c r="AA88" s="1"/>
      <c r="AB88" s="1"/>
      <c r="AC88" s="1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324"/>
      <c r="I89" s="11">
        <v>44651</v>
      </c>
      <c r="J89" s="13"/>
      <c r="K89" s="11">
        <v>45016</v>
      </c>
      <c r="L89" s="13"/>
      <c r="M89" s="11">
        <v>45382</v>
      </c>
      <c r="N89" s="13"/>
      <c r="O89" s="11">
        <v>45565</v>
      </c>
      <c r="P89" s="254"/>
      <c r="Q89" s="254"/>
      <c r="R89" s="13"/>
      <c r="S89" s="13"/>
      <c r="T89" s="13"/>
      <c r="U89" s="13"/>
      <c r="V89" s="13"/>
      <c r="W89" s="4"/>
      <c r="X89" s="2">
        <v>4</v>
      </c>
      <c r="Y89" s="2">
        <f ca="1">IFERROR(__xludf.DUMMYFUNCTION("INDEX(IMPORTRANGE(""1y0FWgjbB0gVlqn-q5LMJbGIsqOrzru4yowQz67dz2yc"", ""'GAR'!AM3:AM139""),MATCH(D89,IMPORTRANGE(""1y0FWgjbB0gVlqn-q5LMJbGIsqOrzru4yowQz67dz2yc"", ""'GAR'!D3:D139""),0))"),2)</f>
        <v>2</v>
      </c>
      <c r="Z89" s="1"/>
      <c r="AA89" s="1"/>
      <c r="AB89" s="1"/>
      <c r="AC89" s="1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290"/>
      <c r="I90" s="11">
        <v>44651</v>
      </c>
      <c r="J90" s="13"/>
      <c r="K90" s="11">
        <v>45016</v>
      </c>
      <c r="L90" s="13"/>
      <c r="M90" s="11">
        <v>45382</v>
      </c>
      <c r="N90" s="13"/>
      <c r="O90" s="11">
        <v>45565</v>
      </c>
      <c r="P90" s="254"/>
      <c r="Q90" s="254"/>
      <c r="R90" s="13"/>
      <c r="S90" s="13"/>
      <c r="T90" s="13"/>
      <c r="U90" s="13"/>
      <c r="V90" s="13"/>
      <c r="W90" s="4"/>
      <c r="X90" s="2">
        <v>17</v>
      </c>
      <c r="Y90" s="2">
        <f ca="1">IFERROR(__xludf.DUMMYFUNCTION("INDEX(IMPORTRANGE(""1y0FWgjbB0gVlqn-q5LMJbGIsqOrzru4yowQz67dz2yc"", ""'GAR'!AM3:AM139""),MATCH(D90,IMPORTRANGE(""1y0FWgjbB0gVlqn-q5LMJbGIsqOrzru4yowQz67dz2yc"", ""'GAR'!D3:D139""),0))"),13)</f>
        <v>13</v>
      </c>
      <c r="Z90" s="1"/>
      <c r="AA90" s="1"/>
      <c r="AB90" s="1"/>
      <c r="AC90" s="1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290"/>
      <c r="I91" s="11">
        <v>44651</v>
      </c>
      <c r="J91" s="13"/>
      <c r="K91" s="11">
        <v>45016</v>
      </c>
      <c r="L91" s="13"/>
      <c r="M91" s="11">
        <v>45382</v>
      </c>
      <c r="N91" s="13"/>
      <c r="O91" s="11">
        <v>45565</v>
      </c>
      <c r="P91" s="254"/>
      <c r="Q91" s="254"/>
      <c r="R91" s="13"/>
      <c r="S91" s="13"/>
      <c r="T91" s="13"/>
      <c r="U91" s="13"/>
      <c r="V91" s="13"/>
      <c r="W91" s="4"/>
      <c r="X91" s="2">
        <v>0</v>
      </c>
      <c r="Y91" s="2">
        <f ca="1">IFERROR(__xludf.DUMMYFUNCTION("INDEX(IMPORTRANGE(""1y0FWgjbB0gVlqn-q5LMJbGIsqOrzru4yowQz67dz2yc"", ""'GAR'!AM3:AM139""),MATCH(D91,IMPORTRANGE(""1y0FWgjbB0gVlqn-q5LMJbGIsqOrzru4yowQz67dz2yc"", ""'GAR'!D3:D139""),0))"),0)</f>
        <v>0</v>
      </c>
      <c r="Z91" s="1"/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290"/>
      <c r="I92" s="11">
        <v>44651</v>
      </c>
      <c r="J92" s="13"/>
      <c r="K92" s="11">
        <v>45016</v>
      </c>
      <c r="L92" s="13"/>
      <c r="M92" s="11">
        <v>45382</v>
      </c>
      <c r="N92" s="13"/>
      <c r="O92" s="11">
        <v>45565</v>
      </c>
      <c r="P92" s="254"/>
      <c r="Q92" s="254"/>
      <c r="R92" s="13"/>
      <c r="S92" s="13"/>
      <c r="T92" s="13"/>
      <c r="U92" s="13"/>
      <c r="V92" s="13"/>
      <c r="W92" s="4"/>
      <c r="X92" s="2">
        <v>0</v>
      </c>
      <c r="Y92" s="2">
        <f ca="1">IFERROR(__xludf.DUMMYFUNCTION("INDEX(IMPORTRANGE(""1y0FWgjbB0gVlqn-q5LMJbGIsqOrzru4yowQz67dz2yc"", ""'GAR'!AM3:AM139""),MATCH(D92,IMPORTRANGE(""1y0FWgjbB0gVlqn-q5LMJbGIsqOrzru4yowQz67dz2yc"", ""'GAR'!D3:D139""),0))"),0)</f>
        <v>0</v>
      </c>
      <c r="Z92" s="1"/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290"/>
      <c r="I93" s="11">
        <v>44651</v>
      </c>
      <c r="J93" s="13"/>
      <c r="K93" s="11">
        <v>45016</v>
      </c>
      <c r="L93" s="13"/>
      <c r="M93" s="11">
        <v>45382</v>
      </c>
      <c r="N93" s="13"/>
      <c r="O93" s="11">
        <v>45565</v>
      </c>
      <c r="P93" s="254"/>
      <c r="Q93" s="254"/>
      <c r="R93" s="13"/>
      <c r="S93" s="13"/>
      <c r="T93" s="13"/>
      <c r="U93" s="13"/>
      <c r="V93" s="13"/>
      <c r="W93" s="4"/>
      <c r="X93" s="2">
        <v>15</v>
      </c>
      <c r="Y93" s="2">
        <f ca="1">IFERROR(__xludf.DUMMYFUNCTION("INDEX(IMPORTRANGE(""1y0FWgjbB0gVlqn-q5LMJbGIsqOrzru4yowQz67dz2yc"", ""'GAR'!AM3:AM139""),MATCH(D93,IMPORTRANGE(""1y0FWgjbB0gVlqn-q5LMJbGIsqOrzru4yowQz67dz2yc"", ""'GAR'!D3:D139""),0))"),19)</f>
        <v>19</v>
      </c>
      <c r="Z93" s="1"/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290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4"/>
      <c r="X94" s="2">
        <v>46</v>
      </c>
      <c r="Y94" s="2">
        <f ca="1">IFERROR(__xludf.DUMMYFUNCTION("INDEX(IMPORTRANGE(""1y0FWgjbB0gVlqn-q5LMJbGIsqOrzru4yowQz67dz2yc"", ""'GAR'!AM3:AM139""),MATCH(D94,IMPORTRANGE(""1y0FWgjbB0gVlqn-q5LMJbGIsqOrzru4yowQz67dz2yc"", ""'GAR'!D3:D139""),0))"),59)</f>
        <v>59</v>
      </c>
      <c r="Z94" s="1"/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0">
        <v>44469</v>
      </c>
      <c r="H95" s="290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44">
        <v>0.5</v>
      </c>
      <c r="T95" s="44">
        <v>0.5</v>
      </c>
      <c r="U95" s="44">
        <v>0.5</v>
      </c>
      <c r="V95" s="44">
        <v>0.5</v>
      </c>
      <c r="W95" s="44">
        <v>0.5</v>
      </c>
      <c r="X95" s="15">
        <f>SUM(X89,X91,X93)/SUM(X90,X92,X94)</f>
        <v>0.30158730158730157</v>
      </c>
      <c r="Y95" s="15">
        <f ca="1">IFERROR(__xludf.DUMMYFUNCTION("INDEX(IMPORTRANGE(""1y0FWgjbB0gVlqn-q5LMJbGIsqOrzru4yowQz67dz2yc"", ""'GAR'!AM3:AM139""),MATCH(D95,IMPORTRANGE(""1y0FWgjbB0gVlqn-q5LMJbGIsqOrzru4yowQz67dz2yc"", ""'GAR'!D3:D139""),0))"),0.291666666666666)</f>
        <v>0.29166666666666602</v>
      </c>
      <c r="Z95" s="1"/>
      <c r="AA95" s="1"/>
      <c r="AB95" s="1"/>
      <c r="AC95" s="1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59" t="s">
        <v>213</v>
      </c>
      <c r="H96" s="156" t="s">
        <v>214</v>
      </c>
      <c r="I96" s="7" t="s">
        <v>215</v>
      </c>
      <c r="J96" s="13"/>
      <c r="K96" s="7" t="s">
        <v>216</v>
      </c>
      <c r="L96" s="13"/>
      <c r="M96" s="7" t="s">
        <v>217</v>
      </c>
      <c r="N96" s="1" t="s">
        <v>218</v>
      </c>
      <c r="O96" s="1" t="s">
        <v>218</v>
      </c>
      <c r="P96" s="36">
        <v>511748251.36000001</v>
      </c>
      <c r="Q96" s="36">
        <v>511748251.36000001</v>
      </c>
      <c r="R96" s="13"/>
      <c r="S96" s="13"/>
      <c r="T96" s="13"/>
      <c r="U96" s="13"/>
      <c r="V96" s="13"/>
      <c r="W96" s="4"/>
      <c r="X96" s="36">
        <v>511748251.36000001</v>
      </c>
      <c r="Y96" s="4" t="str">
        <f ca="1">IFERROR(__xludf.DUMMYFUNCTION("INDEX(IMPORTRANGE(""1y0FWgjbB0gVlqn-q5LMJbGIsqOrzru4yowQz67dz2yc"", ""'GAR'!AM3:AM139""),MATCH(D96,IMPORTRANGE(""1y0FWgjbB0gVlqn-q5LMJbGIsqOrzru4yowQz67dz2yc"", ""'GAR'!D3:D139""),0))"),"")</f>
        <v/>
      </c>
      <c r="Z96" s="1"/>
      <c r="AA96" s="1"/>
      <c r="AB96" s="1"/>
      <c r="AC96" s="1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55" t="s">
        <v>213</v>
      </c>
      <c r="H97" s="156" t="s">
        <v>214</v>
      </c>
      <c r="I97" s="7" t="s">
        <v>215</v>
      </c>
      <c r="J97" s="13"/>
      <c r="K97" s="7" t="s">
        <v>216</v>
      </c>
      <c r="L97" s="13"/>
      <c r="M97" s="7" t="s">
        <v>217</v>
      </c>
      <c r="N97" s="1" t="s">
        <v>218</v>
      </c>
      <c r="O97" s="1" t="s">
        <v>218</v>
      </c>
      <c r="P97" s="36">
        <v>1136256385.02</v>
      </c>
      <c r="Q97" s="36">
        <v>1136256385.02</v>
      </c>
      <c r="R97" s="13"/>
      <c r="S97" s="13"/>
      <c r="T97" s="13"/>
      <c r="U97" s="13"/>
      <c r="V97" s="13"/>
      <c r="W97" s="4"/>
      <c r="X97" s="36">
        <v>1136256385.02</v>
      </c>
      <c r="Y97" s="4" t="str">
        <f ca="1">IFERROR(__xludf.DUMMYFUNCTION("INDEX(IMPORTRANGE(""1y0FWgjbB0gVlqn-q5LMJbGIsqOrzru4yowQz67dz2yc"", ""'GAR'!AM3:AM139""),MATCH(D97,IMPORTRANGE(""1y0FWgjbB0gVlqn-q5LMJbGIsqOrzru4yowQz67dz2yc"", ""'GAR'!D3:D139""),0))"),"")</f>
        <v/>
      </c>
      <c r="Z97" s="1"/>
      <c r="AA97" s="1"/>
      <c r="AB97" s="1"/>
      <c r="AC97" s="1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55" t="s">
        <v>213</v>
      </c>
      <c r="H98" s="156" t="s">
        <v>214</v>
      </c>
      <c r="I98" s="7" t="s">
        <v>215</v>
      </c>
      <c r="J98" s="13"/>
      <c r="K98" s="7" t="s">
        <v>216</v>
      </c>
      <c r="L98" s="13"/>
      <c r="M98" s="7" t="s">
        <v>217</v>
      </c>
      <c r="N98" s="1" t="s">
        <v>218</v>
      </c>
      <c r="O98" s="1" t="s">
        <v>218</v>
      </c>
      <c r="P98" s="15">
        <f t="shared" ref="P98:Q98" si="19">P96/P97</f>
        <v>0.45038096868515498</v>
      </c>
      <c r="Q98" s="15">
        <f t="shared" si="19"/>
        <v>0.45038096868515498</v>
      </c>
      <c r="R98" s="1"/>
      <c r="S98" s="1"/>
      <c r="T98" s="1"/>
      <c r="U98" s="1"/>
      <c r="V98" s="1"/>
      <c r="W98" s="321">
        <v>0.49</v>
      </c>
      <c r="X98" s="15">
        <f>X96/X97</f>
        <v>0.45038096868515498</v>
      </c>
      <c r="Y98" s="4" t="str">
        <f ca="1">IFERROR(__xludf.DUMMYFUNCTION("INDEX(IMPORTRANGE(""1y0FWgjbB0gVlqn-q5LMJbGIsqOrzru4yowQz67dz2yc"", ""'GAR'!AM3:AM139""),MATCH(D98,IMPORTRANGE(""1y0FWgjbB0gVlqn-q5LMJbGIsqOrzru4yowQz67dz2yc"", ""'GAR'!D3:D139""),0))"),"")</f>
        <v/>
      </c>
      <c r="Z98" s="1"/>
      <c r="AA98" s="1"/>
      <c r="AB98" s="1"/>
      <c r="AC98" s="1"/>
    </row>
    <row r="99" spans="1:29">
      <c r="A99" s="7" t="s">
        <v>275</v>
      </c>
      <c r="B99" s="7" t="s">
        <v>284</v>
      </c>
      <c r="C99" s="1" t="s">
        <v>30</v>
      </c>
      <c r="D99" s="155" t="s">
        <v>285</v>
      </c>
      <c r="E99" s="7" t="s">
        <v>278</v>
      </c>
      <c r="F99" s="9" t="s">
        <v>286</v>
      </c>
      <c r="G99" s="155" t="s">
        <v>213</v>
      </c>
      <c r="H99" s="156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36">
        <v>909273724.54999995</v>
      </c>
      <c r="Q99" s="36">
        <v>909273724.54999995</v>
      </c>
      <c r="R99" s="13"/>
      <c r="S99" s="13"/>
      <c r="T99" s="13"/>
      <c r="U99" s="13"/>
      <c r="V99" s="13"/>
      <c r="W99" s="4"/>
      <c r="X99" s="36">
        <v>909273724.54999995</v>
      </c>
      <c r="Y99" s="4" t="str">
        <f ca="1">IFERROR(__xludf.DUMMYFUNCTION("INDEX(IMPORTRANGE(""1y0FWgjbB0gVlqn-q5LMJbGIsqOrzru4yowQz67dz2yc"", ""'GAR'!AM3:AM139""),MATCH(D99,IMPORTRANGE(""1y0FWgjbB0gVlqn-q5LMJbGIsqOrzru4yowQz67dz2yc"", ""'GAR'!D3:D139""),0))"),"")</f>
        <v/>
      </c>
      <c r="Z99" s="1"/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36</v>
      </c>
      <c r="D100" s="155" t="s">
        <v>287</v>
      </c>
      <c r="E100" s="7" t="s">
        <v>278</v>
      </c>
      <c r="F100" s="9" t="s">
        <v>288</v>
      </c>
      <c r="G100" s="155" t="s">
        <v>213</v>
      </c>
      <c r="H100" s="156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15">
        <f t="shared" ref="P100:Q100" si="20">P96/P99</f>
        <v>0.56280989711130658</v>
      </c>
      <c r="Q100" s="15">
        <f t="shared" si="20"/>
        <v>0.56280989711130658</v>
      </c>
      <c r="R100" s="1"/>
      <c r="S100" s="1"/>
      <c r="T100" s="1"/>
      <c r="U100" s="1"/>
      <c r="V100" s="1"/>
      <c r="W100" s="322">
        <v>0.61299999999999999</v>
      </c>
      <c r="X100" s="15">
        <f>X96/X99</f>
        <v>0.56280989711130658</v>
      </c>
      <c r="Y100" s="4" t="str">
        <f ca="1">IFERROR(__xludf.DUMMYFUNCTION("INDEX(IMPORTRANGE(""1y0FWgjbB0gVlqn-q5LMJbGIsqOrzru4yowQz67dz2yc"", ""'GAR'!AM3:AM139""),MATCH(D100,IMPORTRANGE(""1y0FWgjbB0gVlqn-q5LMJbGIsqOrzru4yowQz67dz2yc"", ""'GAR'!D3:D139""),0))"),"")</f>
        <v/>
      </c>
      <c r="Z100" s="1"/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55" t="s">
        <v>254</v>
      </c>
      <c r="H101" s="155" t="s">
        <v>254</v>
      </c>
      <c r="I101" s="7" t="s">
        <v>254</v>
      </c>
      <c r="J101" s="13"/>
      <c r="K101" s="7" t="s">
        <v>255</v>
      </c>
      <c r="L101" s="13"/>
      <c r="M101" s="7" t="s">
        <v>256</v>
      </c>
      <c r="N101" s="260">
        <v>45536</v>
      </c>
      <c r="O101" s="1" t="s">
        <v>218</v>
      </c>
      <c r="P101" s="12">
        <v>195965</v>
      </c>
      <c r="Q101" s="12">
        <v>195965</v>
      </c>
      <c r="R101" s="13"/>
      <c r="S101" s="13"/>
      <c r="T101" s="13"/>
      <c r="U101" s="13"/>
      <c r="V101" s="13"/>
      <c r="W101" s="4"/>
      <c r="X101" s="12">
        <v>202489</v>
      </c>
      <c r="Y101" s="4" t="str">
        <f ca="1">IFERROR(__xludf.DUMMYFUNCTION("INDEX(IMPORTRANGE(""1y0FWgjbB0gVlqn-q5LMJbGIsqOrzru4yowQz67dz2yc"", ""'GAR'!AM3:AM139""),MATCH(D101,IMPORTRANGE(""1y0FWgjbB0gVlqn-q5LMJbGIsqOrzru4yowQz67dz2yc"", ""'GAR'!D3:D139""),0))"),"")</f>
        <v/>
      </c>
      <c r="Z101" s="1"/>
      <c r="AA101" s="1"/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55" t="s">
        <v>213</v>
      </c>
      <c r="H102" s="156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12">
        <v>69862</v>
      </c>
      <c r="Q102" s="12">
        <v>69862</v>
      </c>
      <c r="R102" s="1"/>
      <c r="S102" s="1"/>
      <c r="T102" s="1"/>
      <c r="U102" s="1"/>
      <c r="V102" s="1"/>
      <c r="W102" s="2"/>
      <c r="X102" s="12">
        <v>69862</v>
      </c>
      <c r="Y102" s="4" t="str">
        <f ca="1">IFERROR(__xludf.DUMMYFUNCTION("INDEX(IMPORTRANGE(""1y0FWgjbB0gVlqn-q5LMJbGIsqOrzru4yowQz67dz2yc"", ""'GAR'!AM3:AM139""),MATCH(D102,IMPORTRANGE(""1y0FWgjbB0gVlqn-q5LMJbGIsqOrzru4yowQz67dz2yc"", ""'GAR'!D3:D139""),0))"),"")</f>
        <v/>
      </c>
      <c r="Z102" s="1"/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55" t="s">
        <v>213</v>
      </c>
      <c r="H103" s="156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1">P102/P101</f>
        <v>0.35650243665960757</v>
      </c>
      <c r="Q103" s="15">
        <f t="shared" si="21"/>
        <v>0.35650243665960757</v>
      </c>
      <c r="R103" s="1"/>
      <c r="S103" s="1"/>
      <c r="T103" s="1"/>
      <c r="U103" s="1"/>
      <c r="V103" s="1"/>
      <c r="W103" s="2"/>
      <c r="X103" s="15">
        <f>X102/X101</f>
        <v>0.34501627248887595</v>
      </c>
      <c r="Y103" s="4" t="str">
        <f ca="1">IFERROR(__xludf.DUMMYFUNCTION("INDEX(IMPORTRANGE(""1y0FWgjbB0gVlqn-q5LMJbGIsqOrzru4yowQz67dz2yc"", ""'GAR'!AM3:AM139""),MATCH(D103,IMPORTRANGE(""1y0FWgjbB0gVlqn-q5LMJbGIsqOrzru4yowQz67dz2yc"", ""'GAR'!D3:D139""),0))"),"")</f>
        <v/>
      </c>
      <c r="Z103" s="1"/>
      <c r="AA103" s="1"/>
      <c r="AB103" s="1"/>
      <c r="AC103" s="1"/>
    </row>
    <row r="104" spans="1:29">
      <c r="A104" s="155" t="s">
        <v>275</v>
      </c>
      <c r="B104" s="155" t="s">
        <v>276</v>
      </c>
      <c r="C104" s="155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290"/>
      <c r="K104" s="155" t="s">
        <v>216</v>
      </c>
      <c r="L104" s="290"/>
      <c r="M104" s="155" t="s">
        <v>217</v>
      </c>
      <c r="N104" s="156" t="s">
        <v>218</v>
      </c>
      <c r="O104" s="156" t="s">
        <v>218</v>
      </c>
      <c r="P104" s="36"/>
      <c r="Q104" s="36"/>
      <c r="R104" s="1"/>
      <c r="S104" s="1"/>
      <c r="T104" s="1"/>
      <c r="U104" s="1"/>
      <c r="V104" s="1"/>
      <c r="W104" s="2"/>
      <c r="X104" s="36"/>
      <c r="Y104" s="4" t="str">
        <f ca="1">IFERROR(__xludf.DUMMYFUNCTION("INDEX(IMPORTRANGE(""1y0FWgjbB0gVlqn-q5LMJbGIsqOrzru4yowQz67dz2yc"", ""'GAR'!AM3:AM139""),MATCH(D104,IMPORTRANGE(""1y0FWgjbB0gVlqn-q5LMJbGIsqOrzru4yowQz67dz2yc"", ""'GAR'!D3:D139""),0))"),"")</f>
        <v/>
      </c>
      <c r="Z104" s="1"/>
      <c r="AA104" s="1"/>
      <c r="AB104" s="1"/>
      <c r="AC104" s="1"/>
    </row>
    <row r="105" spans="1:29">
      <c r="A105" s="155" t="s">
        <v>275</v>
      </c>
      <c r="B105" s="155" t="s">
        <v>276</v>
      </c>
      <c r="C105" s="155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290"/>
      <c r="K105" s="155" t="s">
        <v>216</v>
      </c>
      <c r="L105" s="290"/>
      <c r="M105" s="155" t="s">
        <v>217</v>
      </c>
      <c r="N105" s="156" t="s">
        <v>218</v>
      </c>
      <c r="O105" s="156" t="s">
        <v>218</v>
      </c>
      <c r="P105" s="36">
        <v>103093630.20999999</v>
      </c>
      <c r="Q105" s="36">
        <v>103093630.20999999</v>
      </c>
      <c r="R105" s="1"/>
      <c r="S105" s="1"/>
      <c r="T105" s="1"/>
      <c r="U105" s="1"/>
      <c r="V105" s="1"/>
      <c r="W105" s="2"/>
      <c r="X105" s="36">
        <v>103093630.20999999</v>
      </c>
      <c r="Y105" s="4" t="str">
        <f ca="1">IFERROR(__xludf.DUMMYFUNCTION("INDEX(IMPORTRANGE(""1y0FWgjbB0gVlqn-q5LMJbGIsqOrzru4yowQz67dz2yc"", ""'GAR'!AM3:AM139""),MATCH(D105,IMPORTRANGE(""1y0FWgjbB0gVlqn-q5LMJbGIsqOrzru4yowQz67dz2yc"", ""'GAR'!D3:D139""),0))"),"")</f>
        <v/>
      </c>
      <c r="Z105" s="1"/>
      <c r="AA105" s="1"/>
      <c r="AB105" s="1"/>
      <c r="AC105" s="1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55" t="s">
        <v>213</v>
      </c>
      <c r="H106" s="156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36">
        <v>1057181202.3099999</v>
      </c>
      <c r="Q106" s="36">
        <v>1057181202.3099999</v>
      </c>
      <c r="R106" s="13"/>
      <c r="S106" s="13"/>
      <c r="T106" s="13"/>
      <c r="U106" s="13"/>
      <c r="V106" s="13"/>
      <c r="W106" s="4"/>
      <c r="X106" s="36">
        <v>1057181202.3099999</v>
      </c>
      <c r="Y106" s="4" t="str">
        <f ca="1">IFERROR(__xludf.DUMMYFUNCTION("INDEX(IMPORTRANGE(""1y0FWgjbB0gVlqn-q5LMJbGIsqOrzru4yowQz67dz2yc"", ""'GAR'!AM3:AM139""),MATCH(D106,IMPORTRANGE(""1y0FWgjbB0gVlqn-q5LMJbGIsqOrzru4yowQz67dz2yc"", ""'GAR'!D3:D139""),0))"),"")</f>
        <v/>
      </c>
      <c r="Z106" s="1"/>
      <c r="AA106" s="1"/>
      <c r="AB106" s="1"/>
      <c r="AC106" s="1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55" t="s">
        <v>213</v>
      </c>
      <c r="H107" s="156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5">
        <f t="shared" ref="P107:Q107" si="22">P99/P106</f>
        <v>0.86009259582291675</v>
      </c>
      <c r="Q107" s="15">
        <f t="shared" si="22"/>
        <v>0.86009259582291675</v>
      </c>
      <c r="R107" s="1"/>
      <c r="S107" s="1"/>
      <c r="T107" s="1"/>
      <c r="U107" s="1"/>
      <c r="V107" s="1"/>
      <c r="W107" s="321">
        <v>0.81</v>
      </c>
      <c r="X107" s="15">
        <f>X99/X106</f>
        <v>0.86009259582291675</v>
      </c>
      <c r="Y107" s="4" t="str">
        <f ca="1">IFERROR(__xludf.DUMMYFUNCTION("INDEX(IMPORTRANGE(""1y0FWgjbB0gVlqn-q5LMJbGIsqOrzru4yowQz67dz2yc"", ""'GAR'!AM3:AM139""),MATCH(D107,IMPORTRANGE(""1y0FWgjbB0gVlqn-q5LMJbGIsqOrzru4yowQz67dz2yc"", ""'GAR'!D3:D139""),0))"),"")</f>
        <v/>
      </c>
      <c r="Z107" s="1"/>
      <c r="AA107" s="1"/>
      <c r="AB107" s="1"/>
      <c r="AC107" s="1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290"/>
      <c r="I108" s="1" t="s">
        <v>254</v>
      </c>
      <c r="J108" s="13"/>
      <c r="K108" s="1" t="s">
        <v>255</v>
      </c>
      <c r="L108" s="13"/>
      <c r="M108" s="1" t="s">
        <v>256</v>
      </c>
      <c r="N108" s="49">
        <v>45473</v>
      </c>
      <c r="O108" s="1"/>
      <c r="P108" s="30" t="s">
        <v>308</v>
      </c>
      <c r="Q108" s="30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2" t="s">
        <v>308</v>
      </c>
      <c r="X108" s="30" t="s">
        <v>308</v>
      </c>
      <c r="Y108" s="4" t="str">
        <f ca="1">IFERROR(__xludf.DUMMYFUNCTION("INDEX(IMPORTRANGE(""1y0FWgjbB0gVlqn-q5LMJbGIsqOrzru4yowQz67dz2yc"", ""'GAR'!AM3:AM139""),MATCH(D108,IMPORTRANGE(""1y0FWgjbB0gVlqn-q5LMJbGIsqOrzru4yowQz67dz2yc"", ""'GAR'!D3:D139""),0))"),"")</f>
        <v/>
      </c>
      <c r="Z108" s="1"/>
      <c r="AA108" s="1"/>
      <c r="AB108" s="1"/>
      <c r="AC108" s="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071C-1948-FB48-8895-F89FBD4EFE71}">
  <dimension ref="A1:M30"/>
  <sheetViews>
    <sheetView workbookViewId="0">
      <selection activeCell="G4" sqref="G4"/>
    </sheetView>
  </sheetViews>
  <sheetFormatPr baseColWidth="10" defaultRowHeight="16"/>
  <cols>
    <col min="1" max="1" width="10.83203125" style="118"/>
    <col min="3" max="3" width="20.5" customWidth="1"/>
    <col min="4" max="4" width="11.83203125" customWidth="1"/>
    <col min="5" max="5" width="12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37">
        <f>VLOOKUP(C2,'BD EVA 1 GAR'!$D$3:$Q$108,14,0)</f>
        <v>382</v>
      </c>
      <c r="F2" s="75">
        <v>44834</v>
      </c>
      <c r="G2" s="123">
        <f ca="1">VLOOKUP(C2,'BD EVA 1 GAR'!$D$3:$Y$108,22,0)</f>
        <v>436</v>
      </c>
      <c r="H2" s="123">
        <f>VLOOKUP(C2,'BD EVA 1 GAR'!$D$3:$R$108,15,0)</f>
        <v>405</v>
      </c>
      <c r="I2" s="80">
        <f ca="1">IF(G2&gt;=E2,G2/H2,0)</f>
        <v>1.0765432098765433</v>
      </c>
      <c r="J2" s="72" t="s">
        <v>316</v>
      </c>
      <c r="K2" s="81">
        <v>2.7</v>
      </c>
      <c r="L2" s="81">
        <f t="shared" ref="L2:L10" ca="1" si="0">IF(I2&lt;0,0,IF(I2&gt;1,K2,I2*K2))</f>
        <v>2.7</v>
      </c>
      <c r="M2" s="124">
        <f ca="1">SUM(L2:L4)</f>
        <v>9.128440366972475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GAR'!$D$3:$Q$108,14,0)</f>
        <v>0.51570680628272247</v>
      </c>
      <c r="F3" s="75">
        <v>44834</v>
      </c>
      <c r="G3" s="126">
        <f ca="1">VLOOKUP(C3,'BD EVA 1 GAR'!$D$3:$Y$108,22,0)</f>
        <v>0.77064220183486198</v>
      </c>
      <c r="H3" s="125">
        <f>VLOOKUP(C3,'BD EVA 1 GAR'!$D$3:$R$108,15,0)</f>
        <v>1</v>
      </c>
      <c r="I3" s="77">
        <f t="shared" ref="I3:I5" ca="1" si="1">G3/H3</f>
        <v>0.77064220183486198</v>
      </c>
      <c r="J3" s="75" t="s">
        <v>318</v>
      </c>
      <c r="K3" s="81">
        <v>3.8</v>
      </c>
      <c r="L3" s="81">
        <f t="shared" ca="1" si="0"/>
        <v>2.9284403669724752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GAR'!$D$3:$Q$108,14,0)</f>
        <v>0</v>
      </c>
      <c r="F4" s="75">
        <v>44834</v>
      </c>
      <c r="G4" s="126">
        <f ca="1">VLOOKUP(C4,'BD EVA 1 GAR'!$D$3:$Y$108,22,0)</f>
        <v>4.1284403669724697E-2</v>
      </c>
      <c r="H4" s="128">
        <f>VLOOKUP(C4,'BD EVA 1 GAR'!$D$3:$R$108,15,0)</f>
        <v>5.0000000000000001E-4</v>
      </c>
      <c r="I4" s="77">
        <f t="shared" ca="1" si="1"/>
        <v>82.568807339449393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GAR'!$D$3:$Q$108,14,0)</f>
        <v>0</v>
      </c>
      <c r="F5" s="72" t="s">
        <v>59</v>
      </c>
      <c r="G5" s="126">
        <f ca="1">VLOOKUP(C5,'BD EVA 1 GAR'!$D$3:$Y$108,22,0)</f>
        <v>7.2469399650281693E-2</v>
      </c>
      <c r="H5" s="126">
        <f>VLOOKUP(C5,'BD EVA 1 GAR'!$D$3:$R$108,15,0)</f>
        <v>0.02</v>
      </c>
      <c r="I5" s="77">
        <f t="shared" ca="1" si="1"/>
        <v>3.6234699825140848</v>
      </c>
      <c r="J5" s="75" t="s">
        <v>318</v>
      </c>
      <c r="K5" s="129">
        <f>3.25*0.488</f>
        <v>1.5859999999999999</v>
      </c>
      <c r="L5" s="129">
        <f t="shared" ca="1" si="0"/>
        <v>1.5859999999999999</v>
      </c>
      <c r="M5" s="130">
        <f ca="1">SUM(L5:L10)</f>
        <v>1.5859999999999999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GAR'!$D$3:$Q$108,14,0)</f>
        <v>18.742749302802043</v>
      </c>
      <c r="F6" s="72" t="s">
        <v>59</v>
      </c>
      <c r="G6" s="132">
        <f ca="1">VLOOKUP(C6,'BD EVA 1 GAR'!$D$3:$Y$108,22,0)</f>
        <v>28.084392020246</v>
      </c>
      <c r="H6" s="123">
        <f>VLOOKUP(C6,'BD EVA 1 GAR'!$D$3:$R$108,15,0)</f>
        <v>18.43</v>
      </c>
      <c r="I6" s="78">
        <f t="shared" ref="I6:I10" ca="1" si="2">(G6-E6)/(H6-E6)</f>
        <v>-29.869427793278934</v>
      </c>
      <c r="J6" s="71" t="s">
        <v>319</v>
      </c>
      <c r="K6" s="129">
        <f>3.5*0.488</f>
        <v>1.708</v>
      </c>
      <c r="L6" s="12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GAR'!$D$3:$Q$108,14,0)</f>
        <v>677.32418170125993</v>
      </c>
      <c r="F7" s="72" t="s">
        <v>59</v>
      </c>
      <c r="G7" s="131">
        <f ca="1">VLOOKUP(C7,'BD EVA 1 GAR'!$D$3:$Y$108,22,0)</f>
        <v>794.25185072987802</v>
      </c>
      <c r="H7" s="123">
        <f>VLOOKUP(C7,'BD EVA 1 GAR'!$D$3:$R$108,15,0)</f>
        <v>654.70000000000005</v>
      </c>
      <c r="I7" s="78">
        <f t="shared" ca="1" si="2"/>
        <v>-5.1682606943572535</v>
      </c>
      <c r="J7" s="71" t="s">
        <v>319</v>
      </c>
      <c r="K7" s="129">
        <f>3.25*0.488</f>
        <v>1.5859999999999999</v>
      </c>
      <c r="L7" s="129">
        <f t="shared" ca="1" si="0"/>
        <v>0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GAR'!$D$3:$Q$108,14,0)</f>
        <v>665.04444939942414</v>
      </c>
      <c r="F8" s="72" t="s">
        <v>59</v>
      </c>
      <c r="G8" s="131">
        <f ca="1">VLOOKUP(C8,'BD EVA 1 GAR'!$D$3:$Y$108,22,0)</f>
        <v>801.50961495982904</v>
      </c>
      <c r="H8" s="123">
        <f>VLOOKUP(C8,'BD EVA 1 GAR'!$D$3:$R$108,15,0)</f>
        <v>654</v>
      </c>
      <c r="I8" s="78">
        <f t="shared" ca="1" si="2"/>
        <v>-12.355995362477756</v>
      </c>
      <c r="J8" s="71" t="s">
        <v>319</v>
      </c>
      <c r="K8" s="129">
        <f t="shared" ref="K8:K10" si="3">10/3*0.512</f>
        <v>1.7066666666666668</v>
      </c>
      <c r="L8" s="12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GAR'!$D$3:$Q$108,14,0)</f>
        <v>924.8577328382662</v>
      </c>
      <c r="F9" s="72" t="s">
        <v>59</v>
      </c>
      <c r="G9" s="131">
        <f ca="1">VLOOKUP(C9,'BD EVA 1 GAR'!$D$3:$Y$108,22,0)</f>
        <v>1019.55809682488</v>
      </c>
      <c r="H9" s="123">
        <f>VLOOKUP(C9,'BD EVA 1 GAR'!$D$3:$R$108,15,0)</f>
        <v>909.4</v>
      </c>
      <c r="I9" s="78">
        <f t="shared" ca="1" si="2"/>
        <v>-6.1264070855319277</v>
      </c>
      <c r="J9" s="71" t="s">
        <v>319</v>
      </c>
      <c r="K9" s="129">
        <f t="shared" si="3"/>
        <v>1.7066666666666668</v>
      </c>
      <c r="L9" s="129">
        <f t="shared" ca="1" si="0"/>
        <v>0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GAR'!$D$3:$Q$108,14,0)</f>
        <v>26.821520554009815</v>
      </c>
      <c r="F10" s="72" t="s">
        <v>59</v>
      </c>
      <c r="G10" s="131">
        <f ca="1">VLOOKUP(C10,'BD EVA 1 GAR'!$D$3:$Y$108,22,0)</f>
        <v>38.497705915393396</v>
      </c>
      <c r="H10" s="123">
        <f>VLOOKUP(C10,'BD EVA 1 GAR'!$D$3:$R$108,15,0)</f>
        <v>26.4</v>
      </c>
      <c r="I10" s="78">
        <f t="shared" ca="1" si="2"/>
        <v>-27.700156612319439</v>
      </c>
      <c r="J10" s="71" t="s">
        <v>319</v>
      </c>
      <c r="K10" s="129">
        <f t="shared" si="3"/>
        <v>1.7066666666666668</v>
      </c>
      <c r="L10" s="12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26">
        <f>VLOOKUP(C11,'BD EVA 1 GAR'!$D$3:$Q$108,14,0)</f>
        <v>0</v>
      </c>
      <c r="F11" s="75">
        <v>44834</v>
      </c>
      <c r="G11" s="277" t="str">
        <f ca="1">VLOOKUP(C11,'BD EVA 1 GAR'!$D$3:$Y$108,22,0)</f>
        <v/>
      </c>
      <c r="H11" s="325">
        <f>VLOOKUP(C11,'BD EVA 1 GAR'!$D$3:$R$108,15,0)</f>
        <v>0</v>
      </c>
      <c r="I11" s="326" t="str">
        <f ca="1">IFERROR(G11/H11,"")</f>
        <v/>
      </c>
      <c r="J11" s="145" t="s">
        <v>318</v>
      </c>
      <c r="K11" s="146" t="s">
        <v>320</v>
      </c>
      <c r="L11" s="279"/>
      <c r="M11" s="130">
        <f ca="1">SUM(L11:L14)</f>
        <v>6.6582000000000008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GAR'!$D$3:$Q$108,14,0)</f>
        <v>0</v>
      </c>
      <c r="F12" s="71" t="s">
        <v>59</v>
      </c>
      <c r="G12" s="123">
        <f ca="1">VLOOKUP(C12,'BD EVA 1 GAR'!$D$3:$Y$108,22,0)</f>
        <v>0</v>
      </c>
      <c r="H12" s="123">
        <f>VLOOKUP(C12,'BD EVA 1 GAR'!$D$3:$R$108,15,0)</f>
        <v>1</v>
      </c>
      <c r="I12" s="78">
        <f t="shared" ref="I12:I14" ca="1" si="4">G12/H12</f>
        <v>0</v>
      </c>
      <c r="J12" s="75" t="s">
        <v>318</v>
      </c>
      <c r="K12" s="73">
        <f t="shared" ref="K12:K13" si="5">2.4+2.1/3</f>
        <v>3.1</v>
      </c>
      <c r="L12" s="129">
        <f t="shared" ref="L12:L30" ca="1" si="6">IF(I12&lt;0,0,IF(I12&gt;1,K12,I12*K12))</f>
        <v>0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GAR'!$D$3:$Q$108,14,0)</f>
        <v>440</v>
      </c>
      <c r="F13" s="71" t="s">
        <v>59</v>
      </c>
      <c r="G13" s="123">
        <f ca="1">VLOOKUP(C13,'BD EVA 1 GAR'!$D$3:$Y$108,22,0)</f>
        <v>922</v>
      </c>
      <c r="H13" s="123">
        <f>VLOOKUP(C13,'BD EVA 1 GAR'!$D$3:$R$108,15,0)</f>
        <v>1000</v>
      </c>
      <c r="I13" s="78">
        <f t="shared" ca="1" si="4"/>
        <v>0.92200000000000004</v>
      </c>
      <c r="J13" s="75" t="s">
        <v>318</v>
      </c>
      <c r="K13" s="73">
        <f t="shared" si="5"/>
        <v>3.1</v>
      </c>
      <c r="L13" s="129">
        <f t="shared" ca="1" si="6"/>
        <v>2.8582000000000001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GAR'!$D$3:$Q$108,14,0)</f>
        <v>25</v>
      </c>
      <c r="F14" s="71" t="s">
        <v>59</v>
      </c>
      <c r="G14" s="123">
        <f ca="1">VLOOKUP(C14,'BD EVA 1 GAR'!$D$3:$Y$108,22,0)</f>
        <v>25</v>
      </c>
      <c r="H14" s="123">
        <f>VLOOKUP(C14,'BD EVA 1 GAR'!$D$3:$R$108,15,0)</f>
        <v>16</v>
      </c>
      <c r="I14" s="78">
        <f t="shared" ca="1" si="4"/>
        <v>1.5625</v>
      </c>
      <c r="J14" s="75" t="s">
        <v>318</v>
      </c>
      <c r="K14" s="73">
        <f>3.1+2.1/3</f>
        <v>3.8000000000000003</v>
      </c>
      <c r="L14" s="129">
        <f t="shared" ca="1" si="6"/>
        <v>3.8000000000000003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7">
        <f>VLOOKUP(C15,'BD EVA 1 GAR'!$D$3:$Q$108,14,0)</f>
        <v>0</v>
      </c>
      <c r="F15" s="75">
        <v>44834</v>
      </c>
      <c r="G15" s="123">
        <f ca="1">VLOOKUP(C15,'BD EVA 1 GAR'!$D$3:$Y$108,22,0)</f>
        <v>0</v>
      </c>
      <c r="H15" s="123" t="str">
        <f>VLOOKUP(C15,'BD EVA 1 GAR'!$D$3:$R$108,15,0)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7">G15/1</f>
        <v>0</v>
      </c>
      <c r="J15" s="75" t="s">
        <v>318</v>
      </c>
      <c r="K15" s="71">
        <v>1.5</v>
      </c>
      <c r="L15" s="129">
        <f t="shared" ca="1" si="6"/>
        <v>0</v>
      </c>
      <c r="M15" s="130">
        <f ca="1">SUM(L15:L22)</f>
        <v>4.6033133961369854</v>
      </c>
    </row>
    <row r="16" spans="1:13" ht="52">
      <c r="A16" s="121" t="s">
        <v>147</v>
      </c>
      <c r="B16" s="72" t="s">
        <v>148</v>
      </c>
      <c r="C16" s="72" t="s">
        <v>158</v>
      </c>
      <c r="D16" s="75">
        <v>44469</v>
      </c>
      <c r="E16" s="137">
        <f>VLOOKUP(C16,'BD EVA 1 GAR'!$D$3:$Q$108,14,0)</f>
        <v>0</v>
      </c>
      <c r="F16" s="75">
        <v>44834</v>
      </c>
      <c r="G16" s="123">
        <f ca="1">VLOOKUP(C16,'BD EVA 1 GAR'!$D$3:$Y$108,22,0)</f>
        <v>0</v>
      </c>
      <c r="H16" s="123" t="str">
        <f>VLOOKUP(C16,'BD EVA 1 GAR'!$D$3:$R$108,15,0)</f>
        <v>Actualizado al 2017</v>
      </c>
      <c r="I16" s="125">
        <f t="shared" ca="1" si="7"/>
        <v>0</v>
      </c>
      <c r="J16" s="75" t="s">
        <v>318</v>
      </c>
      <c r="K16" s="71">
        <v>1.5</v>
      </c>
      <c r="L16" s="129">
        <f t="shared" ca="1" si="6"/>
        <v>0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39" t="str">
        <f>VLOOKUP(C17,'BD EVA 1 GAR'!$D$3:$Q$108,14,0)</f>
        <v>NA</v>
      </c>
      <c r="F17" s="75">
        <v>44834</v>
      </c>
      <c r="G17" s="123" t="str">
        <f ca="1">VLOOKUP(C17,'BD EVA 1 GAR'!$D$3:$Y$108,22,0)</f>
        <v>NA</v>
      </c>
      <c r="H17" s="125">
        <f>VLOOKUP(C17,'BD EVA 1 GAR'!$D$3:$R$108,15,0)</f>
        <v>1</v>
      </c>
      <c r="I17" s="123">
        <v>1</v>
      </c>
      <c r="J17" s="75" t="s">
        <v>318</v>
      </c>
      <c r="K17" s="71">
        <v>0.3</v>
      </c>
      <c r="L17" s="129">
        <f t="shared" si="6"/>
        <v>0.3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6">
        <f>VLOOKUP(C18,'BD EVA 1 GAR'!$D$3:$Q$108,14,0)</f>
        <v>0.96726315789473682</v>
      </c>
      <c r="F18" s="75">
        <v>44834</v>
      </c>
      <c r="G18" s="126">
        <f ca="1">VLOOKUP(C18,'BD EVA 1 GAR'!$D$3:$Y$108,22,0)</f>
        <v>0.99611158675799005</v>
      </c>
      <c r="H18" s="125">
        <f>VLOOKUP(C18,'BD EVA 1 GAR'!$D$3:$R$108,15,0)</f>
        <v>1</v>
      </c>
      <c r="I18" s="125">
        <f t="shared" ref="I18:I25" ca="1" si="8">G18/H18</f>
        <v>0.99611158675799005</v>
      </c>
      <c r="J18" s="75" t="s">
        <v>318</v>
      </c>
      <c r="K18" s="71">
        <v>1.5</v>
      </c>
      <c r="L18" s="129">
        <f t="shared" ca="1" si="6"/>
        <v>1.494167380136985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6">
        <f>VLOOKUP(C19,'BD EVA 1 GAR'!$D$3:$Q$108,14,0)</f>
        <v>0.59262478455619816</v>
      </c>
      <c r="F19" s="75">
        <v>44834</v>
      </c>
      <c r="G19" s="122"/>
      <c r="H19" s="125">
        <f>VLOOKUP(C19,'BD EVA 1 GAR'!$D$3:$R$108,15,0)</f>
        <v>1</v>
      </c>
      <c r="I19" s="125">
        <f t="shared" si="8"/>
        <v>0</v>
      </c>
      <c r="J19" s="75" t="s">
        <v>318</v>
      </c>
      <c r="K19" s="71">
        <v>1.5</v>
      </c>
      <c r="L19" s="129">
        <f t="shared" si="6"/>
        <v>0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6">
        <f>VLOOKUP(C20,'BD EVA 1 GAR'!$D$3:$Q$108,14,0)</f>
        <v>0.80780800727193003</v>
      </c>
      <c r="F20" s="75">
        <v>44834</v>
      </c>
      <c r="G20" s="126">
        <f ca="1">VLOOKUP(C20,'BD EVA 1 GAR'!$D$3:$Y$108,22,0)</f>
        <v>1.0162239999999999E-2</v>
      </c>
      <c r="H20" s="125">
        <f>VLOOKUP(C20,'BD EVA 1 GAR'!$D$3:$R$108,15,0)</f>
        <v>1</v>
      </c>
      <c r="I20" s="125">
        <f t="shared" ca="1" si="8"/>
        <v>1.0162239999999999E-2</v>
      </c>
      <c r="J20" s="75" t="s">
        <v>318</v>
      </c>
      <c r="K20" s="71">
        <v>0.9</v>
      </c>
      <c r="L20" s="129">
        <f t="shared" ca="1" si="6"/>
        <v>9.1460159999999999E-3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GAR'!$D$3:$Q$108,14,0)</f>
        <v>0.74489795918367352</v>
      </c>
      <c r="F21" s="75">
        <v>44834</v>
      </c>
      <c r="G21" s="126">
        <f ca="1">VLOOKUP(C21,'BD EVA 1 GAR'!$D$3:$Y$108,22,0)</f>
        <v>1</v>
      </c>
      <c r="H21" s="125">
        <f>VLOOKUP(C21,'BD EVA 1 GAR'!$D$3:$R$108,15,0)</f>
        <v>1</v>
      </c>
      <c r="I21" s="125">
        <f t="shared" ca="1" si="8"/>
        <v>1</v>
      </c>
      <c r="J21" s="75" t="s">
        <v>318</v>
      </c>
      <c r="K21" s="71">
        <v>1.5</v>
      </c>
      <c r="L21" s="129">
        <f t="shared" ca="1" si="6"/>
        <v>1.5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GAR'!$D$3:$Q$108,14,0)</f>
        <v>0</v>
      </c>
      <c r="F22" s="71" t="s">
        <v>59</v>
      </c>
      <c r="G22" s="131">
        <f ca="1">VLOOKUP(C22,'BD EVA 1 GAR'!$D$3:$Y$108,22,0)</f>
        <v>6355.3588099999997</v>
      </c>
      <c r="H22" s="129">
        <f>VLOOKUP(C22,'BD EVA 1 GAR'!$D$3:$R$108,15,0)</f>
        <v>2.4333333330000002</v>
      </c>
      <c r="I22" s="125">
        <f t="shared" ca="1" si="8"/>
        <v>2611.7912921386014</v>
      </c>
      <c r="J22" s="75" t="s">
        <v>318</v>
      </c>
      <c r="K22" s="71">
        <v>1.3</v>
      </c>
      <c r="L22" s="129">
        <f t="shared" ca="1" si="6"/>
        <v>1.3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1">
        <f>VLOOKUP(C23,'BD EVA 1 GAR'!$D$3:$Q$108,14,0)</f>
        <v>1.5</v>
      </c>
      <c r="F23" s="75">
        <v>44834</v>
      </c>
      <c r="G23" s="140">
        <f ca="1">VLOOKUP(C23,'BD EVA 1 GAR'!$D$3:$Y$108,22,0)</f>
        <v>1.76</v>
      </c>
      <c r="H23" s="123">
        <f>VLOOKUP(C23,'BD EVA 1 GAR'!$D$3:$R$108,15,0)</f>
        <v>1.8</v>
      </c>
      <c r="I23" s="125">
        <f t="shared" ca="1" si="8"/>
        <v>0.97777777777777775</v>
      </c>
      <c r="J23" s="75" t="s">
        <v>318</v>
      </c>
      <c r="K23" s="82">
        <v>2.645</v>
      </c>
      <c r="L23" s="129">
        <f t="shared" ca="1" si="6"/>
        <v>2.5862222222222222</v>
      </c>
      <c r="M23" s="130">
        <f ca="1">SUM(L23:L26)</f>
        <v>7.1402222222222225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GAR'!$D$3:$Q$108,14,0)</f>
        <v>0</v>
      </c>
      <c r="F24" s="71" t="s">
        <v>59</v>
      </c>
      <c r="G24" s="137">
        <f ca="1">VLOOKUP(C24,'BD EVA 1 GAR'!$D$3:$Y$108,22,0)</f>
        <v>4543.1899999999996</v>
      </c>
      <c r="H24" s="137">
        <f>VLOOKUP(C24,'BD EVA 1 GAR'!$D$3:$R$108,15,0)</f>
        <v>1766.7</v>
      </c>
      <c r="I24" s="125">
        <f t="shared" ca="1" si="8"/>
        <v>2.5715684609724341</v>
      </c>
      <c r="J24" s="75" t="s">
        <v>318</v>
      </c>
      <c r="K24" s="82">
        <v>2.3340000000000001</v>
      </c>
      <c r="L24" s="129">
        <f t="shared" ca="1" si="6"/>
        <v>2.3340000000000001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GAR'!$D$3:$Q$108,14,0)</f>
        <v>0</v>
      </c>
      <c r="F25" s="71" t="s">
        <v>59</v>
      </c>
      <c r="G25" s="123">
        <f ca="1">VLOOKUP(C25,'BD EVA 1 GAR'!$D$3:$Y$108,22,0)</f>
        <v>0</v>
      </c>
      <c r="H25" s="123">
        <f>VLOOKUP(C25,'BD EVA 1 GAR'!$D$3:$R$108,15,0)</f>
        <v>3</v>
      </c>
      <c r="I25" s="125">
        <f t="shared" ca="1" si="8"/>
        <v>0</v>
      </c>
      <c r="J25" s="75" t="s">
        <v>318</v>
      </c>
      <c r="K25" s="82">
        <v>2.8010000000000002</v>
      </c>
      <c r="L25" s="129">
        <f t="shared" ca="1" si="6"/>
        <v>0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GAR'!$D$3:$Q$108,14,0)</f>
        <v>3124</v>
      </c>
      <c r="F26" s="71" t="s">
        <v>59</v>
      </c>
      <c r="G26" s="137">
        <f ca="1">VLOOKUP(C26,'BD EVA 1 GAR'!$D$3:$Y$108,22,0)</f>
        <v>2409</v>
      </c>
      <c r="H26" s="137">
        <f>VLOOKUP(C26,'BD EVA 1 GAR'!$D$3:$R$108,15,0)</f>
        <v>3020</v>
      </c>
      <c r="I26" s="78">
        <f ca="1">(G26-E26)/(H26-E26)</f>
        <v>6.875</v>
      </c>
      <c r="J26" s="71" t="s">
        <v>319</v>
      </c>
      <c r="K26" s="82">
        <v>2.2200000000000002</v>
      </c>
      <c r="L26" s="129">
        <f t="shared" ca="1" si="6"/>
        <v>2.2200000000000002</v>
      </c>
      <c r="M26" s="127"/>
    </row>
    <row r="27" spans="1:13" ht="208">
      <c r="A27" s="121" t="s">
        <v>243</v>
      </c>
      <c r="B27" s="72" t="s">
        <v>244</v>
      </c>
      <c r="C27" s="72" t="s">
        <v>245</v>
      </c>
      <c r="D27" s="71" t="s">
        <v>57</v>
      </c>
      <c r="E27" s="137">
        <f>VLOOKUP(C27,'BD EVA 1 GAR'!$D$3:$Q$108,14,0)</f>
        <v>0</v>
      </c>
      <c r="F27" s="71" t="s">
        <v>59</v>
      </c>
      <c r="G27" s="123">
        <f ca="1">VLOOKUP(C27,'BD EVA 1 GAR'!$D$3:$Y$108,22,0)</f>
        <v>52</v>
      </c>
      <c r="H27" s="123">
        <f>VLOOKUP(C27,'BD EVA 1 GAR'!$D$3:$R$108,15,0)</f>
        <v>40</v>
      </c>
      <c r="I27" s="78">
        <f t="shared" ref="I27:I30" ca="1" si="9">G27/H27</f>
        <v>1.3</v>
      </c>
      <c r="J27" s="75" t="s">
        <v>318</v>
      </c>
      <c r="K27" s="71">
        <v>2.5</v>
      </c>
      <c r="L27" s="129">
        <f t="shared" ca="1" si="6"/>
        <v>2.5</v>
      </c>
      <c r="M27" s="130">
        <f ca="1">SUM(L27:L30)</f>
        <v>7.2744999999999997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37">
        <f>VLOOKUP(C28,'BD EVA 1 GAR'!$D$3:$Q$108,14,0)</f>
        <v>2</v>
      </c>
      <c r="F28" s="75">
        <v>44834</v>
      </c>
      <c r="G28" s="123">
        <f ca="1">VLOOKUP(C28,'BD EVA 1 GAR'!$D$3:$Y$108,22,0)</f>
        <v>3</v>
      </c>
      <c r="H28" s="123">
        <f>VLOOKUP(C28,'BD EVA 1 GAR'!$D$3:$R$108,15,0)</f>
        <v>1</v>
      </c>
      <c r="I28" s="78">
        <f t="shared" ca="1" si="9"/>
        <v>3</v>
      </c>
      <c r="J28" s="75" t="s">
        <v>318</v>
      </c>
      <c r="K28" s="71">
        <v>2.5</v>
      </c>
      <c r="L28" s="129">
        <f t="shared" ca="1" si="6"/>
        <v>2.5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37">
        <f>VLOOKUP(C29,'BD EVA 1 GAR'!$D$3:$Q$108,14,0)</f>
        <v>94.73</v>
      </c>
      <c r="F29" s="75">
        <v>44713</v>
      </c>
      <c r="G29" s="129">
        <f ca="1">VLOOKUP(C29,'BD EVA 1 GAR'!$D$3:$Y$108,22,0)</f>
        <v>90.98</v>
      </c>
      <c r="H29" s="123">
        <f>VLOOKUP(C29,'BD EVA 1 GAR'!$D$3:$R$108,15,0)</f>
        <v>100</v>
      </c>
      <c r="I29" s="78">
        <f t="shared" ca="1" si="9"/>
        <v>0.90980000000000005</v>
      </c>
      <c r="J29" s="75" t="s">
        <v>318</v>
      </c>
      <c r="K29" s="71">
        <v>2.5</v>
      </c>
      <c r="L29" s="129">
        <f t="shared" ca="1" si="6"/>
        <v>2.2745000000000002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GAR'!$D$3:$Q$108,14,0)</f>
        <v>0</v>
      </c>
      <c r="F30" s="75">
        <v>44834</v>
      </c>
      <c r="G30" s="123">
        <f ca="1">VLOOKUP(C30,'BD EVA 1 GAR'!$D$3:$Y$108,22,0)</f>
        <v>0</v>
      </c>
      <c r="H30" s="123">
        <f>VLOOKUP(C30,'BD EVA 1 GAR'!$D$3:$R$108,15,0)</f>
        <v>4</v>
      </c>
      <c r="I30" s="78">
        <f t="shared" ca="1" si="9"/>
        <v>0</v>
      </c>
      <c r="J30" s="75" t="s">
        <v>318</v>
      </c>
      <c r="K30" s="71">
        <v>2.5</v>
      </c>
      <c r="L30" s="129">
        <f t="shared" ca="1" si="6"/>
        <v>0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94F3-67AB-C646-9D94-EB4819D717EC}">
  <dimension ref="A1:AC111"/>
  <sheetViews>
    <sheetView workbookViewId="0">
      <selection activeCell="E20" sqref="E20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29</v>
      </c>
      <c r="B2" s="148" t="s">
        <v>29</v>
      </c>
      <c r="C2" s="148" t="s">
        <v>30</v>
      </c>
      <c r="D2" s="148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12">
        <v>309453</v>
      </c>
      <c r="Q2" s="12">
        <v>309453</v>
      </c>
      <c r="R2" s="13"/>
      <c r="S2" s="316"/>
      <c r="T2" s="316"/>
      <c r="U2" s="316"/>
      <c r="V2" s="316"/>
      <c r="W2" s="6"/>
      <c r="X2" s="12">
        <v>316902</v>
      </c>
      <c r="Y2" s="12">
        <v>316902</v>
      </c>
      <c r="Z2" s="12">
        <v>322969</v>
      </c>
      <c r="AA2" s="12">
        <v>322969</v>
      </c>
      <c r="AB2" s="12">
        <v>327534</v>
      </c>
      <c r="AC2" s="12">
        <v>327534</v>
      </c>
    </row>
    <row r="3" spans="1:29">
      <c r="A3" s="150" t="s">
        <v>34</v>
      </c>
      <c r="B3" s="150" t="s">
        <v>35</v>
      </c>
      <c r="C3" s="150" t="s">
        <v>36</v>
      </c>
      <c r="D3" s="150" t="s">
        <v>37</v>
      </c>
      <c r="E3" s="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382</v>
      </c>
      <c r="Q3" s="12">
        <v>382</v>
      </c>
      <c r="R3" s="257">
        <v>405</v>
      </c>
      <c r="S3" s="257">
        <v>428</v>
      </c>
      <c r="T3" s="257">
        <v>450</v>
      </c>
      <c r="U3" s="257">
        <v>473</v>
      </c>
      <c r="V3" s="257">
        <v>496</v>
      </c>
      <c r="W3" s="2">
        <v>496</v>
      </c>
      <c r="X3" s="12">
        <v>416</v>
      </c>
      <c r="Y3" s="2">
        <f ca="1">IFERROR(__xludf.DUMMYFUNCTION("INDEX(IMPORTRANGE(""1y0FWgjbB0gVlqn-q5LMJbGIsqOrzru4yowQz67dz2yc"", ""'GAR'!BH3:BH139""),MATCH(D3,IMPORTRANGE(""1y0FWgjbB0gVlqn-q5LMJbGIsqOrzru4yowQz67dz2yc"", ""'GAR'!D3:D139""),0))"),436)</f>
        <v>436</v>
      </c>
      <c r="Z3" s="2">
        <f ca="1">IFERROR(__xludf.DUMMYFUNCTION("INDEX(IMPORTRANGE(""1y0FWgjbB0gVlqn-q5LMJbGIsqOrzru4yowQz67dz2yc"", ""'GAR'!BI3:BI139""),MATCH(D3,IMPORTRANGE(""1y0FWgjbB0gVlqn-q5LMJbGIsqOrzru4yowQz67dz2yc"", ""'GAR'!D3:D139""),0))"),402)</f>
        <v>402</v>
      </c>
      <c r="AA3" s="2"/>
      <c r="AB3" s="2"/>
      <c r="AC3" s="2"/>
    </row>
    <row r="4" spans="1:29">
      <c r="A4" s="151" t="s">
        <v>34</v>
      </c>
      <c r="B4" s="151" t="s">
        <v>40</v>
      </c>
      <c r="C4" s="151" t="s">
        <v>30</v>
      </c>
      <c r="D4" s="151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197</v>
      </c>
      <c r="Q4" s="12">
        <v>197</v>
      </c>
      <c r="R4" s="13"/>
      <c r="S4" s="13"/>
      <c r="T4" s="13"/>
      <c r="U4" s="13"/>
      <c r="V4" s="13"/>
      <c r="W4" s="4"/>
      <c r="X4" s="12">
        <v>289</v>
      </c>
      <c r="Y4" s="2">
        <f ca="1">IFERROR(__xludf.DUMMYFUNCTION("INDEX(IMPORTRANGE(""1y0FWgjbB0gVlqn-q5LMJbGIsqOrzru4yowQz67dz2yc"", ""'GAR'!BH3:BH139""),MATCH(D4,IMPORTRANGE(""1y0FWgjbB0gVlqn-q5LMJbGIsqOrzru4yowQz67dz2yc"", ""'GAR'!D3:D139""),0))"),336)</f>
        <v>336</v>
      </c>
      <c r="Z4" s="2">
        <f ca="1">IFERROR(__xludf.DUMMYFUNCTION("INDEX(IMPORTRANGE(""1y0FWgjbB0gVlqn-q5LMJbGIsqOrzru4yowQz67dz2yc"", ""'GAR'!BI3:BI139""),MATCH(D4,IMPORTRANGE(""1y0FWgjbB0gVlqn-q5LMJbGIsqOrzru4yowQz67dz2yc"", ""'GAR'!D3:D139""),0))"),371)</f>
        <v>371</v>
      </c>
      <c r="AA4" s="1"/>
      <c r="AB4" s="1"/>
      <c r="AC4" s="1"/>
    </row>
    <row r="5" spans="1:29">
      <c r="A5" s="150" t="s">
        <v>34</v>
      </c>
      <c r="B5" s="150" t="s">
        <v>40</v>
      </c>
      <c r="C5" s="150" t="s">
        <v>36</v>
      </c>
      <c r="D5" s="150" t="s">
        <v>43</v>
      </c>
      <c r="E5" s="9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0.51570680628272247</v>
      </c>
      <c r="Q5" s="15">
        <f t="shared" si="0"/>
        <v>0.51570680628272247</v>
      </c>
      <c r="R5" s="14">
        <v>1</v>
      </c>
      <c r="S5" s="2" t="s">
        <v>327</v>
      </c>
      <c r="T5" s="2" t="s">
        <v>327</v>
      </c>
      <c r="U5" s="2" t="s">
        <v>327</v>
      </c>
      <c r="V5" s="2" t="s">
        <v>327</v>
      </c>
      <c r="W5" s="2" t="s">
        <v>327</v>
      </c>
      <c r="X5" s="15">
        <f>X4/X3</f>
        <v>0.69471153846153844</v>
      </c>
      <c r="Y5" s="15">
        <f ca="1">IFERROR(__xludf.DUMMYFUNCTION("INDEX(IMPORTRANGE(""1y0FWgjbB0gVlqn-q5LMJbGIsqOrzru4yowQz67dz2yc"", ""'GAR'!BH3:BH139""),MATCH(D5,IMPORTRANGE(""1y0FWgjbB0gVlqn-q5LMJbGIsqOrzru4yowQz67dz2yc"", ""'GAR'!D3:D139""),0))"),0.770642201834862)</f>
        <v>0.77064220183486198</v>
      </c>
      <c r="Z5" s="15">
        <f ca="1">IFERROR(__xludf.DUMMYFUNCTION("INDEX(IMPORTRANGE(""1y0FWgjbB0gVlqn-q5LMJbGIsqOrzru4yowQz67dz2yc"", ""'GAR'!BI3:BI139""),MATCH(D5,IMPORTRANGE(""1y0FWgjbB0gVlqn-q5LMJbGIsqOrzru4yowQz67dz2yc"", ""'GAR'!D3:D139""),0))"),0.922885572139303)</f>
        <v>0.922885572139303</v>
      </c>
      <c r="AA5" s="2"/>
      <c r="AB5" s="2"/>
      <c r="AC5" s="2"/>
    </row>
    <row r="6" spans="1:29">
      <c r="A6" s="150" t="s">
        <v>34</v>
      </c>
      <c r="B6" s="150" t="s">
        <v>45</v>
      </c>
      <c r="C6" s="150" t="s">
        <v>30</v>
      </c>
      <c r="D6" s="150" t="s">
        <v>328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2"/>
      <c r="Y6" s="2">
        <f ca="1">IFERROR(__xludf.DUMMYFUNCTION("INDEX(IMPORTRANGE(""1y0FWgjbB0gVlqn-q5LMJbGIsqOrzru4yowQz67dz2yc"", ""'GAR'!BH3:BH139""),MATCH(D6,IMPORTRANGE(""1y0FWgjbB0gVlqn-q5LMJbGIsqOrzru4yowQz67dz2yc"", ""'GAR'!D3:D139""),0))"),18)</f>
        <v>18</v>
      </c>
      <c r="Z6" s="2">
        <f ca="1">IFERROR(__xludf.DUMMYFUNCTION("INDEX(IMPORTRANGE(""1y0FWgjbB0gVlqn-q5LMJbGIsqOrzru4yowQz67dz2yc"", ""'GAR'!BI3:BI139""),MATCH(D6,IMPORTRANGE(""1y0FWgjbB0gVlqn-q5LMJbGIsqOrzru4yowQz67dz2yc"", ""'GAR'!D3:D139""),0))"),12.864)</f>
        <v>12.864000000000001</v>
      </c>
      <c r="AA6" s="1"/>
      <c r="AB6" s="1"/>
      <c r="AC6" s="1"/>
    </row>
    <row r="7" spans="1:29">
      <c r="A7" s="150" t="s">
        <v>34</v>
      </c>
      <c r="B7" s="150" t="s">
        <v>45</v>
      </c>
      <c r="C7" s="150" t="s">
        <v>30</v>
      </c>
      <c r="D7" s="150" t="s">
        <v>329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9"/>
      <c r="Q7" s="19"/>
      <c r="R7" s="1"/>
      <c r="S7" s="1"/>
      <c r="T7" s="1"/>
      <c r="U7" s="1"/>
      <c r="V7" s="1"/>
      <c r="W7" s="2"/>
      <c r="X7" s="15"/>
      <c r="Y7" s="2">
        <f ca="1">IFERROR(__xludf.DUMMYFUNCTION("INDEX(IMPORTRANGE(""1y0FWgjbB0gVlqn-q5LMJbGIsqOrzru4yowQz67dz2yc"", ""'GAR'!BH3:BH139""),MATCH(D7,IMPORTRANGE(""1y0FWgjbB0gVlqn-q5LMJbGIsqOrzru4yowQz67dz2yc"", ""'GAR'!D3:D139""),0))"),0)</f>
        <v>0</v>
      </c>
      <c r="Z7" s="2">
        <f ca="1">IFERROR(__xludf.DUMMYFUNCTION("INDEX(IMPORTRANGE(""1y0FWgjbB0gVlqn-q5LMJbGIsqOrzru4yowQz67dz2yc"", ""'GAR'!BI3:BI139""),MATCH(D7,IMPORTRANGE(""1y0FWgjbB0gVlqn-q5LMJbGIsqOrzru4yowQz67dz2yc"", ""'GAR'!D3:D139""),0))"),0)</f>
        <v>0</v>
      </c>
      <c r="AA7" s="1"/>
      <c r="AB7" s="1"/>
      <c r="AC7" s="1"/>
    </row>
    <row r="8" spans="1:29">
      <c r="A8" s="148" t="s">
        <v>34</v>
      </c>
      <c r="B8" s="148" t="s">
        <v>45</v>
      </c>
      <c r="C8" s="148" t="s">
        <v>36</v>
      </c>
      <c r="D8" s="148" t="s">
        <v>50</v>
      </c>
      <c r="E8" s="2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327">
        <v>5.0000000000000001E-4</v>
      </c>
      <c r="S8" s="327">
        <v>5.0000000000000001E-4</v>
      </c>
      <c r="T8" s="327">
        <v>5.0000000000000001E-4</v>
      </c>
      <c r="U8" s="327">
        <v>5.0000000000000001E-4</v>
      </c>
      <c r="V8" s="327">
        <v>5.0000000000000001E-4</v>
      </c>
      <c r="W8" s="327">
        <v>5.0000000000000001E-4</v>
      </c>
      <c r="X8" s="15">
        <f>X6/X3</f>
        <v>0</v>
      </c>
      <c r="Y8" s="15">
        <f ca="1">IFERROR(__xludf.DUMMYFUNCTION("INDEX(IMPORTRANGE(""1y0FWgjbB0gVlqn-q5LMJbGIsqOrzru4yowQz67dz2yc"", ""'GAR'!BH3:BH139""),MATCH(D8,IMPORTRANGE(""1y0FWgjbB0gVlqn-q5LMJbGIsqOrzru4yowQz67dz2yc"", ""'GAR'!D3:D139""),0))"),0.0412844036697247)</f>
        <v>4.1284403669724697E-2</v>
      </c>
      <c r="Z8" s="15">
        <f ca="1">IFERROR(__xludf.DUMMYFUNCTION("INDEX(IMPORTRANGE(""1y0FWgjbB0gVlqn-q5LMJbGIsqOrzru4yowQz67dz2yc"", ""'GAR'!BI3:BI139""),MATCH(D8,IMPORTRANGE(""1y0FWgjbB0gVlqn-q5LMJbGIsqOrzru4yowQz67dz2yc"", ""'GAR'!D3:D139""),0))"),0.032)</f>
        <v>3.2000000000000001E-2</v>
      </c>
      <c r="AA8" s="2"/>
      <c r="AB8" s="2"/>
      <c r="AC8" s="2"/>
    </row>
    <row r="9" spans="1:29">
      <c r="A9" s="149" t="s">
        <v>52</v>
      </c>
      <c r="B9" s="149" t="s">
        <v>53</v>
      </c>
      <c r="C9" s="149" t="s">
        <v>30</v>
      </c>
      <c r="D9" s="149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2">
        <v>0</v>
      </c>
      <c r="R9" s="13"/>
      <c r="S9" s="13"/>
      <c r="T9" s="13"/>
      <c r="U9" s="13"/>
      <c r="V9" s="13"/>
      <c r="W9" s="4"/>
      <c r="X9" s="2">
        <v>0</v>
      </c>
      <c r="Y9" s="2">
        <f ca="1">IFERROR(__xludf.DUMMYFUNCTION("INDEX(IMPORTRANGE(""1y0FWgjbB0gVlqn-q5LMJbGIsqOrzru4yowQz67dz2yc"", ""'GAR'!BH3:BH139""),MATCH(D9,IMPORTRANGE(""1y0FWgjbB0gVlqn-q5LMJbGIsqOrzru4yowQz67dz2yc"", ""'GAR'!D3:D139""),0))"),373)</f>
        <v>373</v>
      </c>
      <c r="Z9" s="2">
        <f ca="1">IFERROR(__xludf.DUMMYFUNCTION("INDEX(IMPORTRANGE(""1y0FWgjbB0gVlqn-q5LMJbGIsqOrzru4yowQz67dz2yc"", ""'GAR'!BI3:BI139""),MATCH(D9,IMPORTRANGE(""1y0FWgjbB0gVlqn-q5LMJbGIsqOrzru4yowQz67dz2yc"", ""'GAR'!D3:D139""),0))"),19)</f>
        <v>19</v>
      </c>
      <c r="AA9" s="1"/>
      <c r="AB9" s="1"/>
      <c r="AC9" s="1"/>
    </row>
    <row r="10" spans="1:29">
      <c r="A10" s="149" t="s">
        <v>52</v>
      </c>
      <c r="B10" s="149" t="s">
        <v>53</v>
      </c>
      <c r="C10" s="149" t="s">
        <v>30</v>
      </c>
      <c r="D10" s="149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3037</v>
      </c>
      <c r="Q10" s="12">
        <v>5094</v>
      </c>
      <c r="R10" s="13"/>
      <c r="S10" s="13"/>
      <c r="T10" s="13"/>
      <c r="U10" s="13"/>
      <c r="V10" s="13"/>
      <c r="W10" s="4"/>
      <c r="X10" s="12">
        <v>2722</v>
      </c>
      <c r="Y10" s="12">
        <f ca="1">IFERROR(__xludf.DUMMYFUNCTION("INDEX(IMPORTRANGE(""1y0FWgjbB0gVlqn-q5LMJbGIsqOrzru4yowQz67dz2yc"", ""'GAR'!BH3:BH139""),MATCH(D10,IMPORTRANGE(""1y0FWgjbB0gVlqn-q5LMJbGIsqOrzru4yowQz67dz2yc"", ""'GAR'!D3:D139""),0))"),5147)</f>
        <v>5147</v>
      </c>
      <c r="Z10" s="12">
        <f ca="1">IFERROR(__xludf.DUMMYFUNCTION("INDEX(IMPORTRANGE(""1y0FWgjbB0gVlqn-q5LMJbGIsqOrzru4yowQz67dz2yc"", ""'GAR'!BI3:BI139""),MATCH(D10,IMPORTRANGE(""1y0FWgjbB0gVlqn-q5LMJbGIsqOrzru4yowQz67dz2yc"", ""'GAR'!D3:D139""),0))"),2848)</f>
        <v>2848</v>
      </c>
      <c r="AA10" s="1"/>
      <c r="AB10" s="1"/>
      <c r="AC10" s="1"/>
    </row>
    <row r="11" spans="1:29">
      <c r="A11" s="149" t="s">
        <v>52</v>
      </c>
      <c r="B11" s="149" t="s">
        <v>53</v>
      </c>
      <c r="C11" s="149" t="s">
        <v>36</v>
      </c>
      <c r="D11" s="149" t="s">
        <v>66</v>
      </c>
      <c r="E11" s="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f>0.1/5</f>
        <v>0.02</v>
      </c>
      <c r="S11" s="15">
        <f t="shared" ref="S11:V11" si="3">R11+0.02</f>
        <v>0.04</v>
      </c>
      <c r="T11" s="15">
        <f t="shared" si="3"/>
        <v>0.06</v>
      </c>
      <c r="U11" s="15">
        <f t="shared" si="3"/>
        <v>0.08</v>
      </c>
      <c r="V11" s="15">
        <f t="shared" si="3"/>
        <v>0.1</v>
      </c>
      <c r="W11" s="14">
        <v>0.1</v>
      </c>
      <c r="X11" s="15">
        <f>X9/X10</f>
        <v>0</v>
      </c>
      <c r="Y11" s="15">
        <f ca="1">IFERROR(__xludf.DUMMYFUNCTION("INDEX(IMPORTRANGE(""1y0FWgjbB0gVlqn-q5LMJbGIsqOrzru4yowQz67dz2yc"", ""'GAR'!BH3:BH139""),MATCH(D11,IMPORTRANGE(""1y0FWgjbB0gVlqn-q5LMJbGIsqOrzru4yowQz67dz2yc"", ""'GAR'!D3:D139""),0))"),0.0724693996502817)</f>
        <v>7.2469399650281693E-2</v>
      </c>
      <c r="Z11" s="15">
        <f ca="1">IFERROR(__xludf.DUMMYFUNCTION("INDEX(IMPORTRANGE(""1y0FWgjbB0gVlqn-q5LMJbGIsqOrzru4yowQz67dz2yc"", ""'GAR'!BI3:BI139""),MATCH(D11,IMPORTRANGE(""1y0FWgjbB0gVlqn-q5LMJbGIsqOrzru4yowQz67dz2yc"", ""'GAR'!D3:D139""),0))"),0.00667134831460674)</f>
        <v>6.6713483146067397E-3</v>
      </c>
      <c r="AA11" s="2"/>
      <c r="AB11" s="2"/>
      <c r="AC11" s="2"/>
    </row>
    <row r="12" spans="1:29">
      <c r="A12" s="149" t="s">
        <v>52</v>
      </c>
      <c r="B12" s="149" t="s">
        <v>68</v>
      </c>
      <c r="C12" s="149" t="s">
        <v>30</v>
      </c>
      <c r="D12" s="149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12">
        <v>58</v>
      </c>
      <c r="R12" s="13"/>
      <c r="S12" s="13"/>
      <c r="T12" s="13"/>
      <c r="U12" s="13"/>
      <c r="V12" s="13"/>
      <c r="W12" s="4"/>
      <c r="X12" s="12">
        <v>40</v>
      </c>
      <c r="Y12" s="2">
        <f ca="1">IFERROR(__xludf.DUMMYFUNCTION("INDEX(IMPORTRANGE(""1y0FWgjbB0gVlqn-q5LMJbGIsqOrzru4yowQz67dz2yc"", ""'GAR'!BH3:BH139""),MATCH(D12,IMPORTRANGE(""1y0FWgjbB0gVlqn-q5LMJbGIsqOrzru4yowQz67dz2yc"", ""'GAR'!D3:D139""),0))"),89)</f>
        <v>89</v>
      </c>
      <c r="Z12" s="2">
        <f ca="1">IFERROR(__xludf.DUMMYFUNCTION("INDEX(IMPORTRANGE(""1y0FWgjbB0gVlqn-q5LMJbGIsqOrzru4yowQz67dz2yc"", ""'GAR'!BI3:BI139""),MATCH(D12,IMPORTRANGE(""1y0FWgjbB0gVlqn-q5LMJbGIsqOrzru4yowQz67dz2yc"", ""'GAR'!D3:D139""),0))"),48)</f>
        <v>48</v>
      </c>
      <c r="AA12" s="1"/>
      <c r="AB12" s="1"/>
      <c r="AC12" s="1"/>
    </row>
    <row r="13" spans="1:29">
      <c r="A13" s="149" t="s">
        <v>52</v>
      </c>
      <c r="B13" s="149" t="s">
        <v>68</v>
      </c>
      <c r="C13" s="149" t="s">
        <v>36</v>
      </c>
      <c r="D13" s="149" t="s">
        <v>72</v>
      </c>
      <c r="E13" s="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9.6945255014493323</v>
      </c>
      <c r="Q13" s="23">
        <f t="shared" si="4"/>
        <v>18.742749302802043</v>
      </c>
      <c r="R13" s="2">
        <v>18.43</v>
      </c>
      <c r="S13" s="2">
        <v>9.4499999999999993</v>
      </c>
      <c r="T13" s="2">
        <v>18.12</v>
      </c>
      <c r="U13" s="2">
        <v>9.2100000000000009</v>
      </c>
      <c r="V13" s="2">
        <v>17.809999999999999</v>
      </c>
      <c r="W13" s="2">
        <v>17.809999999999999</v>
      </c>
      <c r="X13" s="23">
        <f>(X12/X$2)*100000</f>
        <v>12.622198660784722</v>
      </c>
      <c r="Y13" s="23">
        <f ca="1">IFERROR(__xludf.DUMMYFUNCTION("INDEX(IMPORTRANGE(""1y0FWgjbB0gVlqn-q5LMJbGIsqOrzru4yowQz67dz2yc"", ""'GAR'!BH3:BH139""),MATCH(D13,IMPORTRANGE(""1y0FWgjbB0gVlqn-q5LMJbGIsqOrzru4yowQz67dz2yc"", ""'GAR'!D3:D139""),0))"),28.084392020246)</f>
        <v>28.084392020246</v>
      </c>
      <c r="Z13" s="23">
        <f ca="1">IFERROR(__xludf.DUMMYFUNCTION("INDEX(IMPORTRANGE(""1y0FWgjbB0gVlqn-q5LMJbGIsqOrzru4yowQz67dz2yc"", ""'GAR'!BI3:BI139""),MATCH(D13,IMPORTRANGE(""1y0FWgjbB0gVlqn-q5LMJbGIsqOrzru4yowQz67dz2yc"", ""'GAR'!D3:D139""),0))"),14.8621075087701)</f>
        <v>14.8621075087701</v>
      </c>
      <c r="AA13" s="2"/>
      <c r="AB13" s="2"/>
      <c r="AC13" s="2"/>
    </row>
    <row r="14" spans="1:29">
      <c r="A14" s="149" t="s">
        <v>52</v>
      </c>
      <c r="B14" s="149" t="s">
        <v>68</v>
      </c>
      <c r="C14" s="149" t="s">
        <v>30</v>
      </c>
      <c r="D14" s="149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498</v>
      </c>
      <c r="Q14" s="12">
        <v>1059</v>
      </c>
      <c r="R14" s="13"/>
      <c r="S14" s="13"/>
      <c r="T14" s="13"/>
      <c r="U14" s="13"/>
      <c r="V14" s="13"/>
      <c r="W14" s="4"/>
      <c r="X14" s="12">
        <v>631</v>
      </c>
      <c r="Y14" s="12">
        <f ca="1">IFERROR(__xludf.DUMMYFUNCTION("INDEX(IMPORTRANGE(""1y0FWgjbB0gVlqn-q5LMJbGIsqOrzru4yowQz67dz2yc"", ""'GAR'!BH3:BH139""),MATCH(D14,IMPORTRANGE(""1y0FWgjbB0gVlqn-q5LMJbGIsqOrzru4yowQz67dz2yc"", ""'GAR'!D3:D139""),0))"),1187)</f>
        <v>1187</v>
      </c>
      <c r="Z14" s="12">
        <f ca="1">IFERROR(__xludf.DUMMYFUNCTION("INDEX(IMPORTRANGE(""1y0FWgjbB0gVlqn-q5LMJbGIsqOrzru4yowQz67dz2yc"", ""'GAR'!BI3:BI139""),MATCH(D14,IMPORTRANGE(""1y0FWgjbB0gVlqn-q5LMJbGIsqOrzru4yowQz67dz2yc"", ""'GAR'!D3:D139""),0))"),467)</f>
        <v>467</v>
      </c>
      <c r="AA14" s="1"/>
      <c r="AB14" s="1"/>
      <c r="AC14" s="1"/>
    </row>
    <row r="15" spans="1:29">
      <c r="A15" s="149" t="s">
        <v>52</v>
      </c>
      <c r="B15" s="149" t="s">
        <v>68</v>
      </c>
      <c r="C15" s="149" t="s">
        <v>30</v>
      </c>
      <c r="D15" s="149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246</v>
      </c>
      <c r="Q15" s="12">
        <v>546</v>
      </c>
      <c r="R15" s="13"/>
      <c r="S15" s="13"/>
      <c r="T15" s="13"/>
      <c r="U15" s="13"/>
      <c r="V15" s="13"/>
      <c r="W15" s="4"/>
      <c r="X15" s="12">
        <v>488</v>
      </c>
      <c r="Y15" s="12">
        <f ca="1">IFERROR(__xludf.DUMMYFUNCTION("INDEX(IMPORTRANGE(""1y0FWgjbB0gVlqn-q5LMJbGIsqOrzru4yowQz67dz2yc"", ""'GAR'!BH3:BH139""),MATCH(D15,IMPORTRANGE(""1y0FWgjbB0gVlqn-q5LMJbGIsqOrzru4yowQz67dz2yc"", ""'GAR'!D3:D139""),0))"),774)</f>
        <v>774</v>
      </c>
      <c r="Z15" s="12">
        <f ca="1">IFERROR(__xludf.DUMMYFUNCTION("INDEX(IMPORTRANGE(""1y0FWgjbB0gVlqn-q5LMJbGIsqOrzru4yowQz67dz2yc"", ""'GAR'!BI3:BI139""),MATCH(D15,IMPORTRANGE(""1y0FWgjbB0gVlqn-q5LMJbGIsqOrzru4yowQz67dz2yc"", ""'GAR'!D3:D139""),0))"),399)</f>
        <v>399</v>
      </c>
      <c r="AA15" s="1"/>
      <c r="AB15" s="1"/>
      <c r="AC15" s="1"/>
    </row>
    <row r="16" spans="1:29">
      <c r="A16" s="149" t="s">
        <v>52</v>
      </c>
      <c r="B16" s="149" t="s">
        <v>68</v>
      </c>
      <c r="C16" s="149" t="s">
        <v>30</v>
      </c>
      <c r="D16" s="149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132</v>
      </c>
      <c r="Q16" s="12">
        <v>282</v>
      </c>
      <c r="R16" s="13"/>
      <c r="S16" s="13"/>
      <c r="T16" s="13"/>
      <c r="U16" s="13"/>
      <c r="V16" s="13"/>
      <c r="W16" s="4"/>
      <c r="X16" s="12">
        <v>155</v>
      </c>
      <c r="Y16" s="12">
        <f ca="1">IFERROR(__xludf.DUMMYFUNCTION("INDEX(IMPORTRANGE(""1y0FWgjbB0gVlqn-q5LMJbGIsqOrzru4yowQz67dz2yc"", ""'GAR'!BH3:BH139""),MATCH(D16,IMPORTRANGE(""1y0FWgjbB0gVlqn-q5LMJbGIsqOrzru4yowQz67dz2yc"", ""'GAR'!D3:D139""),0))"),359)</f>
        <v>359</v>
      </c>
      <c r="Z16" s="12">
        <f ca="1">IFERROR(__xludf.DUMMYFUNCTION("INDEX(IMPORTRANGE(""1y0FWgjbB0gVlqn-q5LMJbGIsqOrzru4yowQz67dz2yc"", ""'GAR'!BI3:BI139""),MATCH(D16,IMPORTRANGE(""1y0FWgjbB0gVlqn-q5LMJbGIsqOrzru4yowQz67dz2yc"", ""'GAR'!D3:D139""),0))"),135)</f>
        <v>135</v>
      </c>
      <c r="AA16" s="1"/>
      <c r="AB16" s="1"/>
      <c r="AC16" s="1"/>
    </row>
    <row r="17" spans="1:29">
      <c r="A17" s="149" t="s">
        <v>52</v>
      </c>
      <c r="B17" s="149" t="s">
        <v>68</v>
      </c>
      <c r="C17" s="149" t="s">
        <v>30</v>
      </c>
      <c r="D17" s="149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115</v>
      </c>
      <c r="Q17" s="12">
        <v>209</v>
      </c>
      <c r="R17" s="13"/>
      <c r="S17" s="13"/>
      <c r="T17" s="13"/>
      <c r="U17" s="13"/>
      <c r="V17" s="13"/>
      <c r="W17" s="4"/>
      <c r="X17" s="12">
        <v>92</v>
      </c>
      <c r="Y17" s="12">
        <f ca="1">IFERROR(__xludf.DUMMYFUNCTION("INDEX(IMPORTRANGE(""1y0FWgjbB0gVlqn-q5LMJbGIsqOrzru4yowQz67dz2yc"", ""'GAR'!BH3:BH139""),MATCH(D17,IMPORTRANGE(""1y0FWgjbB0gVlqn-q5LMJbGIsqOrzru4yowQz67dz2yc"", ""'GAR'!D3:D139""),0))"),197)</f>
        <v>197</v>
      </c>
      <c r="Z17" s="12">
        <f ca="1">IFERROR(__xludf.DUMMYFUNCTION("INDEX(IMPORTRANGE(""1y0FWgjbB0gVlqn-q5LMJbGIsqOrzru4yowQz67dz2yc"", ""'GAR'!BI3:BI139""),MATCH(D17,IMPORTRANGE(""1y0FWgjbB0gVlqn-q5LMJbGIsqOrzru4yowQz67dz2yc"", ""'GAR'!D3:D139""),0))"),103)</f>
        <v>103</v>
      </c>
      <c r="AA17" s="1"/>
      <c r="AB17" s="1"/>
      <c r="AC17" s="1"/>
    </row>
    <row r="18" spans="1:29">
      <c r="A18" s="149" t="s">
        <v>52</v>
      </c>
      <c r="B18" s="149" t="s">
        <v>68</v>
      </c>
      <c r="C18" s="149" t="s">
        <v>36</v>
      </c>
      <c r="D18" s="149" t="s">
        <v>84</v>
      </c>
      <c r="E18" s="9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5">(SUM(P14:P17)/P2)*100000</f>
        <v>320.24249239787628</v>
      </c>
      <c r="Q18" s="23">
        <f t="shared" si="5"/>
        <v>677.32418170125993</v>
      </c>
      <c r="R18" s="2">
        <v>654.70000000000005</v>
      </c>
      <c r="S18" s="2">
        <v>309.60000000000002</v>
      </c>
      <c r="T18" s="2">
        <v>632.20000000000005</v>
      </c>
      <c r="U18" s="2">
        <v>298.89999999999998</v>
      </c>
      <c r="V18" s="2">
        <v>288.2</v>
      </c>
      <c r="W18" s="2">
        <v>609.6</v>
      </c>
      <c r="X18" s="23">
        <f>(SUM(X14:X17)/X2)*100000</f>
        <v>431.04808426579825</v>
      </c>
      <c r="Y18" s="23">
        <f ca="1">IFERROR(__xludf.DUMMYFUNCTION("INDEX(IMPORTRANGE(""1y0FWgjbB0gVlqn-q5LMJbGIsqOrzru4yowQz67dz2yc"", ""'GAR'!BH3:BH139""),MATCH(D18,IMPORTRANGE(""1y0FWgjbB0gVlqn-q5LMJbGIsqOrzru4yowQz67dz2yc"", ""'GAR'!D3:D139""),0))"),794.251850729878)</f>
        <v>794.25185072987802</v>
      </c>
      <c r="Z18" s="23">
        <f ca="1">IFERROR(__xludf.DUMMYFUNCTION("INDEX(IMPORTRANGE(""1y0FWgjbB0gVlqn-q5LMJbGIsqOrzru4yowQz67dz2yc"", ""'GAR'!BI3:BI139""),MATCH(D18,IMPORTRANGE(""1y0FWgjbB0gVlqn-q5LMJbGIsqOrzru4yowQz67dz2yc"", ""'GAR'!D3:D139""),0))"),341.828472701714)</f>
        <v>341.82847270171402</v>
      </c>
      <c r="AA18" s="2"/>
      <c r="AB18" s="2"/>
      <c r="AC18" s="2"/>
    </row>
    <row r="19" spans="1:29">
      <c r="A19" s="149" t="s">
        <v>52</v>
      </c>
      <c r="B19" s="149" t="s">
        <v>86</v>
      </c>
      <c r="C19" s="149" t="s">
        <v>30</v>
      </c>
      <c r="D19" s="149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977</v>
      </c>
      <c r="Q19" s="12">
        <v>2058</v>
      </c>
      <c r="R19" s="13"/>
      <c r="S19" s="13"/>
      <c r="T19" s="13"/>
      <c r="U19" s="13"/>
      <c r="V19" s="13"/>
      <c r="W19" s="4"/>
      <c r="X19" s="12">
        <v>1080</v>
      </c>
      <c r="Y19" s="12">
        <f ca="1">IFERROR(__xludf.DUMMYFUNCTION("INDEX(IMPORTRANGE(""1y0FWgjbB0gVlqn-q5LMJbGIsqOrzru4yowQz67dz2yc"", ""'GAR'!BH3:BH139""),MATCH(D19,IMPORTRANGE(""1y0FWgjbB0gVlqn-q5LMJbGIsqOrzru4yowQz67dz2yc"", ""'GAR'!D3:D139""),0))"),2540)</f>
        <v>2540</v>
      </c>
      <c r="Z19" s="12">
        <f ca="1">IFERROR(__xludf.DUMMYFUNCTION("INDEX(IMPORTRANGE(""1y0FWgjbB0gVlqn-q5LMJbGIsqOrzru4yowQz67dz2yc"", ""'GAR'!BI3:BI139""),MATCH(D19,IMPORTRANGE(""1y0FWgjbB0gVlqn-q5LMJbGIsqOrzru4yowQz67dz2yc"", ""'GAR'!D3:D139""),0))"),1242)</f>
        <v>1242</v>
      </c>
      <c r="AA19" s="1"/>
      <c r="AB19" s="1"/>
      <c r="AC19" s="1"/>
    </row>
    <row r="20" spans="1:29">
      <c r="A20" s="149" t="s">
        <v>52</v>
      </c>
      <c r="B20" s="149" t="s">
        <v>86</v>
      </c>
      <c r="C20" s="149" t="s">
        <v>36</v>
      </c>
      <c r="D20" s="149" t="s">
        <v>89</v>
      </c>
      <c r="E20" s="9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(P19/P$2)*100000</f>
        <v>315.71838049719986</v>
      </c>
      <c r="Q20" s="23">
        <f t="shared" si="6"/>
        <v>665.04444939942414</v>
      </c>
      <c r="R20" s="2">
        <v>654</v>
      </c>
      <c r="S20" s="2">
        <v>310.5</v>
      </c>
      <c r="T20" s="2">
        <v>642.9</v>
      </c>
      <c r="U20" s="2">
        <v>305.2</v>
      </c>
      <c r="V20" s="2">
        <v>299.89999999999998</v>
      </c>
      <c r="W20" s="2">
        <v>631.79999999999995</v>
      </c>
      <c r="X20" s="23">
        <f>(X19/X$2)*100000</f>
        <v>340.79936384118747</v>
      </c>
      <c r="Y20" s="23">
        <f ca="1">IFERROR(__xludf.DUMMYFUNCTION("INDEX(IMPORTRANGE(""1y0FWgjbB0gVlqn-q5LMJbGIsqOrzru4yowQz67dz2yc"", ""'GAR'!BH3:BH139""),MATCH(D20,IMPORTRANGE(""1y0FWgjbB0gVlqn-q5LMJbGIsqOrzru4yowQz67dz2yc"", ""'GAR'!D3:D139""),0))"),801.509614959829)</f>
        <v>801.50961495982904</v>
      </c>
      <c r="Z20" s="23">
        <f ca="1">IFERROR(__xludf.DUMMYFUNCTION("INDEX(IMPORTRANGE(""1y0FWgjbB0gVlqn-q5LMJbGIsqOrzru4yowQz67dz2yc"", ""'GAR'!BI3:BI139""),MATCH(D20,IMPORTRANGE(""1y0FWgjbB0gVlqn-q5LMJbGIsqOrzru4yowQz67dz2yc"", ""'GAR'!D3:D139""),0))"),384.557031789428)</f>
        <v>384.55703178942798</v>
      </c>
      <c r="AA20" s="2"/>
      <c r="AB20" s="2"/>
      <c r="AC20" s="2"/>
    </row>
    <row r="21" spans="1:29">
      <c r="A21" s="149" t="s">
        <v>52</v>
      </c>
      <c r="B21" s="149" t="s">
        <v>86</v>
      </c>
      <c r="C21" s="149" t="s">
        <v>30</v>
      </c>
      <c r="D21" s="149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1061</v>
      </c>
      <c r="Q21" s="12">
        <v>2862</v>
      </c>
      <c r="R21" s="13"/>
      <c r="S21" s="13"/>
      <c r="T21" s="13"/>
      <c r="U21" s="13"/>
      <c r="V21" s="13"/>
      <c r="W21" s="4"/>
      <c r="X21" s="12">
        <v>1584</v>
      </c>
      <c r="Y21" s="12">
        <f ca="1">IFERROR(__xludf.DUMMYFUNCTION("INDEX(IMPORTRANGE(""1y0FWgjbB0gVlqn-q5LMJbGIsqOrzru4yowQz67dz2yc"", ""'GAR'!BH3:BH139""),MATCH(D21,IMPORTRANGE(""1y0FWgjbB0gVlqn-q5LMJbGIsqOrzru4yowQz67dz2yc"", ""'GAR'!D3:D139""),0))"),3231)</f>
        <v>3231</v>
      </c>
      <c r="Z21" s="12">
        <f ca="1">IFERROR(__xludf.DUMMYFUNCTION("INDEX(IMPORTRANGE(""1y0FWgjbB0gVlqn-q5LMJbGIsqOrzru4yowQz67dz2yc"", ""'GAR'!BI3:BI139""),MATCH(D21,IMPORTRANGE(""1y0FWgjbB0gVlqn-q5LMJbGIsqOrzru4yowQz67dz2yc"", ""'GAR'!D3:D139""),0))"),1317)</f>
        <v>1317</v>
      </c>
      <c r="AA21" s="1"/>
      <c r="AB21" s="1"/>
      <c r="AC21" s="1"/>
    </row>
    <row r="22" spans="1:29">
      <c r="A22" s="149" t="s">
        <v>52</v>
      </c>
      <c r="B22" s="149" t="s">
        <v>86</v>
      </c>
      <c r="C22" s="149" t="s">
        <v>36</v>
      </c>
      <c r="D22" s="149" t="s">
        <v>93</v>
      </c>
      <c r="E22" s="9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7">(P21/P$2)*100000</f>
        <v>342.86305190125802</v>
      </c>
      <c r="Q22" s="23">
        <f t="shared" si="7"/>
        <v>924.8577328382662</v>
      </c>
      <c r="R22" s="2">
        <v>909.4</v>
      </c>
      <c r="S22" s="2">
        <v>337.1</v>
      </c>
      <c r="T22" s="2">
        <v>894</v>
      </c>
      <c r="U22" s="2">
        <v>331.4</v>
      </c>
      <c r="V22" s="2">
        <v>325.7</v>
      </c>
      <c r="W22" s="2">
        <v>878.6</v>
      </c>
      <c r="X22" s="23">
        <f>(X21/X$2)*100000</f>
        <v>499.83906696707493</v>
      </c>
      <c r="Y22" s="23">
        <f ca="1">IFERROR(__xludf.DUMMYFUNCTION("INDEX(IMPORTRANGE(""1y0FWgjbB0gVlqn-q5LMJbGIsqOrzru4yowQz67dz2yc"", ""'GAR'!BH3:BH139""),MATCH(D22,IMPORTRANGE(""1y0FWgjbB0gVlqn-q5LMJbGIsqOrzru4yowQz67dz2yc"", ""'GAR'!D3:D139""),0))"),1019.55809682488)</f>
        <v>1019.55809682488</v>
      </c>
      <c r="Z22" s="23">
        <f ca="1">IFERROR(__xludf.DUMMYFUNCTION("INDEX(IMPORTRANGE(""1y0FWgjbB0gVlqn-q5LMJbGIsqOrzru4yowQz67dz2yc"", ""'GAR'!BI3:BI139""),MATCH(D22,IMPORTRANGE(""1y0FWgjbB0gVlqn-q5LMJbGIsqOrzru4yowQz67dz2yc"", ""'GAR'!D3:D139""),0))"),407.779074771882)</f>
        <v>407.77907477188199</v>
      </c>
      <c r="AA22" s="2"/>
      <c r="AB22" s="2"/>
      <c r="AC22" s="2"/>
    </row>
    <row r="23" spans="1:29">
      <c r="A23" s="149" t="s">
        <v>52</v>
      </c>
      <c r="B23" s="149" t="s">
        <v>86</v>
      </c>
      <c r="C23" s="149" t="s">
        <v>30</v>
      </c>
      <c r="D23" s="149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15</v>
      </c>
      <c r="Q23" s="12">
        <v>30</v>
      </c>
      <c r="R23" s="13"/>
      <c r="S23" s="13"/>
      <c r="T23" s="13"/>
      <c r="U23" s="13"/>
      <c r="V23" s="13"/>
      <c r="W23" s="4"/>
      <c r="X23" s="12">
        <v>23</v>
      </c>
      <c r="Y23" s="12">
        <f ca="1">IFERROR(__xludf.DUMMYFUNCTION("INDEX(IMPORTRANGE(""1y0FWgjbB0gVlqn-q5LMJbGIsqOrzru4yowQz67dz2yc"", ""'GAR'!BH3:BH139""),MATCH(D23,IMPORTRANGE(""1y0FWgjbB0gVlqn-q5LMJbGIsqOrzru4yowQz67dz2yc"", ""'GAR'!D3:D139""),0))"),44)</f>
        <v>44</v>
      </c>
      <c r="Z23" s="12">
        <f ca="1">IFERROR(__xludf.DUMMYFUNCTION("INDEX(IMPORTRANGE(""1y0FWgjbB0gVlqn-q5LMJbGIsqOrzru4yowQz67dz2yc"", ""'GAR'!BI3:BI139""),MATCH(D23,IMPORTRANGE(""1y0FWgjbB0gVlqn-q5LMJbGIsqOrzru4yowQz67dz2yc"", ""'GAR'!D3:D139""),0))"),11)</f>
        <v>11</v>
      </c>
      <c r="AA23" s="1"/>
      <c r="AB23" s="1"/>
      <c r="AC23" s="1"/>
    </row>
    <row r="24" spans="1:29">
      <c r="A24" s="149" t="s">
        <v>52</v>
      </c>
      <c r="B24" s="149" t="s">
        <v>86</v>
      </c>
      <c r="C24" s="149" t="s">
        <v>30</v>
      </c>
      <c r="D24" s="149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9</v>
      </c>
      <c r="Q24" s="12">
        <v>27</v>
      </c>
      <c r="R24" s="13"/>
      <c r="S24" s="13"/>
      <c r="T24" s="13"/>
      <c r="U24" s="13"/>
      <c r="V24" s="13"/>
      <c r="W24" s="4"/>
      <c r="X24" s="12">
        <v>15</v>
      </c>
      <c r="Y24" s="12">
        <f ca="1">IFERROR(__xludf.DUMMYFUNCTION("INDEX(IMPORTRANGE(""1y0FWgjbB0gVlqn-q5LMJbGIsqOrzru4yowQz67dz2yc"", ""'GAR'!BH3:BH139""),MATCH(D24,IMPORTRANGE(""1y0FWgjbB0gVlqn-q5LMJbGIsqOrzru4yowQz67dz2yc"", ""'GAR'!D3:D139""),0))"),36)</f>
        <v>36</v>
      </c>
      <c r="Z24" s="12">
        <f ca="1">IFERROR(__xludf.DUMMYFUNCTION("INDEX(IMPORTRANGE(""1y0FWgjbB0gVlqn-q5LMJbGIsqOrzru4yowQz67dz2yc"", ""'GAR'!BI3:BI139""),MATCH(D24,IMPORTRANGE(""1y0FWgjbB0gVlqn-q5LMJbGIsqOrzru4yowQz67dz2yc"", ""'GAR'!D3:D139""),0))"),16)</f>
        <v>16</v>
      </c>
      <c r="AA24" s="1"/>
      <c r="AB24" s="1"/>
      <c r="AC24" s="1"/>
    </row>
    <row r="25" spans="1:29">
      <c r="A25" s="149" t="s">
        <v>52</v>
      </c>
      <c r="B25" s="149" t="s">
        <v>86</v>
      </c>
      <c r="C25" s="149" t="s">
        <v>30</v>
      </c>
      <c r="D25" s="149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2</v>
      </c>
      <c r="Q25" s="12">
        <v>5</v>
      </c>
      <c r="R25" s="13"/>
      <c r="S25" s="13"/>
      <c r="T25" s="13"/>
      <c r="U25" s="13"/>
      <c r="V25" s="13"/>
      <c r="W25" s="4"/>
      <c r="X25" s="12">
        <v>3</v>
      </c>
      <c r="Y25" s="12">
        <f ca="1">IFERROR(__xludf.DUMMYFUNCTION("INDEX(IMPORTRANGE(""1y0FWgjbB0gVlqn-q5LMJbGIsqOrzru4yowQz67dz2yc"", ""'GAR'!BH3:BH139""),MATCH(D25,IMPORTRANGE(""1y0FWgjbB0gVlqn-q5LMJbGIsqOrzru4yowQz67dz2yc"", ""'GAR'!D3:D139""),0))"),7)</f>
        <v>7</v>
      </c>
      <c r="Z25" s="12">
        <f ca="1">IFERROR(__xludf.DUMMYFUNCTION("INDEX(IMPORTRANGE(""1y0FWgjbB0gVlqn-q5LMJbGIsqOrzru4yowQz67dz2yc"", ""'GAR'!BI3:BI139""),MATCH(D25,IMPORTRANGE(""1y0FWgjbB0gVlqn-q5LMJbGIsqOrzru4yowQz67dz2yc"", ""'GAR'!D3:D139""),0))"),1)</f>
        <v>1</v>
      </c>
      <c r="AA25" s="1"/>
      <c r="AB25" s="1"/>
      <c r="AC25" s="1"/>
    </row>
    <row r="26" spans="1:29">
      <c r="A26" s="151" t="s">
        <v>52</v>
      </c>
      <c r="B26" s="151" t="s">
        <v>86</v>
      </c>
      <c r="C26" s="151" t="s">
        <v>30</v>
      </c>
      <c r="D26" s="151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0</v>
      </c>
      <c r="Q26" s="12">
        <v>0</v>
      </c>
      <c r="R26" s="13"/>
      <c r="S26" s="13"/>
      <c r="T26" s="13"/>
      <c r="U26" s="13"/>
      <c r="V26" s="13"/>
      <c r="W26" s="4"/>
      <c r="X26" s="12">
        <v>0</v>
      </c>
      <c r="Y26" s="12">
        <f ca="1">IFERROR(__xludf.DUMMYFUNCTION("INDEX(IMPORTRANGE(""1y0FWgjbB0gVlqn-q5LMJbGIsqOrzru4yowQz67dz2yc"", ""'GAR'!BH3:BH139""),MATCH(D26,IMPORTRANGE(""1y0FWgjbB0gVlqn-q5LMJbGIsqOrzru4yowQz67dz2yc"", ""'GAR'!D3:D139""),0))"),0)</f>
        <v>0</v>
      </c>
      <c r="Z26" s="12">
        <f ca="1">IFERROR(__xludf.DUMMYFUNCTION("INDEX(IMPORTRANGE(""1y0FWgjbB0gVlqn-q5LMJbGIsqOrzru4yowQz67dz2yc"", ""'GAR'!BI3:BI139""),MATCH(D26,IMPORTRANGE(""1y0FWgjbB0gVlqn-q5LMJbGIsqOrzru4yowQz67dz2yc"", ""'GAR'!D3:D139""),0))"),1)</f>
        <v>1</v>
      </c>
      <c r="AA26" s="1"/>
      <c r="AB26" s="1"/>
      <c r="AC26" s="1"/>
    </row>
    <row r="27" spans="1:29">
      <c r="A27" s="151" t="s">
        <v>52</v>
      </c>
      <c r="B27" s="151" t="s">
        <v>86</v>
      </c>
      <c r="C27" s="151" t="s">
        <v>30</v>
      </c>
      <c r="D27" s="151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13"/>
      <c r="S27" s="13"/>
      <c r="T27" s="13"/>
      <c r="U27" s="13"/>
      <c r="V27" s="13"/>
      <c r="W27" s="4"/>
      <c r="X27" s="12">
        <v>1</v>
      </c>
      <c r="Y27" s="12">
        <f ca="1">IFERROR(__xludf.DUMMYFUNCTION("INDEX(IMPORTRANGE(""1y0FWgjbB0gVlqn-q5LMJbGIsqOrzru4yowQz67dz2yc"", ""'GAR'!BH3:BH139""),MATCH(D27,IMPORTRANGE(""1y0FWgjbB0gVlqn-q5LMJbGIsqOrzru4yowQz67dz2yc"", ""'GAR'!D3:D139""),0))"),1)</f>
        <v>1</v>
      </c>
      <c r="Z27" s="12">
        <f ca="1">IFERROR(__xludf.DUMMYFUNCTION("INDEX(IMPORTRANGE(""1y0FWgjbB0gVlqn-q5LMJbGIsqOrzru4yowQz67dz2yc"", ""'GAR'!BI3:BI139""),MATCH(D27,IMPORTRANGE(""1y0FWgjbB0gVlqn-q5LMJbGIsqOrzru4yowQz67dz2yc"", ""'GAR'!D3:D139""),0))"),0)</f>
        <v>0</v>
      </c>
      <c r="AA27" s="1"/>
      <c r="AB27" s="1"/>
      <c r="AC27" s="1"/>
    </row>
    <row r="28" spans="1:29">
      <c r="A28" s="151" t="s">
        <v>52</v>
      </c>
      <c r="B28" s="151" t="s">
        <v>86</v>
      </c>
      <c r="C28" s="151" t="s">
        <v>30</v>
      </c>
      <c r="D28" s="151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4"/>
      <c r="X28" s="12">
        <v>0</v>
      </c>
      <c r="Y28" s="12">
        <f ca="1">IFERROR(__xludf.DUMMYFUNCTION("INDEX(IMPORTRANGE(""1y0FWgjbB0gVlqn-q5LMJbGIsqOrzru4yowQz67dz2yc"", ""'GAR'!BH3:BH139""),MATCH(D28,IMPORTRANGE(""1y0FWgjbB0gVlqn-q5LMJbGIsqOrzru4yowQz67dz2yc"", ""'GAR'!D3:D139""),0))"),0)</f>
        <v>0</v>
      </c>
      <c r="Z28" s="12">
        <f ca="1">IFERROR(__xludf.DUMMYFUNCTION("INDEX(IMPORTRANGE(""1y0FWgjbB0gVlqn-q5LMJbGIsqOrzru4yowQz67dz2yc"", ""'GAR'!BI3:BI139""),MATCH(D28,IMPORTRANGE(""1y0FWgjbB0gVlqn-q5LMJbGIsqOrzru4yowQz67dz2yc"", ""'GAR'!D3:D139""),0))"),0)</f>
        <v>0</v>
      </c>
      <c r="AA28" s="1"/>
      <c r="AB28" s="1"/>
      <c r="AC28" s="1"/>
    </row>
    <row r="29" spans="1:29">
      <c r="A29" s="149" t="s">
        <v>52</v>
      </c>
      <c r="B29" s="149" t="s">
        <v>86</v>
      </c>
      <c r="C29" s="149" t="s">
        <v>30</v>
      </c>
      <c r="D29" s="149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2</v>
      </c>
      <c r="Q29" s="12">
        <v>7</v>
      </c>
      <c r="R29" s="13"/>
      <c r="S29" s="13"/>
      <c r="T29" s="13"/>
      <c r="U29" s="13"/>
      <c r="V29" s="13"/>
      <c r="W29" s="4"/>
      <c r="X29" s="12">
        <v>9</v>
      </c>
      <c r="Y29" s="12">
        <f ca="1">IFERROR(__xludf.DUMMYFUNCTION("INDEX(IMPORTRANGE(""1y0FWgjbB0gVlqn-q5LMJbGIsqOrzru4yowQz67dz2yc"", ""'GAR'!BH3:BH139""),MATCH(D29,IMPORTRANGE(""1y0FWgjbB0gVlqn-q5LMJbGIsqOrzru4yowQz67dz2yc"", ""'GAR'!D3:D139""),0))"),20)</f>
        <v>20</v>
      </c>
      <c r="Z29" s="12">
        <f ca="1">IFERROR(__xludf.DUMMYFUNCTION("INDEX(IMPORTRANGE(""1y0FWgjbB0gVlqn-q5LMJbGIsqOrzru4yowQz67dz2yc"", ""'GAR'!BI3:BI139""),MATCH(D29,IMPORTRANGE(""1y0FWgjbB0gVlqn-q5LMJbGIsqOrzru4yowQz67dz2yc"", ""'GAR'!D3:D139""),0))"),8)</f>
        <v>8</v>
      </c>
      <c r="AA29" s="1"/>
      <c r="AB29" s="1"/>
      <c r="AC29" s="1"/>
    </row>
    <row r="30" spans="1:29">
      <c r="A30" s="149" t="s">
        <v>52</v>
      </c>
      <c r="B30" s="149" t="s">
        <v>86</v>
      </c>
      <c r="C30" s="149" t="s">
        <v>30</v>
      </c>
      <c r="D30" s="149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4</v>
      </c>
      <c r="Q30" s="12">
        <v>13</v>
      </c>
      <c r="R30" s="13"/>
      <c r="S30" s="13"/>
      <c r="T30" s="13"/>
      <c r="U30" s="13"/>
      <c r="V30" s="13"/>
      <c r="W30" s="4"/>
      <c r="X30" s="12">
        <v>3</v>
      </c>
      <c r="Y30" s="12">
        <f ca="1">IFERROR(__xludf.DUMMYFUNCTION("INDEX(IMPORTRANGE(""1y0FWgjbB0gVlqn-q5LMJbGIsqOrzru4yowQz67dz2yc"", ""'GAR'!BH3:BH139""),MATCH(D30,IMPORTRANGE(""1y0FWgjbB0gVlqn-q5LMJbGIsqOrzru4yowQz67dz2yc"", ""'GAR'!D3:D139""),0))"),5)</f>
        <v>5</v>
      </c>
      <c r="Z30" s="12">
        <f ca="1">IFERROR(__xludf.DUMMYFUNCTION("INDEX(IMPORTRANGE(""1y0FWgjbB0gVlqn-q5LMJbGIsqOrzru4yowQz67dz2yc"", ""'GAR'!BI3:BI139""),MATCH(D30,IMPORTRANGE(""1y0FWgjbB0gVlqn-q5LMJbGIsqOrzru4yowQz67dz2yc"", ""'GAR'!D3:D139""),0))"),1)</f>
        <v>1</v>
      </c>
      <c r="AA30" s="1"/>
      <c r="AB30" s="1"/>
      <c r="AC30" s="1"/>
    </row>
    <row r="31" spans="1:29">
      <c r="A31" s="149" t="s">
        <v>52</v>
      </c>
      <c r="B31" s="149" t="s">
        <v>86</v>
      </c>
      <c r="C31" s="149" t="s">
        <v>30</v>
      </c>
      <c r="D31" s="149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4"/>
      <c r="X31" s="12">
        <v>0</v>
      </c>
      <c r="Y31" s="12">
        <f ca="1">IFERROR(__xludf.DUMMYFUNCTION("INDEX(IMPORTRANGE(""1y0FWgjbB0gVlqn-q5LMJbGIsqOrzru4yowQz67dz2yc"", ""'GAR'!BH3:BH139""),MATCH(D31,IMPORTRANGE(""1y0FWgjbB0gVlqn-q5LMJbGIsqOrzru4yowQz67dz2yc"", ""'GAR'!D3:D139""),0))"),2)</f>
        <v>2</v>
      </c>
      <c r="Z31" s="12">
        <f ca="1">IFERROR(__xludf.DUMMYFUNCTION("INDEX(IMPORTRANGE(""1y0FWgjbB0gVlqn-q5LMJbGIsqOrzru4yowQz67dz2yc"", ""'GAR'!BI3:BI139""),MATCH(D31,IMPORTRANGE(""1y0FWgjbB0gVlqn-q5LMJbGIsqOrzru4yowQz67dz2yc"", ""'GAR'!D3:D139""),0))"),0)</f>
        <v>0</v>
      </c>
      <c r="AA31" s="1"/>
      <c r="AB31" s="1"/>
      <c r="AC31" s="1"/>
    </row>
    <row r="32" spans="1:29">
      <c r="A32" s="149" t="s">
        <v>52</v>
      </c>
      <c r="B32" s="149" t="s">
        <v>86</v>
      </c>
      <c r="C32" s="149" t="s">
        <v>30</v>
      </c>
      <c r="D32" s="149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4"/>
      <c r="X32" s="12">
        <v>1</v>
      </c>
      <c r="Y32" s="12">
        <f ca="1">IFERROR(__xludf.DUMMYFUNCTION("INDEX(IMPORTRANGE(""1y0FWgjbB0gVlqn-q5LMJbGIsqOrzru4yowQz67dz2yc"", ""'GAR'!BH3:BH139""),MATCH(D32,IMPORTRANGE(""1y0FWgjbB0gVlqn-q5LMJbGIsqOrzru4yowQz67dz2yc"", ""'GAR'!D3:D139""),0))"),5)</f>
        <v>5</v>
      </c>
      <c r="Z32" s="12">
        <f ca="1">IFERROR(__xludf.DUMMYFUNCTION("INDEX(IMPORTRANGE(""1y0FWgjbB0gVlqn-q5LMJbGIsqOrzru4yowQz67dz2yc"", ""'GAR'!BI3:BI139""),MATCH(D32,IMPORTRANGE(""1y0FWgjbB0gVlqn-q5LMJbGIsqOrzru4yowQz67dz2yc"", ""'GAR'!D3:D139""),0))"),4)</f>
        <v>4</v>
      </c>
      <c r="AA32" s="1"/>
      <c r="AB32" s="1"/>
      <c r="AC32" s="1"/>
    </row>
    <row r="33" spans="1:29">
      <c r="A33" s="149" t="s">
        <v>52</v>
      </c>
      <c r="B33" s="149" t="s">
        <v>86</v>
      </c>
      <c r="C33" s="149" t="s">
        <v>30</v>
      </c>
      <c r="D33" s="149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4"/>
      <c r="X33" s="12">
        <v>1</v>
      </c>
      <c r="Y33" s="12">
        <f ca="1">IFERROR(__xludf.DUMMYFUNCTION("INDEX(IMPORTRANGE(""1y0FWgjbB0gVlqn-q5LMJbGIsqOrzru4yowQz67dz2yc"", ""'GAR'!BH3:BH139""),MATCH(D33,IMPORTRANGE(""1y0FWgjbB0gVlqn-q5LMJbGIsqOrzru4yowQz67dz2yc"", ""'GAR'!D3:D139""),0))"),2)</f>
        <v>2</v>
      </c>
      <c r="Z33" s="12">
        <f ca="1">IFERROR(__xludf.DUMMYFUNCTION("INDEX(IMPORTRANGE(""1y0FWgjbB0gVlqn-q5LMJbGIsqOrzru4yowQz67dz2yc"", ""'GAR'!BI3:BI139""),MATCH(D33,IMPORTRANGE(""1y0FWgjbB0gVlqn-q5LMJbGIsqOrzru4yowQz67dz2yc"", ""'GAR'!D3:D139""),0))"),1)</f>
        <v>1</v>
      </c>
      <c r="AA33" s="1"/>
      <c r="AB33" s="1"/>
      <c r="AC33" s="1"/>
    </row>
    <row r="34" spans="1:29">
      <c r="A34" s="149" t="s">
        <v>52</v>
      </c>
      <c r="B34" s="149" t="s">
        <v>86</v>
      </c>
      <c r="C34" s="149" t="s">
        <v>36</v>
      </c>
      <c r="D34" s="149" t="s">
        <v>117</v>
      </c>
      <c r="E34" s="9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8">(SUM(P23:P33)/P$2)*100000</f>
        <v>10.663978051594265</v>
      </c>
      <c r="Q34" s="23">
        <f t="shared" si="8"/>
        <v>26.821520554009815</v>
      </c>
      <c r="R34" s="2">
        <v>26.4</v>
      </c>
      <c r="S34" s="2">
        <v>10.5</v>
      </c>
      <c r="T34" s="2">
        <v>25.9</v>
      </c>
      <c r="U34" s="2">
        <v>10.3</v>
      </c>
      <c r="V34" s="2">
        <v>10.1</v>
      </c>
      <c r="W34" s="2">
        <v>25.5</v>
      </c>
      <c r="X34" s="23">
        <f>(SUM(X23:X33)/X$2)*100000</f>
        <v>17.67107812509861</v>
      </c>
      <c r="Y34" s="23">
        <f ca="1">IFERROR(__xludf.DUMMYFUNCTION("INDEX(IMPORTRANGE(""1y0FWgjbB0gVlqn-q5LMJbGIsqOrzru4yowQz67dz2yc"", ""'GAR'!BH3:BH139""),MATCH(D34,IMPORTRANGE(""1y0FWgjbB0gVlqn-q5LMJbGIsqOrzru4yowQz67dz2yc"", ""'GAR'!D3:D139""),0))"),38.4977059153934)</f>
        <v>38.497705915393396</v>
      </c>
      <c r="Z34" s="23">
        <f ca="1">IFERROR(__xludf.DUMMYFUNCTION("INDEX(IMPORTRANGE(""1y0FWgjbB0gVlqn-q5LMJbGIsqOrzru4yowQz67dz2yc"", ""'GAR'!BI3:BI139""),MATCH(D34,IMPORTRANGE(""1y0FWgjbB0gVlqn-q5LMJbGIsqOrzru4yowQz67dz2yc"", ""'GAR'!D3:D139""),0))"),13.3139713099399)</f>
        <v>13.3139713099399</v>
      </c>
      <c r="AA34" s="2"/>
      <c r="AB34" s="2"/>
      <c r="AC34" s="2"/>
    </row>
    <row r="35" spans="1:29">
      <c r="A35" s="148" t="s">
        <v>119</v>
      </c>
      <c r="B35" s="148" t="s">
        <v>120</v>
      </c>
      <c r="C35" s="148" t="s">
        <v>30</v>
      </c>
      <c r="D35" s="148" t="s">
        <v>121</v>
      </c>
      <c r="E35" s="1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202489</v>
      </c>
      <c r="Q35" s="12">
        <v>202489</v>
      </c>
      <c r="R35" s="13"/>
      <c r="S35" s="13"/>
      <c r="T35" s="13"/>
      <c r="U35" s="13"/>
      <c r="V35" s="13"/>
      <c r="W35" s="4"/>
      <c r="X35" s="12">
        <v>202489</v>
      </c>
      <c r="Y35" s="12">
        <f ca="1">IFERROR(__xludf.DUMMYFUNCTION("INDEX(IMPORTRANGE(""1y0FWgjbB0gVlqn-q5LMJbGIsqOrzru4yowQz67dz2yc"", ""'GAR'!BH3:BH139""),MATCH(D35,IMPORTRANGE(""1y0FWgjbB0gVlqn-q5LMJbGIsqOrzru4yowQz67dz2yc"", ""'GAR'!D3:D139""),0))"),202489)</f>
        <v>202489</v>
      </c>
      <c r="Z35" s="12">
        <f ca="1">IFERROR(__xludf.DUMMYFUNCTION("INDEX(IMPORTRANGE(""1y0FWgjbB0gVlqn-q5LMJbGIsqOrzru4yowQz67dz2yc"", ""'GAR'!BI3:BI139""),MATCH(D35,IMPORTRANGE(""1y0FWgjbB0gVlqn-q5LMJbGIsqOrzru4yowQz67dz2yc"", ""'GAR'!D3:D139""),0))"),207597)</f>
        <v>207597</v>
      </c>
      <c r="AA35" s="1"/>
      <c r="AB35" s="1"/>
      <c r="AC35" s="1"/>
    </row>
    <row r="36" spans="1:29">
      <c r="A36" s="148" t="s">
        <v>119</v>
      </c>
      <c r="B36" s="148" t="s">
        <v>120</v>
      </c>
      <c r="C36" s="148" t="s">
        <v>30</v>
      </c>
      <c r="D36" s="148" t="s">
        <v>123</v>
      </c>
      <c r="E36" s="1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12">
        <v>0</v>
      </c>
      <c r="R36" s="1"/>
      <c r="S36" s="1"/>
      <c r="T36" s="1"/>
      <c r="U36" s="1"/>
      <c r="V36" s="1"/>
      <c r="W36" s="2"/>
      <c r="X36" s="12">
        <v>0</v>
      </c>
      <c r="Y36" s="2">
        <f ca="1">IFERROR(__xludf.DUMMYFUNCTION("INDEX(IMPORTRANGE(""1y0FWgjbB0gVlqn-q5LMJbGIsqOrzru4yowQz67dz2yc"", ""'GAR'!BH3:BH139""),MATCH(D36,IMPORTRANGE(""1y0FWgjbB0gVlqn-q5LMJbGIsqOrzru4yowQz67dz2yc"", ""'GAR'!D3:D139""),0))"),0)</f>
        <v>0</v>
      </c>
      <c r="Z36" s="2">
        <f ca="1">IFERROR(__xludf.DUMMYFUNCTION("INDEX(IMPORTRANGE(""1y0FWgjbB0gVlqn-q5LMJbGIsqOrzru4yowQz67dz2yc"", ""'GAR'!BI3:BI139""),MATCH(D36,IMPORTRANGE(""1y0FWgjbB0gVlqn-q5LMJbGIsqOrzru4yowQz67dz2yc"", ""'GAR'!D3:D139""),0))"),0)</f>
        <v>0</v>
      </c>
      <c r="AA36" s="1"/>
      <c r="AB36" s="1"/>
      <c r="AC36" s="1"/>
    </row>
    <row r="37" spans="1:29">
      <c r="A37" s="148" t="s">
        <v>119</v>
      </c>
      <c r="B37" s="148" t="s">
        <v>120</v>
      </c>
      <c r="C37" s="148" t="s">
        <v>36</v>
      </c>
      <c r="D37" s="148" t="s">
        <v>125</v>
      </c>
      <c r="E37" s="2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9">P36/P35</f>
        <v>0</v>
      </c>
      <c r="Q37" s="15">
        <f t="shared" si="9"/>
        <v>0</v>
      </c>
      <c r="R37" s="2" t="s">
        <v>419</v>
      </c>
      <c r="S37" s="2" t="s">
        <v>419</v>
      </c>
      <c r="T37" s="2" t="s">
        <v>419</v>
      </c>
      <c r="U37" s="2" t="s">
        <v>419</v>
      </c>
      <c r="V37" s="2" t="s">
        <v>419</v>
      </c>
      <c r="W37" s="2" t="s">
        <v>419</v>
      </c>
      <c r="X37" s="15">
        <f>X36/X35</f>
        <v>0</v>
      </c>
      <c r="Y37" s="15" t="str">
        <f ca="1">IFERROR(__xludf.DUMMYFUNCTION("INDEX(IMPORTRANGE(""1y0FWgjbB0gVlqn-q5LMJbGIsqOrzru4yowQz67dz2yc"", ""'GAR'!BH3:BH139""),MATCH(D37,IMPORTRANGE(""1y0FWgjbB0gVlqn-q5LMJbGIsqOrzru4yowQz67dz2yc"", ""'GAR'!D3:D139""),0))"),"")</f>
        <v/>
      </c>
      <c r="Z37" s="15">
        <f ca="1">IFERROR(__xludf.DUMMYFUNCTION("INDEX(IMPORTRANGE(""1y0FWgjbB0gVlqn-q5LMJbGIsqOrzru4yowQz67dz2yc"", ""'GAR'!BI3:BI139""),MATCH(D37,IMPORTRANGE(""1y0FWgjbB0gVlqn-q5LMJbGIsqOrzru4yowQz67dz2yc"", ""'GAR'!D3:D139""),0))"),0)</f>
        <v>0</v>
      </c>
      <c r="AA37" s="2"/>
      <c r="AB37" s="2"/>
      <c r="AC37" s="2"/>
    </row>
    <row r="38" spans="1:29">
      <c r="A38" s="151" t="s">
        <v>119</v>
      </c>
      <c r="B38" s="151" t="s">
        <v>120</v>
      </c>
      <c r="C38" s="151" t="s">
        <v>30</v>
      </c>
      <c r="D38" s="151" t="s">
        <v>330</v>
      </c>
      <c r="E38" s="155" t="s">
        <v>38</v>
      </c>
      <c r="F38" s="22" t="s">
        <v>176</v>
      </c>
      <c r="G38" s="22" t="s">
        <v>56</v>
      </c>
      <c r="H38" s="22" t="s">
        <v>57</v>
      </c>
      <c r="I38" s="21" t="s">
        <v>58</v>
      </c>
      <c r="J38" s="21" t="s">
        <v>59</v>
      </c>
      <c r="K38" s="21" t="s">
        <v>60</v>
      </c>
      <c r="L38" s="21" t="s">
        <v>61</v>
      </c>
      <c r="M38" s="21" t="s">
        <v>62</v>
      </c>
      <c r="N38" s="21" t="s">
        <v>63</v>
      </c>
      <c r="O38" s="21" t="s">
        <v>63</v>
      </c>
      <c r="P38" s="12"/>
      <c r="Q38" s="12"/>
      <c r="R38" s="1"/>
      <c r="S38" s="1"/>
      <c r="T38" s="1"/>
      <c r="U38" s="1"/>
      <c r="V38" s="1"/>
      <c r="W38" s="2"/>
      <c r="X38" s="12"/>
      <c r="Y38" s="2"/>
      <c r="Z38" s="12">
        <f ca="1">IFERROR(__xludf.DUMMYFUNCTION("INDEX(IMPORTRANGE(""1y0FWgjbB0gVlqn-q5LMJbGIsqOrzru4yowQz67dz2yc"", ""'GAR'!BI3:BI139""),MATCH(D38,IMPORTRANGE(""1y0FWgjbB0gVlqn-q5LMJbGIsqOrzru4yowQz67dz2yc"", ""'GAR'!D3:D139""),0))"),0)</f>
        <v>0</v>
      </c>
      <c r="AA38" s="1"/>
      <c r="AB38" s="1"/>
      <c r="AC38" s="1"/>
    </row>
    <row r="39" spans="1:29">
      <c r="A39" s="151" t="s">
        <v>119</v>
      </c>
      <c r="B39" s="151" t="s">
        <v>120</v>
      </c>
      <c r="C39" s="151" t="s">
        <v>30</v>
      </c>
      <c r="D39" s="151" t="s">
        <v>331</v>
      </c>
      <c r="E39" s="155" t="s">
        <v>38</v>
      </c>
      <c r="F39" s="22" t="s">
        <v>332</v>
      </c>
      <c r="G39" s="22" t="s">
        <v>56</v>
      </c>
      <c r="H39" s="22" t="s">
        <v>57</v>
      </c>
      <c r="I39" s="21" t="s">
        <v>58</v>
      </c>
      <c r="J39" s="21" t="s">
        <v>59</v>
      </c>
      <c r="K39" s="21" t="s">
        <v>60</v>
      </c>
      <c r="L39" s="21" t="s">
        <v>61</v>
      </c>
      <c r="M39" s="21" t="s">
        <v>62</v>
      </c>
      <c r="N39" s="21" t="s">
        <v>63</v>
      </c>
      <c r="O39" s="21" t="s">
        <v>63</v>
      </c>
      <c r="P39" s="12"/>
      <c r="Q39" s="12"/>
      <c r="R39" s="1"/>
      <c r="S39" s="1"/>
      <c r="T39" s="1"/>
      <c r="U39" s="1"/>
      <c r="V39" s="1"/>
      <c r="W39" s="2"/>
      <c r="X39" s="12"/>
      <c r="Y39" s="2"/>
      <c r="Z39" s="12">
        <f ca="1">IFERROR(__xludf.DUMMYFUNCTION("INDEX(IMPORTRANGE(""1y0FWgjbB0gVlqn-q5LMJbGIsqOrzru4yowQz67dz2yc"", ""'GAR'!BI3:BI139""),MATCH(D39,IMPORTRANGE(""1y0FWgjbB0gVlqn-q5LMJbGIsqOrzru4yowQz67dz2yc"", ""'GAR'!D3:D139""),0))"),60375.3)</f>
        <v>60375.3</v>
      </c>
      <c r="AA39" s="1"/>
      <c r="AB39" s="1"/>
      <c r="AC39" s="1"/>
    </row>
    <row r="40" spans="1:29">
      <c r="A40" s="151" t="s">
        <v>119</v>
      </c>
      <c r="B40" s="151" t="s">
        <v>120</v>
      </c>
      <c r="C40" s="151" t="s">
        <v>36</v>
      </c>
      <c r="D40" s="151" t="s">
        <v>333</v>
      </c>
      <c r="E40" s="21" t="s">
        <v>38</v>
      </c>
      <c r="F40" s="22" t="s">
        <v>334</v>
      </c>
      <c r="G40" s="22" t="s">
        <v>56</v>
      </c>
      <c r="H40" s="22" t="s">
        <v>57</v>
      </c>
      <c r="I40" s="21" t="s">
        <v>58</v>
      </c>
      <c r="J40" s="21" t="s">
        <v>59</v>
      </c>
      <c r="K40" s="21" t="s">
        <v>60</v>
      </c>
      <c r="L40" s="21" t="s">
        <v>61</v>
      </c>
      <c r="M40" s="21" t="s">
        <v>62</v>
      </c>
      <c r="N40" s="21" t="s">
        <v>63</v>
      </c>
      <c r="O40" s="21" t="s">
        <v>63</v>
      </c>
      <c r="P40" s="12"/>
      <c r="Q40" s="12"/>
      <c r="R40" s="2"/>
      <c r="S40" s="2" t="s">
        <v>419</v>
      </c>
      <c r="T40" s="2" t="s">
        <v>419</v>
      </c>
      <c r="U40" s="2" t="s">
        <v>419</v>
      </c>
      <c r="V40" s="2" t="s">
        <v>419</v>
      </c>
      <c r="W40" s="2" t="s">
        <v>419</v>
      </c>
      <c r="X40" s="12"/>
      <c r="Y40" s="2"/>
      <c r="Z40" s="15">
        <f ca="1">IFERROR(__xludf.DUMMYFUNCTION("INDEX(IMPORTRANGE(""1y0FWgjbB0gVlqn-q5LMJbGIsqOrzru4yowQz67dz2yc"", ""'GAR'!BI3:BI139""),MATCH(D40,IMPORTRANGE(""1y0FWgjbB0gVlqn-q5LMJbGIsqOrzru4yowQz67dz2yc"", ""'GAR'!D3:D139""),0))"),0)</f>
        <v>0</v>
      </c>
      <c r="AA40" s="2"/>
      <c r="AB40" s="2"/>
      <c r="AC40" s="2"/>
    </row>
    <row r="41" spans="1:29">
      <c r="A41" s="149" t="s">
        <v>119</v>
      </c>
      <c r="B41" s="149" t="s">
        <v>127</v>
      </c>
      <c r="C41" s="149" t="s">
        <v>36</v>
      </c>
      <c r="D41" s="149" t="s">
        <v>128</v>
      </c>
      <c r="E41" s="9" t="s">
        <v>38</v>
      </c>
      <c r="F41" s="9" t="s">
        <v>129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335</v>
      </c>
      <c r="L41" s="22" t="s">
        <v>336</v>
      </c>
      <c r="M41" s="22" t="s">
        <v>337</v>
      </c>
      <c r="N41" s="262" t="s">
        <v>132</v>
      </c>
      <c r="O41" s="262" t="s">
        <v>132</v>
      </c>
      <c r="P41" s="12">
        <v>0</v>
      </c>
      <c r="Q41" s="12">
        <v>0</v>
      </c>
      <c r="R41" s="2">
        <v>1</v>
      </c>
      <c r="S41" s="2">
        <v>2</v>
      </c>
      <c r="T41" s="2">
        <v>2</v>
      </c>
      <c r="U41" s="2">
        <v>3</v>
      </c>
      <c r="V41" s="2">
        <v>3</v>
      </c>
      <c r="W41" s="2">
        <v>3</v>
      </c>
      <c r="X41" s="12">
        <v>0</v>
      </c>
      <c r="Y41" s="2">
        <f ca="1">IFERROR(__xludf.DUMMYFUNCTION("INDEX(IMPORTRANGE(""1y0FWgjbB0gVlqn-q5LMJbGIsqOrzru4yowQz67dz2yc"", ""'GAR'!BH3:BH139""),MATCH(D41,IMPORTRANGE(""1y0FWgjbB0gVlqn-q5LMJbGIsqOrzru4yowQz67dz2yc"", ""'GAR'!D3:D139""),0))"),0)</f>
        <v>0</v>
      </c>
      <c r="Z41" s="12">
        <f ca="1">IFERROR(__xludf.DUMMYFUNCTION("INDEX(IMPORTRANGE(""1y0FWgjbB0gVlqn-q5LMJbGIsqOrzru4yowQz67dz2yc"", ""'GAR'!BI3:BI139""),MATCH(D41,IMPORTRANGE(""1y0FWgjbB0gVlqn-q5LMJbGIsqOrzru4yowQz67dz2yc"", ""'GAR'!D3:D139""),0))"),0)</f>
        <v>0</v>
      </c>
      <c r="AA41" s="2"/>
      <c r="AB41" s="2"/>
      <c r="AC41" s="2"/>
    </row>
    <row r="42" spans="1:29">
      <c r="A42" s="149" t="s">
        <v>119</v>
      </c>
      <c r="B42" s="149" t="s">
        <v>133</v>
      </c>
      <c r="C42" s="149" t="s">
        <v>36</v>
      </c>
      <c r="D42" s="149" t="s">
        <v>134</v>
      </c>
      <c r="E42" s="9" t="s">
        <v>38</v>
      </c>
      <c r="F42" s="9" t="s">
        <v>135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335</v>
      </c>
      <c r="L42" s="22" t="s">
        <v>336</v>
      </c>
      <c r="M42" s="22" t="s">
        <v>337</v>
      </c>
      <c r="N42" s="262" t="s">
        <v>132</v>
      </c>
      <c r="O42" s="262" t="s">
        <v>132</v>
      </c>
      <c r="P42" s="12">
        <v>230</v>
      </c>
      <c r="Q42" s="12">
        <v>440</v>
      </c>
      <c r="R42" s="21">
        <v>1000</v>
      </c>
      <c r="S42" s="21">
        <f t="shared" ref="S42:T42" si="10">R42+500</f>
        <v>1500</v>
      </c>
      <c r="T42" s="21">
        <f t="shared" si="10"/>
        <v>2000</v>
      </c>
      <c r="U42" s="21">
        <f t="shared" ref="U42:V42" si="11">500+T42</f>
        <v>2500</v>
      </c>
      <c r="V42" s="21">
        <f t="shared" si="11"/>
        <v>3000</v>
      </c>
      <c r="W42" s="2">
        <v>3000</v>
      </c>
      <c r="X42" s="12">
        <v>779</v>
      </c>
      <c r="Y42" s="12">
        <f ca="1">IFERROR(__xludf.DUMMYFUNCTION("INDEX(IMPORTRANGE(""1y0FWgjbB0gVlqn-q5LMJbGIsqOrzru4yowQz67dz2yc"", ""'GAR'!BH3:BH139""),MATCH(D42,IMPORTRANGE(""1y0FWgjbB0gVlqn-q5LMJbGIsqOrzru4yowQz67dz2yc"", ""'GAR'!D3:D139""),0))"),922)</f>
        <v>922</v>
      </c>
      <c r="Z42" s="12">
        <f ca="1">IFERROR(__xludf.DUMMYFUNCTION("INDEX(IMPORTRANGE(""1y0FWgjbB0gVlqn-q5LMJbGIsqOrzru4yowQz67dz2yc"", ""'GAR'!BI3:BI139""),MATCH(D42,IMPORTRANGE(""1y0FWgjbB0gVlqn-q5LMJbGIsqOrzru4yowQz67dz2yc"", ""'GAR'!D3:D139""),0))"),1167)</f>
        <v>1167</v>
      </c>
      <c r="AA42" s="2"/>
      <c r="AB42" s="2"/>
      <c r="AC42" s="2"/>
    </row>
    <row r="43" spans="1:29">
      <c r="A43" s="151" t="s">
        <v>119</v>
      </c>
      <c r="B43" s="151" t="s">
        <v>136</v>
      </c>
      <c r="C43" s="151" t="s">
        <v>30</v>
      </c>
      <c r="D43" s="151" t="s">
        <v>137</v>
      </c>
      <c r="E43" s="155" t="s">
        <v>38</v>
      </c>
      <c r="F43" s="22" t="s">
        <v>138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3</v>
      </c>
      <c r="Q43" s="12">
        <v>6</v>
      </c>
      <c r="R43" s="1"/>
      <c r="S43" s="1"/>
      <c r="T43" s="1"/>
      <c r="U43" s="1"/>
      <c r="V43" s="1"/>
      <c r="W43" s="2">
        <v>9</v>
      </c>
      <c r="X43" s="12">
        <v>3</v>
      </c>
      <c r="Y43" s="2">
        <f ca="1">IFERROR(__xludf.DUMMYFUNCTION("INDEX(IMPORTRANGE(""1y0FWgjbB0gVlqn-q5LMJbGIsqOrzru4yowQz67dz2yc"", ""'GAR'!BH3:BH139""),MATCH(D43,IMPORTRANGE(""1y0FWgjbB0gVlqn-q5LMJbGIsqOrzru4yowQz67dz2yc"", ""'GAR'!D3:D139""),0))"),6)</f>
        <v>6</v>
      </c>
      <c r="Z43" s="2">
        <f ca="1">IFERROR(__xludf.DUMMYFUNCTION("INDEX(IMPORTRANGE(""1y0FWgjbB0gVlqn-q5LMJbGIsqOrzru4yowQz67dz2yc"", ""'GAR'!BI3:BI139""),MATCH(D43,IMPORTRANGE(""1y0FWgjbB0gVlqn-q5LMJbGIsqOrzru4yowQz67dz2yc"", ""'GAR'!D3:D139""),0))"),1)</f>
        <v>1</v>
      </c>
      <c r="AA43" s="1"/>
      <c r="AB43" s="1"/>
      <c r="AC43" s="1"/>
    </row>
    <row r="44" spans="1:29">
      <c r="A44" s="151" t="s">
        <v>119</v>
      </c>
      <c r="B44" s="151" t="s">
        <v>136</v>
      </c>
      <c r="C44" s="151" t="s">
        <v>30</v>
      </c>
      <c r="D44" s="151" t="s">
        <v>139</v>
      </c>
      <c r="E44" s="155" t="s">
        <v>38</v>
      </c>
      <c r="F44" s="22" t="s">
        <v>140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/>
      <c r="Q44" s="12"/>
      <c r="R44" s="1"/>
      <c r="S44" s="1"/>
      <c r="T44" s="1"/>
      <c r="U44" s="1"/>
      <c r="V44" s="1"/>
      <c r="W44" s="2"/>
      <c r="X44" s="12"/>
      <c r="Y44" s="2">
        <f ca="1">IFERROR(__xludf.DUMMYFUNCTION("INDEX(IMPORTRANGE(""1y0FWgjbB0gVlqn-q5LMJbGIsqOrzru4yowQz67dz2yc"", ""'GAR'!BH3:BH139""),MATCH(D44,IMPORTRANGE(""1y0FWgjbB0gVlqn-q5LMJbGIsqOrzru4yowQz67dz2yc"", ""'GAR'!D3:D139""),0))"),0)</f>
        <v>0</v>
      </c>
      <c r="Z44" s="2">
        <f ca="1">IFERROR(__xludf.DUMMYFUNCTION("INDEX(IMPORTRANGE(""1y0FWgjbB0gVlqn-q5LMJbGIsqOrzru4yowQz67dz2yc"", ""'GAR'!BI3:BI139""),MATCH(D44,IMPORTRANGE(""1y0FWgjbB0gVlqn-q5LMJbGIsqOrzru4yowQz67dz2yc"", ""'GAR'!D3:D139""),0))"),0)</f>
        <v>0</v>
      </c>
      <c r="AA44" s="1"/>
      <c r="AB44" s="1"/>
      <c r="AC44" s="1"/>
    </row>
    <row r="45" spans="1:29">
      <c r="A45" s="151" t="s">
        <v>119</v>
      </c>
      <c r="B45" s="151" t="s">
        <v>136</v>
      </c>
      <c r="C45" s="151" t="s">
        <v>30</v>
      </c>
      <c r="D45" s="151" t="s">
        <v>141</v>
      </c>
      <c r="E45" s="155" t="s">
        <v>38</v>
      </c>
      <c r="F45" s="22" t="s">
        <v>142</v>
      </c>
      <c r="G45" s="2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6</v>
      </c>
      <c r="Q45" s="12">
        <v>19</v>
      </c>
      <c r="R45" s="1"/>
      <c r="S45" s="1"/>
      <c r="T45" s="1"/>
      <c r="U45" s="1"/>
      <c r="V45" s="1"/>
      <c r="W45" s="2">
        <v>40</v>
      </c>
      <c r="X45" s="12">
        <v>6</v>
      </c>
      <c r="Y45" s="2">
        <f ca="1">IFERROR(__xludf.DUMMYFUNCTION("INDEX(IMPORTRANGE(""1y0FWgjbB0gVlqn-q5LMJbGIsqOrzru4yowQz67dz2yc"", ""'GAR'!BH3:BH139""),MATCH(D45,IMPORTRANGE(""1y0FWgjbB0gVlqn-q5LMJbGIsqOrzru4yowQz67dz2yc"", ""'GAR'!D3:D139""),0))"),19)</f>
        <v>19</v>
      </c>
      <c r="Z45" s="2">
        <f ca="1">IFERROR(__xludf.DUMMYFUNCTION("INDEX(IMPORTRANGE(""1y0FWgjbB0gVlqn-q5LMJbGIsqOrzru4yowQz67dz2yc"", ""'GAR'!BI3:BI139""),MATCH(D45,IMPORTRANGE(""1y0FWgjbB0gVlqn-q5LMJbGIsqOrzru4yowQz67dz2yc"", ""'GAR'!D3:D139""),0))"),0)</f>
        <v>0</v>
      </c>
      <c r="AA45" s="1"/>
      <c r="AB45" s="1"/>
      <c r="AC45" s="1"/>
    </row>
    <row r="46" spans="1:29">
      <c r="A46" s="151" t="s">
        <v>119</v>
      </c>
      <c r="B46" s="151" t="s">
        <v>136</v>
      </c>
      <c r="C46" s="151" t="s">
        <v>30</v>
      </c>
      <c r="D46" s="151" t="s">
        <v>143</v>
      </c>
      <c r="E46" s="155" t="s">
        <v>38</v>
      </c>
      <c r="F46" s="22" t="s">
        <v>144</v>
      </c>
      <c r="G46" s="2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12"/>
      <c r="R46" s="13"/>
      <c r="S46" s="13"/>
      <c r="T46" s="13"/>
      <c r="U46" s="13"/>
      <c r="V46" s="13"/>
      <c r="W46" s="4"/>
      <c r="X46" s="12"/>
      <c r="Y46" s="2">
        <f ca="1">IFERROR(__xludf.DUMMYFUNCTION("INDEX(IMPORTRANGE(""1y0FWgjbB0gVlqn-q5LMJbGIsqOrzru4yowQz67dz2yc"", ""'GAR'!BH3:BH139""),MATCH(D46,IMPORTRANGE(""1y0FWgjbB0gVlqn-q5LMJbGIsqOrzru4yowQz67dz2yc"", ""'GAR'!D3:D139""),0))"),0)</f>
        <v>0</v>
      </c>
      <c r="Z46" s="2">
        <f ca="1">IFERROR(__xludf.DUMMYFUNCTION("INDEX(IMPORTRANGE(""1y0FWgjbB0gVlqn-q5LMJbGIsqOrzru4yowQz67dz2yc"", ""'GAR'!BI3:BI139""),MATCH(D46,IMPORTRANGE(""1y0FWgjbB0gVlqn-q5LMJbGIsqOrzru4yowQz67dz2yc"", ""'GAR'!D3:D139""),0))"),0)</f>
        <v>0</v>
      </c>
      <c r="AA46" s="1"/>
      <c r="AB46" s="1"/>
      <c r="AC46" s="1"/>
    </row>
    <row r="47" spans="1:29">
      <c r="A47" s="151" t="s">
        <v>119</v>
      </c>
      <c r="B47" s="151" t="s">
        <v>136</v>
      </c>
      <c r="C47" s="151" t="s">
        <v>36</v>
      </c>
      <c r="D47" s="151" t="s">
        <v>145</v>
      </c>
      <c r="E47" s="21" t="s">
        <v>38</v>
      </c>
      <c r="F47" s="22" t="s">
        <v>146</v>
      </c>
      <c r="G47" s="2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f t="shared" ref="P47:Q47" si="12">P43+P45</f>
        <v>9</v>
      </c>
      <c r="Q47" s="12">
        <f t="shared" si="12"/>
        <v>25</v>
      </c>
      <c r="R47" s="4">
        <v>16</v>
      </c>
      <c r="S47" s="4">
        <f>R47+8</f>
        <v>24</v>
      </c>
      <c r="T47" s="4">
        <f>17-8+S47</f>
        <v>33</v>
      </c>
      <c r="U47" s="4">
        <f t="shared" ref="U47:V47" si="13">T47+8</f>
        <v>41</v>
      </c>
      <c r="V47" s="4">
        <f t="shared" si="13"/>
        <v>49</v>
      </c>
      <c r="W47" s="4">
        <v>49</v>
      </c>
      <c r="X47" s="12">
        <f>X43+X45</f>
        <v>9</v>
      </c>
      <c r="Y47" s="2">
        <f ca="1">IFERROR(__xludf.DUMMYFUNCTION("INDEX(IMPORTRANGE(""1y0FWgjbB0gVlqn-q5LMJbGIsqOrzru4yowQz67dz2yc"", ""'GAR'!BH3:BH139""),MATCH(D47,IMPORTRANGE(""1y0FWgjbB0gVlqn-q5LMJbGIsqOrzru4yowQz67dz2yc"", ""'GAR'!D3:D139""),0))"),25)</f>
        <v>25</v>
      </c>
      <c r="Z47" s="2">
        <f ca="1">IFERROR(__xludf.DUMMYFUNCTION("INDEX(IMPORTRANGE(""1y0FWgjbB0gVlqn-q5LMJbGIsqOrzru4yowQz67dz2yc"", ""'GAR'!BI3:BI139""),MATCH(D47,IMPORTRANGE(""1y0FWgjbB0gVlqn-q5LMJbGIsqOrzru4yowQz67dz2yc"", ""'GAR'!D3:D139""),0))"),1)</f>
        <v>1</v>
      </c>
      <c r="AA47" s="2"/>
      <c r="AB47" s="2"/>
      <c r="AC47" s="2"/>
    </row>
    <row r="48" spans="1:29">
      <c r="A48" s="149" t="s">
        <v>147</v>
      </c>
      <c r="B48" s="149" t="s">
        <v>148</v>
      </c>
      <c r="C48" s="149" t="s">
        <v>30</v>
      </c>
      <c r="D48" s="149" t="s">
        <v>149</v>
      </c>
      <c r="E48" s="7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150</v>
      </c>
      <c r="Q48" s="2" t="s">
        <v>150</v>
      </c>
      <c r="R48" s="156" t="s">
        <v>151</v>
      </c>
      <c r="S48" s="156" t="s">
        <v>151</v>
      </c>
      <c r="T48" s="156" t="s">
        <v>151</v>
      </c>
      <c r="U48" s="156" t="s">
        <v>151</v>
      </c>
      <c r="V48" s="156" t="s">
        <v>151</v>
      </c>
      <c r="W48" s="156" t="s">
        <v>151</v>
      </c>
      <c r="X48" s="2" t="s">
        <v>150</v>
      </c>
      <c r="Y48" s="2" t="str">
        <f ca="1">IFERROR(__xludf.DUMMYFUNCTION("INDEX(IMPORTRANGE(""1y0FWgjbB0gVlqn-q5LMJbGIsqOrzru4yowQz67dz2yc"", ""'GAR'!BH3:BH139""),MATCH(D48,IMPORTRANGE(""1y0FWgjbB0gVlqn-q5LMJbGIsqOrzru4yowQz67dz2yc"", ""'GAR'!D3:D139""),0))"),"No")</f>
        <v>No</v>
      </c>
      <c r="Z48" s="2" t="str">
        <f ca="1">IFERROR(__xludf.DUMMYFUNCTION("INDEX(IMPORTRANGE(""1y0FWgjbB0gVlqn-q5LMJbGIsqOrzru4yowQz67dz2yc"", ""'GAR'!BI3:BI139""),MATCH(D48,IMPORTRANGE(""1y0FWgjbB0gVlqn-q5LMJbGIsqOrzru4yowQz67dz2yc"", ""'GAR'!D3:D139""),0))"),"Sí")</f>
        <v>Sí</v>
      </c>
      <c r="AA48" s="1"/>
      <c r="AB48" s="1"/>
      <c r="AC48" s="1"/>
    </row>
    <row r="49" spans="1:29">
      <c r="A49" s="149" t="s">
        <v>147</v>
      </c>
      <c r="B49" s="149" t="s">
        <v>148</v>
      </c>
      <c r="C49" s="149" t="s">
        <v>30</v>
      </c>
      <c r="D49" s="149" t="s">
        <v>152</v>
      </c>
      <c r="E49" s="7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150</v>
      </c>
      <c r="Q49" s="2" t="s">
        <v>150</v>
      </c>
      <c r="R49" s="156" t="s">
        <v>151</v>
      </c>
      <c r="S49" s="156" t="s">
        <v>151</v>
      </c>
      <c r="T49" s="156" t="s">
        <v>151</v>
      </c>
      <c r="U49" s="156" t="s">
        <v>151</v>
      </c>
      <c r="V49" s="156" t="s">
        <v>151</v>
      </c>
      <c r="W49" s="156" t="s">
        <v>151</v>
      </c>
      <c r="X49" s="2" t="s">
        <v>150</v>
      </c>
      <c r="Y49" s="2" t="str">
        <f ca="1">IFERROR(__xludf.DUMMYFUNCTION("INDEX(IMPORTRANGE(""1y0FWgjbB0gVlqn-q5LMJbGIsqOrzru4yowQz67dz2yc"", ""'GAR'!BH3:BH139""),MATCH(D49,IMPORTRANGE(""1y0FWgjbB0gVlqn-q5LMJbGIsqOrzru4yowQz67dz2yc"", ""'GAR'!D3:D139""),0))"),"No")</f>
        <v>No</v>
      </c>
      <c r="Z49" s="2" t="str">
        <f ca="1">IFERROR(__xludf.DUMMYFUNCTION("INDEX(IMPORTRANGE(""1y0FWgjbB0gVlqn-q5LMJbGIsqOrzru4yowQz67dz2yc"", ""'GAR'!BI3:BI139""),MATCH(D49,IMPORTRANGE(""1y0FWgjbB0gVlqn-q5LMJbGIsqOrzru4yowQz67dz2yc"", ""'GAR'!D3:D139""),0))"),"No")</f>
        <v>No</v>
      </c>
      <c r="AA49" s="1"/>
      <c r="AB49" s="1"/>
      <c r="AC49" s="1"/>
    </row>
    <row r="50" spans="1:29">
      <c r="A50" s="149" t="s">
        <v>147</v>
      </c>
      <c r="B50" s="149" t="s">
        <v>148</v>
      </c>
      <c r="C50" s="149" t="s">
        <v>30</v>
      </c>
      <c r="D50" s="149" t="s">
        <v>154</v>
      </c>
      <c r="E50" s="7" t="s">
        <v>38</v>
      </c>
      <c r="F50" s="9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2" t="s">
        <v>150</v>
      </c>
      <c r="R50" s="2" t="s">
        <v>155</v>
      </c>
      <c r="S50" s="1" t="s">
        <v>155</v>
      </c>
      <c r="T50" s="1" t="s">
        <v>155</v>
      </c>
      <c r="U50" s="1" t="s">
        <v>155</v>
      </c>
      <c r="V50" s="1" t="s">
        <v>155</v>
      </c>
      <c r="W50" s="2" t="s">
        <v>155</v>
      </c>
      <c r="X50" s="2" t="s">
        <v>150</v>
      </c>
      <c r="Y50" s="2" t="str">
        <f ca="1">IFERROR(__xludf.DUMMYFUNCTION("INDEX(IMPORTRANGE(""1y0FWgjbB0gVlqn-q5LMJbGIsqOrzru4yowQz67dz2yc"", ""'GAR'!BH3:BH139""),MATCH(D50,IMPORTRANGE(""1y0FWgjbB0gVlqn-q5LMJbGIsqOrzru4yowQz67dz2yc"", ""'GAR'!D3:D139""),0))"),"No Existe")</f>
        <v>No Existe</v>
      </c>
      <c r="Z50" s="2" t="str">
        <f ca="1">IFERROR(__xludf.DUMMYFUNCTION("INDEX(IMPORTRANGE(""1y0FWgjbB0gVlqn-q5LMJbGIsqOrzru4yowQz67dz2yc"", ""'GAR'!BI3:BI139""),MATCH(D50,IMPORTRANGE(""1y0FWgjbB0gVlqn-q5LMJbGIsqOrzru4yowQz67dz2yc"", ""'GAR'!D3:D139""),0))"),"No")</f>
        <v>No</v>
      </c>
      <c r="AA50" s="1"/>
      <c r="AB50" s="1"/>
      <c r="AC50" s="1"/>
    </row>
    <row r="51" spans="1:29">
      <c r="A51" s="149" t="s">
        <v>147</v>
      </c>
      <c r="B51" s="149" t="s">
        <v>148</v>
      </c>
      <c r="C51" s="149" t="s">
        <v>36</v>
      </c>
      <c r="D51" s="149" t="s">
        <v>156</v>
      </c>
      <c r="E51" s="9" t="s">
        <v>38</v>
      </c>
      <c r="F51" s="9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f t="shared" ref="P51:Q51" si="14">COUNTIF(P48:P50,"Sí")*(1/3)</f>
        <v>0</v>
      </c>
      <c r="Q51" s="12">
        <f t="shared" si="14"/>
        <v>0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12">
        <f>COUNTIF(X48:X50,"Sí")*(1/3)</f>
        <v>0</v>
      </c>
      <c r="Y51" s="2">
        <f ca="1">IFERROR(__xludf.DUMMYFUNCTION("INDEX(IMPORTRANGE(""1y0FWgjbB0gVlqn-q5LMJbGIsqOrzru4yowQz67dz2yc"", ""'GAR'!BH3:BH139""),MATCH(D51,IMPORTRANGE(""1y0FWgjbB0gVlqn-q5LMJbGIsqOrzru4yowQz67dz2yc"", ""'GAR'!D3:D139""),0))"),0)</f>
        <v>0</v>
      </c>
      <c r="Z51" s="2">
        <f ca="1">IFERROR(__xludf.DUMMYFUNCTION("INDEX(IMPORTRANGE(""1y0FWgjbB0gVlqn-q5LMJbGIsqOrzru4yowQz67dz2yc"", ""'GAR'!BI3:BI139""),MATCH(D51,IMPORTRANGE(""1y0FWgjbB0gVlqn-q5LMJbGIsqOrzru4yowQz67dz2yc"", ""'GAR'!D3:D139""),0))"),0.333333333333333)</f>
        <v>0.33333333333333298</v>
      </c>
      <c r="AA51" s="2"/>
      <c r="AB51" s="2"/>
      <c r="AC51" s="2"/>
    </row>
    <row r="52" spans="1:29">
      <c r="A52" s="149" t="s">
        <v>147</v>
      </c>
      <c r="B52" s="149" t="s">
        <v>148</v>
      </c>
      <c r="C52" s="149" t="s">
        <v>36</v>
      </c>
      <c r="D52" s="149" t="s">
        <v>158</v>
      </c>
      <c r="E52" s="9" t="s">
        <v>38</v>
      </c>
      <c r="F52" s="9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0</v>
      </c>
      <c r="Q52" s="12">
        <v>0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12">
        <v>0</v>
      </c>
      <c r="Y52" s="2">
        <f ca="1">IFERROR(__xludf.DUMMYFUNCTION("INDEX(IMPORTRANGE(""1y0FWgjbB0gVlqn-q5LMJbGIsqOrzru4yowQz67dz2yc"", ""'GAR'!BH3:BH139""),MATCH(D52,IMPORTRANGE(""1y0FWgjbB0gVlqn-q5LMJbGIsqOrzru4yowQz67dz2yc"", ""'GAR'!D3:D139""),0))"),0)</f>
        <v>0</v>
      </c>
      <c r="Z52" s="2">
        <f ca="1">IFERROR(__xludf.DUMMYFUNCTION("INDEX(IMPORTRANGE(""1y0FWgjbB0gVlqn-q5LMJbGIsqOrzru4yowQz67dz2yc"", ""'GAR'!BI3:BI139""),MATCH(D52,IMPORTRANGE(""1y0FWgjbB0gVlqn-q5LMJbGIsqOrzru4yowQz67dz2yc"", ""'GAR'!D3:D139""),0))"),0)</f>
        <v>0</v>
      </c>
      <c r="AA52" s="2"/>
      <c r="AB52" s="2"/>
      <c r="AC52" s="2"/>
    </row>
    <row r="53" spans="1:29">
      <c r="A53" s="149" t="s">
        <v>147</v>
      </c>
      <c r="B53" s="149" t="s">
        <v>148</v>
      </c>
      <c r="C53" s="149" t="s">
        <v>30</v>
      </c>
      <c r="D53" s="149" t="s">
        <v>162</v>
      </c>
      <c r="E53" s="7" t="s">
        <v>38</v>
      </c>
      <c r="F53" s="9" t="s">
        <v>163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0</v>
      </c>
      <c r="Q53" s="12">
        <v>0</v>
      </c>
      <c r="R53" s="13"/>
      <c r="S53" s="13"/>
      <c r="T53" s="13"/>
      <c r="U53" s="13"/>
      <c r="V53" s="13"/>
      <c r="W53" s="4"/>
      <c r="X53" s="12">
        <v>0</v>
      </c>
      <c r="Y53" s="2">
        <f ca="1">IFERROR(__xludf.DUMMYFUNCTION("INDEX(IMPORTRANGE(""1y0FWgjbB0gVlqn-q5LMJbGIsqOrzru4yowQz67dz2yc"", ""'GAR'!BH3:BH139""),MATCH(D53,IMPORTRANGE(""1y0FWgjbB0gVlqn-q5LMJbGIsqOrzru4yowQz67dz2yc"", ""'GAR'!D3:D139""),0))"),0)</f>
        <v>0</v>
      </c>
      <c r="Z53" s="2">
        <f ca="1">IFERROR(__xludf.DUMMYFUNCTION("INDEX(IMPORTRANGE(""1y0FWgjbB0gVlqn-q5LMJbGIsqOrzru4yowQz67dz2yc"", ""'GAR'!BI3:BI139""),MATCH(D53,IMPORTRANGE(""1y0FWgjbB0gVlqn-q5LMJbGIsqOrzru4yowQz67dz2yc"", ""'GAR'!D3:D139""),0))"),0)</f>
        <v>0</v>
      </c>
      <c r="AA53" s="1"/>
      <c r="AB53" s="1"/>
      <c r="AC53" s="1"/>
    </row>
    <row r="54" spans="1:29">
      <c r="A54" s="149" t="s">
        <v>147</v>
      </c>
      <c r="B54" s="149" t="s">
        <v>148</v>
      </c>
      <c r="C54" s="149" t="s">
        <v>30</v>
      </c>
      <c r="D54" s="149" t="s">
        <v>164</v>
      </c>
      <c r="E54" s="7" t="s">
        <v>38</v>
      </c>
      <c r="F54" s="9" t="s">
        <v>165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13"/>
      <c r="S54" s="13"/>
      <c r="T54" s="13"/>
      <c r="U54" s="13"/>
      <c r="V54" s="13"/>
      <c r="W54" s="4"/>
      <c r="X54" s="12">
        <v>0</v>
      </c>
      <c r="Y54" s="2">
        <f ca="1">IFERROR(__xludf.DUMMYFUNCTION("INDEX(IMPORTRANGE(""1y0FWgjbB0gVlqn-q5LMJbGIsqOrzru4yowQz67dz2yc"", ""'GAR'!BH3:BH139""),MATCH(D54,IMPORTRANGE(""1y0FWgjbB0gVlqn-q5LMJbGIsqOrzru4yowQz67dz2yc"", ""'GAR'!D3:D139""),0))"),0)</f>
        <v>0</v>
      </c>
      <c r="Z54" s="2">
        <f ca="1">IFERROR(__xludf.DUMMYFUNCTION("INDEX(IMPORTRANGE(""1y0FWgjbB0gVlqn-q5LMJbGIsqOrzru4yowQz67dz2yc"", ""'GAR'!BI3:BI139""),MATCH(D54,IMPORTRANGE(""1y0FWgjbB0gVlqn-q5LMJbGIsqOrzru4yowQz67dz2yc"", ""'GAR'!D3:D139""),0))"),0)</f>
        <v>0</v>
      </c>
      <c r="AA54" s="1"/>
      <c r="AB54" s="1"/>
      <c r="AC54" s="1"/>
    </row>
    <row r="55" spans="1:29">
      <c r="A55" s="149" t="s">
        <v>147</v>
      </c>
      <c r="B55" s="149" t="s">
        <v>148</v>
      </c>
      <c r="C55" s="149" t="s">
        <v>36</v>
      </c>
      <c r="D55" s="149" t="s">
        <v>166</v>
      </c>
      <c r="E55" s="9" t="s">
        <v>38</v>
      </c>
      <c r="F55" s="9" t="s">
        <v>167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30" t="s">
        <v>320</v>
      </c>
      <c r="Q55" s="30" t="s">
        <v>320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30" t="s">
        <v>320</v>
      </c>
      <c r="Y55" s="15" t="str">
        <f ca="1">IFERROR(__xludf.DUMMYFUNCTION("INDEX(IMPORTRANGE(""1y0FWgjbB0gVlqn-q5LMJbGIsqOrzru4yowQz67dz2yc"", ""'GAR'!BH3:BH139""),MATCH(D55,IMPORTRANGE(""1y0FWgjbB0gVlqn-q5LMJbGIsqOrzru4yowQz67dz2yc"", ""'GAR'!D3:D139""),0))"),"NA")</f>
        <v>NA</v>
      </c>
      <c r="Z55" s="15" t="str">
        <f ca="1">IFERROR(__xludf.DUMMYFUNCTION("INDEX(IMPORTRANGE(""1y0FWgjbB0gVlqn-q5LMJbGIsqOrzru4yowQz67dz2yc"", ""'GAR'!BI3:BI139""),MATCH(D55,IMPORTRANGE(""1y0FWgjbB0gVlqn-q5LMJbGIsqOrzru4yowQz67dz2yc"", ""'GAR'!D3:D139""),0))"),"NA")</f>
        <v>NA</v>
      </c>
      <c r="AA55" s="2"/>
      <c r="AB55" s="2"/>
      <c r="AC55" s="2"/>
    </row>
    <row r="56" spans="1:29">
      <c r="A56" s="151" t="s">
        <v>147</v>
      </c>
      <c r="B56" s="151" t="s">
        <v>168</v>
      </c>
      <c r="C56" s="151" t="s">
        <v>30</v>
      </c>
      <c r="D56" s="151" t="s">
        <v>169</v>
      </c>
      <c r="E56" s="7" t="s">
        <v>38</v>
      </c>
      <c r="F56" s="9" t="s">
        <v>170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27567</v>
      </c>
      <c r="Q56" s="12">
        <v>27567</v>
      </c>
      <c r="R56" s="13"/>
      <c r="S56" s="13"/>
      <c r="T56" s="13"/>
      <c r="U56" s="13"/>
      <c r="V56" s="13"/>
      <c r="W56" s="4"/>
      <c r="X56" s="12">
        <v>27919</v>
      </c>
      <c r="Y56" s="12">
        <f ca="1">IFERROR(__xludf.DUMMYFUNCTION("INDEX(IMPORTRANGE(""1y0FWgjbB0gVlqn-q5LMJbGIsqOrzru4yowQz67dz2yc"", ""'GAR'!BH3:BH139""),MATCH(D56,IMPORTRANGE(""1y0FWgjbB0gVlqn-q5LMJbGIsqOrzru4yowQz67dz2yc"", ""'GAR'!D3:D139""),0))"),27923)</f>
        <v>27923</v>
      </c>
      <c r="Z56" s="12">
        <f ca="1">IFERROR(__xludf.DUMMYFUNCTION("INDEX(IMPORTRANGE(""1y0FWgjbB0gVlqn-q5LMJbGIsqOrzru4yowQz67dz2yc"", ""'GAR'!BI3:BI139""),MATCH(D56,IMPORTRANGE(""1y0FWgjbB0gVlqn-q5LMJbGIsqOrzru4yowQz67dz2yc"", ""'GAR'!D3:D139""),0))"),28273)</f>
        <v>28273</v>
      </c>
      <c r="AA56" s="1"/>
      <c r="AB56" s="1"/>
      <c r="AC56" s="1"/>
    </row>
    <row r="57" spans="1:29">
      <c r="A57" s="151" t="s">
        <v>147</v>
      </c>
      <c r="B57" s="151" t="s">
        <v>168</v>
      </c>
      <c r="C57" s="151" t="s">
        <v>30</v>
      </c>
      <c r="D57" s="151" t="s">
        <v>171</v>
      </c>
      <c r="E57" s="7" t="s">
        <v>38</v>
      </c>
      <c r="F57" s="9" t="s">
        <v>172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28500</v>
      </c>
      <c r="Q57" s="12">
        <v>28500</v>
      </c>
      <c r="R57" s="13"/>
      <c r="S57" s="13"/>
      <c r="T57" s="13"/>
      <c r="U57" s="13"/>
      <c r="V57" s="13"/>
      <c r="W57" s="4"/>
      <c r="X57" s="12">
        <v>28625</v>
      </c>
      <c r="Y57" s="12">
        <f ca="1">IFERROR(__xludf.DUMMYFUNCTION("INDEX(IMPORTRANGE(""1y0FWgjbB0gVlqn-q5LMJbGIsqOrzru4yowQz67dz2yc"", ""'GAR'!BH3:BH139""),MATCH(D57,IMPORTRANGE(""1y0FWgjbB0gVlqn-q5LMJbGIsqOrzru4yowQz67dz2yc"", ""'GAR'!D3:D139""),0))"),28032)</f>
        <v>28032</v>
      </c>
      <c r="Z57" s="12">
        <f ca="1">IFERROR(__xludf.DUMMYFUNCTION("INDEX(IMPORTRANGE(""1y0FWgjbB0gVlqn-q5LMJbGIsqOrzru4yowQz67dz2yc"", ""'GAR'!BI3:BI139""),MATCH(D57,IMPORTRANGE(""1y0FWgjbB0gVlqn-q5LMJbGIsqOrzru4yowQz67dz2yc"", ""'GAR'!D3:D139""),0))"),28032)</f>
        <v>28032</v>
      </c>
      <c r="AA57" s="1"/>
      <c r="AB57" s="1"/>
      <c r="AC57" s="1"/>
    </row>
    <row r="58" spans="1:29">
      <c r="A58" s="149" t="s">
        <v>147</v>
      </c>
      <c r="B58" s="149" t="s">
        <v>168</v>
      </c>
      <c r="C58" s="149" t="s">
        <v>36</v>
      </c>
      <c r="D58" s="149" t="s">
        <v>173</v>
      </c>
      <c r="E58" s="9" t="s">
        <v>38</v>
      </c>
      <c r="F58" s="9" t="s">
        <v>174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5">
        <f t="shared" ref="P58:Q58" si="15">P56/P57</f>
        <v>0.96726315789473682</v>
      </c>
      <c r="Q58" s="15">
        <f t="shared" si="15"/>
        <v>0.96726315789473682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5">
        <f>X56/X57</f>
        <v>0.97533624454148471</v>
      </c>
      <c r="Y58" s="15">
        <f ca="1">IFERROR(__xludf.DUMMYFUNCTION("INDEX(IMPORTRANGE(""1y0FWgjbB0gVlqn-q5LMJbGIsqOrzru4yowQz67dz2yc"", ""'GAR'!BH3:BH139""),MATCH(D58,IMPORTRANGE(""1y0FWgjbB0gVlqn-q5LMJbGIsqOrzru4yowQz67dz2yc"", ""'GAR'!D3:D139""),0))"),0.99611158675799)</f>
        <v>0.99611158675799005</v>
      </c>
      <c r="Z58" s="15">
        <f ca="1">IFERROR(__xludf.DUMMYFUNCTION("INDEX(IMPORTRANGE(""1y0FWgjbB0gVlqn-q5LMJbGIsqOrzru4yowQz67dz2yc"", ""'GAR'!BI3:BI139""),MATCH(D58,IMPORTRANGE(""1y0FWgjbB0gVlqn-q5LMJbGIsqOrzru4yowQz67dz2yc"", ""'GAR'!D3:D139""),0))"),1.00859731735159)</f>
        <v>1.0085973173515901</v>
      </c>
      <c r="AA58" s="2"/>
      <c r="AB58" s="2"/>
      <c r="AC58" s="2"/>
    </row>
    <row r="59" spans="1:29">
      <c r="A59" s="149" t="s">
        <v>147</v>
      </c>
      <c r="B59" s="149" t="s">
        <v>168</v>
      </c>
      <c r="C59" s="149" t="s">
        <v>30</v>
      </c>
      <c r="D59" s="149" t="s">
        <v>175</v>
      </c>
      <c r="E59" s="7" t="s">
        <v>38</v>
      </c>
      <c r="F59" s="9" t="s">
        <v>176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120000</v>
      </c>
      <c r="Q59" s="12">
        <v>120000</v>
      </c>
      <c r="R59" s="13"/>
      <c r="S59" s="13"/>
      <c r="T59" s="13"/>
      <c r="U59" s="13"/>
      <c r="V59" s="13"/>
      <c r="W59" s="4"/>
      <c r="X59" s="12">
        <v>120000</v>
      </c>
      <c r="Y59" s="12" t="str">
        <f ca="1">IFERROR(__xludf.DUMMYFUNCTION("INDEX(IMPORTRANGE(""1y0FWgjbB0gVlqn-q5LMJbGIsqOrzru4yowQz67dz2yc"", ""'GAR'!BH3:BH139""),MATCH(D59,IMPORTRANGE(""1y0FWgjbB0gVlqn-q5LMJbGIsqOrzru4yowQz67dz2yc"", ""'GAR'!D3:D139""),0))"),"Sin dato")</f>
        <v>Sin dato</v>
      </c>
      <c r="Z59" s="12" t="str">
        <f ca="1">IFERROR(__xludf.DUMMYFUNCTION("INDEX(IMPORTRANGE(""1y0FWgjbB0gVlqn-q5LMJbGIsqOrzru4yowQz67dz2yc"", ""'GAR'!BI3:BI139""),MATCH(D59,IMPORTRANGE(""1y0FWgjbB0gVlqn-q5LMJbGIsqOrzru4yowQz67dz2yc"", ""'GAR'!D3:D139""),0))"),"Sin dato")</f>
        <v>Sin dato</v>
      </c>
      <c r="AA59" s="1"/>
      <c r="AB59" s="1"/>
      <c r="AC59" s="1"/>
    </row>
    <row r="60" spans="1:29">
      <c r="A60" s="148" t="s">
        <v>147</v>
      </c>
      <c r="B60" s="148" t="s">
        <v>168</v>
      </c>
      <c r="C60" s="148" t="s">
        <v>36</v>
      </c>
      <c r="D60" s="148" t="s">
        <v>177</v>
      </c>
      <c r="E60" s="2" t="s">
        <v>38</v>
      </c>
      <c r="F60" s="2" t="s">
        <v>178</v>
      </c>
      <c r="G60" s="10">
        <v>44469</v>
      </c>
      <c r="H60" s="10">
        <v>44469</v>
      </c>
      <c r="I60" s="49">
        <v>44651</v>
      </c>
      <c r="J60" s="49">
        <v>44834</v>
      </c>
      <c r="K60" s="49">
        <v>45016</v>
      </c>
      <c r="L60" s="49">
        <v>45199</v>
      </c>
      <c r="M60" s="49">
        <v>45382</v>
      </c>
      <c r="N60" s="49">
        <v>45565</v>
      </c>
      <c r="O60" s="49">
        <v>45565</v>
      </c>
      <c r="P60" s="15">
        <f t="shared" ref="P60:Q60" si="16">P59/P35</f>
        <v>0.59262478455619816</v>
      </c>
      <c r="Q60" s="15">
        <f t="shared" si="16"/>
        <v>0.59262478455619816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X59/X35</f>
        <v>0.59262478455619816</v>
      </c>
      <c r="Y60" s="328" t="str">
        <f ca="1">IFERROR(__xludf.DUMMYFUNCTION("INDEX(IMPORTRANGE(""1y0FWgjbB0gVlqn-q5LMJbGIsqOrzru4yowQz67dz2yc"", ""'GAR'!BH3:BH139""),MATCH(D60,IMPORTRANGE(""1y0FWgjbB0gVlqn-q5LMJbGIsqOrzru4yowQz67dz2yc"", ""'GAR'!D3:D139""),0))"),"Sin dato")</f>
        <v>Sin dato</v>
      </c>
      <c r="Z60" s="328" t="str">
        <f ca="1">IFERROR(__xludf.DUMMYFUNCTION("INDEX(IMPORTRANGE(""1y0FWgjbB0gVlqn-q5LMJbGIsqOrzru4yowQz67dz2yc"", ""'GAR'!BI3:BI139""),MATCH(D60,IMPORTRANGE(""1y0FWgjbB0gVlqn-q5LMJbGIsqOrzru4yowQz67dz2yc"", ""'GAR'!D3:D139""),0))"),"Sin dato")</f>
        <v>Sin dato</v>
      </c>
      <c r="AA60" s="2"/>
      <c r="AB60" s="2"/>
      <c r="AC60" s="2"/>
    </row>
    <row r="61" spans="1:29">
      <c r="A61" s="149" t="s">
        <v>147</v>
      </c>
      <c r="B61" s="149" t="s">
        <v>168</v>
      </c>
      <c r="C61" s="149" t="s">
        <v>30</v>
      </c>
      <c r="D61" s="149" t="s">
        <v>179</v>
      </c>
      <c r="E61" s="7" t="s">
        <v>38</v>
      </c>
      <c r="F61" s="9" t="s">
        <v>180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23">
        <v>6304695.5899999999</v>
      </c>
      <c r="Q61" s="23">
        <v>6304695.5999999996</v>
      </c>
      <c r="R61" s="13"/>
      <c r="S61" s="13"/>
      <c r="T61" s="13"/>
      <c r="U61" s="13"/>
      <c r="V61" s="13"/>
      <c r="W61" s="4"/>
      <c r="X61" s="23">
        <v>6315863.54</v>
      </c>
      <c r="Y61" s="12">
        <f ca="1">IFERROR(__xludf.DUMMYFUNCTION("INDEX(IMPORTRANGE(""1y0FWgjbB0gVlqn-q5LMJbGIsqOrzru4yowQz67dz2yc"", ""'GAR'!BH3:BH139""),MATCH(D61,IMPORTRANGE(""1y0FWgjbB0gVlqn-q5LMJbGIsqOrzru4yowQz67dz2yc"", ""'GAR'!D3:D139""),0))"),15243.36)</f>
        <v>15243.36</v>
      </c>
      <c r="Z61" s="12">
        <f ca="1">IFERROR(__xludf.DUMMYFUNCTION("INDEX(IMPORTRANGE(""1y0FWgjbB0gVlqn-q5LMJbGIsqOrzru4yowQz67dz2yc"", ""'GAR'!BI3:BI139""),MATCH(D61,IMPORTRANGE(""1y0FWgjbB0gVlqn-q5LMJbGIsqOrzru4yowQz67dz2yc"", ""'GAR'!D3:D139""),0))"),6339964.58)</f>
        <v>6339964.5800000001</v>
      </c>
      <c r="AA61" s="1"/>
      <c r="AB61" s="1"/>
      <c r="AC61" s="1"/>
    </row>
    <row r="62" spans="1:29">
      <c r="A62" s="149" t="s">
        <v>147</v>
      </c>
      <c r="B62" s="149" t="s">
        <v>168</v>
      </c>
      <c r="C62" s="149" t="s">
        <v>30</v>
      </c>
      <c r="D62" s="149" t="s">
        <v>181</v>
      </c>
      <c r="E62" s="7" t="s">
        <v>38</v>
      </c>
      <c r="F62" s="9" t="s">
        <v>182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318">
        <v>7804695.5999999996</v>
      </c>
      <c r="Q62" s="318">
        <v>7804695.5999999996</v>
      </c>
      <c r="R62" s="13"/>
      <c r="S62" s="13"/>
      <c r="T62" s="13"/>
      <c r="U62" s="13"/>
      <c r="V62" s="13"/>
      <c r="W62" s="4"/>
      <c r="X62" s="318">
        <v>7804695.5999999996</v>
      </c>
      <c r="Y62" s="12">
        <f ca="1">IFERROR(__xludf.DUMMYFUNCTION("INDEX(IMPORTRANGE(""1y0FWgjbB0gVlqn-q5LMJbGIsqOrzru4yowQz67dz2yc"", ""'GAR'!BH3:BH139""),MATCH(D62,IMPORTRANGE(""1y0FWgjbB0gVlqn-q5LMJbGIsqOrzru4yowQz67dz2yc"", ""'GAR'!D3:D139""),0))"),1500000)</f>
        <v>1500000</v>
      </c>
      <c r="Z62" s="12">
        <f ca="1">IFERROR(__xludf.DUMMYFUNCTION("INDEX(IMPORTRANGE(""1y0FWgjbB0gVlqn-q5LMJbGIsqOrzru4yowQz67dz2yc"", ""'GAR'!BI3:BI139""),MATCH(D62,IMPORTRANGE(""1y0FWgjbB0gVlqn-q5LMJbGIsqOrzru4yowQz67dz2yc"", ""'GAR'!D3:D139""),0))"),7839964.58)</f>
        <v>7839964.5800000001</v>
      </c>
      <c r="AA62" s="1"/>
      <c r="AB62" s="1"/>
      <c r="AC62" s="1"/>
    </row>
    <row r="63" spans="1:29">
      <c r="A63" s="149" t="s">
        <v>147</v>
      </c>
      <c r="B63" s="149" t="s">
        <v>168</v>
      </c>
      <c r="C63" s="149" t="s">
        <v>36</v>
      </c>
      <c r="D63" s="149" t="s">
        <v>183</v>
      </c>
      <c r="E63" s="9" t="s">
        <v>38</v>
      </c>
      <c r="F63" s="9" t="s">
        <v>184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7">P61/P62</f>
        <v>0.80780800599065006</v>
      </c>
      <c r="Q63" s="15">
        <f t="shared" si="17"/>
        <v>0.80780800727193003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0.80923893303410843</v>
      </c>
      <c r="Y63" s="15">
        <f ca="1">IFERROR(__xludf.DUMMYFUNCTION("INDEX(IMPORTRANGE(""1y0FWgjbB0gVlqn-q5LMJbGIsqOrzru4yowQz67dz2yc"", ""'GAR'!BH3:BH139""),MATCH(D63,IMPORTRANGE(""1y0FWgjbB0gVlqn-q5LMJbGIsqOrzru4yowQz67dz2yc"", ""'GAR'!D3:D139""),0))"),0.01016224)</f>
        <v>1.0162239999999999E-2</v>
      </c>
      <c r="Z63" s="15">
        <f ca="1">IFERROR(__xludf.DUMMYFUNCTION("INDEX(IMPORTRANGE(""1y0FWgjbB0gVlqn-q5LMJbGIsqOrzru4yowQz67dz2yc"", ""'GAR'!BI3:BI139""),MATCH(D63,IMPORTRANGE(""1y0FWgjbB0gVlqn-q5LMJbGIsqOrzru4yowQz67dz2yc"", ""'GAR'!D3:D139""),0))"),0.808672604997916)</f>
        <v>0.80867260499791604</v>
      </c>
      <c r="AA63" s="2"/>
      <c r="AB63" s="2"/>
      <c r="AC63" s="2"/>
    </row>
    <row r="64" spans="1:29">
      <c r="A64" s="149" t="s">
        <v>147</v>
      </c>
      <c r="B64" s="149" t="s">
        <v>168</v>
      </c>
      <c r="C64" s="149" t="s">
        <v>30</v>
      </c>
      <c r="D64" s="149" t="s">
        <v>185</v>
      </c>
      <c r="E64" s="7" t="s">
        <v>38</v>
      </c>
      <c r="F64" s="9" t="s">
        <v>186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7300</v>
      </c>
      <c r="Q64" s="12">
        <v>7300</v>
      </c>
      <c r="R64" s="13"/>
      <c r="S64" s="13"/>
      <c r="T64" s="13"/>
      <c r="U64" s="13"/>
      <c r="V64" s="13"/>
      <c r="W64" s="4"/>
      <c r="X64" s="12">
        <v>7300</v>
      </c>
      <c r="Y64" s="12">
        <f ca="1">IFERROR(__xludf.DUMMYFUNCTION("INDEX(IMPORTRANGE(""1y0FWgjbB0gVlqn-q5LMJbGIsqOrzru4yowQz67dz2yc"", ""'GAR'!BH3:BH139""),MATCH(D64,IMPORTRANGE(""1y0FWgjbB0gVlqn-q5LMJbGIsqOrzru4yowQz67dz2yc"", ""'GAR'!D3:D139""),0))"),8780.5)</f>
        <v>8780.5</v>
      </c>
      <c r="Z64" s="12">
        <f ca="1">IFERROR(__xludf.DUMMYFUNCTION("INDEX(IMPORTRANGE(""1y0FWgjbB0gVlqn-q5LMJbGIsqOrzru4yowQz67dz2yc"", ""'GAR'!BI3:BI139""),MATCH(D64,IMPORTRANGE(""1y0FWgjbB0gVlqn-q5LMJbGIsqOrzru4yowQz67dz2yc"", ""'GAR'!D3:D139""),0))"),8780.5)</f>
        <v>8780.5</v>
      </c>
      <c r="AA64" s="1"/>
      <c r="AB64" s="1"/>
      <c r="AC64" s="1"/>
    </row>
    <row r="65" spans="1:29">
      <c r="A65" s="149" t="s">
        <v>147</v>
      </c>
      <c r="B65" s="149" t="s">
        <v>168</v>
      </c>
      <c r="C65" s="149" t="s">
        <v>30</v>
      </c>
      <c r="D65" s="149" t="s">
        <v>187</v>
      </c>
      <c r="E65" s="7" t="s">
        <v>38</v>
      </c>
      <c r="F65" s="9" t="s">
        <v>188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2">
        <v>9800</v>
      </c>
      <c r="Q65" s="12">
        <v>9800</v>
      </c>
      <c r="R65" s="13"/>
      <c r="S65" s="13"/>
      <c r="T65" s="13"/>
      <c r="U65" s="13"/>
      <c r="V65" s="13"/>
      <c r="W65" s="4"/>
      <c r="X65" s="12">
        <v>9800</v>
      </c>
      <c r="Y65" s="12">
        <f ca="1">IFERROR(__xludf.DUMMYFUNCTION("INDEX(IMPORTRANGE(""1y0FWgjbB0gVlqn-q5LMJbGIsqOrzru4yowQz67dz2yc"", ""'GAR'!BH3:BH139""),MATCH(D65,IMPORTRANGE(""1y0FWgjbB0gVlqn-q5LMJbGIsqOrzru4yowQz67dz2yc"", ""'GAR'!D3:D139""),0))"),8780.5)</f>
        <v>8780.5</v>
      </c>
      <c r="Z65" s="12">
        <f ca="1">IFERROR(__xludf.DUMMYFUNCTION("INDEX(IMPORTRANGE(""1y0FWgjbB0gVlqn-q5LMJbGIsqOrzru4yowQz67dz2yc"", ""'GAR'!BI3:BI139""),MATCH(D65,IMPORTRANGE(""1y0FWgjbB0gVlqn-q5LMJbGIsqOrzru4yowQz67dz2yc"", ""'GAR'!D3:D139""),0))"),11280.5)</f>
        <v>11280.5</v>
      </c>
      <c r="AA65" s="1"/>
      <c r="AB65" s="1"/>
      <c r="AC65" s="1"/>
    </row>
    <row r="66" spans="1:29">
      <c r="A66" s="149" t="s">
        <v>147</v>
      </c>
      <c r="B66" s="149" t="s">
        <v>168</v>
      </c>
      <c r="C66" s="149" t="s">
        <v>36</v>
      </c>
      <c r="D66" s="149" t="s">
        <v>189</v>
      </c>
      <c r="E66" s="9" t="s">
        <v>38</v>
      </c>
      <c r="F66" s="9" t="s">
        <v>190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8">P64/P65</f>
        <v>0.74489795918367352</v>
      </c>
      <c r="Q66" s="15">
        <f t="shared" si="18"/>
        <v>0.74489795918367352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0.74489795918367352</v>
      </c>
      <c r="Y66" s="15">
        <f ca="1">IFERROR(__xludf.DUMMYFUNCTION("INDEX(IMPORTRANGE(""1y0FWgjbB0gVlqn-q5LMJbGIsqOrzru4yowQz67dz2yc"", ""'GAR'!BH3:BH139""),MATCH(D66,IMPORTRANGE(""1y0FWgjbB0gVlqn-q5LMJbGIsqOrzru4yowQz67dz2yc"", ""'GAR'!D3:D139""),0))"),1)</f>
        <v>1</v>
      </c>
      <c r="Z66" s="15">
        <f ca="1">IFERROR(__xludf.DUMMYFUNCTION("INDEX(IMPORTRANGE(""1y0FWgjbB0gVlqn-q5LMJbGIsqOrzru4yowQz67dz2yc"", ""'GAR'!BI3:BI139""),MATCH(D66,IMPORTRANGE(""1y0FWgjbB0gVlqn-q5LMJbGIsqOrzru4yowQz67dz2yc"", ""'GAR'!D3:D139""),0))"),0.778378617969061)</f>
        <v>0.77837861796906105</v>
      </c>
      <c r="AA66" s="2"/>
      <c r="AB66" s="2"/>
      <c r="AC66" s="2"/>
    </row>
    <row r="67" spans="1:29">
      <c r="A67" s="149" t="s">
        <v>147</v>
      </c>
      <c r="B67" s="149" t="s">
        <v>168</v>
      </c>
      <c r="C67" s="149" t="s">
        <v>30</v>
      </c>
      <c r="D67" s="149" t="s">
        <v>191</v>
      </c>
      <c r="E67" s="7" t="s">
        <v>38</v>
      </c>
      <c r="F67" s="9" t="s">
        <v>192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v>0</v>
      </c>
      <c r="Q67" s="23">
        <v>0</v>
      </c>
      <c r="R67" s="1"/>
      <c r="S67" s="1"/>
      <c r="T67" s="1"/>
      <c r="U67" s="1"/>
      <c r="V67" s="1"/>
      <c r="W67" s="12"/>
      <c r="X67" s="23">
        <v>0</v>
      </c>
      <c r="Y67" s="24">
        <f ca="1">IFERROR(__xludf.DUMMYFUNCTION("INDEX(IMPORTRANGE(""1y0FWgjbB0gVlqn-q5LMJbGIsqOrzru4yowQz67dz2yc"", ""'GAR'!BH3:BH139""),MATCH(D67,IMPORTRANGE(""1y0FWgjbB0gVlqn-q5LMJbGIsqOrzru4yowQz67dz2yc"", ""'GAR'!D3:D139""),0))"),0)</f>
        <v>0</v>
      </c>
      <c r="Z67" s="24">
        <f ca="1">IFERROR(__xludf.DUMMYFUNCTION("INDEX(IMPORTRANGE(""1y0FWgjbB0gVlqn-q5LMJbGIsqOrzru4yowQz67dz2yc"", ""'GAR'!BI3:BI139""),MATCH(D67,IMPORTRANGE(""1y0FWgjbB0gVlqn-q5LMJbGIsqOrzru4yowQz67dz2yc"", ""'GAR'!D3:D139""),0))"),0)</f>
        <v>0</v>
      </c>
      <c r="AA67" s="1"/>
      <c r="AB67" s="1"/>
      <c r="AC67" s="1"/>
    </row>
    <row r="68" spans="1:29">
      <c r="A68" s="149" t="s">
        <v>147</v>
      </c>
      <c r="B68" s="149" t="s">
        <v>168</v>
      </c>
      <c r="C68" s="149" t="s">
        <v>30</v>
      </c>
      <c r="D68" s="149" t="s">
        <v>193</v>
      </c>
      <c r="E68" s="7" t="s">
        <v>38</v>
      </c>
      <c r="F68" s="9" t="s">
        <v>194</v>
      </c>
      <c r="G68" s="22" t="s">
        <v>56</v>
      </c>
      <c r="H68" s="2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23">
        <v>0</v>
      </c>
      <c r="Q68" s="23">
        <v>0</v>
      </c>
      <c r="R68" s="1"/>
      <c r="S68" s="1"/>
      <c r="T68" s="1"/>
      <c r="U68" s="1"/>
      <c r="V68" s="1"/>
      <c r="W68" s="12"/>
      <c r="X68" s="23">
        <v>6319.82</v>
      </c>
      <c r="Y68" s="12">
        <f ca="1">IFERROR(__xludf.DUMMYFUNCTION("INDEX(IMPORTRANGE(""1y0FWgjbB0gVlqn-q5LMJbGIsqOrzru4yowQz67dz2yc"", ""'GAR'!BH3:BH139""),MATCH(D68,IMPORTRANGE(""1y0FWgjbB0gVlqn-q5LMJbGIsqOrzru4yowQz67dz2yc"", ""'GAR'!D3:D139""),0))"),6355.35881)</f>
        <v>6355.3588099999997</v>
      </c>
      <c r="Z68" s="12">
        <f ca="1">IFERROR(__xludf.DUMMYFUNCTION("INDEX(IMPORTRANGE(""1y0FWgjbB0gVlqn-q5LMJbGIsqOrzru4yowQz67dz2yc"", ""'GAR'!BI3:BI139""),MATCH(D68,IMPORTRANGE(""1y0FWgjbB0gVlqn-q5LMJbGIsqOrzru4yowQz67dz2yc"", ""'GAR'!D3:D139""),0))"),0.04525)</f>
        <v>4.5249999999999999E-2</v>
      </c>
      <c r="AA68" s="1"/>
      <c r="AB68" s="1"/>
      <c r="AC68" s="1"/>
    </row>
    <row r="69" spans="1:29">
      <c r="A69" s="149" t="s">
        <v>147</v>
      </c>
      <c r="B69" s="149" t="s">
        <v>168</v>
      </c>
      <c r="C69" s="149" t="s">
        <v>30</v>
      </c>
      <c r="D69" s="149" t="s">
        <v>195</v>
      </c>
      <c r="E69" s="7" t="s">
        <v>38</v>
      </c>
      <c r="F69" s="9" t="s">
        <v>196</v>
      </c>
      <c r="G69" s="10">
        <v>44469</v>
      </c>
      <c r="H69" s="10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12">
        <v>0</v>
      </c>
      <c r="Q69" s="12">
        <v>0</v>
      </c>
      <c r="R69" s="13"/>
      <c r="S69" s="13"/>
      <c r="T69" s="13"/>
      <c r="U69" s="13"/>
      <c r="V69" s="13"/>
      <c r="W69" s="4"/>
      <c r="X69" s="12">
        <v>0</v>
      </c>
      <c r="Y69" s="12" t="str">
        <f ca="1">IFERROR(__xludf.DUMMYFUNCTION("INDEX(IMPORTRANGE(""1y0FWgjbB0gVlqn-q5LMJbGIsqOrzru4yowQz67dz2yc"", ""'GAR'!BH3:BH139""),MATCH(D69,IMPORTRANGE(""1y0FWgjbB0gVlqn-q5LMJbGIsqOrzru4yowQz67dz2yc"", ""'GAR'!D3:D139""),0))"),"")</f>
        <v/>
      </c>
      <c r="Z69" s="12" t="str">
        <f ca="1">IFERROR(__xludf.DUMMYFUNCTION("INDEX(IMPORTRANGE(""1y0FWgjbB0gVlqn-q5LMJbGIsqOrzru4yowQz67dz2yc"", ""'GAR'!BI3:BI139""),MATCH(D69,IMPORTRANGE(""1y0FWgjbB0gVlqn-q5LMJbGIsqOrzru4yowQz67dz2yc"", ""'GAR'!D3:D139""),0))"),"https://trans.garcia.gob.mx/admin/uploads/PLAN%20MUNICIPAL%202021%202024.pdf pag 155-166")</f>
        <v>https://trans.garcia.gob.mx/admin/uploads/PLAN%20MUNICIPAL%202021%202024.pdf pag 155-166</v>
      </c>
      <c r="AA69" s="1"/>
      <c r="AB69" s="1"/>
      <c r="AC69" s="1"/>
    </row>
    <row r="70" spans="1:29">
      <c r="A70" s="149" t="s">
        <v>147</v>
      </c>
      <c r="B70" s="149" t="s">
        <v>168</v>
      </c>
      <c r="C70" s="149" t="s">
        <v>36</v>
      </c>
      <c r="D70" s="149" t="s">
        <v>197</v>
      </c>
      <c r="E70" s="9" t="s">
        <v>38</v>
      </c>
      <c r="F70" s="9" t="s">
        <v>198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f t="shared" ref="P70:Q70" si="19">P67+P68</f>
        <v>0</v>
      </c>
      <c r="Q70" s="23">
        <f t="shared" si="19"/>
        <v>0</v>
      </c>
      <c r="R70" s="320">
        <v>2.4333333330000002</v>
      </c>
      <c r="S70" s="320">
        <v>2.4333333330000002</v>
      </c>
      <c r="T70" s="320">
        <v>2.4333333330000002</v>
      </c>
      <c r="U70" s="320">
        <v>2.4333333330000002</v>
      </c>
      <c r="V70" s="320">
        <v>2.4333333330000002</v>
      </c>
      <c r="W70" s="320">
        <v>7.3</v>
      </c>
      <c r="X70" s="23">
        <f>X67+X68</f>
        <v>6319.82</v>
      </c>
      <c r="Y70" s="12">
        <f ca="1">IFERROR(__xludf.DUMMYFUNCTION("INDEX(IMPORTRANGE(""1y0FWgjbB0gVlqn-q5LMJbGIsqOrzru4yowQz67dz2yc"", ""'GAR'!BH3:BH139""),MATCH(D70,IMPORTRANGE(""1y0FWgjbB0gVlqn-q5LMJbGIsqOrzru4yowQz67dz2yc"", ""'GAR'!D3:D139""),0))"),6355.35881)</f>
        <v>6355.3588099999997</v>
      </c>
      <c r="Z70" s="12">
        <f ca="1">IFERROR(__xludf.DUMMYFUNCTION("INDEX(IMPORTRANGE(""1y0FWgjbB0gVlqn-q5LMJbGIsqOrzru4yowQz67dz2yc"", ""'GAR'!BI3:BI139""),MATCH(D70,IMPORTRANGE(""1y0FWgjbB0gVlqn-q5LMJbGIsqOrzru4yowQz67dz2yc"", ""'GAR'!D3:D139""),0))"),0.04525)</f>
        <v>4.5249999999999999E-2</v>
      </c>
      <c r="AA70" s="2"/>
      <c r="AB70" s="2"/>
      <c r="AC70" s="2"/>
    </row>
    <row r="71" spans="1:29">
      <c r="A71" s="149" t="s">
        <v>199</v>
      </c>
      <c r="B71" s="149" t="s">
        <v>200</v>
      </c>
      <c r="C71" s="149" t="s">
        <v>36</v>
      </c>
      <c r="D71" s="149" t="s">
        <v>201</v>
      </c>
      <c r="E71" s="9" t="s">
        <v>38</v>
      </c>
      <c r="F71" s="9" t="s">
        <v>202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3">
        <v>1.5</v>
      </c>
      <c r="Q71" s="23">
        <v>1.5</v>
      </c>
      <c r="R71" s="329">
        <v>1.8</v>
      </c>
      <c r="S71" s="329" t="s">
        <v>426</v>
      </c>
      <c r="T71" s="329" t="s">
        <v>426</v>
      </c>
      <c r="U71" s="329" t="s">
        <v>426</v>
      </c>
      <c r="V71" s="329" t="s">
        <v>426</v>
      </c>
      <c r="W71" s="329" t="s">
        <v>426</v>
      </c>
      <c r="X71" s="23">
        <v>1.76</v>
      </c>
      <c r="Y71" s="32">
        <f ca="1">IFERROR(__xludf.DUMMYFUNCTION("INDEX(IMPORTRANGE(""1y0FWgjbB0gVlqn-q5LMJbGIsqOrzru4yowQz67dz2yc"", ""'GAR'!BH3:BH139""),MATCH(D71,IMPORTRANGE(""1y0FWgjbB0gVlqn-q5LMJbGIsqOrzru4yowQz67dz2yc"", ""'GAR'!D3:D139""),0))"),1.76)</f>
        <v>1.76</v>
      </c>
      <c r="Z71" s="32">
        <f ca="1">IFERROR(__xludf.DUMMYFUNCTION("INDEX(IMPORTRANGE(""1y0FWgjbB0gVlqn-q5LMJbGIsqOrzru4yowQz67dz2yc"", ""'GAR'!BI3:BI139""),MATCH(D71,IMPORTRANGE(""1y0FWgjbB0gVlqn-q5LMJbGIsqOrzru4yowQz67dz2yc"", ""'GAR'!D3:D139""),0))"),1.76)</f>
        <v>1.76</v>
      </c>
      <c r="AA71" s="2"/>
      <c r="AB71" s="2"/>
      <c r="AC71" s="2"/>
    </row>
    <row r="72" spans="1:29">
      <c r="A72" s="149" t="s">
        <v>199</v>
      </c>
      <c r="B72" s="149" t="s">
        <v>200</v>
      </c>
      <c r="C72" s="149" t="s">
        <v>30</v>
      </c>
      <c r="D72" s="149" t="s">
        <v>203</v>
      </c>
      <c r="E72" s="7" t="s">
        <v>38</v>
      </c>
      <c r="F72" s="9" t="s">
        <v>204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"/>
      <c r="S72" s="1"/>
      <c r="T72" s="1"/>
      <c r="U72" s="1"/>
      <c r="V72" s="1"/>
      <c r="W72" s="2">
        <v>4500</v>
      </c>
      <c r="X72" s="23">
        <v>2494.96</v>
      </c>
      <c r="Y72" s="12">
        <f ca="1">IFERROR(__xludf.DUMMYFUNCTION("INDEX(IMPORTRANGE(""1y0FWgjbB0gVlqn-q5LMJbGIsqOrzru4yowQz67dz2yc"", ""'GAR'!BH3:BH139""),MATCH(D72,IMPORTRANGE(""1y0FWgjbB0gVlqn-q5LMJbGIsqOrzru4yowQz67dz2yc"", ""'GAR'!D3:D139""),0))"),3680.12)</f>
        <v>3680.12</v>
      </c>
      <c r="Z72" s="12">
        <f ca="1">IFERROR(__xludf.DUMMYFUNCTION("INDEX(IMPORTRANGE(""1y0FWgjbB0gVlqn-q5LMJbGIsqOrzru4yowQz67dz2yc"", ""'GAR'!BI3:BI139""),MATCH(D72,IMPORTRANGE(""1y0FWgjbB0gVlqn-q5LMJbGIsqOrzru4yowQz67dz2yc"", ""'GAR'!D3:D139""),0))"),0)</f>
        <v>0</v>
      </c>
      <c r="AA72" s="1"/>
      <c r="AB72" s="1"/>
      <c r="AC72" s="1"/>
    </row>
    <row r="73" spans="1:29">
      <c r="A73" s="149" t="s">
        <v>199</v>
      </c>
      <c r="B73" s="149" t="s">
        <v>200</v>
      </c>
      <c r="C73" s="149" t="s">
        <v>30</v>
      </c>
      <c r="D73" s="149" t="s">
        <v>205</v>
      </c>
      <c r="E73" s="7" t="s">
        <v>38</v>
      </c>
      <c r="F73" s="9" t="s">
        <v>206</v>
      </c>
      <c r="G73" s="22" t="s">
        <v>56</v>
      </c>
      <c r="H73" s="2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1"/>
      <c r="S73" s="1"/>
      <c r="T73" s="1"/>
      <c r="U73" s="1"/>
      <c r="V73" s="1"/>
      <c r="W73" s="2">
        <v>300</v>
      </c>
      <c r="X73" s="12">
        <v>0</v>
      </c>
      <c r="Y73" s="12">
        <f ca="1">IFERROR(__xludf.DUMMYFUNCTION("INDEX(IMPORTRANGE(""1y0FWgjbB0gVlqn-q5LMJbGIsqOrzru4yowQz67dz2yc"", ""'GAR'!BH3:BH139""),MATCH(D73,IMPORTRANGE(""1y0FWgjbB0gVlqn-q5LMJbGIsqOrzru4yowQz67dz2yc"", ""'GAR'!D3:D139""),0))"),863.069999999999)</f>
        <v>863.06999999999903</v>
      </c>
      <c r="Z73" s="12">
        <f ca="1">IFERROR(__xludf.DUMMYFUNCTION("INDEX(IMPORTRANGE(""1y0FWgjbB0gVlqn-q5LMJbGIsqOrzru4yowQz67dz2yc"", ""'GAR'!BI3:BI139""),MATCH(D73,IMPORTRANGE(""1y0FWgjbB0gVlqn-q5LMJbGIsqOrzru4yowQz67dz2yc"", ""'GAR'!D3:D139""),0))"),0)</f>
        <v>0</v>
      </c>
      <c r="AA73" s="1"/>
      <c r="AB73" s="1"/>
      <c r="AC73" s="1"/>
    </row>
    <row r="74" spans="1:29">
      <c r="A74" s="149" t="s">
        <v>199</v>
      </c>
      <c r="B74" s="149" t="s">
        <v>200</v>
      </c>
      <c r="C74" s="149" t="s">
        <v>30</v>
      </c>
      <c r="D74" s="149" t="s">
        <v>207</v>
      </c>
      <c r="E74" s="7" t="s">
        <v>38</v>
      </c>
      <c r="F74" s="9" t="s">
        <v>208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2">
        <v>500</v>
      </c>
      <c r="X74" s="12">
        <v>0</v>
      </c>
      <c r="Y74" s="12">
        <f ca="1">IFERROR(__xludf.DUMMYFUNCTION("INDEX(IMPORTRANGE(""1y0FWgjbB0gVlqn-q5LMJbGIsqOrzru4yowQz67dz2yc"", ""'GAR'!BH3:BH139""),MATCH(D74,IMPORTRANGE(""1y0FWgjbB0gVlqn-q5LMJbGIsqOrzru4yowQz67dz2yc"", ""'GAR'!D3:D139""),0))"),0)</f>
        <v>0</v>
      </c>
      <c r="Z74" s="12">
        <f ca="1">IFERROR(__xludf.DUMMYFUNCTION("INDEX(IMPORTRANGE(""1y0FWgjbB0gVlqn-q5LMJbGIsqOrzru4yowQz67dz2yc"", ""'GAR'!BI3:BI139""),MATCH(D74,IMPORTRANGE(""1y0FWgjbB0gVlqn-q5LMJbGIsqOrzru4yowQz67dz2yc"", ""'GAR'!D3:D139""),0))"),0)</f>
        <v>0</v>
      </c>
      <c r="AA74" s="1"/>
      <c r="AB74" s="1"/>
      <c r="AC74" s="1"/>
    </row>
    <row r="75" spans="1:29">
      <c r="A75" s="149" t="s">
        <v>199</v>
      </c>
      <c r="B75" s="149" t="s">
        <v>200</v>
      </c>
      <c r="C75" s="149" t="s">
        <v>36</v>
      </c>
      <c r="D75" s="149" t="s">
        <v>209</v>
      </c>
      <c r="E75" s="9" t="s">
        <v>38</v>
      </c>
      <c r="F75" s="9" t="s">
        <v>210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4">
        <v>1766.7</v>
      </c>
      <c r="S75" s="4">
        <v>883.3</v>
      </c>
      <c r="T75" s="4">
        <v>1766.7</v>
      </c>
      <c r="U75" s="4">
        <v>883.3</v>
      </c>
      <c r="V75" s="4">
        <v>1766.7</v>
      </c>
      <c r="W75" s="4">
        <f>SUM(W72:W74)</f>
        <v>5300</v>
      </c>
      <c r="X75" s="23">
        <f>X72+X73+X74</f>
        <v>2494.96</v>
      </c>
      <c r="Y75" s="12">
        <f ca="1">IFERROR(__xludf.DUMMYFUNCTION("INDEX(IMPORTRANGE(""1y0FWgjbB0gVlqn-q5LMJbGIsqOrzru4yowQz67dz2yc"", ""'GAR'!BH3:BH139""),MATCH(D75,IMPORTRANGE(""1y0FWgjbB0gVlqn-q5LMJbGIsqOrzru4yowQz67dz2yc"", ""'GAR'!D3:D139""),0))"),4543.19)</f>
        <v>4543.1899999999996</v>
      </c>
      <c r="Z75" s="12">
        <f ca="1">IFERROR(__xludf.DUMMYFUNCTION("INDEX(IMPORTRANGE(""1y0FWgjbB0gVlqn-q5LMJbGIsqOrzru4yowQz67dz2yc"", ""'GAR'!BI3:BI139""),MATCH(D75,IMPORTRANGE(""1y0FWgjbB0gVlqn-q5LMJbGIsqOrzru4yowQz67dz2yc"", ""'GAR'!D3:D139""),0))"),0)</f>
        <v>0</v>
      </c>
      <c r="AA75" s="2"/>
      <c r="AB75" s="2"/>
      <c r="AC75" s="2"/>
    </row>
    <row r="76" spans="1:29">
      <c r="A76" s="151" t="s">
        <v>199</v>
      </c>
      <c r="B76" s="151" t="s">
        <v>200</v>
      </c>
      <c r="C76" s="151" t="s">
        <v>30</v>
      </c>
      <c r="D76" s="151" t="s">
        <v>211</v>
      </c>
      <c r="E76" s="7" t="s">
        <v>38</v>
      </c>
      <c r="F76" s="9" t="s">
        <v>212</v>
      </c>
      <c r="G76" s="155" t="s">
        <v>213</v>
      </c>
      <c r="H76" s="156" t="s">
        <v>214</v>
      </c>
      <c r="I76" s="7" t="s">
        <v>215</v>
      </c>
      <c r="J76" s="13"/>
      <c r="K76" s="7" t="s">
        <v>216</v>
      </c>
      <c r="L76" s="13"/>
      <c r="M76" s="7" t="s">
        <v>217</v>
      </c>
      <c r="N76" s="1" t="s">
        <v>218</v>
      </c>
      <c r="O76" s="1" t="s">
        <v>218</v>
      </c>
      <c r="P76" s="36">
        <v>21422303.489999998</v>
      </c>
      <c r="Q76" s="36">
        <v>21422303.489999998</v>
      </c>
      <c r="R76" s="13"/>
      <c r="S76" s="13"/>
      <c r="T76" s="13"/>
      <c r="U76" s="13"/>
      <c r="V76" s="13"/>
      <c r="W76" s="4"/>
      <c r="X76" s="36">
        <v>21422303.489999998</v>
      </c>
      <c r="Y76" s="330" t="str">
        <f ca="1">IFERROR(__xludf.DUMMYFUNCTION("INDEX(IMPORTRANGE(""1y0FWgjbB0gVlqn-q5LMJbGIsqOrzru4yowQz67dz2yc"", ""'GAR'!BH3:BH139""),MATCH(D76,IMPORTRANGE(""1y0FWgjbB0gVlqn-q5LMJbGIsqOrzru4yowQz67dz2yc"", ""'GAR'!D3:D139""),0))"),"")</f>
        <v/>
      </c>
      <c r="Z76" s="36">
        <f ca="1">IFERROR(__xludf.DUMMYFUNCTION("INDEX(IMPORTRANGE(""1y0FWgjbB0gVlqn-q5LMJbGIsqOrzru4yowQz67dz2yc"", ""'GAR'!BI3:BI139""),MATCH(D76,IMPORTRANGE(""1y0FWgjbB0gVlqn-q5LMJbGIsqOrzru4yowQz67dz2yc"", ""'GAR'!D3:D139""),0))"),15621633.95)</f>
        <v>15621633.949999999</v>
      </c>
      <c r="AA76" s="1"/>
      <c r="AB76" s="1"/>
      <c r="AC76" s="1"/>
    </row>
    <row r="77" spans="1:29">
      <c r="A77" s="151" t="s">
        <v>199</v>
      </c>
      <c r="B77" s="151" t="s">
        <v>200</v>
      </c>
      <c r="C77" s="151" t="s">
        <v>30</v>
      </c>
      <c r="D77" s="151" t="s">
        <v>219</v>
      </c>
      <c r="E77" s="7" t="s">
        <v>38</v>
      </c>
      <c r="F77" s="9" t="s">
        <v>220</v>
      </c>
      <c r="G77" s="155" t="s">
        <v>213</v>
      </c>
      <c r="H77" s="156" t="s">
        <v>214</v>
      </c>
      <c r="I77" s="7" t="s">
        <v>215</v>
      </c>
      <c r="J77" s="13"/>
      <c r="K77" s="7" t="s">
        <v>216</v>
      </c>
      <c r="L77" s="13"/>
      <c r="M77" s="7" t="s">
        <v>217</v>
      </c>
      <c r="N77" s="1" t="s">
        <v>218</v>
      </c>
      <c r="O77" s="1" t="s">
        <v>218</v>
      </c>
      <c r="P77" s="36">
        <v>1235527.21</v>
      </c>
      <c r="Q77" s="36">
        <v>1235527.21</v>
      </c>
      <c r="R77" s="13"/>
      <c r="S77" s="13"/>
      <c r="T77" s="13"/>
      <c r="U77" s="13"/>
      <c r="V77" s="13"/>
      <c r="W77" s="4"/>
      <c r="X77" s="36">
        <v>1235527.21</v>
      </c>
      <c r="Y77" s="330" t="str">
        <f ca="1">IFERROR(__xludf.DUMMYFUNCTION("INDEX(IMPORTRANGE(""1y0FWgjbB0gVlqn-q5LMJbGIsqOrzru4yowQz67dz2yc"", ""'GAR'!BH3:BH139""),MATCH(D77,IMPORTRANGE(""1y0FWgjbB0gVlqn-q5LMJbGIsqOrzru4yowQz67dz2yc"", ""'GAR'!D3:D139""),0))"),"")</f>
        <v/>
      </c>
      <c r="Z77" s="36">
        <f ca="1">IFERROR(__xludf.DUMMYFUNCTION("INDEX(IMPORTRANGE(""1y0FWgjbB0gVlqn-q5LMJbGIsqOrzru4yowQz67dz2yc"", ""'GAR'!BI3:BI139""),MATCH(D77,IMPORTRANGE(""1y0FWgjbB0gVlqn-q5LMJbGIsqOrzru4yowQz67dz2yc"", ""'GAR'!D3:D139""),0))"),1017342.76)</f>
        <v>1017342.76</v>
      </c>
      <c r="AA77" s="1"/>
      <c r="AB77" s="1"/>
      <c r="AC77" s="1"/>
    </row>
    <row r="78" spans="1:29">
      <c r="A78" s="149" t="s">
        <v>199</v>
      </c>
      <c r="B78" s="149" t="s">
        <v>200</v>
      </c>
      <c r="C78" s="149" t="s">
        <v>36</v>
      </c>
      <c r="D78" s="149" t="s">
        <v>221</v>
      </c>
      <c r="E78" s="9" t="s">
        <v>38</v>
      </c>
      <c r="F78" s="9" t="s">
        <v>222</v>
      </c>
      <c r="G78" s="21" t="s">
        <v>213</v>
      </c>
      <c r="H78" s="22" t="s">
        <v>214</v>
      </c>
      <c r="I78" s="9" t="s">
        <v>215</v>
      </c>
      <c r="J78" s="4"/>
      <c r="K78" s="9" t="s">
        <v>216</v>
      </c>
      <c r="L78" s="4"/>
      <c r="M78" s="9" t="s">
        <v>217</v>
      </c>
      <c r="N78" s="2" t="s">
        <v>218</v>
      </c>
      <c r="O78" s="2" t="s">
        <v>218</v>
      </c>
      <c r="P78" s="15">
        <f t="shared" ref="P78:Q78" si="20">P77/P76</f>
        <v>5.767480656675171E-2</v>
      </c>
      <c r="Q78" s="15">
        <f t="shared" si="20"/>
        <v>5.767480656675171E-2</v>
      </c>
      <c r="R78" s="15"/>
      <c r="S78" s="15">
        <v>7.1999999999999995E-2</v>
      </c>
      <c r="T78" s="15"/>
      <c r="U78" s="15">
        <v>8.5999999999999993E-2</v>
      </c>
      <c r="V78" s="15">
        <v>0.1</v>
      </c>
      <c r="W78" s="15">
        <v>0.1</v>
      </c>
      <c r="X78" s="15">
        <f>X77/X76</f>
        <v>5.767480656675171E-2</v>
      </c>
      <c r="Y78" s="38" t="str">
        <f ca="1">IFERROR(__xludf.DUMMYFUNCTION("INDEX(IMPORTRANGE(""1y0FWgjbB0gVlqn-q5LMJbGIsqOrzru4yowQz67dz2yc"", ""'GAR'!BH3:BH139""),MATCH(D78,IMPORTRANGE(""1y0FWgjbB0gVlqn-q5LMJbGIsqOrzru4yowQz67dz2yc"", ""'GAR'!D3:D139""),0))"),"")</f>
        <v/>
      </c>
      <c r="Z78" s="15">
        <f ca="1">IFERROR(__xludf.DUMMYFUNCTION("INDEX(IMPORTRANGE(""1y0FWgjbB0gVlqn-q5LMJbGIsqOrzru4yowQz67dz2yc"", ""'GAR'!BI3:BI139""),MATCH(D78,IMPORTRANGE(""1y0FWgjbB0gVlqn-q5LMJbGIsqOrzru4yowQz67dz2yc"", ""'GAR'!D3:D139""),0))"),0.0651239661136727)</f>
        <v>6.5123966113672702E-2</v>
      </c>
      <c r="AA78" s="2"/>
      <c r="AB78" s="2"/>
      <c r="AC78" s="2"/>
    </row>
    <row r="79" spans="1:29">
      <c r="A79" s="149" t="s">
        <v>199</v>
      </c>
      <c r="B79" s="149" t="s">
        <v>200</v>
      </c>
      <c r="C79" s="149" t="s">
        <v>30</v>
      </c>
      <c r="D79" s="149" t="s">
        <v>223</v>
      </c>
      <c r="E79" s="7" t="s">
        <v>38</v>
      </c>
      <c r="F79" s="9" t="s">
        <v>224</v>
      </c>
      <c r="G79" s="22" t="s">
        <v>56</v>
      </c>
      <c r="H79" s="2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0</v>
      </c>
      <c r="Q79" s="12">
        <v>0</v>
      </c>
      <c r="R79" s="1"/>
      <c r="S79" s="1"/>
      <c r="T79" s="1"/>
      <c r="U79" s="1"/>
      <c r="V79" s="1"/>
      <c r="W79" s="2">
        <v>3</v>
      </c>
      <c r="X79" s="12">
        <v>0</v>
      </c>
      <c r="Y79" s="12">
        <f ca="1">IFERROR(__xludf.DUMMYFUNCTION("INDEX(IMPORTRANGE(""1y0FWgjbB0gVlqn-q5LMJbGIsqOrzru4yowQz67dz2yc"", ""'GAR'!BH3:BH139""),MATCH(D79,IMPORTRANGE(""1y0FWgjbB0gVlqn-q5LMJbGIsqOrzru4yowQz67dz2yc"", ""'GAR'!D3:D139""),0))"),0)</f>
        <v>0</v>
      </c>
      <c r="Z79" s="12">
        <f ca="1">IFERROR(__xludf.DUMMYFUNCTION("INDEX(IMPORTRANGE(""1y0FWgjbB0gVlqn-q5LMJbGIsqOrzru4yowQz67dz2yc"", ""'GAR'!BI3:BI139""),MATCH(D79,IMPORTRANGE(""1y0FWgjbB0gVlqn-q5LMJbGIsqOrzru4yowQz67dz2yc"", ""'GAR'!D3:D139""),0))"),0)</f>
        <v>0</v>
      </c>
      <c r="AA79" s="1"/>
      <c r="AB79" s="1"/>
      <c r="AC79" s="1"/>
    </row>
    <row r="80" spans="1:29">
      <c r="A80" s="151" t="s">
        <v>199</v>
      </c>
      <c r="B80" s="151" t="s">
        <v>200</v>
      </c>
      <c r="C80" s="151" t="s">
        <v>30</v>
      </c>
      <c r="D80" s="151" t="s">
        <v>225</v>
      </c>
      <c r="E80" s="7" t="s">
        <v>38</v>
      </c>
      <c r="F80" s="9" t="s">
        <v>182</v>
      </c>
      <c r="G80" s="22" t="s">
        <v>56</v>
      </c>
      <c r="H80" s="2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0</v>
      </c>
      <c r="Q80" s="12">
        <v>0</v>
      </c>
      <c r="R80" s="1"/>
      <c r="S80" s="1"/>
      <c r="T80" s="1"/>
      <c r="U80" s="1"/>
      <c r="V80" s="1"/>
      <c r="W80" s="2">
        <v>5</v>
      </c>
      <c r="X80" s="12">
        <v>0</v>
      </c>
      <c r="Y80" s="12">
        <f ca="1">IFERROR(__xludf.DUMMYFUNCTION("INDEX(IMPORTRANGE(""1y0FWgjbB0gVlqn-q5LMJbGIsqOrzru4yowQz67dz2yc"", ""'GAR'!BH3:BH139""),MATCH(D80,IMPORTRANGE(""1y0FWgjbB0gVlqn-q5LMJbGIsqOrzru4yowQz67dz2yc"", ""'GAR'!D3:D139""),0))"),0)</f>
        <v>0</v>
      </c>
      <c r="Z80" s="12">
        <f ca="1">IFERROR(__xludf.DUMMYFUNCTION("INDEX(IMPORTRANGE(""1y0FWgjbB0gVlqn-q5LMJbGIsqOrzru4yowQz67dz2yc"", ""'GAR'!BI3:BI139""),MATCH(D80,IMPORTRANGE(""1y0FWgjbB0gVlqn-q5LMJbGIsqOrzru4yowQz67dz2yc"", ""'GAR'!D3:D139""),0))"),0)</f>
        <v>0</v>
      </c>
      <c r="AA80" s="1"/>
      <c r="AB80" s="1"/>
      <c r="AC80" s="1"/>
    </row>
    <row r="81" spans="1:29">
      <c r="A81" s="151" t="s">
        <v>199</v>
      </c>
      <c r="B81" s="151" t="s">
        <v>200</v>
      </c>
      <c r="C81" s="151" t="s">
        <v>36</v>
      </c>
      <c r="D81" s="151" t="s">
        <v>226</v>
      </c>
      <c r="E81" s="9" t="s">
        <v>38</v>
      </c>
      <c r="F81" s="9" t="s">
        <v>227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f t="shared" ref="P81:Q81" si="21">P79+P80</f>
        <v>0</v>
      </c>
      <c r="Q81" s="12">
        <f t="shared" si="21"/>
        <v>0</v>
      </c>
      <c r="R81" s="4">
        <v>3</v>
      </c>
      <c r="S81" s="4">
        <v>2</v>
      </c>
      <c r="T81" s="4">
        <v>3</v>
      </c>
      <c r="U81" s="4">
        <v>1</v>
      </c>
      <c r="V81" s="4">
        <v>2</v>
      </c>
      <c r="W81" s="4">
        <f>SUM(W79:W80)</f>
        <v>8</v>
      </c>
      <c r="X81" s="12">
        <f>X79+X80</f>
        <v>0</v>
      </c>
      <c r="Y81" s="12">
        <f ca="1">IFERROR(__xludf.DUMMYFUNCTION("INDEX(IMPORTRANGE(""1y0FWgjbB0gVlqn-q5LMJbGIsqOrzru4yowQz67dz2yc"", ""'GAR'!BH3:BH139""),MATCH(D81,IMPORTRANGE(""1y0FWgjbB0gVlqn-q5LMJbGIsqOrzru4yowQz67dz2yc"", ""'GAR'!D3:D139""),0))"),0)</f>
        <v>0</v>
      </c>
      <c r="Z81" s="12">
        <f ca="1">IFERROR(__xludf.DUMMYFUNCTION("INDEX(IMPORTRANGE(""1y0FWgjbB0gVlqn-q5LMJbGIsqOrzru4yowQz67dz2yc"", ""'GAR'!BI3:BI139""),MATCH(D81,IMPORTRANGE(""1y0FWgjbB0gVlqn-q5LMJbGIsqOrzru4yowQz67dz2yc"", ""'GAR'!D3:D139""),0))"),0)</f>
        <v>0</v>
      </c>
      <c r="AA81" s="2"/>
      <c r="AB81" s="2"/>
      <c r="AC81" s="2"/>
    </row>
    <row r="82" spans="1:29">
      <c r="A82" s="149" t="s">
        <v>199</v>
      </c>
      <c r="B82" s="149" t="s">
        <v>228</v>
      </c>
      <c r="C82" s="149" t="s">
        <v>30</v>
      </c>
      <c r="D82" s="149" t="s">
        <v>229</v>
      </c>
      <c r="E82" s="7" t="s">
        <v>38</v>
      </c>
      <c r="F82" s="9" t="s">
        <v>230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66</v>
      </c>
      <c r="Q82" s="12">
        <v>144</v>
      </c>
      <c r="R82" s="13"/>
      <c r="S82" s="13"/>
      <c r="T82" s="13"/>
      <c r="U82" s="13"/>
      <c r="V82" s="13"/>
      <c r="W82" s="4"/>
      <c r="X82" s="12">
        <v>44</v>
      </c>
      <c r="Y82" s="12">
        <f ca="1">IFERROR(__xludf.DUMMYFUNCTION("INDEX(IMPORTRANGE(""1y0FWgjbB0gVlqn-q5LMJbGIsqOrzru4yowQz67dz2yc"", ""'GAR'!BH3:BH139""),MATCH(D82,IMPORTRANGE(""1y0FWgjbB0gVlqn-q5LMJbGIsqOrzru4yowQz67dz2yc"", ""'GAR'!D3:D139""),0))"),109)</f>
        <v>109</v>
      </c>
      <c r="Z82" s="12">
        <f ca="1">IFERROR(__xludf.DUMMYFUNCTION("INDEX(IMPORTRANGE(""1y0FWgjbB0gVlqn-q5LMJbGIsqOrzru4yowQz67dz2yc"", ""'GAR'!BI3:BI139""),MATCH(D82,IMPORTRANGE(""1y0FWgjbB0gVlqn-q5LMJbGIsqOrzru4yowQz67dz2yc"", ""'GAR'!D3:D139""),0))"),54)</f>
        <v>54</v>
      </c>
      <c r="AA82" s="1"/>
      <c r="AB82" s="1"/>
      <c r="AC82" s="1"/>
    </row>
    <row r="83" spans="1:29">
      <c r="A83" s="149" t="s">
        <v>199</v>
      </c>
      <c r="B83" s="149" t="s">
        <v>228</v>
      </c>
      <c r="C83" s="149" t="s">
        <v>30</v>
      </c>
      <c r="D83" s="149" t="s">
        <v>233</v>
      </c>
      <c r="E83" s="7" t="s">
        <v>38</v>
      </c>
      <c r="F83" s="9" t="s">
        <v>234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7</v>
      </c>
      <c r="Q83" s="12">
        <v>9</v>
      </c>
      <c r="R83" s="13"/>
      <c r="S83" s="13"/>
      <c r="T83" s="13"/>
      <c r="U83" s="13"/>
      <c r="V83" s="13"/>
      <c r="W83" s="4"/>
      <c r="X83" s="12">
        <v>4</v>
      </c>
      <c r="Y83" s="12">
        <f ca="1">IFERROR(__xludf.DUMMYFUNCTION("INDEX(IMPORTRANGE(""1y0FWgjbB0gVlqn-q5LMJbGIsqOrzru4yowQz67dz2yc"", ""'GAR'!BH3:BH139""),MATCH(D83,IMPORTRANGE(""1y0FWgjbB0gVlqn-q5LMJbGIsqOrzru4yowQz67dz2yc"", ""'GAR'!D3:D139""),0))"),15)</f>
        <v>15</v>
      </c>
      <c r="Z83" s="12">
        <f ca="1">IFERROR(__xludf.DUMMYFUNCTION("INDEX(IMPORTRANGE(""1y0FWgjbB0gVlqn-q5LMJbGIsqOrzru4yowQz67dz2yc"", ""'GAR'!BI3:BI139""),MATCH(D83,IMPORTRANGE(""1y0FWgjbB0gVlqn-q5LMJbGIsqOrzru4yowQz67dz2yc"", ""'GAR'!D3:D139""),0))"),2)</f>
        <v>2</v>
      </c>
      <c r="AA83" s="1"/>
      <c r="AB83" s="1"/>
      <c r="AC83" s="1"/>
    </row>
    <row r="84" spans="1:29">
      <c r="A84" s="149" t="s">
        <v>199</v>
      </c>
      <c r="B84" s="149" t="s">
        <v>228</v>
      </c>
      <c r="C84" s="149" t="s">
        <v>30</v>
      </c>
      <c r="D84" s="149" t="s">
        <v>235</v>
      </c>
      <c r="E84" s="7" t="s">
        <v>38</v>
      </c>
      <c r="F84" s="9" t="s">
        <v>236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964</v>
      </c>
      <c r="Q84" s="12">
        <v>2141</v>
      </c>
      <c r="R84" s="13"/>
      <c r="S84" s="13"/>
      <c r="T84" s="13"/>
      <c r="U84" s="13"/>
      <c r="V84" s="13"/>
      <c r="W84" s="4"/>
      <c r="X84" s="12">
        <v>460</v>
      </c>
      <c r="Y84" s="12">
        <f ca="1">IFERROR(__xludf.DUMMYFUNCTION("INDEX(IMPORTRANGE(""1y0FWgjbB0gVlqn-q5LMJbGIsqOrzru4yowQz67dz2yc"", ""'GAR'!BH3:BH139""),MATCH(D84,IMPORTRANGE(""1y0FWgjbB0gVlqn-q5LMJbGIsqOrzru4yowQz67dz2yc"", ""'GAR'!D3:D139""),0))"),951)</f>
        <v>951</v>
      </c>
      <c r="Z84" s="12">
        <f ca="1">IFERROR(__xludf.DUMMYFUNCTION("INDEX(IMPORTRANGE(""1y0FWgjbB0gVlqn-q5LMJbGIsqOrzru4yowQz67dz2yc"", ""'GAR'!BI3:BI139""),MATCH(D84,IMPORTRANGE(""1y0FWgjbB0gVlqn-q5LMJbGIsqOrzru4yowQz67dz2yc"", ""'GAR'!D3:D139""),0))"),390)</f>
        <v>390</v>
      </c>
      <c r="AA84" s="1"/>
      <c r="AB84" s="1"/>
      <c r="AC84" s="1"/>
    </row>
    <row r="85" spans="1:29">
      <c r="A85" s="149" t="s">
        <v>199</v>
      </c>
      <c r="B85" s="149" t="s">
        <v>228</v>
      </c>
      <c r="C85" s="149" t="s">
        <v>30</v>
      </c>
      <c r="D85" s="149" t="s">
        <v>237</v>
      </c>
      <c r="E85" s="7" t="s">
        <v>38</v>
      </c>
      <c r="F85" s="9" t="s">
        <v>238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62</v>
      </c>
      <c r="Q85" s="12">
        <v>79</v>
      </c>
      <c r="R85" s="13"/>
      <c r="S85" s="13"/>
      <c r="T85" s="13"/>
      <c r="U85" s="13"/>
      <c r="V85" s="13"/>
      <c r="W85" s="4"/>
      <c r="X85" s="12">
        <v>152</v>
      </c>
      <c r="Y85" s="12">
        <f ca="1">IFERROR(__xludf.DUMMYFUNCTION("INDEX(IMPORTRANGE(""1y0FWgjbB0gVlqn-q5LMJbGIsqOrzru4yowQz67dz2yc"", ""'GAR'!BH3:BH139""),MATCH(D85,IMPORTRANGE(""1y0FWgjbB0gVlqn-q5LMJbGIsqOrzru4yowQz67dz2yc"", ""'GAR'!D3:D139""),0))"),338)</f>
        <v>338</v>
      </c>
      <c r="Z85" s="12">
        <f ca="1">IFERROR(__xludf.DUMMYFUNCTION("INDEX(IMPORTRANGE(""1y0FWgjbB0gVlqn-q5LMJbGIsqOrzru4yowQz67dz2yc"", ""'GAR'!BI3:BI139""),MATCH(D85,IMPORTRANGE(""1y0FWgjbB0gVlqn-q5LMJbGIsqOrzru4yowQz67dz2yc"", ""'GAR'!D3:D139""),0))"),141)</f>
        <v>141</v>
      </c>
      <c r="AA85" s="1"/>
      <c r="AB85" s="1"/>
      <c r="AC85" s="1"/>
    </row>
    <row r="86" spans="1:29">
      <c r="A86" s="149" t="s">
        <v>199</v>
      </c>
      <c r="B86" s="149" t="s">
        <v>228</v>
      </c>
      <c r="C86" s="149" t="s">
        <v>30</v>
      </c>
      <c r="D86" s="149" t="s">
        <v>239</v>
      </c>
      <c r="E86" s="7" t="s">
        <v>38</v>
      </c>
      <c r="F86" s="9" t="s">
        <v>240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367</v>
      </c>
      <c r="Q86" s="12">
        <v>751</v>
      </c>
      <c r="R86" s="13"/>
      <c r="S86" s="13"/>
      <c r="T86" s="13"/>
      <c r="U86" s="13"/>
      <c r="V86" s="13"/>
      <c r="W86" s="4"/>
      <c r="X86" s="12">
        <v>434</v>
      </c>
      <c r="Y86" s="12">
        <f ca="1">IFERROR(__xludf.DUMMYFUNCTION("INDEX(IMPORTRANGE(""1y0FWgjbB0gVlqn-q5LMJbGIsqOrzru4yowQz67dz2yc"", ""'GAR'!BH3:BH139""),MATCH(D86,IMPORTRANGE(""1y0FWgjbB0gVlqn-q5LMJbGIsqOrzru4yowQz67dz2yc"", ""'GAR'!D3:D139""),0))"),996)</f>
        <v>996</v>
      </c>
      <c r="Z86" s="12">
        <f ca="1">IFERROR(__xludf.DUMMYFUNCTION("INDEX(IMPORTRANGE(""1y0FWgjbB0gVlqn-q5LMJbGIsqOrzru4yowQz67dz2yc"", ""'GAR'!BI3:BI139""),MATCH(D86,IMPORTRANGE(""1y0FWgjbB0gVlqn-q5LMJbGIsqOrzru4yowQz67dz2yc"", ""'GAR'!D3:D139""),0))"),372)</f>
        <v>372</v>
      </c>
      <c r="AA86" s="1"/>
      <c r="AB86" s="1"/>
      <c r="AC86" s="1"/>
    </row>
    <row r="87" spans="1:29">
      <c r="A87" s="149" t="s">
        <v>199</v>
      </c>
      <c r="B87" s="149" t="s">
        <v>228</v>
      </c>
      <c r="C87" s="149" t="s">
        <v>36</v>
      </c>
      <c r="D87" s="149" t="s">
        <v>241</v>
      </c>
      <c r="E87" s="9" t="s">
        <v>38</v>
      </c>
      <c r="F87" s="2" t="s">
        <v>242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1466</v>
      </c>
      <c r="Q87" s="12">
        <v>3124</v>
      </c>
      <c r="R87" s="12">
        <v>3020</v>
      </c>
      <c r="S87" s="12">
        <v>1417</v>
      </c>
      <c r="T87" s="12">
        <v>2915.7</v>
      </c>
      <c r="U87" s="12">
        <v>1368.3</v>
      </c>
      <c r="V87" s="12">
        <v>1319.4</v>
      </c>
      <c r="W87" s="12">
        <v>2811.6</v>
      </c>
      <c r="X87" s="12">
        <v>1094</v>
      </c>
      <c r="Y87" s="12">
        <f ca="1">IFERROR(__xludf.DUMMYFUNCTION("INDEX(IMPORTRANGE(""1y0FWgjbB0gVlqn-q5LMJbGIsqOrzru4yowQz67dz2yc"", ""'GAR'!BH3:BH139""),MATCH(D87,IMPORTRANGE(""1y0FWgjbB0gVlqn-q5LMJbGIsqOrzru4yowQz67dz2yc"", ""'GAR'!D3:D139""),0))"),2409)</f>
        <v>2409</v>
      </c>
      <c r="Z87" s="12">
        <f ca="1">IFERROR(__xludf.DUMMYFUNCTION("INDEX(IMPORTRANGE(""1y0FWgjbB0gVlqn-q5LMJbGIsqOrzru4yowQz67dz2yc"", ""'GAR'!BI3:BI139""),MATCH(D87,IMPORTRANGE(""1y0FWgjbB0gVlqn-q5LMJbGIsqOrzru4yowQz67dz2yc"", ""'GAR'!D3:D139""),0))"),959)</f>
        <v>959</v>
      </c>
      <c r="AA87" s="2"/>
      <c r="AB87" s="2"/>
      <c r="AC87" s="2"/>
    </row>
    <row r="88" spans="1:29">
      <c r="A88" s="149" t="s">
        <v>243</v>
      </c>
      <c r="B88" s="149" t="s">
        <v>244</v>
      </c>
      <c r="C88" s="149" t="s">
        <v>36</v>
      </c>
      <c r="D88" s="149" t="s">
        <v>338</v>
      </c>
      <c r="E88" s="9" t="s">
        <v>38</v>
      </c>
      <c r="F88" s="9" t="s">
        <v>246</v>
      </c>
      <c r="G88" s="22" t="s">
        <v>56</v>
      </c>
      <c r="H88" s="2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0</v>
      </c>
      <c r="Q88" s="12">
        <v>0</v>
      </c>
      <c r="R88" s="2">
        <v>40</v>
      </c>
      <c r="S88" s="2">
        <v>80</v>
      </c>
      <c r="T88" s="2">
        <v>120</v>
      </c>
      <c r="U88" s="2">
        <v>160</v>
      </c>
      <c r="V88" s="2">
        <v>200</v>
      </c>
      <c r="W88" s="2">
        <v>200</v>
      </c>
      <c r="X88" s="12">
        <v>6</v>
      </c>
      <c r="Y88" s="2">
        <f ca="1">IFERROR(__xludf.DUMMYFUNCTION("INDEX(IMPORTRANGE(""1y0FWgjbB0gVlqn-q5LMJbGIsqOrzru4yowQz67dz2yc"", ""'GAR'!BH3:BH139""),MATCH(D88,IMPORTRANGE(""1y0FWgjbB0gVlqn-q5LMJbGIsqOrzru4yowQz67dz2yc"", ""'GAR'!D3:D139""),0))"),52)</f>
        <v>52</v>
      </c>
      <c r="Z88" s="2">
        <f ca="1">IFERROR(__xludf.DUMMYFUNCTION("INDEX(IMPORTRANGE(""1y0FWgjbB0gVlqn-q5LMJbGIsqOrzru4yowQz67dz2yc"", ""'GAR'!BI3:BI139""),MATCH(D88,IMPORTRANGE(""1y0FWgjbB0gVlqn-q5LMJbGIsqOrzru4yowQz67dz2yc"", ""'GAR'!D3:D139""),0))"),84)</f>
        <v>84</v>
      </c>
      <c r="AA88" s="2"/>
      <c r="AB88" s="2"/>
      <c r="AC88" s="2"/>
    </row>
    <row r="89" spans="1:29">
      <c r="A89" s="149" t="s">
        <v>243</v>
      </c>
      <c r="B89" s="149" t="s">
        <v>247</v>
      </c>
      <c r="C89" s="149" t="s">
        <v>36</v>
      </c>
      <c r="D89" s="149" t="s">
        <v>248</v>
      </c>
      <c r="E89" s="9" t="s">
        <v>38</v>
      </c>
      <c r="F89" s="9" t="s">
        <v>249</v>
      </c>
      <c r="G89" s="10">
        <v>44469</v>
      </c>
      <c r="H89" s="10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12">
        <v>2</v>
      </c>
      <c r="Q89" s="12">
        <v>2</v>
      </c>
      <c r="R89" s="2">
        <v>1</v>
      </c>
      <c r="S89" s="2">
        <v>2</v>
      </c>
      <c r="T89" s="2">
        <v>2</v>
      </c>
      <c r="U89" s="2">
        <v>3</v>
      </c>
      <c r="V89" s="2">
        <v>3</v>
      </c>
      <c r="W89" s="2">
        <v>3</v>
      </c>
      <c r="X89" s="12">
        <v>2</v>
      </c>
      <c r="Y89" s="2">
        <f ca="1">IFERROR(__xludf.DUMMYFUNCTION("INDEX(IMPORTRANGE(""1y0FWgjbB0gVlqn-q5LMJbGIsqOrzru4yowQz67dz2yc"", ""'GAR'!BH3:BH139""),MATCH(D89,IMPORTRANGE(""1y0FWgjbB0gVlqn-q5LMJbGIsqOrzru4yowQz67dz2yc"", ""'GAR'!D3:D139""),0))"),3)</f>
        <v>3</v>
      </c>
      <c r="Z89" s="2">
        <f ca="1">IFERROR(__xludf.DUMMYFUNCTION("INDEX(IMPORTRANGE(""1y0FWgjbB0gVlqn-q5LMJbGIsqOrzru4yowQz67dz2yc"", ""'GAR'!BI3:BI139""),MATCH(D89,IMPORTRANGE(""1y0FWgjbB0gVlqn-q5LMJbGIsqOrzru4yowQz67dz2yc"", ""'GAR'!D3:D139""),0))"),2)</f>
        <v>2</v>
      </c>
      <c r="AA89" s="2"/>
      <c r="AB89" s="2"/>
      <c r="AC89" s="2"/>
    </row>
    <row r="90" spans="1:29">
      <c r="A90" s="149" t="s">
        <v>243</v>
      </c>
      <c r="B90" s="149" t="s">
        <v>250</v>
      </c>
      <c r="C90" s="149" t="s">
        <v>36</v>
      </c>
      <c r="D90" s="149" t="s">
        <v>251</v>
      </c>
      <c r="E90" s="9" t="s">
        <v>252</v>
      </c>
      <c r="F90" s="9" t="s">
        <v>253</v>
      </c>
      <c r="G90" s="10">
        <v>44469</v>
      </c>
      <c r="H90" s="10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94.73</v>
      </c>
      <c r="Q90" s="12">
        <v>94.73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12">
        <v>100</v>
      </c>
      <c r="Y90" s="24">
        <f ca="1">IFERROR(__xludf.DUMMYFUNCTION("INDEX(IMPORTRANGE(""1y0FWgjbB0gVlqn-q5LMJbGIsqOrzru4yowQz67dz2yc"", ""'GAR'!BH3:BH139""),MATCH(D90,IMPORTRANGE(""1y0FWgjbB0gVlqn-q5LMJbGIsqOrzru4yowQz67dz2yc"", ""'GAR'!D3:D139""),0))"),90.98)</f>
        <v>90.98</v>
      </c>
      <c r="Z90" s="24">
        <f ca="1">IFERROR(__xludf.DUMMYFUNCTION("INDEX(IMPORTRANGE(""1y0FWgjbB0gVlqn-q5LMJbGIsqOrzru4yowQz67dz2yc"", ""'GAR'!BI3:BI139""),MATCH(D90,IMPORTRANGE(""1y0FWgjbB0gVlqn-q5LMJbGIsqOrzru4yowQz67dz2yc"", ""'GAR'!D3:D139""),0))"),94.85)</f>
        <v>94.85</v>
      </c>
      <c r="AA90" s="2"/>
      <c r="AB90" s="2"/>
      <c r="AC90" s="2"/>
    </row>
    <row r="91" spans="1:29">
      <c r="A91" s="149" t="s">
        <v>243</v>
      </c>
      <c r="B91" s="149" t="s">
        <v>257</v>
      </c>
      <c r="C91" s="149" t="s">
        <v>36</v>
      </c>
      <c r="D91" s="149" t="s">
        <v>258</v>
      </c>
      <c r="E91" s="9" t="s">
        <v>38</v>
      </c>
      <c r="F91" s="9" t="s">
        <v>259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1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12">
        <v>0</v>
      </c>
      <c r="Y91" s="12">
        <f ca="1">IFERROR(__xludf.DUMMYFUNCTION("INDEX(IMPORTRANGE(""1y0FWgjbB0gVlqn-q5LMJbGIsqOrzru4yowQz67dz2yc"", ""'GAR'!BH3:BH139""),MATCH(D91,IMPORTRANGE(""1y0FWgjbB0gVlqn-q5LMJbGIsqOrzru4yowQz67dz2yc"", ""'GAR'!D3:D139""),0))"),0)</f>
        <v>0</v>
      </c>
      <c r="Z91" s="12">
        <f ca="1">IFERROR(__xludf.DUMMYFUNCTION("INDEX(IMPORTRANGE(""1y0FWgjbB0gVlqn-q5LMJbGIsqOrzru4yowQz67dz2yc"", ""'GAR'!BI3:BI139""),MATCH(D91,IMPORTRANGE(""1y0FWgjbB0gVlqn-q5LMJbGIsqOrzru4yowQz67dz2yc"", ""'GAR'!D3:D139""),0))"),0)</f>
        <v>0</v>
      </c>
      <c r="AA91" s="2"/>
      <c r="AB91" s="2"/>
      <c r="AC91" s="2"/>
    </row>
    <row r="92" spans="1:29">
      <c r="A92" s="149" t="s">
        <v>243</v>
      </c>
      <c r="B92" s="149" t="s">
        <v>260</v>
      </c>
      <c r="C92" s="149" t="s">
        <v>30</v>
      </c>
      <c r="D92" s="149" t="s">
        <v>261</v>
      </c>
      <c r="E92" s="7" t="s">
        <v>38</v>
      </c>
      <c r="F92" s="9" t="s">
        <v>262</v>
      </c>
      <c r="G92" s="10">
        <v>44469</v>
      </c>
      <c r="H92" s="324"/>
      <c r="I92" s="11">
        <v>44651</v>
      </c>
      <c r="J92" s="13"/>
      <c r="K92" s="11">
        <v>45016</v>
      </c>
      <c r="L92" s="13"/>
      <c r="M92" s="11">
        <v>45382</v>
      </c>
      <c r="N92" s="13"/>
      <c r="O92" s="11">
        <v>45565</v>
      </c>
      <c r="P92" s="254"/>
      <c r="Q92" s="254"/>
      <c r="R92" s="13"/>
      <c r="S92" s="13"/>
      <c r="T92" s="13"/>
      <c r="U92" s="13"/>
      <c r="V92" s="13"/>
      <c r="W92" s="4"/>
      <c r="X92" s="2">
        <v>4</v>
      </c>
      <c r="Y92" s="2">
        <f ca="1">IFERROR(__xludf.DUMMYFUNCTION("INDEX(IMPORTRANGE(""1y0FWgjbB0gVlqn-q5LMJbGIsqOrzru4yowQz67dz2yc"", ""'GAR'!BH3:BH139""),MATCH(D92,IMPORTRANGE(""1y0FWgjbB0gVlqn-q5LMJbGIsqOrzru4yowQz67dz2yc"", ""'GAR'!D3:D139""),0))"),2)</f>
        <v>2</v>
      </c>
      <c r="Z92" s="2">
        <f ca="1">IFERROR(__xludf.DUMMYFUNCTION("INDEX(IMPORTRANGE(""1y0FWgjbB0gVlqn-q5LMJbGIsqOrzru4yowQz67dz2yc"", ""'GAR'!BI3:BI139""),MATCH(D92,IMPORTRANGE(""1y0FWgjbB0gVlqn-q5LMJbGIsqOrzru4yowQz67dz2yc"", ""'GAR'!D3:D139""),0))"),4)</f>
        <v>4</v>
      </c>
      <c r="AA92" s="1"/>
      <c r="AB92" s="1"/>
      <c r="AC92" s="1"/>
    </row>
    <row r="93" spans="1:29">
      <c r="A93" s="149" t="s">
        <v>243</v>
      </c>
      <c r="B93" s="149" t="s">
        <v>260</v>
      </c>
      <c r="C93" s="149" t="s">
        <v>30</v>
      </c>
      <c r="D93" s="149" t="s">
        <v>263</v>
      </c>
      <c r="E93" s="7" t="s">
        <v>38</v>
      </c>
      <c r="F93" s="9" t="s">
        <v>264</v>
      </c>
      <c r="G93" s="10">
        <v>44469</v>
      </c>
      <c r="H93" s="290"/>
      <c r="I93" s="11">
        <v>44651</v>
      </c>
      <c r="J93" s="13"/>
      <c r="K93" s="11">
        <v>45016</v>
      </c>
      <c r="L93" s="13"/>
      <c r="M93" s="11">
        <v>45382</v>
      </c>
      <c r="N93" s="13"/>
      <c r="O93" s="11">
        <v>45565</v>
      </c>
      <c r="P93" s="254"/>
      <c r="Q93" s="254"/>
      <c r="R93" s="13"/>
      <c r="S93" s="13"/>
      <c r="T93" s="13"/>
      <c r="U93" s="13"/>
      <c r="V93" s="13"/>
      <c r="W93" s="4"/>
      <c r="X93" s="2">
        <v>17</v>
      </c>
      <c r="Y93" s="2">
        <f ca="1">IFERROR(__xludf.DUMMYFUNCTION("INDEX(IMPORTRANGE(""1y0FWgjbB0gVlqn-q5LMJbGIsqOrzru4yowQz67dz2yc"", ""'GAR'!BH3:BH139""),MATCH(D93,IMPORTRANGE(""1y0FWgjbB0gVlqn-q5LMJbGIsqOrzru4yowQz67dz2yc"", ""'GAR'!D3:D139""),0))"),13)</f>
        <v>13</v>
      </c>
      <c r="Z93" s="2">
        <f ca="1">IFERROR(__xludf.DUMMYFUNCTION("INDEX(IMPORTRANGE(""1y0FWgjbB0gVlqn-q5LMJbGIsqOrzru4yowQz67dz2yc"", ""'GAR'!BI3:BI139""),MATCH(D93,IMPORTRANGE(""1y0FWgjbB0gVlqn-q5LMJbGIsqOrzru4yowQz67dz2yc"", ""'GAR'!D3:D139""),0))"),17)</f>
        <v>17</v>
      </c>
      <c r="AA93" s="1"/>
      <c r="AB93" s="1"/>
      <c r="AC93" s="1"/>
    </row>
    <row r="94" spans="1:29">
      <c r="A94" s="149" t="s">
        <v>243</v>
      </c>
      <c r="B94" s="149" t="s">
        <v>260</v>
      </c>
      <c r="C94" s="149" t="s">
        <v>30</v>
      </c>
      <c r="D94" s="149" t="s">
        <v>265</v>
      </c>
      <c r="E94" s="7" t="s">
        <v>38</v>
      </c>
      <c r="F94" s="9" t="s">
        <v>266</v>
      </c>
      <c r="G94" s="10">
        <v>44469</v>
      </c>
      <c r="H94" s="290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4"/>
      <c r="X94" s="2">
        <v>0</v>
      </c>
      <c r="Y94" s="2">
        <f ca="1">IFERROR(__xludf.DUMMYFUNCTION("INDEX(IMPORTRANGE(""1y0FWgjbB0gVlqn-q5LMJbGIsqOrzru4yowQz67dz2yc"", ""'GAR'!BH3:BH139""),MATCH(D94,IMPORTRANGE(""1y0FWgjbB0gVlqn-q5LMJbGIsqOrzru4yowQz67dz2yc"", ""'GAR'!D3:D139""),0))"),0)</f>
        <v>0</v>
      </c>
      <c r="Z94" s="2">
        <f ca="1">IFERROR(__xludf.DUMMYFUNCTION("INDEX(IMPORTRANGE(""1y0FWgjbB0gVlqn-q5LMJbGIsqOrzru4yowQz67dz2yc"", ""'GAR'!BI3:BI139""),MATCH(D94,IMPORTRANGE(""1y0FWgjbB0gVlqn-q5LMJbGIsqOrzru4yowQz67dz2yc"", ""'GAR'!D3:D139""),0))"),0)</f>
        <v>0</v>
      </c>
      <c r="AA94" s="1"/>
      <c r="AB94" s="1"/>
      <c r="AC94" s="1"/>
    </row>
    <row r="95" spans="1:29">
      <c r="A95" s="149" t="s">
        <v>243</v>
      </c>
      <c r="B95" s="149" t="s">
        <v>260</v>
      </c>
      <c r="C95" s="149" t="s">
        <v>30</v>
      </c>
      <c r="D95" s="149" t="s">
        <v>267</v>
      </c>
      <c r="E95" s="7" t="s">
        <v>38</v>
      </c>
      <c r="F95" s="9" t="s">
        <v>268</v>
      </c>
      <c r="G95" s="10">
        <v>44469</v>
      </c>
      <c r="H95" s="290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13"/>
      <c r="T95" s="13"/>
      <c r="U95" s="13"/>
      <c r="V95" s="13"/>
      <c r="W95" s="4"/>
      <c r="X95" s="2">
        <v>0</v>
      </c>
      <c r="Y95" s="2">
        <f ca="1">IFERROR(__xludf.DUMMYFUNCTION("INDEX(IMPORTRANGE(""1y0FWgjbB0gVlqn-q5LMJbGIsqOrzru4yowQz67dz2yc"", ""'GAR'!BH3:BH139""),MATCH(D95,IMPORTRANGE(""1y0FWgjbB0gVlqn-q5LMJbGIsqOrzru4yowQz67dz2yc"", ""'GAR'!D3:D139""),0))"),0)</f>
        <v>0</v>
      </c>
      <c r="Z95" s="2">
        <f ca="1">IFERROR(__xludf.DUMMYFUNCTION("INDEX(IMPORTRANGE(""1y0FWgjbB0gVlqn-q5LMJbGIsqOrzru4yowQz67dz2yc"", ""'GAR'!BI3:BI139""),MATCH(D95,IMPORTRANGE(""1y0FWgjbB0gVlqn-q5LMJbGIsqOrzru4yowQz67dz2yc"", ""'GAR'!D3:D139""),0))"),0)</f>
        <v>0</v>
      </c>
      <c r="AA95" s="1"/>
      <c r="AB95" s="1"/>
      <c r="AC95" s="1"/>
    </row>
    <row r="96" spans="1:29">
      <c r="A96" s="149" t="s">
        <v>243</v>
      </c>
      <c r="B96" s="149" t="s">
        <v>260</v>
      </c>
      <c r="C96" s="149" t="s">
        <v>30</v>
      </c>
      <c r="D96" s="149" t="s">
        <v>269</v>
      </c>
      <c r="E96" s="7" t="s">
        <v>38</v>
      </c>
      <c r="F96" s="9" t="s">
        <v>270</v>
      </c>
      <c r="G96" s="10">
        <v>44469</v>
      </c>
      <c r="H96" s="290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13"/>
      <c r="S96" s="13"/>
      <c r="T96" s="13"/>
      <c r="U96" s="13"/>
      <c r="V96" s="13"/>
      <c r="W96" s="4"/>
      <c r="X96" s="2">
        <v>15</v>
      </c>
      <c r="Y96" s="2">
        <f ca="1">IFERROR(__xludf.DUMMYFUNCTION("INDEX(IMPORTRANGE(""1y0FWgjbB0gVlqn-q5LMJbGIsqOrzru4yowQz67dz2yc"", ""'GAR'!BH3:BH139""),MATCH(D96,IMPORTRANGE(""1y0FWgjbB0gVlqn-q5LMJbGIsqOrzru4yowQz67dz2yc"", ""'GAR'!D3:D139""),0))"),19)</f>
        <v>19</v>
      </c>
      <c r="Z96" s="2">
        <f ca="1">IFERROR(__xludf.DUMMYFUNCTION("INDEX(IMPORTRANGE(""1y0FWgjbB0gVlqn-q5LMJbGIsqOrzru4yowQz67dz2yc"", ""'GAR'!BI3:BI139""),MATCH(D96,IMPORTRANGE(""1y0FWgjbB0gVlqn-q5LMJbGIsqOrzru4yowQz67dz2yc"", ""'GAR'!D3:D139""),0))"),16)</f>
        <v>16</v>
      </c>
      <c r="AA96" s="1"/>
      <c r="AB96" s="1"/>
      <c r="AC96" s="1"/>
    </row>
    <row r="97" spans="1:29">
      <c r="A97" s="149" t="s">
        <v>243</v>
      </c>
      <c r="B97" s="149" t="s">
        <v>260</v>
      </c>
      <c r="C97" s="149" t="s">
        <v>30</v>
      </c>
      <c r="D97" s="149" t="s">
        <v>271</v>
      </c>
      <c r="E97" s="7" t="s">
        <v>38</v>
      </c>
      <c r="F97" s="9" t="s">
        <v>272</v>
      </c>
      <c r="G97" s="10">
        <v>44469</v>
      </c>
      <c r="H97" s="290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13"/>
      <c r="S97" s="13"/>
      <c r="T97" s="13"/>
      <c r="U97" s="13"/>
      <c r="V97" s="13"/>
      <c r="W97" s="4"/>
      <c r="X97" s="2">
        <v>46</v>
      </c>
      <c r="Y97" s="2">
        <f ca="1">IFERROR(__xludf.DUMMYFUNCTION("INDEX(IMPORTRANGE(""1y0FWgjbB0gVlqn-q5LMJbGIsqOrzru4yowQz67dz2yc"", ""'GAR'!BH3:BH139""),MATCH(D97,IMPORTRANGE(""1y0FWgjbB0gVlqn-q5LMJbGIsqOrzru4yowQz67dz2yc"", ""'GAR'!D3:D139""),0))"),59)</f>
        <v>59</v>
      </c>
      <c r="Z97" s="2">
        <f ca="1">IFERROR(__xludf.DUMMYFUNCTION("INDEX(IMPORTRANGE(""1y0FWgjbB0gVlqn-q5LMJbGIsqOrzru4yowQz67dz2yc"", ""'GAR'!BI3:BI139""),MATCH(D97,IMPORTRANGE(""1y0FWgjbB0gVlqn-q5LMJbGIsqOrzru4yowQz67dz2yc"", ""'GAR'!D3:D139""),0))"),54)</f>
        <v>54</v>
      </c>
      <c r="AA97" s="1"/>
      <c r="AB97" s="1"/>
      <c r="AC97" s="1"/>
    </row>
    <row r="98" spans="1:29">
      <c r="A98" s="149" t="s">
        <v>243</v>
      </c>
      <c r="B98" s="149" t="s">
        <v>260</v>
      </c>
      <c r="C98" s="149" t="s">
        <v>36</v>
      </c>
      <c r="D98" s="149" t="s">
        <v>273</v>
      </c>
      <c r="E98" s="9" t="s">
        <v>38</v>
      </c>
      <c r="F98" s="9" t="s">
        <v>274</v>
      </c>
      <c r="G98" s="10">
        <v>44469</v>
      </c>
      <c r="H98" s="3"/>
      <c r="I98" s="11">
        <v>44651</v>
      </c>
      <c r="J98" s="4"/>
      <c r="K98" s="11">
        <v>45016</v>
      </c>
      <c r="L98" s="4"/>
      <c r="M98" s="11">
        <v>45382</v>
      </c>
      <c r="N98" s="4"/>
      <c r="O98" s="11">
        <v>45565</v>
      </c>
      <c r="P98" s="254"/>
      <c r="Q98" s="254"/>
      <c r="R98" s="4"/>
      <c r="S98" s="60">
        <v>0.5</v>
      </c>
      <c r="T98" s="60">
        <v>0.5</v>
      </c>
      <c r="U98" s="60">
        <v>0.5</v>
      </c>
      <c r="V98" s="60">
        <v>0.5</v>
      </c>
      <c r="W98" s="60">
        <v>0.5</v>
      </c>
      <c r="X98" s="15">
        <f>SUM(X92,X94,X96)/SUM(X93,X95,X97)</f>
        <v>0.30158730158730157</v>
      </c>
      <c r="Y98" s="15">
        <f ca="1">IFERROR(__xludf.DUMMYFUNCTION("INDEX(IMPORTRANGE(""1y0FWgjbB0gVlqn-q5LMJbGIsqOrzru4yowQz67dz2yc"", ""'GAR'!BH3:BH139""),MATCH(D98,IMPORTRANGE(""1y0FWgjbB0gVlqn-q5LMJbGIsqOrzru4yowQz67dz2yc"", ""'GAR'!D3:D139""),0))"),0.291666666666666)</f>
        <v>0.29166666666666602</v>
      </c>
      <c r="Z98" s="15">
        <f ca="1">IFERROR(__xludf.DUMMYFUNCTION("INDEX(IMPORTRANGE(""1y0FWgjbB0gVlqn-q5LMJbGIsqOrzru4yowQz67dz2yc"", ""'GAR'!BI3:BI139""),MATCH(D98,IMPORTRANGE(""1y0FWgjbB0gVlqn-q5LMJbGIsqOrzru4yowQz67dz2yc"", ""'GAR'!D3:D139""),0))"),0.28169014084507)</f>
        <v>0.28169014084506999</v>
      </c>
      <c r="AA98" s="2"/>
      <c r="AB98" s="2"/>
      <c r="AC98" s="2"/>
    </row>
    <row r="99" spans="1:29">
      <c r="A99" s="149" t="s">
        <v>275</v>
      </c>
      <c r="B99" s="149" t="s">
        <v>276</v>
      </c>
      <c r="C99" s="149" t="s">
        <v>30</v>
      </c>
      <c r="D99" s="149" t="s">
        <v>277</v>
      </c>
      <c r="E99" s="7" t="s">
        <v>278</v>
      </c>
      <c r="F99" s="9" t="s">
        <v>279</v>
      </c>
      <c r="G99" s="159" t="s">
        <v>213</v>
      </c>
      <c r="H99" s="156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36">
        <v>511748251.36000001</v>
      </c>
      <c r="Q99" s="36">
        <v>511748251.36000001</v>
      </c>
      <c r="R99" s="13"/>
      <c r="S99" s="13"/>
      <c r="T99" s="13"/>
      <c r="U99" s="13"/>
      <c r="V99" s="13"/>
      <c r="W99" s="4"/>
      <c r="X99" s="36">
        <v>511748251.36000001</v>
      </c>
      <c r="Y99" s="331" t="str">
        <f ca="1">IFERROR(__xludf.DUMMYFUNCTION("INDEX(IMPORTRANGE(""1y0FWgjbB0gVlqn-q5LMJbGIsqOrzru4yowQz67dz2yc"", ""'GAR'!BH3:BH139""),MATCH(D99,IMPORTRANGE(""1y0FWgjbB0gVlqn-q5LMJbGIsqOrzru4yowQz67dz2yc"", ""'GAR'!D3:D139""),0))"),"")</f>
        <v/>
      </c>
      <c r="Z99" s="36">
        <f ca="1">IFERROR(__xludf.DUMMYFUNCTION("INDEX(IMPORTRANGE(""1y0FWgjbB0gVlqn-q5LMJbGIsqOrzru4yowQz67dz2yc"", ""'GAR'!BI3:BI139""),MATCH(D99,IMPORTRANGE(""1y0FWgjbB0gVlqn-q5LMJbGIsqOrzru4yowQz67dz2yc"", ""'GAR'!D3:D139""),0))"),516904709.24)</f>
        <v>516904709.24000001</v>
      </c>
      <c r="AA99" s="1"/>
      <c r="AB99" s="1"/>
      <c r="AC99" s="1"/>
    </row>
    <row r="100" spans="1:29">
      <c r="A100" s="149" t="s">
        <v>275</v>
      </c>
      <c r="B100" s="149" t="s">
        <v>276</v>
      </c>
      <c r="C100" s="149" t="s">
        <v>30</v>
      </c>
      <c r="D100" s="149" t="s">
        <v>280</v>
      </c>
      <c r="E100" s="7" t="s">
        <v>278</v>
      </c>
      <c r="F100" s="9" t="s">
        <v>281</v>
      </c>
      <c r="G100" s="155" t="s">
        <v>213</v>
      </c>
      <c r="H100" s="156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36">
        <v>1136256385.02</v>
      </c>
      <c r="Q100" s="36">
        <v>1136256385.02</v>
      </c>
      <c r="R100" s="13"/>
      <c r="S100" s="13"/>
      <c r="T100" s="13"/>
      <c r="U100" s="13"/>
      <c r="V100" s="13"/>
      <c r="W100" s="4"/>
      <c r="X100" s="36">
        <v>1136256385.02</v>
      </c>
      <c r="Y100" s="331" t="str">
        <f ca="1">IFERROR(__xludf.DUMMYFUNCTION("INDEX(IMPORTRANGE(""1y0FWgjbB0gVlqn-q5LMJbGIsqOrzru4yowQz67dz2yc"", ""'GAR'!BH3:BH139""),MATCH(D100,IMPORTRANGE(""1y0FWgjbB0gVlqn-q5LMJbGIsqOrzru4yowQz67dz2yc"", ""'GAR'!D3:D139""),0))"),"")</f>
        <v/>
      </c>
      <c r="Z100" s="36">
        <f ca="1">IFERROR(__xludf.DUMMYFUNCTION("INDEX(IMPORTRANGE(""1y0FWgjbB0gVlqn-q5LMJbGIsqOrzru4yowQz67dz2yc"", ""'GAR'!BI3:BI139""),MATCH(D100,IMPORTRANGE(""1y0FWgjbB0gVlqn-q5LMJbGIsqOrzru4yowQz67dz2yc"", ""'GAR'!D3:D139""),0))"),1333417569.36)</f>
        <v>1333417569.3599999</v>
      </c>
      <c r="AA100" s="1"/>
      <c r="AB100" s="1"/>
      <c r="AC100" s="1"/>
    </row>
    <row r="101" spans="1:29">
      <c r="A101" s="149" t="s">
        <v>275</v>
      </c>
      <c r="B101" s="149" t="s">
        <v>276</v>
      </c>
      <c r="C101" s="149" t="s">
        <v>36</v>
      </c>
      <c r="D101" s="149" t="s">
        <v>282</v>
      </c>
      <c r="E101" s="9" t="s">
        <v>278</v>
      </c>
      <c r="F101" s="9" t="s">
        <v>283</v>
      </c>
      <c r="G101" s="21" t="s">
        <v>213</v>
      </c>
      <c r="H101" s="22" t="s">
        <v>214</v>
      </c>
      <c r="I101" s="9" t="s">
        <v>215</v>
      </c>
      <c r="J101" s="4"/>
      <c r="K101" s="9" t="s">
        <v>216</v>
      </c>
      <c r="L101" s="4"/>
      <c r="M101" s="9" t="s">
        <v>217</v>
      </c>
      <c r="N101" s="2" t="s">
        <v>218</v>
      </c>
      <c r="O101" s="2" t="s">
        <v>218</v>
      </c>
      <c r="P101" s="15">
        <f t="shared" ref="P101:Q101" si="22">P99/P100</f>
        <v>0.45038096868515498</v>
      </c>
      <c r="Q101" s="15">
        <f t="shared" si="22"/>
        <v>0.45038096868515498</v>
      </c>
      <c r="R101" s="2"/>
      <c r="S101" s="26">
        <v>0.46300000000000002</v>
      </c>
      <c r="T101" s="2"/>
      <c r="U101" s="15">
        <v>0.47699999999999998</v>
      </c>
      <c r="V101" s="15">
        <v>0.49</v>
      </c>
      <c r="W101" s="15">
        <v>0.49</v>
      </c>
      <c r="X101" s="15">
        <f>X99/X100</f>
        <v>0.45038096868515498</v>
      </c>
      <c r="Y101" s="48" t="str">
        <f ca="1">IFERROR(__xludf.DUMMYFUNCTION("INDEX(IMPORTRANGE(""1y0FWgjbB0gVlqn-q5LMJbGIsqOrzru4yowQz67dz2yc"", ""'GAR'!BH3:BH139""),MATCH(D101,IMPORTRANGE(""1y0FWgjbB0gVlqn-q5LMJbGIsqOrzru4yowQz67dz2yc"", ""'GAR'!D3:D139""),0))"),"")</f>
        <v/>
      </c>
      <c r="Z101" s="15">
        <f ca="1">IFERROR(__xludf.DUMMYFUNCTION("INDEX(IMPORTRANGE(""1y0FWgjbB0gVlqn-q5LMJbGIsqOrzru4yowQz67dz2yc"", ""'GAR'!BI3:BI139""),MATCH(D101,IMPORTRANGE(""1y0FWgjbB0gVlqn-q5LMJbGIsqOrzru4yowQz67dz2yc"", ""'GAR'!D3:D139""),0))"),0.387654041102892)</f>
        <v>0.38765404110289198</v>
      </c>
      <c r="AA101" s="2"/>
      <c r="AB101" s="2"/>
      <c r="AC101" s="2"/>
    </row>
    <row r="102" spans="1:29">
      <c r="A102" s="149" t="s">
        <v>275</v>
      </c>
      <c r="B102" s="149" t="s">
        <v>284</v>
      </c>
      <c r="C102" s="149" t="s">
        <v>30</v>
      </c>
      <c r="D102" s="149" t="s">
        <v>285</v>
      </c>
      <c r="E102" s="7" t="s">
        <v>278</v>
      </c>
      <c r="F102" s="9" t="s">
        <v>286</v>
      </c>
      <c r="G102" s="155" t="s">
        <v>213</v>
      </c>
      <c r="H102" s="156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909273724.54999995</v>
      </c>
      <c r="Q102" s="36">
        <v>909273724.54999995</v>
      </c>
      <c r="R102" s="13"/>
      <c r="S102" s="13"/>
      <c r="T102" s="13"/>
      <c r="U102" s="13"/>
      <c r="V102" s="13"/>
      <c r="W102" s="4"/>
      <c r="X102" s="36">
        <v>909273724.54999995</v>
      </c>
      <c r="Y102" s="331" t="str">
        <f ca="1">IFERROR(__xludf.DUMMYFUNCTION("INDEX(IMPORTRANGE(""1y0FWgjbB0gVlqn-q5LMJbGIsqOrzru4yowQz67dz2yc"", ""'GAR'!BH3:BH139""),MATCH(D102,IMPORTRANGE(""1y0FWgjbB0gVlqn-q5LMJbGIsqOrzru4yowQz67dz2yc"", ""'GAR'!D3:D139""),0))"),"")</f>
        <v/>
      </c>
      <c r="Z102" s="36">
        <f ca="1">IFERROR(__xludf.DUMMYFUNCTION("INDEX(IMPORTRANGE(""1y0FWgjbB0gVlqn-q5LMJbGIsqOrzru4yowQz67dz2yc"", ""'GAR'!BI3:BI139""),MATCH(D102,IMPORTRANGE(""1y0FWgjbB0gVlqn-q5LMJbGIsqOrzru4yowQz67dz2yc"", ""'GAR'!D3:D139""),0))"),1114024732.85)</f>
        <v>1114024732.8499999</v>
      </c>
      <c r="AA102" s="1"/>
      <c r="AB102" s="1"/>
      <c r="AC102" s="1"/>
    </row>
    <row r="103" spans="1:29">
      <c r="A103" s="151" t="s">
        <v>275</v>
      </c>
      <c r="B103" s="151" t="s">
        <v>276</v>
      </c>
      <c r="C103" s="151" t="s">
        <v>36</v>
      </c>
      <c r="D103" s="151" t="s">
        <v>287</v>
      </c>
      <c r="E103" s="9" t="s">
        <v>278</v>
      </c>
      <c r="F103" s="9" t="s">
        <v>288</v>
      </c>
      <c r="G103" s="21" t="s">
        <v>213</v>
      </c>
      <c r="H103" s="2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3">P99/P102</f>
        <v>0.56280989711130658</v>
      </c>
      <c r="Q103" s="15">
        <f t="shared" si="23"/>
        <v>0.56280989711130658</v>
      </c>
      <c r="R103" s="2"/>
      <c r="S103" s="26">
        <v>0.57999999999999996</v>
      </c>
      <c r="T103" s="2"/>
      <c r="U103" s="15">
        <v>0.59599999999999997</v>
      </c>
      <c r="V103" s="15">
        <v>0.61299999999999999</v>
      </c>
      <c r="W103" s="15">
        <v>0.61299999999999999</v>
      </c>
      <c r="X103" s="15">
        <f>X99/X102</f>
        <v>0.56280989711130658</v>
      </c>
      <c r="Y103" s="48" t="str">
        <f ca="1">IFERROR(__xludf.DUMMYFUNCTION("INDEX(IMPORTRANGE(""1y0FWgjbB0gVlqn-q5LMJbGIsqOrzru4yowQz67dz2yc"", ""'GAR'!BH3:BH139""),MATCH(D103,IMPORTRANGE(""1y0FWgjbB0gVlqn-q5LMJbGIsqOrzru4yowQz67dz2yc"", ""'GAR'!D3:D139""),0))"),"")</f>
        <v/>
      </c>
      <c r="Z103" s="15">
        <f ca="1">IFERROR(__xludf.DUMMYFUNCTION("INDEX(IMPORTRANGE(""1y0FWgjbB0gVlqn-q5LMJbGIsqOrzru4yowQz67dz2yc"", ""'GAR'!BI3:BI139""),MATCH(D103,IMPORTRANGE(""1y0FWgjbB0gVlqn-q5LMJbGIsqOrzru4yowQz67dz2yc"", ""'GAR'!D3:D139""),0))"),0.463997516390508)</f>
        <v>0.46399751639050801</v>
      </c>
      <c r="AA103" s="2"/>
      <c r="AB103" s="2"/>
      <c r="AC103" s="2"/>
    </row>
    <row r="104" spans="1:29">
      <c r="A104" s="149" t="s">
        <v>275</v>
      </c>
      <c r="B104" s="149" t="s">
        <v>276</v>
      </c>
      <c r="C104" s="149" t="s">
        <v>30</v>
      </c>
      <c r="D104" s="149" t="s">
        <v>289</v>
      </c>
      <c r="E104" s="7" t="s">
        <v>38</v>
      </c>
      <c r="F104" s="9" t="s">
        <v>112</v>
      </c>
      <c r="G104" s="155" t="s">
        <v>254</v>
      </c>
      <c r="H104" s="155" t="s">
        <v>254</v>
      </c>
      <c r="I104" s="7" t="s">
        <v>254</v>
      </c>
      <c r="J104" s="13"/>
      <c r="K104" s="7" t="s">
        <v>255</v>
      </c>
      <c r="L104" s="13"/>
      <c r="M104" s="7" t="s">
        <v>256</v>
      </c>
      <c r="N104" s="260">
        <v>45536</v>
      </c>
      <c r="O104" s="1" t="s">
        <v>218</v>
      </c>
      <c r="P104" s="12">
        <v>195965</v>
      </c>
      <c r="Q104" s="12">
        <v>195965</v>
      </c>
      <c r="R104" s="13"/>
      <c r="S104" s="13"/>
      <c r="T104" s="13"/>
      <c r="U104" s="13"/>
      <c r="V104" s="13"/>
      <c r="W104" s="4"/>
      <c r="X104" s="12">
        <v>202489</v>
      </c>
      <c r="Y104" s="331" t="str">
        <f ca="1">IFERROR(__xludf.DUMMYFUNCTION("INDEX(IMPORTRANGE(""1y0FWgjbB0gVlqn-q5LMJbGIsqOrzru4yowQz67dz2yc"", ""'GAR'!BH3:BH139""),MATCH(D104,IMPORTRANGE(""1y0FWgjbB0gVlqn-q5LMJbGIsqOrzru4yowQz67dz2yc"", ""'GAR'!D3:D139""),0))"),"")</f>
        <v/>
      </c>
      <c r="Z104" s="12">
        <f ca="1">IFERROR(__xludf.DUMMYFUNCTION("INDEX(IMPORTRANGE(""1y0FWgjbB0gVlqn-q5LMJbGIsqOrzru4yowQz67dz2yc"", ""'GAR'!BI3:BI139""),MATCH(D104,IMPORTRANGE(""1y0FWgjbB0gVlqn-q5LMJbGIsqOrzru4yowQz67dz2yc"", ""'GAR'!D3:D139""),0))"),202489)</f>
        <v>202489</v>
      </c>
      <c r="AA104" s="1"/>
      <c r="AB104" s="1"/>
      <c r="AC104" s="1"/>
    </row>
    <row r="105" spans="1:29">
      <c r="A105" s="149" t="s">
        <v>275</v>
      </c>
      <c r="B105" s="149" t="s">
        <v>276</v>
      </c>
      <c r="C105" s="149" t="s">
        <v>30</v>
      </c>
      <c r="D105" s="149" t="s">
        <v>290</v>
      </c>
      <c r="E105" s="7" t="s">
        <v>38</v>
      </c>
      <c r="F105" s="9" t="s">
        <v>291</v>
      </c>
      <c r="G105" s="155" t="s">
        <v>213</v>
      </c>
      <c r="H105" s="156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2">
        <v>69862</v>
      </c>
      <c r="Q105" s="12">
        <v>69862</v>
      </c>
      <c r="R105" s="1"/>
      <c r="S105" s="1"/>
      <c r="T105" s="1"/>
      <c r="U105" s="1"/>
      <c r="V105" s="1"/>
      <c r="W105" s="2"/>
      <c r="X105" s="12">
        <v>69862</v>
      </c>
      <c r="Y105" s="331" t="str">
        <f ca="1">IFERROR(__xludf.DUMMYFUNCTION("INDEX(IMPORTRANGE(""1y0FWgjbB0gVlqn-q5LMJbGIsqOrzru4yowQz67dz2yc"", ""'GAR'!BH3:BH139""),MATCH(D105,IMPORTRANGE(""1y0FWgjbB0gVlqn-q5LMJbGIsqOrzru4yowQz67dz2yc"", ""'GAR'!D3:D139""),0))"),"")</f>
        <v/>
      </c>
      <c r="Z105" s="12">
        <f ca="1">IFERROR(__xludf.DUMMYFUNCTION("INDEX(IMPORTRANGE(""1y0FWgjbB0gVlqn-q5LMJbGIsqOrzru4yowQz67dz2yc"", ""'GAR'!BI3:BI139""),MATCH(D105,IMPORTRANGE(""1y0FWgjbB0gVlqn-q5LMJbGIsqOrzru4yowQz67dz2yc"", ""'GAR'!D3:D139""),0))"),63078)</f>
        <v>63078</v>
      </c>
      <c r="AA105" s="1"/>
      <c r="AB105" s="1"/>
      <c r="AC105" s="1"/>
    </row>
    <row r="106" spans="1:29">
      <c r="A106" s="149" t="s">
        <v>275</v>
      </c>
      <c r="B106" s="149" t="s">
        <v>276</v>
      </c>
      <c r="C106" s="149" t="s">
        <v>36</v>
      </c>
      <c r="D106" s="149" t="s">
        <v>292</v>
      </c>
      <c r="E106" s="9" t="s">
        <v>38</v>
      </c>
      <c r="F106" s="9" t="s">
        <v>293</v>
      </c>
      <c r="G106" s="21" t="s">
        <v>213</v>
      </c>
      <c r="H106" s="22" t="s">
        <v>214</v>
      </c>
      <c r="I106" s="9" t="s">
        <v>215</v>
      </c>
      <c r="J106" s="4"/>
      <c r="K106" s="9" t="s">
        <v>216</v>
      </c>
      <c r="L106" s="4"/>
      <c r="M106" s="9" t="s">
        <v>217</v>
      </c>
      <c r="N106" s="2" t="s">
        <v>218</v>
      </c>
      <c r="O106" s="2" t="s">
        <v>218</v>
      </c>
      <c r="P106" s="15">
        <f t="shared" ref="P106:Q106" si="24">P105/P104</f>
        <v>0.35650243665960757</v>
      </c>
      <c r="Q106" s="15">
        <f t="shared" si="24"/>
        <v>0.35650243665960757</v>
      </c>
      <c r="R106" s="2"/>
      <c r="S106" s="26">
        <v>0.36399999999999999</v>
      </c>
      <c r="T106" s="2"/>
      <c r="U106" s="15">
        <v>0.37</v>
      </c>
      <c r="V106" s="15">
        <v>0.377</v>
      </c>
      <c r="W106" s="15">
        <v>0.377</v>
      </c>
      <c r="X106" s="15">
        <f>X105/X104</f>
        <v>0.34501627248887595</v>
      </c>
      <c r="Y106" s="48" t="str">
        <f ca="1">IFERROR(__xludf.DUMMYFUNCTION("INDEX(IMPORTRANGE(""1y0FWgjbB0gVlqn-q5LMJbGIsqOrzru4yowQz67dz2yc"", ""'GAR'!BH3:BH139""),MATCH(D106,IMPORTRANGE(""1y0FWgjbB0gVlqn-q5LMJbGIsqOrzru4yowQz67dz2yc"", ""'GAR'!D3:D139""),0))"),"")</f>
        <v/>
      </c>
      <c r="Z106" s="15">
        <f ca="1">IFERROR(__xludf.DUMMYFUNCTION("INDEX(IMPORTRANGE(""1y0FWgjbB0gVlqn-q5LMJbGIsqOrzru4yowQz67dz2yc"", ""'GAR'!BI3:BI139""),MATCH(D106,IMPORTRANGE(""1y0FWgjbB0gVlqn-q5LMJbGIsqOrzru4yowQz67dz2yc"", ""'GAR'!D3:D139""),0))"),0.311513218001965)</f>
        <v>0.31151321800196502</v>
      </c>
      <c r="AA106" s="2"/>
      <c r="AB106" s="2"/>
      <c r="AC106" s="2"/>
    </row>
    <row r="107" spans="1:29">
      <c r="A107" s="151" t="s">
        <v>275</v>
      </c>
      <c r="B107" s="151" t="s">
        <v>276</v>
      </c>
      <c r="C107" s="151" t="s">
        <v>30</v>
      </c>
      <c r="D107" s="151" t="s">
        <v>294</v>
      </c>
      <c r="E107" s="155" t="s">
        <v>38</v>
      </c>
      <c r="F107" s="21" t="s">
        <v>295</v>
      </c>
      <c r="G107" s="155" t="s">
        <v>213</v>
      </c>
      <c r="H107" s="156" t="s">
        <v>214</v>
      </c>
      <c r="I107" s="155" t="s">
        <v>215</v>
      </c>
      <c r="J107" s="290"/>
      <c r="K107" s="155" t="s">
        <v>216</v>
      </c>
      <c r="L107" s="290"/>
      <c r="M107" s="155" t="s">
        <v>217</v>
      </c>
      <c r="N107" s="156" t="s">
        <v>218</v>
      </c>
      <c r="O107" s="156" t="s">
        <v>218</v>
      </c>
      <c r="P107" s="36"/>
      <c r="Q107" s="36"/>
      <c r="R107" s="1"/>
      <c r="S107" s="1"/>
      <c r="T107" s="1"/>
      <c r="U107" s="1"/>
      <c r="V107" s="1"/>
      <c r="W107" s="2"/>
      <c r="X107" s="36"/>
      <c r="Y107" s="331" t="str">
        <f ca="1">IFERROR(__xludf.DUMMYFUNCTION("INDEX(IMPORTRANGE(""1y0FWgjbB0gVlqn-q5LMJbGIsqOrzru4yowQz67dz2yc"", ""'GAR'!BH3:BH139""),MATCH(D107,IMPORTRANGE(""1y0FWgjbB0gVlqn-q5LMJbGIsqOrzru4yowQz67dz2yc"", ""'GAR'!D3:D139""),0))"),"")</f>
        <v/>
      </c>
      <c r="Z107" s="36">
        <f ca="1">IFERROR(__xludf.DUMMYFUNCTION("INDEX(IMPORTRANGE(""1y0FWgjbB0gVlqn-q5LMJbGIsqOrzru4yowQz67dz2yc"", ""'GAR'!BI3:BI139""),MATCH(D107,IMPORTRANGE(""1y0FWgjbB0gVlqn-q5LMJbGIsqOrzru4yowQz67dz2yc"", ""'GAR'!D3:D139""),0))"),98525893.12)</f>
        <v>98525893.120000005</v>
      </c>
      <c r="AA107" s="1"/>
      <c r="AB107" s="1"/>
      <c r="AC107" s="1"/>
    </row>
    <row r="108" spans="1:29">
      <c r="A108" s="151" t="s">
        <v>275</v>
      </c>
      <c r="B108" s="151" t="s">
        <v>276</v>
      </c>
      <c r="C108" s="151" t="s">
        <v>36</v>
      </c>
      <c r="D108" s="151" t="s">
        <v>296</v>
      </c>
      <c r="E108" s="21" t="s">
        <v>38</v>
      </c>
      <c r="F108" s="21" t="s">
        <v>297</v>
      </c>
      <c r="G108" s="21" t="s">
        <v>213</v>
      </c>
      <c r="H108" s="22" t="s">
        <v>214</v>
      </c>
      <c r="I108" s="21" t="s">
        <v>215</v>
      </c>
      <c r="J108" s="3"/>
      <c r="K108" s="21" t="s">
        <v>216</v>
      </c>
      <c r="L108" s="3"/>
      <c r="M108" s="21" t="s">
        <v>217</v>
      </c>
      <c r="N108" s="22" t="s">
        <v>218</v>
      </c>
      <c r="O108" s="22" t="s">
        <v>218</v>
      </c>
      <c r="P108" s="36">
        <v>103093630.20999999</v>
      </c>
      <c r="Q108" s="36">
        <v>103093630.20999999</v>
      </c>
      <c r="R108" s="2"/>
      <c r="S108" s="36">
        <v>105186430.90000001</v>
      </c>
      <c r="T108" s="2"/>
      <c r="U108" s="36">
        <v>107279231.59999999</v>
      </c>
      <c r="V108" s="36">
        <v>109372032.29000001</v>
      </c>
      <c r="W108" s="36">
        <v>109372032.29000001</v>
      </c>
      <c r="X108" s="36">
        <v>103093630.20999999</v>
      </c>
      <c r="Y108" s="52" t="str">
        <f ca="1">IFERROR(__xludf.DUMMYFUNCTION("INDEX(IMPORTRANGE(""1y0FWgjbB0gVlqn-q5LMJbGIsqOrzru4yowQz67dz2yc"", ""'GAR'!BH3:BH139""),MATCH(D108,IMPORTRANGE(""1y0FWgjbB0gVlqn-q5LMJbGIsqOrzru4yowQz67dz2yc"", ""'GAR'!D3:D139""),0))"),"")</f>
        <v/>
      </c>
      <c r="Z108" s="36">
        <f ca="1">IFERROR(__xludf.DUMMYFUNCTION("INDEX(IMPORTRANGE(""1y0FWgjbB0gVlqn-q5LMJbGIsqOrzru4yowQz67dz2yc"", ""'GAR'!BI3:BI139""),MATCH(D108,IMPORTRANGE(""1y0FWgjbB0gVlqn-q5LMJbGIsqOrzru4yowQz67dz2yc"", ""'GAR'!D3:D139""),0))"),99582374.12)</f>
        <v>99582374.120000005</v>
      </c>
      <c r="AA108" s="2"/>
      <c r="AB108" s="2"/>
      <c r="AC108" s="2"/>
    </row>
    <row r="109" spans="1:29">
      <c r="A109" s="149" t="s">
        <v>275</v>
      </c>
      <c r="B109" s="149" t="s">
        <v>298</v>
      </c>
      <c r="C109" s="149" t="s">
        <v>30</v>
      </c>
      <c r="D109" s="149" t="s">
        <v>299</v>
      </c>
      <c r="E109" s="7" t="s">
        <v>278</v>
      </c>
      <c r="F109" s="9" t="s">
        <v>300</v>
      </c>
      <c r="G109" s="155" t="s">
        <v>213</v>
      </c>
      <c r="H109" s="156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>
        <v>1057181202.3099999</v>
      </c>
      <c r="Q109" s="36">
        <v>1057181202.3099999</v>
      </c>
      <c r="R109" s="13"/>
      <c r="S109" s="13"/>
      <c r="T109" s="13"/>
      <c r="U109" s="13"/>
      <c r="V109" s="13"/>
      <c r="W109" s="4"/>
      <c r="X109" s="36">
        <v>1057181202.3099999</v>
      </c>
      <c r="Y109" s="331" t="str">
        <f ca="1">IFERROR(__xludf.DUMMYFUNCTION("INDEX(IMPORTRANGE(""1y0FWgjbB0gVlqn-q5LMJbGIsqOrzru4yowQz67dz2yc"", ""'GAR'!BH3:BH139""),MATCH(D109,IMPORTRANGE(""1y0FWgjbB0gVlqn-q5LMJbGIsqOrzru4yowQz67dz2yc"", ""'GAR'!D3:D139""),0))"),"")</f>
        <v/>
      </c>
      <c r="Z109" s="36">
        <f ca="1">IFERROR(__xludf.DUMMYFUNCTION("INDEX(IMPORTRANGE(""1y0FWgjbB0gVlqn-q5LMJbGIsqOrzru4yowQz67dz2yc"", ""'GAR'!BI3:BI139""),MATCH(D109,IMPORTRANGE(""1y0FWgjbB0gVlqn-q5LMJbGIsqOrzru4yowQz67dz2yc"", ""'GAR'!D3:D139""),0))"),1308274821.6)</f>
        <v>1308274821.5999999</v>
      </c>
      <c r="AA109" s="1"/>
      <c r="AB109" s="1"/>
      <c r="AC109" s="1"/>
    </row>
    <row r="110" spans="1:29">
      <c r="A110" s="149" t="s">
        <v>275</v>
      </c>
      <c r="B110" s="149" t="s">
        <v>298</v>
      </c>
      <c r="C110" s="149" t="s">
        <v>36</v>
      </c>
      <c r="D110" s="149" t="s">
        <v>301</v>
      </c>
      <c r="E110" s="9" t="s">
        <v>278</v>
      </c>
      <c r="F110" s="9" t="s">
        <v>302</v>
      </c>
      <c r="G110" s="21" t="s">
        <v>213</v>
      </c>
      <c r="H110" s="2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15">
        <f t="shared" ref="P110:Q110" si="25">P102/P109</f>
        <v>0.86009259582291675</v>
      </c>
      <c r="Q110" s="15">
        <f t="shared" si="25"/>
        <v>0.86009259582291675</v>
      </c>
      <c r="R110" s="2"/>
      <c r="S110" s="26">
        <v>0.84299999999999997</v>
      </c>
      <c r="T110" s="2"/>
      <c r="U110" s="15">
        <v>0.82699999999999996</v>
      </c>
      <c r="V110" s="15">
        <v>0.81</v>
      </c>
      <c r="W110" s="15">
        <v>0.81</v>
      </c>
      <c r="X110" s="15">
        <f>X102/X109</f>
        <v>0.86009259582291675</v>
      </c>
      <c r="Y110" s="48" t="str">
        <f ca="1">IFERROR(__xludf.DUMMYFUNCTION("INDEX(IMPORTRANGE(""1y0FWgjbB0gVlqn-q5LMJbGIsqOrzru4yowQz67dz2yc"", ""'GAR'!BH3:BH139""),MATCH(D110,IMPORTRANGE(""1y0FWgjbB0gVlqn-q5LMJbGIsqOrzru4yowQz67dz2yc"", ""'GAR'!D3:D139""),0))"),"")</f>
        <v/>
      </c>
      <c r="Z110" s="15">
        <f ca="1">IFERROR(__xludf.DUMMYFUNCTION("INDEX(IMPORTRANGE(""1y0FWgjbB0gVlqn-q5LMJbGIsqOrzru4yowQz67dz2yc"", ""'GAR'!BI3:BI139""),MATCH(D110,IMPORTRANGE(""1y0FWgjbB0gVlqn-q5LMJbGIsqOrzru4yowQz67dz2yc"", ""'GAR'!D3:D139""),0))"),0.851521954299758)</f>
        <v>0.85152195429975797</v>
      </c>
      <c r="AA110" s="2"/>
      <c r="AB110" s="2"/>
      <c r="AC110" s="2"/>
    </row>
    <row r="111" spans="1:29">
      <c r="A111" s="149" t="s">
        <v>275</v>
      </c>
      <c r="B111" s="149" t="s">
        <v>303</v>
      </c>
      <c r="C111" s="149" t="s">
        <v>36</v>
      </c>
      <c r="D111" s="149" t="s">
        <v>304</v>
      </c>
      <c r="E111" s="9" t="s">
        <v>305</v>
      </c>
      <c r="F111" s="9" t="s">
        <v>306</v>
      </c>
      <c r="G111" s="10" t="s">
        <v>307</v>
      </c>
      <c r="H111" s="3"/>
      <c r="I111" s="2" t="s">
        <v>254</v>
      </c>
      <c r="J111" s="4"/>
      <c r="K111" s="2" t="s">
        <v>255</v>
      </c>
      <c r="L111" s="4"/>
      <c r="M111" s="2" t="s">
        <v>256</v>
      </c>
      <c r="N111" s="49">
        <v>45473</v>
      </c>
      <c r="O111" s="2"/>
      <c r="P111" s="30" t="s">
        <v>308</v>
      </c>
      <c r="Q111" s="30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30" t="s">
        <v>308</v>
      </c>
      <c r="Y111" s="46" t="str">
        <f ca="1">IFERROR(__xludf.DUMMYFUNCTION("INDEX(IMPORTRANGE(""1y0FWgjbB0gVlqn-q5LMJbGIsqOrzru4yowQz67dz2yc"", ""'GAR'!BH3:BH139""),MATCH(D111,IMPORTRANGE(""1y0FWgjbB0gVlqn-q5LMJbGIsqOrzru4yowQz67dz2yc"", ""'GAR'!D3:D139""),0))"),"")</f>
        <v/>
      </c>
      <c r="Z111" s="30" t="str">
        <f ca="1">IFERROR(__xludf.DUMMYFUNCTION("INDEX(IMPORTRANGE(""1y0FWgjbB0gVlqn-q5LMJbGIsqOrzru4yowQz67dz2yc"", ""'GAR'!BI3:BI139""),MATCH(D111,IMPORTRANGE(""1y0FWgjbB0gVlqn-q5LMJbGIsqOrzru4yowQz67dz2yc"", ""'GAR'!D3:D139""),0))"),"Verde")</f>
        <v>Verde</v>
      </c>
      <c r="AA111" s="2"/>
      <c r="AB111" s="2"/>
      <c r="AC11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4E999-FE40-1F47-BC5B-964C3D3B5219}">
  <dimension ref="A1:M39"/>
  <sheetViews>
    <sheetView workbookViewId="0">
      <selection activeCell="N3" sqref="N3"/>
    </sheetView>
  </sheetViews>
  <sheetFormatPr baseColWidth="10" defaultRowHeight="16"/>
  <cols>
    <col min="1" max="1" width="10.83203125" style="118"/>
    <col min="3" max="3" width="20.1640625" customWidth="1"/>
    <col min="4" max="4" width="12" customWidth="1"/>
    <col min="5" max="5" width="12.5" customWidth="1"/>
    <col min="8" max="8" width="12.3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GAR'!$D$3:$Y$114,4,0)</f>
        <v>44469</v>
      </c>
      <c r="E2" s="212">
        <f>VLOOKUP(C2,'BD EVA 2 GAR'!$D$3:$Q$114,13,0)</f>
        <v>382</v>
      </c>
      <c r="F2" s="75">
        <f>VLOOKUP(C2,'BD EVA 2 GAR'!$D$3:$Y$114,8,0)</f>
        <v>45016</v>
      </c>
      <c r="G2" s="72">
        <f ca="1">VLOOKUP(C2,'BD EVA 2 GAR'!$D$3:$AC$114,23,0)</f>
        <v>402</v>
      </c>
      <c r="H2" s="72">
        <f>VLOOKUP(C2,'BD EVA 2 GAR'!$D$3:$AC$114,16,0)</f>
        <v>428</v>
      </c>
      <c r="I2" s="78">
        <f ca="1">IF(G2&gt;=E2,G2/H2,0)</f>
        <v>0.93925233644859818</v>
      </c>
      <c r="J2" s="72" t="s">
        <v>316</v>
      </c>
      <c r="K2" s="81">
        <v>2.7</v>
      </c>
      <c r="L2" s="81">
        <f t="shared" ref="L2:L39" ca="1" si="0">IF(I2&lt;0,0,IF(I2&gt;1,K2,I2*K2))</f>
        <v>2.5359813084112153</v>
      </c>
      <c r="M2" s="124">
        <f ca="1">SUM(L2:L4)</f>
        <v>9.6514093229775568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GAR'!$D$3:$Y$114,4,0)</f>
        <v>44469</v>
      </c>
      <c r="E3" s="207">
        <f>VLOOKUP(C3,'BD EVA 2 GAR'!$D$3:$Q$114,13,0)</f>
        <v>0.51570680628272247</v>
      </c>
      <c r="F3" s="75">
        <f>VLOOKUP(C3,'BD EVA 2 GAR'!$D$3:$Y$114,8,0)</f>
        <v>45016</v>
      </c>
      <c r="G3" s="207">
        <f ca="1">VLOOKUP(C3,'BD EVA 2 GAR'!$D$3:$AC$114,23,0)</f>
        <v>0.922885572139303</v>
      </c>
      <c r="H3" s="207" t="str">
        <f>VLOOKUP(C3,'BD EVA 2 GAR'!$D$3:$AC$114,16,0)</f>
        <v>&gt;=97%</v>
      </c>
      <c r="I3" s="78">
        <f ca="1">IF(G3&gt;=97%,1,G3/97%)</f>
        <v>0.95142842488587942</v>
      </c>
      <c r="J3" s="75" t="s">
        <v>318</v>
      </c>
      <c r="K3" s="81">
        <v>3.8</v>
      </c>
      <c r="L3" s="81">
        <f t="shared" ca="1" si="0"/>
        <v>3.6154280145663416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GAR'!$D$3:$Y$114,4,0)</f>
        <v>44469</v>
      </c>
      <c r="E4" s="207">
        <f>VLOOKUP(C4,'BD EVA 2 GAR'!$D$3:$Q$114,13,0)</f>
        <v>0</v>
      </c>
      <c r="F4" s="75">
        <f>VLOOKUP(C4,'BD EVA 2 GAR'!$D$3:$Y$114,8,0)</f>
        <v>45016</v>
      </c>
      <c r="G4" s="207">
        <f ca="1">VLOOKUP(C4,'BD EVA 2 GAR'!$D$3:$AC$114,23,0)</f>
        <v>3.2000000000000001E-2</v>
      </c>
      <c r="H4" s="207">
        <f>VLOOKUP(C4,'BD EVA 2 GAR'!$D$3:$AC$114,16,0)</f>
        <v>5.0000000000000001E-4</v>
      </c>
      <c r="I4" s="77">
        <f t="shared" ref="I4:I5" ca="1" si="1">G4/H4</f>
        <v>64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GAR'!$D$3:$Y$114,4,0)</f>
        <v>octubre 20 - mar 21</v>
      </c>
      <c r="E5" s="207">
        <f>VLOOKUP(C5,'BD EVA 2 GAR'!$D$3:$Q$114,13,0)</f>
        <v>0</v>
      </c>
      <c r="F5" s="72" t="str">
        <f>VLOOKUP(C5,'BD EVA 2 GAR'!$D$3:$Y$114,8,0)</f>
        <v>octubre 22- mar 23</v>
      </c>
      <c r="G5" s="207">
        <f ca="1">VLOOKUP(C5,'BD EVA 2 GAR'!$D$3:$AC$114,23,0)</f>
        <v>6.6713483146067397E-3</v>
      </c>
      <c r="H5" s="207">
        <f>VLOOKUP(C5,'BD EVA 2 GAR'!$D$3:$AC$114,16,0)</f>
        <v>0.04</v>
      </c>
      <c r="I5" s="77">
        <f t="shared" ca="1" si="1"/>
        <v>0.1667837078651685</v>
      </c>
      <c r="J5" s="75" t="s">
        <v>318</v>
      </c>
      <c r="K5" s="209">
        <v>1.6</v>
      </c>
      <c r="L5" s="209">
        <f t="shared" ca="1" si="0"/>
        <v>0.26685393258426959</v>
      </c>
      <c r="M5" s="130">
        <f ca="1">SUM(L5:L10)</f>
        <v>0.26685393258426959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GAR'!$D$3:$Y$114,4,0)</f>
        <v>octubre 20 - mar 21</v>
      </c>
      <c r="E6" s="211">
        <f>VLOOKUP(C6,'BD EVA 2 GAR'!$D$3:$Q$114,13,0)</f>
        <v>9.6945255014493323</v>
      </c>
      <c r="F6" s="72" t="str">
        <f>VLOOKUP(C6,'BD EVA 2 GAR'!$D$3:$Y$114,8,0)</f>
        <v>octubre 22- mar 23</v>
      </c>
      <c r="G6" s="209">
        <f ca="1">VLOOKUP(C6,'BD EVA 2 GAR'!$D$3:$AC$114,23,0)</f>
        <v>14.8621075087701</v>
      </c>
      <c r="H6" s="209">
        <f>VLOOKUP(C6,'BD EVA 2 GAR'!$D$3:$AC$114,16,0)</f>
        <v>9.4499999999999993</v>
      </c>
      <c r="I6" s="78">
        <f t="shared" ref="I6:I10" ca="1" si="2">(G6-E6)/(H6-E6)</f>
        <v>-21.133100542445948</v>
      </c>
      <c r="J6" s="71" t="s">
        <v>319</v>
      </c>
      <c r="K6" s="209">
        <v>1.7</v>
      </c>
      <c r="L6" s="20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GAR'!$D$3:$Y$114,4,0)</f>
        <v>octubre 20 - mar 21</v>
      </c>
      <c r="E7" s="208">
        <f>VLOOKUP(C7,'BD EVA 2 GAR'!$D$3:$Q$114,13,0)</f>
        <v>320.24249239787628</v>
      </c>
      <c r="F7" s="72" t="str">
        <f>VLOOKUP(C7,'BD EVA 2 GAR'!$D$3:$Y$114,8,0)</f>
        <v>octubre 22- mar 23</v>
      </c>
      <c r="G7" s="209">
        <f ca="1">VLOOKUP(C7,'BD EVA 2 GAR'!$D$3:$AC$114,23,0)</f>
        <v>341.82847270171402</v>
      </c>
      <c r="H7" s="209">
        <f>VLOOKUP(C7,'BD EVA 2 GAR'!$D$3:$AC$114,16,0)</f>
        <v>309.60000000000002</v>
      </c>
      <c r="I7" s="78">
        <f t="shared" ca="1" si="2"/>
        <v>-2.0282824264121908</v>
      </c>
      <c r="J7" s="71" t="s">
        <v>319</v>
      </c>
      <c r="K7" s="209">
        <v>1.6</v>
      </c>
      <c r="L7" s="209">
        <f t="shared" ca="1" si="0"/>
        <v>0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GAR'!$D$3:$Y$114,4,0)</f>
        <v>octubre 20 - mar 21</v>
      </c>
      <c r="E8" s="208">
        <f>VLOOKUP(C8,'BD EVA 2 GAR'!$D$3:$Q$114,13,0)</f>
        <v>315.71838049719986</v>
      </c>
      <c r="F8" s="72" t="str">
        <f>VLOOKUP(C8,'BD EVA 2 GAR'!$D$3:$Y$114,8,0)</f>
        <v>octubre 22- mar 23</v>
      </c>
      <c r="G8" s="209">
        <f ca="1">VLOOKUP(C8,'BD EVA 2 GAR'!$D$3:$AC$114,23,0)</f>
        <v>384.55703178942798</v>
      </c>
      <c r="H8" s="209">
        <f>VLOOKUP(C8,'BD EVA 2 GAR'!$D$3:$AC$114,16,0)</f>
        <v>310.5</v>
      </c>
      <c r="I8" s="78">
        <f t="shared" ca="1" si="2"/>
        <v>-13.191573770668194</v>
      </c>
      <c r="J8" s="71" t="s">
        <v>319</v>
      </c>
      <c r="K8" s="209">
        <v>1.7</v>
      </c>
      <c r="L8" s="209">
        <f t="shared" ca="1" si="0"/>
        <v>0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GAR'!$D$3:$Y$114,4,0)</f>
        <v>octubre 20 - mar 21</v>
      </c>
      <c r="E9" s="208">
        <f>VLOOKUP(C9,'BD EVA 2 GAR'!$D$3:$Q$114,13,0)</f>
        <v>342.86305190125802</v>
      </c>
      <c r="F9" s="72" t="str">
        <f>VLOOKUP(C9,'BD EVA 2 GAR'!$D$3:$Y$114,8,0)</f>
        <v>octubre 22- mar 23</v>
      </c>
      <c r="G9" s="209">
        <f ca="1">VLOOKUP(C9,'BD EVA 2 GAR'!$D$3:$AC$114,23,0)</f>
        <v>407.77907477188199</v>
      </c>
      <c r="H9" s="209">
        <f>VLOOKUP(C9,'BD EVA 2 GAR'!$D$3:$AC$114,16,0)</f>
        <v>337.1</v>
      </c>
      <c r="I9" s="78">
        <f t="shared" ca="1" si="2"/>
        <v>-11.264174604510103</v>
      </c>
      <c r="J9" s="71" t="s">
        <v>319</v>
      </c>
      <c r="K9" s="209">
        <v>1.7</v>
      </c>
      <c r="L9" s="209">
        <f t="shared" ca="1" si="0"/>
        <v>0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GAR'!$D$3:$Y$114,4,0)</f>
        <v>octubre 20 - mar 21</v>
      </c>
      <c r="E10" s="208">
        <f>VLOOKUP(C10,'BD EVA 2 GAR'!$D$3:$Q$114,13,0)</f>
        <v>10.663978051594265</v>
      </c>
      <c r="F10" s="72" t="str">
        <f>VLOOKUP(C10,'BD EVA 2 GAR'!$D$3:$Y$114,8,0)</f>
        <v>octubre 22- mar 23</v>
      </c>
      <c r="G10" s="208">
        <f ca="1">VLOOKUP(C10,'BD EVA 2 GAR'!$D$3:$AC$114,23,0)</f>
        <v>13.3139713099399</v>
      </c>
      <c r="H10" s="208">
        <f>VLOOKUP(C10,'BD EVA 2 GAR'!$D$3:$AC$114,16,0)</f>
        <v>10.5</v>
      </c>
      <c r="I10" s="78">
        <f t="shared" ca="1" si="2"/>
        <v>-16.1606582867723</v>
      </c>
      <c r="J10" s="71" t="s">
        <v>319</v>
      </c>
      <c r="K10" s="209">
        <v>1.7</v>
      </c>
      <c r="L10" s="209">
        <f t="shared" ca="1" si="0"/>
        <v>0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GAR'!$D$3:$Y$114,4,0)</f>
        <v>44469</v>
      </c>
      <c r="E11" s="78">
        <f>VLOOKUP(C11,'BD EVA 2 GAR'!$D$3:$Q$114,13,0)</f>
        <v>0</v>
      </c>
      <c r="F11" s="89">
        <f>VLOOKUP(C11,'BD EVA 2 GAR'!$D$3:$Y$114,8,0)</f>
        <v>45016</v>
      </c>
      <c r="G11" s="78">
        <f ca="1">VLOOKUP(C11,'BD EVA 2 GAR'!$D$3:$AC$114,23,0)</f>
        <v>0</v>
      </c>
      <c r="H11" s="332" t="str">
        <f>VLOOKUP(C11,'BD EVA 2 GAR'!$D$3:$AC$114,16,0)</f>
        <v>Sin meta</v>
      </c>
      <c r="I11" s="78">
        <v>0</v>
      </c>
      <c r="J11" s="89" t="s">
        <v>318</v>
      </c>
      <c r="K11" s="71">
        <v>1.1000000000000001</v>
      </c>
      <c r="L11" s="209">
        <f t="shared" si="0"/>
        <v>0</v>
      </c>
      <c r="M11" s="130">
        <f ca="1">SUM(L11:L15)</f>
        <v>1.9574666666666667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GAR'!$D$3:$Y$114,4,0)</f>
        <v>octubre 20 - mar 21</v>
      </c>
      <c r="E12" s="212">
        <f>VLOOKUP(C12,'BD EVA 2 GAR'!$D$3:$Q$114,13,0)</f>
        <v>0</v>
      </c>
      <c r="F12" s="71" t="str">
        <f>VLOOKUP(C12,'BD EVA 2 GAR'!$D$3:$Y$114,8,0)</f>
        <v>octubre 22- mar 23</v>
      </c>
      <c r="G12" s="210">
        <f ca="1">VLOOKUP(C12,'BD EVA 2 GAR'!$D$3:$AC$114,23,0)</f>
        <v>0</v>
      </c>
      <c r="H12" s="332" t="str">
        <f>VLOOKUP(C12,'BD EVA 2 GAR'!$D$3:$AC$114,16,0)</f>
        <v>Sin meta</v>
      </c>
      <c r="I12" s="78">
        <v>0</v>
      </c>
      <c r="J12" s="75" t="s">
        <v>318</v>
      </c>
      <c r="K12" s="71">
        <v>1.1000000000000001</v>
      </c>
      <c r="L12" s="209">
        <f t="shared" si="0"/>
        <v>0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GAR'!$D$3:$Y$114,4,0)</f>
        <v>octubre 20 - mar 21</v>
      </c>
      <c r="E13" s="212">
        <f>VLOOKUP(C13,'BD EVA 2 GAR'!$D$3:$Q$114,13,0)</f>
        <v>0</v>
      </c>
      <c r="F13" s="71" t="str">
        <f>VLOOKUP(C13,'BD EVA 2 GAR'!$D$3:$Y$114,8,0)</f>
        <v>octubre 21 - mar 23</v>
      </c>
      <c r="G13" s="212">
        <f ca="1">VLOOKUP(C13,'BD EVA 2 GAR'!$D$3:$AC$114,23,0)</f>
        <v>0</v>
      </c>
      <c r="H13" s="212">
        <f>VLOOKUP(C13,'BD EVA 2 GAR'!$D$3:$AC$114,16,0)</f>
        <v>2</v>
      </c>
      <c r="I13" s="78">
        <f t="shared" ref="I13:I15" ca="1" si="3">G13/H13</f>
        <v>0</v>
      </c>
      <c r="J13" s="75" t="s">
        <v>318</v>
      </c>
      <c r="K13" s="82">
        <v>2.35</v>
      </c>
      <c r="L13" s="209">
        <f t="shared" ca="1" si="0"/>
        <v>0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GAR'!$D$3:$Y$114,4,0)</f>
        <v>octubre 20 - mar 21</v>
      </c>
      <c r="E14" s="212">
        <f>VLOOKUP(C14,'BD EVA 2 GAR'!$D$3:$Q$114,13,0)</f>
        <v>230</v>
      </c>
      <c r="F14" s="71" t="str">
        <f>VLOOKUP(C14,'BD EVA 2 GAR'!$D$3:$Y$114,8,0)</f>
        <v>octubre 21 - mar 23</v>
      </c>
      <c r="G14" s="212">
        <f ca="1">VLOOKUP(C14,'BD EVA 2 GAR'!$D$3:$AC$114,23,0)</f>
        <v>1167</v>
      </c>
      <c r="H14" s="212">
        <f>VLOOKUP(C14,'BD EVA 2 GAR'!$D$3:$AC$114,16,0)</f>
        <v>1500</v>
      </c>
      <c r="I14" s="78">
        <f t="shared" ca="1" si="3"/>
        <v>0.77800000000000002</v>
      </c>
      <c r="J14" s="75" t="s">
        <v>318</v>
      </c>
      <c r="K14" s="82">
        <v>2.35</v>
      </c>
      <c r="L14" s="209">
        <f t="shared" ca="1" si="0"/>
        <v>1.8283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GAR'!$D$3:$Y$114,4,0)</f>
        <v>octubre 20 - mar 21</v>
      </c>
      <c r="E15" s="212">
        <f>VLOOKUP(C15,'BD EVA 2 GAR'!$D$3:$Q$114,13,0)</f>
        <v>9</v>
      </c>
      <c r="F15" s="89" t="str">
        <f>VLOOKUP(C15,'BD EVA 2 GAR'!$D$3:$Y$114,8,0)</f>
        <v>octubre 21 - mar 23</v>
      </c>
      <c r="G15" s="212">
        <f ca="1">VLOOKUP(C15,'BD EVA 2 GAR'!$D$3:$AC$114,23,0)</f>
        <v>1</v>
      </c>
      <c r="H15" s="212">
        <f>VLOOKUP(C15,'BD EVA 2 GAR'!$D$3:$AC$114,16,0)</f>
        <v>24</v>
      </c>
      <c r="I15" s="78">
        <f t="shared" ca="1" si="3"/>
        <v>4.1666666666666664E-2</v>
      </c>
      <c r="J15" s="75" t="s">
        <v>318</v>
      </c>
      <c r="K15" s="71">
        <v>3.1</v>
      </c>
      <c r="L15" s="209">
        <f t="shared" ca="1" si="0"/>
        <v>0.12916666666666665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GAR'!$D$3:$Y$114,4,0)</f>
        <v>44469</v>
      </c>
      <c r="E16" s="213">
        <f>VLOOKUP(C16,'BD EVA 2 GAR'!$D$3:$Q$114,13,0)</f>
        <v>0</v>
      </c>
      <c r="F16" s="75">
        <f>VLOOKUP(C16,'BD EVA 2 GAR'!$D$3:$Y$114,8,0)</f>
        <v>45016</v>
      </c>
      <c r="G16" s="213">
        <f ca="1">VLOOKUP(C16,'BD EVA 2 GAR'!$D$3:$AC$114,23,0)</f>
        <v>0.33333333333333298</v>
      </c>
      <c r="H16" s="213" t="str">
        <f>VLOOKUP(C16,'BD EVA 2 GAR'!$D$3:$AC$114,16,0)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0.33333333333333298</v>
      </c>
      <c r="J16" s="75" t="s">
        <v>318</v>
      </c>
      <c r="K16" s="71">
        <v>1.5</v>
      </c>
      <c r="L16" s="209">
        <f t="shared" ca="1" si="0"/>
        <v>0.49999999999999944</v>
      </c>
      <c r="M16" s="130">
        <f ca="1">SUM(L16:L23)</f>
        <v>4.2195479289892743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GAR'!$D$3:$Y$114,4,0)</f>
        <v>44469</v>
      </c>
      <c r="E17" s="212">
        <f>VLOOKUP(C17,'BD EVA 2 GAR'!$D$3:$Q$114,13,0)</f>
        <v>0</v>
      </c>
      <c r="F17" s="75">
        <f>VLOOKUP(C17,'BD EVA 2 GAR'!$D$3:$Y$114,8,0)</f>
        <v>45016</v>
      </c>
      <c r="G17" s="212">
        <f ca="1">VLOOKUP(C17,'BD EVA 2 GAR'!$D$3:$AC$114,23,0)</f>
        <v>0</v>
      </c>
      <c r="H17" s="212" t="str">
        <f>VLOOKUP(C17,'BD EVA 2 GAR'!$D$3:$AC$114,16,0)</f>
        <v>Actualizado al 2018</v>
      </c>
      <c r="I17" s="214">
        <f t="shared" ca="1" si="4"/>
        <v>0</v>
      </c>
      <c r="J17" s="75" t="s">
        <v>318</v>
      </c>
      <c r="K17" s="71">
        <v>1.5</v>
      </c>
      <c r="L17" s="209">
        <f t="shared" ca="1" si="0"/>
        <v>0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GAR'!$D$3:$Y$114,4,0)</f>
        <v>44469</v>
      </c>
      <c r="E18" s="207" t="str">
        <f>VLOOKUP(C18,'BD EVA 2 GAR'!$D$3:$Q$114,13,0)</f>
        <v>NA</v>
      </c>
      <c r="F18" s="75">
        <f>VLOOKUP(C18,'BD EVA 2 GAR'!$D$3:$Y$114,8,0)</f>
        <v>45016</v>
      </c>
      <c r="G18" s="207" t="str">
        <f ca="1">VLOOKUP(C18,'BD EVA 2 GAR'!$D$3:$AC$114,23,0)</f>
        <v>NA</v>
      </c>
      <c r="H18" s="207">
        <f>VLOOKUP(C18,'BD EVA 2 GAR'!$D$3:$AC$114,16,0)</f>
        <v>1</v>
      </c>
      <c r="I18" s="214">
        <f ca="1">IF(G18="NA",1,G18/H18)</f>
        <v>1</v>
      </c>
      <c r="J18" s="75" t="s">
        <v>318</v>
      </c>
      <c r="K18" s="71">
        <v>0.3</v>
      </c>
      <c r="L18" s="209">
        <f t="shared" ca="1" si="0"/>
        <v>0.3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GAR'!$D$3:$Y$114,4,0)</f>
        <v>44469</v>
      </c>
      <c r="E19" s="207">
        <f>VLOOKUP(C19,'BD EVA 2 GAR'!$D$3:$Q$114,13,0)</f>
        <v>0.96726315789473682</v>
      </c>
      <c r="F19" s="75">
        <f>VLOOKUP(C19,'BD EVA 2 GAR'!$D$3:$Y$114,8,0)</f>
        <v>45016</v>
      </c>
      <c r="G19" s="207">
        <f ca="1">VLOOKUP(C19,'BD EVA 2 GAR'!$D$3:$AC$114,23,0)</f>
        <v>1.0085973173515901</v>
      </c>
      <c r="H19" s="207">
        <f>VLOOKUP(C19,'BD EVA 2 GAR'!$D$3:$AC$114,16,0)</f>
        <v>1</v>
      </c>
      <c r="I19" s="214">
        <f ca="1">G19/H19</f>
        <v>1.0085973173515901</v>
      </c>
      <c r="J19" s="75" t="s">
        <v>318</v>
      </c>
      <c r="K19" s="71">
        <v>1.5</v>
      </c>
      <c r="L19" s="209">
        <f t="shared" ca="1" si="0"/>
        <v>1.5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GAR'!$D$3:$Y$114,4,0)</f>
        <v>44469</v>
      </c>
      <c r="E20" s="214">
        <f>VLOOKUP(C20,'BD EVA 2 GAR'!$D$3:$Q$114,13,0)</f>
        <v>0.59262478455619816</v>
      </c>
      <c r="F20" s="75">
        <f>VLOOKUP(C20,'BD EVA 2 GAR'!$D$3:$Y$114,8,0)</f>
        <v>45016</v>
      </c>
      <c r="G20" s="214" t="str">
        <f ca="1">VLOOKUP(C20,'BD EVA 2 GAR'!$D$3:$AC$114,23,0)</f>
        <v>Sin dato</v>
      </c>
      <c r="H20" s="214">
        <f>VLOOKUP(C20,'BD EVA 2 GAR'!$D$3:$AC$114,16,0)</f>
        <v>1</v>
      </c>
      <c r="I20" s="214">
        <v>0</v>
      </c>
      <c r="J20" s="75" t="s">
        <v>318</v>
      </c>
      <c r="K20" s="71">
        <v>1.5</v>
      </c>
      <c r="L20" s="209">
        <f t="shared" si="0"/>
        <v>0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GAR'!$D$3:$Y$114,4,0)</f>
        <v>44469</v>
      </c>
      <c r="E21" s="207">
        <f>VLOOKUP(C21,'BD EVA 2 GAR'!$D$3:$Q$114,13,0)</f>
        <v>0.80780800599065006</v>
      </c>
      <c r="F21" s="75">
        <f>VLOOKUP(C21,'BD EVA 2 GAR'!$D$3:$Y$114,8,0)</f>
        <v>45016</v>
      </c>
      <c r="G21" s="207">
        <f ca="1">VLOOKUP(C21,'BD EVA 2 GAR'!$D$3:$AC$114,23,0)</f>
        <v>0.80867260499791604</v>
      </c>
      <c r="H21" s="207">
        <f>VLOOKUP(C21,'BD EVA 2 GAR'!$D$3:$AC$114,16,0)</f>
        <v>1</v>
      </c>
      <c r="I21" s="214">
        <f t="shared" ref="I21:I23" ca="1" si="5">G21/H21</f>
        <v>0.80867260499791604</v>
      </c>
      <c r="J21" s="75" t="s">
        <v>318</v>
      </c>
      <c r="K21" s="71">
        <v>0.9</v>
      </c>
      <c r="L21" s="209">
        <f t="shared" ca="1" si="0"/>
        <v>0.72780534449812451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GAR'!$D$3:$Y$114,4,0)</f>
        <v>44469</v>
      </c>
      <c r="E22" s="207">
        <f>VLOOKUP(C22,'BD EVA 2 GAR'!$D$3:$Q$114,13,0)</f>
        <v>0.74489795918367352</v>
      </c>
      <c r="F22" s="75">
        <f>VLOOKUP(C22,'BD EVA 2 GAR'!$D$3:$Y$114,8,0)</f>
        <v>45016</v>
      </c>
      <c r="G22" s="207">
        <f ca="1">VLOOKUP(C22,'BD EVA 2 GAR'!$D$3:$AC$114,23,0)</f>
        <v>0.77837861796906105</v>
      </c>
      <c r="H22" s="207">
        <f>VLOOKUP(C22,'BD EVA 2 GAR'!$D$3:$AC$114,16,0)</f>
        <v>1</v>
      </c>
      <c r="I22" s="214">
        <f t="shared" ca="1" si="5"/>
        <v>0.77837861796906105</v>
      </c>
      <c r="J22" s="75" t="s">
        <v>318</v>
      </c>
      <c r="K22" s="71">
        <v>1.5</v>
      </c>
      <c r="L22" s="209">
        <f t="shared" ca="1" si="0"/>
        <v>1.1675679269535917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GAR'!$D$3:$Y$114,4,0)</f>
        <v>octubre 20 - mar 21</v>
      </c>
      <c r="E23" s="208">
        <f>VLOOKUP(C23,'BD EVA 2 GAR'!$D$3:$Q$114,13,0)</f>
        <v>0</v>
      </c>
      <c r="F23" s="89" t="str">
        <f>VLOOKUP(C23,'BD EVA 2 GAR'!$D$3:$Y$114,8,0)</f>
        <v>octubre 22 - mar 23</v>
      </c>
      <c r="G23" s="85">
        <f ca="1">VLOOKUP(C23,'BD EVA 2 GAR'!$D$3:$AC$114,23,0)</f>
        <v>4.5249999999999999E-2</v>
      </c>
      <c r="H23" s="208">
        <f>VLOOKUP(C23,'BD EVA 2 GAR'!$D$3:$AC$114,16,0)</f>
        <v>2.4333333330000002</v>
      </c>
      <c r="I23" s="214">
        <f t="shared" ca="1" si="5"/>
        <v>1.8595890413506285E-2</v>
      </c>
      <c r="J23" s="75" t="s">
        <v>318</v>
      </c>
      <c r="K23" s="82">
        <v>1.3</v>
      </c>
      <c r="L23" s="211">
        <f t="shared" ca="1" si="0"/>
        <v>2.417465753755817E-2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GAR'!$D$3:$Y$114,4,0)</f>
        <v>44469</v>
      </c>
      <c r="E24" s="171">
        <f>VLOOKUP(C24,'BD EVA 2 GAR'!$D$3:$Q$114,13,0)</f>
        <v>1.5</v>
      </c>
      <c r="F24" s="75">
        <f>VLOOKUP(C24,'BD EVA 2 GAR'!$D$3:$Y$114,8,0)</f>
        <v>45016</v>
      </c>
      <c r="G24" s="171">
        <f ca="1">VLOOKUP(C24,'BD EVA 2 GAR'!$D$3:$AC$114,23,0)</f>
        <v>1.76</v>
      </c>
      <c r="H24" s="333" t="str">
        <f>VLOOKUP(C24,'BD EVA 2 GAR'!$D$3:$AC$114,16,0)</f>
        <v>sin meta</v>
      </c>
      <c r="I24" s="214">
        <v>0</v>
      </c>
      <c r="J24" s="75" t="s">
        <v>318</v>
      </c>
      <c r="K24" s="82">
        <v>1.9</v>
      </c>
      <c r="L24" s="209">
        <f t="shared" si="0"/>
        <v>0</v>
      </c>
      <c r="M24" s="130">
        <f ca="1">SUM(L24:L28)</f>
        <v>4.0994490116487876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GAR'!$D$3:$Y$114,4,0)</f>
        <v>octubre 20 - mar 21</v>
      </c>
      <c r="E25" s="212">
        <f>VLOOKUP(C25,'BD EVA 2 GAR'!$D$3:$Q$114,13,0)</f>
        <v>0</v>
      </c>
      <c r="F25" s="71" t="str">
        <f>VLOOKUP(C25,'BD EVA 2 GAR'!$D$3:$Y$114,8,0)</f>
        <v>octubre 22 - mar 23</v>
      </c>
      <c r="G25" s="212">
        <f ca="1">VLOOKUP(C25,'BD EVA 2 GAR'!$D$3:$AC$114,23,0)</f>
        <v>0</v>
      </c>
      <c r="H25" s="212">
        <f>VLOOKUP(C25,'BD EVA 2 GAR'!$D$3:$AC$114,16,0)</f>
        <v>883.3</v>
      </c>
      <c r="I25" s="214">
        <f t="shared" ref="I25:I27" ca="1" si="6">G25/H25</f>
        <v>0</v>
      </c>
      <c r="J25" s="75" t="s">
        <v>318</v>
      </c>
      <c r="K25" s="82">
        <v>1.6</v>
      </c>
      <c r="L25" s="209">
        <f t="shared" ca="1" si="0"/>
        <v>0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GAR'!$D$3:$Y$114,4,0)</f>
        <v>enero - diciembre 2021</v>
      </c>
      <c r="E26" s="212">
        <f>VLOOKUP(C26,'BD EVA 2 GAR'!$D$3:$Q$114,13,0)</f>
        <v>5.767480656675171E-2</v>
      </c>
      <c r="F26" s="71" t="str">
        <f>VLOOKUP(C26,'BD EVA 2 GAR'!$D$3:$Y$114,8,0)</f>
        <v>enero- diciembre 2022</v>
      </c>
      <c r="G26" s="210">
        <f ca="1">VLOOKUP(C26,'BD EVA 2 GAR'!$D$3:$AC$114,23,0)</f>
        <v>6.5123966113672702E-2</v>
      </c>
      <c r="H26" s="210">
        <f>VLOOKUP(C26,'BD EVA 2 GAR'!$D$3:$AC$114,16,0)</f>
        <v>7.1999999999999995E-2</v>
      </c>
      <c r="I26" s="214">
        <f t="shared" ca="1" si="6"/>
        <v>0.90449952935656541</v>
      </c>
      <c r="J26" s="75" t="s">
        <v>318</v>
      </c>
      <c r="K26" s="82">
        <v>2.1</v>
      </c>
      <c r="L26" s="209">
        <f t="shared" ca="1" si="0"/>
        <v>1.8994490116487874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GAR'!$D$3:$Y$114,4,0)</f>
        <v>octubre 20 - mar 21</v>
      </c>
      <c r="E27" s="212">
        <f>VLOOKUP(C27,'BD EVA 2 GAR'!$D$3:$Q$114,13,0)</f>
        <v>0</v>
      </c>
      <c r="F27" s="71" t="str">
        <f>VLOOKUP(C27,'BD EVA 2 GAR'!$D$3:$Y$114,8,0)</f>
        <v>octubre 22 - mar 23</v>
      </c>
      <c r="G27" s="212">
        <f ca="1">VLOOKUP(C27,'BD EVA 2 GAR'!$D$3:$AC$114,23,0)</f>
        <v>0</v>
      </c>
      <c r="H27" s="212">
        <f>VLOOKUP(C27,'BD EVA 2 GAR'!$D$3:$AC$114,16,0)</f>
        <v>2</v>
      </c>
      <c r="I27" s="214">
        <f t="shared" ca="1" si="6"/>
        <v>0</v>
      </c>
      <c r="J27" s="75" t="s">
        <v>318</v>
      </c>
      <c r="K27" s="82">
        <v>2.1</v>
      </c>
      <c r="L27" s="209">
        <f t="shared" ca="1" si="0"/>
        <v>0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GAR'!$D$3:$Y$114,4,0)</f>
        <v>octubre 2018 - marzo 2019</v>
      </c>
      <c r="E28" s="212">
        <f>VLOOKUP(C28,'BD EVA 2 GAR'!$D$3:$Q$114,13,0)</f>
        <v>1466</v>
      </c>
      <c r="F28" s="89" t="str">
        <f>VLOOKUP(C28,'BD EVA 2 GAR'!$D$3:$Y$114,8,0)</f>
        <v>octubre 22 - mar 23</v>
      </c>
      <c r="G28" s="212">
        <f ca="1">VLOOKUP(C28,'BD EVA 2 GAR'!$D$3:$AC$114,23,0)</f>
        <v>959</v>
      </c>
      <c r="H28" s="212">
        <f>VLOOKUP(C28,'BD EVA 2 GAR'!$D$3:$AC$114,16,0)</f>
        <v>1417</v>
      </c>
      <c r="I28" s="78">
        <f ca="1">(G28-E28)/(H28-E28)</f>
        <v>10.346938775510203</v>
      </c>
      <c r="J28" s="89" t="s">
        <v>319</v>
      </c>
      <c r="K28" s="82">
        <v>2.2000000000000002</v>
      </c>
      <c r="L28" s="209">
        <f t="shared" ca="1" si="0"/>
        <v>2.2000000000000002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GAR'!$D$3:$Y$114,4,0)</f>
        <v>octubre 20 - mar 21</v>
      </c>
      <c r="E29" s="212">
        <f>VLOOKUP(C29,'BD EVA 2 GAR'!$D$3:$Q$114,13,0)</f>
        <v>0</v>
      </c>
      <c r="F29" s="89" t="str">
        <f>VLOOKUP(C29,'BD EVA 2 GAR'!$D$3:$Y$114,8,0)</f>
        <v>octubre 22 - mar 23</v>
      </c>
      <c r="G29" s="212">
        <f ca="1">VLOOKUP(C29,'BD EVA 2 GAR'!$D$3:$AC$114,23,0)</f>
        <v>84</v>
      </c>
      <c r="H29" s="212">
        <f>VLOOKUP(C29,'BD EVA 2 GAR'!$D$3:$AC$114,16,0)</f>
        <v>80</v>
      </c>
      <c r="I29" s="80">
        <f t="shared" ref="I29:I33" ca="1" si="7">G29/H29</f>
        <v>1.05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7.0237605633802804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GAR'!$D$3:$Y$114,4,0)</f>
        <v>44469</v>
      </c>
      <c r="E30" s="212">
        <f>VLOOKUP(C30,'BD EVA 2 GAR'!$D$3:$Q$114,13,0)</f>
        <v>2</v>
      </c>
      <c r="F30" s="75">
        <f>VLOOKUP(C30,'BD EVA 2 GAR'!$D$3:$Y$114,8,0)</f>
        <v>45016</v>
      </c>
      <c r="G30" s="212">
        <f ca="1">VLOOKUP(C30,'BD EVA 2 GAR'!$D$3:$AC$114,23,0)</f>
        <v>2</v>
      </c>
      <c r="H30" s="212">
        <f>VLOOKUP(C30,'BD EVA 2 GAR'!$D$3:$AC$114,16,0)</f>
        <v>2</v>
      </c>
      <c r="I30" s="80">
        <f t="shared" ca="1" si="7"/>
        <v>1</v>
      </c>
      <c r="J30" s="75" t="s">
        <v>318</v>
      </c>
      <c r="K30" s="71">
        <v>2</v>
      </c>
      <c r="L30" s="20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GAR'!$D$3:$Y$114,4,0)</f>
        <v>44469</v>
      </c>
      <c r="E31" s="212">
        <f>VLOOKUP(C31,'BD EVA 2 GAR'!$D$3:$Q$114,13,0)</f>
        <v>94.73</v>
      </c>
      <c r="F31" s="75" t="str">
        <f>VLOOKUP(C31,'BD EVA 2 GAR'!$D$3:$Y$114,8,0)</f>
        <v>Dic 2022</v>
      </c>
      <c r="G31" s="212">
        <f ca="1">VLOOKUP(C31,'BD EVA 2 GAR'!$D$3:$AC$114,23,0)</f>
        <v>94.85</v>
      </c>
      <c r="H31" s="212">
        <f>VLOOKUP(C31,'BD EVA 2 GAR'!$D$3:$AC$114,16,0)</f>
        <v>100</v>
      </c>
      <c r="I31" s="80">
        <f t="shared" ca="1" si="7"/>
        <v>0.9484999999999999</v>
      </c>
      <c r="J31" s="75" t="s">
        <v>318</v>
      </c>
      <c r="K31" s="71">
        <v>2</v>
      </c>
      <c r="L31" s="209">
        <f t="shared" ca="1" si="0"/>
        <v>1.8969999999999998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GAR'!$D$3:$Y$114,4,0)</f>
        <v>44469</v>
      </c>
      <c r="E32" s="209">
        <f>VLOOKUP(C32,'BD EVA 2 GAR'!$D$3:$Q$114,13,0)</f>
        <v>0</v>
      </c>
      <c r="F32" s="75">
        <f>VLOOKUP(C32,'BD EVA 2 GAR'!$D$3:$Y$114,8,0)</f>
        <v>45016</v>
      </c>
      <c r="G32" s="209">
        <f ca="1">VLOOKUP(C32,'BD EVA 2 GAR'!$D$3:$AC$114,23,0)</f>
        <v>0</v>
      </c>
      <c r="H32" s="209">
        <f>VLOOKUP(C32,'BD EVA 2 GAR'!$D$3:$AC$114,16,0)</f>
        <v>4</v>
      </c>
      <c r="I32" s="80">
        <f t="shared" ca="1" si="7"/>
        <v>0</v>
      </c>
      <c r="J32" s="75" t="s">
        <v>318</v>
      </c>
      <c r="K32" s="71">
        <v>2</v>
      </c>
      <c r="L32" s="209">
        <f t="shared" ca="1" si="0"/>
        <v>0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GAR'!$D$3:$Y$114,4,0)</f>
        <v>44469</v>
      </c>
      <c r="E33" s="209">
        <f>VLOOKUP(C33,'BD EVA 2 GAR'!$D$3:$Q$114,13,0)</f>
        <v>0</v>
      </c>
      <c r="F33" s="75">
        <f>VLOOKUP(C33,'BD EVA 2 GAR'!$D$3:$Y$114,8,0)</f>
        <v>45016</v>
      </c>
      <c r="G33" s="207">
        <f ca="1">VLOOKUP(C33,'BD EVA 2 GAR'!$D$3:$AC$114,23,0)</f>
        <v>0.28169014084506999</v>
      </c>
      <c r="H33" s="207">
        <f>VLOOKUP(C33,'BD EVA 2 GAR'!$D$3:$AC$114,16,0)</f>
        <v>0.5</v>
      </c>
      <c r="I33" s="80">
        <f t="shared" ca="1" si="7"/>
        <v>0.56338028169013998</v>
      </c>
      <c r="J33" s="75" t="s">
        <v>318</v>
      </c>
      <c r="K33" s="71">
        <v>2</v>
      </c>
      <c r="L33" s="209">
        <f t="shared" ca="1" si="0"/>
        <v>1.12676056338028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GAR'!$D$3:$Y$114,4,0)</f>
        <v>enero - diciembre 2021</v>
      </c>
      <c r="E34" s="78">
        <f>VLOOKUP(C34,'BD EVA 2 GAR'!$D$3:$Q$114,13,0)</f>
        <v>0.45038096868515498</v>
      </c>
      <c r="F34" s="71" t="str">
        <f>VLOOKUP(C34,'BD EVA 2 GAR'!$D$3:$Y$114,8,0)</f>
        <v>enero- diciembre 2022</v>
      </c>
      <c r="G34" s="78">
        <f ca="1">VLOOKUP(C34,'BD EVA 2 GAR'!$D$3:$AC$114,23,0)</f>
        <v>0.38765404110289198</v>
      </c>
      <c r="H34" s="78">
        <f>VLOOKUP(C34,'BD EVA 2 GAR'!$D$3:$AC$114,16,0)</f>
        <v>0.46300000000000002</v>
      </c>
      <c r="I34" s="78">
        <f ca="1">(G34/H34)</f>
        <v>0.83726574752244487</v>
      </c>
      <c r="J34" s="75" t="s">
        <v>318</v>
      </c>
      <c r="K34" s="71">
        <v>2.2000000000000002</v>
      </c>
      <c r="L34" s="209">
        <f t="shared" ca="1" si="0"/>
        <v>1.8419846445493788</v>
      </c>
      <c r="M34" s="130">
        <f ca="1">SUM(L34:L39)</f>
        <v>7.1873608841046863</v>
      </c>
    </row>
    <row r="35" spans="1:13" ht="117">
      <c r="A35" s="121" t="s">
        <v>275</v>
      </c>
      <c r="B35" s="72" t="s">
        <v>276</v>
      </c>
      <c r="C35" s="72" t="s">
        <v>287</v>
      </c>
      <c r="D35" s="71" t="str">
        <f>VLOOKUP(C35,'BD EVA 2 GAR'!$D$3:$Y$114,4,0)</f>
        <v>enero - diciembre 2021</v>
      </c>
      <c r="E35" s="78">
        <f>VLOOKUP(C35,'BD EVA 2 GAR'!$D$3:$Q$114,13,0)</f>
        <v>0.56280989711130658</v>
      </c>
      <c r="F35" s="71" t="str">
        <f>VLOOKUP(C35,'BD EVA 2 GAR'!$D$3:$Y$114,8,0)</f>
        <v>enero- diciembre 2022</v>
      </c>
      <c r="G35" s="78">
        <f ca="1">VLOOKUP(C35,'BD EVA 2 GAR'!$D$3:$AC$114,23,0)</f>
        <v>0.46399751639050801</v>
      </c>
      <c r="H35" s="78">
        <f>VLOOKUP(C35,'BD EVA 2 GAR'!$D$3:$AC$114,16,0)</f>
        <v>0.57999999999999996</v>
      </c>
      <c r="I35" s="78">
        <f ca="1">G35/H35</f>
        <v>0.79999571791466906</v>
      </c>
      <c r="J35" s="75" t="s">
        <v>318</v>
      </c>
      <c r="K35" s="71">
        <v>1.4</v>
      </c>
      <c r="L35" s="209">
        <f t="shared" ca="1" si="0"/>
        <v>1.1199940050805366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1" t="str">
        <f>VLOOKUP(C36,'BD EVA 2 GAR'!$D$3:$Y$114,4,0)</f>
        <v>enero - diciembre 2021</v>
      </c>
      <c r="E36" s="78">
        <f>VLOOKUP(C36,'BD EVA 2 GAR'!$D$3:$Q$114,13,0)</f>
        <v>0.35650243665960757</v>
      </c>
      <c r="F36" s="71" t="str">
        <f>VLOOKUP(C36,'BD EVA 2 GAR'!$D$3:$Y$114,8,0)</f>
        <v>enero- diciembre 2022</v>
      </c>
      <c r="G36" s="78">
        <f ca="1">VLOOKUP(C36,'BD EVA 2 GAR'!$D$3:$AC$114,23,0)</f>
        <v>0.31151321800196502</v>
      </c>
      <c r="H36" s="78">
        <f>VLOOKUP(C36,'BD EVA 2 GAR'!$D$3:$AC$114,16,0)</f>
        <v>0.36399999999999999</v>
      </c>
      <c r="I36" s="78">
        <f ca="1">IF(G36&lt;E36,0,G36/H36)</f>
        <v>0</v>
      </c>
      <c r="J36" s="72" t="s">
        <v>316</v>
      </c>
      <c r="K36" s="71">
        <v>2.2000000000000002</v>
      </c>
      <c r="L36" s="209">
        <f t="shared" ca="1" si="0"/>
        <v>0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1" t="str">
        <f>VLOOKUP(C37,'BD EVA 2 GAR'!$D$3:$Y$114,4,0)</f>
        <v>enero - diciembre 2021</v>
      </c>
      <c r="E37" s="90">
        <f>VLOOKUP(C37,'BD EVA 2 GAR'!$D$3:$Q$114,13,0)</f>
        <v>103093630.20999999</v>
      </c>
      <c r="F37" s="89" t="str">
        <f>VLOOKUP(C37,'BD EVA 2 GAR'!$D$3:$Y$114,8,0)</f>
        <v>enero- diciembre 2022</v>
      </c>
      <c r="G37" s="90">
        <f ca="1">VLOOKUP(C37,'BD EVA 2 GAR'!$D$3:$AC$114,23,0)</f>
        <v>99582374.120000005</v>
      </c>
      <c r="H37" s="90">
        <f>VLOOKUP(C37,'BD EVA 2 GAR'!$D$3:$AC$114,16,0)</f>
        <v>105186430.90000001</v>
      </c>
      <c r="I37" s="78">
        <f ca="1">G37/H37</f>
        <v>0.94672262636872107</v>
      </c>
      <c r="J37" s="75" t="s">
        <v>318</v>
      </c>
      <c r="K37" s="71">
        <v>1.1000000000000001</v>
      </c>
      <c r="L37" s="209">
        <f t="shared" ca="1" si="0"/>
        <v>1.0413948890055933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1" t="str">
        <f>VLOOKUP(C38,'BD EVA 2 GAR'!$D$3:$Y$114,4,0)</f>
        <v>enero - diciembre 2021</v>
      </c>
      <c r="E38" s="78">
        <f>VLOOKUP(C38,'BD EVA 2 GAR'!$D$3:$Q$114,13,0)</f>
        <v>0.86009259582291675</v>
      </c>
      <c r="F38" s="89" t="str">
        <f>VLOOKUP(C38,'BD EVA 2 GAR'!$D$3:$Y$114,8,0)</f>
        <v>enero- diciembre 2022</v>
      </c>
      <c r="G38" s="78">
        <f ca="1">VLOOKUP(C38,'BD EVA 2 GAR'!$D$3:$AC$114,23,0)</f>
        <v>0.85152195429975797</v>
      </c>
      <c r="H38" s="78">
        <f>VLOOKUP(C38,'BD EVA 2 GAR'!$D$3:$AC$114,16,0)</f>
        <v>0.84299999999999997</v>
      </c>
      <c r="I38" s="78">
        <f ca="1">(H38/G38)</f>
        <v>0.98999209091823603</v>
      </c>
      <c r="J38" s="89" t="s">
        <v>341</v>
      </c>
      <c r="K38" s="71">
        <v>1.6</v>
      </c>
      <c r="L38" s="209">
        <f t="shared" ca="1" si="0"/>
        <v>1.5839873454691777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GAR'!$D$3:$Y$114,4,0)</f>
        <v>Dic 2020</v>
      </c>
      <c r="E39" s="76" t="str">
        <f>VLOOKUP(C39,'BD EVA 2 GAR'!$D$3:$Q$114,13,0)</f>
        <v>Verde</v>
      </c>
      <c r="F39" s="89" t="str">
        <f>VLOOKUP(C39,'BD EVA 2 GAR'!$D$3:$Y$114,8,0)</f>
        <v>Dic 2022</v>
      </c>
      <c r="G39" s="76" t="str">
        <f ca="1">VLOOKUP(C39,'BD EVA 2 GAR'!$D$3:$AC$114,23,0)</f>
        <v>Verde</v>
      </c>
      <c r="H39" s="76" t="str">
        <f>VLOOKUP(C39,'BD EVA 2 GAR'!$D$3:$AC$114,16,0)</f>
        <v>Verde</v>
      </c>
      <c r="I39" s="76">
        <f ca="1">IF(G39="Verde",1,0)</f>
        <v>1</v>
      </c>
      <c r="J39" s="75" t="s">
        <v>318</v>
      </c>
      <c r="K39" s="71">
        <v>1.6</v>
      </c>
      <c r="L39" s="209">
        <f t="shared" ca="1" si="0"/>
        <v>1.6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DEEC9-AE5B-4141-B9AE-A84E2FC1E864}">
  <dimension ref="A1:AC113"/>
  <sheetViews>
    <sheetView workbookViewId="0">
      <selection activeCell="F14" sqref="F14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427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12">
        <v>309453</v>
      </c>
      <c r="Q2" s="12">
        <v>309453</v>
      </c>
      <c r="R2" s="13"/>
      <c r="S2" s="316"/>
      <c r="T2" s="316"/>
      <c r="U2" s="316"/>
      <c r="V2" s="316"/>
      <c r="W2" s="6"/>
      <c r="X2" s="12">
        <v>316902</v>
      </c>
      <c r="Y2" s="12">
        <v>316902</v>
      </c>
      <c r="Z2" s="12">
        <v>322969</v>
      </c>
      <c r="AA2" s="12">
        <v>322969</v>
      </c>
      <c r="AB2" s="12">
        <v>327534</v>
      </c>
      <c r="AC2" s="12">
        <v>327534</v>
      </c>
    </row>
    <row r="3" spans="1:29">
      <c r="A3" s="148" t="s">
        <v>34</v>
      </c>
      <c r="B3" s="148" t="s">
        <v>35</v>
      </c>
      <c r="C3" s="148" t="s">
        <v>36</v>
      </c>
      <c r="D3" s="148" t="s">
        <v>37</v>
      </c>
      <c r="E3" s="14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382</v>
      </c>
      <c r="Q3" s="12">
        <v>382</v>
      </c>
      <c r="R3" s="257">
        <v>405</v>
      </c>
      <c r="S3" s="257">
        <v>428</v>
      </c>
      <c r="T3" s="257">
        <v>450</v>
      </c>
      <c r="U3" s="257">
        <v>473</v>
      </c>
      <c r="V3" s="257">
        <v>496</v>
      </c>
      <c r="W3" s="2">
        <v>496</v>
      </c>
      <c r="X3" s="12">
        <v>416</v>
      </c>
      <c r="Y3" s="2">
        <f ca="1">IFERROR(__xludf.DUMMYFUNCTION("INDEX(IMPORTRANGE(""1y0FWgjbB0gVlqn-q5LMJbGIsqOrzru4yowQz67dz2yc"", ""'GAR'!BG3:BG139""),MATCH(D3,IMPORTRANGE(""1y0FWgjbB0gVlqn-q5LMJbGIsqOrzru4yowQz67dz2yc"", ""'GAR'!D3:D139""),0))"),436)</f>
        <v>436</v>
      </c>
      <c r="Z3" s="12">
        <f ca="1">IFERROR(__xludf.DUMMYFUNCTION("INDEX(IMPORTRANGE(""1y0FWgjbB0gVlqn-q5LMJbGIsqOrzru4yowQz67dz2yc"", ""'GAR'!BH3:BH139""),MATCH(D3,IMPORTRANGE(""1y0FWgjbB0gVlqn-q5LMJbGIsqOrzru4yowQz67dz2yc"", ""'GAR'!D3:D139""),0))"),402)</f>
        <v>402</v>
      </c>
      <c r="AA3" s="2">
        <f ca="1">IFERROR(__xludf.DUMMYFUNCTION("INDEX(IMPORTRANGE(""1y0FWgjbB0gVlqn-q5LMJbGIsqOrzru4yowQz67dz2yc"", ""'GAR'!BI3:BI139""),MATCH($D3,IMPORTRANGE(""1y0FWgjbB0gVlqn-q5LMJbGIsqOrzru4yowQz67dz2yc"", ""'GAR'!D3:D139""),0))"),408)</f>
        <v>408</v>
      </c>
      <c r="AB3" s="2"/>
      <c r="AC3" s="2"/>
    </row>
    <row r="4" spans="1:29">
      <c r="A4" s="149" t="s">
        <v>34</v>
      </c>
      <c r="B4" s="149" t="s">
        <v>40</v>
      </c>
      <c r="C4" s="149" t="s">
        <v>30</v>
      </c>
      <c r="D4" s="149" t="s">
        <v>41</v>
      </c>
      <c r="E4" s="14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197</v>
      </c>
      <c r="Q4" s="12">
        <v>197</v>
      </c>
      <c r="R4" s="13"/>
      <c r="S4" s="13"/>
      <c r="T4" s="13"/>
      <c r="U4" s="13"/>
      <c r="V4" s="13"/>
      <c r="W4" s="4"/>
      <c r="X4" s="12">
        <v>289</v>
      </c>
      <c r="Y4" s="2">
        <f ca="1">IFERROR(__xludf.DUMMYFUNCTION("INDEX(IMPORTRANGE(""1y0FWgjbB0gVlqn-q5LMJbGIsqOrzru4yowQz67dz2yc"", ""'GAR'!BG3:BG139""),MATCH(D4,IMPORTRANGE(""1y0FWgjbB0gVlqn-q5LMJbGIsqOrzru4yowQz67dz2yc"", ""'GAR'!D3:D139""),0))"),336)</f>
        <v>336</v>
      </c>
      <c r="Z4" s="12">
        <f ca="1">IFERROR(__xludf.DUMMYFUNCTION("INDEX(IMPORTRANGE(""1y0FWgjbB0gVlqn-q5LMJbGIsqOrzru4yowQz67dz2yc"", ""'GAR'!BH3:BH139""),MATCH(D4,IMPORTRANGE(""1y0FWgjbB0gVlqn-q5LMJbGIsqOrzru4yowQz67dz2yc"", ""'GAR'!D3:D139""),0))"),371)</f>
        <v>371</v>
      </c>
      <c r="AA4" s="2">
        <f ca="1">IFERROR(__xludf.DUMMYFUNCTION("INDEX(IMPORTRANGE(""1y0FWgjbB0gVlqn-q5LMJbGIsqOrzru4yowQz67dz2yc"", ""'GAR'!BI3:BI139""),MATCH($D4,IMPORTRANGE(""1y0FWgjbB0gVlqn-q5LMJbGIsqOrzru4yowQz67dz2yc"", ""'GAR'!D3:D139""),0))"),362)</f>
        <v>362</v>
      </c>
      <c r="AB4" s="1"/>
      <c r="AC4" s="1"/>
    </row>
    <row r="5" spans="1:29">
      <c r="A5" s="148" t="s">
        <v>34</v>
      </c>
      <c r="B5" s="148" t="s">
        <v>40</v>
      </c>
      <c r="C5" s="148" t="s">
        <v>36</v>
      </c>
      <c r="D5" s="148" t="s">
        <v>43</v>
      </c>
      <c r="E5" s="14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0.51570680628272247</v>
      </c>
      <c r="Q5" s="15">
        <f t="shared" si="0"/>
        <v>0.51570680628272247</v>
      </c>
      <c r="R5" s="2" t="s">
        <v>327</v>
      </c>
      <c r="S5" s="2" t="s">
        <v>327</v>
      </c>
      <c r="T5" s="2" t="s">
        <v>327</v>
      </c>
      <c r="U5" s="2" t="s">
        <v>327</v>
      </c>
      <c r="V5" s="2" t="s">
        <v>327</v>
      </c>
      <c r="W5" s="2" t="s">
        <v>327</v>
      </c>
      <c r="X5" s="15">
        <f>X4/X3</f>
        <v>0.69471153846153844</v>
      </c>
      <c r="Y5" s="15">
        <f ca="1">IFERROR(__xludf.DUMMYFUNCTION("INDEX(IMPORTRANGE(""1y0FWgjbB0gVlqn-q5LMJbGIsqOrzru4yowQz67dz2yc"", ""'GAR'!BG3:BG139""),MATCH(D5,IMPORTRANGE(""1y0FWgjbB0gVlqn-q5LMJbGIsqOrzru4yowQz67dz2yc"", ""'GAR'!D3:D139""),0))"),0.770642201834862)</f>
        <v>0.77064220183486198</v>
      </c>
      <c r="Z5" s="15">
        <f ca="1">IFERROR(__xludf.DUMMYFUNCTION("INDEX(IMPORTRANGE(""1y0FWgjbB0gVlqn-q5LMJbGIsqOrzru4yowQz67dz2yc"", ""'GAR'!BH3:BH139""),MATCH(D5,IMPORTRANGE(""1y0FWgjbB0gVlqn-q5LMJbGIsqOrzru4yowQz67dz2yc"", ""'GAR'!D3:D139""),0))"),0.922885572139303)</f>
        <v>0.922885572139303</v>
      </c>
      <c r="AA5" s="15">
        <f ca="1">IFERROR(__xludf.DUMMYFUNCTION("INDEX(IMPORTRANGE(""1y0FWgjbB0gVlqn-q5LMJbGIsqOrzru4yowQz67dz2yc"", ""'GAR'!BI3:BI139""),MATCH($D5,IMPORTRANGE(""1y0FWgjbB0gVlqn-q5LMJbGIsqOrzru4yowQz67dz2yc"", ""'GAR'!D3:D139""),0))"),0.887254901960784)</f>
        <v>0.88725490196078405</v>
      </c>
      <c r="AB5" s="2"/>
      <c r="AC5" s="2"/>
    </row>
    <row r="6" spans="1:29">
      <c r="A6" s="148" t="s">
        <v>34</v>
      </c>
      <c r="B6" s="148" t="s">
        <v>45</v>
      </c>
      <c r="C6" s="148" t="s">
        <v>30</v>
      </c>
      <c r="D6" s="148" t="s">
        <v>328</v>
      </c>
      <c r="E6" s="14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2"/>
      <c r="Y6" s="2">
        <f ca="1">IFERROR(__xludf.DUMMYFUNCTION("INDEX(IMPORTRANGE(""1y0FWgjbB0gVlqn-q5LMJbGIsqOrzru4yowQz67dz2yc"", ""'GAR'!BG3:BG139""),MATCH(D6,IMPORTRANGE(""1y0FWgjbB0gVlqn-q5LMJbGIsqOrzru4yowQz67dz2yc"", ""'GAR'!D3:D139""),0))"),18)</f>
        <v>18</v>
      </c>
      <c r="Z6" s="29">
        <f ca="1">IFERROR(__xludf.DUMMYFUNCTION("INDEX(IMPORTRANGE(""1y0FWgjbB0gVlqn-q5LMJbGIsqOrzru4yowQz67dz2yc"", ""'GAR'!BH3:BH139""),MATCH(D6,IMPORTRANGE(""1y0FWgjbB0gVlqn-q5LMJbGIsqOrzru4yowQz67dz2yc"", ""'GAR'!D3:D139""),0))"),12.864)</f>
        <v>12.864000000000001</v>
      </c>
      <c r="AA6" s="2">
        <f ca="1">IFERROR(__xludf.DUMMYFUNCTION("INDEX(IMPORTRANGE(""1y0FWgjbB0gVlqn-q5LMJbGIsqOrzru4yowQz67dz2yc"", ""'GAR'!BI3:BI139""),MATCH($D6,IMPORTRANGE(""1y0FWgjbB0gVlqn-q5LMJbGIsqOrzru4yowQz67dz2yc"", ""'GAR'!D3:D139""),0))"),7)</f>
        <v>7</v>
      </c>
      <c r="AB6" s="1"/>
      <c r="AC6" s="1"/>
    </row>
    <row r="7" spans="1:29">
      <c r="A7" s="148" t="s">
        <v>34</v>
      </c>
      <c r="B7" s="148" t="s">
        <v>45</v>
      </c>
      <c r="C7" s="148" t="s">
        <v>30</v>
      </c>
      <c r="D7" s="148" t="s">
        <v>329</v>
      </c>
      <c r="E7" s="14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2"/>
      <c r="X7" s="15"/>
      <c r="Y7" s="15">
        <f ca="1">IFERROR(__xludf.DUMMYFUNCTION("INDEX(IMPORTRANGE(""1y0FWgjbB0gVlqn-q5LMJbGIsqOrzru4yowQz67dz2yc"", ""'GAR'!BG3:BG139""),MATCH(D7,IMPORTRANGE(""1y0FWgjbB0gVlqn-q5LMJbGIsqOrzru4yowQz67dz2yc"", ""'GAR'!D3:D139""),0))"),0)</f>
        <v>0</v>
      </c>
      <c r="Z7" s="15">
        <f ca="1">IFERROR(__xludf.DUMMYFUNCTION("INDEX(IMPORTRANGE(""1y0FWgjbB0gVlqn-q5LMJbGIsqOrzru4yowQz67dz2yc"", ""'GAR'!BH3:BH139""),MATCH(D7,IMPORTRANGE(""1y0FWgjbB0gVlqn-q5LMJbGIsqOrzru4yowQz67dz2yc"", ""'GAR'!D3:D139""),0))"),0)</f>
        <v>0</v>
      </c>
      <c r="AA7" s="15">
        <f ca="1">IFERROR(__xludf.DUMMYFUNCTION("INDEX(IMPORTRANGE(""1y0FWgjbB0gVlqn-q5LMJbGIsqOrzru4yowQz67dz2yc"", ""'GAR'!BI3:BI139""),MATCH($D7,IMPORTRANGE(""1y0FWgjbB0gVlqn-q5LMJbGIsqOrzru4yowQz67dz2yc"", ""'GAR'!D3:D139""),0))"),0)</f>
        <v>0</v>
      </c>
      <c r="AB7" s="1"/>
      <c r="AC7" s="1"/>
    </row>
    <row r="8" spans="1:29">
      <c r="A8" s="148" t="s">
        <v>34</v>
      </c>
      <c r="B8" s="148" t="s">
        <v>45</v>
      </c>
      <c r="C8" s="148" t="s">
        <v>36</v>
      </c>
      <c r="D8" s="148" t="s">
        <v>50</v>
      </c>
      <c r="E8" s="14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97">
        <v>5.0000000000000001E-4</v>
      </c>
      <c r="S8" s="297">
        <v>5.0000000000000001E-4</v>
      </c>
      <c r="T8" s="297">
        <v>5.0000000000000001E-4</v>
      </c>
      <c r="U8" s="297">
        <v>5.0000000000000001E-4</v>
      </c>
      <c r="V8" s="297">
        <v>5.0000000000000001E-4</v>
      </c>
      <c r="W8" s="297">
        <v>5.0000000000000001E-4</v>
      </c>
      <c r="X8" s="15">
        <f>X6/X3</f>
        <v>0</v>
      </c>
      <c r="Y8" s="15">
        <f ca="1">IFERROR(__xludf.DUMMYFUNCTION("INDEX(IMPORTRANGE(""1y0FWgjbB0gVlqn-q5LMJbGIsqOrzru4yowQz67dz2yc"", ""'GAR'!BG3:BG139""),MATCH(D8,IMPORTRANGE(""1y0FWgjbB0gVlqn-q5LMJbGIsqOrzru4yowQz67dz2yc"", ""'GAR'!D3:D139""),0))"),0.0412844036697247)</f>
        <v>4.1284403669724697E-2</v>
      </c>
      <c r="Z8" s="15">
        <f ca="1">IFERROR(__xludf.DUMMYFUNCTION("INDEX(IMPORTRANGE(""1y0FWgjbB0gVlqn-q5LMJbGIsqOrzru4yowQz67dz2yc"", ""'GAR'!BH3:BH139""),MATCH(D8,IMPORTRANGE(""1y0FWgjbB0gVlqn-q5LMJbGIsqOrzru4yowQz67dz2yc"", ""'GAR'!D3:D139""),0))"),0.032)</f>
        <v>3.2000000000000001E-2</v>
      </c>
      <c r="AA8" s="15">
        <f ca="1">IFERROR(__xludf.DUMMYFUNCTION("INDEX(IMPORTRANGE(""1y0FWgjbB0gVlqn-q5LMJbGIsqOrzru4yowQz67dz2yc"", ""'GAR'!BI3:BI139""),MATCH($D8,IMPORTRANGE(""1y0FWgjbB0gVlqn-q5LMJbGIsqOrzru4yowQz67dz2yc"", ""'GAR'!D3:D139""),0))"),0.017156862745098)</f>
        <v>1.7156862745097999E-2</v>
      </c>
      <c r="AB8" s="2"/>
      <c r="AC8" s="2"/>
    </row>
    <row r="9" spans="1:29">
      <c r="A9" s="149" t="s">
        <v>52</v>
      </c>
      <c r="B9" s="149" t="s">
        <v>53</v>
      </c>
      <c r="C9" s="149" t="s">
        <v>30</v>
      </c>
      <c r="D9" s="149" t="s">
        <v>54</v>
      </c>
      <c r="E9" s="14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2">
        <v>0</v>
      </c>
      <c r="R9" s="13"/>
      <c r="S9" s="13"/>
      <c r="T9" s="13"/>
      <c r="U9" s="13"/>
      <c r="V9" s="13"/>
      <c r="W9" s="4"/>
      <c r="X9" s="2">
        <v>0</v>
      </c>
      <c r="Y9" s="2">
        <f ca="1">IFERROR(__xludf.DUMMYFUNCTION("INDEX(IMPORTRANGE(""1y0FWgjbB0gVlqn-q5LMJbGIsqOrzru4yowQz67dz2yc"", ""'GAR'!BG3:BG139""),MATCH(D9,IMPORTRANGE(""1y0FWgjbB0gVlqn-q5LMJbGIsqOrzru4yowQz67dz2yc"", ""'GAR'!D3:D139""),0))"),373)</f>
        <v>373</v>
      </c>
      <c r="Z9" s="2">
        <f ca="1">IFERROR(__xludf.DUMMYFUNCTION("INDEX(IMPORTRANGE(""1y0FWgjbB0gVlqn-q5LMJbGIsqOrzru4yowQz67dz2yc"", ""'GAR'!BH3:BH139""),MATCH(D9,IMPORTRANGE(""1y0FWgjbB0gVlqn-q5LMJbGIsqOrzru4yowQz67dz2yc"", ""'GAR'!D3:D139""),0))"),19)</f>
        <v>19</v>
      </c>
      <c r="AA9" s="2">
        <f ca="1">IFERROR(__xludf.DUMMYFUNCTION("INDEX(IMPORTRANGE(""1y0FWgjbB0gVlqn-q5LMJbGIsqOrzru4yowQz67dz2yc"", ""'GAR'!BI3:BI139""),MATCH($D9,IMPORTRANGE(""1y0FWgjbB0gVlqn-q5LMJbGIsqOrzru4yowQz67dz2yc"", ""'GAR'!D3:D139""),0))"),162)</f>
        <v>162</v>
      </c>
      <c r="AB9" s="1"/>
      <c r="AC9" s="1"/>
    </row>
    <row r="10" spans="1:29">
      <c r="A10" s="149" t="s">
        <v>52</v>
      </c>
      <c r="B10" s="149" t="s">
        <v>53</v>
      </c>
      <c r="C10" s="149" t="s">
        <v>30</v>
      </c>
      <c r="D10" s="149" t="s">
        <v>64</v>
      </c>
      <c r="E10" s="14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3037</v>
      </c>
      <c r="Q10" s="12">
        <v>5094</v>
      </c>
      <c r="R10" s="13"/>
      <c r="S10" s="13"/>
      <c r="T10" s="13"/>
      <c r="U10" s="13"/>
      <c r="V10" s="13"/>
      <c r="W10" s="4"/>
      <c r="X10" s="12">
        <v>2722</v>
      </c>
      <c r="Y10" s="12">
        <f ca="1">IFERROR(__xludf.DUMMYFUNCTION("INDEX(IMPORTRANGE(""1y0FWgjbB0gVlqn-q5LMJbGIsqOrzru4yowQz67dz2yc"", ""'GAR'!BG3:BG139""),MATCH(D10,IMPORTRANGE(""1y0FWgjbB0gVlqn-q5LMJbGIsqOrzru4yowQz67dz2yc"", ""'GAR'!D3:D139""),0))"),5147)</f>
        <v>5147</v>
      </c>
      <c r="Z10" s="12">
        <f ca="1">IFERROR(__xludf.DUMMYFUNCTION("INDEX(IMPORTRANGE(""1y0FWgjbB0gVlqn-q5LMJbGIsqOrzru4yowQz67dz2yc"", ""'GAR'!BH3:BH139""),MATCH(D10,IMPORTRANGE(""1y0FWgjbB0gVlqn-q5LMJbGIsqOrzru4yowQz67dz2yc"", ""'GAR'!D3:D139""),0))"),2848)</f>
        <v>2848</v>
      </c>
      <c r="AA10" s="12">
        <f ca="1">IFERROR(__xludf.DUMMYFUNCTION("INDEX(IMPORTRANGE(""1y0FWgjbB0gVlqn-q5LMJbGIsqOrzru4yowQz67dz2yc"", ""'GAR'!BI3:BI139""),MATCH($D10,IMPORTRANGE(""1y0FWgjbB0gVlqn-q5LMJbGIsqOrzru4yowQz67dz2yc"", ""'GAR'!D3:D139""),0))"),5607)</f>
        <v>5607</v>
      </c>
      <c r="AB10" s="1"/>
      <c r="AC10" s="1"/>
    </row>
    <row r="11" spans="1:29">
      <c r="A11" s="149" t="s">
        <v>52</v>
      </c>
      <c r="B11" s="149" t="s">
        <v>53</v>
      </c>
      <c r="C11" s="149" t="s">
        <v>36</v>
      </c>
      <c r="D11" s="149" t="s">
        <v>66</v>
      </c>
      <c r="E11" s="14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f>0.1/5</f>
        <v>0.02</v>
      </c>
      <c r="S11" s="15">
        <f t="shared" ref="S11:V11" si="3">R11+0.02</f>
        <v>0.04</v>
      </c>
      <c r="T11" s="15">
        <f t="shared" si="3"/>
        <v>0.06</v>
      </c>
      <c r="U11" s="15">
        <f t="shared" si="3"/>
        <v>0.08</v>
      </c>
      <c r="V11" s="15">
        <f t="shared" si="3"/>
        <v>0.1</v>
      </c>
      <c r="W11" s="14">
        <v>0.1</v>
      </c>
      <c r="X11" s="15">
        <f>X9/X10</f>
        <v>0</v>
      </c>
      <c r="Y11" s="15">
        <f ca="1">IFERROR(__xludf.DUMMYFUNCTION("INDEX(IMPORTRANGE(""1y0FWgjbB0gVlqn-q5LMJbGIsqOrzru4yowQz67dz2yc"", ""'GAR'!BG3:BG139""),MATCH(D11,IMPORTRANGE(""1y0FWgjbB0gVlqn-q5LMJbGIsqOrzru4yowQz67dz2yc"", ""'GAR'!D3:D139""),0))"),0.0724693996502817)</f>
        <v>7.2469399650281693E-2</v>
      </c>
      <c r="Z11" s="15">
        <f ca="1">IFERROR(__xludf.DUMMYFUNCTION("INDEX(IMPORTRANGE(""1y0FWgjbB0gVlqn-q5LMJbGIsqOrzru4yowQz67dz2yc"", ""'GAR'!BH3:BH139""),MATCH(D11,IMPORTRANGE(""1y0FWgjbB0gVlqn-q5LMJbGIsqOrzru4yowQz67dz2yc"", ""'GAR'!D3:D139""),0))"),0.00667134831460674)</f>
        <v>6.6713483146067397E-3</v>
      </c>
      <c r="AA11" s="15">
        <f ca="1">IFERROR(__xludf.DUMMYFUNCTION("INDEX(IMPORTRANGE(""1y0FWgjbB0gVlqn-q5LMJbGIsqOrzru4yowQz67dz2yc"", ""'GAR'!BI3:BI139""),MATCH($D11,IMPORTRANGE(""1y0FWgjbB0gVlqn-q5LMJbGIsqOrzru4yowQz67dz2yc"", ""'GAR'!D3:D139""),0))"),0.0288924558587479)</f>
        <v>2.88924558587479E-2</v>
      </c>
      <c r="AB11" s="2"/>
      <c r="AC11" s="2"/>
    </row>
    <row r="12" spans="1:29">
      <c r="A12" s="149" t="s">
        <v>52</v>
      </c>
      <c r="B12" s="149" t="s">
        <v>68</v>
      </c>
      <c r="C12" s="149" t="s">
        <v>30</v>
      </c>
      <c r="D12" s="149" t="s">
        <v>69</v>
      </c>
      <c r="E12" s="14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12">
        <v>58</v>
      </c>
      <c r="R12" s="13"/>
      <c r="S12" s="13"/>
      <c r="T12" s="13"/>
      <c r="U12" s="13"/>
      <c r="V12" s="13"/>
      <c r="W12" s="4"/>
      <c r="X12" s="12">
        <v>40</v>
      </c>
      <c r="Y12" s="2">
        <f ca="1">IFERROR(__xludf.DUMMYFUNCTION("INDEX(IMPORTRANGE(""1y0FWgjbB0gVlqn-q5LMJbGIsqOrzru4yowQz67dz2yc"", ""'GAR'!BG3:BG139""),MATCH(D12,IMPORTRANGE(""1y0FWgjbB0gVlqn-q5LMJbGIsqOrzru4yowQz67dz2yc"", ""'GAR'!D3:D139""),0))"),89)</f>
        <v>89</v>
      </c>
      <c r="Z12" s="12">
        <f ca="1">IFERROR(__xludf.DUMMYFUNCTION("INDEX(IMPORTRANGE(""1y0FWgjbB0gVlqn-q5LMJbGIsqOrzru4yowQz67dz2yc"", ""'GAR'!BH3:BH139""),MATCH(D12,IMPORTRANGE(""1y0FWgjbB0gVlqn-q5LMJbGIsqOrzru4yowQz67dz2yc"", ""'GAR'!D3:D139""),0))"),48)</f>
        <v>48</v>
      </c>
      <c r="AA12" s="2">
        <f ca="1">IFERROR(__xludf.DUMMYFUNCTION("INDEX(IMPORTRANGE(""1y0FWgjbB0gVlqn-q5LMJbGIsqOrzru4yowQz67dz2yc"", ""'GAR'!BI3:BI139""),MATCH($D12,IMPORTRANGE(""1y0FWgjbB0gVlqn-q5LMJbGIsqOrzru4yowQz67dz2yc"", ""'GAR'!D3:D139""),0))"),96)</f>
        <v>96</v>
      </c>
      <c r="AB12" s="1"/>
      <c r="AC12" s="1"/>
    </row>
    <row r="13" spans="1:29">
      <c r="A13" s="149" t="s">
        <v>52</v>
      </c>
      <c r="B13" s="149" t="s">
        <v>68</v>
      </c>
      <c r="C13" s="149" t="s">
        <v>36</v>
      </c>
      <c r="D13" s="149" t="s">
        <v>72</v>
      </c>
      <c r="E13" s="14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9.6945255014493323</v>
      </c>
      <c r="Q13" s="23">
        <f t="shared" si="4"/>
        <v>18.742749302802043</v>
      </c>
      <c r="R13" s="2">
        <v>18.43</v>
      </c>
      <c r="S13" s="2">
        <v>9.4499999999999993</v>
      </c>
      <c r="T13" s="2">
        <v>18.12</v>
      </c>
      <c r="U13" s="2">
        <v>9.2100000000000009</v>
      </c>
      <c r="V13" s="2">
        <v>17.809999999999999</v>
      </c>
      <c r="W13" s="2">
        <v>17.809999999999999</v>
      </c>
      <c r="X13" s="23">
        <f>(X12/X$2)*100000</f>
        <v>12.622198660784722</v>
      </c>
      <c r="Y13" s="23">
        <f ca="1">IFERROR(__xludf.DUMMYFUNCTION("INDEX(IMPORTRANGE(""1y0FWgjbB0gVlqn-q5LMJbGIsqOrzru4yowQz67dz2yc"", ""'GAR'!BG3:BG139""),MATCH(D13,IMPORTRANGE(""1y0FWgjbB0gVlqn-q5LMJbGIsqOrzru4yowQz67dz2yc"", ""'GAR'!D3:D139""),0))"),28.084392020246)</f>
        <v>28.084392020246</v>
      </c>
      <c r="Z13" s="23">
        <f ca="1">IFERROR(__xludf.DUMMYFUNCTION("INDEX(IMPORTRANGE(""1y0FWgjbB0gVlqn-q5LMJbGIsqOrzru4yowQz67dz2yc"", ""'GAR'!BH3:BH139""),MATCH(D13,IMPORTRANGE(""1y0FWgjbB0gVlqn-q5LMJbGIsqOrzru4yowQz67dz2yc"", ""'GAR'!D3:D139""),0))"),14.8621075087701)</f>
        <v>14.8621075087701</v>
      </c>
      <c r="AA13" s="23">
        <f ca="1">IFERROR(__xludf.DUMMYFUNCTION("INDEX(IMPORTRANGE(""1y0FWgjbB0gVlqn-q5LMJbGIsqOrzru4yowQz67dz2yc"", ""'GAR'!BI3:BI139""),MATCH($D13,IMPORTRANGE(""1y0FWgjbB0gVlqn-q5LMJbGIsqOrzru4yowQz67dz2yc"", ""'GAR'!D3:D139""),0))"),29.7242150175403)</f>
        <v>29.724215017540299</v>
      </c>
      <c r="AB13" s="2"/>
      <c r="AC13" s="2"/>
    </row>
    <row r="14" spans="1:29">
      <c r="A14" s="149" t="s">
        <v>52</v>
      </c>
      <c r="B14" s="149" t="s">
        <v>68</v>
      </c>
      <c r="C14" s="149" t="s">
        <v>30</v>
      </c>
      <c r="D14" s="149" t="s">
        <v>75</v>
      </c>
      <c r="E14" s="14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498</v>
      </c>
      <c r="Q14" s="12">
        <v>1059</v>
      </c>
      <c r="R14" s="13"/>
      <c r="S14" s="13"/>
      <c r="T14" s="13"/>
      <c r="U14" s="13"/>
      <c r="V14" s="13"/>
      <c r="W14" s="4"/>
      <c r="X14" s="12">
        <v>631</v>
      </c>
      <c r="Y14" s="12">
        <f ca="1">IFERROR(__xludf.DUMMYFUNCTION("INDEX(IMPORTRANGE(""1y0FWgjbB0gVlqn-q5LMJbGIsqOrzru4yowQz67dz2yc"", ""'GAR'!BG3:BG139""),MATCH(D14,IMPORTRANGE(""1y0FWgjbB0gVlqn-q5LMJbGIsqOrzru4yowQz67dz2yc"", ""'GAR'!D3:D139""),0))"),1187)</f>
        <v>1187</v>
      </c>
      <c r="Z14" s="12">
        <f ca="1">IFERROR(__xludf.DUMMYFUNCTION("INDEX(IMPORTRANGE(""1y0FWgjbB0gVlqn-q5LMJbGIsqOrzru4yowQz67dz2yc"", ""'GAR'!BH3:BH139""),MATCH(D14,IMPORTRANGE(""1y0FWgjbB0gVlqn-q5LMJbGIsqOrzru4yowQz67dz2yc"", ""'GAR'!D3:D139""),0))"),467)</f>
        <v>467</v>
      </c>
      <c r="AA14" s="12">
        <f ca="1">IFERROR(__xludf.DUMMYFUNCTION("INDEX(IMPORTRANGE(""1y0FWgjbB0gVlqn-q5LMJbGIsqOrzru4yowQz67dz2yc"", ""'GAR'!BI3:BI139""),MATCH($D14,IMPORTRANGE(""1y0FWgjbB0gVlqn-q5LMJbGIsqOrzru4yowQz67dz2yc"", ""'GAR'!D3:D139""),0))"),968)</f>
        <v>968</v>
      </c>
      <c r="AB14" s="1"/>
      <c r="AC14" s="1"/>
    </row>
    <row r="15" spans="1:29">
      <c r="A15" s="149" t="s">
        <v>52</v>
      </c>
      <c r="B15" s="149" t="s">
        <v>68</v>
      </c>
      <c r="C15" s="149" t="s">
        <v>30</v>
      </c>
      <c r="D15" s="149" t="s">
        <v>78</v>
      </c>
      <c r="E15" s="14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246</v>
      </c>
      <c r="Q15" s="12">
        <v>546</v>
      </c>
      <c r="R15" s="13"/>
      <c r="S15" s="13"/>
      <c r="T15" s="13"/>
      <c r="U15" s="13"/>
      <c r="V15" s="13"/>
      <c r="W15" s="4"/>
      <c r="X15" s="12">
        <v>488</v>
      </c>
      <c r="Y15" s="12">
        <f ca="1">IFERROR(__xludf.DUMMYFUNCTION("INDEX(IMPORTRANGE(""1y0FWgjbB0gVlqn-q5LMJbGIsqOrzru4yowQz67dz2yc"", ""'GAR'!BG3:BG139""),MATCH(D15,IMPORTRANGE(""1y0FWgjbB0gVlqn-q5LMJbGIsqOrzru4yowQz67dz2yc"", ""'GAR'!D3:D139""),0))"),774)</f>
        <v>774</v>
      </c>
      <c r="Z15" s="12">
        <f ca="1">IFERROR(__xludf.DUMMYFUNCTION("INDEX(IMPORTRANGE(""1y0FWgjbB0gVlqn-q5LMJbGIsqOrzru4yowQz67dz2yc"", ""'GAR'!BH3:BH139""),MATCH(D15,IMPORTRANGE(""1y0FWgjbB0gVlqn-q5LMJbGIsqOrzru4yowQz67dz2yc"", ""'GAR'!D3:D139""),0))"),399)</f>
        <v>399</v>
      </c>
      <c r="AA15" s="12">
        <f ca="1">IFERROR(__xludf.DUMMYFUNCTION("INDEX(IMPORTRANGE(""1y0FWgjbB0gVlqn-q5LMJbGIsqOrzru4yowQz67dz2yc"", ""'GAR'!BI3:BI139""),MATCH($D15,IMPORTRANGE(""1y0FWgjbB0gVlqn-q5LMJbGIsqOrzru4yowQz67dz2yc"", ""'GAR'!D3:D139""),0))"),801)</f>
        <v>801</v>
      </c>
      <c r="AB15" s="1"/>
      <c r="AC15" s="1"/>
    </row>
    <row r="16" spans="1:29">
      <c r="A16" s="149" t="s">
        <v>52</v>
      </c>
      <c r="B16" s="149" t="s">
        <v>68</v>
      </c>
      <c r="C16" s="149" t="s">
        <v>30</v>
      </c>
      <c r="D16" s="149" t="s">
        <v>80</v>
      </c>
      <c r="E16" s="14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132</v>
      </c>
      <c r="Q16" s="12">
        <v>282</v>
      </c>
      <c r="R16" s="13"/>
      <c r="S16" s="13"/>
      <c r="T16" s="13"/>
      <c r="U16" s="13"/>
      <c r="V16" s="13"/>
      <c r="W16" s="4"/>
      <c r="X16" s="12">
        <v>155</v>
      </c>
      <c r="Y16" s="12">
        <f ca="1">IFERROR(__xludf.DUMMYFUNCTION("INDEX(IMPORTRANGE(""1y0FWgjbB0gVlqn-q5LMJbGIsqOrzru4yowQz67dz2yc"", ""'GAR'!BG3:BG139""),MATCH(D16,IMPORTRANGE(""1y0FWgjbB0gVlqn-q5LMJbGIsqOrzru4yowQz67dz2yc"", ""'GAR'!D3:D139""),0))"),359)</f>
        <v>359</v>
      </c>
      <c r="Z16" s="12">
        <f ca="1">IFERROR(__xludf.DUMMYFUNCTION("INDEX(IMPORTRANGE(""1y0FWgjbB0gVlqn-q5LMJbGIsqOrzru4yowQz67dz2yc"", ""'GAR'!BH3:BH139""),MATCH(D16,IMPORTRANGE(""1y0FWgjbB0gVlqn-q5LMJbGIsqOrzru4yowQz67dz2yc"", ""'GAR'!D3:D139""),0))"),135)</f>
        <v>135</v>
      </c>
      <c r="AA16" s="12">
        <f ca="1">IFERROR(__xludf.DUMMYFUNCTION("INDEX(IMPORTRANGE(""1y0FWgjbB0gVlqn-q5LMJbGIsqOrzru4yowQz67dz2yc"", ""'GAR'!BI3:BI139""),MATCH($D16,IMPORTRANGE(""1y0FWgjbB0gVlqn-q5LMJbGIsqOrzru4yowQz67dz2yc"", ""'GAR'!D3:D139""),0))"),383)</f>
        <v>383</v>
      </c>
      <c r="AB16" s="1"/>
      <c r="AC16" s="1"/>
    </row>
    <row r="17" spans="1:29">
      <c r="A17" s="149" t="s">
        <v>52</v>
      </c>
      <c r="B17" s="149" t="s">
        <v>68</v>
      </c>
      <c r="C17" s="149" t="s">
        <v>30</v>
      </c>
      <c r="D17" s="149" t="s">
        <v>82</v>
      </c>
      <c r="E17" s="14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115</v>
      </c>
      <c r="Q17" s="12">
        <v>209</v>
      </c>
      <c r="R17" s="13"/>
      <c r="S17" s="13"/>
      <c r="T17" s="13"/>
      <c r="U17" s="13"/>
      <c r="V17" s="13"/>
      <c r="W17" s="4"/>
      <c r="X17" s="12">
        <v>92</v>
      </c>
      <c r="Y17" s="12">
        <f ca="1">IFERROR(__xludf.DUMMYFUNCTION("INDEX(IMPORTRANGE(""1y0FWgjbB0gVlqn-q5LMJbGIsqOrzru4yowQz67dz2yc"", ""'GAR'!BG3:BG139""),MATCH(D17,IMPORTRANGE(""1y0FWgjbB0gVlqn-q5LMJbGIsqOrzru4yowQz67dz2yc"", ""'GAR'!D3:D139""),0))"),197)</f>
        <v>197</v>
      </c>
      <c r="Z17" s="12">
        <f ca="1">IFERROR(__xludf.DUMMYFUNCTION("INDEX(IMPORTRANGE(""1y0FWgjbB0gVlqn-q5LMJbGIsqOrzru4yowQz67dz2yc"", ""'GAR'!BH3:BH139""),MATCH(D17,IMPORTRANGE(""1y0FWgjbB0gVlqn-q5LMJbGIsqOrzru4yowQz67dz2yc"", ""'GAR'!D3:D139""),0))"),103)</f>
        <v>103</v>
      </c>
      <c r="AA17" s="12">
        <f ca="1">IFERROR(__xludf.DUMMYFUNCTION("INDEX(IMPORTRANGE(""1y0FWgjbB0gVlqn-q5LMJbGIsqOrzru4yowQz67dz2yc"", ""'GAR'!BI3:BI139""),MATCH($D17,IMPORTRANGE(""1y0FWgjbB0gVlqn-q5LMJbGIsqOrzru4yowQz67dz2yc"", ""'GAR'!D3:D139""),0))"),249)</f>
        <v>249</v>
      </c>
      <c r="AB17" s="1"/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1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5">SUM(P14:P17)</f>
        <v>991</v>
      </c>
      <c r="Q18" s="262">
        <f t="shared" si="5"/>
        <v>2096</v>
      </c>
      <c r="R18" s="158"/>
      <c r="S18" s="158"/>
      <c r="T18" s="158"/>
      <c r="U18" s="158"/>
      <c r="V18" s="158"/>
      <c r="W18" s="158"/>
      <c r="X18" s="262">
        <f>SUM(X14:X17)</f>
        <v>1366</v>
      </c>
      <c r="Y18" s="12">
        <f ca="1">IFERROR(__xludf.DUMMYFUNCTION("INDEX(IMPORTRANGE(""1y0FWgjbB0gVlqn-q5LMJbGIsqOrzru4yowQz67dz2yc"", ""'GAR'!BG3:BG139""),MATCH(D18,IMPORTRANGE(""1y0FWgjbB0gVlqn-q5LMJbGIsqOrzru4yowQz67dz2yc"", ""'GAR'!D3:D139""),0))"),2517)</f>
        <v>2517</v>
      </c>
      <c r="Z18" s="12">
        <f ca="1">IFERROR(__xludf.DUMMYFUNCTION("INDEX(IMPORTRANGE(""1y0FWgjbB0gVlqn-q5LMJbGIsqOrzru4yowQz67dz2yc"", ""'GAR'!BH3:BH139""),MATCH(D18,IMPORTRANGE(""1y0FWgjbB0gVlqn-q5LMJbGIsqOrzru4yowQz67dz2yc"", ""'GAR'!D3:D139""),0))"),1104)</f>
        <v>1104</v>
      </c>
      <c r="AA18" s="12">
        <f ca="1">IFERROR(__xludf.DUMMYFUNCTION("INDEX(IMPORTRANGE(""1y0FWgjbB0gVlqn-q5LMJbGIsqOrzru4yowQz67dz2yc"", ""'GAR'!BI3:BI139""),MATCH($D18,IMPORTRANGE(""1y0FWgjbB0gVlqn-q5LMJbGIsqOrzru4yowQz67dz2yc"", ""'GAR'!D3:D139""),0))"),2401)</f>
        <v>2401</v>
      </c>
      <c r="AB18" s="295"/>
      <c r="AC18" s="295"/>
    </row>
    <row r="19" spans="1:29">
      <c r="A19" s="149" t="s">
        <v>52</v>
      </c>
      <c r="B19" s="149" t="s">
        <v>68</v>
      </c>
      <c r="C19" s="149" t="s">
        <v>36</v>
      </c>
      <c r="D19" s="149" t="s">
        <v>84</v>
      </c>
      <c r="E19" s="14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320.24249239787628</v>
      </c>
      <c r="Q19" s="23">
        <f t="shared" si="6"/>
        <v>677.32418170125993</v>
      </c>
      <c r="R19" s="2">
        <v>654.70000000000005</v>
      </c>
      <c r="S19" s="2">
        <v>309.60000000000002</v>
      </c>
      <c r="T19" s="2">
        <v>632.20000000000005</v>
      </c>
      <c r="U19" s="2">
        <v>298.89999999999998</v>
      </c>
      <c r="V19" s="2">
        <v>288.2</v>
      </c>
      <c r="W19" s="2">
        <v>609.6</v>
      </c>
      <c r="X19" s="23">
        <f>(SUM(X14:X17)/X2)*100000</f>
        <v>431.04808426579825</v>
      </c>
      <c r="Y19" s="23">
        <f ca="1">IFERROR(__xludf.DUMMYFUNCTION("INDEX(IMPORTRANGE(""1y0FWgjbB0gVlqn-q5LMJbGIsqOrzru4yowQz67dz2yc"", ""'GAR'!BG3:BG139""),MATCH(D19,IMPORTRANGE(""1y0FWgjbB0gVlqn-q5LMJbGIsqOrzru4yowQz67dz2yc"", ""'GAR'!D3:D139""),0))"),794.251850729878)</f>
        <v>794.25185072987802</v>
      </c>
      <c r="Z19" s="23">
        <f ca="1">IFERROR(__xludf.DUMMYFUNCTION("INDEX(IMPORTRANGE(""1y0FWgjbB0gVlqn-q5LMJbGIsqOrzru4yowQz67dz2yc"", ""'GAR'!BH3:BH139""),MATCH(D19,IMPORTRANGE(""1y0FWgjbB0gVlqn-q5LMJbGIsqOrzru4yowQz67dz2yc"", ""'GAR'!D3:D139""),0))"),341.828472701714)</f>
        <v>341.82847270171402</v>
      </c>
      <c r="AA19" s="23">
        <f ca="1">IFERROR(__xludf.DUMMYFUNCTION("INDEX(IMPORTRANGE(""1y0FWgjbB0gVlqn-q5LMJbGIsqOrzru4yowQz67dz2yc"", ""'GAR'!BI3:BI139""),MATCH($D19,IMPORTRANGE(""1y0FWgjbB0gVlqn-q5LMJbGIsqOrzru4yowQz67dz2yc"", ""'GAR'!D3:D139""),0))"),743.415002678275)</f>
        <v>743.41500267827496</v>
      </c>
      <c r="AB19" s="2"/>
      <c r="AC19" s="2"/>
    </row>
    <row r="20" spans="1:29">
      <c r="A20" s="149" t="s">
        <v>52</v>
      </c>
      <c r="B20" s="149" t="s">
        <v>86</v>
      </c>
      <c r="C20" s="149" t="s">
        <v>30</v>
      </c>
      <c r="D20" s="149" t="s">
        <v>87</v>
      </c>
      <c r="E20" s="14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977</v>
      </c>
      <c r="Q20" s="12">
        <v>2058</v>
      </c>
      <c r="R20" s="13"/>
      <c r="S20" s="13"/>
      <c r="T20" s="13"/>
      <c r="U20" s="13"/>
      <c r="V20" s="13"/>
      <c r="W20" s="4"/>
      <c r="X20" s="12">
        <v>1080</v>
      </c>
      <c r="Y20" s="12">
        <f ca="1">IFERROR(__xludf.DUMMYFUNCTION("INDEX(IMPORTRANGE(""1y0FWgjbB0gVlqn-q5LMJbGIsqOrzru4yowQz67dz2yc"", ""'GAR'!BG3:BG139""),MATCH(D20,IMPORTRANGE(""1y0FWgjbB0gVlqn-q5LMJbGIsqOrzru4yowQz67dz2yc"", ""'GAR'!D3:D139""),0))"),2540)</f>
        <v>2540</v>
      </c>
      <c r="Z20" s="12">
        <f ca="1">IFERROR(__xludf.DUMMYFUNCTION("INDEX(IMPORTRANGE(""1y0FWgjbB0gVlqn-q5LMJbGIsqOrzru4yowQz67dz2yc"", ""'GAR'!BH3:BH139""),MATCH(D20,IMPORTRANGE(""1y0FWgjbB0gVlqn-q5LMJbGIsqOrzru4yowQz67dz2yc"", ""'GAR'!D3:D139""),0))"),1242)</f>
        <v>1242</v>
      </c>
      <c r="AA20" s="12">
        <f ca="1">IFERROR(__xludf.DUMMYFUNCTION("INDEX(IMPORTRANGE(""1y0FWgjbB0gVlqn-q5LMJbGIsqOrzru4yowQz67dz2yc"", ""'GAR'!BI3:BI139""),MATCH($D20,IMPORTRANGE(""1y0FWgjbB0gVlqn-q5LMJbGIsqOrzru4yowQz67dz2yc"", ""'GAR'!D3:D139""),0))"),2699)</f>
        <v>2699</v>
      </c>
      <c r="AB20" s="1"/>
      <c r="AC20" s="1"/>
    </row>
    <row r="21" spans="1:29">
      <c r="A21" s="149" t="s">
        <v>52</v>
      </c>
      <c r="B21" s="149" t="s">
        <v>86</v>
      </c>
      <c r="C21" s="149" t="s">
        <v>36</v>
      </c>
      <c r="D21" s="149" t="s">
        <v>89</v>
      </c>
      <c r="E21" s="14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315.71838049719986</v>
      </c>
      <c r="Q21" s="23">
        <f t="shared" si="7"/>
        <v>665.04444939942414</v>
      </c>
      <c r="R21" s="2">
        <v>654</v>
      </c>
      <c r="S21" s="2">
        <v>310.5</v>
      </c>
      <c r="T21" s="2">
        <v>642.9</v>
      </c>
      <c r="U21" s="2">
        <v>305.2</v>
      </c>
      <c r="V21" s="2">
        <v>299.89999999999998</v>
      </c>
      <c r="W21" s="2">
        <v>631.79999999999995</v>
      </c>
      <c r="X21" s="23">
        <f>(X20/X$2)*100000</f>
        <v>340.79936384118747</v>
      </c>
      <c r="Y21" s="23">
        <f ca="1">IFERROR(__xludf.DUMMYFUNCTION("INDEX(IMPORTRANGE(""1y0FWgjbB0gVlqn-q5LMJbGIsqOrzru4yowQz67dz2yc"", ""'GAR'!BG3:BG139""),MATCH(D21,IMPORTRANGE(""1y0FWgjbB0gVlqn-q5LMJbGIsqOrzru4yowQz67dz2yc"", ""'GAR'!D3:D139""),0))"),801.509614959829)</f>
        <v>801.50961495982904</v>
      </c>
      <c r="Z21" s="23">
        <f ca="1">IFERROR(__xludf.DUMMYFUNCTION("INDEX(IMPORTRANGE(""1y0FWgjbB0gVlqn-q5LMJbGIsqOrzru4yowQz67dz2yc"", ""'GAR'!BH3:BH139""),MATCH(D21,IMPORTRANGE(""1y0FWgjbB0gVlqn-q5LMJbGIsqOrzru4yowQz67dz2yc"", ""'GAR'!D3:D139""),0))"),384.557031789428)</f>
        <v>384.55703178942798</v>
      </c>
      <c r="AA21" s="23">
        <f ca="1">IFERROR(__xludf.DUMMYFUNCTION("INDEX(IMPORTRANGE(""1y0FWgjbB0gVlqn-q5LMJbGIsqOrzru4yowQz67dz2yc"", ""'GAR'!BI3:BI139""),MATCH($D21,IMPORTRANGE(""1y0FWgjbB0gVlqn-q5LMJbGIsqOrzru4yowQz67dz2yc"", ""'GAR'!D3:D139""),0))"),835.683920128557)</f>
        <v>835.68392012855702</v>
      </c>
      <c r="AB21" s="2"/>
      <c r="AC21" s="2"/>
    </row>
    <row r="22" spans="1:29">
      <c r="A22" s="149" t="s">
        <v>52</v>
      </c>
      <c r="B22" s="149" t="s">
        <v>86</v>
      </c>
      <c r="C22" s="149" t="s">
        <v>30</v>
      </c>
      <c r="D22" s="149" t="s">
        <v>91</v>
      </c>
      <c r="E22" s="14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1061</v>
      </c>
      <c r="Q22" s="12">
        <v>2862</v>
      </c>
      <c r="R22" s="13"/>
      <c r="S22" s="13"/>
      <c r="T22" s="13"/>
      <c r="U22" s="13"/>
      <c r="V22" s="13"/>
      <c r="W22" s="4"/>
      <c r="X22" s="12">
        <v>1584</v>
      </c>
      <c r="Y22" s="12">
        <f ca="1">IFERROR(__xludf.DUMMYFUNCTION("INDEX(IMPORTRANGE(""1y0FWgjbB0gVlqn-q5LMJbGIsqOrzru4yowQz67dz2yc"", ""'GAR'!BG3:BG139""),MATCH(D22,IMPORTRANGE(""1y0FWgjbB0gVlqn-q5LMJbGIsqOrzru4yowQz67dz2yc"", ""'GAR'!D3:D139""),0))"),3231)</f>
        <v>3231</v>
      </c>
      <c r="Z22" s="12">
        <f ca="1">IFERROR(__xludf.DUMMYFUNCTION("INDEX(IMPORTRANGE(""1y0FWgjbB0gVlqn-q5LMJbGIsqOrzru4yowQz67dz2yc"", ""'GAR'!BH3:BH139""),MATCH(D22,IMPORTRANGE(""1y0FWgjbB0gVlqn-q5LMJbGIsqOrzru4yowQz67dz2yc"", ""'GAR'!D3:D139""),0))"),1317)</f>
        <v>1317</v>
      </c>
      <c r="AA22" s="12">
        <f ca="1">IFERROR(__xludf.DUMMYFUNCTION("INDEX(IMPORTRANGE(""1y0FWgjbB0gVlqn-q5LMJbGIsqOrzru4yowQz67dz2yc"", ""'GAR'!BI3:BI139""),MATCH($D22,IMPORTRANGE(""1y0FWgjbB0gVlqn-q5LMJbGIsqOrzru4yowQz67dz2yc"", ""'GAR'!D3:D139""),0))"),2820)</f>
        <v>2820</v>
      </c>
      <c r="AB22" s="1"/>
      <c r="AC22" s="1"/>
    </row>
    <row r="23" spans="1:29">
      <c r="A23" s="149" t="s">
        <v>52</v>
      </c>
      <c r="B23" s="149" t="s">
        <v>86</v>
      </c>
      <c r="C23" s="149" t="s">
        <v>36</v>
      </c>
      <c r="D23" s="149" t="s">
        <v>93</v>
      </c>
      <c r="E23" s="14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342.86305190125802</v>
      </c>
      <c r="Q23" s="23">
        <f t="shared" si="8"/>
        <v>924.8577328382662</v>
      </c>
      <c r="R23" s="2">
        <v>909.4</v>
      </c>
      <c r="S23" s="2">
        <v>337.1</v>
      </c>
      <c r="T23" s="2">
        <v>894</v>
      </c>
      <c r="U23" s="2">
        <v>331.4</v>
      </c>
      <c r="V23" s="2">
        <v>325.7</v>
      </c>
      <c r="W23" s="2">
        <v>878.6</v>
      </c>
      <c r="X23" s="23">
        <f>(X22/X$2)*100000</f>
        <v>499.83906696707493</v>
      </c>
      <c r="Y23" s="23">
        <f ca="1">IFERROR(__xludf.DUMMYFUNCTION("INDEX(IMPORTRANGE(""1y0FWgjbB0gVlqn-q5LMJbGIsqOrzru4yowQz67dz2yc"", ""'GAR'!BG3:BG139""),MATCH(D23,IMPORTRANGE(""1y0FWgjbB0gVlqn-q5LMJbGIsqOrzru4yowQz67dz2yc"", ""'GAR'!D3:D139""),0))"),1019.55809682488)</f>
        <v>1019.55809682488</v>
      </c>
      <c r="Z23" s="23">
        <f ca="1">IFERROR(__xludf.DUMMYFUNCTION("INDEX(IMPORTRANGE(""1y0FWgjbB0gVlqn-q5LMJbGIsqOrzru4yowQz67dz2yc"", ""'GAR'!BH3:BH139""),MATCH(D23,IMPORTRANGE(""1y0FWgjbB0gVlqn-q5LMJbGIsqOrzru4yowQz67dz2yc"", ""'GAR'!D3:D139""),0))"),407.779074771882)</f>
        <v>407.77907477188199</v>
      </c>
      <c r="AA23" s="23">
        <f ca="1">IFERROR(__xludf.DUMMYFUNCTION("INDEX(IMPORTRANGE(""1y0FWgjbB0gVlqn-q5LMJbGIsqOrzru4yowQz67dz2yc"", ""'GAR'!BI3:BI139""),MATCH($D23,IMPORTRANGE(""1y0FWgjbB0gVlqn-q5LMJbGIsqOrzru4yowQz67dz2yc"", ""'GAR'!D3:D139""),0))"),873.148816140248)</f>
        <v>873.14881614024796</v>
      </c>
      <c r="AB23" s="2"/>
      <c r="AC23" s="2"/>
    </row>
    <row r="24" spans="1:29">
      <c r="A24" s="149" t="s">
        <v>52</v>
      </c>
      <c r="B24" s="149" t="s">
        <v>86</v>
      </c>
      <c r="C24" s="149" t="s">
        <v>30</v>
      </c>
      <c r="D24" s="149" t="s">
        <v>95</v>
      </c>
      <c r="E24" s="14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15</v>
      </c>
      <c r="Q24" s="12">
        <v>30</v>
      </c>
      <c r="R24" s="13"/>
      <c r="S24" s="13"/>
      <c r="T24" s="13"/>
      <c r="U24" s="13"/>
      <c r="V24" s="13"/>
      <c r="W24" s="4"/>
      <c r="X24" s="12">
        <v>23</v>
      </c>
      <c r="Y24" s="12">
        <f ca="1">IFERROR(__xludf.DUMMYFUNCTION("INDEX(IMPORTRANGE(""1y0FWgjbB0gVlqn-q5LMJbGIsqOrzru4yowQz67dz2yc"", ""'GAR'!BG3:BG139""),MATCH(D24,IMPORTRANGE(""1y0FWgjbB0gVlqn-q5LMJbGIsqOrzru4yowQz67dz2yc"", ""'GAR'!D3:D139""),0))"),44)</f>
        <v>44</v>
      </c>
      <c r="Z24" s="12">
        <f ca="1">IFERROR(__xludf.DUMMYFUNCTION("INDEX(IMPORTRANGE(""1y0FWgjbB0gVlqn-q5LMJbGIsqOrzru4yowQz67dz2yc"", ""'GAR'!BH3:BH139""),MATCH(D24,IMPORTRANGE(""1y0FWgjbB0gVlqn-q5LMJbGIsqOrzru4yowQz67dz2yc"", ""'GAR'!D3:D139""),0))"),11)</f>
        <v>11</v>
      </c>
      <c r="AA24" s="12">
        <f ca="1">IFERROR(__xludf.DUMMYFUNCTION("INDEX(IMPORTRANGE(""1y0FWgjbB0gVlqn-q5LMJbGIsqOrzru4yowQz67dz2yc"", ""'GAR'!BI3:BI139""),MATCH($D24,IMPORTRANGE(""1y0FWgjbB0gVlqn-q5LMJbGIsqOrzru4yowQz67dz2yc"", ""'GAR'!D3:D139""),0))"),38)</f>
        <v>38</v>
      </c>
      <c r="AB24" s="1"/>
      <c r="AC24" s="1"/>
    </row>
    <row r="25" spans="1:29">
      <c r="A25" s="149" t="s">
        <v>52</v>
      </c>
      <c r="B25" s="149" t="s">
        <v>86</v>
      </c>
      <c r="C25" s="149" t="s">
        <v>30</v>
      </c>
      <c r="D25" s="149" t="s">
        <v>97</v>
      </c>
      <c r="E25" s="14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9</v>
      </c>
      <c r="Q25" s="12">
        <v>27</v>
      </c>
      <c r="R25" s="13"/>
      <c r="S25" s="13"/>
      <c r="T25" s="13"/>
      <c r="U25" s="13"/>
      <c r="V25" s="13"/>
      <c r="W25" s="4"/>
      <c r="X25" s="12">
        <v>15</v>
      </c>
      <c r="Y25" s="12">
        <f ca="1">IFERROR(__xludf.DUMMYFUNCTION("INDEX(IMPORTRANGE(""1y0FWgjbB0gVlqn-q5LMJbGIsqOrzru4yowQz67dz2yc"", ""'GAR'!BG3:BG139""),MATCH(D25,IMPORTRANGE(""1y0FWgjbB0gVlqn-q5LMJbGIsqOrzru4yowQz67dz2yc"", ""'GAR'!D3:D139""),0))"),36)</f>
        <v>36</v>
      </c>
      <c r="Z25" s="12">
        <f ca="1">IFERROR(__xludf.DUMMYFUNCTION("INDEX(IMPORTRANGE(""1y0FWgjbB0gVlqn-q5LMJbGIsqOrzru4yowQz67dz2yc"", ""'GAR'!BH3:BH139""),MATCH(D25,IMPORTRANGE(""1y0FWgjbB0gVlqn-q5LMJbGIsqOrzru4yowQz67dz2yc"", ""'GAR'!D3:D139""),0))"),16)</f>
        <v>16</v>
      </c>
      <c r="AA25" s="12">
        <f ca="1">IFERROR(__xludf.DUMMYFUNCTION("INDEX(IMPORTRANGE(""1y0FWgjbB0gVlqn-q5LMJbGIsqOrzru4yowQz67dz2yc"", ""'GAR'!BI3:BI139""),MATCH($D25,IMPORTRANGE(""1y0FWgjbB0gVlqn-q5LMJbGIsqOrzru4yowQz67dz2yc"", ""'GAR'!D3:D139""),0))"),36)</f>
        <v>36</v>
      </c>
      <c r="AB25" s="1"/>
      <c r="AC25" s="1"/>
    </row>
    <row r="26" spans="1:29">
      <c r="A26" s="149" t="s">
        <v>52</v>
      </c>
      <c r="B26" s="149" t="s">
        <v>86</v>
      </c>
      <c r="C26" s="149" t="s">
        <v>30</v>
      </c>
      <c r="D26" s="149" t="s">
        <v>99</v>
      </c>
      <c r="E26" s="14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2</v>
      </c>
      <c r="Q26" s="12">
        <v>5</v>
      </c>
      <c r="R26" s="13"/>
      <c r="S26" s="13"/>
      <c r="T26" s="13"/>
      <c r="U26" s="13"/>
      <c r="V26" s="13"/>
      <c r="W26" s="4"/>
      <c r="X26" s="12">
        <v>3</v>
      </c>
      <c r="Y26" s="12">
        <f ca="1">IFERROR(__xludf.DUMMYFUNCTION("INDEX(IMPORTRANGE(""1y0FWgjbB0gVlqn-q5LMJbGIsqOrzru4yowQz67dz2yc"", ""'GAR'!BG3:BG139""),MATCH(D26,IMPORTRANGE(""1y0FWgjbB0gVlqn-q5LMJbGIsqOrzru4yowQz67dz2yc"", ""'GAR'!D3:D139""),0))"),7)</f>
        <v>7</v>
      </c>
      <c r="Z26" s="12">
        <f ca="1">IFERROR(__xludf.DUMMYFUNCTION("INDEX(IMPORTRANGE(""1y0FWgjbB0gVlqn-q5LMJbGIsqOrzru4yowQz67dz2yc"", ""'GAR'!BH3:BH139""),MATCH(D26,IMPORTRANGE(""1y0FWgjbB0gVlqn-q5LMJbGIsqOrzru4yowQz67dz2yc"", ""'GAR'!D3:D139""),0))"),1)</f>
        <v>1</v>
      </c>
      <c r="AA26" s="12">
        <f ca="1">IFERROR(__xludf.DUMMYFUNCTION("INDEX(IMPORTRANGE(""1y0FWgjbB0gVlqn-q5LMJbGIsqOrzru4yowQz67dz2yc"", ""'GAR'!BI3:BI139""),MATCH($D26,IMPORTRANGE(""1y0FWgjbB0gVlqn-q5LMJbGIsqOrzru4yowQz67dz2yc"", ""'GAR'!D3:D139""),0))"),6)</f>
        <v>6</v>
      </c>
      <c r="AB26" s="1"/>
      <c r="AC26" s="1"/>
    </row>
    <row r="27" spans="1:29">
      <c r="A27" s="149" t="s">
        <v>52</v>
      </c>
      <c r="B27" s="149" t="s">
        <v>86</v>
      </c>
      <c r="C27" s="149" t="s">
        <v>30</v>
      </c>
      <c r="D27" s="149" t="s">
        <v>101</v>
      </c>
      <c r="E27" s="14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0</v>
      </c>
      <c r="R27" s="13"/>
      <c r="S27" s="13"/>
      <c r="T27" s="13"/>
      <c r="U27" s="13"/>
      <c r="V27" s="13"/>
      <c r="W27" s="4"/>
      <c r="X27" s="12">
        <v>0</v>
      </c>
      <c r="Y27" s="12">
        <f ca="1">IFERROR(__xludf.DUMMYFUNCTION("INDEX(IMPORTRANGE(""1y0FWgjbB0gVlqn-q5LMJbGIsqOrzru4yowQz67dz2yc"", ""'GAR'!BG3:BG139""),MATCH(D27,IMPORTRANGE(""1y0FWgjbB0gVlqn-q5LMJbGIsqOrzru4yowQz67dz2yc"", ""'GAR'!D3:D139""),0))"),0)</f>
        <v>0</v>
      </c>
      <c r="Z27" s="12">
        <f ca="1">IFERROR(__xludf.DUMMYFUNCTION("INDEX(IMPORTRANGE(""1y0FWgjbB0gVlqn-q5LMJbGIsqOrzru4yowQz67dz2yc"", ""'GAR'!BH3:BH139""),MATCH(D27,IMPORTRANGE(""1y0FWgjbB0gVlqn-q5LMJbGIsqOrzru4yowQz67dz2yc"", ""'GAR'!D3:D139""),0))"),1)</f>
        <v>1</v>
      </c>
      <c r="AA27" s="12">
        <f ca="1">IFERROR(__xludf.DUMMYFUNCTION("INDEX(IMPORTRANGE(""1y0FWgjbB0gVlqn-q5LMJbGIsqOrzru4yowQz67dz2yc"", ""'GAR'!BI3:BI139""),MATCH($D27,IMPORTRANGE(""1y0FWgjbB0gVlqn-q5LMJbGIsqOrzru4yowQz67dz2yc"", ""'GAR'!D3:D139""),0))"),1)</f>
        <v>1</v>
      </c>
      <c r="AB27" s="1"/>
      <c r="AC27" s="1"/>
    </row>
    <row r="28" spans="1:29">
      <c r="A28" s="149" t="s">
        <v>52</v>
      </c>
      <c r="B28" s="149" t="s">
        <v>86</v>
      </c>
      <c r="C28" s="149" t="s">
        <v>30</v>
      </c>
      <c r="D28" s="149" t="s">
        <v>103</v>
      </c>
      <c r="E28" s="14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1</v>
      </c>
      <c r="Q28" s="12">
        <v>1</v>
      </c>
      <c r="R28" s="13"/>
      <c r="S28" s="13"/>
      <c r="T28" s="13"/>
      <c r="U28" s="13"/>
      <c r="V28" s="13"/>
      <c r="W28" s="4"/>
      <c r="X28" s="12">
        <v>1</v>
      </c>
      <c r="Y28" s="12">
        <f ca="1">IFERROR(__xludf.DUMMYFUNCTION("INDEX(IMPORTRANGE(""1y0FWgjbB0gVlqn-q5LMJbGIsqOrzru4yowQz67dz2yc"", ""'GAR'!BG3:BG139""),MATCH(D28,IMPORTRANGE(""1y0FWgjbB0gVlqn-q5LMJbGIsqOrzru4yowQz67dz2yc"", ""'GAR'!D3:D139""),0))"),1)</f>
        <v>1</v>
      </c>
      <c r="Z28" s="12">
        <f ca="1">IFERROR(__xludf.DUMMYFUNCTION("INDEX(IMPORTRANGE(""1y0FWgjbB0gVlqn-q5LMJbGIsqOrzru4yowQz67dz2yc"", ""'GAR'!BH3:BH139""),MATCH(D28,IMPORTRANGE(""1y0FWgjbB0gVlqn-q5LMJbGIsqOrzru4yowQz67dz2yc"", ""'GAR'!D3:D139""),0))"),0)</f>
        <v>0</v>
      </c>
      <c r="AA28" s="12">
        <f ca="1">IFERROR(__xludf.DUMMYFUNCTION("INDEX(IMPORTRANGE(""1y0FWgjbB0gVlqn-q5LMJbGIsqOrzru4yowQz67dz2yc"", ""'GAR'!BI3:BI139""),MATCH($D28,IMPORTRANGE(""1y0FWgjbB0gVlqn-q5LMJbGIsqOrzru4yowQz67dz2yc"", ""'GAR'!D3:D139""),0))"),1)</f>
        <v>1</v>
      </c>
      <c r="AB28" s="1"/>
      <c r="AC28" s="1"/>
    </row>
    <row r="29" spans="1:29">
      <c r="A29" s="149" t="s">
        <v>52</v>
      </c>
      <c r="B29" s="149" t="s">
        <v>86</v>
      </c>
      <c r="C29" s="149" t="s">
        <v>30</v>
      </c>
      <c r="D29" s="149" t="s">
        <v>105</v>
      </c>
      <c r="E29" s="14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4"/>
      <c r="X29" s="12">
        <v>0</v>
      </c>
      <c r="Y29" s="12">
        <f ca="1">IFERROR(__xludf.DUMMYFUNCTION("INDEX(IMPORTRANGE(""1y0FWgjbB0gVlqn-q5LMJbGIsqOrzru4yowQz67dz2yc"", ""'GAR'!BG3:BG139""),MATCH(D29,IMPORTRANGE(""1y0FWgjbB0gVlqn-q5LMJbGIsqOrzru4yowQz67dz2yc"", ""'GAR'!D3:D139""),0))"),0)</f>
        <v>0</v>
      </c>
      <c r="Z29" s="12">
        <f ca="1">IFERROR(__xludf.DUMMYFUNCTION("INDEX(IMPORTRANGE(""1y0FWgjbB0gVlqn-q5LMJbGIsqOrzru4yowQz67dz2yc"", ""'GAR'!BH3:BH139""),MATCH(D29,IMPORTRANGE(""1y0FWgjbB0gVlqn-q5LMJbGIsqOrzru4yowQz67dz2yc"", ""'GAR'!D3:D139""),0))"),0)</f>
        <v>0</v>
      </c>
      <c r="AA29" s="12">
        <f ca="1">IFERROR(__xludf.DUMMYFUNCTION("INDEX(IMPORTRANGE(""1y0FWgjbB0gVlqn-q5LMJbGIsqOrzru4yowQz67dz2yc"", ""'GAR'!BI3:BI139""),MATCH($D29,IMPORTRANGE(""1y0FWgjbB0gVlqn-q5LMJbGIsqOrzru4yowQz67dz2yc"", ""'GAR'!D3:D139""),0))"),0)</f>
        <v>0</v>
      </c>
      <c r="AB29" s="1"/>
      <c r="AC29" s="1"/>
    </row>
    <row r="30" spans="1:29">
      <c r="A30" s="149" t="s">
        <v>52</v>
      </c>
      <c r="B30" s="149" t="s">
        <v>86</v>
      </c>
      <c r="C30" s="149" t="s">
        <v>30</v>
      </c>
      <c r="D30" s="149" t="s">
        <v>107</v>
      </c>
      <c r="E30" s="14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2</v>
      </c>
      <c r="Q30" s="12">
        <v>7</v>
      </c>
      <c r="R30" s="13"/>
      <c r="S30" s="13"/>
      <c r="T30" s="13"/>
      <c r="U30" s="13"/>
      <c r="V30" s="13"/>
      <c r="W30" s="4"/>
      <c r="X30" s="12">
        <v>9</v>
      </c>
      <c r="Y30" s="12">
        <f ca="1">IFERROR(__xludf.DUMMYFUNCTION("INDEX(IMPORTRANGE(""1y0FWgjbB0gVlqn-q5LMJbGIsqOrzru4yowQz67dz2yc"", ""'GAR'!BG3:BG139""),MATCH(D30,IMPORTRANGE(""1y0FWgjbB0gVlqn-q5LMJbGIsqOrzru4yowQz67dz2yc"", ""'GAR'!D3:D139""),0))"),20)</f>
        <v>20</v>
      </c>
      <c r="Z30" s="12">
        <f ca="1">IFERROR(__xludf.DUMMYFUNCTION("INDEX(IMPORTRANGE(""1y0FWgjbB0gVlqn-q5LMJbGIsqOrzru4yowQz67dz2yc"", ""'GAR'!BH3:BH139""),MATCH(D30,IMPORTRANGE(""1y0FWgjbB0gVlqn-q5LMJbGIsqOrzru4yowQz67dz2yc"", ""'GAR'!D3:D139""),0))"),8)</f>
        <v>8</v>
      </c>
      <c r="AA30" s="12">
        <f ca="1">IFERROR(__xludf.DUMMYFUNCTION("INDEX(IMPORTRANGE(""1y0FWgjbB0gVlqn-q5LMJbGIsqOrzru4yowQz67dz2yc"", ""'GAR'!BI3:BI139""),MATCH($D30,IMPORTRANGE(""1y0FWgjbB0gVlqn-q5LMJbGIsqOrzru4yowQz67dz2yc"", ""'GAR'!D3:D139""),0))"),20)</f>
        <v>20</v>
      </c>
      <c r="AB30" s="1"/>
      <c r="AC30" s="1"/>
    </row>
    <row r="31" spans="1:29">
      <c r="A31" s="149" t="s">
        <v>52</v>
      </c>
      <c r="B31" s="149" t="s">
        <v>86</v>
      </c>
      <c r="C31" s="149" t="s">
        <v>30</v>
      </c>
      <c r="D31" s="149" t="s">
        <v>109</v>
      </c>
      <c r="E31" s="14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4</v>
      </c>
      <c r="Q31" s="12">
        <v>13</v>
      </c>
      <c r="R31" s="13"/>
      <c r="S31" s="13"/>
      <c r="T31" s="13"/>
      <c r="U31" s="13"/>
      <c r="V31" s="13"/>
      <c r="W31" s="4"/>
      <c r="X31" s="12">
        <v>3</v>
      </c>
      <c r="Y31" s="12">
        <f ca="1">IFERROR(__xludf.DUMMYFUNCTION("INDEX(IMPORTRANGE(""1y0FWgjbB0gVlqn-q5LMJbGIsqOrzru4yowQz67dz2yc"", ""'GAR'!BG3:BG139""),MATCH(D31,IMPORTRANGE(""1y0FWgjbB0gVlqn-q5LMJbGIsqOrzru4yowQz67dz2yc"", ""'GAR'!D3:D139""),0))"),5)</f>
        <v>5</v>
      </c>
      <c r="Z31" s="12">
        <f ca="1">IFERROR(__xludf.DUMMYFUNCTION("INDEX(IMPORTRANGE(""1y0FWgjbB0gVlqn-q5LMJbGIsqOrzru4yowQz67dz2yc"", ""'GAR'!BH3:BH139""),MATCH(D31,IMPORTRANGE(""1y0FWgjbB0gVlqn-q5LMJbGIsqOrzru4yowQz67dz2yc"", ""'GAR'!D3:D139""),0))"),1)</f>
        <v>1</v>
      </c>
      <c r="AA31" s="12">
        <f ca="1">IFERROR(__xludf.DUMMYFUNCTION("INDEX(IMPORTRANGE(""1y0FWgjbB0gVlqn-q5LMJbGIsqOrzru4yowQz67dz2yc"", ""'GAR'!BI3:BI139""),MATCH($D31,IMPORTRANGE(""1y0FWgjbB0gVlqn-q5LMJbGIsqOrzru4yowQz67dz2yc"", ""'GAR'!D3:D139""),0))"),3)</f>
        <v>3</v>
      </c>
      <c r="AB31" s="1"/>
      <c r="AC31" s="1"/>
    </row>
    <row r="32" spans="1:29">
      <c r="A32" s="149" t="s">
        <v>52</v>
      </c>
      <c r="B32" s="149" t="s">
        <v>86</v>
      </c>
      <c r="C32" s="149" t="s">
        <v>30</v>
      </c>
      <c r="D32" s="149" t="s">
        <v>111</v>
      </c>
      <c r="E32" s="14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4"/>
      <c r="X32" s="12">
        <v>0</v>
      </c>
      <c r="Y32" s="12">
        <f ca="1">IFERROR(__xludf.DUMMYFUNCTION("INDEX(IMPORTRANGE(""1y0FWgjbB0gVlqn-q5LMJbGIsqOrzru4yowQz67dz2yc"", ""'GAR'!BG3:BG139""),MATCH(D32,IMPORTRANGE(""1y0FWgjbB0gVlqn-q5LMJbGIsqOrzru4yowQz67dz2yc"", ""'GAR'!D3:D139""),0))"),2)</f>
        <v>2</v>
      </c>
      <c r="Z32" s="12">
        <f ca="1">IFERROR(__xludf.DUMMYFUNCTION("INDEX(IMPORTRANGE(""1y0FWgjbB0gVlqn-q5LMJbGIsqOrzru4yowQz67dz2yc"", ""'GAR'!BH3:BH139""),MATCH(D32,IMPORTRANGE(""1y0FWgjbB0gVlqn-q5LMJbGIsqOrzru4yowQz67dz2yc"", ""'GAR'!D3:D139""),0))"),0)</f>
        <v>0</v>
      </c>
      <c r="AA32" s="12">
        <f ca="1">IFERROR(__xludf.DUMMYFUNCTION("INDEX(IMPORTRANGE(""1y0FWgjbB0gVlqn-q5LMJbGIsqOrzru4yowQz67dz2yc"", ""'GAR'!BI3:BI139""),MATCH($D32,IMPORTRANGE(""1y0FWgjbB0gVlqn-q5LMJbGIsqOrzru4yowQz67dz2yc"", ""'GAR'!D3:D139""),0))"),0)</f>
        <v>0</v>
      </c>
      <c r="AB32" s="1"/>
      <c r="AC32" s="1"/>
    </row>
    <row r="33" spans="1:29">
      <c r="A33" s="149" t="s">
        <v>52</v>
      </c>
      <c r="B33" s="149" t="s">
        <v>86</v>
      </c>
      <c r="C33" s="149" t="s">
        <v>30</v>
      </c>
      <c r="D33" s="149" t="s">
        <v>113</v>
      </c>
      <c r="E33" s="14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4"/>
      <c r="X33" s="12">
        <v>1</v>
      </c>
      <c r="Y33" s="12">
        <f ca="1">IFERROR(__xludf.DUMMYFUNCTION("INDEX(IMPORTRANGE(""1y0FWgjbB0gVlqn-q5LMJbGIsqOrzru4yowQz67dz2yc"", ""'GAR'!BG3:BG139""),MATCH(D33,IMPORTRANGE(""1y0FWgjbB0gVlqn-q5LMJbGIsqOrzru4yowQz67dz2yc"", ""'GAR'!D3:D139""),0))"),5)</f>
        <v>5</v>
      </c>
      <c r="Z33" s="12">
        <f ca="1">IFERROR(__xludf.DUMMYFUNCTION("INDEX(IMPORTRANGE(""1y0FWgjbB0gVlqn-q5LMJbGIsqOrzru4yowQz67dz2yc"", ""'GAR'!BH3:BH139""),MATCH(D33,IMPORTRANGE(""1y0FWgjbB0gVlqn-q5LMJbGIsqOrzru4yowQz67dz2yc"", ""'GAR'!D3:D139""),0))"),4)</f>
        <v>4</v>
      </c>
      <c r="AA33" s="12">
        <f ca="1">IFERROR(__xludf.DUMMYFUNCTION("INDEX(IMPORTRANGE(""1y0FWgjbB0gVlqn-q5LMJbGIsqOrzru4yowQz67dz2yc"", ""'GAR'!BI3:BI139""),MATCH($D33,IMPORTRANGE(""1y0FWgjbB0gVlqn-q5LMJbGIsqOrzru4yowQz67dz2yc"", ""'GAR'!D3:D139""),0))"),5)</f>
        <v>5</v>
      </c>
      <c r="AB33" s="1"/>
      <c r="AC33" s="1"/>
    </row>
    <row r="34" spans="1:29">
      <c r="A34" s="149" t="s">
        <v>52</v>
      </c>
      <c r="B34" s="149" t="s">
        <v>86</v>
      </c>
      <c r="C34" s="149" t="s">
        <v>30</v>
      </c>
      <c r="D34" s="149" t="s">
        <v>115</v>
      </c>
      <c r="E34" s="14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13"/>
      <c r="S34" s="13"/>
      <c r="T34" s="13"/>
      <c r="U34" s="13"/>
      <c r="V34" s="13"/>
      <c r="W34" s="4"/>
      <c r="X34" s="12">
        <v>1</v>
      </c>
      <c r="Y34" s="12">
        <f ca="1">IFERROR(__xludf.DUMMYFUNCTION("INDEX(IMPORTRANGE(""1y0FWgjbB0gVlqn-q5LMJbGIsqOrzru4yowQz67dz2yc"", ""'GAR'!BG3:BG139""),MATCH(D34,IMPORTRANGE(""1y0FWgjbB0gVlqn-q5LMJbGIsqOrzru4yowQz67dz2yc"", ""'GAR'!D3:D139""),0))"),2)</f>
        <v>2</v>
      </c>
      <c r="Z34" s="12">
        <f ca="1">IFERROR(__xludf.DUMMYFUNCTION("INDEX(IMPORTRANGE(""1y0FWgjbB0gVlqn-q5LMJbGIsqOrzru4yowQz67dz2yc"", ""'GAR'!BH3:BH139""),MATCH(D34,IMPORTRANGE(""1y0FWgjbB0gVlqn-q5LMJbGIsqOrzru4yowQz67dz2yc"", ""'GAR'!D3:D139""),0))"),1)</f>
        <v>1</v>
      </c>
      <c r="AA34" s="12">
        <f ca="1">IFERROR(__xludf.DUMMYFUNCTION("INDEX(IMPORTRANGE(""1y0FWgjbB0gVlqn-q5LMJbGIsqOrzru4yowQz67dz2yc"", ""'GAR'!BI3:BI139""),MATCH($D34,IMPORTRANGE(""1y0FWgjbB0gVlqn-q5LMJbGIsqOrzru4yowQz67dz2yc"", ""'GAR'!D3:D139""),0))"),1)</f>
        <v>1</v>
      </c>
      <c r="AB34" s="1"/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1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33</v>
      </c>
      <c r="Q35" s="262">
        <f t="shared" si="9"/>
        <v>83</v>
      </c>
      <c r="R35" s="158"/>
      <c r="S35" s="158"/>
      <c r="T35" s="158"/>
      <c r="U35" s="158"/>
      <c r="V35" s="158"/>
      <c r="W35" s="158"/>
      <c r="X35" s="262">
        <f t="shared" ref="X35:AA35" si="10">SUM(X24:X34)</f>
        <v>56</v>
      </c>
      <c r="Y35" s="262">
        <f t="shared" ca="1" si="10"/>
        <v>122</v>
      </c>
      <c r="Z35" s="262">
        <f t="shared" ca="1" si="10"/>
        <v>43</v>
      </c>
      <c r="AA35" s="262">
        <f t="shared" ca="1" si="10"/>
        <v>111</v>
      </c>
      <c r="AB35" s="296"/>
      <c r="AC35" s="296"/>
    </row>
    <row r="36" spans="1:29">
      <c r="A36" s="149" t="s">
        <v>52</v>
      </c>
      <c r="B36" s="149" t="s">
        <v>86</v>
      </c>
      <c r="C36" s="149" t="s">
        <v>36</v>
      </c>
      <c r="D36" s="149" t="s">
        <v>117</v>
      </c>
      <c r="E36" s="14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10.663978051594265</v>
      </c>
      <c r="Q36" s="23">
        <f t="shared" si="11"/>
        <v>26.821520554009815</v>
      </c>
      <c r="R36" s="2">
        <v>26.4</v>
      </c>
      <c r="S36" s="2">
        <v>10.5</v>
      </c>
      <c r="T36" s="2">
        <v>25.9</v>
      </c>
      <c r="U36" s="2">
        <v>10.3</v>
      </c>
      <c r="V36" s="2">
        <v>10.1</v>
      </c>
      <c r="W36" s="2">
        <v>25.5</v>
      </c>
      <c r="X36" s="23">
        <f>(SUM(X24:X34)/X$2)*100000</f>
        <v>17.67107812509861</v>
      </c>
      <c r="Y36" s="23">
        <f ca="1">IFERROR(__xludf.DUMMYFUNCTION("INDEX(IMPORTRANGE(""1y0FWgjbB0gVlqn-q5LMJbGIsqOrzru4yowQz67dz2yc"", ""'GAR'!BG3:BG139""),MATCH(D36,IMPORTRANGE(""1y0FWgjbB0gVlqn-q5LMJbGIsqOrzru4yowQz67dz2yc"", ""'GAR'!D3:D139""),0))"),38.4977059153934)</f>
        <v>38.497705915393396</v>
      </c>
      <c r="Z36" s="23">
        <f ca="1">IFERROR(__xludf.DUMMYFUNCTION("INDEX(IMPORTRANGE(""1y0FWgjbB0gVlqn-q5LMJbGIsqOrzru4yowQz67dz2yc"", ""'GAR'!BH3:BH139""),MATCH(D36,IMPORTRANGE(""1y0FWgjbB0gVlqn-q5LMJbGIsqOrzru4yowQz67dz2yc"", ""'GAR'!D3:D139""),0))"),13.3139713099399)</f>
        <v>13.3139713099399</v>
      </c>
      <c r="AA36" s="23">
        <f ca="1">IFERROR(__xludf.DUMMYFUNCTION("INDEX(IMPORTRANGE(""1y0FWgjbB0gVlqn-q5LMJbGIsqOrzru4yowQz67dz2yc"", ""'GAR'!BI3:BI139""),MATCH($D36,IMPORTRANGE(""1y0FWgjbB0gVlqn-q5LMJbGIsqOrzru4yowQz67dz2yc"", ""'GAR'!D3:D139""),0))"),34.368623614031)</f>
        <v>34.368623614031002</v>
      </c>
      <c r="AB36" s="2"/>
      <c r="AC36" s="2"/>
    </row>
    <row r="37" spans="1:29">
      <c r="A37" s="148" t="s">
        <v>119</v>
      </c>
      <c r="B37" s="148" t="s">
        <v>120</v>
      </c>
      <c r="C37" s="148" t="s">
        <v>30</v>
      </c>
      <c r="D37" s="148" t="s">
        <v>121</v>
      </c>
      <c r="E37" s="148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202489</v>
      </c>
      <c r="Q37" s="12">
        <v>202489</v>
      </c>
      <c r="R37" s="13"/>
      <c r="S37" s="13"/>
      <c r="T37" s="13"/>
      <c r="U37" s="13"/>
      <c r="V37" s="13"/>
      <c r="W37" s="4"/>
      <c r="X37" s="12">
        <v>202489</v>
      </c>
      <c r="Y37" s="12">
        <f ca="1">IFERROR(__xludf.DUMMYFUNCTION("INDEX(IMPORTRANGE(""1y0FWgjbB0gVlqn-q5LMJbGIsqOrzru4yowQz67dz2yc"", ""'GAR'!BG3:BG139""),MATCH(D37,IMPORTRANGE(""1y0FWgjbB0gVlqn-q5LMJbGIsqOrzru4yowQz67dz2yc"", ""'GAR'!D3:D139""),0))"),202489)</f>
        <v>202489</v>
      </c>
      <c r="Z37" s="12">
        <f ca="1">IFERROR(__xludf.DUMMYFUNCTION("INDEX(IMPORTRANGE(""1y0FWgjbB0gVlqn-q5LMJbGIsqOrzru4yowQz67dz2yc"", ""'GAR'!BH3:BH139""),MATCH(D37,IMPORTRANGE(""1y0FWgjbB0gVlqn-q5LMJbGIsqOrzru4yowQz67dz2yc"", ""'GAR'!D3:D139""),0))"),207597)</f>
        <v>207597</v>
      </c>
      <c r="AA37" s="12">
        <f ca="1">IFERROR(__xludf.DUMMYFUNCTION("INDEX(IMPORTRANGE(""1y0FWgjbB0gVlqn-q5LMJbGIsqOrzru4yowQz67dz2yc"", ""'GAR'!BI3:BI139""),MATCH($D37,IMPORTRANGE(""1y0FWgjbB0gVlqn-q5LMJbGIsqOrzru4yowQz67dz2yc"", ""'GAR'!D3:D139""),0))"),207597)</f>
        <v>207597</v>
      </c>
      <c r="AB37" s="1"/>
      <c r="AC37" s="1"/>
    </row>
    <row r="38" spans="1:29">
      <c r="A38" s="148" t="s">
        <v>119</v>
      </c>
      <c r="B38" s="148" t="s">
        <v>120</v>
      </c>
      <c r="C38" s="148" t="s">
        <v>30</v>
      </c>
      <c r="D38" s="148" t="s">
        <v>123</v>
      </c>
      <c r="E38" s="148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0</v>
      </c>
      <c r="Q38" s="12">
        <v>0</v>
      </c>
      <c r="R38" s="1"/>
      <c r="S38" s="1"/>
      <c r="T38" s="1"/>
      <c r="U38" s="1"/>
      <c r="V38" s="1"/>
      <c r="W38" s="2"/>
      <c r="X38" s="12">
        <v>0</v>
      </c>
      <c r="Y38" s="2">
        <f ca="1">IFERROR(__xludf.DUMMYFUNCTION("INDEX(IMPORTRANGE(""1y0FWgjbB0gVlqn-q5LMJbGIsqOrzru4yowQz67dz2yc"", ""'GAR'!BG3:BG139""),MATCH(D38,IMPORTRANGE(""1y0FWgjbB0gVlqn-q5LMJbGIsqOrzru4yowQz67dz2yc"", ""'GAR'!D3:D139""),0))"),0)</f>
        <v>0</v>
      </c>
      <c r="Z38" s="12">
        <f ca="1">IFERROR(__xludf.DUMMYFUNCTION("INDEX(IMPORTRANGE(""1y0FWgjbB0gVlqn-q5LMJbGIsqOrzru4yowQz67dz2yc"", ""'GAR'!BH3:BH139""),MATCH(D38,IMPORTRANGE(""1y0FWgjbB0gVlqn-q5LMJbGIsqOrzru4yowQz67dz2yc"", ""'GAR'!D3:D139""),0))"),0)</f>
        <v>0</v>
      </c>
      <c r="AA38" s="2">
        <f ca="1">IFERROR(__xludf.DUMMYFUNCTION("INDEX(IMPORTRANGE(""1y0FWgjbB0gVlqn-q5LMJbGIsqOrzru4yowQz67dz2yc"", ""'GAR'!BI3:BI139""),MATCH($D38,IMPORTRANGE(""1y0FWgjbB0gVlqn-q5LMJbGIsqOrzru4yowQz67dz2yc"", ""'GAR'!D3:D139""),0))"),0)</f>
        <v>0</v>
      </c>
      <c r="AB38" s="1"/>
      <c r="AC38" s="1"/>
    </row>
    <row r="39" spans="1:29">
      <c r="A39" s="148" t="s">
        <v>119</v>
      </c>
      <c r="B39" s="148" t="s">
        <v>120</v>
      </c>
      <c r="C39" s="148" t="s">
        <v>36</v>
      </c>
      <c r="D39" s="148" t="s">
        <v>125</v>
      </c>
      <c r="E39" s="148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5">
        <f t="shared" ref="P39:Q39" si="12">P38/P37</f>
        <v>0</v>
      </c>
      <c r="Q39" s="15">
        <f t="shared" si="12"/>
        <v>0</v>
      </c>
      <c r="R39" s="2" t="s">
        <v>419</v>
      </c>
      <c r="S39" s="2" t="s">
        <v>419</v>
      </c>
      <c r="T39" s="2" t="s">
        <v>419</v>
      </c>
      <c r="U39" s="2" t="s">
        <v>419</v>
      </c>
      <c r="V39" s="2" t="s">
        <v>419</v>
      </c>
      <c r="W39" s="2" t="s">
        <v>419</v>
      </c>
      <c r="X39" s="15">
        <f>X38/X37</f>
        <v>0</v>
      </c>
      <c r="Y39" s="300" t="str">
        <f ca="1">IFERROR(__xludf.DUMMYFUNCTION("INDEX(IMPORTRANGE(""1y0FWgjbB0gVlqn-q5LMJbGIsqOrzru4yowQz67dz2yc"", ""'GAR'!BG3:BG139""),MATCH(D39,IMPORTRANGE(""1y0FWgjbB0gVlqn-q5LMJbGIsqOrzru4yowQz67dz2yc"", ""'GAR'!D3:D139""),0))"),"")</f>
        <v/>
      </c>
      <c r="Z39" s="15">
        <f ca="1">IFERROR(__xludf.DUMMYFUNCTION("INDEX(IMPORTRANGE(""1y0FWgjbB0gVlqn-q5LMJbGIsqOrzru4yowQz67dz2yc"", ""'GAR'!BH3:BH139""),MATCH(D39,IMPORTRANGE(""1y0FWgjbB0gVlqn-q5LMJbGIsqOrzru4yowQz67dz2yc"", ""'GAR'!D3:D139""),0))"),0)</f>
        <v>0</v>
      </c>
      <c r="AA39" s="15">
        <f ca="1">IFERROR(__xludf.DUMMYFUNCTION("INDEX(IMPORTRANGE(""1y0FWgjbB0gVlqn-q5LMJbGIsqOrzru4yowQz67dz2yc"", ""'GAR'!BI3:BI139""),MATCH($D39,IMPORTRANGE(""1y0FWgjbB0gVlqn-q5LMJbGIsqOrzru4yowQz67dz2yc"", ""'GAR'!D3:D139""),0))"),0)</f>
        <v>0</v>
      </c>
      <c r="AB39" s="2"/>
      <c r="AC39" s="2"/>
    </row>
    <row r="40" spans="1:29">
      <c r="A40" s="149" t="s">
        <v>119</v>
      </c>
      <c r="B40" s="149" t="s">
        <v>120</v>
      </c>
      <c r="C40" s="149" t="s">
        <v>30</v>
      </c>
      <c r="D40" s="149" t="s">
        <v>330</v>
      </c>
      <c r="E40" s="14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1"/>
      <c r="S40" s="1"/>
      <c r="T40" s="1"/>
      <c r="U40" s="1"/>
      <c r="V40" s="1"/>
      <c r="W40" s="2"/>
      <c r="X40" s="12"/>
      <c r="Y40" s="250" t="str">
        <f ca="1">IFERROR(__xludf.DUMMYFUNCTION("INDEX(IMPORTRANGE(""1y0FWgjbB0gVlqn-q5LMJbGIsqOrzru4yowQz67dz2yc"", ""'GAR'!BG3:BG139""),MATCH(D40,IMPORTRANGE(""1y0FWgjbB0gVlqn-q5LMJbGIsqOrzru4yowQz67dz2yc"", ""'GAR'!D3:D139""),0))"),"")</f>
        <v/>
      </c>
      <c r="Z40" s="12">
        <f ca="1">IFERROR(__xludf.DUMMYFUNCTION("INDEX(IMPORTRANGE(""1y0FWgjbB0gVlqn-q5LMJbGIsqOrzru4yowQz67dz2yc"", ""'GAR'!BH3:BH139""),MATCH(D40,IMPORTRANGE(""1y0FWgjbB0gVlqn-q5LMJbGIsqOrzru4yowQz67dz2yc"", ""'GAR'!D3:D139""),0))"),0)</f>
        <v>0</v>
      </c>
      <c r="AA40" s="12">
        <f ca="1">IFERROR(__xludf.DUMMYFUNCTION("INDEX(IMPORTRANGE(""1y0FWgjbB0gVlqn-q5LMJbGIsqOrzru4yowQz67dz2yc"", ""'GAR'!BI3:BI139""),MATCH($D40,IMPORTRANGE(""1y0FWgjbB0gVlqn-q5LMJbGIsqOrzru4yowQz67dz2yc"", ""'GAR'!D3:D139""),0))"),0)</f>
        <v>0</v>
      </c>
      <c r="AB40" s="1"/>
      <c r="AC40" s="1"/>
    </row>
    <row r="41" spans="1:29">
      <c r="A41" s="149" t="s">
        <v>119</v>
      </c>
      <c r="B41" s="149" t="s">
        <v>120</v>
      </c>
      <c r="C41" s="149" t="s">
        <v>30</v>
      </c>
      <c r="D41" s="149" t="s">
        <v>331</v>
      </c>
      <c r="E41" s="14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1"/>
      <c r="S41" s="1"/>
      <c r="T41" s="1"/>
      <c r="U41" s="1"/>
      <c r="V41" s="1"/>
      <c r="W41" s="2"/>
      <c r="X41" s="12"/>
      <c r="Y41" s="250" t="str">
        <f ca="1">IFERROR(__xludf.DUMMYFUNCTION("INDEX(IMPORTRANGE(""1y0FWgjbB0gVlqn-q5LMJbGIsqOrzru4yowQz67dz2yc"", ""'GAR'!BG3:BG139""),MATCH(D41,IMPORTRANGE(""1y0FWgjbB0gVlqn-q5LMJbGIsqOrzru4yowQz67dz2yc"", ""'GAR'!D3:D139""),0))"),"")</f>
        <v/>
      </c>
      <c r="Z41" s="12">
        <f ca="1">IFERROR(__xludf.DUMMYFUNCTION("INDEX(IMPORTRANGE(""1y0FWgjbB0gVlqn-q5LMJbGIsqOrzru4yowQz67dz2yc"", ""'GAR'!BH3:BH139""),MATCH(D41,IMPORTRANGE(""1y0FWgjbB0gVlqn-q5LMJbGIsqOrzru4yowQz67dz2yc"", ""'GAR'!D3:D139""),0))"),60375.3)</f>
        <v>60375.3</v>
      </c>
      <c r="AA41" s="12">
        <f ca="1">IFERROR(__xludf.DUMMYFUNCTION("INDEX(IMPORTRANGE(""1y0FWgjbB0gVlqn-q5LMJbGIsqOrzru4yowQz67dz2yc"", ""'GAR'!BI3:BI139""),MATCH($D41,IMPORTRANGE(""1y0FWgjbB0gVlqn-q5LMJbGIsqOrzru4yowQz67dz2yc"", ""'GAR'!D3:D139""),0))"),123621.33)</f>
        <v>123621.33</v>
      </c>
      <c r="AB41" s="1"/>
      <c r="AC41" s="1"/>
    </row>
    <row r="42" spans="1:29">
      <c r="A42" s="149" t="s">
        <v>119</v>
      </c>
      <c r="B42" s="149" t="s">
        <v>120</v>
      </c>
      <c r="C42" s="149" t="s">
        <v>36</v>
      </c>
      <c r="D42" s="149" t="s">
        <v>333</v>
      </c>
      <c r="E42" s="14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" t="s">
        <v>419</v>
      </c>
      <c r="T42" s="2" t="s">
        <v>419</v>
      </c>
      <c r="U42" s="2" t="s">
        <v>419</v>
      </c>
      <c r="V42" s="2" t="s">
        <v>419</v>
      </c>
      <c r="W42" s="2" t="s">
        <v>419</v>
      </c>
      <c r="X42" s="12"/>
      <c r="Y42" s="250" t="str">
        <f ca="1">IFERROR(__xludf.DUMMYFUNCTION("INDEX(IMPORTRANGE(""1y0FWgjbB0gVlqn-q5LMJbGIsqOrzru4yowQz67dz2yc"", ""'GAR'!BG3:BG139""),MATCH(D42,IMPORTRANGE(""1y0FWgjbB0gVlqn-q5LMJbGIsqOrzru4yowQz67dz2yc"", ""'GAR'!D3:D139""),0))"),"")</f>
        <v/>
      </c>
      <c r="Z42" s="12">
        <f ca="1">IFERROR(__xludf.DUMMYFUNCTION("INDEX(IMPORTRANGE(""1y0FWgjbB0gVlqn-q5LMJbGIsqOrzru4yowQz67dz2yc"", ""'GAR'!BH3:BH139""),MATCH(D42,IMPORTRANGE(""1y0FWgjbB0gVlqn-q5LMJbGIsqOrzru4yowQz67dz2yc"", ""'GAR'!D3:D139""),0))"),0)</f>
        <v>0</v>
      </c>
      <c r="AA42" s="12">
        <f ca="1">IFERROR(__xludf.DUMMYFUNCTION("INDEX(IMPORTRANGE(""1y0FWgjbB0gVlqn-q5LMJbGIsqOrzru4yowQz67dz2yc"", ""'GAR'!BI3:BI139""),MATCH($D42,IMPORTRANGE(""1y0FWgjbB0gVlqn-q5LMJbGIsqOrzru4yowQz67dz2yc"", ""'GAR'!D3:D139""),0))"),0)</f>
        <v>0</v>
      </c>
      <c r="AB42" s="2"/>
      <c r="AC42" s="2"/>
    </row>
    <row r="43" spans="1:29">
      <c r="A43" s="149" t="s">
        <v>119</v>
      </c>
      <c r="B43" s="149" t="s">
        <v>127</v>
      </c>
      <c r="C43" s="149" t="s">
        <v>36</v>
      </c>
      <c r="D43" s="149" t="s">
        <v>128</v>
      </c>
      <c r="E43" s="14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1</v>
      </c>
      <c r="S43" s="2">
        <v>2</v>
      </c>
      <c r="T43" s="2">
        <v>2</v>
      </c>
      <c r="U43" s="2">
        <v>3</v>
      </c>
      <c r="V43" s="2">
        <v>3</v>
      </c>
      <c r="W43" s="2">
        <v>3</v>
      </c>
      <c r="X43" s="12">
        <v>0</v>
      </c>
      <c r="Y43" s="2">
        <f ca="1">IFERROR(__xludf.DUMMYFUNCTION("INDEX(IMPORTRANGE(""1y0FWgjbB0gVlqn-q5LMJbGIsqOrzru4yowQz67dz2yc"", ""'GAR'!BG3:BG139""),MATCH(D43,IMPORTRANGE(""1y0FWgjbB0gVlqn-q5LMJbGIsqOrzru4yowQz67dz2yc"", ""'GAR'!D3:D139""),0))"),0)</f>
        <v>0</v>
      </c>
      <c r="Z43" s="12">
        <f ca="1">IFERROR(__xludf.DUMMYFUNCTION("INDEX(IMPORTRANGE(""1y0FWgjbB0gVlqn-q5LMJbGIsqOrzru4yowQz67dz2yc"", ""'GAR'!BH3:BH139""),MATCH(D43,IMPORTRANGE(""1y0FWgjbB0gVlqn-q5LMJbGIsqOrzru4yowQz67dz2yc"", ""'GAR'!D3:D139""),0))"),0)</f>
        <v>0</v>
      </c>
      <c r="AA43" s="2">
        <f ca="1">IFERROR(__xludf.DUMMYFUNCTION("INDEX(IMPORTRANGE(""1y0FWgjbB0gVlqn-q5LMJbGIsqOrzru4yowQz67dz2yc"", ""'GAR'!BI3:BI139""),MATCH($D43,IMPORTRANGE(""1y0FWgjbB0gVlqn-q5LMJbGIsqOrzru4yowQz67dz2yc"", ""'GAR'!D3:D139""),0))"),0)</f>
        <v>0</v>
      </c>
      <c r="AB43" s="2"/>
      <c r="AC43" s="2"/>
    </row>
    <row r="44" spans="1:29">
      <c r="A44" s="149" t="s">
        <v>119</v>
      </c>
      <c r="B44" s="149" t="s">
        <v>133</v>
      </c>
      <c r="C44" s="149" t="s">
        <v>36</v>
      </c>
      <c r="D44" s="149" t="s">
        <v>134</v>
      </c>
      <c r="E44" s="14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230</v>
      </c>
      <c r="Q44" s="12">
        <v>440</v>
      </c>
      <c r="R44" s="9">
        <v>1000</v>
      </c>
      <c r="S44" s="9">
        <f t="shared" ref="S44:T44" si="13">R44+500</f>
        <v>1500</v>
      </c>
      <c r="T44" s="9">
        <f t="shared" si="13"/>
        <v>2000</v>
      </c>
      <c r="U44" s="9">
        <f t="shared" ref="U44:V44" si="14">500+T44</f>
        <v>2500</v>
      </c>
      <c r="V44" s="9">
        <f t="shared" si="14"/>
        <v>3000</v>
      </c>
      <c r="W44" s="2">
        <v>3000</v>
      </c>
      <c r="X44" s="12">
        <v>779</v>
      </c>
      <c r="Y44" s="12">
        <f ca="1">IFERROR(__xludf.DUMMYFUNCTION("INDEX(IMPORTRANGE(""1y0FWgjbB0gVlqn-q5LMJbGIsqOrzru4yowQz67dz2yc"", ""'GAR'!BG3:BG139""),MATCH(D44,IMPORTRANGE(""1y0FWgjbB0gVlqn-q5LMJbGIsqOrzru4yowQz67dz2yc"", ""'GAR'!D3:D139""),0))"),922)</f>
        <v>922</v>
      </c>
      <c r="Z44" s="12">
        <f ca="1">IFERROR(__xludf.DUMMYFUNCTION("INDEX(IMPORTRANGE(""1y0FWgjbB0gVlqn-q5LMJbGIsqOrzru4yowQz67dz2yc"", ""'GAR'!BH3:BH139""),MATCH(D44,IMPORTRANGE(""1y0FWgjbB0gVlqn-q5LMJbGIsqOrzru4yowQz67dz2yc"", ""'GAR'!D3:D139""),0))"),1167)</f>
        <v>1167</v>
      </c>
      <c r="AA44" s="12">
        <f ca="1">IFERROR(__xludf.DUMMYFUNCTION("INDEX(IMPORTRANGE(""1y0FWgjbB0gVlqn-q5LMJbGIsqOrzru4yowQz67dz2yc"", ""'GAR'!BI3:BI139""),MATCH($D44,IMPORTRANGE(""1y0FWgjbB0gVlqn-q5LMJbGIsqOrzru4yowQz67dz2yc"", ""'GAR'!D3:D139""),0))"),1504)</f>
        <v>1504</v>
      </c>
      <c r="AB44" s="2"/>
      <c r="AC44" s="2"/>
    </row>
    <row r="45" spans="1:29">
      <c r="A45" s="149" t="s">
        <v>119</v>
      </c>
      <c r="B45" s="149" t="s">
        <v>136</v>
      </c>
      <c r="C45" s="149" t="s">
        <v>30</v>
      </c>
      <c r="D45" s="149" t="s">
        <v>137</v>
      </c>
      <c r="E45" s="14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3</v>
      </c>
      <c r="Q45" s="12">
        <v>6</v>
      </c>
      <c r="R45" s="1"/>
      <c r="S45" s="1"/>
      <c r="T45" s="1"/>
      <c r="U45" s="1"/>
      <c r="V45" s="1"/>
      <c r="W45" s="2">
        <v>9</v>
      </c>
      <c r="X45" s="12">
        <v>3</v>
      </c>
      <c r="Y45" s="2">
        <f ca="1">IFERROR(__xludf.DUMMYFUNCTION("INDEX(IMPORTRANGE(""1y0FWgjbB0gVlqn-q5LMJbGIsqOrzru4yowQz67dz2yc"", ""'GAR'!BG3:BG139""),MATCH(D45,IMPORTRANGE(""1y0FWgjbB0gVlqn-q5LMJbGIsqOrzru4yowQz67dz2yc"", ""'GAR'!D3:D139""),0))"),6)</f>
        <v>6</v>
      </c>
      <c r="Z45" s="12">
        <f ca="1">IFERROR(__xludf.DUMMYFUNCTION("INDEX(IMPORTRANGE(""1y0FWgjbB0gVlqn-q5LMJbGIsqOrzru4yowQz67dz2yc"", ""'GAR'!BH3:BH139""),MATCH(D45,IMPORTRANGE(""1y0FWgjbB0gVlqn-q5LMJbGIsqOrzru4yowQz67dz2yc"", ""'GAR'!D3:D139""),0))"),7)</f>
        <v>7</v>
      </c>
      <c r="AA45" s="2">
        <f ca="1">IFERROR(__xludf.DUMMYFUNCTION("INDEX(IMPORTRANGE(""1y0FWgjbB0gVlqn-q5LMJbGIsqOrzru4yowQz67dz2yc"", ""'GAR'!BI3:BI139""),MATCH($D45,IMPORTRANGE(""1y0FWgjbB0gVlqn-q5LMJbGIsqOrzru4yowQz67dz2yc"", ""'GAR'!D3:D139""),0))"),10)</f>
        <v>10</v>
      </c>
      <c r="AB45" s="1"/>
      <c r="AC45" s="1"/>
    </row>
    <row r="46" spans="1:29">
      <c r="A46" s="149" t="s">
        <v>119</v>
      </c>
      <c r="B46" s="149" t="s">
        <v>136</v>
      </c>
      <c r="C46" s="149" t="s">
        <v>30</v>
      </c>
      <c r="D46" s="149" t="s">
        <v>139</v>
      </c>
      <c r="E46" s="14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"/>
      <c r="S46" s="1"/>
      <c r="T46" s="1"/>
      <c r="U46" s="1"/>
      <c r="V46" s="1"/>
      <c r="W46" s="2"/>
      <c r="X46" s="12"/>
      <c r="Y46" s="2">
        <f ca="1">IFERROR(__xludf.DUMMYFUNCTION("INDEX(IMPORTRANGE(""1y0FWgjbB0gVlqn-q5LMJbGIsqOrzru4yowQz67dz2yc"", ""'GAR'!BG3:BG139""),MATCH(D46,IMPORTRANGE(""1y0FWgjbB0gVlqn-q5LMJbGIsqOrzru4yowQz67dz2yc"", ""'GAR'!D3:D139""),0))"),0)</f>
        <v>0</v>
      </c>
      <c r="Z46" s="12">
        <f ca="1">IFERROR(__xludf.DUMMYFUNCTION("INDEX(IMPORTRANGE(""1y0FWgjbB0gVlqn-q5LMJbGIsqOrzru4yowQz67dz2yc"", ""'GAR'!BH3:BH139""),MATCH(D46,IMPORTRANGE(""1y0FWgjbB0gVlqn-q5LMJbGIsqOrzru4yowQz67dz2yc"", ""'GAR'!D3:D139""),0))"),0)</f>
        <v>0</v>
      </c>
      <c r="AA46" s="2">
        <f ca="1">IFERROR(__xludf.DUMMYFUNCTION("INDEX(IMPORTRANGE(""1y0FWgjbB0gVlqn-q5LMJbGIsqOrzru4yowQz67dz2yc"", ""'GAR'!BI3:BI139""),MATCH($D46,IMPORTRANGE(""1y0FWgjbB0gVlqn-q5LMJbGIsqOrzru4yowQz67dz2yc"", ""'GAR'!D3:D139""),0))"),0)</f>
        <v>0</v>
      </c>
      <c r="AB46" s="1"/>
      <c r="AC46" s="1"/>
    </row>
    <row r="47" spans="1:29">
      <c r="A47" s="149" t="s">
        <v>119</v>
      </c>
      <c r="B47" s="149" t="s">
        <v>136</v>
      </c>
      <c r="C47" s="149" t="s">
        <v>30</v>
      </c>
      <c r="D47" s="149" t="s">
        <v>141</v>
      </c>
      <c r="E47" s="14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6</v>
      </c>
      <c r="Q47" s="12">
        <v>19</v>
      </c>
      <c r="R47" s="1"/>
      <c r="S47" s="1"/>
      <c r="T47" s="1"/>
      <c r="U47" s="1"/>
      <c r="V47" s="1"/>
      <c r="W47" s="2">
        <v>40</v>
      </c>
      <c r="X47" s="12">
        <v>6</v>
      </c>
      <c r="Y47" s="2">
        <f ca="1">IFERROR(__xludf.DUMMYFUNCTION("INDEX(IMPORTRANGE(""1y0FWgjbB0gVlqn-q5LMJbGIsqOrzru4yowQz67dz2yc"", ""'GAR'!BG3:BG139""),MATCH(D47,IMPORTRANGE(""1y0FWgjbB0gVlqn-q5LMJbGIsqOrzru4yowQz67dz2yc"", ""'GAR'!D3:D139""),0))"),19)</f>
        <v>19</v>
      </c>
      <c r="Z47" s="12">
        <f ca="1">IFERROR(__xludf.DUMMYFUNCTION("INDEX(IMPORTRANGE(""1y0FWgjbB0gVlqn-q5LMJbGIsqOrzru4yowQz67dz2yc"", ""'GAR'!BH3:BH139""),MATCH(D47,IMPORTRANGE(""1y0FWgjbB0gVlqn-q5LMJbGIsqOrzru4yowQz67dz2yc"", ""'GAR'!D3:D139""),0))"),19)</f>
        <v>19</v>
      </c>
      <c r="AA47" s="2">
        <f ca="1">IFERROR(__xludf.DUMMYFUNCTION("INDEX(IMPORTRANGE(""1y0FWgjbB0gVlqn-q5LMJbGIsqOrzru4yowQz67dz2yc"", ""'GAR'!BI3:BI139""),MATCH($D47,IMPORTRANGE(""1y0FWgjbB0gVlqn-q5LMJbGIsqOrzru4yowQz67dz2yc"", ""'GAR'!D3:D139""),0))"),38)</f>
        <v>38</v>
      </c>
      <c r="AB47" s="1"/>
      <c r="AC47" s="1"/>
    </row>
    <row r="48" spans="1:29">
      <c r="A48" s="149" t="s">
        <v>119</v>
      </c>
      <c r="B48" s="149" t="s">
        <v>136</v>
      </c>
      <c r="C48" s="149" t="s">
        <v>30</v>
      </c>
      <c r="D48" s="149" t="s">
        <v>143</v>
      </c>
      <c r="E48" s="14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3"/>
      <c r="S48" s="13"/>
      <c r="T48" s="13"/>
      <c r="U48" s="13"/>
      <c r="V48" s="13"/>
      <c r="W48" s="4"/>
      <c r="X48" s="12"/>
      <c r="Y48" s="2">
        <f ca="1">IFERROR(__xludf.DUMMYFUNCTION("INDEX(IMPORTRANGE(""1y0FWgjbB0gVlqn-q5LMJbGIsqOrzru4yowQz67dz2yc"", ""'GAR'!BG3:BG139""),MATCH(D48,IMPORTRANGE(""1y0FWgjbB0gVlqn-q5LMJbGIsqOrzru4yowQz67dz2yc"", ""'GAR'!D3:D139""),0))"),0)</f>
        <v>0</v>
      </c>
      <c r="Z48" s="12">
        <f ca="1">IFERROR(__xludf.DUMMYFUNCTION("INDEX(IMPORTRANGE(""1y0FWgjbB0gVlqn-q5LMJbGIsqOrzru4yowQz67dz2yc"", ""'GAR'!BH3:BH139""),MATCH(D48,IMPORTRANGE(""1y0FWgjbB0gVlqn-q5LMJbGIsqOrzru4yowQz67dz2yc"", ""'GAR'!D3:D139""),0))"),0)</f>
        <v>0</v>
      </c>
      <c r="AA48" s="2">
        <f ca="1">IFERROR(__xludf.DUMMYFUNCTION("INDEX(IMPORTRANGE(""1y0FWgjbB0gVlqn-q5LMJbGIsqOrzru4yowQz67dz2yc"", ""'GAR'!BI3:BI139""),MATCH($D48,IMPORTRANGE(""1y0FWgjbB0gVlqn-q5LMJbGIsqOrzru4yowQz67dz2yc"", ""'GAR'!D3:D139""),0))"),0)</f>
        <v>0</v>
      </c>
      <c r="AB48" s="1"/>
      <c r="AC48" s="1"/>
    </row>
    <row r="49" spans="1:29">
      <c r="A49" s="149" t="s">
        <v>119</v>
      </c>
      <c r="B49" s="149" t="s">
        <v>136</v>
      </c>
      <c r="C49" s="149" t="s">
        <v>36</v>
      </c>
      <c r="D49" s="149" t="s">
        <v>145</v>
      </c>
      <c r="E49" s="14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5">P45+P47</f>
        <v>9</v>
      </c>
      <c r="Q49" s="12">
        <f t="shared" si="15"/>
        <v>25</v>
      </c>
      <c r="R49" s="4">
        <v>16</v>
      </c>
      <c r="S49" s="4">
        <f>R49+8</f>
        <v>24</v>
      </c>
      <c r="T49" s="4">
        <f>17-8+S49</f>
        <v>33</v>
      </c>
      <c r="U49" s="4">
        <f t="shared" ref="U49:V49" si="16">T49+8</f>
        <v>41</v>
      </c>
      <c r="V49" s="4">
        <f t="shared" si="16"/>
        <v>49</v>
      </c>
      <c r="W49" s="4">
        <v>49</v>
      </c>
      <c r="X49" s="12">
        <f>X45+X47</f>
        <v>9</v>
      </c>
      <c r="Y49" s="2">
        <f ca="1">IFERROR(__xludf.DUMMYFUNCTION("INDEX(IMPORTRANGE(""1y0FWgjbB0gVlqn-q5LMJbGIsqOrzru4yowQz67dz2yc"", ""'GAR'!BG3:BG139""),MATCH(D49,IMPORTRANGE(""1y0FWgjbB0gVlqn-q5LMJbGIsqOrzru4yowQz67dz2yc"", ""'GAR'!D3:D139""),0))"),25)</f>
        <v>25</v>
      </c>
      <c r="Z49" s="12">
        <f ca="1">IFERROR(__xludf.DUMMYFUNCTION("INDEX(IMPORTRANGE(""1y0FWgjbB0gVlqn-q5LMJbGIsqOrzru4yowQz67dz2yc"", ""'GAR'!BH3:BH139""),MATCH(D49,IMPORTRANGE(""1y0FWgjbB0gVlqn-q5LMJbGIsqOrzru4yowQz67dz2yc"", ""'GAR'!D3:D139""),0))"),26)</f>
        <v>26</v>
      </c>
      <c r="AA49" s="2">
        <f ca="1">IFERROR(__xludf.DUMMYFUNCTION("INDEX(IMPORTRANGE(""1y0FWgjbB0gVlqn-q5LMJbGIsqOrzru4yowQz67dz2yc"", ""'GAR'!BI3:BI139""),MATCH($D49,IMPORTRANGE(""1y0FWgjbB0gVlqn-q5LMJbGIsqOrzru4yowQz67dz2yc"", ""'GAR'!D3:D139""),0))"),48)</f>
        <v>48</v>
      </c>
      <c r="AB49" s="2"/>
      <c r="AC49" s="2"/>
    </row>
    <row r="50" spans="1:29">
      <c r="A50" s="149" t="s">
        <v>147</v>
      </c>
      <c r="B50" s="149" t="s">
        <v>148</v>
      </c>
      <c r="C50" s="149" t="s">
        <v>30</v>
      </c>
      <c r="D50" s="149" t="s">
        <v>149</v>
      </c>
      <c r="E50" s="14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2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""'GAR'!BG3:BG139""),MATCH(D50,IMPORTRANGE(""1y0FWgjbB0gVlqn-q5LMJbGIsqOrzru4yowQz67dz2yc"", ""'GAR'!D3:D139""),0))"),"No")</f>
        <v>No</v>
      </c>
      <c r="Z50" s="2" t="str">
        <f ca="1">IFERROR(__xludf.DUMMYFUNCTION("INDEX(IMPORTRANGE(""1y0FWgjbB0gVlqn-q5LMJbGIsqOrzru4yowQz67dz2yc"", ""'GAR'!BH3:BH139""),MATCH(D50,IMPORTRANGE(""1y0FWgjbB0gVlqn-q5LMJbGIsqOrzru4yowQz67dz2yc"", ""'GAR'!D3:D139""),0))"),"Sí")</f>
        <v>Sí</v>
      </c>
      <c r="AA50" s="2" t="str">
        <f ca="1">IFERROR(__xludf.DUMMYFUNCTION("INDEX(IMPORTRANGE(""1y0FWgjbB0gVlqn-q5LMJbGIsqOrzru4yowQz67dz2yc"", ""'GAR'!BI3:BI139""),MATCH($D50,IMPORTRANGE(""1y0FWgjbB0gVlqn-q5LMJbGIsqOrzru4yowQz67dz2yc"", ""'GAR'!D3:D139""),0))"),"Sí")</f>
        <v>Sí</v>
      </c>
      <c r="AB50" s="1"/>
      <c r="AC50" s="1"/>
    </row>
    <row r="51" spans="1:29">
      <c r="A51" s="149" t="s">
        <v>147</v>
      </c>
      <c r="B51" s="149" t="s">
        <v>148</v>
      </c>
      <c r="C51" s="149" t="s">
        <v>30</v>
      </c>
      <c r="D51" s="149" t="s">
        <v>152</v>
      </c>
      <c r="E51" s="14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2" t="s">
        <v>150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150</v>
      </c>
      <c r="Y51" s="2" t="str">
        <f ca="1">IFERROR(__xludf.DUMMYFUNCTION("INDEX(IMPORTRANGE(""1y0FWgjbB0gVlqn-q5LMJbGIsqOrzru4yowQz67dz2yc"", ""'GAR'!BG3:BG139""),MATCH(D51,IMPORTRANGE(""1y0FWgjbB0gVlqn-q5LMJbGIsqOrzru4yowQz67dz2yc"", ""'GAR'!D3:D139""),0))"),"No")</f>
        <v>No</v>
      </c>
      <c r="Z51" s="2" t="str">
        <f ca="1">IFERROR(__xludf.DUMMYFUNCTION("INDEX(IMPORTRANGE(""1y0FWgjbB0gVlqn-q5LMJbGIsqOrzru4yowQz67dz2yc"", ""'GAR'!BH3:BH139""),MATCH(D51,IMPORTRANGE(""1y0FWgjbB0gVlqn-q5LMJbGIsqOrzru4yowQz67dz2yc"", ""'GAR'!D3:D139""),0))"),"No")</f>
        <v>No</v>
      </c>
      <c r="AA51" s="2" t="str">
        <f ca="1">IFERROR(__xludf.DUMMYFUNCTION("INDEX(IMPORTRANGE(""1y0FWgjbB0gVlqn-q5LMJbGIsqOrzru4yowQz67dz2yc"", ""'GAR'!BI3:BI139""),MATCH($D51,IMPORTRANGE(""1y0FWgjbB0gVlqn-q5LMJbGIsqOrzru4yowQz67dz2yc"", ""'GAR'!D3:D139""),0))"),"No")</f>
        <v>No</v>
      </c>
      <c r="AB51" s="1"/>
      <c r="AC51" s="1"/>
    </row>
    <row r="52" spans="1:29">
      <c r="A52" s="149" t="s">
        <v>147</v>
      </c>
      <c r="B52" s="149" t="s">
        <v>148</v>
      </c>
      <c r="C52" s="149" t="s">
        <v>30</v>
      </c>
      <c r="D52" s="149" t="s">
        <v>154</v>
      </c>
      <c r="E52" s="14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150</v>
      </c>
      <c r="Q52" s="2" t="s">
        <v>150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150</v>
      </c>
      <c r="Y52" s="2" t="str">
        <f ca="1">IFERROR(__xludf.DUMMYFUNCTION("INDEX(IMPORTRANGE(""1y0FWgjbB0gVlqn-q5LMJbGIsqOrzru4yowQz67dz2yc"", ""'GAR'!BG3:BG139""),MATCH(D52,IMPORTRANGE(""1y0FWgjbB0gVlqn-q5LMJbGIsqOrzru4yowQz67dz2yc"", ""'GAR'!D3:D139""),0))"),"No Existe")</f>
        <v>No Existe</v>
      </c>
      <c r="Z52" s="2" t="str">
        <f ca="1">IFERROR(__xludf.DUMMYFUNCTION("INDEX(IMPORTRANGE(""1y0FWgjbB0gVlqn-q5LMJbGIsqOrzru4yowQz67dz2yc"", ""'GAR'!BH3:BH139""),MATCH(D52,IMPORTRANGE(""1y0FWgjbB0gVlqn-q5LMJbGIsqOrzru4yowQz67dz2yc"", ""'GAR'!D3:D139""),0))"),"No")</f>
        <v>No</v>
      </c>
      <c r="AA52" s="2" t="str">
        <f ca="1">IFERROR(__xludf.DUMMYFUNCTION("INDEX(IMPORTRANGE(""1y0FWgjbB0gVlqn-q5LMJbGIsqOrzru4yowQz67dz2yc"", ""'GAR'!BI3:BI139""),MATCH($D52,IMPORTRANGE(""1y0FWgjbB0gVlqn-q5LMJbGIsqOrzru4yowQz67dz2yc"", ""'GAR'!D3:D139""),0))"),"No ")</f>
        <v xml:space="preserve">No </v>
      </c>
      <c r="AB52" s="1"/>
      <c r="AC52" s="1"/>
    </row>
    <row r="53" spans="1:29">
      <c r="A53" s="149" t="s">
        <v>147</v>
      </c>
      <c r="B53" s="149" t="s">
        <v>148</v>
      </c>
      <c r="C53" s="149" t="s">
        <v>36</v>
      </c>
      <c r="D53" s="149" t="s">
        <v>156</v>
      </c>
      <c r="E53" s="14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f t="shared" ref="P53:Q53" si="17">COUNTIF(P50:P52,"Sí")*(1/3)</f>
        <v>0</v>
      </c>
      <c r="Q53" s="12">
        <f t="shared" si="17"/>
        <v>0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26">
        <f>COUNTIF(X50:X52,"Sí")*(1/3)</f>
        <v>0</v>
      </c>
      <c r="Y53" s="26">
        <f ca="1">IFERROR(__xludf.DUMMYFUNCTION("INDEX(IMPORTRANGE(""1y0FWgjbB0gVlqn-q5LMJbGIsqOrzru4yowQz67dz2yc"", ""'GAR'!BG3:BG139""),MATCH(D53,IMPORTRANGE(""1y0FWgjbB0gVlqn-q5LMJbGIsqOrzru4yowQz67dz2yc"", ""'GAR'!D3:D139""),0))"),0)</f>
        <v>0</v>
      </c>
      <c r="Z53" s="26">
        <f ca="1">IFERROR(__xludf.DUMMYFUNCTION("INDEX(IMPORTRANGE(""1y0FWgjbB0gVlqn-q5LMJbGIsqOrzru4yowQz67dz2yc"", ""'GAR'!BH3:BH139""),MATCH(D53,IMPORTRANGE(""1y0FWgjbB0gVlqn-q5LMJbGIsqOrzru4yowQz67dz2yc"", ""'GAR'!D3:D139""),0))"),0.333333333333333)</f>
        <v>0.33333333333333298</v>
      </c>
      <c r="AA53" s="26">
        <f ca="1">IFERROR(__xludf.DUMMYFUNCTION("INDEX(IMPORTRANGE(""1y0FWgjbB0gVlqn-q5LMJbGIsqOrzru4yowQz67dz2yc"", ""'GAR'!BI3:BI139""),MATCH($D53,IMPORTRANGE(""1y0FWgjbB0gVlqn-q5LMJbGIsqOrzru4yowQz67dz2yc"", ""'GAR'!D3:D139""),0))"),0.333333333333333)</f>
        <v>0.33333333333333298</v>
      </c>
      <c r="AB53" s="2"/>
      <c r="AC53" s="2"/>
    </row>
    <row r="54" spans="1:29">
      <c r="A54" s="149" t="s">
        <v>147</v>
      </c>
      <c r="B54" s="149" t="s">
        <v>148</v>
      </c>
      <c r="C54" s="149" t="s">
        <v>36</v>
      </c>
      <c r="D54" s="149" t="s">
        <v>351</v>
      </c>
      <c r="E54" s="14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0</v>
      </c>
      <c r="Y54" s="2">
        <f ca="1">IFERROR(__xludf.DUMMYFUNCTION("INDEX(IMPORTRANGE(""1y0FWgjbB0gVlqn-q5LMJbGIsqOrzru4yowQz67dz2yc"", ""'GAR'!BG3:BG139""),MATCH(D54,IMPORTRANGE(""1y0FWgjbB0gVlqn-q5LMJbGIsqOrzru4yowQz67dz2yc"", ""'GAR'!D3:D139""),0))"),0)</f>
        <v>0</v>
      </c>
      <c r="Z54" s="12">
        <f ca="1">IFERROR(__xludf.DUMMYFUNCTION("INDEX(IMPORTRANGE(""1y0FWgjbB0gVlqn-q5LMJbGIsqOrzru4yowQz67dz2yc"", ""'GAR'!BH3:BH139""),MATCH(D54,IMPORTRANGE(""1y0FWgjbB0gVlqn-q5LMJbGIsqOrzru4yowQz67dz2yc"", ""'GAR'!D3:D139""),0))"),0)</f>
        <v>0</v>
      </c>
      <c r="AA54" s="2">
        <f ca="1">IFERROR(__xludf.DUMMYFUNCTION("INDEX(IMPORTRANGE(""1y0FWgjbB0gVlqn-q5LMJbGIsqOrzru4yowQz67dz2yc"", ""'GAR'!BI3:BI139""),MATCH($D54,IMPORTRANGE(""1y0FWgjbB0gVlqn-q5LMJbGIsqOrzru4yowQz67dz2yc"", ""'GAR'!D3:D139""),0))"),0)</f>
        <v>0</v>
      </c>
      <c r="AB54" s="2"/>
      <c r="AC54" s="2"/>
    </row>
    <row r="55" spans="1:29">
      <c r="A55" s="149" t="s">
        <v>147</v>
      </c>
      <c r="B55" s="149" t="s">
        <v>148</v>
      </c>
      <c r="C55" s="149" t="s">
        <v>30</v>
      </c>
      <c r="D55" s="149" t="s">
        <v>162</v>
      </c>
      <c r="E55" s="14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13"/>
      <c r="S55" s="13"/>
      <c r="T55" s="13"/>
      <c r="U55" s="13"/>
      <c r="V55" s="13"/>
      <c r="W55" s="4"/>
      <c r="X55" s="12">
        <v>0</v>
      </c>
      <c r="Y55" s="2">
        <f ca="1">IFERROR(__xludf.DUMMYFUNCTION("INDEX(IMPORTRANGE(""1y0FWgjbB0gVlqn-q5LMJbGIsqOrzru4yowQz67dz2yc"", ""'GAR'!BG3:BG139""),MATCH(D55,IMPORTRANGE(""1y0FWgjbB0gVlqn-q5LMJbGIsqOrzru4yowQz67dz2yc"", ""'GAR'!D3:D139""),0))"),0)</f>
        <v>0</v>
      </c>
      <c r="Z55" s="12">
        <f ca="1">IFERROR(__xludf.DUMMYFUNCTION("INDEX(IMPORTRANGE(""1y0FWgjbB0gVlqn-q5LMJbGIsqOrzru4yowQz67dz2yc"", ""'GAR'!BH3:BH139""),MATCH(D55,IMPORTRANGE(""1y0FWgjbB0gVlqn-q5LMJbGIsqOrzru4yowQz67dz2yc"", ""'GAR'!D3:D139""),0))"),0)</f>
        <v>0</v>
      </c>
      <c r="AA55" s="2">
        <f ca="1">IFERROR(__xludf.DUMMYFUNCTION("INDEX(IMPORTRANGE(""1y0FWgjbB0gVlqn-q5LMJbGIsqOrzru4yowQz67dz2yc"", ""'GAR'!BI3:BI139""),MATCH($D55,IMPORTRANGE(""1y0FWgjbB0gVlqn-q5LMJbGIsqOrzru4yowQz67dz2yc"", ""'GAR'!D3:D139""),0))"),0)</f>
        <v>0</v>
      </c>
      <c r="AB55" s="1"/>
      <c r="AC55" s="1"/>
    </row>
    <row r="56" spans="1:29">
      <c r="A56" s="149" t="s">
        <v>147</v>
      </c>
      <c r="B56" s="149" t="s">
        <v>148</v>
      </c>
      <c r="C56" s="149" t="s">
        <v>30</v>
      </c>
      <c r="D56" s="149" t="s">
        <v>164</v>
      </c>
      <c r="E56" s="14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4"/>
      <c r="X56" s="12">
        <v>0</v>
      </c>
      <c r="Y56" s="2">
        <f ca="1">IFERROR(__xludf.DUMMYFUNCTION("INDEX(IMPORTRANGE(""1y0FWgjbB0gVlqn-q5LMJbGIsqOrzru4yowQz67dz2yc"", ""'GAR'!BG3:BG139""),MATCH(D56,IMPORTRANGE(""1y0FWgjbB0gVlqn-q5LMJbGIsqOrzru4yowQz67dz2yc"", ""'GAR'!D3:D139""),0))"),0)</f>
        <v>0</v>
      </c>
      <c r="Z56" s="12">
        <f ca="1">IFERROR(__xludf.DUMMYFUNCTION("INDEX(IMPORTRANGE(""1y0FWgjbB0gVlqn-q5LMJbGIsqOrzru4yowQz67dz2yc"", ""'GAR'!BH3:BH139""),MATCH(D56,IMPORTRANGE(""1y0FWgjbB0gVlqn-q5LMJbGIsqOrzru4yowQz67dz2yc"", ""'GAR'!D3:D139""),0))"),0)</f>
        <v>0</v>
      </c>
      <c r="AA56" s="2">
        <f ca="1">IFERROR(__xludf.DUMMYFUNCTION("INDEX(IMPORTRANGE(""1y0FWgjbB0gVlqn-q5LMJbGIsqOrzru4yowQz67dz2yc"", ""'GAR'!BI3:BI139""),MATCH($D56,IMPORTRANGE(""1y0FWgjbB0gVlqn-q5LMJbGIsqOrzru4yowQz67dz2yc"", ""'GAR'!D3:D139""),0))"),0)</f>
        <v>0</v>
      </c>
      <c r="AB56" s="1"/>
      <c r="AC56" s="1"/>
    </row>
    <row r="57" spans="1:29">
      <c r="A57" s="149" t="s">
        <v>147</v>
      </c>
      <c r="B57" s="149" t="s">
        <v>148</v>
      </c>
      <c r="C57" s="149" t="s">
        <v>36</v>
      </c>
      <c r="D57" s="149" t="s">
        <v>166</v>
      </c>
      <c r="E57" s="14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30" t="s">
        <v>320</v>
      </c>
      <c r="Q57" s="30" t="s">
        <v>320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30" t="s">
        <v>320</v>
      </c>
      <c r="Y57" s="15" t="str">
        <f ca="1">IFERROR(__xludf.DUMMYFUNCTION("INDEX(IMPORTRANGE(""1y0FWgjbB0gVlqn-q5LMJbGIsqOrzru4yowQz67dz2yc"", ""'GAR'!BG3:BG139""),MATCH(D57,IMPORTRANGE(""1y0FWgjbB0gVlqn-q5LMJbGIsqOrzru4yowQz67dz2yc"", ""'GAR'!D3:D139""),0))"),"NA")</f>
        <v>NA</v>
      </c>
      <c r="Z57" s="30" t="str">
        <f ca="1">IFERROR(__xludf.DUMMYFUNCTION("INDEX(IMPORTRANGE(""1y0FWgjbB0gVlqn-q5LMJbGIsqOrzru4yowQz67dz2yc"", ""'GAR'!BH3:BH139""),MATCH(D57,IMPORTRANGE(""1y0FWgjbB0gVlqn-q5LMJbGIsqOrzru4yowQz67dz2yc"", ""'GAR'!D3:D139""),0))"),"NA")</f>
        <v>NA</v>
      </c>
      <c r="AA57" s="15" t="str">
        <f ca="1">IFERROR(__xludf.DUMMYFUNCTION("INDEX(IMPORTRANGE(""1y0FWgjbB0gVlqn-q5LMJbGIsqOrzru4yowQz67dz2yc"", ""'GAR'!BI3:BI139""),MATCH($D57,IMPORTRANGE(""1y0FWgjbB0gVlqn-q5LMJbGIsqOrzru4yowQz67dz2yc"", ""'GAR'!D3:D139""),0))"),"NA")</f>
        <v>NA</v>
      </c>
      <c r="AB57" s="2"/>
      <c r="AC57" s="2"/>
    </row>
    <row r="58" spans="1:29">
      <c r="A58" s="149" t="s">
        <v>147</v>
      </c>
      <c r="B58" s="149" t="s">
        <v>168</v>
      </c>
      <c r="C58" s="149" t="s">
        <v>30</v>
      </c>
      <c r="D58" s="149" t="s">
        <v>169</v>
      </c>
      <c r="E58" s="14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27567</v>
      </c>
      <c r="Q58" s="12">
        <v>27567</v>
      </c>
      <c r="R58" s="13"/>
      <c r="S58" s="13"/>
      <c r="T58" s="13"/>
      <c r="U58" s="13"/>
      <c r="V58" s="13"/>
      <c r="W58" s="4"/>
      <c r="X58" s="12">
        <v>27919</v>
      </c>
      <c r="Y58" s="12">
        <f ca="1">IFERROR(__xludf.DUMMYFUNCTION("INDEX(IMPORTRANGE(""1y0FWgjbB0gVlqn-q5LMJbGIsqOrzru4yowQz67dz2yc"", ""'GAR'!BG3:BG139""),MATCH(D58,IMPORTRANGE(""1y0FWgjbB0gVlqn-q5LMJbGIsqOrzru4yowQz67dz2yc"", ""'GAR'!D3:D139""),0))"),27923)</f>
        <v>27923</v>
      </c>
      <c r="Z58" s="12">
        <f ca="1">IFERROR(__xludf.DUMMYFUNCTION("INDEX(IMPORTRANGE(""1y0FWgjbB0gVlqn-q5LMJbGIsqOrzru4yowQz67dz2yc"", ""'GAR'!BH3:BH139""),MATCH(D58,IMPORTRANGE(""1y0FWgjbB0gVlqn-q5LMJbGIsqOrzru4yowQz67dz2yc"", ""'GAR'!D3:D139""),0))"),28273)</f>
        <v>28273</v>
      </c>
      <c r="AA58" s="12">
        <f ca="1">IFERROR(__xludf.DUMMYFUNCTION("INDEX(IMPORTRANGE(""1y0FWgjbB0gVlqn-q5LMJbGIsqOrzru4yowQz67dz2yc"", ""'GAR'!BI3:BI139""),MATCH($D58,IMPORTRANGE(""1y0FWgjbB0gVlqn-q5LMJbGIsqOrzru4yowQz67dz2yc"", ""'GAR'!D3:D139""),0))"),28503)</f>
        <v>28503</v>
      </c>
      <c r="AB58" s="1"/>
      <c r="AC58" s="1"/>
    </row>
    <row r="59" spans="1:29">
      <c r="A59" s="149" t="s">
        <v>147</v>
      </c>
      <c r="B59" s="149" t="s">
        <v>168</v>
      </c>
      <c r="C59" s="149" t="s">
        <v>30</v>
      </c>
      <c r="D59" s="149" t="s">
        <v>171</v>
      </c>
      <c r="E59" s="14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28500</v>
      </c>
      <c r="Q59" s="12">
        <v>28500</v>
      </c>
      <c r="R59" s="13"/>
      <c r="S59" s="13"/>
      <c r="T59" s="13"/>
      <c r="U59" s="13"/>
      <c r="V59" s="13"/>
      <c r="W59" s="4"/>
      <c r="X59" s="12">
        <v>28625</v>
      </c>
      <c r="Y59" s="12">
        <f ca="1">IFERROR(__xludf.DUMMYFUNCTION("INDEX(IMPORTRANGE(""1y0FWgjbB0gVlqn-q5LMJbGIsqOrzru4yowQz67dz2yc"", ""'GAR'!BG3:BG139""),MATCH(D59,IMPORTRANGE(""1y0FWgjbB0gVlqn-q5LMJbGIsqOrzru4yowQz67dz2yc"", ""'GAR'!D3:D139""),0))"),28032)</f>
        <v>28032</v>
      </c>
      <c r="Z59" s="12">
        <f ca="1">IFERROR(__xludf.DUMMYFUNCTION("INDEX(IMPORTRANGE(""1y0FWgjbB0gVlqn-q5LMJbGIsqOrzru4yowQz67dz2yc"", ""'GAR'!BH3:BH139""),MATCH(D59,IMPORTRANGE(""1y0FWgjbB0gVlqn-q5LMJbGIsqOrzru4yowQz67dz2yc"", ""'GAR'!D3:D139""),0))"),28032)</f>
        <v>28032</v>
      </c>
      <c r="AA59" s="12">
        <f ca="1">IFERROR(__xludf.DUMMYFUNCTION("INDEX(IMPORTRANGE(""1y0FWgjbB0gVlqn-q5LMJbGIsqOrzru4yowQz67dz2yc"", ""'GAR'!BI3:BI139""),MATCH($D59,IMPORTRANGE(""1y0FWgjbB0gVlqn-q5LMJbGIsqOrzru4yowQz67dz2yc"", ""'GAR'!D3:D139""),0))"),28032)</f>
        <v>28032</v>
      </c>
      <c r="AB59" s="1"/>
      <c r="AC59" s="1"/>
    </row>
    <row r="60" spans="1:29">
      <c r="A60" s="149" t="s">
        <v>147</v>
      </c>
      <c r="B60" s="149" t="s">
        <v>168</v>
      </c>
      <c r="C60" s="149" t="s">
        <v>36</v>
      </c>
      <c r="D60" s="149" t="s">
        <v>173</v>
      </c>
      <c r="E60" s="14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8">P58/P59</f>
        <v>0.96726315789473682</v>
      </c>
      <c r="Q60" s="15">
        <f t="shared" si="18"/>
        <v>0.96726315789473682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0.97533624454148471</v>
      </c>
      <c r="Y60" s="15">
        <f ca="1">IFERROR(__xludf.DUMMYFUNCTION("INDEX(IMPORTRANGE(""1y0FWgjbB0gVlqn-q5LMJbGIsqOrzru4yowQz67dz2yc"", ""'GAR'!BG3:BG139""),MATCH(D60,IMPORTRANGE(""1y0FWgjbB0gVlqn-q5LMJbGIsqOrzru4yowQz67dz2yc"", ""'GAR'!D3:D139""),0))"),0.99611158675799)</f>
        <v>0.99611158675799005</v>
      </c>
      <c r="Z60" s="15">
        <f ca="1">IFERROR(__xludf.DUMMYFUNCTION("INDEX(IMPORTRANGE(""1y0FWgjbB0gVlqn-q5LMJbGIsqOrzru4yowQz67dz2yc"", ""'GAR'!BH3:BH139""),MATCH(D60,IMPORTRANGE(""1y0FWgjbB0gVlqn-q5LMJbGIsqOrzru4yowQz67dz2yc"", ""'GAR'!D3:D139""),0))"),1.00859731735159)</f>
        <v>1.0085973173515901</v>
      </c>
      <c r="AA60" s="15">
        <f ca="1">IFERROR(__xludf.DUMMYFUNCTION("INDEX(IMPORTRANGE(""1y0FWgjbB0gVlqn-q5LMJbGIsqOrzru4yowQz67dz2yc"", ""'GAR'!BI3:BI139""),MATCH($D60,IMPORTRANGE(""1y0FWgjbB0gVlqn-q5LMJbGIsqOrzru4yowQz67dz2yc"", ""'GAR'!D3:D139""),0))"),1.01680222602739)</f>
        <v>1.0168022260273899</v>
      </c>
      <c r="AB60" s="2"/>
      <c r="AC60" s="2"/>
    </row>
    <row r="61" spans="1:29">
      <c r="A61" s="149" t="s">
        <v>147</v>
      </c>
      <c r="B61" s="149" t="s">
        <v>168</v>
      </c>
      <c r="C61" s="149" t="s">
        <v>30</v>
      </c>
      <c r="D61" s="149" t="s">
        <v>175</v>
      </c>
      <c r="E61" s="14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120000</v>
      </c>
      <c r="Q61" s="12">
        <v>120000</v>
      </c>
      <c r="R61" s="13"/>
      <c r="S61" s="13"/>
      <c r="T61" s="13"/>
      <c r="U61" s="13"/>
      <c r="V61" s="13"/>
      <c r="W61" s="4"/>
      <c r="X61" s="12">
        <v>120000</v>
      </c>
      <c r="Y61" s="12" t="str">
        <f ca="1">IFERROR(__xludf.DUMMYFUNCTION("INDEX(IMPORTRANGE(""1y0FWgjbB0gVlqn-q5LMJbGIsqOrzru4yowQz67dz2yc"", ""'GAR'!BG3:BG139""),MATCH(D61,IMPORTRANGE(""1y0FWgjbB0gVlqn-q5LMJbGIsqOrzru4yowQz67dz2yc"", ""'GAR'!D3:D139""),0))"),"Sin dato")</f>
        <v>Sin dato</v>
      </c>
      <c r="Z61" s="12" t="str">
        <f ca="1">IFERROR(__xludf.DUMMYFUNCTION("INDEX(IMPORTRANGE(""1y0FWgjbB0gVlqn-q5LMJbGIsqOrzru4yowQz67dz2yc"", ""'GAR'!BH3:BH139""),MATCH(D61,IMPORTRANGE(""1y0FWgjbB0gVlqn-q5LMJbGIsqOrzru4yowQz67dz2yc"", ""'GAR'!D3:D139""),0))"),"Sin dato")</f>
        <v>Sin dato</v>
      </c>
      <c r="AA61" s="12" t="str">
        <f ca="1">IFERROR(__xludf.DUMMYFUNCTION("INDEX(IMPORTRANGE(""1y0FWgjbB0gVlqn-q5LMJbGIsqOrzru4yowQz67dz2yc"", ""'GAR'!BI3:BI139""),MATCH($D61,IMPORTRANGE(""1y0FWgjbB0gVlqn-q5LMJbGIsqOrzru4yowQz67dz2yc"", ""'GAR'!D3:D139""),0))"),"Sin dato")</f>
        <v>Sin dato</v>
      </c>
      <c r="AB61" s="1"/>
      <c r="AC61" s="1"/>
    </row>
    <row r="62" spans="1:29">
      <c r="A62" s="148" t="s">
        <v>147</v>
      </c>
      <c r="B62" s="148" t="s">
        <v>168</v>
      </c>
      <c r="C62" s="148" t="s">
        <v>36</v>
      </c>
      <c r="D62" s="148" t="s">
        <v>177</v>
      </c>
      <c r="E62" s="148" t="s">
        <v>38</v>
      </c>
      <c r="F62" s="2" t="s">
        <v>178</v>
      </c>
      <c r="G62" s="11">
        <v>44469</v>
      </c>
      <c r="H62" s="11">
        <v>44469</v>
      </c>
      <c r="I62" s="49">
        <v>44651</v>
      </c>
      <c r="J62" s="49">
        <v>44834</v>
      </c>
      <c r="K62" s="49">
        <v>45016</v>
      </c>
      <c r="L62" s="49">
        <v>45199</v>
      </c>
      <c r="M62" s="49">
        <v>45382</v>
      </c>
      <c r="N62" s="49">
        <v>45565</v>
      </c>
      <c r="O62" s="49">
        <v>45565</v>
      </c>
      <c r="P62" s="15">
        <f t="shared" ref="P62:Q62" si="19">P61/P37</f>
        <v>0.59262478455619816</v>
      </c>
      <c r="Q62" s="15">
        <f t="shared" si="19"/>
        <v>0.59262478455619816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0.59262478455619816</v>
      </c>
      <c r="Y62" s="328" t="str">
        <f ca="1">IFERROR(__xludf.DUMMYFUNCTION("INDEX(IMPORTRANGE(""1y0FWgjbB0gVlqn-q5LMJbGIsqOrzru4yowQz67dz2yc"", ""'GAR'!BG3:BG139""),MATCH(D62,IMPORTRANGE(""1y0FWgjbB0gVlqn-q5LMJbGIsqOrzru4yowQz67dz2yc"", ""'GAR'!D3:D139""),0))"),"Sin dato")</f>
        <v>Sin dato</v>
      </c>
      <c r="Z62" s="15" t="str">
        <f ca="1">IFERROR(__xludf.DUMMYFUNCTION("INDEX(IMPORTRANGE(""1y0FWgjbB0gVlqn-q5LMJbGIsqOrzru4yowQz67dz2yc"", ""'GAR'!BH3:BH139""),MATCH(D62,IMPORTRANGE(""1y0FWgjbB0gVlqn-q5LMJbGIsqOrzru4yowQz67dz2yc"", ""'GAR'!D3:D139""),0))"),"Sin dato")</f>
        <v>Sin dato</v>
      </c>
      <c r="AA62" s="14" t="str">
        <f ca="1">IFERROR(__xludf.DUMMYFUNCTION("INDEX(IMPORTRANGE(""1y0FWgjbB0gVlqn-q5LMJbGIsqOrzru4yowQz67dz2yc"", ""'GAR'!BI3:BI139""),MATCH($D62,IMPORTRANGE(""1y0FWgjbB0gVlqn-q5LMJbGIsqOrzru4yowQz67dz2yc"", ""'GAR'!D3:D139""),0))"),"Sin dato")</f>
        <v>Sin dato</v>
      </c>
      <c r="AB62" s="2"/>
      <c r="AC62" s="2"/>
    </row>
    <row r="63" spans="1:29">
      <c r="A63" s="149" t="s">
        <v>147</v>
      </c>
      <c r="B63" s="149" t="s">
        <v>168</v>
      </c>
      <c r="C63" s="149" t="s">
        <v>30</v>
      </c>
      <c r="D63" s="149" t="s">
        <v>179</v>
      </c>
      <c r="E63" s="14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23">
        <v>6304695.5899999999</v>
      </c>
      <c r="Q63" s="23">
        <v>6304695.5999999996</v>
      </c>
      <c r="R63" s="13"/>
      <c r="S63" s="13"/>
      <c r="T63" s="13"/>
      <c r="U63" s="13"/>
      <c r="V63" s="13"/>
      <c r="W63" s="4"/>
      <c r="X63" s="23">
        <v>6315863.54</v>
      </c>
      <c r="Y63" s="12">
        <f ca="1">IFERROR(__xludf.DUMMYFUNCTION("INDEX(IMPORTRANGE(""1y0FWgjbB0gVlqn-q5LMJbGIsqOrzru4yowQz67dz2yc"", ""'GAR'!BG3:BG139""),MATCH(D63,IMPORTRANGE(""1y0FWgjbB0gVlqn-q5LMJbGIsqOrzru4yowQz67dz2yc"", ""'GAR'!D3:D139""),0))"),15243.36)</f>
        <v>15243.36</v>
      </c>
      <c r="Z63" s="23">
        <f ca="1">IFERROR(__xludf.DUMMYFUNCTION("INDEX(IMPORTRANGE(""1y0FWgjbB0gVlqn-q5LMJbGIsqOrzru4yowQz67dz2yc"", ""'GAR'!BH3:BH139""),MATCH(D63,IMPORTRANGE(""1y0FWgjbB0gVlqn-q5LMJbGIsqOrzru4yowQz67dz2yc"", ""'GAR'!D3:D139""),0))"),6339964.58)</f>
        <v>6339964.5800000001</v>
      </c>
      <c r="AA63" s="12">
        <f ca="1">IFERROR(__xludf.DUMMYFUNCTION("INDEX(IMPORTRANGE(""1y0FWgjbB0gVlqn-q5LMJbGIsqOrzru4yowQz67dz2yc"", ""'GAR'!BI3:BI139""),MATCH($D63,IMPORTRANGE(""1y0FWgjbB0gVlqn-q5LMJbGIsqOrzru4yowQz67dz2yc"", ""'GAR'!D3:D139""),0))"),6360063.9)</f>
        <v>6360063.9000000004</v>
      </c>
      <c r="AB63" s="1"/>
      <c r="AC63" s="1"/>
    </row>
    <row r="64" spans="1:29">
      <c r="A64" s="149" t="s">
        <v>147</v>
      </c>
      <c r="B64" s="149" t="s">
        <v>168</v>
      </c>
      <c r="C64" s="149" t="s">
        <v>30</v>
      </c>
      <c r="D64" s="149" t="s">
        <v>181</v>
      </c>
      <c r="E64" s="14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318">
        <v>7804695.5999999996</v>
      </c>
      <c r="Q64" s="318">
        <v>7804695.5999999996</v>
      </c>
      <c r="R64" s="13"/>
      <c r="S64" s="13"/>
      <c r="T64" s="13"/>
      <c r="U64" s="13"/>
      <c r="V64" s="13"/>
      <c r="W64" s="4"/>
      <c r="X64" s="318">
        <v>7804695.5999999996</v>
      </c>
      <c r="Y64" s="12">
        <f ca="1">IFERROR(__xludf.DUMMYFUNCTION("INDEX(IMPORTRANGE(""1y0FWgjbB0gVlqn-q5LMJbGIsqOrzru4yowQz67dz2yc"", ""'GAR'!BG3:BG139""),MATCH(D64,IMPORTRANGE(""1y0FWgjbB0gVlqn-q5LMJbGIsqOrzru4yowQz67dz2yc"", ""'GAR'!D3:D139""),0))"),1500000)</f>
        <v>1500000</v>
      </c>
      <c r="Z64" s="193">
        <f ca="1">IFERROR(__xludf.DUMMYFUNCTION("INDEX(IMPORTRANGE(""1y0FWgjbB0gVlqn-q5LMJbGIsqOrzru4yowQz67dz2yc"", ""'GAR'!BH3:BH139""),MATCH(D64,IMPORTRANGE(""1y0FWgjbB0gVlqn-q5LMJbGIsqOrzru4yowQz67dz2yc"", ""'GAR'!D3:D139""),0))"),7839964.58)</f>
        <v>7839964.5800000001</v>
      </c>
      <c r="AA64" s="12">
        <f ca="1">IFERROR(__xludf.DUMMYFUNCTION("INDEX(IMPORTRANGE(""1y0FWgjbB0gVlqn-q5LMJbGIsqOrzru4yowQz67dz2yc"", ""'GAR'!BI3:BI139""),MATCH($D64,IMPORTRANGE(""1y0FWgjbB0gVlqn-q5LMJbGIsqOrzru4yowQz67dz2yc"", ""'GAR'!D3:D139""),0))"),7839964.58)</f>
        <v>7839964.5800000001</v>
      </c>
      <c r="AB64" s="1"/>
      <c r="AC64" s="1"/>
    </row>
    <row r="65" spans="1:29">
      <c r="A65" s="149" t="s">
        <v>147</v>
      </c>
      <c r="B65" s="149" t="s">
        <v>168</v>
      </c>
      <c r="C65" s="149" t="s">
        <v>36</v>
      </c>
      <c r="D65" s="149" t="s">
        <v>183</v>
      </c>
      <c r="E65" s="14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20">P63/P64</f>
        <v>0.80780800599065006</v>
      </c>
      <c r="Q65" s="15">
        <f t="shared" si="20"/>
        <v>0.80780800727193003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0.80923893303410843</v>
      </c>
      <c r="Y65" s="15">
        <f ca="1">IFERROR(__xludf.DUMMYFUNCTION("INDEX(IMPORTRANGE(""1y0FWgjbB0gVlqn-q5LMJbGIsqOrzru4yowQz67dz2yc"", ""'GAR'!BG3:BG139""),MATCH(D65,IMPORTRANGE(""1y0FWgjbB0gVlqn-q5LMJbGIsqOrzru4yowQz67dz2yc"", ""'GAR'!D3:D139""),0))"),0.01016224)</f>
        <v>1.0162239999999999E-2</v>
      </c>
      <c r="Z65" s="15">
        <f ca="1">IFERROR(__xludf.DUMMYFUNCTION("INDEX(IMPORTRANGE(""1y0FWgjbB0gVlqn-q5LMJbGIsqOrzru4yowQz67dz2yc"", ""'GAR'!BH3:BH139""),MATCH(D65,IMPORTRANGE(""1y0FWgjbB0gVlqn-q5LMJbGIsqOrzru4yowQz67dz2yc"", ""'GAR'!D3:D139""),0))"),0.808672604997916)</f>
        <v>0.80867260499791604</v>
      </c>
      <c r="AA65" s="15">
        <f ca="1">IFERROR(__xludf.DUMMYFUNCTION("INDEX(IMPORTRANGE(""1y0FWgjbB0gVlqn-q5LMJbGIsqOrzru4yowQz67dz2yc"", ""'GAR'!BI3:BI139""),MATCH($D65,IMPORTRANGE(""1y0FWgjbB0gVlqn-q5LMJbGIsqOrzru4yowQz67dz2yc"", ""'GAR'!D3:D139""),0))"),0.811236305355859)</f>
        <v>0.811236305355859</v>
      </c>
      <c r="AB65" s="2"/>
      <c r="AC65" s="2"/>
    </row>
    <row r="66" spans="1:29">
      <c r="A66" s="149" t="s">
        <v>147</v>
      </c>
      <c r="B66" s="149" t="s">
        <v>168</v>
      </c>
      <c r="C66" s="149" t="s">
        <v>30</v>
      </c>
      <c r="D66" s="149" t="s">
        <v>185</v>
      </c>
      <c r="E66" s="14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7300</v>
      </c>
      <c r="Q66" s="12">
        <v>7300</v>
      </c>
      <c r="R66" s="13"/>
      <c r="S66" s="13"/>
      <c r="T66" s="13"/>
      <c r="U66" s="13"/>
      <c r="V66" s="13"/>
      <c r="W66" s="4"/>
      <c r="X66" s="12">
        <v>7300</v>
      </c>
      <c r="Y66" s="12">
        <f ca="1">IFERROR(__xludf.DUMMYFUNCTION("INDEX(IMPORTRANGE(""1y0FWgjbB0gVlqn-q5LMJbGIsqOrzru4yowQz67dz2yc"", ""'GAR'!BG3:BG139""),MATCH(D66,IMPORTRANGE(""1y0FWgjbB0gVlqn-q5LMJbGIsqOrzru4yowQz67dz2yc"", ""'GAR'!D3:D139""),0))"),8780.5)</f>
        <v>8780.5</v>
      </c>
      <c r="Z66" s="12">
        <f ca="1">IFERROR(__xludf.DUMMYFUNCTION("INDEX(IMPORTRANGE(""1y0FWgjbB0gVlqn-q5LMJbGIsqOrzru4yowQz67dz2yc"", ""'GAR'!BH3:BH139""),MATCH(D66,IMPORTRANGE(""1y0FWgjbB0gVlqn-q5LMJbGIsqOrzru4yowQz67dz2yc"", ""'GAR'!D3:D139""),0))"),8780.5)</f>
        <v>8780.5</v>
      </c>
      <c r="AA66" s="12">
        <f ca="1">IFERROR(__xludf.DUMMYFUNCTION("INDEX(IMPORTRANGE(""1y0FWgjbB0gVlqn-q5LMJbGIsqOrzru4yowQz67dz2yc"", ""'GAR'!BI3:BI139""),MATCH($D66,IMPORTRANGE(""1y0FWgjbB0gVlqn-q5LMJbGIsqOrzru4yowQz67dz2yc"", ""'GAR'!D3:D139""),0))"),9373.5)</f>
        <v>9373.5</v>
      </c>
      <c r="AB66" s="1"/>
      <c r="AC66" s="1"/>
    </row>
    <row r="67" spans="1:29">
      <c r="A67" s="149" t="s">
        <v>147</v>
      </c>
      <c r="B67" s="149" t="s">
        <v>168</v>
      </c>
      <c r="C67" s="149" t="s">
        <v>30</v>
      </c>
      <c r="D67" s="149" t="s">
        <v>187</v>
      </c>
      <c r="E67" s="14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9800</v>
      </c>
      <c r="Q67" s="12">
        <v>9800</v>
      </c>
      <c r="R67" s="13"/>
      <c r="S67" s="13"/>
      <c r="T67" s="13"/>
      <c r="U67" s="13"/>
      <c r="V67" s="13"/>
      <c r="W67" s="4"/>
      <c r="X67" s="12">
        <v>9800</v>
      </c>
      <c r="Y67" s="12">
        <f ca="1">IFERROR(__xludf.DUMMYFUNCTION("INDEX(IMPORTRANGE(""1y0FWgjbB0gVlqn-q5LMJbGIsqOrzru4yowQz67dz2yc"", ""'GAR'!BG3:BG139""),MATCH(D67,IMPORTRANGE(""1y0FWgjbB0gVlqn-q5LMJbGIsqOrzru4yowQz67dz2yc"", ""'GAR'!D3:D139""),0))"),8780.5)</f>
        <v>8780.5</v>
      </c>
      <c r="Z67" s="12">
        <f ca="1">IFERROR(__xludf.DUMMYFUNCTION("INDEX(IMPORTRANGE(""1y0FWgjbB0gVlqn-q5LMJbGIsqOrzru4yowQz67dz2yc"", ""'GAR'!BH3:BH139""),MATCH(D67,IMPORTRANGE(""1y0FWgjbB0gVlqn-q5LMJbGIsqOrzru4yowQz67dz2yc"", ""'GAR'!D3:D139""),0))"),11280.5)</f>
        <v>11280.5</v>
      </c>
      <c r="AA67" s="12">
        <f ca="1">IFERROR(__xludf.DUMMYFUNCTION("INDEX(IMPORTRANGE(""1y0FWgjbB0gVlqn-q5LMJbGIsqOrzru4yowQz67dz2yc"", ""'GAR'!BI3:BI139""),MATCH($D67,IMPORTRANGE(""1y0FWgjbB0gVlqn-q5LMJbGIsqOrzru4yowQz67dz2yc"", ""'GAR'!D3:D139""),0))"),11280.5)</f>
        <v>11280.5</v>
      </c>
      <c r="AB67" s="1"/>
      <c r="AC67" s="1"/>
    </row>
    <row r="68" spans="1:29">
      <c r="A68" s="149" t="s">
        <v>147</v>
      </c>
      <c r="B68" s="149" t="s">
        <v>168</v>
      </c>
      <c r="C68" s="149" t="s">
        <v>36</v>
      </c>
      <c r="D68" s="149" t="s">
        <v>189</v>
      </c>
      <c r="E68" s="14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21">P66/P67</f>
        <v>0.74489795918367352</v>
      </c>
      <c r="Q68" s="15">
        <f t="shared" si="21"/>
        <v>0.74489795918367352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0.74489795918367352</v>
      </c>
      <c r="Y68" s="15">
        <f ca="1">IFERROR(__xludf.DUMMYFUNCTION("INDEX(IMPORTRANGE(""1y0FWgjbB0gVlqn-q5LMJbGIsqOrzru4yowQz67dz2yc"", ""'GAR'!BG3:BG139""),MATCH(D68,IMPORTRANGE(""1y0FWgjbB0gVlqn-q5LMJbGIsqOrzru4yowQz67dz2yc"", ""'GAR'!D3:D139""),0))"),1)</f>
        <v>1</v>
      </c>
      <c r="Z68" s="15">
        <f ca="1">IFERROR(__xludf.DUMMYFUNCTION("INDEX(IMPORTRANGE(""1y0FWgjbB0gVlqn-q5LMJbGIsqOrzru4yowQz67dz2yc"", ""'GAR'!BH3:BH139""),MATCH(D68,IMPORTRANGE(""1y0FWgjbB0gVlqn-q5LMJbGIsqOrzru4yowQz67dz2yc"", ""'GAR'!D3:D139""),0))"),0.778378617969061)</f>
        <v>0.77837861796906105</v>
      </c>
      <c r="AA68" s="15">
        <f ca="1">IFERROR(__xludf.DUMMYFUNCTION("INDEX(IMPORTRANGE(""1y0FWgjbB0gVlqn-q5LMJbGIsqOrzru4yowQz67dz2yc"", ""'GAR'!BI3:BI139""),MATCH($D68,IMPORTRANGE(""1y0FWgjbB0gVlqn-q5LMJbGIsqOrzru4yowQz67dz2yc"", ""'GAR'!D3:D139""),0))"),0.8309472097868)</f>
        <v>0.83094720978680003</v>
      </c>
      <c r="AB68" s="2"/>
      <c r="AC68" s="2"/>
    </row>
    <row r="69" spans="1:29">
      <c r="A69" s="149" t="s">
        <v>147</v>
      </c>
      <c r="B69" s="149" t="s">
        <v>168</v>
      </c>
      <c r="C69" s="149" t="s">
        <v>30</v>
      </c>
      <c r="D69" s="149" t="s">
        <v>191</v>
      </c>
      <c r="E69" s="14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0</v>
      </c>
      <c r="Q69" s="23">
        <v>0</v>
      </c>
      <c r="R69" s="1"/>
      <c r="S69" s="1"/>
      <c r="T69" s="1"/>
      <c r="U69" s="1"/>
      <c r="V69" s="1"/>
      <c r="W69" s="12"/>
      <c r="X69" s="23">
        <v>0</v>
      </c>
      <c r="Y69" s="24">
        <f ca="1">IFERROR(__xludf.DUMMYFUNCTION("INDEX(IMPORTRANGE(""1y0FWgjbB0gVlqn-q5LMJbGIsqOrzru4yowQz67dz2yc"", ""'GAR'!BG3:BG139""),MATCH(D69,IMPORTRANGE(""1y0FWgjbB0gVlqn-q5LMJbGIsqOrzru4yowQz67dz2yc"", ""'GAR'!D3:D139""),0))"),0)</f>
        <v>0</v>
      </c>
      <c r="Z69" s="23">
        <f ca="1">IFERROR(__xludf.DUMMYFUNCTION("INDEX(IMPORTRANGE(""1y0FWgjbB0gVlqn-q5LMJbGIsqOrzru4yowQz67dz2yc"", ""'GAR'!BH3:BH139""),MATCH(D69,IMPORTRANGE(""1y0FWgjbB0gVlqn-q5LMJbGIsqOrzru4yowQz67dz2yc"", ""'GAR'!D3:D139""),0))"),0)</f>
        <v>0</v>
      </c>
      <c r="AA69" s="24">
        <f ca="1">IFERROR(__xludf.DUMMYFUNCTION("INDEX(IMPORTRANGE(""1y0FWgjbB0gVlqn-q5LMJbGIsqOrzru4yowQz67dz2yc"", ""'GAR'!BI3:BI139""),MATCH($D69,IMPORTRANGE(""1y0FWgjbB0gVlqn-q5LMJbGIsqOrzru4yowQz67dz2yc"", ""'GAR'!D3:D139""),0))"),0)</f>
        <v>0</v>
      </c>
      <c r="AB69" s="1"/>
      <c r="AC69" s="1"/>
    </row>
    <row r="70" spans="1:29">
      <c r="A70" s="149" t="s">
        <v>147</v>
      </c>
      <c r="B70" s="149" t="s">
        <v>168</v>
      </c>
      <c r="C70" s="149" t="s">
        <v>30</v>
      </c>
      <c r="D70" s="149" t="s">
        <v>193</v>
      </c>
      <c r="E70" s="14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0</v>
      </c>
      <c r="R70" s="1"/>
      <c r="S70" s="1"/>
      <c r="T70" s="1"/>
      <c r="U70" s="1"/>
      <c r="V70" s="1"/>
      <c r="W70" s="12"/>
      <c r="X70" s="23">
        <v>6319.82</v>
      </c>
      <c r="Y70" s="12">
        <f ca="1">IFERROR(__xludf.DUMMYFUNCTION("INDEX(IMPORTRANGE(""1y0FWgjbB0gVlqn-q5LMJbGIsqOrzru4yowQz67dz2yc"", ""'GAR'!BG3:BG139""),MATCH(D70,IMPORTRANGE(""1y0FWgjbB0gVlqn-q5LMJbGIsqOrzru4yowQz67dz2yc"", ""'GAR'!D3:D139""),0))"),6355.35881)</f>
        <v>6355.3588099999997</v>
      </c>
      <c r="Z70" s="23">
        <f ca="1">IFERROR(__xludf.DUMMYFUNCTION("INDEX(IMPORTRANGE(""1y0FWgjbB0gVlqn-q5LMJbGIsqOrzru4yowQz67dz2yc"", ""'GAR'!BH3:BH139""),MATCH(D70,IMPORTRANGE(""1y0FWgjbB0gVlqn-q5LMJbGIsqOrzru4yowQz67dz2yc"", ""'GAR'!D3:D139""),0))"),0.04525)</f>
        <v>4.5249999999999999E-2</v>
      </c>
      <c r="AA70" s="12">
        <f ca="1">IFERROR(__xludf.DUMMYFUNCTION("INDEX(IMPORTRANGE(""1y0FWgjbB0gVlqn-q5LMJbGIsqOrzru4yowQz67dz2yc"", ""'GAR'!BI3:BI139""),MATCH($D70,IMPORTRANGE(""1y0FWgjbB0gVlqn-q5LMJbGIsqOrzru4yowQz67dz2yc"", ""'GAR'!D3:D139""),0))"),0.04525)</f>
        <v>4.5249999999999999E-2</v>
      </c>
      <c r="AB70" s="1"/>
      <c r="AC70" s="1"/>
    </row>
    <row r="71" spans="1:29">
      <c r="A71" s="149" t="s">
        <v>147</v>
      </c>
      <c r="B71" s="149" t="s">
        <v>168</v>
      </c>
      <c r="C71" s="149" t="s">
        <v>30</v>
      </c>
      <c r="D71" s="149" t="s">
        <v>195</v>
      </c>
      <c r="E71" s="14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13"/>
      <c r="S71" s="13"/>
      <c r="T71" s="13"/>
      <c r="U71" s="13"/>
      <c r="V71" s="13"/>
      <c r="W71" s="4"/>
      <c r="X71" s="12">
        <v>0</v>
      </c>
      <c r="Y71" s="299" t="str">
        <f ca="1">IFERROR(__xludf.DUMMYFUNCTION("INDEX(IMPORTRANGE(""1y0FWgjbB0gVlqn-q5LMJbGIsqOrzru4yowQz67dz2yc"", ""'GAR'!BG3:BG139""),MATCH(D71,IMPORTRANGE(""1y0FWgjbB0gVlqn-q5LMJbGIsqOrzru4yowQz67dz2yc"", ""'GAR'!D3:D139""),0))"),"")</f>
        <v/>
      </c>
      <c r="Z71" s="12" t="str">
        <f ca="1">IFERROR(__xludf.DUMMYFUNCTION("INDEX(IMPORTRANGE(""1y0FWgjbB0gVlqn-q5LMJbGIsqOrzru4yowQz67dz2yc"", ""'GAR'!BH3:BH139""),MATCH(D71,IMPORTRANGE(""1y0FWgjbB0gVlqn-q5LMJbGIsqOrzru4yowQz67dz2yc"", ""'GAR'!D3:D139""),0))"),"https://trans.garcia.gob.mx/admin/uploads/PLAN%20MUNICIPAL%202021%202024.pdf pag 155-166")</f>
        <v>https://trans.garcia.gob.mx/admin/uploads/PLAN%20MUNICIPAL%202021%202024.pdf pag 155-166</v>
      </c>
      <c r="AA71" s="299" t="str">
        <f ca="1">IFERROR(__xludf.DUMMYFUNCTION("INDEX(IMPORTRANGE(""1y0FWgjbB0gVlqn-q5LMJbGIsqOrzru4yowQz67dz2yc"", ""'GAR'!BI3:BI139""),MATCH($D71,IMPORTRANGE(""1y0FWgjbB0gVlqn-q5LMJbGIsqOrzru4yowQz67dz2yc"", ""'GAR'!D3:D139""),0))"),"")</f>
        <v/>
      </c>
      <c r="AB71" s="1"/>
      <c r="AC71" s="1"/>
    </row>
    <row r="72" spans="1:29">
      <c r="A72" s="149" t="s">
        <v>147</v>
      </c>
      <c r="B72" s="149" t="s">
        <v>168</v>
      </c>
      <c r="C72" s="149" t="s">
        <v>36</v>
      </c>
      <c r="D72" s="149" t="s">
        <v>197</v>
      </c>
      <c r="E72" s="14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22">P69+P70</f>
        <v>0</v>
      </c>
      <c r="Q72" s="23">
        <f t="shared" si="22"/>
        <v>0</v>
      </c>
      <c r="R72" s="320">
        <v>2.4333333330000002</v>
      </c>
      <c r="S72" s="320">
        <v>2.4333333330000002</v>
      </c>
      <c r="T72" s="320">
        <v>2.4333333330000002</v>
      </c>
      <c r="U72" s="320">
        <v>2.4333333330000002</v>
      </c>
      <c r="V72" s="320">
        <v>2.4333333330000002</v>
      </c>
      <c r="W72" s="320">
        <v>7.3</v>
      </c>
      <c r="X72" s="23">
        <f>X69+X70</f>
        <v>6319.82</v>
      </c>
      <c r="Y72" s="12">
        <f ca="1">IFERROR(__xludf.DUMMYFUNCTION("INDEX(IMPORTRANGE(""1y0FWgjbB0gVlqn-q5LMJbGIsqOrzru4yowQz67dz2yc"", ""'GAR'!BG3:BG139""),MATCH(D72,IMPORTRANGE(""1y0FWgjbB0gVlqn-q5LMJbGIsqOrzru4yowQz67dz2yc"", ""'GAR'!D3:D139""),0))"),6355.35881)</f>
        <v>6355.3588099999997</v>
      </c>
      <c r="Z72" s="23">
        <f ca="1">IFERROR(__xludf.DUMMYFUNCTION("INDEX(IMPORTRANGE(""1y0FWgjbB0gVlqn-q5LMJbGIsqOrzru4yowQz67dz2yc"", ""'GAR'!BH3:BH139""),MATCH(D72,IMPORTRANGE(""1y0FWgjbB0gVlqn-q5LMJbGIsqOrzru4yowQz67dz2yc"", ""'GAR'!D3:D139""),0))"),0.04525)</f>
        <v>4.5249999999999999E-2</v>
      </c>
      <c r="AA72" s="12">
        <f ca="1">IFERROR(__xludf.DUMMYFUNCTION("INDEX(IMPORTRANGE(""1y0FWgjbB0gVlqn-q5LMJbGIsqOrzru4yowQz67dz2yc"", ""'GAR'!BI3:BI139""),MATCH($D72,IMPORTRANGE(""1y0FWgjbB0gVlqn-q5LMJbGIsqOrzru4yowQz67dz2yc"", ""'GAR'!D3:D139""),0))"),0.04525)</f>
        <v>4.5249999999999999E-2</v>
      </c>
      <c r="AB72" s="2"/>
      <c r="AC72" s="2"/>
    </row>
    <row r="73" spans="1:29">
      <c r="A73" s="149" t="s">
        <v>199</v>
      </c>
      <c r="B73" s="149" t="s">
        <v>200</v>
      </c>
      <c r="C73" s="149" t="s">
        <v>36</v>
      </c>
      <c r="D73" s="149" t="s">
        <v>201</v>
      </c>
      <c r="E73" s="14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1.5</v>
      </c>
      <c r="Q73" s="23">
        <v>1.5</v>
      </c>
      <c r="R73" s="56">
        <v>1.8</v>
      </c>
      <c r="S73" s="56" t="s">
        <v>426</v>
      </c>
      <c r="T73" s="56" t="s">
        <v>426</v>
      </c>
      <c r="U73" s="56" t="s">
        <v>426</v>
      </c>
      <c r="V73" s="56" t="s">
        <v>426</v>
      </c>
      <c r="W73" s="56" t="s">
        <v>426</v>
      </c>
      <c r="X73" s="23">
        <v>1.76</v>
      </c>
      <c r="Y73" s="30">
        <f ca="1">IFERROR(__xludf.DUMMYFUNCTION("INDEX(IMPORTRANGE(""1y0FWgjbB0gVlqn-q5LMJbGIsqOrzru4yowQz67dz2yc"", ""'GAR'!BG3:BG139""),MATCH(D73,IMPORTRANGE(""1y0FWgjbB0gVlqn-q5LMJbGIsqOrzru4yowQz67dz2yc"", ""'GAR'!D3:D139""),0))"),1.76)</f>
        <v>1.76</v>
      </c>
      <c r="Z73" s="30">
        <f ca="1">IFERROR(__xludf.DUMMYFUNCTION("INDEX(IMPORTRANGE(""1y0FWgjbB0gVlqn-q5LMJbGIsqOrzru4yowQz67dz2yc"", ""'GAR'!BH3:BH139""),MATCH(D73,IMPORTRANGE(""1y0FWgjbB0gVlqn-q5LMJbGIsqOrzru4yowQz67dz2yc"", ""'GAR'!D3:D139""),0))"),1.76)</f>
        <v>1.76</v>
      </c>
      <c r="AA73" s="30">
        <f ca="1">IFERROR(__xludf.DUMMYFUNCTION("INDEX(IMPORTRANGE(""1y0FWgjbB0gVlqn-q5LMJbGIsqOrzru4yowQz67dz2yc"", ""'GAR'!BI3:BI139""),MATCH($D73,IMPORTRANGE(""1y0FWgjbB0gVlqn-q5LMJbGIsqOrzru4yowQz67dz2yc"", ""'GAR'!D3:D139""),0))"),1.76)</f>
        <v>1.76</v>
      </c>
      <c r="AB73" s="2"/>
      <c r="AC73" s="2"/>
    </row>
    <row r="74" spans="1:29">
      <c r="A74" s="149" t="s">
        <v>199</v>
      </c>
      <c r="B74" s="149" t="s">
        <v>200</v>
      </c>
      <c r="C74" s="149" t="s">
        <v>30</v>
      </c>
      <c r="D74" s="149" t="s">
        <v>203</v>
      </c>
      <c r="E74" s="14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2">
        <v>4500</v>
      </c>
      <c r="X74" s="23">
        <v>2494.96</v>
      </c>
      <c r="Y74" s="12">
        <f ca="1">IFERROR(__xludf.DUMMYFUNCTION("INDEX(IMPORTRANGE(""1y0FWgjbB0gVlqn-q5LMJbGIsqOrzru4yowQz67dz2yc"", ""'GAR'!BG3:BG139""),MATCH(D74,IMPORTRANGE(""1y0FWgjbB0gVlqn-q5LMJbGIsqOrzru4yowQz67dz2yc"", ""'GAR'!D3:D139""),0))"),3680.12)</f>
        <v>3680.12</v>
      </c>
      <c r="Z74" s="23">
        <f ca="1">IFERROR(__xludf.DUMMYFUNCTION("INDEX(IMPORTRANGE(""1y0FWgjbB0gVlqn-q5LMJbGIsqOrzru4yowQz67dz2yc"", ""'GAR'!BH3:BH139""),MATCH(D74,IMPORTRANGE(""1y0FWgjbB0gVlqn-q5LMJbGIsqOrzru4yowQz67dz2yc"", ""'GAR'!D3:D139""),0))"),0)</f>
        <v>0</v>
      </c>
      <c r="AA74" s="12">
        <f ca="1">IFERROR(__xludf.DUMMYFUNCTION("INDEX(IMPORTRANGE(""1y0FWgjbB0gVlqn-q5LMJbGIsqOrzru4yowQz67dz2yc"", ""'GAR'!BI3:BI139""),MATCH($D74,IMPORTRANGE(""1y0FWgjbB0gVlqn-q5LMJbGIsqOrzru4yowQz67dz2yc"", ""'GAR'!D3:D139""),0))"),7528.3)</f>
        <v>7528.3</v>
      </c>
      <c r="AB74" s="1"/>
      <c r="AC74" s="1"/>
    </row>
    <row r="75" spans="1:29">
      <c r="A75" s="149" t="s">
        <v>199</v>
      </c>
      <c r="B75" s="149" t="s">
        <v>200</v>
      </c>
      <c r="C75" s="149" t="s">
        <v>30</v>
      </c>
      <c r="D75" s="149" t="s">
        <v>205</v>
      </c>
      <c r="E75" s="14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"/>
      <c r="S75" s="1"/>
      <c r="T75" s="1"/>
      <c r="U75" s="1"/>
      <c r="V75" s="1"/>
      <c r="W75" s="2">
        <v>300</v>
      </c>
      <c r="X75" s="12">
        <v>0</v>
      </c>
      <c r="Y75" s="12">
        <f ca="1">IFERROR(__xludf.DUMMYFUNCTION("INDEX(IMPORTRANGE(""1y0FWgjbB0gVlqn-q5LMJbGIsqOrzru4yowQz67dz2yc"", ""'GAR'!BG3:BG139""),MATCH(D75,IMPORTRANGE(""1y0FWgjbB0gVlqn-q5LMJbGIsqOrzru4yowQz67dz2yc"", ""'GAR'!D3:D139""),0))"),863.069999999999)</f>
        <v>863.06999999999903</v>
      </c>
      <c r="Z75" s="12">
        <f ca="1">IFERROR(__xludf.DUMMYFUNCTION("INDEX(IMPORTRANGE(""1y0FWgjbB0gVlqn-q5LMJbGIsqOrzru4yowQz67dz2yc"", ""'GAR'!BH3:BH139""),MATCH(D75,IMPORTRANGE(""1y0FWgjbB0gVlqn-q5LMJbGIsqOrzru4yowQz67dz2yc"", ""'GAR'!D3:D139""),0))"),0)</f>
        <v>0</v>
      </c>
      <c r="AA75" s="12">
        <f ca="1">IFERROR(__xludf.DUMMYFUNCTION("INDEX(IMPORTRANGE(""1y0FWgjbB0gVlqn-q5LMJbGIsqOrzru4yowQz67dz2yc"", ""'GAR'!BI3:BI139""),MATCH($D75,IMPORTRANGE(""1y0FWgjbB0gVlqn-q5LMJbGIsqOrzru4yowQz67dz2yc"", ""'GAR'!D3:D139""),0))"),0)</f>
        <v>0</v>
      </c>
      <c r="AB75" s="1"/>
      <c r="AC75" s="1"/>
    </row>
    <row r="76" spans="1:29">
      <c r="A76" s="149" t="s">
        <v>199</v>
      </c>
      <c r="B76" s="149" t="s">
        <v>200</v>
      </c>
      <c r="C76" s="149" t="s">
        <v>30</v>
      </c>
      <c r="D76" s="149" t="s">
        <v>207</v>
      </c>
      <c r="E76" s="14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"/>
      <c r="S76" s="1"/>
      <c r="T76" s="1"/>
      <c r="U76" s="1"/>
      <c r="V76" s="1"/>
      <c r="W76" s="2">
        <v>500</v>
      </c>
      <c r="X76" s="12">
        <v>0</v>
      </c>
      <c r="Y76" s="12">
        <f ca="1">IFERROR(__xludf.DUMMYFUNCTION("INDEX(IMPORTRANGE(""1y0FWgjbB0gVlqn-q5LMJbGIsqOrzru4yowQz67dz2yc"", ""'GAR'!BG3:BG139""),MATCH(D76,IMPORTRANGE(""1y0FWgjbB0gVlqn-q5LMJbGIsqOrzru4yowQz67dz2yc"", ""'GAR'!D3:D139""),0))"),0)</f>
        <v>0</v>
      </c>
      <c r="Z76" s="12">
        <f ca="1">IFERROR(__xludf.DUMMYFUNCTION("INDEX(IMPORTRANGE(""1y0FWgjbB0gVlqn-q5LMJbGIsqOrzru4yowQz67dz2yc"", ""'GAR'!BH3:BH139""),MATCH(D76,IMPORTRANGE(""1y0FWgjbB0gVlqn-q5LMJbGIsqOrzru4yowQz67dz2yc"", ""'GAR'!D3:D139""),0))"),0)</f>
        <v>0</v>
      </c>
      <c r="AA76" s="12">
        <f ca="1">IFERROR(__xludf.DUMMYFUNCTION("INDEX(IMPORTRANGE(""1y0FWgjbB0gVlqn-q5LMJbGIsqOrzru4yowQz67dz2yc"", ""'GAR'!BI3:BI139""),MATCH($D76,IMPORTRANGE(""1y0FWgjbB0gVlqn-q5LMJbGIsqOrzru4yowQz67dz2yc"", ""'GAR'!D3:D139""),0))"),0)</f>
        <v>0</v>
      </c>
      <c r="AB76" s="1"/>
      <c r="AC76" s="1"/>
    </row>
    <row r="77" spans="1:29">
      <c r="A77" s="149" t="s">
        <v>199</v>
      </c>
      <c r="B77" s="149" t="s">
        <v>200</v>
      </c>
      <c r="C77" s="149" t="s">
        <v>36</v>
      </c>
      <c r="D77" s="149" t="s">
        <v>209</v>
      </c>
      <c r="E77" s="14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1766.7</v>
      </c>
      <c r="S77" s="4">
        <v>883.3</v>
      </c>
      <c r="T77" s="4">
        <v>1766.7</v>
      </c>
      <c r="U77" s="4">
        <v>883.3</v>
      </c>
      <c r="V77" s="4">
        <v>1766.7</v>
      </c>
      <c r="W77" s="4">
        <f>SUM(W74:W76)</f>
        <v>5300</v>
      </c>
      <c r="X77" s="23">
        <f>X74+X75+X76</f>
        <v>2494.96</v>
      </c>
      <c r="Y77" s="12">
        <f ca="1">IFERROR(__xludf.DUMMYFUNCTION("INDEX(IMPORTRANGE(""1y0FWgjbB0gVlqn-q5LMJbGIsqOrzru4yowQz67dz2yc"", ""'GAR'!BG3:BG139""),MATCH(D77,IMPORTRANGE(""1y0FWgjbB0gVlqn-q5LMJbGIsqOrzru4yowQz67dz2yc"", ""'GAR'!D3:D139""),0))"),4543.19)</f>
        <v>4543.1899999999996</v>
      </c>
      <c r="Z77" s="23">
        <f ca="1">IFERROR(__xludf.DUMMYFUNCTION("INDEX(IMPORTRANGE(""1y0FWgjbB0gVlqn-q5LMJbGIsqOrzru4yowQz67dz2yc"", ""'GAR'!BH3:BH139""),MATCH(D77,IMPORTRANGE(""1y0FWgjbB0gVlqn-q5LMJbGIsqOrzru4yowQz67dz2yc"", ""'GAR'!D3:D139""),0))"),0)</f>
        <v>0</v>
      </c>
      <c r="AA77" s="12">
        <f ca="1">IFERROR(__xludf.DUMMYFUNCTION("INDEX(IMPORTRANGE(""1y0FWgjbB0gVlqn-q5LMJbGIsqOrzru4yowQz67dz2yc"", ""'GAR'!BI3:BI139""),MATCH($D77,IMPORTRANGE(""1y0FWgjbB0gVlqn-q5LMJbGIsqOrzru4yowQz67dz2yc"", ""'GAR'!D3:D139""),0))"),7528.3)</f>
        <v>7528.3</v>
      </c>
      <c r="AB77" s="2"/>
      <c r="AC77" s="2"/>
    </row>
    <row r="78" spans="1:29">
      <c r="A78" s="149" t="s">
        <v>199</v>
      </c>
      <c r="B78" s="149" t="s">
        <v>200</v>
      </c>
      <c r="C78" s="149" t="s">
        <v>30</v>
      </c>
      <c r="D78" s="149" t="s">
        <v>211</v>
      </c>
      <c r="E78" s="149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36">
        <v>21422303.489999998</v>
      </c>
      <c r="Q78" s="36">
        <v>21422303.489999998</v>
      </c>
      <c r="R78" s="13"/>
      <c r="S78" s="13"/>
      <c r="T78" s="13"/>
      <c r="U78" s="13"/>
      <c r="V78" s="13"/>
      <c r="W78" s="4"/>
      <c r="X78" s="36">
        <v>21422303.489999998</v>
      </c>
      <c r="Y78" s="336" t="str">
        <f ca="1">IFERROR(__xludf.DUMMYFUNCTION("INDEX(IMPORTRANGE(""1y0FWgjbB0gVlqn-q5LMJbGIsqOrzru4yowQz67dz2yc"", ""'GAR'!BG3:BG139""),MATCH(D78,IMPORTRANGE(""1y0FWgjbB0gVlqn-q5LMJbGIsqOrzru4yowQz67dz2yc"", ""'GAR'!D3:D139""),0))"),"")</f>
        <v/>
      </c>
      <c r="Z78" s="36">
        <f ca="1">IFERROR(__xludf.DUMMYFUNCTION("INDEX(IMPORTRANGE(""1y0FWgjbB0gVlqn-q5LMJbGIsqOrzru4yowQz67dz2yc"", ""'GAR'!BH3:BH139""),MATCH(D78,IMPORTRANGE(""1y0FWgjbB0gVlqn-q5LMJbGIsqOrzru4yowQz67dz2yc"", ""'GAR'!D3:D139""),0))"),15621633.95)</f>
        <v>15621633.949999999</v>
      </c>
      <c r="AA78" s="336" t="str">
        <f ca="1">IFERROR(__xludf.DUMMYFUNCTION("INDEX(IMPORTRANGE(""1y0FWgjbB0gVlqn-q5LMJbGIsqOrzru4yowQz67dz2yc"", ""'GAR'!BI3:BI139""),MATCH($D78,IMPORTRANGE(""1y0FWgjbB0gVlqn-q5LMJbGIsqOrzru4yowQz67dz2yc"", ""'GAR'!D3:D139""),0))"),"")</f>
        <v/>
      </c>
      <c r="AB78" s="1"/>
      <c r="AC78" s="1"/>
    </row>
    <row r="79" spans="1:29">
      <c r="A79" s="149" t="s">
        <v>199</v>
      </c>
      <c r="B79" s="149" t="s">
        <v>200</v>
      </c>
      <c r="C79" s="149" t="s">
        <v>30</v>
      </c>
      <c r="D79" s="149" t="s">
        <v>219</v>
      </c>
      <c r="E79" s="149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36">
        <v>1235527.21</v>
      </c>
      <c r="Q79" s="36">
        <v>1235527.21</v>
      </c>
      <c r="R79" s="13"/>
      <c r="S79" s="13"/>
      <c r="T79" s="13"/>
      <c r="U79" s="13"/>
      <c r="V79" s="13"/>
      <c r="W79" s="4"/>
      <c r="X79" s="36">
        <v>1235527.21</v>
      </c>
      <c r="Y79" s="336" t="str">
        <f ca="1">IFERROR(__xludf.DUMMYFUNCTION("INDEX(IMPORTRANGE(""1y0FWgjbB0gVlqn-q5LMJbGIsqOrzru4yowQz67dz2yc"", ""'GAR'!BG3:BG139""),MATCH(D79,IMPORTRANGE(""1y0FWgjbB0gVlqn-q5LMJbGIsqOrzru4yowQz67dz2yc"", ""'GAR'!D3:D139""),0))"),"")</f>
        <v/>
      </c>
      <c r="Z79" s="36">
        <f ca="1">IFERROR(__xludf.DUMMYFUNCTION("INDEX(IMPORTRANGE(""1y0FWgjbB0gVlqn-q5LMJbGIsqOrzru4yowQz67dz2yc"", ""'GAR'!BH3:BH139""),MATCH(D79,IMPORTRANGE(""1y0FWgjbB0gVlqn-q5LMJbGIsqOrzru4yowQz67dz2yc"", ""'GAR'!D3:D139""),0))"),1017342.76)</f>
        <v>1017342.76</v>
      </c>
      <c r="AA79" s="336" t="str">
        <f ca="1">IFERROR(__xludf.DUMMYFUNCTION("INDEX(IMPORTRANGE(""1y0FWgjbB0gVlqn-q5LMJbGIsqOrzru4yowQz67dz2yc"", ""'GAR'!BI3:BI139""),MATCH($D79,IMPORTRANGE(""1y0FWgjbB0gVlqn-q5LMJbGIsqOrzru4yowQz67dz2yc"", ""'GAR'!D3:D139""),0))"),"")</f>
        <v/>
      </c>
      <c r="AB79" s="1"/>
      <c r="AC79" s="1"/>
    </row>
    <row r="80" spans="1:29">
      <c r="A80" s="149" t="s">
        <v>199</v>
      </c>
      <c r="B80" s="149" t="s">
        <v>200</v>
      </c>
      <c r="C80" s="149" t="s">
        <v>36</v>
      </c>
      <c r="D80" s="149" t="s">
        <v>221</v>
      </c>
      <c r="E80" s="149" t="s">
        <v>38</v>
      </c>
      <c r="F80" s="9" t="s">
        <v>222</v>
      </c>
      <c r="G80" s="9" t="s">
        <v>213</v>
      </c>
      <c r="H80" s="2" t="s">
        <v>214</v>
      </c>
      <c r="I80" s="9" t="s">
        <v>215</v>
      </c>
      <c r="J80" s="4"/>
      <c r="K80" s="9" t="s">
        <v>216</v>
      </c>
      <c r="L80" s="4"/>
      <c r="M80" s="9" t="s">
        <v>217</v>
      </c>
      <c r="N80" s="2" t="s">
        <v>218</v>
      </c>
      <c r="O80" s="2" t="s">
        <v>218</v>
      </c>
      <c r="P80" s="15">
        <f t="shared" ref="P80:Q80" si="23">P79/P78</f>
        <v>5.767480656675171E-2</v>
      </c>
      <c r="Q80" s="15">
        <f t="shared" si="23"/>
        <v>5.767480656675171E-2</v>
      </c>
      <c r="R80" s="15"/>
      <c r="S80" s="15">
        <v>7.1999999999999995E-2</v>
      </c>
      <c r="T80" s="15"/>
      <c r="U80" s="15">
        <v>8.5999999999999993E-2</v>
      </c>
      <c r="V80" s="15">
        <v>0.1</v>
      </c>
      <c r="W80" s="15">
        <v>0.1</v>
      </c>
      <c r="X80" s="15">
        <f>X79/X78</f>
        <v>5.767480656675171E-2</v>
      </c>
      <c r="Y80" s="302" t="str">
        <f ca="1">IFERROR(__xludf.DUMMYFUNCTION("INDEX(IMPORTRANGE(""1y0FWgjbB0gVlqn-q5LMJbGIsqOrzru4yowQz67dz2yc"", ""'GAR'!BG3:BG139""),MATCH(D80,IMPORTRANGE(""1y0FWgjbB0gVlqn-q5LMJbGIsqOrzru4yowQz67dz2yc"", ""'GAR'!D3:D139""),0))"),"")</f>
        <v/>
      </c>
      <c r="Z80" s="15">
        <f ca="1">IFERROR(__xludf.DUMMYFUNCTION("INDEX(IMPORTRANGE(""1y0FWgjbB0gVlqn-q5LMJbGIsqOrzru4yowQz67dz2yc"", ""'GAR'!BH3:BH139""),MATCH(D80,IMPORTRANGE(""1y0FWgjbB0gVlqn-q5LMJbGIsqOrzru4yowQz67dz2yc"", ""'GAR'!D3:D139""),0))"),0.0651239661136727)</f>
        <v>6.5123966113672702E-2</v>
      </c>
      <c r="AA80" s="302" t="str">
        <f ca="1">IFERROR(__xludf.DUMMYFUNCTION("INDEX(IMPORTRANGE(""1y0FWgjbB0gVlqn-q5LMJbGIsqOrzru4yowQz67dz2yc"", ""'GAR'!BI3:BI139""),MATCH($D80,IMPORTRANGE(""1y0FWgjbB0gVlqn-q5LMJbGIsqOrzru4yowQz67dz2yc"", ""'GAR'!D3:D139""),0))"),"")</f>
        <v/>
      </c>
      <c r="AB80" s="2"/>
      <c r="AC80" s="2"/>
    </row>
    <row r="81" spans="1:29">
      <c r="A81" s="149" t="s">
        <v>199</v>
      </c>
      <c r="B81" s="149" t="s">
        <v>200</v>
      </c>
      <c r="C81" s="149" t="s">
        <v>30</v>
      </c>
      <c r="D81" s="149" t="s">
        <v>223</v>
      </c>
      <c r="E81" s="14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12">
        <v>0</v>
      </c>
      <c r="R81" s="1"/>
      <c r="S81" s="1"/>
      <c r="T81" s="1"/>
      <c r="U81" s="1"/>
      <c r="V81" s="1"/>
      <c r="W81" s="2">
        <v>3</v>
      </c>
      <c r="X81" s="12">
        <v>0</v>
      </c>
      <c r="Y81" s="12">
        <f ca="1">IFERROR(__xludf.DUMMYFUNCTION("INDEX(IMPORTRANGE(""1y0FWgjbB0gVlqn-q5LMJbGIsqOrzru4yowQz67dz2yc"", ""'GAR'!BG3:BG139""),MATCH(D81,IMPORTRANGE(""1y0FWgjbB0gVlqn-q5LMJbGIsqOrzru4yowQz67dz2yc"", ""'GAR'!D3:D139""),0))"),0)</f>
        <v>0</v>
      </c>
      <c r="Z81" s="12">
        <f ca="1">IFERROR(__xludf.DUMMYFUNCTION("INDEX(IMPORTRANGE(""1y0FWgjbB0gVlqn-q5LMJbGIsqOrzru4yowQz67dz2yc"", ""'GAR'!BH3:BH139""),MATCH(D81,IMPORTRANGE(""1y0FWgjbB0gVlqn-q5LMJbGIsqOrzru4yowQz67dz2yc"", ""'GAR'!D3:D139""),0))"),0)</f>
        <v>0</v>
      </c>
      <c r="AA81" s="12">
        <f ca="1">IFERROR(__xludf.DUMMYFUNCTION("INDEX(IMPORTRANGE(""1y0FWgjbB0gVlqn-q5LMJbGIsqOrzru4yowQz67dz2yc"", ""'GAR'!BI3:BI139""),MATCH($D81,IMPORTRANGE(""1y0FWgjbB0gVlqn-q5LMJbGIsqOrzru4yowQz67dz2yc"", ""'GAR'!D3:D139""),0))"),1)</f>
        <v>1</v>
      </c>
      <c r="AB81" s="1"/>
      <c r="AC81" s="1"/>
    </row>
    <row r="82" spans="1:29">
      <c r="A82" s="149" t="s">
        <v>199</v>
      </c>
      <c r="B82" s="149" t="s">
        <v>200</v>
      </c>
      <c r="C82" s="149" t="s">
        <v>30</v>
      </c>
      <c r="D82" s="149" t="s">
        <v>225</v>
      </c>
      <c r="E82" s="14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0</v>
      </c>
      <c r="Q82" s="12">
        <v>0</v>
      </c>
      <c r="R82" s="1"/>
      <c r="S82" s="1"/>
      <c r="T82" s="1"/>
      <c r="U82" s="1"/>
      <c r="V82" s="1"/>
      <c r="W82" s="2">
        <v>5</v>
      </c>
      <c r="X82" s="12">
        <v>0</v>
      </c>
      <c r="Y82" s="12">
        <f ca="1">IFERROR(__xludf.DUMMYFUNCTION("INDEX(IMPORTRANGE(""1y0FWgjbB0gVlqn-q5LMJbGIsqOrzru4yowQz67dz2yc"", ""'GAR'!BG3:BG139""),MATCH(D82,IMPORTRANGE(""1y0FWgjbB0gVlqn-q5LMJbGIsqOrzru4yowQz67dz2yc"", ""'GAR'!D3:D139""),0))"),0)</f>
        <v>0</v>
      </c>
      <c r="Z82" s="12">
        <f ca="1">IFERROR(__xludf.DUMMYFUNCTION("INDEX(IMPORTRANGE(""1y0FWgjbB0gVlqn-q5LMJbGIsqOrzru4yowQz67dz2yc"", ""'GAR'!BH3:BH139""),MATCH(D82,IMPORTRANGE(""1y0FWgjbB0gVlqn-q5LMJbGIsqOrzru4yowQz67dz2yc"", ""'GAR'!D3:D139""),0))"),0)</f>
        <v>0</v>
      </c>
      <c r="AA82" s="12">
        <f ca="1">IFERROR(__xludf.DUMMYFUNCTION("INDEX(IMPORTRANGE(""1y0FWgjbB0gVlqn-q5LMJbGIsqOrzru4yowQz67dz2yc"", ""'GAR'!BI3:BI139""),MATCH($D82,IMPORTRANGE(""1y0FWgjbB0gVlqn-q5LMJbGIsqOrzru4yowQz67dz2yc"", ""'GAR'!D3:D139""),0))"),0)</f>
        <v>0</v>
      </c>
      <c r="AB82" s="1"/>
      <c r="AC82" s="1"/>
    </row>
    <row r="83" spans="1:29">
      <c r="A83" s="149" t="s">
        <v>199</v>
      </c>
      <c r="B83" s="149" t="s">
        <v>200</v>
      </c>
      <c r="C83" s="149" t="s">
        <v>36</v>
      </c>
      <c r="D83" s="149" t="s">
        <v>226</v>
      </c>
      <c r="E83" s="14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4">P81+P82</f>
        <v>0</v>
      </c>
      <c r="Q83" s="12">
        <f t="shared" si="24"/>
        <v>0</v>
      </c>
      <c r="R83" s="4">
        <v>3</v>
      </c>
      <c r="S83" s="4">
        <v>2</v>
      </c>
      <c r="T83" s="4">
        <v>3</v>
      </c>
      <c r="U83" s="4">
        <v>1</v>
      </c>
      <c r="V83" s="4">
        <v>2</v>
      </c>
      <c r="W83" s="4">
        <f>SUM(W81:W82)</f>
        <v>8</v>
      </c>
      <c r="X83" s="12">
        <f>X81+X82</f>
        <v>0</v>
      </c>
      <c r="Y83" s="12">
        <f ca="1">IFERROR(__xludf.DUMMYFUNCTION("INDEX(IMPORTRANGE(""1y0FWgjbB0gVlqn-q5LMJbGIsqOrzru4yowQz67dz2yc"", ""'GAR'!BG3:BG139""),MATCH(D83,IMPORTRANGE(""1y0FWgjbB0gVlqn-q5LMJbGIsqOrzru4yowQz67dz2yc"", ""'GAR'!D3:D139""),0))"),0)</f>
        <v>0</v>
      </c>
      <c r="Z83" s="12">
        <f ca="1">IFERROR(__xludf.DUMMYFUNCTION("INDEX(IMPORTRANGE(""1y0FWgjbB0gVlqn-q5LMJbGIsqOrzru4yowQz67dz2yc"", ""'GAR'!BH3:BH139""),MATCH(D83,IMPORTRANGE(""1y0FWgjbB0gVlqn-q5LMJbGIsqOrzru4yowQz67dz2yc"", ""'GAR'!D3:D139""),0))"),0)</f>
        <v>0</v>
      </c>
      <c r="AA83" s="12">
        <f ca="1">IFERROR(__xludf.DUMMYFUNCTION("INDEX(IMPORTRANGE(""1y0FWgjbB0gVlqn-q5LMJbGIsqOrzru4yowQz67dz2yc"", ""'GAR'!BI3:BI139""),MATCH($D83,IMPORTRANGE(""1y0FWgjbB0gVlqn-q5LMJbGIsqOrzru4yowQz67dz2yc"", ""'GAR'!D3:D139""),0))"),1)</f>
        <v>1</v>
      </c>
      <c r="AB83" s="2"/>
      <c r="AC83" s="2"/>
    </row>
    <row r="84" spans="1:29">
      <c r="A84" s="149" t="s">
        <v>199</v>
      </c>
      <c r="B84" s="149" t="s">
        <v>228</v>
      </c>
      <c r="C84" s="149" t="s">
        <v>30</v>
      </c>
      <c r="D84" s="149" t="s">
        <v>229</v>
      </c>
      <c r="E84" s="14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66</v>
      </c>
      <c r="Q84" s="12">
        <v>144</v>
      </c>
      <c r="R84" s="13"/>
      <c r="S84" s="13"/>
      <c r="T84" s="13"/>
      <c r="U84" s="13"/>
      <c r="V84" s="13"/>
      <c r="W84" s="4"/>
      <c r="X84" s="12">
        <v>44</v>
      </c>
      <c r="Y84" s="12">
        <f ca="1">IFERROR(__xludf.DUMMYFUNCTION("INDEX(IMPORTRANGE(""1y0FWgjbB0gVlqn-q5LMJbGIsqOrzru4yowQz67dz2yc"", ""'GAR'!BG3:BG139""),MATCH(D84,IMPORTRANGE(""1y0FWgjbB0gVlqn-q5LMJbGIsqOrzru4yowQz67dz2yc"", ""'GAR'!D3:D139""),0))"),109)</f>
        <v>109</v>
      </c>
      <c r="Z84" s="12">
        <f ca="1">IFERROR(__xludf.DUMMYFUNCTION("INDEX(IMPORTRANGE(""1y0FWgjbB0gVlqn-q5LMJbGIsqOrzru4yowQz67dz2yc"", ""'GAR'!BH3:BH139""),MATCH(D84,IMPORTRANGE(""1y0FWgjbB0gVlqn-q5LMJbGIsqOrzru4yowQz67dz2yc"", ""'GAR'!D3:D139""),0))"),54)</f>
        <v>54</v>
      </c>
      <c r="AA84" s="12">
        <f ca="1">IFERROR(__xludf.DUMMYFUNCTION("INDEX(IMPORTRANGE(""1y0FWgjbB0gVlqn-q5LMJbGIsqOrzru4yowQz67dz2yc"", ""'GAR'!BI3:BI139""),MATCH($D84,IMPORTRANGE(""1y0FWgjbB0gVlqn-q5LMJbGIsqOrzru4yowQz67dz2yc"", ""'GAR'!D3:D139""),0))"),103)</f>
        <v>103</v>
      </c>
      <c r="AB84" s="1"/>
      <c r="AC84" s="1"/>
    </row>
    <row r="85" spans="1:29">
      <c r="A85" s="149" t="s">
        <v>199</v>
      </c>
      <c r="B85" s="149" t="s">
        <v>228</v>
      </c>
      <c r="C85" s="149" t="s">
        <v>30</v>
      </c>
      <c r="D85" s="149" t="s">
        <v>233</v>
      </c>
      <c r="E85" s="14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7</v>
      </c>
      <c r="Q85" s="12">
        <v>9</v>
      </c>
      <c r="R85" s="13"/>
      <c r="S85" s="13"/>
      <c r="T85" s="13"/>
      <c r="U85" s="13"/>
      <c r="V85" s="13"/>
      <c r="W85" s="4"/>
      <c r="X85" s="12">
        <v>4</v>
      </c>
      <c r="Y85" s="12">
        <f ca="1">IFERROR(__xludf.DUMMYFUNCTION("INDEX(IMPORTRANGE(""1y0FWgjbB0gVlqn-q5LMJbGIsqOrzru4yowQz67dz2yc"", ""'GAR'!BG3:BG139""),MATCH(D85,IMPORTRANGE(""1y0FWgjbB0gVlqn-q5LMJbGIsqOrzru4yowQz67dz2yc"", ""'GAR'!D3:D139""),0))"),15)</f>
        <v>15</v>
      </c>
      <c r="Z85" s="12">
        <f ca="1">IFERROR(__xludf.DUMMYFUNCTION("INDEX(IMPORTRANGE(""1y0FWgjbB0gVlqn-q5LMJbGIsqOrzru4yowQz67dz2yc"", ""'GAR'!BH3:BH139""),MATCH(D85,IMPORTRANGE(""1y0FWgjbB0gVlqn-q5LMJbGIsqOrzru4yowQz67dz2yc"", ""'GAR'!D3:D139""),0))"),2)</f>
        <v>2</v>
      </c>
      <c r="AA85" s="12">
        <f ca="1">IFERROR(__xludf.DUMMYFUNCTION("INDEX(IMPORTRANGE(""1y0FWgjbB0gVlqn-q5LMJbGIsqOrzru4yowQz67dz2yc"", ""'GAR'!BI3:BI139""),MATCH($D85,IMPORTRANGE(""1y0FWgjbB0gVlqn-q5LMJbGIsqOrzru4yowQz67dz2yc"", ""'GAR'!D3:D139""),0))"),12)</f>
        <v>12</v>
      </c>
      <c r="AB85" s="1"/>
      <c r="AC85" s="1"/>
    </row>
    <row r="86" spans="1:29">
      <c r="A86" s="149" t="s">
        <v>199</v>
      </c>
      <c r="B86" s="149" t="s">
        <v>228</v>
      </c>
      <c r="C86" s="149" t="s">
        <v>30</v>
      </c>
      <c r="D86" s="149" t="s">
        <v>235</v>
      </c>
      <c r="E86" s="14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964</v>
      </c>
      <c r="Q86" s="12">
        <v>2141</v>
      </c>
      <c r="R86" s="13"/>
      <c r="S86" s="13"/>
      <c r="T86" s="13"/>
      <c r="U86" s="13"/>
      <c r="V86" s="13"/>
      <c r="W86" s="4"/>
      <c r="X86" s="12">
        <v>460</v>
      </c>
      <c r="Y86" s="12">
        <f ca="1">IFERROR(__xludf.DUMMYFUNCTION("INDEX(IMPORTRANGE(""1y0FWgjbB0gVlqn-q5LMJbGIsqOrzru4yowQz67dz2yc"", ""'GAR'!BG3:BG139""),MATCH(D86,IMPORTRANGE(""1y0FWgjbB0gVlqn-q5LMJbGIsqOrzru4yowQz67dz2yc"", ""'GAR'!D3:D139""),0))"),951)</f>
        <v>951</v>
      </c>
      <c r="Z86" s="12">
        <f ca="1">IFERROR(__xludf.DUMMYFUNCTION("INDEX(IMPORTRANGE(""1y0FWgjbB0gVlqn-q5LMJbGIsqOrzru4yowQz67dz2yc"", ""'GAR'!BH3:BH139""),MATCH(D86,IMPORTRANGE(""1y0FWgjbB0gVlqn-q5LMJbGIsqOrzru4yowQz67dz2yc"", ""'GAR'!D3:D139""),0))"),390)</f>
        <v>390</v>
      </c>
      <c r="AA86" s="12">
        <f ca="1">IFERROR(__xludf.DUMMYFUNCTION("INDEX(IMPORTRANGE(""1y0FWgjbB0gVlqn-q5LMJbGIsqOrzru4yowQz67dz2yc"", ""'GAR'!BI3:BI139""),MATCH($D86,IMPORTRANGE(""1y0FWgjbB0gVlqn-q5LMJbGIsqOrzru4yowQz67dz2yc"", ""'GAR'!D3:D139""),0))"),849)</f>
        <v>849</v>
      </c>
      <c r="AB86" s="1"/>
      <c r="AC86" s="1"/>
    </row>
    <row r="87" spans="1:29">
      <c r="A87" s="149" t="s">
        <v>199</v>
      </c>
      <c r="B87" s="149" t="s">
        <v>228</v>
      </c>
      <c r="C87" s="149" t="s">
        <v>30</v>
      </c>
      <c r="D87" s="149" t="s">
        <v>237</v>
      </c>
      <c r="E87" s="14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62</v>
      </c>
      <c r="Q87" s="12">
        <v>79</v>
      </c>
      <c r="R87" s="13"/>
      <c r="S87" s="13"/>
      <c r="T87" s="13"/>
      <c r="U87" s="13"/>
      <c r="V87" s="13"/>
      <c r="W87" s="4"/>
      <c r="X87" s="12">
        <v>152</v>
      </c>
      <c r="Y87" s="12">
        <f ca="1">IFERROR(__xludf.DUMMYFUNCTION("INDEX(IMPORTRANGE(""1y0FWgjbB0gVlqn-q5LMJbGIsqOrzru4yowQz67dz2yc"", ""'GAR'!BG3:BG139""),MATCH(D87,IMPORTRANGE(""1y0FWgjbB0gVlqn-q5LMJbGIsqOrzru4yowQz67dz2yc"", ""'GAR'!D3:D139""),0))"),338)</f>
        <v>338</v>
      </c>
      <c r="Z87" s="12">
        <f ca="1">IFERROR(__xludf.DUMMYFUNCTION("INDEX(IMPORTRANGE(""1y0FWgjbB0gVlqn-q5LMJbGIsqOrzru4yowQz67dz2yc"", ""'GAR'!BH3:BH139""),MATCH(D87,IMPORTRANGE(""1y0FWgjbB0gVlqn-q5LMJbGIsqOrzru4yowQz67dz2yc"", ""'GAR'!D3:D139""),0))"),141)</f>
        <v>141</v>
      </c>
      <c r="AA87" s="12">
        <f ca="1">IFERROR(__xludf.DUMMYFUNCTION("INDEX(IMPORTRANGE(""1y0FWgjbB0gVlqn-q5LMJbGIsqOrzru4yowQz67dz2yc"", ""'GAR'!BI3:BI139""),MATCH($D87,IMPORTRANGE(""1y0FWgjbB0gVlqn-q5LMJbGIsqOrzru4yowQz67dz2yc"", ""'GAR'!D3:D139""),0))"),312)</f>
        <v>312</v>
      </c>
      <c r="AB87" s="1"/>
      <c r="AC87" s="1"/>
    </row>
    <row r="88" spans="1:29">
      <c r="A88" s="149" t="s">
        <v>199</v>
      </c>
      <c r="B88" s="149" t="s">
        <v>228</v>
      </c>
      <c r="C88" s="149" t="s">
        <v>30</v>
      </c>
      <c r="D88" s="149" t="s">
        <v>239</v>
      </c>
      <c r="E88" s="14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367</v>
      </c>
      <c r="Q88" s="12">
        <v>751</v>
      </c>
      <c r="R88" s="13"/>
      <c r="S88" s="13"/>
      <c r="T88" s="13"/>
      <c r="U88" s="13"/>
      <c r="V88" s="13"/>
      <c r="W88" s="4"/>
      <c r="X88" s="12">
        <v>434</v>
      </c>
      <c r="Y88" s="12">
        <f ca="1">IFERROR(__xludf.DUMMYFUNCTION("INDEX(IMPORTRANGE(""1y0FWgjbB0gVlqn-q5LMJbGIsqOrzru4yowQz67dz2yc"", ""'GAR'!BG3:BG139""),MATCH(D88,IMPORTRANGE(""1y0FWgjbB0gVlqn-q5LMJbGIsqOrzru4yowQz67dz2yc"", ""'GAR'!D3:D139""),0))"),996)</f>
        <v>996</v>
      </c>
      <c r="Z88" s="12">
        <f ca="1">IFERROR(__xludf.DUMMYFUNCTION("INDEX(IMPORTRANGE(""1y0FWgjbB0gVlqn-q5LMJbGIsqOrzru4yowQz67dz2yc"", ""'GAR'!BH3:BH139""),MATCH(D88,IMPORTRANGE(""1y0FWgjbB0gVlqn-q5LMJbGIsqOrzru4yowQz67dz2yc"", ""'GAR'!D3:D139""),0))"),372)</f>
        <v>372</v>
      </c>
      <c r="AA88" s="12">
        <f ca="1">IFERROR(__xludf.DUMMYFUNCTION("INDEX(IMPORTRANGE(""1y0FWgjbB0gVlqn-q5LMJbGIsqOrzru4yowQz67dz2yc"", ""'GAR'!BI3:BI139""),MATCH($D88,IMPORTRANGE(""1y0FWgjbB0gVlqn-q5LMJbGIsqOrzru4yowQz67dz2yc"", ""'GAR'!D3:D139""),0))"),862)</f>
        <v>862</v>
      </c>
      <c r="AB88" s="1"/>
      <c r="AC88" s="1"/>
    </row>
    <row r="89" spans="1:29">
      <c r="A89" s="149" t="s">
        <v>199</v>
      </c>
      <c r="B89" s="149" t="s">
        <v>228</v>
      </c>
      <c r="C89" s="149" t="s">
        <v>36</v>
      </c>
      <c r="D89" s="149" t="s">
        <v>241</v>
      </c>
      <c r="E89" s="14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v>1466</v>
      </c>
      <c r="Q89" s="12">
        <v>3124</v>
      </c>
      <c r="R89" s="12">
        <v>3020</v>
      </c>
      <c r="S89" s="12">
        <v>1417</v>
      </c>
      <c r="T89" s="12">
        <v>2915.7</v>
      </c>
      <c r="U89" s="12">
        <v>1368.3</v>
      </c>
      <c r="V89" s="12">
        <v>1319.4</v>
      </c>
      <c r="W89" s="12">
        <v>2811.6</v>
      </c>
      <c r="X89" s="12">
        <v>1094</v>
      </c>
      <c r="Y89" s="12">
        <f ca="1">IFERROR(__xludf.DUMMYFUNCTION("INDEX(IMPORTRANGE(""1y0FWgjbB0gVlqn-q5LMJbGIsqOrzru4yowQz67dz2yc"", ""'GAR'!BG3:BG139""),MATCH(D89,IMPORTRANGE(""1y0FWgjbB0gVlqn-q5LMJbGIsqOrzru4yowQz67dz2yc"", ""'GAR'!D3:D139""),0))"),2409)</f>
        <v>2409</v>
      </c>
      <c r="Z89" s="12">
        <f ca="1">IFERROR(__xludf.DUMMYFUNCTION("INDEX(IMPORTRANGE(""1y0FWgjbB0gVlqn-q5LMJbGIsqOrzru4yowQz67dz2yc"", ""'GAR'!BH3:BH139""),MATCH(D89,IMPORTRANGE(""1y0FWgjbB0gVlqn-q5LMJbGIsqOrzru4yowQz67dz2yc"", ""'GAR'!D3:D139""),0))"),959)</f>
        <v>959</v>
      </c>
      <c r="AA89" s="12">
        <f ca="1">IFERROR(__xludf.DUMMYFUNCTION("INDEX(IMPORTRANGE(""1y0FWgjbB0gVlqn-q5LMJbGIsqOrzru4yowQz67dz2yc"", ""'GAR'!BI3:BI139""),MATCH($D89,IMPORTRANGE(""1y0FWgjbB0gVlqn-q5LMJbGIsqOrzru4yowQz67dz2yc"", ""'GAR'!D3:D139""),0))"),2138)</f>
        <v>2138</v>
      </c>
      <c r="AB89" s="2"/>
      <c r="AC89" s="2"/>
    </row>
    <row r="90" spans="1:29">
      <c r="A90" s="149" t="s">
        <v>243</v>
      </c>
      <c r="B90" s="149" t="s">
        <v>244</v>
      </c>
      <c r="C90" s="149" t="s">
        <v>36</v>
      </c>
      <c r="D90" s="149" t="s">
        <v>338</v>
      </c>
      <c r="E90" s="14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0</v>
      </c>
      <c r="Q90" s="12">
        <v>0</v>
      </c>
      <c r="R90" s="2">
        <v>40</v>
      </c>
      <c r="S90" s="2">
        <v>80</v>
      </c>
      <c r="T90" s="2">
        <v>120</v>
      </c>
      <c r="U90" s="2">
        <v>160</v>
      </c>
      <c r="V90" s="2">
        <v>200</v>
      </c>
      <c r="W90" s="2">
        <v>200</v>
      </c>
      <c r="X90" s="12">
        <v>6</v>
      </c>
      <c r="Y90" s="2">
        <f ca="1">IFERROR(__xludf.DUMMYFUNCTION("INDEX(IMPORTRANGE(""1y0FWgjbB0gVlqn-q5LMJbGIsqOrzru4yowQz67dz2yc"", ""'GAR'!BG3:BG139""),MATCH(D90,IMPORTRANGE(""1y0FWgjbB0gVlqn-q5LMJbGIsqOrzru4yowQz67dz2yc"", ""'GAR'!D3:D139""),0))"),52)</f>
        <v>52</v>
      </c>
      <c r="Z90" s="12">
        <f ca="1">IFERROR(__xludf.DUMMYFUNCTION("INDEX(IMPORTRANGE(""1y0FWgjbB0gVlqn-q5LMJbGIsqOrzru4yowQz67dz2yc"", ""'GAR'!BH3:BH139""),MATCH(D90,IMPORTRANGE(""1y0FWgjbB0gVlqn-q5LMJbGIsqOrzru4yowQz67dz2yc"", ""'GAR'!D3:D139""),0))"),84)</f>
        <v>84</v>
      </c>
      <c r="AA90" s="2">
        <f ca="1">IFERROR(__xludf.DUMMYFUNCTION("INDEX(IMPORTRANGE(""1y0FWgjbB0gVlqn-q5LMJbGIsqOrzru4yowQz67dz2yc"", ""'GAR'!BI3:BI139""),MATCH($D90,IMPORTRANGE(""1y0FWgjbB0gVlqn-q5LMJbGIsqOrzru4yowQz67dz2yc"", ""'GAR'!D3:D139""),0))"),84)</f>
        <v>84</v>
      </c>
      <c r="AB90" s="2"/>
      <c r="AC90" s="2"/>
    </row>
    <row r="91" spans="1:29">
      <c r="A91" s="149" t="s">
        <v>243</v>
      </c>
      <c r="B91" s="149" t="s">
        <v>247</v>
      </c>
      <c r="C91" s="149" t="s">
        <v>36</v>
      </c>
      <c r="D91" s="149" t="s">
        <v>248</v>
      </c>
      <c r="E91" s="14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2</v>
      </c>
      <c r="Q91" s="12">
        <v>2</v>
      </c>
      <c r="R91" s="2">
        <v>1</v>
      </c>
      <c r="S91" s="2">
        <v>2</v>
      </c>
      <c r="T91" s="2">
        <v>2</v>
      </c>
      <c r="U91" s="2">
        <v>3</v>
      </c>
      <c r="V91" s="2">
        <v>3</v>
      </c>
      <c r="W91" s="2">
        <v>3</v>
      </c>
      <c r="X91" s="12">
        <v>2</v>
      </c>
      <c r="Y91" s="2">
        <f ca="1">IFERROR(__xludf.DUMMYFUNCTION("INDEX(IMPORTRANGE(""1y0FWgjbB0gVlqn-q5LMJbGIsqOrzru4yowQz67dz2yc"", ""'GAR'!BG3:BG139""),MATCH(D91,IMPORTRANGE(""1y0FWgjbB0gVlqn-q5LMJbGIsqOrzru4yowQz67dz2yc"", ""'GAR'!D3:D139""),0))"),3)</f>
        <v>3</v>
      </c>
      <c r="Z91" s="12">
        <f ca="1">IFERROR(__xludf.DUMMYFUNCTION("INDEX(IMPORTRANGE(""1y0FWgjbB0gVlqn-q5LMJbGIsqOrzru4yowQz67dz2yc"", ""'GAR'!BH3:BH139""),MATCH(D91,IMPORTRANGE(""1y0FWgjbB0gVlqn-q5LMJbGIsqOrzru4yowQz67dz2yc"", ""'GAR'!D3:D139""),0))"),2)</f>
        <v>2</v>
      </c>
      <c r="AA91" s="2">
        <f ca="1">IFERROR(__xludf.DUMMYFUNCTION("INDEX(IMPORTRANGE(""1y0FWgjbB0gVlqn-q5LMJbGIsqOrzru4yowQz67dz2yc"", ""'GAR'!BI3:BI139""),MATCH($D91,IMPORTRANGE(""1y0FWgjbB0gVlqn-q5LMJbGIsqOrzru4yowQz67dz2yc"", ""'GAR'!D3:D139""),0))"),3)</f>
        <v>3</v>
      </c>
      <c r="AB91" s="2"/>
      <c r="AC91" s="2"/>
    </row>
    <row r="92" spans="1:29">
      <c r="A92" s="149" t="s">
        <v>243</v>
      </c>
      <c r="B92" s="149" t="s">
        <v>250</v>
      </c>
      <c r="C92" s="149" t="s">
        <v>36</v>
      </c>
      <c r="D92" s="149" t="s">
        <v>251</v>
      </c>
      <c r="E92" s="14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94.73</v>
      </c>
      <c r="Q92" s="12">
        <v>94.73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12">
        <v>100</v>
      </c>
      <c r="Y92" s="24">
        <f ca="1">IFERROR(__xludf.DUMMYFUNCTION("INDEX(IMPORTRANGE(""1y0FWgjbB0gVlqn-q5LMJbGIsqOrzru4yowQz67dz2yc"", ""'GAR'!BG3:BG139""),MATCH(D92,IMPORTRANGE(""1y0FWgjbB0gVlqn-q5LMJbGIsqOrzru4yowQz67dz2yc"", ""'GAR'!D3:D139""),0))"),90.98)</f>
        <v>90.98</v>
      </c>
      <c r="Z92" s="12">
        <f ca="1">IFERROR(__xludf.DUMMYFUNCTION("INDEX(IMPORTRANGE(""1y0FWgjbB0gVlqn-q5LMJbGIsqOrzru4yowQz67dz2yc"", ""'GAR'!BH3:BH139""),MATCH(D92,IMPORTRANGE(""1y0FWgjbB0gVlqn-q5LMJbGIsqOrzru4yowQz67dz2yc"", ""'GAR'!D3:D139""),0))"),94.85)</f>
        <v>94.85</v>
      </c>
      <c r="AA92" s="24">
        <f ca="1">IFERROR(__xludf.DUMMYFUNCTION("INDEX(IMPORTRANGE(""1y0FWgjbB0gVlqn-q5LMJbGIsqOrzru4yowQz67dz2yc"", ""'GAR'!BI3:BI139""),MATCH($D92,IMPORTRANGE(""1y0FWgjbB0gVlqn-q5LMJbGIsqOrzru4yowQz67dz2yc"", ""'GAR'!D3:D139""),0))"),81.36)</f>
        <v>81.36</v>
      </c>
      <c r="AB92" s="2"/>
      <c r="AC92" s="2"/>
    </row>
    <row r="93" spans="1:29">
      <c r="A93" s="149" t="s">
        <v>243</v>
      </c>
      <c r="B93" s="149" t="s">
        <v>257</v>
      </c>
      <c r="C93" s="149" t="s">
        <v>36</v>
      </c>
      <c r="D93" s="149" t="s">
        <v>258</v>
      </c>
      <c r="E93" s="14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12">
        <f ca="1">IFERROR(__xludf.DUMMYFUNCTION("INDEX(IMPORTRANGE(""1y0FWgjbB0gVlqn-q5LMJbGIsqOrzru4yowQz67dz2yc"", ""'GAR'!BG3:BG139""),MATCH(D93,IMPORTRANGE(""1y0FWgjbB0gVlqn-q5LMJbGIsqOrzru4yowQz67dz2yc"", ""'GAR'!D3:D139""),0))"),0)</f>
        <v>0</v>
      </c>
      <c r="Z93" s="12">
        <f ca="1">IFERROR(__xludf.DUMMYFUNCTION("INDEX(IMPORTRANGE(""1y0FWgjbB0gVlqn-q5LMJbGIsqOrzru4yowQz67dz2yc"", ""'GAR'!BH3:BH139""),MATCH(D93,IMPORTRANGE(""1y0FWgjbB0gVlqn-q5LMJbGIsqOrzru4yowQz67dz2yc"", ""'GAR'!D3:D139""),0))"),0)</f>
        <v>0</v>
      </c>
      <c r="AA93" s="12">
        <f ca="1">IFERROR(__xludf.DUMMYFUNCTION("INDEX(IMPORTRANGE(""1y0FWgjbB0gVlqn-q5LMJbGIsqOrzru4yowQz67dz2yc"", ""'GAR'!BI3:BI139""),MATCH($D93,IMPORTRANGE(""1y0FWgjbB0gVlqn-q5LMJbGIsqOrzru4yowQz67dz2yc"", ""'GAR'!D3:D139""),0))"),0)</f>
        <v>0</v>
      </c>
      <c r="AB93" s="2"/>
      <c r="AC93" s="2"/>
    </row>
    <row r="94" spans="1:29">
      <c r="A94" s="149" t="s">
        <v>243</v>
      </c>
      <c r="B94" s="149" t="s">
        <v>260</v>
      </c>
      <c r="C94" s="149" t="s">
        <v>30</v>
      </c>
      <c r="D94" s="149" t="s">
        <v>261</v>
      </c>
      <c r="E94" s="149" t="s">
        <v>38</v>
      </c>
      <c r="F94" s="9" t="s">
        <v>262</v>
      </c>
      <c r="G94" s="11">
        <v>44469</v>
      </c>
      <c r="H94" s="287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4"/>
      <c r="X94" s="2">
        <v>4</v>
      </c>
      <c r="Y94" s="2">
        <f ca="1">IFERROR(__xludf.DUMMYFUNCTION("INDEX(IMPORTRANGE(""1y0FWgjbB0gVlqn-q5LMJbGIsqOrzru4yowQz67dz2yc"", ""'GAR'!BG3:BG139""),MATCH(D94,IMPORTRANGE(""1y0FWgjbB0gVlqn-q5LMJbGIsqOrzru4yowQz67dz2yc"", ""'GAR'!D3:D139""),0))"),2)</f>
        <v>2</v>
      </c>
      <c r="Z94" s="2">
        <f ca="1">IFERROR(__xludf.DUMMYFUNCTION("INDEX(IMPORTRANGE(""1y0FWgjbB0gVlqn-q5LMJbGIsqOrzru4yowQz67dz2yc"", ""'GAR'!BH3:BH139""),MATCH(D94,IMPORTRANGE(""1y0FWgjbB0gVlqn-q5LMJbGIsqOrzru4yowQz67dz2yc"", ""'GAR'!D3:D139""),0))"),4)</f>
        <v>4</v>
      </c>
      <c r="AA94" s="2" t="str">
        <f ca="1">IFERROR(__xludf.DUMMYFUNCTION("INDEX(IMPORTRANGE(""1y0FWgjbB0gVlqn-q5LMJbGIsqOrzru4yowQz67dz2yc"", ""'GAR'!BI3:BI139""),MATCH($D94,IMPORTRANGE(""1y0FWgjbB0gVlqn-q5LMJbGIsqOrzru4yowQz67dz2yc"", ""'GAR'!D3:D139""),0))"),"")</f>
        <v/>
      </c>
      <c r="AB94" s="1"/>
      <c r="AC94" s="1"/>
    </row>
    <row r="95" spans="1:29">
      <c r="A95" s="149" t="s">
        <v>243</v>
      </c>
      <c r="B95" s="149" t="s">
        <v>260</v>
      </c>
      <c r="C95" s="149" t="s">
        <v>30</v>
      </c>
      <c r="D95" s="149" t="s">
        <v>263</v>
      </c>
      <c r="E95" s="149" t="s">
        <v>38</v>
      </c>
      <c r="F95" s="9" t="s">
        <v>264</v>
      </c>
      <c r="G95" s="11">
        <v>44469</v>
      </c>
      <c r="H95" s="13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13"/>
      <c r="T95" s="13"/>
      <c r="U95" s="13"/>
      <c r="V95" s="13"/>
      <c r="W95" s="4"/>
      <c r="X95" s="2">
        <v>17</v>
      </c>
      <c r="Y95" s="2">
        <f ca="1">IFERROR(__xludf.DUMMYFUNCTION("INDEX(IMPORTRANGE(""1y0FWgjbB0gVlqn-q5LMJbGIsqOrzru4yowQz67dz2yc"", ""'GAR'!BG3:BG139""),MATCH(D95,IMPORTRANGE(""1y0FWgjbB0gVlqn-q5LMJbGIsqOrzru4yowQz67dz2yc"", ""'GAR'!D3:D139""),0))"),13)</f>
        <v>13</v>
      </c>
      <c r="Z95" s="2">
        <f ca="1">IFERROR(__xludf.DUMMYFUNCTION("INDEX(IMPORTRANGE(""1y0FWgjbB0gVlqn-q5LMJbGIsqOrzru4yowQz67dz2yc"", ""'GAR'!BH3:BH139""),MATCH(D95,IMPORTRANGE(""1y0FWgjbB0gVlqn-q5LMJbGIsqOrzru4yowQz67dz2yc"", ""'GAR'!D3:D139""),0))"),17)</f>
        <v>17</v>
      </c>
      <c r="AA95" s="2">
        <f ca="1">IFERROR(__xludf.DUMMYFUNCTION("INDEX(IMPORTRANGE(""1y0FWgjbB0gVlqn-q5LMJbGIsqOrzru4yowQz67dz2yc"", ""'GAR'!BI3:BI139""),MATCH($D95,IMPORTRANGE(""1y0FWgjbB0gVlqn-q5LMJbGIsqOrzru4yowQz67dz2yc"", ""'GAR'!D3:D139""),0))"),0)</f>
        <v>0</v>
      </c>
      <c r="AB95" s="1"/>
      <c r="AC95" s="1"/>
    </row>
    <row r="96" spans="1:29">
      <c r="A96" s="149" t="s">
        <v>243</v>
      </c>
      <c r="B96" s="149" t="s">
        <v>260</v>
      </c>
      <c r="C96" s="149" t="s">
        <v>30</v>
      </c>
      <c r="D96" s="149" t="s">
        <v>265</v>
      </c>
      <c r="E96" s="149" t="s">
        <v>38</v>
      </c>
      <c r="F96" s="9" t="s">
        <v>266</v>
      </c>
      <c r="G96" s="11">
        <v>44469</v>
      </c>
      <c r="H96" s="13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13"/>
      <c r="S96" s="13"/>
      <c r="T96" s="13"/>
      <c r="U96" s="13"/>
      <c r="V96" s="13"/>
      <c r="W96" s="4"/>
      <c r="X96" s="2">
        <v>0</v>
      </c>
      <c r="Y96" s="2">
        <f ca="1">IFERROR(__xludf.DUMMYFUNCTION("INDEX(IMPORTRANGE(""1y0FWgjbB0gVlqn-q5LMJbGIsqOrzru4yowQz67dz2yc"", ""'GAR'!BG3:BG139""),MATCH(D96,IMPORTRANGE(""1y0FWgjbB0gVlqn-q5LMJbGIsqOrzru4yowQz67dz2yc"", ""'GAR'!D3:D139""),0))"),0)</f>
        <v>0</v>
      </c>
      <c r="Z96" s="2">
        <f ca="1">IFERROR(__xludf.DUMMYFUNCTION("INDEX(IMPORTRANGE(""1y0FWgjbB0gVlqn-q5LMJbGIsqOrzru4yowQz67dz2yc"", ""'GAR'!BH3:BH139""),MATCH(D96,IMPORTRANGE(""1y0FWgjbB0gVlqn-q5LMJbGIsqOrzru4yowQz67dz2yc"", ""'GAR'!D3:D139""),0))"),0)</f>
        <v>0</v>
      </c>
      <c r="AA96" s="2" t="str">
        <f ca="1">IFERROR(__xludf.DUMMYFUNCTION("INDEX(IMPORTRANGE(""1y0FWgjbB0gVlqn-q5LMJbGIsqOrzru4yowQz67dz2yc"", ""'GAR'!BI3:BI139""),MATCH($D96,IMPORTRANGE(""1y0FWgjbB0gVlqn-q5LMJbGIsqOrzru4yowQz67dz2yc"", ""'GAR'!D3:D139""),0))"),"")</f>
        <v/>
      </c>
      <c r="AB96" s="1"/>
      <c r="AC96" s="1"/>
    </row>
    <row r="97" spans="1:29">
      <c r="A97" s="149" t="s">
        <v>243</v>
      </c>
      <c r="B97" s="149" t="s">
        <v>260</v>
      </c>
      <c r="C97" s="149" t="s">
        <v>30</v>
      </c>
      <c r="D97" s="149" t="s">
        <v>267</v>
      </c>
      <c r="E97" s="149" t="s">
        <v>38</v>
      </c>
      <c r="F97" s="9" t="s">
        <v>268</v>
      </c>
      <c r="G97" s="11">
        <v>44469</v>
      </c>
      <c r="H97" s="13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13"/>
      <c r="S97" s="13"/>
      <c r="T97" s="13"/>
      <c r="U97" s="13"/>
      <c r="V97" s="13"/>
      <c r="W97" s="4"/>
      <c r="X97" s="2">
        <v>0</v>
      </c>
      <c r="Y97" s="2">
        <f ca="1">IFERROR(__xludf.DUMMYFUNCTION("INDEX(IMPORTRANGE(""1y0FWgjbB0gVlqn-q5LMJbGIsqOrzru4yowQz67dz2yc"", ""'GAR'!BG3:BG139""),MATCH(D97,IMPORTRANGE(""1y0FWgjbB0gVlqn-q5LMJbGIsqOrzru4yowQz67dz2yc"", ""'GAR'!D3:D139""),0))"),0)</f>
        <v>0</v>
      </c>
      <c r="Z97" s="2">
        <f ca="1">IFERROR(__xludf.DUMMYFUNCTION("INDEX(IMPORTRANGE(""1y0FWgjbB0gVlqn-q5LMJbGIsqOrzru4yowQz67dz2yc"", ""'GAR'!BH3:BH139""),MATCH(D97,IMPORTRANGE(""1y0FWgjbB0gVlqn-q5LMJbGIsqOrzru4yowQz67dz2yc"", ""'GAR'!D3:D139""),0))"),0)</f>
        <v>0</v>
      </c>
      <c r="AA97" s="2">
        <f ca="1">IFERROR(__xludf.DUMMYFUNCTION("INDEX(IMPORTRANGE(""1y0FWgjbB0gVlqn-q5LMJbGIsqOrzru4yowQz67dz2yc"", ""'GAR'!BI3:BI139""),MATCH($D97,IMPORTRANGE(""1y0FWgjbB0gVlqn-q5LMJbGIsqOrzru4yowQz67dz2yc"", ""'GAR'!D3:D139""),0))"),0)</f>
        <v>0</v>
      </c>
      <c r="AB97" s="1"/>
      <c r="AC97" s="1"/>
    </row>
    <row r="98" spans="1:29">
      <c r="A98" s="149" t="s">
        <v>243</v>
      </c>
      <c r="B98" s="149" t="s">
        <v>260</v>
      </c>
      <c r="C98" s="149" t="s">
        <v>30</v>
      </c>
      <c r="D98" s="149" t="s">
        <v>269</v>
      </c>
      <c r="E98" s="149" t="s">
        <v>38</v>
      </c>
      <c r="F98" s="9" t="s">
        <v>270</v>
      </c>
      <c r="G98" s="11">
        <v>44469</v>
      </c>
      <c r="H98" s="13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13"/>
      <c r="S98" s="13"/>
      <c r="T98" s="13"/>
      <c r="U98" s="13"/>
      <c r="V98" s="13"/>
      <c r="W98" s="4"/>
      <c r="X98" s="2">
        <v>15</v>
      </c>
      <c r="Y98" s="2">
        <f ca="1">IFERROR(__xludf.DUMMYFUNCTION("INDEX(IMPORTRANGE(""1y0FWgjbB0gVlqn-q5LMJbGIsqOrzru4yowQz67dz2yc"", ""'GAR'!BG3:BG139""),MATCH(D98,IMPORTRANGE(""1y0FWgjbB0gVlqn-q5LMJbGIsqOrzru4yowQz67dz2yc"", ""'GAR'!D3:D139""),0))"),19)</f>
        <v>19</v>
      </c>
      <c r="Z98" s="2">
        <f ca="1">IFERROR(__xludf.DUMMYFUNCTION("INDEX(IMPORTRANGE(""1y0FWgjbB0gVlqn-q5LMJbGIsqOrzru4yowQz67dz2yc"", ""'GAR'!BH3:BH139""),MATCH(D98,IMPORTRANGE(""1y0FWgjbB0gVlqn-q5LMJbGIsqOrzru4yowQz67dz2yc"", ""'GAR'!D3:D139""),0))"),16)</f>
        <v>16</v>
      </c>
      <c r="AA98" s="2" t="str">
        <f ca="1">IFERROR(__xludf.DUMMYFUNCTION("INDEX(IMPORTRANGE(""1y0FWgjbB0gVlqn-q5LMJbGIsqOrzru4yowQz67dz2yc"", ""'GAR'!BI3:BI139""),MATCH($D98,IMPORTRANGE(""1y0FWgjbB0gVlqn-q5LMJbGIsqOrzru4yowQz67dz2yc"", ""'GAR'!D3:D139""),0))"),"")</f>
        <v/>
      </c>
      <c r="AB98" s="1"/>
      <c r="AC98" s="1"/>
    </row>
    <row r="99" spans="1:29">
      <c r="A99" s="149" t="s">
        <v>243</v>
      </c>
      <c r="B99" s="149" t="s">
        <v>260</v>
      </c>
      <c r="C99" s="149" t="s">
        <v>30</v>
      </c>
      <c r="D99" s="149" t="s">
        <v>271</v>
      </c>
      <c r="E99" s="149" t="s">
        <v>38</v>
      </c>
      <c r="F99" s="9" t="s">
        <v>272</v>
      </c>
      <c r="G99" s="11">
        <v>44469</v>
      </c>
      <c r="H99" s="13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254"/>
      <c r="Q99" s="254"/>
      <c r="R99" s="13"/>
      <c r="S99" s="13"/>
      <c r="T99" s="13"/>
      <c r="U99" s="13"/>
      <c r="V99" s="13"/>
      <c r="W99" s="4"/>
      <c r="X99" s="2">
        <v>46</v>
      </c>
      <c r="Y99" s="2">
        <f ca="1">IFERROR(__xludf.DUMMYFUNCTION("INDEX(IMPORTRANGE(""1y0FWgjbB0gVlqn-q5LMJbGIsqOrzru4yowQz67dz2yc"", ""'GAR'!BG3:BG139""),MATCH(D99,IMPORTRANGE(""1y0FWgjbB0gVlqn-q5LMJbGIsqOrzru4yowQz67dz2yc"", ""'GAR'!D3:D139""),0))"),59)</f>
        <v>59</v>
      </c>
      <c r="Z99" s="2">
        <f ca="1">IFERROR(__xludf.DUMMYFUNCTION("INDEX(IMPORTRANGE(""1y0FWgjbB0gVlqn-q5LMJbGIsqOrzru4yowQz67dz2yc"", ""'GAR'!BH3:BH139""),MATCH(D99,IMPORTRANGE(""1y0FWgjbB0gVlqn-q5LMJbGIsqOrzru4yowQz67dz2yc"", ""'GAR'!D3:D139""),0))"),54)</f>
        <v>54</v>
      </c>
      <c r="AA99" s="2">
        <f ca="1">IFERROR(__xludf.DUMMYFUNCTION("INDEX(IMPORTRANGE(""1y0FWgjbB0gVlqn-q5LMJbGIsqOrzru4yowQz67dz2yc"", ""'GAR'!BI3:BI139""),MATCH($D99,IMPORTRANGE(""1y0FWgjbB0gVlqn-q5LMJbGIsqOrzru4yowQz67dz2yc"", ""'GAR'!D3:D139""),0))"),0)</f>
        <v>0</v>
      </c>
      <c r="AB99" s="1"/>
      <c r="AC99" s="1"/>
    </row>
    <row r="100" spans="1:29">
      <c r="A100" s="149" t="s">
        <v>243</v>
      </c>
      <c r="B100" s="149" t="s">
        <v>260</v>
      </c>
      <c r="C100" s="149" t="s">
        <v>36</v>
      </c>
      <c r="D100" s="149" t="s">
        <v>273</v>
      </c>
      <c r="E100" s="149" t="s">
        <v>38</v>
      </c>
      <c r="F100" s="9" t="s">
        <v>274</v>
      </c>
      <c r="G100" s="11">
        <v>44469</v>
      </c>
      <c r="H100" s="4"/>
      <c r="I100" s="11">
        <v>44651</v>
      </c>
      <c r="J100" s="4"/>
      <c r="K100" s="11">
        <v>45016</v>
      </c>
      <c r="L100" s="4"/>
      <c r="M100" s="11">
        <v>45382</v>
      </c>
      <c r="N100" s="4"/>
      <c r="O100" s="11">
        <v>45565</v>
      </c>
      <c r="P100" s="254"/>
      <c r="Q100" s="254"/>
      <c r="R100" s="4"/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0.30158730158730157</v>
      </c>
      <c r="Y100" s="15">
        <f ca="1">IFERROR(__xludf.DUMMYFUNCTION("INDEX(IMPORTRANGE(""1y0FWgjbB0gVlqn-q5LMJbGIsqOrzru4yowQz67dz2yc"", ""'GAR'!BG3:BG139""),MATCH(D100,IMPORTRANGE(""1y0FWgjbB0gVlqn-q5LMJbGIsqOrzru4yowQz67dz2yc"", ""'GAR'!D3:D139""),0))"),0.291666666666666)</f>
        <v>0.29166666666666602</v>
      </c>
      <c r="Z100" s="15">
        <f ca="1">IFERROR(__xludf.DUMMYFUNCTION("INDEX(IMPORTRANGE(""1y0FWgjbB0gVlqn-q5LMJbGIsqOrzru4yowQz67dz2yc"", ""'GAR'!BH3:BH139""),MATCH(D100,IMPORTRANGE(""1y0FWgjbB0gVlqn-q5LMJbGIsqOrzru4yowQz67dz2yc"", ""'GAR'!D3:D139""),0))"),0.28169014084507)</f>
        <v>0.28169014084506999</v>
      </c>
      <c r="AA100" s="15" t="str">
        <f ca="1">IFERROR(__xludf.DUMMYFUNCTION("INDEX(IMPORTRANGE(""1y0FWgjbB0gVlqn-q5LMJbGIsqOrzru4yowQz67dz2yc"", ""'GAR'!BI3:BI139""),MATCH($D100,IMPORTRANGE(""1y0FWgjbB0gVlqn-q5LMJbGIsqOrzru4yowQz67dz2yc"", ""'GAR'!D3:D139""),0))"),"")</f>
        <v/>
      </c>
      <c r="AB100" s="2"/>
      <c r="AC100" s="2"/>
    </row>
    <row r="101" spans="1:29">
      <c r="A101" s="149" t="s">
        <v>275</v>
      </c>
      <c r="B101" s="149" t="s">
        <v>276</v>
      </c>
      <c r="C101" s="149" t="s">
        <v>30</v>
      </c>
      <c r="D101" s="149" t="s">
        <v>277</v>
      </c>
      <c r="E101" s="149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6">
        <v>511748251.36000001</v>
      </c>
      <c r="Q101" s="36">
        <v>511748251.36000001</v>
      </c>
      <c r="R101" s="13"/>
      <c r="S101" s="13"/>
      <c r="T101" s="13"/>
      <c r="U101" s="13"/>
      <c r="V101" s="13"/>
      <c r="W101" s="4"/>
      <c r="X101" s="36">
        <v>511748251.36000001</v>
      </c>
      <c r="Y101" s="181" t="str">
        <f ca="1">IFERROR(__xludf.DUMMYFUNCTION("INDEX(IMPORTRANGE(""1y0FWgjbB0gVlqn-q5LMJbGIsqOrzru4yowQz67dz2yc"", ""'GAR'!BG3:BG139""),MATCH(D101,IMPORTRANGE(""1y0FWgjbB0gVlqn-q5LMJbGIsqOrzru4yowQz67dz2yc"", ""'GAR'!D3:D139""),0))"),"")</f>
        <v/>
      </c>
      <c r="Z101" s="36">
        <f ca="1">IFERROR(__xludf.DUMMYFUNCTION("INDEX(IMPORTRANGE(""1y0FWgjbB0gVlqn-q5LMJbGIsqOrzru4yowQz67dz2yc"", ""'GAR'!BH3:BH139""),MATCH(D101,IMPORTRANGE(""1y0FWgjbB0gVlqn-q5LMJbGIsqOrzru4yowQz67dz2yc"", ""'GAR'!D3:D139""),0))"),516904709.24)</f>
        <v>516904709.24000001</v>
      </c>
      <c r="AA101" s="181" t="str">
        <f ca="1">IFERROR(__xludf.DUMMYFUNCTION("INDEX(IMPORTRANGE(""1y0FWgjbB0gVlqn-q5LMJbGIsqOrzru4yowQz67dz2yc"", ""'GAR'!BI3:BI139""),MATCH($D101,IMPORTRANGE(""1y0FWgjbB0gVlqn-q5LMJbGIsqOrzru4yowQz67dz2yc"", ""'GAR'!D3:D139""),0))"),"")</f>
        <v/>
      </c>
      <c r="AB101" s="1"/>
      <c r="AC101" s="1"/>
    </row>
    <row r="102" spans="1:29">
      <c r="A102" s="149" t="s">
        <v>275</v>
      </c>
      <c r="B102" s="149" t="s">
        <v>276</v>
      </c>
      <c r="C102" s="149" t="s">
        <v>30</v>
      </c>
      <c r="D102" s="149" t="s">
        <v>280</v>
      </c>
      <c r="E102" s="149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1136256385.02</v>
      </c>
      <c r="Q102" s="36">
        <v>1136256385.02</v>
      </c>
      <c r="R102" s="13"/>
      <c r="S102" s="13"/>
      <c r="T102" s="13"/>
      <c r="U102" s="13"/>
      <c r="V102" s="13"/>
      <c r="W102" s="4"/>
      <c r="X102" s="36">
        <v>1136256385.02</v>
      </c>
      <c r="Y102" s="181" t="str">
        <f ca="1">IFERROR(__xludf.DUMMYFUNCTION("INDEX(IMPORTRANGE(""1y0FWgjbB0gVlqn-q5LMJbGIsqOrzru4yowQz67dz2yc"", ""'GAR'!BG3:BG139""),MATCH(D102,IMPORTRANGE(""1y0FWgjbB0gVlqn-q5LMJbGIsqOrzru4yowQz67dz2yc"", ""'GAR'!D3:D139""),0))"),"")</f>
        <v/>
      </c>
      <c r="Z102" s="36">
        <f ca="1">IFERROR(__xludf.DUMMYFUNCTION("INDEX(IMPORTRANGE(""1y0FWgjbB0gVlqn-q5LMJbGIsqOrzru4yowQz67dz2yc"", ""'GAR'!BH3:BH139""),MATCH(D102,IMPORTRANGE(""1y0FWgjbB0gVlqn-q5LMJbGIsqOrzru4yowQz67dz2yc"", ""'GAR'!D3:D139""),0))"),1333417569.36)</f>
        <v>1333417569.3599999</v>
      </c>
      <c r="AA102" s="181" t="str">
        <f ca="1">IFERROR(__xludf.DUMMYFUNCTION("INDEX(IMPORTRANGE(""1y0FWgjbB0gVlqn-q5LMJbGIsqOrzru4yowQz67dz2yc"", ""'GAR'!BI3:BI139""),MATCH($D102,IMPORTRANGE(""1y0FWgjbB0gVlqn-q5LMJbGIsqOrzru4yowQz67dz2yc"", ""'GAR'!D3:D139""),0))"),"")</f>
        <v/>
      </c>
      <c r="AB102" s="1"/>
      <c r="AC102" s="1"/>
    </row>
    <row r="103" spans="1:29">
      <c r="A103" s="149" t="s">
        <v>275</v>
      </c>
      <c r="B103" s="149" t="s">
        <v>276</v>
      </c>
      <c r="C103" s="149" t="s">
        <v>36</v>
      </c>
      <c r="D103" s="149" t="s">
        <v>282</v>
      </c>
      <c r="E103" s="149" t="s">
        <v>278</v>
      </c>
      <c r="F103" s="9" t="s">
        <v>283</v>
      </c>
      <c r="G103" s="9" t="s">
        <v>213</v>
      </c>
      <c r="H103" s="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5">P101/P102</f>
        <v>0.45038096868515498</v>
      </c>
      <c r="Q103" s="15">
        <f t="shared" si="25"/>
        <v>0.45038096868515498</v>
      </c>
      <c r="R103" s="2"/>
      <c r="S103" s="26">
        <v>0.46300000000000002</v>
      </c>
      <c r="T103" s="2"/>
      <c r="U103" s="15">
        <v>0.47699999999999998</v>
      </c>
      <c r="V103" s="15">
        <v>0.49</v>
      </c>
      <c r="W103" s="15">
        <v>0.49</v>
      </c>
      <c r="X103" s="15">
        <f>X101/X102</f>
        <v>0.45038096868515498</v>
      </c>
      <c r="Y103" s="302" t="str">
        <f ca="1">IFERROR(__xludf.DUMMYFUNCTION("INDEX(IMPORTRANGE(""1y0FWgjbB0gVlqn-q5LMJbGIsqOrzru4yowQz67dz2yc"", ""'GAR'!BG3:BG139""),MATCH(D103,IMPORTRANGE(""1y0FWgjbB0gVlqn-q5LMJbGIsqOrzru4yowQz67dz2yc"", ""'GAR'!D3:D139""),0))"),"")</f>
        <v/>
      </c>
      <c r="Z103" s="15">
        <f ca="1">IFERROR(__xludf.DUMMYFUNCTION("INDEX(IMPORTRANGE(""1y0FWgjbB0gVlqn-q5LMJbGIsqOrzru4yowQz67dz2yc"", ""'GAR'!BH3:BH139""),MATCH(D103,IMPORTRANGE(""1y0FWgjbB0gVlqn-q5LMJbGIsqOrzru4yowQz67dz2yc"", ""'GAR'!D3:D139""),0))"),0.387654041102892)</f>
        <v>0.38765404110289198</v>
      </c>
      <c r="AA103" s="302" t="str">
        <f ca="1">IFERROR(__xludf.DUMMYFUNCTION("INDEX(IMPORTRANGE(""1y0FWgjbB0gVlqn-q5LMJbGIsqOrzru4yowQz67dz2yc"", ""'GAR'!BI3:BI139""),MATCH($D103,IMPORTRANGE(""1y0FWgjbB0gVlqn-q5LMJbGIsqOrzru4yowQz67dz2yc"", ""'GAR'!D3:D139""),0))"),"")</f>
        <v/>
      </c>
      <c r="AB103" s="2"/>
      <c r="AC103" s="2"/>
    </row>
    <row r="104" spans="1:29">
      <c r="A104" s="149" t="s">
        <v>275</v>
      </c>
      <c r="B104" s="149" t="s">
        <v>284</v>
      </c>
      <c r="C104" s="149" t="s">
        <v>30</v>
      </c>
      <c r="D104" s="149" t="s">
        <v>285</v>
      </c>
      <c r="E104" s="149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6">
        <v>909273724.54999995</v>
      </c>
      <c r="Q104" s="36">
        <v>909273724.54999995</v>
      </c>
      <c r="R104" s="13"/>
      <c r="S104" s="13"/>
      <c r="T104" s="13"/>
      <c r="U104" s="13"/>
      <c r="V104" s="13"/>
      <c r="W104" s="4"/>
      <c r="X104" s="36">
        <v>909273724.54999995</v>
      </c>
      <c r="Y104" s="181" t="str">
        <f ca="1">IFERROR(__xludf.DUMMYFUNCTION("INDEX(IMPORTRANGE(""1y0FWgjbB0gVlqn-q5LMJbGIsqOrzru4yowQz67dz2yc"", ""'GAR'!BG3:BG139""),MATCH(D104,IMPORTRANGE(""1y0FWgjbB0gVlqn-q5LMJbGIsqOrzru4yowQz67dz2yc"", ""'GAR'!D3:D139""),0))"),"")</f>
        <v/>
      </c>
      <c r="Z104" s="36">
        <f ca="1">IFERROR(__xludf.DUMMYFUNCTION("INDEX(IMPORTRANGE(""1y0FWgjbB0gVlqn-q5LMJbGIsqOrzru4yowQz67dz2yc"", ""'GAR'!BH3:BH139""),MATCH(D104,IMPORTRANGE(""1y0FWgjbB0gVlqn-q5LMJbGIsqOrzru4yowQz67dz2yc"", ""'GAR'!D3:D139""),0))"),1114024732.85)</f>
        <v>1114024732.8499999</v>
      </c>
      <c r="AA104" s="181" t="str">
        <f ca="1">IFERROR(__xludf.DUMMYFUNCTION("INDEX(IMPORTRANGE(""1y0FWgjbB0gVlqn-q5LMJbGIsqOrzru4yowQz67dz2yc"", ""'GAR'!BI3:BI139""),MATCH($D104,IMPORTRANGE(""1y0FWgjbB0gVlqn-q5LMJbGIsqOrzru4yowQz67dz2yc"", ""'GAR'!D3:D139""),0))"),"")</f>
        <v/>
      </c>
      <c r="AB104" s="1"/>
      <c r="AC104" s="1"/>
    </row>
    <row r="105" spans="1:29">
      <c r="A105" s="149" t="s">
        <v>275</v>
      </c>
      <c r="B105" s="149" t="s">
        <v>276</v>
      </c>
      <c r="C105" s="149" t="s">
        <v>36</v>
      </c>
      <c r="D105" s="149" t="s">
        <v>287</v>
      </c>
      <c r="E105" s="149" t="s">
        <v>278</v>
      </c>
      <c r="F105" s="9" t="s">
        <v>288</v>
      </c>
      <c r="G105" s="9" t="s">
        <v>213</v>
      </c>
      <c r="H105" s="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5">
        <f t="shared" ref="P105:Q105" si="26">P101/P104</f>
        <v>0.56280989711130658</v>
      </c>
      <c r="Q105" s="15">
        <f t="shared" si="26"/>
        <v>0.56280989711130658</v>
      </c>
      <c r="R105" s="2"/>
      <c r="S105" s="26">
        <v>0.57999999999999996</v>
      </c>
      <c r="T105" s="2"/>
      <c r="U105" s="15">
        <v>0.59599999999999997</v>
      </c>
      <c r="V105" s="15">
        <v>0.61299999999999999</v>
      </c>
      <c r="W105" s="15">
        <v>0.61299999999999999</v>
      </c>
      <c r="X105" s="15">
        <f>X101/X104</f>
        <v>0.56280989711130658</v>
      </c>
      <c r="Y105" s="302" t="str">
        <f ca="1">IFERROR(__xludf.DUMMYFUNCTION("INDEX(IMPORTRANGE(""1y0FWgjbB0gVlqn-q5LMJbGIsqOrzru4yowQz67dz2yc"", ""'GAR'!BG3:BG139""),MATCH(D105,IMPORTRANGE(""1y0FWgjbB0gVlqn-q5LMJbGIsqOrzru4yowQz67dz2yc"", ""'GAR'!D3:D139""),0))"),"")</f>
        <v/>
      </c>
      <c r="Z105" s="15">
        <f ca="1">IFERROR(__xludf.DUMMYFUNCTION("INDEX(IMPORTRANGE(""1y0FWgjbB0gVlqn-q5LMJbGIsqOrzru4yowQz67dz2yc"", ""'GAR'!BH3:BH139""),MATCH(D105,IMPORTRANGE(""1y0FWgjbB0gVlqn-q5LMJbGIsqOrzru4yowQz67dz2yc"", ""'GAR'!D3:D139""),0))"),0.463997516390508)</f>
        <v>0.46399751639050801</v>
      </c>
      <c r="AA105" s="302" t="str">
        <f ca="1">IFERROR(__xludf.DUMMYFUNCTION("INDEX(IMPORTRANGE(""1y0FWgjbB0gVlqn-q5LMJbGIsqOrzru4yowQz67dz2yc"", ""'GAR'!BI3:BI139""),MATCH($D105,IMPORTRANGE(""1y0FWgjbB0gVlqn-q5LMJbGIsqOrzru4yowQz67dz2yc"", ""'GAR'!D3:D139""),0))"),"")</f>
        <v/>
      </c>
      <c r="AB105" s="2"/>
      <c r="AC105" s="2"/>
    </row>
    <row r="106" spans="1:29">
      <c r="A106" s="149" t="s">
        <v>275</v>
      </c>
      <c r="B106" s="149" t="s">
        <v>276</v>
      </c>
      <c r="C106" s="149" t="s">
        <v>30</v>
      </c>
      <c r="D106" s="149" t="s">
        <v>289</v>
      </c>
      <c r="E106" s="149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12">
        <v>195965</v>
      </c>
      <c r="Q106" s="12">
        <v>195965</v>
      </c>
      <c r="R106" s="13"/>
      <c r="S106" s="13"/>
      <c r="T106" s="13"/>
      <c r="U106" s="13"/>
      <c r="V106" s="13"/>
      <c r="W106" s="4"/>
      <c r="X106" s="12">
        <v>202489</v>
      </c>
      <c r="Y106" s="181" t="str">
        <f ca="1">IFERROR(__xludf.DUMMYFUNCTION("INDEX(IMPORTRANGE(""1y0FWgjbB0gVlqn-q5LMJbGIsqOrzru4yowQz67dz2yc"", ""'GAR'!BG3:BG139""),MATCH(D106,IMPORTRANGE(""1y0FWgjbB0gVlqn-q5LMJbGIsqOrzru4yowQz67dz2yc"", ""'GAR'!D3:D139""),0))"),"")</f>
        <v/>
      </c>
      <c r="Z106" s="12">
        <f ca="1">IFERROR(__xludf.DUMMYFUNCTION("INDEX(IMPORTRANGE(""1y0FWgjbB0gVlqn-q5LMJbGIsqOrzru4yowQz67dz2yc"", ""'GAR'!BH3:BH139""),MATCH(D106,IMPORTRANGE(""1y0FWgjbB0gVlqn-q5LMJbGIsqOrzru4yowQz67dz2yc"", ""'GAR'!D3:D139""),0))"),202489)</f>
        <v>202489</v>
      </c>
      <c r="AA106" s="181" t="str">
        <f ca="1">IFERROR(__xludf.DUMMYFUNCTION("INDEX(IMPORTRANGE(""1y0FWgjbB0gVlqn-q5LMJbGIsqOrzru4yowQz67dz2yc"", ""'GAR'!BI3:BI139""),MATCH($D106,IMPORTRANGE(""1y0FWgjbB0gVlqn-q5LMJbGIsqOrzru4yowQz67dz2yc"", ""'GAR'!D3:D139""),0))"),"")</f>
        <v/>
      </c>
      <c r="AB106" s="1"/>
      <c r="AC106" s="1"/>
    </row>
    <row r="107" spans="1:29">
      <c r="A107" s="149" t="s">
        <v>275</v>
      </c>
      <c r="B107" s="149" t="s">
        <v>276</v>
      </c>
      <c r="C107" s="149" t="s">
        <v>30</v>
      </c>
      <c r="D107" s="149" t="s">
        <v>290</v>
      </c>
      <c r="E107" s="149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69862</v>
      </c>
      <c r="Q107" s="12">
        <v>69862</v>
      </c>
      <c r="R107" s="1"/>
      <c r="S107" s="1"/>
      <c r="T107" s="1"/>
      <c r="U107" s="1"/>
      <c r="V107" s="1"/>
      <c r="W107" s="2"/>
      <c r="X107" s="12">
        <v>69862</v>
      </c>
      <c r="Y107" s="181" t="str">
        <f ca="1">IFERROR(__xludf.DUMMYFUNCTION("INDEX(IMPORTRANGE(""1y0FWgjbB0gVlqn-q5LMJbGIsqOrzru4yowQz67dz2yc"", ""'GAR'!BG3:BG139""),MATCH(D107,IMPORTRANGE(""1y0FWgjbB0gVlqn-q5LMJbGIsqOrzru4yowQz67dz2yc"", ""'GAR'!D3:D139""),0))"),"")</f>
        <v/>
      </c>
      <c r="Z107" s="12">
        <f ca="1">IFERROR(__xludf.DUMMYFUNCTION("INDEX(IMPORTRANGE(""1y0FWgjbB0gVlqn-q5LMJbGIsqOrzru4yowQz67dz2yc"", ""'GAR'!BH3:BH139""),MATCH(D107,IMPORTRANGE(""1y0FWgjbB0gVlqn-q5LMJbGIsqOrzru4yowQz67dz2yc"", ""'GAR'!D3:D139""),0))"),63078)</f>
        <v>63078</v>
      </c>
      <c r="AA107" s="181" t="str">
        <f ca="1">IFERROR(__xludf.DUMMYFUNCTION("INDEX(IMPORTRANGE(""1y0FWgjbB0gVlqn-q5LMJbGIsqOrzru4yowQz67dz2yc"", ""'GAR'!BI3:BI139""),MATCH($D107,IMPORTRANGE(""1y0FWgjbB0gVlqn-q5LMJbGIsqOrzru4yowQz67dz2yc"", ""'GAR'!D3:D139""),0))"),"")</f>
        <v/>
      </c>
      <c r="AB107" s="1"/>
      <c r="AC107" s="1"/>
    </row>
    <row r="108" spans="1:29">
      <c r="A108" s="149" t="s">
        <v>275</v>
      </c>
      <c r="B108" s="149" t="s">
        <v>276</v>
      </c>
      <c r="C108" s="149" t="s">
        <v>36</v>
      </c>
      <c r="D108" s="149" t="s">
        <v>292</v>
      </c>
      <c r="E108" s="149" t="s">
        <v>38</v>
      </c>
      <c r="F108" s="9" t="s">
        <v>293</v>
      </c>
      <c r="G108" s="9" t="s">
        <v>213</v>
      </c>
      <c r="H108" s="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15">
        <f t="shared" ref="P108:Q108" si="27">P107/P106</f>
        <v>0.35650243665960757</v>
      </c>
      <c r="Q108" s="15">
        <f t="shared" si="27"/>
        <v>0.35650243665960757</v>
      </c>
      <c r="R108" s="2"/>
      <c r="S108" s="26">
        <v>0.36399999999999999</v>
      </c>
      <c r="T108" s="2"/>
      <c r="U108" s="15">
        <v>0.37</v>
      </c>
      <c r="V108" s="15">
        <v>0.377</v>
      </c>
      <c r="W108" s="15">
        <v>0.377</v>
      </c>
      <c r="X108" s="15">
        <f>X107/X106</f>
        <v>0.34501627248887595</v>
      </c>
      <c r="Y108" s="302" t="str">
        <f ca="1">IFERROR(__xludf.DUMMYFUNCTION("INDEX(IMPORTRANGE(""1y0FWgjbB0gVlqn-q5LMJbGIsqOrzru4yowQz67dz2yc"", ""'GAR'!BG3:BG139""),MATCH(D108,IMPORTRANGE(""1y0FWgjbB0gVlqn-q5LMJbGIsqOrzru4yowQz67dz2yc"", ""'GAR'!D3:D139""),0))"),"")</f>
        <v/>
      </c>
      <c r="Z108" s="15">
        <f ca="1">IFERROR(__xludf.DUMMYFUNCTION("INDEX(IMPORTRANGE(""1y0FWgjbB0gVlqn-q5LMJbGIsqOrzru4yowQz67dz2yc"", ""'GAR'!BH3:BH139""),MATCH(D108,IMPORTRANGE(""1y0FWgjbB0gVlqn-q5LMJbGIsqOrzru4yowQz67dz2yc"", ""'GAR'!D3:D139""),0))"),0.311513218001965)</f>
        <v>0.31151321800196502</v>
      </c>
      <c r="AA108" s="302" t="str">
        <f ca="1">IFERROR(__xludf.DUMMYFUNCTION("INDEX(IMPORTRANGE(""1y0FWgjbB0gVlqn-q5LMJbGIsqOrzru4yowQz67dz2yc"", ""'GAR'!BI3:BI139""),MATCH($D108,IMPORTRANGE(""1y0FWgjbB0gVlqn-q5LMJbGIsqOrzru4yowQz67dz2yc"", ""'GAR'!D3:D139""),0))"),"")</f>
        <v/>
      </c>
      <c r="AB108" s="2"/>
      <c r="AC108" s="2"/>
    </row>
    <row r="109" spans="1:29">
      <c r="A109" s="149" t="s">
        <v>275</v>
      </c>
      <c r="B109" s="149" t="s">
        <v>276</v>
      </c>
      <c r="C109" s="149" t="s">
        <v>30</v>
      </c>
      <c r="D109" s="149" t="s">
        <v>294</v>
      </c>
      <c r="E109" s="149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1"/>
      <c r="S109" s="1"/>
      <c r="T109" s="1"/>
      <c r="U109" s="1"/>
      <c r="V109" s="1"/>
      <c r="W109" s="2"/>
      <c r="X109" s="36"/>
      <c r="Y109" s="181" t="str">
        <f ca="1">IFERROR(__xludf.DUMMYFUNCTION("INDEX(IMPORTRANGE(""1y0FWgjbB0gVlqn-q5LMJbGIsqOrzru4yowQz67dz2yc"", ""'GAR'!BG3:BG139""),MATCH(D109,IMPORTRANGE(""1y0FWgjbB0gVlqn-q5LMJbGIsqOrzru4yowQz67dz2yc"", ""'GAR'!D3:D139""),0))"),"")</f>
        <v/>
      </c>
      <c r="Z109" s="36">
        <f ca="1">IFERROR(__xludf.DUMMYFUNCTION("INDEX(IMPORTRANGE(""1y0FWgjbB0gVlqn-q5LMJbGIsqOrzru4yowQz67dz2yc"", ""'GAR'!BH3:BH139""),MATCH(D109,IMPORTRANGE(""1y0FWgjbB0gVlqn-q5LMJbGIsqOrzru4yowQz67dz2yc"", ""'GAR'!D3:D139""),0))"),98525893.12)</f>
        <v>98525893.120000005</v>
      </c>
      <c r="AA109" s="181" t="str">
        <f ca="1">IFERROR(__xludf.DUMMYFUNCTION("INDEX(IMPORTRANGE(""1y0FWgjbB0gVlqn-q5LMJbGIsqOrzru4yowQz67dz2yc"", ""'GAR'!BI3:BI139""),MATCH($D109,IMPORTRANGE(""1y0FWgjbB0gVlqn-q5LMJbGIsqOrzru4yowQz67dz2yc"", ""'GAR'!D3:D139""),0))"),"")</f>
        <v/>
      </c>
      <c r="AB109" s="1"/>
      <c r="AC109" s="1"/>
    </row>
    <row r="110" spans="1:29">
      <c r="A110" s="149" t="s">
        <v>275</v>
      </c>
      <c r="B110" s="149" t="s">
        <v>276</v>
      </c>
      <c r="C110" s="149" t="s">
        <v>36</v>
      </c>
      <c r="D110" s="149" t="s">
        <v>296</v>
      </c>
      <c r="E110" s="149" t="s">
        <v>38</v>
      </c>
      <c r="F110" s="9" t="s">
        <v>297</v>
      </c>
      <c r="G110" s="9" t="s">
        <v>213</v>
      </c>
      <c r="H110" s="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36">
        <v>103093630.20999999</v>
      </c>
      <c r="Q110" s="36">
        <v>103093630.20999999</v>
      </c>
      <c r="R110" s="2"/>
      <c r="S110" s="36">
        <v>105186430.90000001</v>
      </c>
      <c r="T110" s="2"/>
      <c r="U110" s="36">
        <v>107279231.59999999</v>
      </c>
      <c r="V110" s="36">
        <v>109372032.29000001</v>
      </c>
      <c r="W110" s="36">
        <v>109372032.29000001</v>
      </c>
      <c r="X110" s="36">
        <v>103093630.20999999</v>
      </c>
      <c r="Y110" s="336" t="str">
        <f ca="1">IFERROR(__xludf.DUMMYFUNCTION("INDEX(IMPORTRANGE(""1y0FWgjbB0gVlqn-q5LMJbGIsqOrzru4yowQz67dz2yc"", ""'GAR'!BG3:BG139""),MATCH(D110,IMPORTRANGE(""1y0FWgjbB0gVlqn-q5LMJbGIsqOrzru4yowQz67dz2yc"", ""'GAR'!D3:D139""),0))"),"")</f>
        <v/>
      </c>
      <c r="Z110" s="36">
        <f ca="1">IFERROR(__xludf.DUMMYFUNCTION("INDEX(IMPORTRANGE(""1y0FWgjbB0gVlqn-q5LMJbGIsqOrzru4yowQz67dz2yc"", ""'GAR'!BH3:BH139""),MATCH(D110,IMPORTRANGE(""1y0FWgjbB0gVlqn-q5LMJbGIsqOrzru4yowQz67dz2yc"", ""'GAR'!D3:D139""),0))"),99582374.12)</f>
        <v>99582374.120000005</v>
      </c>
      <c r="AA110" s="336" t="str">
        <f ca="1">IFERROR(__xludf.DUMMYFUNCTION("INDEX(IMPORTRANGE(""1y0FWgjbB0gVlqn-q5LMJbGIsqOrzru4yowQz67dz2yc"", ""'GAR'!BI3:BI139""),MATCH($D110,IMPORTRANGE(""1y0FWgjbB0gVlqn-q5LMJbGIsqOrzru4yowQz67dz2yc"", ""'GAR'!D3:D139""),0))"),"")</f>
        <v/>
      </c>
      <c r="AB110" s="2"/>
      <c r="AC110" s="2"/>
    </row>
    <row r="111" spans="1:29">
      <c r="A111" s="149" t="s">
        <v>275</v>
      </c>
      <c r="B111" s="149" t="s">
        <v>298</v>
      </c>
      <c r="C111" s="149" t="s">
        <v>30</v>
      </c>
      <c r="D111" s="149" t="s">
        <v>299</v>
      </c>
      <c r="E111" s="149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1057181202.3099999</v>
      </c>
      <c r="Q111" s="36">
        <v>1057181202.3099999</v>
      </c>
      <c r="R111" s="13"/>
      <c r="S111" s="13"/>
      <c r="T111" s="13"/>
      <c r="U111" s="13"/>
      <c r="V111" s="13"/>
      <c r="W111" s="4"/>
      <c r="X111" s="36">
        <v>1057181202.3099999</v>
      </c>
      <c r="Y111" s="181" t="str">
        <f ca="1">IFERROR(__xludf.DUMMYFUNCTION("INDEX(IMPORTRANGE(""1y0FWgjbB0gVlqn-q5LMJbGIsqOrzru4yowQz67dz2yc"", ""'GAR'!BG3:BG139""),MATCH(D111,IMPORTRANGE(""1y0FWgjbB0gVlqn-q5LMJbGIsqOrzru4yowQz67dz2yc"", ""'GAR'!D3:D139""),0))"),"")</f>
        <v/>
      </c>
      <c r="Z111" s="36">
        <f ca="1">IFERROR(__xludf.DUMMYFUNCTION("INDEX(IMPORTRANGE(""1y0FWgjbB0gVlqn-q5LMJbGIsqOrzru4yowQz67dz2yc"", ""'GAR'!BH3:BH139""),MATCH(D111,IMPORTRANGE(""1y0FWgjbB0gVlqn-q5LMJbGIsqOrzru4yowQz67dz2yc"", ""'GAR'!D3:D139""),0))"),1308274821.6)</f>
        <v>1308274821.5999999</v>
      </c>
      <c r="AA111" s="181" t="str">
        <f ca="1">IFERROR(__xludf.DUMMYFUNCTION("INDEX(IMPORTRANGE(""1y0FWgjbB0gVlqn-q5LMJbGIsqOrzru4yowQz67dz2yc"", ""'GAR'!BI3:BI139""),MATCH($D111,IMPORTRANGE(""1y0FWgjbB0gVlqn-q5LMJbGIsqOrzru4yowQz67dz2yc"", ""'GAR'!D3:D139""),0))"),"")</f>
        <v/>
      </c>
      <c r="AB111" s="1"/>
      <c r="AC111" s="1"/>
    </row>
    <row r="112" spans="1:29">
      <c r="A112" s="149" t="s">
        <v>275</v>
      </c>
      <c r="B112" s="149" t="s">
        <v>298</v>
      </c>
      <c r="C112" s="149" t="s">
        <v>36</v>
      </c>
      <c r="D112" s="149" t="s">
        <v>301</v>
      </c>
      <c r="E112" s="149" t="s">
        <v>278</v>
      </c>
      <c r="F112" s="9" t="s">
        <v>302</v>
      </c>
      <c r="G112" s="9" t="s">
        <v>213</v>
      </c>
      <c r="H112" s="2" t="s">
        <v>214</v>
      </c>
      <c r="I112" s="9" t="s">
        <v>215</v>
      </c>
      <c r="J112" s="4"/>
      <c r="K112" s="9" t="s">
        <v>216</v>
      </c>
      <c r="L112" s="4"/>
      <c r="M112" s="9" t="s">
        <v>217</v>
      </c>
      <c r="N112" s="2" t="s">
        <v>218</v>
      </c>
      <c r="O112" s="2" t="s">
        <v>218</v>
      </c>
      <c r="P112" s="15">
        <f t="shared" ref="P112:Q112" si="28">P104/P111</f>
        <v>0.86009259582291675</v>
      </c>
      <c r="Q112" s="15">
        <f t="shared" si="28"/>
        <v>0.86009259582291675</v>
      </c>
      <c r="R112" s="2"/>
      <c r="S112" s="26">
        <v>0.84299999999999997</v>
      </c>
      <c r="T112" s="2"/>
      <c r="U112" s="15">
        <v>0.82699999999999996</v>
      </c>
      <c r="V112" s="15">
        <v>0.81</v>
      </c>
      <c r="W112" s="15">
        <v>0.81</v>
      </c>
      <c r="X112" s="15">
        <f>X104/X111</f>
        <v>0.86009259582291675</v>
      </c>
      <c r="Y112" s="302" t="str">
        <f ca="1">IFERROR(__xludf.DUMMYFUNCTION("INDEX(IMPORTRANGE(""1y0FWgjbB0gVlqn-q5LMJbGIsqOrzru4yowQz67dz2yc"", ""'GAR'!BG3:BG139""),MATCH(D112,IMPORTRANGE(""1y0FWgjbB0gVlqn-q5LMJbGIsqOrzru4yowQz67dz2yc"", ""'GAR'!D3:D139""),0))"),"")</f>
        <v/>
      </c>
      <c r="Z112" s="15">
        <f ca="1">IFERROR(__xludf.DUMMYFUNCTION("INDEX(IMPORTRANGE(""1y0FWgjbB0gVlqn-q5LMJbGIsqOrzru4yowQz67dz2yc"", ""'GAR'!BH3:BH139""),MATCH(D112,IMPORTRANGE(""1y0FWgjbB0gVlqn-q5LMJbGIsqOrzru4yowQz67dz2yc"", ""'GAR'!D3:D139""),0))"),0.851521954299758)</f>
        <v>0.85152195429975797</v>
      </c>
      <c r="AA112" s="302" t="str">
        <f ca="1">IFERROR(__xludf.DUMMYFUNCTION("INDEX(IMPORTRANGE(""1y0FWgjbB0gVlqn-q5LMJbGIsqOrzru4yowQz67dz2yc"", ""'GAR'!BI3:BI139""),MATCH($D112,IMPORTRANGE(""1y0FWgjbB0gVlqn-q5LMJbGIsqOrzru4yowQz67dz2yc"", ""'GAR'!D3:D139""),0))"),"")</f>
        <v/>
      </c>
      <c r="AB112" s="2"/>
      <c r="AC112" s="2"/>
    </row>
    <row r="113" spans="1:29">
      <c r="A113" s="149" t="s">
        <v>275</v>
      </c>
      <c r="B113" s="149" t="s">
        <v>303</v>
      </c>
      <c r="C113" s="149" t="s">
        <v>36</v>
      </c>
      <c r="D113" s="149" t="s">
        <v>304</v>
      </c>
      <c r="E113" s="149" t="s">
        <v>305</v>
      </c>
      <c r="F113" s="9" t="s">
        <v>306</v>
      </c>
      <c r="G113" s="11" t="s">
        <v>307</v>
      </c>
      <c r="H113" s="4"/>
      <c r="I113" s="2" t="s">
        <v>254</v>
      </c>
      <c r="J113" s="4"/>
      <c r="K113" s="2" t="s">
        <v>255</v>
      </c>
      <c r="L113" s="4"/>
      <c r="M113" s="2" t="s">
        <v>256</v>
      </c>
      <c r="N113" s="49">
        <v>45473</v>
      </c>
      <c r="O113" s="2"/>
      <c r="P113" s="30" t="s">
        <v>308</v>
      </c>
      <c r="Q113" s="30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30" t="s">
        <v>308</v>
      </c>
      <c r="Y113" s="181" t="str">
        <f ca="1">IFERROR(__xludf.DUMMYFUNCTION("INDEX(IMPORTRANGE(""1y0FWgjbB0gVlqn-q5LMJbGIsqOrzru4yowQz67dz2yc"", ""'GAR'!BG3:BG139""),MATCH(D113,IMPORTRANGE(""1y0FWgjbB0gVlqn-q5LMJbGIsqOrzru4yowQz67dz2yc"", ""'GAR'!D3:D139""),0))"),"")</f>
        <v/>
      </c>
      <c r="Z113" s="30" t="str">
        <f ca="1">IFERROR(__xludf.DUMMYFUNCTION("INDEX(IMPORTRANGE(""1y0FWgjbB0gVlqn-q5LMJbGIsqOrzru4yowQz67dz2yc"", ""'GAR'!BH3:BH139""),MATCH(D113,IMPORTRANGE(""1y0FWgjbB0gVlqn-q5LMJbGIsqOrzru4yowQz67dz2yc"", ""'GAR'!D3:D139""),0))"),"Verde")</f>
        <v>Verde</v>
      </c>
      <c r="AA113" s="181" t="str">
        <f ca="1">IFERROR(__xludf.DUMMYFUNCTION("INDEX(IMPORTRANGE(""1y0FWgjbB0gVlqn-q5LMJbGIsqOrzru4yowQz67dz2yc"", ""'GAR'!BI3:BI139""),MATCH($D113,IMPORTRANGE(""1y0FWgjbB0gVlqn-q5LMJbGIsqOrzru4yowQz67dz2yc"", ""'GAR'!D3:D139""),0))"),"")</f>
        <v/>
      </c>
      <c r="AB113" s="2"/>
      <c r="AC113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E61-EEC8-0943-856C-61AFD77B386D}">
  <dimension ref="A1:M31"/>
  <sheetViews>
    <sheetView workbookViewId="0">
      <selection activeCell="I2" sqref="I2"/>
    </sheetView>
  </sheetViews>
  <sheetFormatPr baseColWidth="10" defaultRowHeight="16"/>
  <cols>
    <col min="1" max="1" width="10.83203125" style="118"/>
    <col min="3" max="3" width="19.1640625" customWidth="1"/>
    <col min="4" max="4" width="12.5" customWidth="1"/>
    <col min="5" max="5" width="12.3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GAR'!$D$3:$Y$113,4,0)</f>
        <v>44469</v>
      </c>
      <c r="E2" s="76">
        <f>VLOOKUP(C2,'BD EVA 3 GAR'!$D$3:$Q$110,14,0)</f>
        <v>382</v>
      </c>
      <c r="F2" s="75">
        <f>VLOOKUP(C2,'BD EVA 3 GAR'!$D$3:$AC$113,9,0)</f>
        <v>45199</v>
      </c>
      <c r="G2" s="71">
        <f ca="1">VLOOKUP(C2,'BD EVA 3 GAR'!$D$3:$AC$113,24,0)</f>
        <v>408</v>
      </c>
      <c r="H2" s="71">
        <f>VLOOKUP(C2,'BD EVA 3 GAR'!$D$3:$AC$113,17,0)</f>
        <v>450</v>
      </c>
      <c r="I2" s="78">
        <f ca="1">IF(G2&gt;=E2,G2/H2,0)</f>
        <v>0.90666666666666662</v>
      </c>
      <c r="J2" s="72" t="s">
        <v>316</v>
      </c>
      <c r="K2" s="81">
        <v>2.7</v>
      </c>
      <c r="L2" s="81">
        <f t="shared" ref="L2:L31" ca="1" si="0">IF(I2&lt;0,0,IF(I2&gt;1,K2,I2*K2))</f>
        <v>2.448</v>
      </c>
      <c r="M2" s="124">
        <f ca="1">SUM(L2:L4)</f>
        <v>9.4238439458257517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GAR'!$D$3:$Y$113,4,0)</f>
        <v>44469</v>
      </c>
      <c r="E3" s="207">
        <f>VLOOKUP(C3,'BD EVA 3 GAR'!$D$3:$Q$110,14,0)</f>
        <v>0.51570680628272247</v>
      </c>
      <c r="F3" s="75">
        <f>VLOOKUP(C3,'BD EVA 3 GAR'!$D$3:$AC$113,9,0)</f>
        <v>45199</v>
      </c>
      <c r="G3" s="207">
        <f ca="1">VLOOKUP(C3,'BD EVA 3 GAR'!$D$3:$AC$113,24,0)</f>
        <v>0.88725490196078405</v>
      </c>
      <c r="H3" s="207" t="str">
        <f>VLOOKUP(C3,'BD EVA 3 GAR'!$D$3:$AC$113,17,0)</f>
        <v>&gt;=97%</v>
      </c>
      <c r="I3" s="78">
        <f ca="1">IF(G3&gt;=97%,1,G3/97%)</f>
        <v>0.91469577521730316</v>
      </c>
      <c r="J3" s="75" t="s">
        <v>318</v>
      </c>
      <c r="K3" s="81">
        <v>3.8</v>
      </c>
      <c r="L3" s="81">
        <f t="shared" ca="1" si="0"/>
        <v>3.4758439458257517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GAR'!$D$3:$Y$113,4,0)</f>
        <v>44469</v>
      </c>
      <c r="E4" s="207">
        <f>VLOOKUP(C4,'BD EVA 3 GAR'!$D$3:$Q$110,14,0)</f>
        <v>0</v>
      </c>
      <c r="F4" s="75">
        <f>VLOOKUP(C4,'BD EVA 3 GAR'!$D$3:$AC$113,9,0)</f>
        <v>45199</v>
      </c>
      <c r="G4" s="207">
        <f ca="1">VLOOKUP(C4,'BD EVA 3 GAR'!$D$3:$AC$113,24,0)</f>
        <v>1.7156862745097999E-2</v>
      </c>
      <c r="H4" s="207">
        <f>VLOOKUP(C4,'BD EVA 3 GAR'!$D$3:$AC$113,17,0)</f>
        <v>5.0000000000000001E-4</v>
      </c>
      <c r="I4" s="77">
        <f t="shared" ref="I4:I5" ca="1" si="1">G4/H4</f>
        <v>34.313725490195999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GAR'!$D$3:$Y$113,4,0)</f>
        <v>octubre 20 - mar 21</v>
      </c>
      <c r="E5" s="207">
        <f>VLOOKUP(C5,'BD EVA 3 GAR'!$D$3:$Q$110,14,0)</f>
        <v>0</v>
      </c>
      <c r="F5" s="75" t="str">
        <f>VLOOKUP(C5,'BD EVA 3 GAR'!$D$3:$AC$113,9,0)</f>
        <v>octubre 22 - septiembre 23</v>
      </c>
      <c r="G5" s="207">
        <f ca="1">VLOOKUP(C5,'BD EVA 3 GAR'!$D$3:$AC$113,24,0)</f>
        <v>2.88924558587479E-2</v>
      </c>
      <c r="H5" s="207">
        <f>VLOOKUP(C5,'BD EVA 3 GAR'!$D$3:$AC$113,17,0)</f>
        <v>0.06</v>
      </c>
      <c r="I5" s="77">
        <f t="shared" ca="1" si="1"/>
        <v>0.4815409309791317</v>
      </c>
      <c r="J5" s="72" t="s">
        <v>318</v>
      </c>
      <c r="K5" s="209">
        <v>1.6</v>
      </c>
      <c r="L5" s="209">
        <f t="shared" ca="1" si="0"/>
        <v>0.77046548956661076</v>
      </c>
      <c r="M5" s="130">
        <f ca="1">SUM(L5:L10)</f>
        <v>2.4704654895666107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GAR'!$D$3:$Y$113,4,0)</f>
        <v>octubre 20 - mar 21</v>
      </c>
      <c r="E6" s="213">
        <f>VLOOKUP(C6,'BD EVA 3 GAR'!$D$3:$Q$110,14,0)</f>
        <v>18.742749302802043</v>
      </c>
      <c r="F6" s="75" t="str">
        <f>VLOOKUP(C6,'BD EVA 3 GAR'!$D$3:$AC$113,9,0)</f>
        <v>octubre 22 - septiembre 23</v>
      </c>
      <c r="G6" s="213">
        <f ca="1">VLOOKUP(C6,'BD EVA 3 GAR'!$D$3:$AC$113,24,0)</f>
        <v>29.724215017540299</v>
      </c>
      <c r="H6" s="213">
        <f>VLOOKUP(C6,'BD EVA 3 GAR'!$D$3:$AC$113,17,0)</f>
        <v>18.12</v>
      </c>
      <c r="I6" s="78">
        <f t="shared" ref="I6:I10" ca="1" si="2">(G6-E6)/(H6-E6)</f>
        <v>-17.633846662416929</v>
      </c>
      <c r="J6" s="71" t="s">
        <v>319</v>
      </c>
      <c r="K6" s="209">
        <v>1.7</v>
      </c>
      <c r="L6" s="20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GAR'!$D$3:$Y$113,4,0)</f>
        <v>octubre 20 - mar 21</v>
      </c>
      <c r="E7" s="213">
        <f>VLOOKUP(C7,'BD EVA 3 GAR'!$D$3:$Q$110,14,0)</f>
        <v>677.32418170125993</v>
      </c>
      <c r="F7" s="75" t="str">
        <f>VLOOKUP(C7,'BD EVA 3 GAR'!$D$3:$AC$113,9,0)</f>
        <v>octubre 22 - septiembre 23</v>
      </c>
      <c r="G7" s="213">
        <f ca="1">VLOOKUP(C7,'BD EVA 3 GAR'!$D$3:$AC$113,24,0)</f>
        <v>743.41500267827496</v>
      </c>
      <c r="H7" s="213">
        <f>VLOOKUP(C7,'BD EVA 3 GAR'!$D$3:$AC$113,17,0)</f>
        <v>632.20000000000005</v>
      </c>
      <c r="I7" s="78">
        <f t="shared" ca="1" si="2"/>
        <v>-1.4646430912490043</v>
      </c>
      <c r="J7" s="71" t="s">
        <v>319</v>
      </c>
      <c r="K7" s="209">
        <v>1.6</v>
      </c>
      <c r="L7" s="209">
        <f t="shared" ca="1" si="0"/>
        <v>0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GAR'!$D$3:$Y$113,4,0)</f>
        <v>octubre 20 - mar 21</v>
      </c>
      <c r="E8" s="213">
        <f>VLOOKUP(C8,'BD EVA 3 GAR'!$D$3:$Q$110,14,0)</f>
        <v>665.04444939942414</v>
      </c>
      <c r="F8" s="75" t="str">
        <f>VLOOKUP(C8,'BD EVA 3 GAR'!$D$3:$AC$113,9,0)</f>
        <v>octubre 22 - septiembre 23</v>
      </c>
      <c r="G8" s="213">
        <f ca="1">VLOOKUP(C8,'BD EVA 3 GAR'!$D$3:$AC$113,24,0)</f>
        <v>835.68392012855702</v>
      </c>
      <c r="H8" s="213">
        <f>VLOOKUP(C8,'BD EVA 3 GAR'!$D$3:$AC$113,17,0)</f>
        <v>642.9</v>
      </c>
      <c r="I8" s="78">
        <f t="shared" ca="1" si="2"/>
        <v>-7.7057445706268108</v>
      </c>
      <c r="J8" s="71" t="s">
        <v>319</v>
      </c>
      <c r="K8" s="209">
        <v>1.7</v>
      </c>
      <c r="L8" s="209">
        <f t="shared" ca="1" si="0"/>
        <v>0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GAR'!$D$3:$Y$113,4,0)</f>
        <v>octubre 20 - mar 21</v>
      </c>
      <c r="E9" s="213">
        <f>VLOOKUP(C9,'BD EVA 3 GAR'!$D$3:$Q$110,14,0)</f>
        <v>924.8577328382662</v>
      </c>
      <c r="F9" s="75" t="str">
        <f>VLOOKUP(C9,'BD EVA 3 GAR'!$D$3:$AC$113,9,0)</f>
        <v>octubre 22 - septiembre 23</v>
      </c>
      <c r="G9" s="213">
        <f ca="1">VLOOKUP(C9,'BD EVA 3 GAR'!$D$3:$AC$113,24,0)</f>
        <v>873.14881614024796</v>
      </c>
      <c r="H9" s="213">
        <f>VLOOKUP(C9,'BD EVA 3 GAR'!$D$3:$AC$113,17,0)</f>
        <v>894</v>
      </c>
      <c r="I9" s="78">
        <f t="shared" ca="1" si="2"/>
        <v>1.6757198906685331</v>
      </c>
      <c r="J9" s="71" t="s">
        <v>319</v>
      </c>
      <c r="K9" s="209">
        <v>1.7</v>
      </c>
      <c r="L9" s="209">
        <f t="shared" ca="1" si="0"/>
        <v>1.7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GAR'!$D$3:$Y$113,4,0)</f>
        <v>octubre 20 - mar 21</v>
      </c>
      <c r="E10" s="213">
        <f>VLOOKUP(C10,'BD EVA 3 GAR'!$D$3:$Q$110,14,0)</f>
        <v>26.821520554009815</v>
      </c>
      <c r="F10" s="75" t="str">
        <f>VLOOKUP(C10,'BD EVA 3 GAR'!$D$3:$AC$113,9,0)</f>
        <v>octubre 22 - septiembre 23</v>
      </c>
      <c r="G10" s="213">
        <f ca="1">VLOOKUP(C10,'BD EVA 3 GAR'!$D$3:$AC$113,24,0)</f>
        <v>34.368623614031002</v>
      </c>
      <c r="H10" s="213">
        <f>VLOOKUP(C10,'BD EVA 3 GAR'!$D$3:$AC$113,17,0)</f>
        <v>25.9</v>
      </c>
      <c r="I10" s="78">
        <f t="shared" ca="1" si="2"/>
        <v>-8.1898369246149105</v>
      </c>
      <c r="J10" s="71" t="s">
        <v>319</v>
      </c>
      <c r="K10" s="209">
        <v>1.7</v>
      </c>
      <c r="L10" s="209">
        <f t="shared" ca="1" si="0"/>
        <v>0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GAR'!$D$3:$Y$113,4,0)</f>
        <v>44469</v>
      </c>
      <c r="E11" s="78">
        <f>VLOOKUP(C11,'BD EVA 3 GAR'!$D$3:$Q$110,14,0)</f>
        <v>0</v>
      </c>
      <c r="F11" s="75">
        <f>VLOOKUP(C11,'BD EVA 3 GAR'!$D$3:$AC$113,9,0)</f>
        <v>45199</v>
      </c>
      <c r="G11" s="78">
        <f ca="1">VLOOKUP(C11,'BD EVA 3 GAR'!$D$3:$AC$113,24,0)</f>
        <v>0</v>
      </c>
      <c r="H11" s="332" t="str">
        <f>VLOOKUP(C11,'BD EVA 3 GAR'!$D$3:$AC$116,16,0)</f>
        <v>Sin meta</v>
      </c>
      <c r="I11" s="77">
        <f t="shared" ref="I11:I12" si="3">IF(H11="Sin meta",0,G11/H11)</f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4.8672000000000004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3 GAR'!$D$3:$Y$113,4,0)</f>
        <v>octubre 20 - mar 21</v>
      </c>
      <c r="E12" s="310">
        <f>VLOOKUP(C12,'BD EVA 3 GAR'!$D$3:$Q$110,14,0)</f>
        <v>0</v>
      </c>
      <c r="F12" s="75" t="str">
        <f>VLOOKUP(C12,'BD EVA 3 GAR'!$D$3:$AC$113,9,0)</f>
        <v>octubre 22 - septiembre 23</v>
      </c>
      <c r="G12" s="210">
        <f ca="1">VLOOKUP(C12,'BD EVA 3 GAR'!$D$3:$AC$113,24,0)</f>
        <v>0</v>
      </c>
      <c r="H12" s="332" t="str">
        <f>VLOOKUP(C12,'BD EVA 3 GAR'!$D$3:$AC$116,16,0)</f>
        <v>Sin meta</v>
      </c>
      <c r="I12" s="77">
        <f t="shared" si="3"/>
        <v>0</v>
      </c>
      <c r="J12" s="75" t="s">
        <v>318</v>
      </c>
      <c r="K12" s="71">
        <v>1.1000000000000001</v>
      </c>
      <c r="L12" s="211">
        <f t="shared" si="0"/>
        <v>0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GAR'!$D$3:$Y$113,4,0)</f>
        <v>octubre 20 - mar 21</v>
      </c>
      <c r="E13" s="212">
        <f>VLOOKUP(C13,'BD EVA 3 GAR'!$D$3:$Q$110,14,0)</f>
        <v>0</v>
      </c>
      <c r="F13" s="75" t="str">
        <f>VLOOKUP(C13,'BD EVA 3 GAR'!$D$3:$AC$113,9,0)</f>
        <v>octubre 21 - septiembre 23</v>
      </c>
      <c r="G13" s="212">
        <f ca="1">VLOOKUP(C13,'BD EVA 3 GAR'!$D$3:$AC$113,24,0)</f>
        <v>0</v>
      </c>
      <c r="H13" s="212">
        <f>VLOOKUP(C13,'BD EVA 3 GAR'!$D$3:$AC$113,17,0)</f>
        <v>2</v>
      </c>
      <c r="I13" s="78">
        <f t="shared" ref="I13:I15" ca="1" si="4">G13/H13</f>
        <v>0</v>
      </c>
      <c r="J13" s="75" t="s">
        <v>318</v>
      </c>
      <c r="K13" s="82">
        <v>2.35</v>
      </c>
      <c r="L13" s="211">
        <f t="shared" ca="1" si="0"/>
        <v>0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GAR'!$D$3:$Y$113,4,0)</f>
        <v>octubre 20 - mar 21</v>
      </c>
      <c r="E14" s="212">
        <f>VLOOKUP(C14,'BD EVA 3 GAR'!$D$3:$Q$110,14,0)</f>
        <v>440</v>
      </c>
      <c r="F14" s="75" t="str">
        <f>VLOOKUP(C14,'BD EVA 3 GAR'!$D$3:$AC$113,9,0)</f>
        <v>octubre 21 - septiembre 23</v>
      </c>
      <c r="G14" s="212">
        <f ca="1">VLOOKUP(C14,'BD EVA 3 GAR'!$D$3:$AC$113,24,0)</f>
        <v>1504</v>
      </c>
      <c r="H14" s="212">
        <f>VLOOKUP(C14,'BD EVA 3 GAR'!$D$3:$AC$113,17,0)</f>
        <v>2000</v>
      </c>
      <c r="I14" s="78">
        <f t="shared" ca="1" si="4"/>
        <v>0.752</v>
      </c>
      <c r="J14" s="75" t="s">
        <v>318</v>
      </c>
      <c r="K14" s="82">
        <v>2.35</v>
      </c>
      <c r="L14" s="211">
        <f t="shared" ca="1" si="0"/>
        <v>1.7672000000000001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GAR'!$D$3:$Y$113,4,0)</f>
        <v>octubre 20 - mar 21</v>
      </c>
      <c r="E15" s="212">
        <f>VLOOKUP(C15,'BD EVA 3 GAR'!$D$3:$Q$110,14,0)</f>
        <v>25</v>
      </c>
      <c r="F15" s="75" t="str">
        <f>VLOOKUP(C15,'BD EVA 3 GAR'!$D$3:$AC$113,9,0)</f>
        <v>octubre 21 - septiembre 23</v>
      </c>
      <c r="G15" s="212">
        <f ca="1">VLOOKUP(C15,'BD EVA 3 GAR'!$D$3:$AC$113,24,0)</f>
        <v>48</v>
      </c>
      <c r="H15" s="212">
        <f>VLOOKUP(C15,'BD EVA 3 GAR'!$D$3:$AC$113,17,0)</f>
        <v>33</v>
      </c>
      <c r="I15" s="78">
        <f t="shared" ca="1" si="4"/>
        <v>1.4545454545454546</v>
      </c>
      <c r="J15" s="75" t="s">
        <v>318</v>
      </c>
      <c r="K15" s="71">
        <v>3.1</v>
      </c>
      <c r="L15" s="211">
        <f t="shared" ca="1" si="0"/>
        <v>3.1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GAR'!$D$3:$Y$113,4,0)</f>
        <v>44469</v>
      </c>
      <c r="E16" s="213">
        <f>VLOOKUP(C16,'BD EVA 3 GAR'!$D$3:$Q$110,14,0)</f>
        <v>0</v>
      </c>
      <c r="F16" s="75">
        <f>VLOOKUP(C16,'BD EVA 3 GAR'!$D$3:$AC$113,9,0)</f>
        <v>45199</v>
      </c>
      <c r="G16" s="207">
        <f ca="1">VLOOKUP(C16,'BD EVA 3 GAR'!$D$3:$AC$113,24,0)</f>
        <v>0.33333333333333298</v>
      </c>
      <c r="H16" s="213" t="str">
        <f>VLOOKUP(C16,'BD EVA 3 GAR'!$D$3:$AC$113,17,0)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0.33333333333333298</v>
      </c>
      <c r="J16" s="75" t="s">
        <v>318</v>
      </c>
      <c r="K16" s="71">
        <v>1.5</v>
      </c>
      <c r="L16" s="209">
        <f t="shared" ca="1" si="0"/>
        <v>0.49999999999999944</v>
      </c>
      <c r="M16" s="130">
        <f ca="1">SUM(L16:L23)</f>
        <v>4.3007081470380308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GAR'!$D$3:$Y$113,4,0)</f>
        <v>44469</v>
      </c>
      <c r="E17" s="212">
        <f>VLOOKUP(C17,'BD EVA 3 GAR'!$D$3:$Q$110,14,0)</f>
        <v>0</v>
      </c>
      <c r="F17" s="75">
        <f>VLOOKUP(C17,'BD EVA 3 GAR'!$D$3:$AC$113,9,0)</f>
        <v>45199</v>
      </c>
      <c r="G17" s="212">
        <f ca="1">VLOOKUP(C17,'BD EVA 3 GAR'!$D$3:$AC$113,24,0)</f>
        <v>0</v>
      </c>
      <c r="H17" s="212" t="str">
        <f>VLOOKUP(C17,'BD EVA 3 GAR'!$D$3:$AC$113,17,0)</f>
        <v>Actualizado al 2018</v>
      </c>
      <c r="I17" s="214">
        <f t="shared" ca="1" si="5"/>
        <v>0</v>
      </c>
      <c r="J17" s="75" t="s">
        <v>318</v>
      </c>
      <c r="K17" s="71">
        <v>1.5</v>
      </c>
      <c r="L17" s="209">
        <f t="shared" ca="1" si="0"/>
        <v>0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GAR'!$D$3:$Y$113,4,0)</f>
        <v>44469</v>
      </c>
      <c r="E18" s="207" t="str">
        <f>VLOOKUP(C18,'BD EVA 3 GAR'!$D$3:$Q$110,14,0)</f>
        <v>NA</v>
      </c>
      <c r="F18" s="75">
        <f>VLOOKUP(C18,'BD EVA 3 GAR'!$D$3:$AC$113,9,0)</f>
        <v>45199</v>
      </c>
      <c r="G18" s="207" t="str">
        <f ca="1">VLOOKUP(C18,'BD EVA 3 GAR'!$D$3:$AC$113,24,0)</f>
        <v>NA</v>
      </c>
      <c r="H18" s="207">
        <f>VLOOKUP(C18,'BD EVA 3 GAR'!$D$3:$AC$113,17,0)</f>
        <v>1</v>
      </c>
      <c r="I18" s="214">
        <f ca="1">IF(G18="NA",1,G18/H18)</f>
        <v>1</v>
      </c>
      <c r="J18" s="75" t="s">
        <v>318</v>
      </c>
      <c r="K18" s="71">
        <v>0.3</v>
      </c>
      <c r="L18" s="209">
        <f t="shared" ca="1" si="0"/>
        <v>0.3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GAR'!$D$3:$Y$113,4,0)</f>
        <v>44469</v>
      </c>
      <c r="E19" s="207">
        <f>VLOOKUP(C19,'BD EVA 3 GAR'!$D$3:$Q$110,14,0)</f>
        <v>0.96726315789473682</v>
      </c>
      <c r="F19" s="75">
        <f>VLOOKUP(C19,'BD EVA 3 GAR'!$D$3:$AC$113,9,0)</f>
        <v>45199</v>
      </c>
      <c r="G19" s="207">
        <f ca="1">VLOOKUP(C19,'BD EVA 3 GAR'!$D$3:$AC$113,24,0)</f>
        <v>1.0168022260273899</v>
      </c>
      <c r="H19" s="207">
        <f>VLOOKUP(C19,'BD EVA 3 GAR'!$D$3:$AC$113,17,0)</f>
        <v>1</v>
      </c>
      <c r="I19" s="214">
        <f ca="1">G19/H19</f>
        <v>1.0168022260273899</v>
      </c>
      <c r="J19" s="75" t="s">
        <v>318</v>
      </c>
      <c r="K19" s="71">
        <v>1.5</v>
      </c>
      <c r="L19" s="209">
        <f t="shared" ca="1" si="0"/>
        <v>1.5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GAR'!$D$3:$Y$113,4,0)</f>
        <v>44469</v>
      </c>
      <c r="E20" s="214">
        <f>VLOOKUP(C20,'BD EVA 3 GAR'!$D$3:$Q$110,14,0)</f>
        <v>0.59262478455619816</v>
      </c>
      <c r="F20" s="75">
        <f>VLOOKUP(C20,'BD EVA 3 GAR'!$D$3:$AC$113,9,0)</f>
        <v>45199</v>
      </c>
      <c r="G20" s="338" t="str">
        <f ca="1">VLOOKUP(C20,'BD EVA 3 GAR'!$D$3:$AC$113,24,0)</f>
        <v>Sin dato</v>
      </c>
      <c r="H20" s="214">
        <f>VLOOKUP(C20,'BD EVA 3 GAR'!$D$3:$AC$113,17,0)</f>
        <v>1</v>
      </c>
      <c r="I20" s="214">
        <f ca="1">IF(G20="Sin dato",0,G20/H20)</f>
        <v>0</v>
      </c>
      <c r="J20" s="75" t="s">
        <v>318</v>
      </c>
      <c r="K20" s="71">
        <v>1.5</v>
      </c>
      <c r="L20" s="209">
        <f t="shared" ca="1" si="0"/>
        <v>0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GAR'!$D$3:$Y$113,4,0)</f>
        <v>44469</v>
      </c>
      <c r="E21" s="207">
        <f>VLOOKUP(C21,'BD EVA 3 GAR'!$D$3:$Q$110,14,0)</f>
        <v>0.80780800727193003</v>
      </c>
      <c r="F21" s="75">
        <f>VLOOKUP(C21,'BD EVA 3 GAR'!$D$3:$AC$113,9,0)</f>
        <v>45199</v>
      </c>
      <c r="G21" s="207">
        <f ca="1">VLOOKUP(C21,'BD EVA 3 GAR'!$D$3:$AC$113,24,0)</f>
        <v>0.811236305355859</v>
      </c>
      <c r="H21" s="207">
        <f>VLOOKUP(C21,'BD EVA 3 GAR'!$D$3:$AC$113,17,0)</f>
        <v>1</v>
      </c>
      <c r="I21" s="214">
        <f t="shared" ref="I21:I23" ca="1" si="6">G21/H21</f>
        <v>0.811236305355859</v>
      </c>
      <c r="J21" s="75" t="s">
        <v>318</v>
      </c>
      <c r="K21" s="71">
        <v>0.9</v>
      </c>
      <c r="L21" s="209">
        <f t="shared" ca="1" si="0"/>
        <v>0.73011267482027309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GAR'!$D$3:$Y$113,4,0)</f>
        <v>44469</v>
      </c>
      <c r="E22" s="207">
        <f>VLOOKUP(C22,'BD EVA 3 GAR'!$D$3:$Q$110,14,0)</f>
        <v>0.74489795918367352</v>
      </c>
      <c r="F22" s="75">
        <f>VLOOKUP(C22,'BD EVA 3 GAR'!$D$3:$AC$113,9,0)</f>
        <v>45199</v>
      </c>
      <c r="G22" s="207">
        <f ca="1">VLOOKUP(C22,'BD EVA 3 GAR'!$D$3:$AC$113,24,0)</f>
        <v>0.83094720978680003</v>
      </c>
      <c r="H22" s="207">
        <f>VLOOKUP(C22,'BD EVA 3 GAR'!$D$3:$AC$113,17,0)</f>
        <v>1</v>
      </c>
      <c r="I22" s="214">
        <f t="shared" ca="1" si="6"/>
        <v>0.83094720978680003</v>
      </c>
      <c r="J22" s="75" t="s">
        <v>318</v>
      </c>
      <c r="K22" s="71">
        <v>1.5</v>
      </c>
      <c r="L22" s="209">
        <f t="shared" ca="1" si="0"/>
        <v>1.2464208146802001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GAR'!$D$3:$Y$113,4,0)</f>
        <v>octubre 20 - mar 21</v>
      </c>
      <c r="E23" s="208">
        <f>VLOOKUP(C23,'BD EVA 3 GAR'!$D$3:$Q$110,14,0)</f>
        <v>0</v>
      </c>
      <c r="F23" s="89" t="str">
        <f>VLOOKUP(C23,'BD EVA 3 GAR'!$D$3:$AC$113,9,0)</f>
        <v>octubre 22 - septiembre 23</v>
      </c>
      <c r="G23" s="85">
        <f ca="1">VLOOKUP(C23,'BD EVA 3 GAR'!$D$3:$AC$113,24,0)</f>
        <v>4.5249999999999999E-2</v>
      </c>
      <c r="H23" s="208">
        <f>VLOOKUP(C23,'BD EVA 3 GAR'!$D$3:$AC$113,17,0)</f>
        <v>2.4333333330000002</v>
      </c>
      <c r="I23" s="214">
        <f t="shared" ca="1" si="6"/>
        <v>1.8595890413506285E-2</v>
      </c>
      <c r="J23" s="75" t="s">
        <v>318</v>
      </c>
      <c r="K23" s="82">
        <v>1.3</v>
      </c>
      <c r="L23" s="211">
        <f t="shared" ca="1" si="0"/>
        <v>2.417465753755817E-2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GAR'!$D$3:$Y$113,4,0)</f>
        <v>44469</v>
      </c>
      <c r="E24" s="171">
        <f>VLOOKUP(C24,'BD EVA 3 GAR'!$D$3:$Q$110,14,0)</f>
        <v>1.5</v>
      </c>
      <c r="F24" s="75">
        <f>VLOOKUP(C24,'BD EVA 3 GAR'!$D$3:$AC$113,9,0)</f>
        <v>45199</v>
      </c>
      <c r="G24" s="171">
        <f ca="1">VLOOKUP(C24,'BD EVA 3 GAR'!$D$3:$AC$113,24,0)</f>
        <v>1.76</v>
      </c>
      <c r="H24" s="333" t="str">
        <f>VLOOKUP(C24,'BD EVA 3 GAR'!$D$3:$AC$113,17,0)</f>
        <v>sin meta</v>
      </c>
      <c r="I24" s="214">
        <f>IF(H24="Sin meta",0,G24/H24)</f>
        <v>0</v>
      </c>
      <c r="J24" s="75" t="s">
        <v>318</v>
      </c>
      <c r="K24" s="82">
        <v>2.65</v>
      </c>
      <c r="L24" s="209">
        <f t="shared" si="0"/>
        <v>0</v>
      </c>
      <c r="M24" s="130">
        <f ca="1">SUM(L24:L27)</f>
        <v>5.4833333333333334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GAR'!$D$3:$Y$113,4,0)</f>
        <v>octubre 20 - mar 21</v>
      </c>
      <c r="E25" s="212">
        <f>VLOOKUP(C25,'BD EVA 3 GAR'!$D$3:$Q$110,14,0)</f>
        <v>0</v>
      </c>
      <c r="F25" s="71" t="str">
        <f>VLOOKUP(C25,'BD EVA 3 GAR'!$D$3:$AC$113,9,0)</f>
        <v>octubre 22 - septiembre 23</v>
      </c>
      <c r="G25" s="212">
        <f ca="1">VLOOKUP(C25,'BD EVA 3 GAR'!$D$3:$AC$113,24,0)</f>
        <v>7528.3</v>
      </c>
      <c r="H25" s="212">
        <f>VLOOKUP(C25,'BD EVA 3 GAR'!$D$3:$AC$113,17,0)</f>
        <v>1766.7</v>
      </c>
      <c r="I25" s="214">
        <f t="shared" ref="I25:I26" ca="1" si="7">G25/H25</f>
        <v>4.2612214863870497</v>
      </c>
      <c r="J25" s="75" t="s">
        <v>318</v>
      </c>
      <c r="K25" s="82">
        <v>2.33</v>
      </c>
      <c r="L25" s="209">
        <f t="shared" ca="1" si="0"/>
        <v>2.33</v>
      </c>
      <c r="M25" s="147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GAR'!$D$3:$Y$113,4,0)</f>
        <v>octubre 20 - mar 21</v>
      </c>
      <c r="E26" s="212">
        <f>VLOOKUP(C26,'BD EVA 3 GAR'!$D$3:$Q$110,14,0)</f>
        <v>0</v>
      </c>
      <c r="F26" s="71" t="str">
        <f>VLOOKUP(C26,'BD EVA 3 GAR'!$D$3:$AC$113,9,0)</f>
        <v>octubre 22 - septiembre 23</v>
      </c>
      <c r="G26" s="212">
        <f ca="1">VLOOKUP(C26,'BD EVA 3 GAR'!$D$3:$AC$113,24,0)</f>
        <v>1</v>
      </c>
      <c r="H26" s="212">
        <f>VLOOKUP(C26,'BD EVA 3 GAR'!$D$3:$AC$113,17,0)</f>
        <v>3</v>
      </c>
      <c r="I26" s="214">
        <f t="shared" ca="1" si="7"/>
        <v>0.33333333333333331</v>
      </c>
      <c r="J26" s="75" t="s">
        <v>318</v>
      </c>
      <c r="K26" s="82">
        <v>2.8</v>
      </c>
      <c r="L26" s="209">
        <f t="shared" ca="1" si="0"/>
        <v>0.93333333333333324</v>
      </c>
      <c r="M26" s="147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GAR'!$D$3:$Y$113,4,0)</f>
        <v>octubre 2018 - marzo 2019</v>
      </c>
      <c r="E27" s="212">
        <f>VLOOKUP(C27,'BD EVA 3 GAR'!$D$3:$Q$110,14,0)</f>
        <v>3124</v>
      </c>
      <c r="F27" s="71" t="str">
        <f>VLOOKUP(C27,'BD EVA 3 GAR'!$D$3:$AC$113,9,0)</f>
        <v>octubre 22 - septiembre 23</v>
      </c>
      <c r="G27" s="212">
        <f ca="1">VLOOKUP(C27,'BD EVA 3 GAR'!$D$3:$AC$113,24,0)</f>
        <v>2138</v>
      </c>
      <c r="H27" s="212">
        <f>VLOOKUP(C27,'BD EVA 3 GAR'!$D$3:$AC$113,17,0)</f>
        <v>2915.7</v>
      </c>
      <c r="I27" s="214">
        <f ca="1">(G27-E27)/(H27-E27)</f>
        <v>4.7335573691790644</v>
      </c>
      <c r="J27" s="75" t="s">
        <v>319</v>
      </c>
      <c r="K27" s="82">
        <v>2.2200000000000002</v>
      </c>
      <c r="L27" s="209">
        <f t="shared" ca="1" si="0"/>
        <v>2.2200000000000002</v>
      </c>
      <c r="M27" s="147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GAR'!$D$3:$Y$113,4,0)</f>
        <v>octubre 20 - mar 21</v>
      </c>
      <c r="E28" s="212">
        <f>VLOOKUP(C28,'BD EVA 3 GAR'!$D$3:$Q$110,14,0)</f>
        <v>0</v>
      </c>
      <c r="F28" s="89" t="str">
        <f>VLOOKUP(C28,'BD EVA 3 GAR'!$D$3:$AC$113,9,0)</f>
        <v>octubre 22 - septiembre 23</v>
      </c>
      <c r="G28" s="212">
        <f ca="1">VLOOKUP(C28,'BD EVA 3 GAR'!$D$3:$AC$113,24,0)</f>
        <v>84</v>
      </c>
      <c r="H28" s="212">
        <f>VLOOKUP(C28,'BD EVA 3 GAR'!$D$3:$AC$113,17,0)</f>
        <v>120</v>
      </c>
      <c r="I28" s="78">
        <f t="shared" ref="I28:I31" ca="1" si="8">G28/H28</f>
        <v>0.7</v>
      </c>
      <c r="J28" s="89" t="s">
        <v>318</v>
      </c>
      <c r="K28" s="82">
        <v>2.5</v>
      </c>
      <c r="L28" s="209">
        <f t="shared" ca="1" si="0"/>
        <v>1.75</v>
      </c>
      <c r="M28" s="130">
        <f ca="1">SUM(L28:L31)</f>
        <v>6.2839999999999998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GAR'!$D$3:$Y$113,4,0)</f>
        <v>44469</v>
      </c>
      <c r="E29" s="212">
        <f>VLOOKUP(C29,'BD EVA 3 GAR'!$D$3:$Q$110,14,0)</f>
        <v>2</v>
      </c>
      <c r="F29" s="89">
        <f>VLOOKUP(C29,'BD EVA 3 GAR'!$D$3:$AC$113,9,0)</f>
        <v>45199</v>
      </c>
      <c r="G29" s="212">
        <f ca="1">VLOOKUP(C29,'BD EVA 3 GAR'!$D$3:$AC$113,24,0)</f>
        <v>3</v>
      </c>
      <c r="H29" s="212">
        <f>VLOOKUP(C29,'BD EVA 3 GAR'!$D$3:$AC$113,17,0)</f>
        <v>2</v>
      </c>
      <c r="I29" s="80">
        <f t="shared" ca="1" si="8"/>
        <v>1.5</v>
      </c>
      <c r="J29" s="75" t="s">
        <v>318</v>
      </c>
      <c r="K29" s="71">
        <v>2.5</v>
      </c>
      <c r="L29" s="209">
        <f t="shared" ca="1" si="0"/>
        <v>2.5</v>
      </c>
      <c r="M29" s="147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GAR'!$D$3:$Y$113,4,0)</f>
        <v>44469</v>
      </c>
      <c r="E30" s="212">
        <f>VLOOKUP(C30,'BD EVA 3 GAR'!$D$3:$Q$110,14,0)</f>
        <v>94.73</v>
      </c>
      <c r="F30" s="75">
        <f>VLOOKUP(C30,'BD EVA 3 GAR'!$D$3:$AC$113,9,0)</f>
        <v>45078</v>
      </c>
      <c r="G30" s="212">
        <f ca="1">VLOOKUP(C30,'BD EVA 3 GAR'!$D$3:$AC$113,24,0)</f>
        <v>81.36</v>
      </c>
      <c r="H30" s="212">
        <f>VLOOKUP(C30,'BD EVA 3 GAR'!$D$3:$AC$113,17,0)</f>
        <v>100</v>
      </c>
      <c r="I30" s="80">
        <f t="shared" ca="1" si="8"/>
        <v>0.81359999999999999</v>
      </c>
      <c r="J30" s="75" t="s">
        <v>318</v>
      </c>
      <c r="K30" s="71">
        <v>2.5</v>
      </c>
      <c r="L30" s="209">
        <f t="shared" ca="1" si="0"/>
        <v>2.0339999999999998</v>
      </c>
      <c r="M30" s="147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GAR'!$D$3:$Y$113,4,0)</f>
        <v>44469</v>
      </c>
      <c r="E31" s="212">
        <f>VLOOKUP(C31,'BD EVA 3 GAR'!$D$3:$Q$110,14,0)</f>
        <v>0</v>
      </c>
      <c r="F31" s="75">
        <f>VLOOKUP(C31,'BD EVA 3 GAR'!$D$3:$AC$113,9,0)</f>
        <v>45199</v>
      </c>
      <c r="G31" s="212">
        <f ca="1">VLOOKUP(C31,'BD EVA 3 GAR'!$D$3:$AC$113,24,0)</f>
        <v>0</v>
      </c>
      <c r="H31" s="212">
        <f>VLOOKUP(C31,'BD EVA 3 GAR'!$D$3:$AC$113,17,0)</f>
        <v>4</v>
      </c>
      <c r="I31" s="80">
        <f t="shared" ca="1" si="8"/>
        <v>0</v>
      </c>
      <c r="J31" s="75" t="s">
        <v>318</v>
      </c>
      <c r="K31" s="71">
        <v>2.5</v>
      </c>
      <c r="L31" s="209">
        <f t="shared" ca="1" si="0"/>
        <v>0</v>
      </c>
      <c r="M31" s="147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2CC69-9EB3-AB4E-B0F6-6D24B4A6C11A}">
  <dimension ref="A1:M30"/>
  <sheetViews>
    <sheetView topLeftCell="A3" workbookViewId="0">
      <selection activeCell="B11" sqref="B11"/>
    </sheetView>
  </sheetViews>
  <sheetFormatPr baseColWidth="10" defaultRowHeight="16"/>
  <cols>
    <col min="1" max="1" width="11.83203125" style="118" customWidth="1"/>
    <col min="2" max="2" width="10.83203125" customWidth="1"/>
    <col min="3" max="3" width="19.1640625" customWidth="1"/>
    <col min="4" max="4" width="11.6640625" customWidth="1"/>
    <col min="5" max="5" width="11.83203125" customWidth="1"/>
    <col min="6" max="6" width="12.1640625" customWidth="1"/>
    <col min="7" max="7" width="12" customWidth="1"/>
    <col min="8" max="8" width="12.83203125" customWidth="1"/>
    <col min="10" max="10" width="10.83203125" customWidth="1"/>
  </cols>
  <sheetData>
    <row r="1" spans="1:13" ht="52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22">
        <f ca="1">'BD EVA 1 APO'!Y3</f>
        <v>818</v>
      </c>
      <c r="F2" s="75">
        <v>44834</v>
      </c>
      <c r="G2" s="123">
        <f ca="1">VLOOKUP(C2,'BD EVA 1 APO'!$D$3:$Y$108,22,0)</f>
        <v>818</v>
      </c>
      <c r="H2" s="123">
        <f>VLOOKUP(C2,'BD EVA 1 APO'!$D$3:$R$108,15,0)</f>
        <v>790</v>
      </c>
      <c r="I2" s="78">
        <f ca="1">IF(G2&gt;=E2,G2/H2,0)</f>
        <v>1.0354430379746835</v>
      </c>
      <c r="J2" s="72" t="s">
        <v>316</v>
      </c>
      <c r="K2" s="81">
        <v>2.7</v>
      </c>
      <c r="L2" s="81">
        <f t="shared" ref="L2:L10" ca="1" si="0">IF(I2&lt;0,0,IF(I2&gt;1,K2,I2*K2))</f>
        <v>2.7</v>
      </c>
      <c r="M2" s="124">
        <f ca="1">SUM(L2:L4)</f>
        <v>9.969062082524637</v>
      </c>
    </row>
    <row r="3" spans="1:13" ht="26">
      <c r="A3" s="121" t="s">
        <v>34</v>
      </c>
      <c r="B3" s="72" t="s">
        <v>40</v>
      </c>
      <c r="C3" s="71" t="s">
        <v>43</v>
      </c>
      <c r="D3" s="75">
        <v>44469</v>
      </c>
      <c r="E3" s="125">
        <f>VLOOKUP(C3,'BD EVA 1 APO'!$D$3:$Q$108,14,0)</f>
        <v>1</v>
      </c>
      <c r="F3" s="75">
        <v>44834</v>
      </c>
      <c r="G3" s="126">
        <f ca="1">VLOOKUP(C3,'BD EVA 1 APO'!$D$3:$Y$108,22,0)</f>
        <v>0.96210268948655198</v>
      </c>
      <c r="H3" s="123">
        <f>VLOOKUP(C3,'BD EVA 1 APO'!$D$3:$R$108,15,0)</f>
        <v>1</v>
      </c>
      <c r="I3" s="78">
        <f ca="1">G3/97%</f>
        <v>0.99185844276964119</v>
      </c>
      <c r="J3" s="75" t="s">
        <v>318</v>
      </c>
      <c r="K3" s="81">
        <v>3.8</v>
      </c>
      <c r="L3" s="81">
        <f t="shared" ca="1" si="0"/>
        <v>3.7690620825246364</v>
      </c>
      <c r="M3" s="147"/>
    </row>
    <row r="4" spans="1:13" ht="65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APO'!$D$3:$Q$108,14,0)</f>
        <v>0</v>
      </c>
      <c r="F4" s="75">
        <v>44834</v>
      </c>
      <c r="G4" s="126">
        <f ca="1">VLOOKUP(C4,'BD EVA 1 APO'!$D$3:$Y$108,22,0)</f>
        <v>1.1002444987775001E-2</v>
      </c>
      <c r="H4" s="128">
        <f>VLOOKUP(C4,'BD EVA 1 APO'!$D$3:$R$108,15,0)</f>
        <v>3.3E-3</v>
      </c>
      <c r="I4" s="77">
        <f t="shared" ref="I4:I5" ca="1" si="1">G4/H4</f>
        <v>3.3340742387196971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78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APO'!$D$3:$Q$108,14,0)</f>
        <v>0</v>
      </c>
      <c r="F5" s="72" t="s">
        <v>59</v>
      </c>
      <c r="G5" s="126">
        <f ca="1">VLOOKUP(C5,'BD EVA 1 APO'!$D$3:$Y$108,22,0)</f>
        <v>0.10222222222222201</v>
      </c>
      <c r="H5" s="126">
        <f>VLOOKUP(C5,'BD EVA 1 APO'!$D$3:$R$108,15,0)</f>
        <v>6.7000000000000004E-2</v>
      </c>
      <c r="I5" s="77">
        <f t="shared" ca="1" si="1"/>
        <v>1.5257048092868954</v>
      </c>
      <c r="J5" s="75" t="s">
        <v>318</v>
      </c>
      <c r="K5" s="129">
        <f>3.25*0.488</f>
        <v>1.5859999999999999</v>
      </c>
      <c r="L5" s="129">
        <f t="shared" ca="1" si="0"/>
        <v>1.5859999999999999</v>
      </c>
      <c r="M5" s="130">
        <f ca="1">SUM(L5:L10)</f>
        <v>9.4242684943609252</v>
      </c>
    </row>
    <row r="6" spans="1:13" ht="52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APO'!$D$3:$Q$108,14,0)</f>
        <v>13.819333247212851</v>
      </c>
      <c r="F6" s="72" t="s">
        <v>59</v>
      </c>
      <c r="G6" s="132">
        <f ca="1">VLOOKUP(C6,'BD EVA 1 APO'!$D$3:$Y$108,22,0)</f>
        <v>10.2163382600408</v>
      </c>
      <c r="H6" s="123">
        <f>VLOOKUP(C6,'BD EVA 1 APO'!$D$3:$R$108,15,0)</f>
        <v>13.3</v>
      </c>
      <c r="I6" s="78">
        <f t="shared" ref="I6:I10" ca="1" si="2">(G6-E6)/(H6-E6)</f>
        <v>6.9377321912443444</v>
      </c>
      <c r="J6" s="71" t="s">
        <v>319</v>
      </c>
      <c r="K6" s="129">
        <f>3.5*0.488</f>
        <v>1.708</v>
      </c>
      <c r="L6" s="129">
        <f t="shared" ca="1" si="0"/>
        <v>1.708</v>
      </c>
      <c r="M6" s="147"/>
    </row>
    <row r="7" spans="1:13" ht="52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APO'!$D$3:$Q$108,14,0)</f>
        <v>274.28372292837679</v>
      </c>
      <c r="F7" s="72" t="s">
        <v>59</v>
      </c>
      <c r="G7" s="131">
        <f ca="1">VLOOKUP(C7,'BD EVA 1 APO'!$D$3:$Y$108,22,0)</f>
        <v>205.64029440567899</v>
      </c>
      <c r="H7" s="123">
        <f>VLOOKUP(C7,'BD EVA 1 APO'!$D$3:$R$108,15,0)</f>
        <v>261.2</v>
      </c>
      <c r="I7" s="78">
        <f t="shared" ca="1" si="2"/>
        <v>5.246475250084945</v>
      </c>
      <c r="J7" s="71" t="s">
        <v>319</v>
      </c>
      <c r="K7" s="129">
        <f>3.25*0.488</f>
        <v>1.5859999999999999</v>
      </c>
      <c r="L7" s="129">
        <f t="shared" ca="1" si="0"/>
        <v>1.5859999999999999</v>
      </c>
      <c r="M7" s="147"/>
    </row>
    <row r="8" spans="1:13" ht="52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APO'!$D$3:$Q$108,14,0)</f>
        <v>836.82071217633472</v>
      </c>
      <c r="F8" s="72" t="s">
        <v>59</v>
      </c>
      <c r="G8" s="131">
        <f ca="1">VLOOKUP(C8,'BD EVA 1 APO'!$D$3:$Y$108,22,0)</f>
        <v>788.26347060686498</v>
      </c>
      <c r="H8" s="123">
        <f>VLOOKUP(C8,'BD EVA 1 APO'!$D$3:$R$108,15,0)</f>
        <v>797.02</v>
      </c>
      <c r="I8" s="78">
        <f t="shared" ca="1" si="2"/>
        <v>1.2200093645143761</v>
      </c>
      <c r="J8" s="71" t="s">
        <v>319</v>
      </c>
      <c r="K8" s="129">
        <f t="shared" ref="K8:K10" si="3">10/3*0.512</f>
        <v>1.7066666666666668</v>
      </c>
      <c r="L8" s="129">
        <f t="shared" ca="1" si="0"/>
        <v>1.7066666666666668</v>
      </c>
      <c r="M8" s="147"/>
    </row>
    <row r="9" spans="1:13" ht="52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APO'!$D$3:$Q$108,14,0)</f>
        <v>121.67021663306967</v>
      </c>
      <c r="F9" s="72" t="s">
        <v>59</v>
      </c>
      <c r="G9" s="131">
        <f ca="1">VLOOKUP(C9,'BD EVA 1 APO'!$D$3:$Y$108,22,0)</f>
        <v>118.21762843761501</v>
      </c>
      <c r="H9" s="123">
        <f>VLOOKUP(C9,'BD EVA 1 APO'!$D$3:$R$108,15,0)</f>
        <v>116.46</v>
      </c>
      <c r="I9" s="78">
        <f t="shared" ca="1" si="2"/>
        <v>0.66265732091460505</v>
      </c>
      <c r="J9" s="71" t="s">
        <v>319</v>
      </c>
      <c r="K9" s="129">
        <f t="shared" si="3"/>
        <v>1.7066666666666668</v>
      </c>
      <c r="L9" s="129">
        <f t="shared" ca="1" si="0"/>
        <v>1.1309351610275926</v>
      </c>
      <c r="M9" s="147"/>
    </row>
    <row r="10" spans="1:13" ht="78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APO'!$D$3:$Q$108,14,0)</f>
        <v>13.368702815238519</v>
      </c>
      <c r="F10" s="72" t="s">
        <v>59</v>
      </c>
      <c r="G10" s="131">
        <f ca="1">VLOOKUP(C10,'BD EVA 1 APO'!$D$3:$Y$108,22,0)</f>
        <v>9.9244428811825198</v>
      </c>
      <c r="H10" s="123">
        <f>VLOOKUP(C10,'BD EVA 1 APO'!$D$3:$R$108,15,0)</f>
        <v>12.55</v>
      </c>
      <c r="I10" s="78">
        <f t="shared" ca="1" si="2"/>
        <v>4.2069721392768864</v>
      </c>
      <c r="J10" s="71" t="s">
        <v>319</v>
      </c>
      <c r="K10" s="129">
        <f t="shared" si="3"/>
        <v>1.7066666666666668</v>
      </c>
      <c r="L10" s="129">
        <f t="shared" ca="1" si="0"/>
        <v>1.7066666666666668</v>
      </c>
      <c r="M10" s="147"/>
    </row>
    <row r="11" spans="1:13" ht="52">
      <c r="A11" s="121" t="s">
        <v>119</v>
      </c>
      <c r="B11" s="72" t="s">
        <v>120</v>
      </c>
      <c r="C11" s="71" t="s">
        <v>125</v>
      </c>
      <c r="D11" s="75">
        <v>44469</v>
      </c>
      <c r="E11" s="128">
        <f>VLOOKUP(C11,'BD EVA 1 APO'!$D$3:$Q$108,14,0)</f>
        <v>0</v>
      </c>
      <c r="F11" s="75">
        <v>44834</v>
      </c>
      <c r="G11" s="133">
        <f ca="1">VLOOKUP(C11,'BD EVA 1 APO'!$D$3:$Y$108,22,0)</f>
        <v>0</v>
      </c>
      <c r="H11" s="134">
        <f>VLOOKUP(C11,'BD EVA 1 APO'!$D$3:$R$108,15,0)</f>
        <v>1.9E-3</v>
      </c>
      <c r="I11" s="135">
        <f t="shared" ref="I11:I14" ca="1" si="4">G11/H11</f>
        <v>0</v>
      </c>
      <c r="J11" s="103" t="s">
        <v>318</v>
      </c>
      <c r="K11" s="87" t="s">
        <v>320</v>
      </c>
      <c r="L11" s="136"/>
      <c r="M11" s="130">
        <f ca="1">SUM(L11:L14)</f>
        <v>8.2727272727272734</v>
      </c>
    </row>
    <row r="12" spans="1:13" ht="52">
      <c r="A12" s="121" t="s">
        <v>119</v>
      </c>
      <c r="B12" s="72" t="s">
        <v>127</v>
      </c>
      <c r="C12" s="72" t="s">
        <v>128</v>
      </c>
      <c r="D12" s="71" t="s">
        <v>57</v>
      </c>
      <c r="E12" s="123">
        <f>VLOOKUP(C12,'BD EVA 1 APO'!$D$3:$Q$108,14,0)</f>
        <v>0</v>
      </c>
      <c r="F12" s="71" t="s">
        <v>59</v>
      </c>
      <c r="G12" s="123">
        <f ca="1">VLOOKUP(C12,'BD EVA 1 APO'!$D$3:$Y$108,22,0)</f>
        <v>2</v>
      </c>
      <c r="H12" s="123">
        <f>VLOOKUP(C12,'BD EVA 1 APO'!$D$3:$R$108,15,0)</f>
        <v>1</v>
      </c>
      <c r="I12" s="78">
        <f t="shared" ca="1" si="4"/>
        <v>2</v>
      </c>
      <c r="J12" s="75" t="s">
        <v>318</v>
      </c>
      <c r="K12" s="71">
        <f t="shared" ref="K12:K13" si="5">2.4+2.1/3</f>
        <v>3.1</v>
      </c>
      <c r="L12" s="129">
        <f t="shared" ref="L12:L30" ca="1" si="6">IF(I12&lt;0,0,IF(I12&gt;1,K12,I12*K12))</f>
        <v>3.1</v>
      </c>
      <c r="M12" s="147"/>
    </row>
    <row r="13" spans="1:13" ht="39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APO'!$D$3:$Q$108,14,0)</f>
        <v>1074</v>
      </c>
      <c r="F13" s="71" t="s">
        <v>59</v>
      </c>
      <c r="G13" s="123">
        <f ca="1">VLOOKUP(C13,'BD EVA 1 APO'!$D$3:$Y$108,22,0)</f>
        <v>2539</v>
      </c>
      <c r="H13" s="137">
        <f>VLOOKUP(C13,'BD EVA 1 APO'!$D$3:$R$108,15,0)</f>
        <v>1859</v>
      </c>
      <c r="I13" s="78">
        <f t="shared" ca="1" si="4"/>
        <v>1.3657880580957504</v>
      </c>
      <c r="J13" s="75" t="s">
        <v>318</v>
      </c>
      <c r="K13" s="71">
        <f t="shared" si="5"/>
        <v>3.1</v>
      </c>
      <c r="L13" s="129">
        <f t="shared" ca="1" si="6"/>
        <v>3.1</v>
      </c>
      <c r="M13" s="147"/>
    </row>
    <row r="14" spans="1:13" ht="39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APO'!$D$3:$Q$108,14,0)</f>
        <v>1</v>
      </c>
      <c r="F14" s="71" t="s">
        <v>59</v>
      </c>
      <c r="G14" s="123">
        <f ca="1">VLOOKUP(C14,'BD EVA 1 APO'!$D$3:$Y$108,22,0)</f>
        <v>6</v>
      </c>
      <c r="H14" s="138">
        <f>VLOOKUP(C14,'BD EVA 1 APO'!$D$3:$R$108,15,0)</f>
        <v>11</v>
      </c>
      <c r="I14" s="78">
        <f t="shared" ca="1" si="4"/>
        <v>0.54545454545454541</v>
      </c>
      <c r="J14" s="75" t="s">
        <v>318</v>
      </c>
      <c r="K14" s="71">
        <f>3.1+2.1/3</f>
        <v>3.8000000000000003</v>
      </c>
      <c r="L14" s="129">
        <f t="shared" ca="1" si="6"/>
        <v>2.0727272727272728</v>
      </c>
      <c r="M14" s="14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9">
        <f>VLOOKUP(C15,'BD EVA 1 APO'!$D$3:$Q$108,14,0)</f>
        <v>0.66666666666666663</v>
      </c>
      <c r="F15" s="75">
        <v>44834</v>
      </c>
      <c r="G15" s="123">
        <f ca="1">VLOOKUP(C15,'BD EVA 1 APO'!$D$3:$Y$108,22,0)</f>
        <v>1</v>
      </c>
      <c r="H15" s="123" t="str">
        <f>VLOOKUP(C15,'BD EVA 1 APO'!$D$3:$R$108,15,0)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7">G15/1</f>
        <v>1</v>
      </c>
      <c r="J15" s="75" t="s">
        <v>318</v>
      </c>
      <c r="K15" s="71">
        <v>1.5</v>
      </c>
      <c r="L15" s="129">
        <f t="shared" ca="1" si="6"/>
        <v>1.5</v>
      </c>
      <c r="M15" s="130">
        <f ca="1">SUM(L15:L22)</f>
        <v>8.4360003860086792</v>
      </c>
    </row>
    <row r="16" spans="1:13" ht="26">
      <c r="A16" s="121" t="s">
        <v>147</v>
      </c>
      <c r="B16" s="72" t="s">
        <v>148</v>
      </c>
      <c r="C16" s="72" t="s">
        <v>158</v>
      </c>
      <c r="D16" s="75">
        <v>44469</v>
      </c>
      <c r="E16" s="123">
        <f>VLOOKUP(C16,'BD EVA 1 APO'!$D$3:$Q$108,14,0)</f>
        <v>1</v>
      </c>
      <c r="F16" s="75">
        <v>44834</v>
      </c>
      <c r="G16" s="123">
        <f ca="1">VLOOKUP(C16,'BD EVA 1 APO'!$D$3:$Y$108,22,0)</f>
        <v>1</v>
      </c>
      <c r="H16" s="123" t="str">
        <f>VLOOKUP(C16,'BD EVA 1 APO'!$D$3:$R$108,15,0)</f>
        <v>Actualizado al 2017</v>
      </c>
      <c r="I16" s="125">
        <f t="shared" ca="1" si="7"/>
        <v>1</v>
      </c>
      <c r="J16" s="75" t="s">
        <v>318</v>
      </c>
      <c r="K16" s="71">
        <v>1.5</v>
      </c>
      <c r="L16" s="129">
        <f t="shared" ca="1" si="6"/>
        <v>1.5</v>
      </c>
      <c r="M16" s="147"/>
    </row>
    <row r="17" spans="1:13" ht="65">
      <c r="A17" s="121" t="s">
        <v>147</v>
      </c>
      <c r="B17" s="72" t="s">
        <v>148</v>
      </c>
      <c r="C17" s="72" t="s">
        <v>166</v>
      </c>
      <c r="D17" s="75">
        <v>44469</v>
      </c>
      <c r="E17" s="125">
        <f>VLOOKUP(C17,'BD EVA 1 APO'!$D$3:$Q$108,14,0)</f>
        <v>0</v>
      </c>
      <c r="F17" s="75">
        <v>44834</v>
      </c>
      <c r="G17" s="126">
        <f ca="1">VLOOKUP(C17,'BD EVA 1 APO'!$D$3:$Y$108,22,0)</f>
        <v>0</v>
      </c>
      <c r="H17" s="125">
        <f>VLOOKUP(C17,'BD EVA 1 APO'!$D$3:$R$108,15,0)</f>
        <v>1</v>
      </c>
      <c r="I17" s="125">
        <f t="shared" ref="I17:I25" ca="1" si="8">G17/H17</f>
        <v>0</v>
      </c>
      <c r="J17" s="75" t="s">
        <v>318</v>
      </c>
      <c r="K17" s="71">
        <v>0.3</v>
      </c>
      <c r="L17" s="129">
        <f t="shared" ca="1" si="6"/>
        <v>0</v>
      </c>
      <c r="M17" s="147"/>
    </row>
    <row r="18" spans="1:13" ht="39">
      <c r="A18" s="121" t="s">
        <v>147</v>
      </c>
      <c r="B18" s="72" t="s">
        <v>168</v>
      </c>
      <c r="C18" s="72" t="s">
        <v>173</v>
      </c>
      <c r="D18" s="75">
        <v>44469</v>
      </c>
      <c r="E18" s="126">
        <f>VLOOKUP(C18,'BD EVA 1 APO'!$D$3:$Q$108,14,0)</f>
        <v>0.99790476190476185</v>
      </c>
      <c r="F18" s="75">
        <v>44834</v>
      </c>
      <c r="G18" s="126">
        <f ca="1">VLOOKUP(C18,'BD EVA 1 APO'!$D$3:$Y$108,22,0)</f>
        <v>0.98448905109489004</v>
      </c>
      <c r="H18" s="125">
        <f>VLOOKUP(C18,'BD EVA 1 APO'!$D$3:$R$108,15,0)</f>
        <v>1</v>
      </c>
      <c r="I18" s="125">
        <f t="shared" ca="1" si="8"/>
        <v>0.98448905109489004</v>
      </c>
      <c r="J18" s="75" t="s">
        <v>318</v>
      </c>
      <c r="K18" s="71">
        <v>1.5</v>
      </c>
      <c r="L18" s="129">
        <f t="shared" ca="1" si="6"/>
        <v>1.4767335766423351</v>
      </c>
      <c r="M18" s="147"/>
    </row>
    <row r="19" spans="1:13" ht="65">
      <c r="A19" s="121" t="s">
        <v>147</v>
      </c>
      <c r="B19" s="72" t="s">
        <v>168</v>
      </c>
      <c r="C19" s="71" t="s">
        <v>177</v>
      </c>
      <c r="D19" s="75">
        <v>44469</v>
      </c>
      <c r="E19" s="125">
        <f>VLOOKUP(C19,'BD EVA 1 APO'!$D$3:$Q$108,14,0)</f>
        <v>1</v>
      </c>
      <c r="F19" s="75">
        <v>44834</v>
      </c>
      <c r="G19" s="125">
        <f ca="1">VLOOKUP(C19,'BD EVA 1 APO'!$D$3:$Y$108,22,0)</f>
        <v>1</v>
      </c>
      <c r="H19" s="125">
        <f>VLOOKUP(C19,'BD EVA 1 APO'!$D$3:$R$108,15,0)</f>
        <v>1</v>
      </c>
      <c r="I19" s="125">
        <f t="shared" ca="1" si="8"/>
        <v>1</v>
      </c>
      <c r="J19" s="75" t="s">
        <v>318</v>
      </c>
      <c r="K19" s="71">
        <v>1.5</v>
      </c>
      <c r="L19" s="129">
        <f t="shared" ca="1" si="6"/>
        <v>1.5</v>
      </c>
      <c r="M19" s="147"/>
    </row>
    <row r="20" spans="1:13" ht="52">
      <c r="A20" s="121" t="s">
        <v>147</v>
      </c>
      <c r="B20" s="72" t="s">
        <v>168</v>
      </c>
      <c r="C20" s="72" t="s">
        <v>183</v>
      </c>
      <c r="D20" s="75">
        <v>44469</v>
      </c>
      <c r="E20" s="126">
        <f>VLOOKUP(C20,'BD EVA 1 APO'!$D$3:$Q$108,14,0)</f>
        <v>0.52489848972141995</v>
      </c>
      <c r="F20" s="75">
        <v>44834</v>
      </c>
      <c r="G20" s="126">
        <f ca="1">VLOOKUP(C20,'BD EVA 1 APO'!$D$3:$Y$108,22,0)</f>
        <v>0.60364081516766399</v>
      </c>
      <c r="H20" s="125">
        <f>VLOOKUP(C20,'BD EVA 1 APO'!$D$3:$R$108,15,0)</f>
        <v>1</v>
      </c>
      <c r="I20" s="125">
        <f t="shared" ca="1" si="8"/>
        <v>0.60364081516766399</v>
      </c>
      <c r="J20" s="75" t="s">
        <v>318</v>
      </c>
      <c r="K20" s="71">
        <v>0.9</v>
      </c>
      <c r="L20" s="129">
        <f t="shared" ca="1" si="6"/>
        <v>0.54327673365089757</v>
      </c>
      <c r="M20" s="147"/>
    </row>
    <row r="21" spans="1:13" ht="39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APO'!$D$3:$Q$108,14,0)</f>
        <v>0.69675834672650638</v>
      </c>
      <c r="F21" s="75">
        <v>44834</v>
      </c>
      <c r="G21" s="126">
        <f ca="1">VLOOKUP(C21,'BD EVA 1 APO'!$D$3:$Y$108,22,0)</f>
        <v>0.41066005047696402</v>
      </c>
      <c r="H21" s="125">
        <f>VLOOKUP(C21,'BD EVA 1 APO'!$D$3:$R$108,15,0)</f>
        <v>1</v>
      </c>
      <c r="I21" s="125">
        <f t="shared" ca="1" si="8"/>
        <v>0.41066005047696402</v>
      </c>
      <c r="J21" s="75" t="s">
        <v>318</v>
      </c>
      <c r="K21" s="71">
        <v>1.5</v>
      </c>
      <c r="L21" s="129">
        <f t="shared" ca="1" si="6"/>
        <v>0.61599007571544606</v>
      </c>
      <c r="M21" s="147"/>
    </row>
    <row r="22" spans="1:13" ht="104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APO'!$D$3:$Q$108,14,0)</f>
        <v>3.15</v>
      </c>
      <c r="F22" s="71" t="s">
        <v>59</v>
      </c>
      <c r="G22" s="123">
        <f ca="1">VLOOKUP(C22,'BD EVA 1 APO'!$D$3:$Y$108,22,0)</f>
        <v>28.21</v>
      </c>
      <c r="H22" s="123">
        <f>VLOOKUP(C22,'BD EVA 1 APO'!$D$3:$R$108,15,0)</f>
        <v>19</v>
      </c>
      <c r="I22" s="125">
        <f t="shared" ca="1" si="8"/>
        <v>1.4847368421052631</v>
      </c>
      <c r="J22" s="75" t="s">
        <v>318</v>
      </c>
      <c r="K22" s="71">
        <v>1.3</v>
      </c>
      <c r="L22" s="129">
        <f t="shared" ca="1" si="6"/>
        <v>1.3</v>
      </c>
      <c r="M22" s="147"/>
    </row>
    <row r="23" spans="1:13" ht="91">
      <c r="A23" s="121" t="s">
        <v>199</v>
      </c>
      <c r="B23" s="72" t="s">
        <v>200</v>
      </c>
      <c r="C23" s="72" t="s">
        <v>201</v>
      </c>
      <c r="D23" s="75">
        <v>44469</v>
      </c>
      <c r="E23" s="137">
        <f>VLOOKUP(C23,'BD EVA 1 APO'!$D$3:$Q$108,14,0)</f>
        <v>6.0339999999999998</v>
      </c>
      <c r="F23" s="75">
        <v>44834</v>
      </c>
      <c r="G23" s="140">
        <f ca="1">VLOOKUP(C23,'BD EVA 1 APO'!$D$3:$Y$108,22,0)</f>
        <v>9.5299999999999994</v>
      </c>
      <c r="H23" s="137">
        <f>VLOOKUP(C23,'BD EVA 1 APO'!$D$3:$R$108,15,0)</f>
        <v>6.4340000000000002</v>
      </c>
      <c r="I23" s="125">
        <f t="shared" ca="1" si="8"/>
        <v>1.4811936586882186</v>
      </c>
      <c r="J23" s="75" t="s">
        <v>318</v>
      </c>
      <c r="K23" s="82">
        <v>2.645</v>
      </c>
      <c r="L23" s="129">
        <f t="shared" ca="1" si="6"/>
        <v>2.645</v>
      </c>
      <c r="M23" s="130">
        <f ca="1">SUM(L23:L26)</f>
        <v>10</v>
      </c>
    </row>
    <row r="24" spans="1:13" ht="65">
      <c r="A24" s="121" t="s">
        <v>199</v>
      </c>
      <c r="B24" s="72" t="s">
        <v>200</v>
      </c>
      <c r="C24" s="72" t="s">
        <v>209</v>
      </c>
      <c r="D24" s="71" t="s">
        <v>57</v>
      </c>
      <c r="E24" s="123">
        <f>VLOOKUP(C24,'BD EVA 1 APO'!$D$3:$Q$108,14,0)</f>
        <v>0</v>
      </c>
      <c r="F24" s="71" t="s">
        <v>59</v>
      </c>
      <c r="G24" s="137">
        <f ca="1">VLOOKUP(C24,'BD EVA 1 APO'!$D$3:$Y$108,22,0)</f>
        <v>14506</v>
      </c>
      <c r="H24" s="137">
        <f>VLOOKUP(C24,'BD EVA 1 APO'!$D$3:$R$108,15,0)</f>
        <v>1350</v>
      </c>
      <c r="I24" s="125">
        <f t="shared" ca="1" si="8"/>
        <v>10.745185185185186</v>
      </c>
      <c r="J24" s="75" t="s">
        <v>318</v>
      </c>
      <c r="K24" s="82">
        <v>2.3340000000000001</v>
      </c>
      <c r="L24" s="129">
        <f t="shared" ca="1" si="6"/>
        <v>2.3340000000000001</v>
      </c>
      <c r="M24" s="147"/>
    </row>
    <row r="25" spans="1:13" ht="52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APO'!$D$3:$Q$108,14,0)</f>
        <v>10</v>
      </c>
      <c r="F25" s="71" t="s">
        <v>59</v>
      </c>
      <c r="G25" s="123">
        <f ca="1">VLOOKUP(C25,'BD EVA 1 APO'!$D$3:$Y$108,22,0)</f>
        <v>18</v>
      </c>
      <c r="H25" s="123">
        <f>VLOOKUP(C25,'BD EVA 1 APO'!$D$3:$R$108,15,0)</f>
        <v>8</v>
      </c>
      <c r="I25" s="125">
        <f t="shared" ca="1" si="8"/>
        <v>2.25</v>
      </c>
      <c r="J25" s="75" t="s">
        <v>318</v>
      </c>
      <c r="K25" s="82">
        <v>2.8010000000000002</v>
      </c>
      <c r="L25" s="129">
        <f t="shared" ca="1" si="6"/>
        <v>2.8010000000000002</v>
      </c>
      <c r="M25" s="14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APO'!$D$3:$Q$108,14,0)</f>
        <v>4158</v>
      </c>
      <c r="F26" s="71" t="s">
        <v>59</v>
      </c>
      <c r="G26" s="123">
        <f ca="1">VLOOKUP(C26,'BD EVA 1 APO'!$D$3:$Y$108,22,0)</f>
        <v>2438</v>
      </c>
      <c r="H26" s="123">
        <f>VLOOKUP(C26,'BD EVA 1 APO'!$D$3:$R$108,15,0)</f>
        <v>4038</v>
      </c>
      <c r="I26" s="78">
        <f ca="1">(G26-E26)/(H26-E26)</f>
        <v>14.333333333333334</v>
      </c>
      <c r="J26" s="71" t="s">
        <v>319</v>
      </c>
      <c r="K26" s="82">
        <v>2.2200000000000002</v>
      </c>
      <c r="L26" s="129">
        <f t="shared" ca="1" si="6"/>
        <v>2.2200000000000002</v>
      </c>
      <c r="M26" s="147"/>
    </row>
    <row r="27" spans="1:13" ht="117">
      <c r="A27" s="121" t="s">
        <v>243</v>
      </c>
      <c r="B27" s="72" t="s">
        <v>244</v>
      </c>
      <c r="C27" s="72" t="s">
        <v>245</v>
      </c>
      <c r="D27" s="71" t="s">
        <v>57</v>
      </c>
      <c r="E27" s="123">
        <f>VLOOKUP(C27,'BD EVA 1 APO'!$D$3:$Q$108,14,0)</f>
        <v>3</v>
      </c>
      <c r="F27" s="71" t="s">
        <v>59</v>
      </c>
      <c r="G27" s="123">
        <f ca="1">VLOOKUP(C27,'BD EVA 1 APO'!$D$3:$Y$108,22,0)</f>
        <v>6</v>
      </c>
      <c r="H27" s="123">
        <f>VLOOKUP(C27,'BD EVA 1 APO'!$D$3:$R$108,15,0)</f>
        <v>5</v>
      </c>
      <c r="I27" s="80">
        <f t="shared" ref="I27:I30" ca="1" si="9">G27/H27</f>
        <v>1.2</v>
      </c>
      <c r="J27" s="75" t="s">
        <v>318</v>
      </c>
      <c r="K27" s="71">
        <v>2.5</v>
      </c>
      <c r="L27" s="129">
        <f t="shared" ca="1" si="6"/>
        <v>2.5</v>
      </c>
      <c r="M27" s="130">
        <f ca="1">SUM(L27:L30)</f>
        <v>9.4815340909090882</v>
      </c>
    </row>
    <row r="28" spans="1:13" ht="39">
      <c r="A28" s="121" t="s">
        <v>243</v>
      </c>
      <c r="B28" s="72" t="s">
        <v>247</v>
      </c>
      <c r="C28" s="72" t="s">
        <v>248</v>
      </c>
      <c r="D28" s="75">
        <v>44469</v>
      </c>
      <c r="E28" s="123">
        <f>VLOOKUP(C28,'BD EVA 1 APO'!$D$3:$Q$108,14,0)</f>
        <v>3</v>
      </c>
      <c r="F28" s="75">
        <v>44834</v>
      </c>
      <c r="G28" s="123">
        <f ca="1">VLOOKUP(C28,'BD EVA 1 APO'!$D$3:$Y$108,22,0)</f>
        <v>5</v>
      </c>
      <c r="H28" s="123">
        <f>VLOOKUP(C28,'BD EVA 1 APO'!$D$3:$R$108,15,0)</f>
        <v>4</v>
      </c>
      <c r="I28" s="80">
        <f t="shared" ca="1" si="9"/>
        <v>1.25</v>
      </c>
      <c r="J28" s="75" t="s">
        <v>318</v>
      </c>
      <c r="K28" s="71">
        <v>2.5</v>
      </c>
      <c r="L28" s="129">
        <f t="shared" ca="1" si="6"/>
        <v>2.5</v>
      </c>
      <c r="M28" s="147"/>
    </row>
    <row r="29" spans="1:13" ht="52">
      <c r="A29" s="121" t="s">
        <v>243</v>
      </c>
      <c r="B29" s="72" t="s">
        <v>250</v>
      </c>
      <c r="C29" s="72" t="s">
        <v>251</v>
      </c>
      <c r="D29" s="75">
        <v>44469</v>
      </c>
      <c r="E29" s="123">
        <f>VLOOKUP(C29,'BD EVA 1 APO'!$D$3:$Q$108,14,0)</f>
        <v>100</v>
      </c>
      <c r="F29" s="75">
        <v>44713</v>
      </c>
      <c r="G29" s="123">
        <f ca="1">VLOOKUP(C29,'BD EVA 1 APO'!$D$3:$Y$108,22,0)</f>
        <v>100</v>
      </c>
      <c r="H29" s="123">
        <f>VLOOKUP(C29,'BD EVA 1 APO'!$D$3:$R$108,15,0)</f>
        <v>100</v>
      </c>
      <c r="I29" s="80">
        <f t="shared" ca="1" si="9"/>
        <v>1</v>
      </c>
      <c r="J29" s="75" t="s">
        <v>318</v>
      </c>
      <c r="K29" s="71">
        <v>2.5</v>
      </c>
      <c r="L29" s="129">
        <f t="shared" ca="1" si="6"/>
        <v>2.5</v>
      </c>
      <c r="M29" s="147"/>
    </row>
    <row r="30" spans="1:13" ht="156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APO'!$D$3:$Q$108,14,0)</f>
        <v>0</v>
      </c>
      <c r="F30" s="75">
        <v>44834</v>
      </c>
      <c r="G30" s="129">
        <f ca="1">VLOOKUP(C30,'BD EVA 1 APO'!$D$3:$Y$108,22,0)</f>
        <v>3.1704545454545401</v>
      </c>
      <c r="H30" s="123">
        <f>VLOOKUP(C30,'BD EVA 1 APO'!$D$3:$R$108,15,0)</f>
        <v>4</v>
      </c>
      <c r="I30" s="80">
        <f t="shared" ca="1" si="9"/>
        <v>0.79261363636363502</v>
      </c>
      <c r="J30" s="75" t="s">
        <v>318</v>
      </c>
      <c r="K30" s="71">
        <v>2.5</v>
      </c>
      <c r="L30" s="129">
        <f t="shared" ca="1" si="6"/>
        <v>1.9815340909090875</v>
      </c>
      <c r="M30" s="14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B77F0-B2C8-5542-8692-1C989C22A8D4}">
  <dimension ref="A1:AC39"/>
  <sheetViews>
    <sheetView workbookViewId="0">
      <selection activeCell="F23" sqref="F23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427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34</v>
      </c>
      <c r="B2" s="148" t="s">
        <v>35</v>
      </c>
      <c r="C2" s="148" t="s">
        <v>36</v>
      </c>
      <c r="D2" s="148" t="s">
        <v>37</v>
      </c>
      <c r="E2" s="149" t="s">
        <v>38</v>
      </c>
      <c r="F2" s="9" t="s">
        <v>39</v>
      </c>
      <c r="G2" s="11">
        <v>44469</v>
      </c>
      <c r="H2" s="11">
        <v>44469</v>
      </c>
      <c r="I2" s="11">
        <v>44651</v>
      </c>
      <c r="J2" s="11">
        <v>44834</v>
      </c>
      <c r="K2" s="11">
        <v>45016</v>
      </c>
      <c r="L2" s="11">
        <v>45199</v>
      </c>
      <c r="M2" s="11">
        <v>45382</v>
      </c>
      <c r="N2" s="11">
        <v>45565</v>
      </c>
      <c r="O2" s="11">
        <v>45565</v>
      </c>
      <c r="P2" s="12">
        <v>382</v>
      </c>
      <c r="Q2" s="12">
        <v>382</v>
      </c>
      <c r="R2" s="257">
        <v>405</v>
      </c>
      <c r="S2" s="257">
        <v>428</v>
      </c>
      <c r="T2" s="257">
        <v>450</v>
      </c>
      <c r="U2" s="257">
        <v>473</v>
      </c>
      <c r="V2" s="257">
        <v>496</v>
      </c>
      <c r="W2" s="2">
        <v>496</v>
      </c>
      <c r="X2" s="12">
        <v>416</v>
      </c>
      <c r="Y2" s="2">
        <v>436</v>
      </c>
      <c r="Z2" s="12">
        <v>402</v>
      </c>
      <c r="AA2" s="2">
        <v>408</v>
      </c>
      <c r="AB2" s="12">
        <v>406</v>
      </c>
      <c r="AC2" s="2"/>
    </row>
    <row r="3" spans="1:29">
      <c r="A3" s="148" t="s">
        <v>34</v>
      </c>
      <c r="B3" s="148" t="s">
        <v>40</v>
      </c>
      <c r="C3" s="148" t="s">
        <v>36</v>
      </c>
      <c r="D3" s="148" t="s">
        <v>43</v>
      </c>
      <c r="E3" s="149" t="s">
        <v>38</v>
      </c>
      <c r="F3" s="9" t="s">
        <v>44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5">
        <v>0.51570680628272247</v>
      </c>
      <c r="Q3" s="15">
        <v>0.51570680628272247</v>
      </c>
      <c r="R3" s="2" t="s">
        <v>327</v>
      </c>
      <c r="S3" s="2" t="s">
        <v>327</v>
      </c>
      <c r="T3" s="2" t="s">
        <v>327</v>
      </c>
      <c r="U3" s="2" t="s">
        <v>327</v>
      </c>
      <c r="V3" s="2" t="s">
        <v>327</v>
      </c>
      <c r="W3" s="2" t="s">
        <v>327</v>
      </c>
      <c r="X3" s="15">
        <v>0.69471153846153844</v>
      </c>
      <c r="Y3" s="15">
        <v>0.77064220183486198</v>
      </c>
      <c r="Z3" s="15">
        <v>0.922885572139303</v>
      </c>
      <c r="AA3" s="15">
        <v>0.88725490196078405</v>
      </c>
      <c r="AB3" s="15">
        <v>0.866995073891625</v>
      </c>
      <c r="AC3" s="2"/>
    </row>
    <row r="4" spans="1:29">
      <c r="A4" s="148" t="s">
        <v>34</v>
      </c>
      <c r="B4" s="148" t="s">
        <v>45</v>
      </c>
      <c r="C4" s="148" t="s">
        <v>36</v>
      </c>
      <c r="D4" s="148" t="s">
        <v>50</v>
      </c>
      <c r="E4" s="149" t="s">
        <v>38</v>
      </c>
      <c r="F4" s="9" t="s">
        <v>51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9">
        <v>0</v>
      </c>
      <c r="Q4" s="19">
        <v>0</v>
      </c>
      <c r="R4" s="297">
        <v>5.0000000000000001E-4</v>
      </c>
      <c r="S4" s="297">
        <v>5.0000000000000001E-4</v>
      </c>
      <c r="T4" s="297">
        <v>5.0000000000000001E-4</v>
      </c>
      <c r="U4" s="297">
        <v>5.0000000000000001E-4</v>
      </c>
      <c r="V4" s="297">
        <v>5.0000000000000001E-4</v>
      </c>
      <c r="W4" s="297">
        <v>5.0000000000000001E-4</v>
      </c>
      <c r="X4" s="15">
        <v>0</v>
      </c>
      <c r="Y4" s="15">
        <v>4.1284403669724697E-2</v>
      </c>
      <c r="Z4" s="15">
        <v>3.2000000000000001E-2</v>
      </c>
      <c r="AA4" s="15">
        <v>1.7156862745097999E-2</v>
      </c>
      <c r="AB4" s="15">
        <v>3.2019704433497498E-2</v>
      </c>
      <c r="AC4" s="2"/>
    </row>
    <row r="5" spans="1:29">
      <c r="A5" s="149" t="s">
        <v>52</v>
      </c>
      <c r="B5" s="149" t="s">
        <v>53</v>
      </c>
      <c r="C5" s="149" t="s">
        <v>36</v>
      </c>
      <c r="D5" s="149" t="s">
        <v>66</v>
      </c>
      <c r="E5" s="149" t="s">
        <v>38</v>
      </c>
      <c r="F5" s="9" t="s">
        <v>67</v>
      </c>
      <c r="G5" s="9" t="s">
        <v>56</v>
      </c>
      <c r="H5" s="9" t="s">
        <v>57</v>
      </c>
      <c r="I5" s="9" t="s">
        <v>58</v>
      </c>
      <c r="J5" s="9" t="s">
        <v>59</v>
      </c>
      <c r="K5" s="9" t="s">
        <v>60</v>
      </c>
      <c r="L5" s="9" t="s">
        <v>61</v>
      </c>
      <c r="M5" s="9" t="s">
        <v>62</v>
      </c>
      <c r="N5" s="9" t="s">
        <v>63</v>
      </c>
      <c r="O5" s="9" t="s">
        <v>63</v>
      </c>
      <c r="P5" s="15">
        <v>0</v>
      </c>
      <c r="Q5" s="15">
        <v>0</v>
      </c>
      <c r="R5" s="15">
        <v>0.02</v>
      </c>
      <c r="S5" s="15">
        <v>0.04</v>
      </c>
      <c r="T5" s="15">
        <v>0.06</v>
      </c>
      <c r="U5" s="15">
        <v>0.08</v>
      </c>
      <c r="V5" s="15">
        <v>0.1</v>
      </c>
      <c r="W5" s="14">
        <v>0.1</v>
      </c>
      <c r="X5" s="15">
        <v>0</v>
      </c>
      <c r="Y5" s="15">
        <v>7.2469399650281693E-2</v>
      </c>
      <c r="Z5" s="15">
        <v>6.6713483146067397E-3</v>
      </c>
      <c r="AA5" s="15">
        <v>2.88924558587479E-2</v>
      </c>
      <c r="AB5" s="15">
        <v>0.11046511627906901</v>
      </c>
      <c r="AC5" s="2"/>
    </row>
    <row r="6" spans="1:29">
      <c r="A6" s="149" t="s">
        <v>52</v>
      </c>
      <c r="B6" s="149" t="s">
        <v>68</v>
      </c>
      <c r="C6" s="149" t="s">
        <v>36</v>
      </c>
      <c r="D6" s="149" t="s">
        <v>72</v>
      </c>
      <c r="E6" s="149" t="s">
        <v>73</v>
      </c>
      <c r="F6" s="9" t="s">
        <v>74</v>
      </c>
      <c r="G6" s="2" t="s">
        <v>56</v>
      </c>
      <c r="H6" s="2" t="s">
        <v>57</v>
      </c>
      <c r="I6" s="9" t="s">
        <v>58</v>
      </c>
      <c r="J6" s="9" t="s">
        <v>59</v>
      </c>
      <c r="K6" s="9" t="s">
        <v>60</v>
      </c>
      <c r="L6" s="9" t="s">
        <v>61</v>
      </c>
      <c r="M6" s="9" t="s">
        <v>62</v>
      </c>
      <c r="N6" s="9" t="s">
        <v>63</v>
      </c>
      <c r="O6" s="9" t="s">
        <v>63</v>
      </c>
      <c r="P6" s="23">
        <v>9.6945255014493323</v>
      </c>
      <c r="Q6" s="23">
        <v>18.742749302802043</v>
      </c>
      <c r="R6" s="2">
        <v>18.43</v>
      </c>
      <c r="S6" s="2">
        <v>9.4499999999999993</v>
      </c>
      <c r="T6" s="2">
        <v>18.12</v>
      </c>
      <c r="U6" s="2">
        <v>9.2100000000000009</v>
      </c>
      <c r="V6" s="2">
        <v>17.809999999999999</v>
      </c>
      <c r="W6" s="2">
        <v>17.809999999999999</v>
      </c>
      <c r="X6" s="23">
        <v>12.622198660784722</v>
      </c>
      <c r="Y6" s="23">
        <v>28.084392020246</v>
      </c>
      <c r="Z6" s="23">
        <v>14.8621075087701</v>
      </c>
      <c r="AA6" s="23">
        <v>29.724215017540299</v>
      </c>
      <c r="AB6" s="23">
        <v>22.8983861217461</v>
      </c>
      <c r="AC6" s="2"/>
    </row>
    <row r="7" spans="1:29">
      <c r="A7" s="149" t="s">
        <v>52</v>
      </c>
      <c r="B7" s="149" t="s">
        <v>68</v>
      </c>
      <c r="C7" s="149" t="s">
        <v>36</v>
      </c>
      <c r="D7" s="149" t="s">
        <v>84</v>
      </c>
      <c r="E7" s="149" t="s">
        <v>76</v>
      </c>
      <c r="F7" s="9" t="s">
        <v>85</v>
      </c>
      <c r="G7" s="2" t="s">
        <v>56</v>
      </c>
      <c r="H7" s="2" t="s">
        <v>57</v>
      </c>
      <c r="I7" s="9" t="s">
        <v>58</v>
      </c>
      <c r="J7" s="9" t="s">
        <v>59</v>
      </c>
      <c r="K7" s="9" t="s">
        <v>60</v>
      </c>
      <c r="L7" s="9" t="s">
        <v>61</v>
      </c>
      <c r="M7" s="9" t="s">
        <v>62</v>
      </c>
      <c r="N7" s="9" t="s">
        <v>63</v>
      </c>
      <c r="O7" s="9" t="s">
        <v>63</v>
      </c>
      <c r="P7" s="23">
        <v>320.24249239787628</v>
      </c>
      <c r="Q7" s="23">
        <v>677.32418170125993</v>
      </c>
      <c r="R7" s="2">
        <v>654.70000000000005</v>
      </c>
      <c r="S7" s="2">
        <v>309.60000000000002</v>
      </c>
      <c r="T7" s="2">
        <v>632.20000000000005</v>
      </c>
      <c r="U7" s="2">
        <v>298.89999999999998</v>
      </c>
      <c r="V7" s="2">
        <v>609.6</v>
      </c>
      <c r="W7" s="2">
        <v>609.6</v>
      </c>
      <c r="X7" s="23">
        <v>431.04808426579825</v>
      </c>
      <c r="Y7" s="23">
        <v>794.25185072987802</v>
      </c>
      <c r="Z7" s="23">
        <v>341.82847270171402</v>
      </c>
      <c r="AA7" s="23">
        <v>743.41500267827496</v>
      </c>
      <c r="AB7" s="23">
        <v>464.98989417892398</v>
      </c>
      <c r="AC7" s="2"/>
    </row>
    <row r="8" spans="1:29">
      <c r="A8" s="149" t="s">
        <v>52</v>
      </c>
      <c r="B8" s="149" t="s">
        <v>86</v>
      </c>
      <c r="C8" s="149" t="s">
        <v>36</v>
      </c>
      <c r="D8" s="149" t="s">
        <v>89</v>
      </c>
      <c r="E8" s="149" t="s">
        <v>76</v>
      </c>
      <c r="F8" s="9" t="s">
        <v>90</v>
      </c>
      <c r="G8" s="2" t="s">
        <v>56</v>
      </c>
      <c r="H8" s="2" t="s">
        <v>57</v>
      </c>
      <c r="I8" s="9" t="s">
        <v>58</v>
      </c>
      <c r="J8" s="9" t="s">
        <v>59</v>
      </c>
      <c r="K8" s="9" t="s">
        <v>60</v>
      </c>
      <c r="L8" s="9" t="s">
        <v>61</v>
      </c>
      <c r="M8" s="9" t="s">
        <v>62</v>
      </c>
      <c r="N8" s="9" t="s">
        <v>63</v>
      </c>
      <c r="O8" s="9" t="s">
        <v>63</v>
      </c>
      <c r="P8" s="23">
        <v>315.71838049719986</v>
      </c>
      <c r="Q8" s="23">
        <v>665.04444939942414</v>
      </c>
      <c r="R8" s="2">
        <v>654</v>
      </c>
      <c r="S8" s="2">
        <v>310.5</v>
      </c>
      <c r="T8" s="2">
        <v>642.9</v>
      </c>
      <c r="U8" s="2">
        <v>305.2</v>
      </c>
      <c r="V8" s="2">
        <v>631.79999999999995</v>
      </c>
      <c r="W8" s="2">
        <v>631.79999999999995</v>
      </c>
      <c r="X8" s="23">
        <v>340.79936384118747</v>
      </c>
      <c r="Y8" s="23">
        <v>801.50961495982904</v>
      </c>
      <c r="Z8" s="23">
        <v>384.55703178942798</v>
      </c>
      <c r="AA8" s="23">
        <v>835.68392012855702</v>
      </c>
      <c r="AB8" s="23">
        <v>410.644391116647</v>
      </c>
      <c r="AC8" s="2"/>
    </row>
    <row r="9" spans="1:29">
      <c r="A9" s="149" t="s">
        <v>52</v>
      </c>
      <c r="B9" s="149" t="s">
        <v>86</v>
      </c>
      <c r="C9" s="149" t="s">
        <v>36</v>
      </c>
      <c r="D9" s="149" t="s">
        <v>93</v>
      </c>
      <c r="E9" s="149" t="s">
        <v>76</v>
      </c>
      <c r="F9" s="9" t="s">
        <v>94</v>
      </c>
      <c r="G9" s="2" t="s">
        <v>56</v>
      </c>
      <c r="H9" s="2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3">
        <v>342.86305190125802</v>
      </c>
      <c r="Q9" s="23">
        <v>924.8577328382662</v>
      </c>
      <c r="R9" s="2">
        <v>909.4</v>
      </c>
      <c r="S9" s="2">
        <v>337.1</v>
      </c>
      <c r="T9" s="2">
        <v>894</v>
      </c>
      <c r="U9" s="2">
        <v>331.4</v>
      </c>
      <c r="V9" s="2">
        <v>878.6</v>
      </c>
      <c r="W9" s="2">
        <v>878.6</v>
      </c>
      <c r="X9" s="23">
        <v>499.83906696707493</v>
      </c>
      <c r="Y9" s="23">
        <v>1019.55809682488</v>
      </c>
      <c r="Z9" s="23">
        <v>407.77907477188199</v>
      </c>
      <c r="AA9" s="23">
        <v>873.14881614024796</v>
      </c>
      <c r="AB9" s="23">
        <v>276.30719253573602</v>
      </c>
      <c r="AC9" s="2"/>
    </row>
    <row r="10" spans="1:29">
      <c r="A10" s="149" t="s">
        <v>52</v>
      </c>
      <c r="B10" s="149" t="s">
        <v>86</v>
      </c>
      <c r="C10" s="149" t="s">
        <v>36</v>
      </c>
      <c r="D10" s="149" t="s">
        <v>117</v>
      </c>
      <c r="E10" s="149" t="s">
        <v>76</v>
      </c>
      <c r="F10" s="9" t="s">
        <v>118</v>
      </c>
      <c r="G10" s="2" t="s">
        <v>56</v>
      </c>
      <c r="H10" s="2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23">
        <v>10.663978051594265</v>
      </c>
      <c r="Q10" s="23">
        <v>26.821520554009815</v>
      </c>
      <c r="R10" s="2">
        <v>26.4</v>
      </c>
      <c r="S10" s="2">
        <v>10.5</v>
      </c>
      <c r="T10" s="2">
        <v>25.9</v>
      </c>
      <c r="U10" s="2">
        <v>10.3</v>
      </c>
      <c r="V10" s="2">
        <v>25.5</v>
      </c>
      <c r="W10" s="2">
        <v>25.5</v>
      </c>
      <c r="X10" s="23">
        <v>17.67107812509861</v>
      </c>
      <c r="Y10" s="23">
        <v>38.497705915393396</v>
      </c>
      <c r="Z10" s="23">
        <v>13.3139713099399</v>
      </c>
      <c r="AA10" s="23">
        <v>34.368623614031002</v>
      </c>
      <c r="AB10" s="23">
        <v>21.066515232006399</v>
      </c>
      <c r="AC10" s="2"/>
    </row>
    <row r="11" spans="1:29">
      <c r="A11" s="148" t="s">
        <v>119</v>
      </c>
      <c r="B11" s="148" t="s">
        <v>120</v>
      </c>
      <c r="C11" s="148" t="s">
        <v>36</v>
      </c>
      <c r="D11" s="148" t="s">
        <v>125</v>
      </c>
      <c r="E11" s="148" t="s">
        <v>38</v>
      </c>
      <c r="F11" s="2" t="s">
        <v>126</v>
      </c>
      <c r="G11" s="11">
        <v>44469</v>
      </c>
      <c r="H11" s="11">
        <v>44469</v>
      </c>
      <c r="I11" s="11">
        <v>44651</v>
      </c>
      <c r="J11" s="11">
        <v>44834</v>
      </c>
      <c r="K11" s="11">
        <v>45016</v>
      </c>
      <c r="L11" s="11">
        <v>45199</v>
      </c>
      <c r="M11" s="11">
        <v>45382</v>
      </c>
      <c r="N11" s="11">
        <v>45565</v>
      </c>
      <c r="O11" s="11">
        <v>45565</v>
      </c>
      <c r="P11" s="15">
        <v>0</v>
      </c>
      <c r="Q11" s="15">
        <v>0</v>
      </c>
      <c r="R11" s="2" t="s">
        <v>419</v>
      </c>
      <c r="S11" s="2" t="s">
        <v>419</v>
      </c>
      <c r="T11" s="2" t="s">
        <v>419</v>
      </c>
      <c r="U11" s="2" t="s">
        <v>419</v>
      </c>
      <c r="V11" s="2" t="s">
        <v>419</v>
      </c>
      <c r="W11" s="2" t="s">
        <v>419</v>
      </c>
      <c r="X11" s="15">
        <v>0</v>
      </c>
      <c r="Y11" s="300" t="s">
        <v>420</v>
      </c>
      <c r="Z11" s="15">
        <v>0</v>
      </c>
      <c r="AA11" s="15">
        <v>0</v>
      </c>
      <c r="AB11" s="15">
        <v>0</v>
      </c>
      <c r="AC11" s="2"/>
    </row>
    <row r="12" spans="1:29">
      <c r="A12" s="149" t="s">
        <v>119</v>
      </c>
      <c r="B12" s="149" t="s">
        <v>120</v>
      </c>
      <c r="C12" s="149" t="s">
        <v>36</v>
      </c>
      <c r="D12" s="149" t="s">
        <v>333</v>
      </c>
      <c r="E12" s="149" t="s">
        <v>38</v>
      </c>
      <c r="F12" s="2" t="s">
        <v>334</v>
      </c>
      <c r="G12" s="2" t="s">
        <v>56</v>
      </c>
      <c r="H12" s="2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2"/>
      <c r="S12" s="2" t="s">
        <v>419</v>
      </c>
      <c r="T12" s="2" t="s">
        <v>419</v>
      </c>
      <c r="U12" s="2" t="s">
        <v>419</v>
      </c>
      <c r="V12" s="2" t="s">
        <v>419</v>
      </c>
      <c r="W12" s="2" t="s">
        <v>419</v>
      </c>
      <c r="X12" s="12"/>
      <c r="Y12" s="250" t="s">
        <v>420</v>
      </c>
      <c r="Z12" s="12">
        <v>0</v>
      </c>
      <c r="AA12" s="12">
        <v>0</v>
      </c>
      <c r="AB12" s="12">
        <v>0</v>
      </c>
      <c r="AC12" s="2"/>
    </row>
    <row r="13" spans="1:29">
      <c r="A13" s="149" t="s">
        <v>119</v>
      </c>
      <c r="B13" s="149" t="s">
        <v>127</v>
      </c>
      <c r="C13" s="149" t="s">
        <v>36</v>
      </c>
      <c r="D13" s="149" t="s">
        <v>128</v>
      </c>
      <c r="E13" s="149" t="s">
        <v>38</v>
      </c>
      <c r="F13" s="9" t="s">
        <v>129</v>
      </c>
      <c r="G13" s="2" t="s">
        <v>56</v>
      </c>
      <c r="H13" s="2" t="s">
        <v>57</v>
      </c>
      <c r="I13" s="2" t="s">
        <v>58</v>
      </c>
      <c r="J13" s="2" t="s">
        <v>59</v>
      </c>
      <c r="K13" s="2" t="s">
        <v>335</v>
      </c>
      <c r="L13" s="2" t="s">
        <v>336</v>
      </c>
      <c r="M13" s="2" t="s">
        <v>337</v>
      </c>
      <c r="N13" s="12" t="s">
        <v>132</v>
      </c>
      <c r="O13" s="12" t="s">
        <v>132</v>
      </c>
      <c r="P13" s="12">
        <v>0</v>
      </c>
      <c r="Q13" s="12">
        <v>0</v>
      </c>
      <c r="R13" s="2">
        <v>1</v>
      </c>
      <c r="S13" s="2">
        <v>2</v>
      </c>
      <c r="T13" s="2">
        <v>2</v>
      </c>
      <c r="U13" s="2">
        <v>3</v>
      </c>
      <c r="V13" s="2">
        <v>3</v>
      </c>
      <c r="W13" s="2">
        <v>3</v>
      </c>
      <c r="X13" s="12">
        <v>0</v>
      </c>
      <c r="Y13" s="2">
        <v>0</v>
      </c>
      <c r="Z13" s="12">
        <v>0</v>
      </c>
      <c r="AA13" s="2">
        <v>0</v>
      </c>
      <c r="AB13" s="12">
        <v>0</v>
      </c>
      <c r="AC13" s="2"/>
    </row>
    <row r="14" spans="1:29">
      <c r="A14" s="149" t="s">
        <v>119</v>
      </c>
      <c r="B14" s="149" t="s">
        <v>133</v>
      </c>
      <c r="C14" s="149" t="s">
        <v>36</v>
      </c>
      <c r="D14" s="149" t="s">
        <v>134</v>
      </c>
      <c r="E14" s="149" t="s">
        <v>38</v>
      </c>
      <c r="F14" s="9" t="s">
        <v>135</v>
      </c>
      <c r="G14" s="2" t="s">
        <v>56</v>
      </c>
      <c r="H14" s="2" t="s">
        <v>57</v>
      </c>
      <c r="I14" s="2" t="s">
        <v>58</v>
      </c>
      <c r="J14" s="2" t="s">
        <v>59</v>
      </c>
      <c r="K14" s="2" t="s">
        <v>335</v>
      </c>
      <c r="L14" s="2" t="s">
        <v>336</v>
      </c>
      <c r="M14" s="2" t="s">
        <v>337</v>
      </c>
      <c r="N14" s="12" t="s">
        <v>132</v>
      </c>
      <c r="O14" s="12" t="s">
        <v>132</v>
      </c>
      <c r="P14" s="12">
        <v>230</v>
      </c>
      <c r="Q14" s="12">
        <v>440</v>
      </c>
      <c r="R14" s="9">
        <v>1000</v>
      </c>
      <c r="S14" s="9">
        <v>1500</v>
      </c>
      <c r="T14" s="9">
        <v>2000</v>
      </c>
      <c r="U14" s="9">
        <v>2500</v>
      </c>
      <c r="V14" s="9">
        <v>3000</v>
      </c>
      <c r="W14" s="2">
        <v>3000</v>
      </c>
      <c r="X14" s="12">
        <v>779</v>
      </c>
      <c r="Y14" s="12">
        <v>922</v>
      </c>
      <c r="Z14" s="12">
        <v>1167</v>
      </c>
      <c r="AA14" s="12">
        <v>1504</v>
      </c>
      <c r="AB14" s="12">
        <v>1587</v>
      </c>
      <c r="AC14" s="2"/>
    </row>
    <row r="15" spans="1:29">
      <c r="A15" s="149" t="s">
        <v>119</v>
      </c>
      <c r="B15" s="149" t="s">
        <v>136</v>
      </c>
      <c r="C15" s="149" t="s">
        <v>36</v>
      </c>
      <c r="D15" s="149" t="s">
        <v>145</v>
      </c>
      <c r="E15" s="149" t="s">
        <v>38</v>
      </c>
      <c r="F15" s="2" t="s">
        <v>146</v>
      </c>
      <c r="G15" s="2" t="s">
        <v>56</v>
      </c>
      <c r="H15" s="2" t="s">
        <v>57</v>
      </c>
      <c r="I15" s="2" t="s">
        <v>58</v>
      </c>
      <c r="J15" s="2" t="s">
        <v>59</v>
      </c>
      <c r="K15" s="2" t="s">
        <v>335</v>
      </c>
      <c r="L15" s="2" t="s">
        <v>336</v>
      </c>
      <c r="M15" s="2" t="s">
        <v>337</v>
      </c>
      <c r="N15" s="12" t="s">
        <v>132</v>
      </c>
      <c r="O15" s="12" t="s">
        <v>132</v>
      </c>
      <c r="P15" s="12">
        <v>9</v>
      </c>
      <c r="Q15" s="12">
        <v>25</v>
      </c>
      <c r="R15" s="4">
        <v>16</v>
      </c>
      <c r="S15" s="4">
        <v>24</v>
      </c>
      <c r="T15" s="4">
        <v>33</v>
      </c>
      <c r="U15" s="4">
        <v>41</v>
      </c>
      <c r="V15" s="4">
        <v>49</v>
      </c>
      <c r="W15" s="4">
        <v>49</v>
      </c>
      <c r="X15" s="12">
        <v>9</v>
      </c>
      <c r="Y15" s="2">
        <v>25</v>
      </c>
      <c r="Z15" s="12">
        <v>26</v>
      </c>
      <c r="AA15" s="2">
        <v>48</v>
      </c>
      <c r="AB15" s="12">
        <v>48</v>
      </c>
      <c r="AC15" s="2"/>
    </row>
    <row r="16" spans="1:29">
      <c r="A16" s="149" t="s">
        <v>147</v>
      </c>
      <c r="B16" s="149" t="s">
        <v>148</v>
      </c>
      <c r="C16" s="149" t="s">
        <v>36</v>
      </c>
      <c r="D16" s="149" t="s">
        <v>156</v>
      </c>
      <c r="E16" s="149" t="s">
        <v>38</v>
      </c>
      <c r="F16" s="9"/>
      <c r="G16" s="11">
        <v>44469</v>
      </c>
      <c r="H16" s="11">
        <v>44469</v>
      </c>
      <c r="I16" s="11">
        <v>44651</v>
      </c>
      <c r="J16" s="11">
        <v>44834</v>
      </c>
      <c r="K16" s="11">
        <v>45016</v>
      </c>
      <c r="L16" s="11">
        <v>45199</v>
      </c>
      <c r="M16" s="11">
        <v>45382</v>
      </c>
      <c r="N16" s="11">
        <v>45565</v>
      </c>
      <c r="O16" s="11">
        <v>45565</v>
      </c>
      <c r="P16" s="12">
        <v>0</v>
      </c>
      <c r="Q16" s="12">
        <v>0</v>
      </c>
      <c r="R16" s="2" t="s">
        <v>157</v>
      </c>
      <c r="S16" s="2" t="s">
        <v>157</v>
      </c>
      <c r="T16" s="2" t="s">
        <v>157</v>
      </c>
      <c r="U16" s="2" t="s">
        <v>157</v>
      </c>
      <c r="V16" s="2" t="s">
        <v>157</v>
      </c>
      <c r="W16" s="2" t="s">
        <v>157</v>
      </c>
      <c r="X16" s="26">
        <v>0</v>
      </c>
      <c r="Y16" s="26">
        <v>0</v>
      </c>
      <c r="Z16" s="26">
        <v>0.33333333333333298</v>
      </c>
      <c r="AA16" s="26">
        <v>0.33333333333333298</v>
      </c>
      <c r="AB16" s="26">
        <v>0.33333333333333298</v>
      </c>
      <c r="AC16" s="2"/>
    </row>
    <row r="17" spans="1:29">
      <c r="A17" s="149" t="s">
        <v>147</v>
      </c>
      <c r="B17" s="149" t="s">
        <v>148</v>
      </c>
      <c r="C17" s="149" t="s">
        <v>36</v>
      </c>
      <c r="D17" s="149" t="s">
        <v>351</v>
      </c>
      <c r="E17" s="149" t="s">
        <v>38</v>
      </c>
      <c r="F17" s="9"/>
      <c r="G17" s="11">
        <v>44469</v>
      </c>
      <c r="H17" s="11">
        <v>44469</v>
      </c>
      <c r="I17" s="11">
        <v>44651</v>
      </c>
      <c r="J17" s="11">
        <v>44834</v>
      </c>
      <c r="K17" s="11">
        <v>45016</v>
      </c>
      <c r="L17" s="11">
        <v>45199</v>
      </c>
      <c r="M17" s="11">
        <v>45382</v>
      </c>
      <c r="N17" s="11">
        <v>45565</v>
      </c>
      <c r="O17" s="11">
        <v>45565</v>
      </c>
      <c r="P17" s="12">
        <v>0</v>
      </c>
      <c r="Q17" s="12">
        <v>0</v>
      </c>
      <c r="R17" s="2" t="s">
        <v>159</v>
      </c>
      <c r="S17" s="2" t="s">
        <v>160</v>
      </c>
      <c r="T17" s="2" t="s">
        <v>160</v>
      </c>
      <c r="U17" s="2" t="s">
        <v>161</v>
      </c>
      <c r="V17" s="2" t="s">
        <v>161</v>
      </c>
      <c r="W17" s="2" t="s">
        <v>161</v>
      </c>
      <c r="X17" s="12">
        <v>0</v>
      </c>
      <c r="Y17" s="2">
        <v>0</v>
      </c>
      <c r="Z17" s="12">
        <v>0</v>
      </c>
      <c r="AA17" s="2">
        <v>0</v>
      </c>
      <c r="AB17" s="12">
        <v>0</v>
      </c>
      <c r="AC17" s="2"/>
    </row>
    <row r="18" spans="1:29">
      <c r="A18" s="149" t="s">
        <v>147</v>
      </c>
      <c r="B18" s="149" t="s">
        <v>148</v>
      </c>
      <c r="C18" s="149" t="s">
        <v>36</v>
      </c>
      <c r="D18" s="149" t="s">
        <v>166</v>
      </c>
      <c r="E18" s="149" t="s">
        <v>38</v>
      </c>
      <c r="F18" s="9" t="s">
        <v>167</v>
      </c>
      <c r="G18" s="11">
        <v>44469</v>
      </c>
      <c r="H18" s="11">
        <v>44469</v>
      </c>
      <c r="I18" s="11">
        <v>44651</v>
      </c>
      <c r="J18" s="11">
        <v>44834</v>
      </c>
      <c r="K18" s="11">
        <v>45016</v>
      </c>
      <c r="L18" s="11">
        <v>45199</v>
      </c>
      <c r="M18" s="11">
        <v>45382</v>
      </c>
      <c r="N18" s="11">
        <v>45565</v>
      </c>
      <c r="O18" s="11">
        <v>45565</v>
      </c>
      <c r="P18" s="30" t="s">
        <v>320</v>
      </c>
      <c r="Q18" s="30" t="s">
        <v>320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>
        <v>1</v>
      </c>
      <c r="X18" s="30" t="s">
        <v>320</v>
      </c>
      <c r="Y18" s="15" t="s">
        <v>320</v>
      </c>
      <c r="Z18" s="30" t="s">
        <v>320</v>
      </c>
      <c r="AA18" s="15" t="s">
        <v>320</v>
      </c>
      <c r="AB18" s="30" t="s">
        <v>320</v>
      </c>
      <c r="AC18" s="2"/>
    </row>
    <row r="19" spans="1:29">
      <c r="A19" s="149" t="s">
        <v>147</v>
      </c>
      <c r="B19" s="149" t="s">
        <v>168</v>
      </c>
      <c r="C19" s="149" t="s">
        <v>36</v>
      </c>
      <c r="D19" s="149" t="s">
        <v>173</v>
      </c>
      <c r="E19" s="149" t="s">
        <v>38</v>
      </c>
      <c r="F19" s="9" t="s">
        <v>174</v>
      </c>
      <c r="G19" s="11">
        <v>44469</v>
      </c>
      <c r="H19" s="11">
        <v>44469</v>
      </c>
      <c r="I19" s="11">
        <v>44651</v>
      </c>
      <c r="J19" s="11">
        <v>44834</v>
      </c>
      <c r="K19" s="11">
        <v>45016</v>
      </c>
      <c r="L19" s="11">
        <v>45199</v>
      </c>
      <c r="M19" s="11">
        <v>45382</v>
      </c>
      <c r="N19" s="11">
        <v>45565</v>
      </c>
      <c r="O19" s="11">
        <v>45565</v>
      </c>
      <c r="P19" s="15">
        <v>0.96726315789473682</v>
      </c>
      <c r="Q19" s="15">
        <v>0.96726315789473682</v>
      </c>
      <c r="R19" s="14">
        <v>1</v>
      </c>
      <c r="S19" s="14">
        <v>1</v>
      </c>
      <c r="T19" s="14">
        <v>1</v>
      </c>
      <c r="U19" s="14">
        <v>1</v>
      </c>
      <c r="V19" s="14">
        <v>1</v>
      </c>
      <c r="W19" s="14">
        <v>1</v>
      </c>
      <c r="X19" s="15">
        <v>0.97533624454148471</v>
      </c>
      <c r="Y19" s="15">
        <v>0.99611158675799005</v>
      </c>
      <c r="Z19" s="15">
        <v>1.0085973173515901</v>
      </c>
      <c r="AA19" s="15">
        <v>1.0168022260273899</v>
      </c>
      <c r="AB19" s="15">
        <v>1</v>
      </c>
      <c r="AC19" s="2"/>
    </row>
    <row r="20" spans="1:29">
      <c r="A20" s="148" t="s">
        <v>147</v>
      </c>
      <c r="B20" s="148" t="s">
        <v>168</v>
      </c>
      <c r="C20" s="148" t="s">
        <v>36</v>
      </c>
      <c r="D20" s="148" t="s">
        <v>177</v>
      </c>
      <c r="E20" s="148" t="s">
        <v>38</v>
      </c>
      <c r="F20" s="2" t="s">
        <v>178</v>
      </c>
      <c r="G20" s="11">
        <v>44469</v>
      </c>
      <c r="H20" s="11">
        <v>44469</v>
      </c>
      <c r="I20" s="49">
        <v>44651</v>
      </c>
      <c r="J20" s="49">
        <v>44834</v>
      </c>
      <c r="K20" s="49">
        <v>45016</v>
      </c>
      <c r="L20" s="49">
        <v>45199</v>
      </c>
      <c r="M20" s="49">
        <v>45382</v>
      </c>
      <c r="N20" s="49">
        <v>45565</v>
      </c>
      <c r="O20" s="49">
        <v>45565</v>
      </c>
      <c r="P20" s="15">
        <v>0.59262478455619816</v>
      </c>
      <c r="Q20" s="15">
        <v>0.59262478455619816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5">
        <v>0.59262478455619816</v>
      </c>
      <c r="Y20" s="328" t="s">
        <v>429</v>
      </c>
      <c r="Z20" s="15" t="s">
        <v>429</v>
      </c>
      <c r="AA20" s="14" t="s">
        <v>429</v>
      </c>
      <c r="AB20" s="15" t="s">
        <v>429</v>
      </c>
      <c r="AC20" s="2"/>
    </row>
    <row r="21" spans="1:29">
      <c r="A21" s="149" t="s">
        <v>147</v>
      </c>
      <c r="B21" s="149" t="s">
        <v>168</v>
      </c>
      <c r="C21" s="149" t="s">
        <v>36</v>
      </c>
      <c r="D21" s="149" t="s">
        <v>183</v>
      </c>
      <c r="E21" s="149" t="s">
        <v>38</v>
      </c>
      <c r="F21" s="9" t="s">
        <v>184</v>
      </c>
      <c r="G21" s="11">
        <v>44469</v>
      </c>
      <c r="H21" s="11">
        <v>44469</v>
      </c>
      <c r="I21" s="11">
        <v>44651</v>
      </c>
      <c r="J21" s="11">
        <v>44834</v>
      </c>
      <c r="K21" s="11">
        <v>45016</v>
      </c>
      <c r="L21" s="11">
        <v>45199</v>
      </c>
      <c r="M21" s="11">
        <v>45382</v>
      </c>
      <c r="N21" s="11">
        <v>45565</v>
      </c>
      <c r="O21" s="11">
        <v>45565</v>
      </c>
      <c r="P21" s="15">
        <v>0.80780800599065006</v>
      </c>
      <c r="Q21" s="15">
        <v>0.80780800727193003</v>
      </c>
      <c r="R21" s="14">
        <v>1</v>
      </c>
      <c r="S21" s="14">
        <v>1</v>
      </c>
      <c r="T21" s="14">
        <v>1</v>
      </c>
      <c r="U21" s="14">
        <v>1</v>
      </c>
      <c r="V21" s="14">
        <v>1</v>
      </c>
      <c r="W21" s="14">
        <v>1</v>
      </c>
      <c r="X21" s="15">
        <v>0.80923893303410843</v>
      </c>
      <c r="Y21" s="15">
        <v>1.0162239999999999E-2</v>
      </c>
      <c r="Z21" s="15">
        <v>0.80867260499791604</v>
      </c>
      <c r="AA21" s="15">
        <v>0.811236305355859</v>
      </c>
      <c r="AB21" s="15">
        <v>0.81380000571380096</v>
      </c>
      <c r="AC21" s="2"/>
    </row>
    <row r="22" spans="1:29">
      <c r="A22" s="149" t="s">
        <v>147</v>
      </c>
      <c r="B22" s="149" t="s">
        <v>168</v>
      </c>
      <c r="C22" s="149" t="s">
        <v>36</v>
      </c>
      <c r="D22" s="149" t="s">
        <v>189</v>
      </c>
      <c r="E22" s="149" t="s">
        <v>38</v>
      </c>
      <c r="F22" s="9" t="s">
        <v>190</v>
      </c>
      <c r="G22" s="11">
        <v>44469</v>
      </c>
      <c r="H22" s="11">
        <v>44469</v>
      </c>
      <c r="I22" s="11">
        <v>44651</v>
      </c>
      <c r="J22" s="11">
        <v>44834</v>
      </c>
      <c r="K22" s="11">
        <v>45016</v>
      </c>
      <c r="L22" s="11">
        <v>45199</v>
      </c>
      <c r="M22" s="11">
        <v>45382</v>
      </c>
      <c r="N22" s="11">
        <v>45565</v>
      </c>
      <c r="O22" s="11">
        <v>45565</v>
      </c>
      <c r="P22" s="15">
        <v>0.74489795918367352</v>
      </c>
      <c r="Q22" s="15">
        <v>0.74489795918367352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5">
        <v>0.74489795918367352</v>
      </c>
      <c r="Y22" s="15">
        <v>1</v>
      </c>
      <c r="Z22" s="15">
        <v>0.77837861796906105</v>
      </c>
      <c r="AA22" s="15">
        <v>0.83094720978680003</v>
      </c>
      <c r="AB22" s="15">
        <v>0.88351580160453802</v>
      </c>
      <c r="AC22" s="2"/>
    </row>
    <row r="23" spans="1:29">
      <c r="A23" s="149" t="s">
        <v>147</v>
      </c>
      <c r="B23" s="149" t="s">
        <v>168</v>
      </c>
      <c r="C23" s="149" t="s">
        <v>36</v>
      </c>
      <c r="D23" s="149" t="s">
        <v>197</v>
      </c>
      <c r="E23" s="149" t="s">
        <v>38</v>
      </c>
      <c r="F23" s="9" t="s">
        <v>198</v>
      </c>
      <c r="G23" s="2" t="s">
        <v>56</v>
      </c>
      <c r="H23" s="2" t="s">
        <v>57</v>
      </c>
      <c r="I23" s="2" t="s">
        <v>58</v>
      </c>
      <c r="J23" s="2" t="s">
        <v>59</v>
      </c>
      <c r="K23" s="2" t="s">
        <v>130</v>
      </c>
      <c r="L23" s="2" t="s">
        <v>61</v>
      </c>
      <c r="M23" s="2" t="s">
        <v>131</v>
      </c>
      <c r="N23" s="2" t="s">
        <v>63</v>
      </c>
      <c r="O23" s="2" t="s">
        <v>132</v>
      </c>
      <c r="P23" s="23">
        <v>0</v>
      </c>
      <c r="Q23" s="23">
        <v>0</v>
      </c>
      <c r="R23" s="320">
        <v>2.4333333330000002</v>
      </c>
      <c r="S23" s="320">
        <v>2.4333333330000002</v>
      </c>
      <c r="T23" s="320">
        <v>2.4333333330000002</v>
      </c>
      <c r="U23" s="320">
        <v>2.4333333330000002</v>
      </c>
      <c r="V23" s="320">
        <v>2.4333333330000002</v>
      </c>
      <c r="W23" s="320">
        <v>7.3</v>
      </c>
      <c r="X23" s="23">
        <v>6319.82</v>
      </c>
      <c r="Y23" s="12">
        <v>6355.3588099999997</v>
      </c>
      <c r="Z23" s="23">
        <v>4.5249999999999999E-2</v>
      </c>
      <c r="AA23" s="12">
        <v>4.5249999999999999E-2</v>
      </c>
      <c r="AB23" s="23">
        <v>0</v>
      </c>
      <c r="AC23" s="2"/>
    </row>
    <row r="24" spans="1:29">
      <c r="A24" s="149" t="s">
        <v>199</v>
      </c>
      <c r="B24" s="149" t="s">
        <v>200</v>
      </c>
      <c r="C24" s="149" t="s">
        <v>36</v>
      </c>
      <c r="D24" s="149" t="s">
        <v>201</v>
      </c>
      <c r="E24" s="149" t="s">
        <v>38</v>
      </c>
      <c r="F24" s="9" t="s">
        <v>202</v>
      </c>
      <c r="G24" s="11">
        <v>44469</v>
      </c>
      <c r="H24" s="11">
        <v>44469</v>
      </c>
      <c r="I24" s="11">
        <v>44651</v>
      </c>
      <c r="J24" s="11">
        <v>44834</v>
      </c>
      <c r="K24" s="11">
        <v>45016</v>
      </c>
      <c r="L24" s="11">
        <v>45199</v>
      </c>
      <c r="M24" s="11">
        <v>45382</v>
      </c>
      <c r="N24" s="11">
        <v>45565</v>
      </c>
      <c r="O24" s="11">
        <v>45565</v>
      </c>
      <c r="P24" s="23">
        <v>1.5</v>
      </c>
      <c r="Q24" s="23">
        <v>1.5</v>
      </c>
      <c r="R24" s="56">
        <v>1.8</v>
      </c>
      <c r="S24" s="56" t="s">
        <v>426</v>
      </c>
      <c r="T24" s="56" t="s">
        <v>426</v>
      </c>
      <c r="U24" s="56" t="s">
        <v>426</v>
      </c>
      <c r="V24" s="56" t="s">
        <v>426</v>
      </c>
      <c r="W24" s="56" t="s">
        <v>426</v>
      </c>
      <c r="X24" s="23">
        <v>1.76</v>
      </c>
      <c r="Y24" s="30">
        <v>1.76</v>
      </c>
      <c r="Z24" s="30">
        <v>1.76</v>
      </c>
      <c r="AA24" s="30">
        <v>1.76</v>
      </c>
      <c r="AB24" s="30">
        <v>1.76</v>
      </c>
      <c r="AC24" s="2"/>
    </row>
    <row r="25" spans="1:29">
      <c r="A25" s="149" t="s">
        <v>199</v>
      </c>
      <c r="B25" s="149" t="s">
        <v>200</v>
      </c>
      <c r="C25" s="149" t="s">
        <v>36</v>
      </c>
      <c r="D25" s="149" t="s">
        <v>209</v>
      </c>
      <c r="E25" s="149" t="s">
        <v>38</v>
      </c>
      <c r="F25" s="9" t="s">
        <v>210</v>
      </c>
      <c r="G25" s="2" t="s">
        <v>56</v>
      </c>
      <c r="H25" s="2" t="s">
        <v>57</v>
      </c>
      <c r="I25" s="2" t="s">
        <v>58</v>
      </c>
      <c r="J25" s="2" t="s">
        <v>59</v>
      </c>
      <c r="K25" s="2" t="s">
        <v>130</v>
      </c>
      <c r="L25" s="2" t="s">
        <v>61</v>
      </c>
      <c r="M25" s="2" t="s">
        <v>131</v>
      </c>
      <c r="N25" s="2" t="s">
        <v>63</v>
      </c>
      <c r="O25" s="2" t="s">
        <v>132</v>
      </c>
      <c r="P25" s="254"/>
      <c r="Q25" s="254"/>
      <c r="R25" s="4">
        <v>1766.7</v>
      </c>
      <c r="S25" s="4">
        <v>883.3</v>
      </c>
      <c r="T25" s="4">
        <v>1766.7</v>
      </c>
      <c r="U25" s="4">
        <v>883.3</v>
      </c>
      <c r="V25" s="4">
        <v>1766.7</v>
      </c>
      <c r="W25" s="4">
        <v>5300</v>
      </c>
      <c r="X25" s="23">
        <v>2494.96</v>
      </c>
      <c r="Y25" s="12">
        <v>4543.1899999999996</v>
      </c>
      <c r="Z25" s="23">
        <v>0</v>
      </c>
      <c r="AA25" s="12">
        <v>7528.3</v>
      </c>
      <c r="AB25" s="23">
        <v>0</v>
      </c>
      <c r="AC25" s="2"/>
    </row>
    <row r="26" spans="1:29">
      <c r="A26" s="149" t="s">
        <v>199</v>
      </c>
      <c r="B26" s="149" t="s">
        <v>200</v>
      </c>
      <c r="C26" s="149" t="s">
        <v>36</v>
      </c>
      <c r="D26" s="149" t="s">
        <v>221</v>
      </c>
      <c r="E26" s="149" t="s">
        <v>38</v>
      </c>
      <c r="F26" s="9" t="s">
        <v>222</v>
      </c>
      <c r="G26" s="9" t="s">
        <v>213</v>
      </c>
      <c r="H26" s="2" t="s">
        <v>214</v>
      </c>
      <c r="I26" s="9" t="s">
        <v>215</v>
      </c>
      <c r="J26" s="4"/>
      <c r="K26" s="9" t="s">
        <v>216</v>
      </c>
      <c r="L26" s="4"/>
      <c r="M26" s="9" t="s">
        <v>217</v>
      </c>
      <c r="N26" s="2" t="s">
        <v>218</v>
      </c>
      <c r="O26" s="2" t="s">
        <v>218</v>
      </c>
      <c r="P26" s="15">
        <v>5.767480656675171E-2</v>
      </c>
      <c r="Q26" s="15">
        <v>5.767480656675171E-2</v>
      </c>
      <c r="R26" s="15"/>
      <c r="S26" s="15">
        <v>7.1999999999999995E-2</v>
      </c>
      <c r="T26" s="15"/>
      <c r="U26" s="15">
        <v>8.5999999999999993E-2</v>
      </c>
      <c r="V26" s="15">
        <v>0.1</v>
      </c>
      <c r="W26" s="15">
        <v>0.1</v>
      </c>
      <c r="X26" s="15">
        <v>5.767480656675171E-2</v>
      </c>
      <c r="Y26" s="302" t="s">
        <v>420</v>
      </c>
      <c r="Z26" s="15">
        <v>6.5123966113672702E-2</v>
      </c>
      <c r="AA26" s="302" t="s">
        <v>420</v>
      </c>
      <c r="AB26" s="15">
        <v>9.3566623821933495E-2</v>
      </c>
      <c r="AC26" s="2"/>
    </row>
    <row r="27" spans="1:29">
      <c r="A27" s="149" t="s">
        <v>199</v>
      </c>
      <c r="B27" s="149" t="s">
        <v>200</v>
      </c>
      <c r="C27" s="149" t="s">
        <v>36</v>
      </c>
      <c r="D27" s="149" t="s">
        <v>226</v>
      </c>
      <c r="E27" s="149" t="s">
        <v>38</v>
      </c>
      <c r="F27" s="9" t="s">
        <v>227</v>
      </c>
      <c r="G27" s="2" t="s">
        <v>56</v>
      </c>
      <c r="H27" s="2" t="s">
        <v>57</v>
      </c>
      <c r="I27" s="2" t="s">
        <v>58</v>
      </c>
      <c r="J27" s="2" t="s">
        <v>59</v>
      </c>
      <c r="K27" s="2" t="s">
        <v>130</v>
      </c>
      <c r="L27" s="2" t="s">
        <v>61</v>
      </c>
      <c r="M27" s="2" t="s">
        <v>131</v>
      </c>
      <c r="N27" s="2" t="s">
        <v>63</v>
      </c>
      <c r="O27" s="2" t="s">
        <v>132</v>
      </c>
      <c r="P27" s="12">
        <v>0</v>
      </c>
      <c r="Q27" s="12">
        <v>0</v>
      </c>
      <c r="R27" s="4">
        <v>3</v>
      </c>
      <c r="S27" s="4">
        <v>2</v>
      </c>
      <c r="T27" s="4">
        <v>3</v>
      </c>
      <c r="U27" s="4">
        <v>1</v>
      </c>
      <c r="V27" s="4">
        <v>2</v>
      </c>
      <c r="W27" s="4">
        <v>8</v>
      </c>
      <c r="X27" s="12">
        <v>0</v>
      </c>
      <c r="Y27" s="12">
        <v>0</v>
      </c>
      <c r="Z27" s="12">
        <v>0</v>
      </c>
      <c r="AA27" s="12">
        <v>1</v>
      </c>
      <c r="AB27" s="12">
        <v>0</v>
      </c>
      <c r="AC27" s="2"/>
    </row>
    <row r="28" spans="1:29">
      <c r="A28" s="149" t="s">
        <v>199</v>
      </c>
      <c r="B28" s="149" t="s">
        <v>228</v>
      </c>
      <c r="C28" s="149" t="s">
        <v>36</v>
      </c>
      <c r="D28" s="149" t="s">
        <v>241</v>
      </c>
      <c r="E28" s="149" t="s">
        <v>38</v>
      </c>
      <c r="F28" s="2" t="s">
        <v>242</v>
      </c>
      <c r="G28" s="2" t="s">
        <v>231</v>
      </c>
      <c r="H28" s="2" t="s">
        <v>232</v>
      </c>
      <c r="I28" s="2" t="s">
        <v>58</v>
      </c>
      <c r="J28" s="2" t="s">
        <v>59</v>
      </c>
      <c r="K28" s="2" t="s">
        <v>130</v>
      </c>
      <c r="L28" s="2" t="s">
        <v>61</v>
      </c>
      <c r="M28" s="2" t="s">
        <v>131</v>
      </c>
      <c r="N28" s="2" t="s">
        <v>63</v>
      </c>
      <c r="O28" s="2" t="s">
        <v>63</v>
      </c>
      <c r="P28" s="12">
        <v>1466</v>
      </c>
      <c r="Q28" s="12">
        <v>3124</v>
      </c>
      <c r="R28" s="12">
        <v>3020</v>
      </c>
      <c r="S28" s="12">
        <v>1417</v>
      </c>
      <c r="T28" s="12">
        <v>2915.7</v>
      </c>
      <c r="U28" s="12">
        <v>1368.3</v>
      </c>
      <c r="V28" s="12">
        <v>1319.4</v>
      </c>
      <c r="W28" s="12">
        <v>2811.6</v>
      </c>
      <c r="X28" s="12">
        <v>1094</v>
      </c>
      <c r="Y28" s="12">
        <v>2409</v>
      </c>
      <c r="Z28" s="12">
        <v>959</v>
      </c>
      <c r="AA28" s="12">
        <v>2138</v>
      </c>
      <c r="AB28" s="12">
        <v>1093</v>
      </c>
      <c r="AC28" s="2"/>
    </row>
    <row r="29" spans="1:29">
      <c r="A29" s="149" t="s">
        <v>243</v>
      </c>
      <c r="B29" s="149" t="s">
        <v>244</v>
      </c>
      <c r="C29" s="149" t="s">
        <v>36</v>
      </c>
      <c r="D29" s="149" t="s">
        <v>338</v>
      </c>
      <c r="E29" s="149" t="s">
        <v>38</v>
      </c>
      <c r="F29" s="9" t="s">
        <v>246</v>
      </c>
      <c r="G29" s="2" t="s">
        <v>56</v>
      </c>
      <c r="H29" s="2" t="s">
        <v>57</v>
      </c>
      <c r="I29" s="2" t="s">
        <v>58</v>
      </c>
      <c r="J29" s="2" t="s">
        <v>59</v>
      </c>
      <c r="K29" s="2" t="s">
        <v>130</v>
      </c>
      <c r="L29" s="2" t="s">
        <v>61</v>
      </c>
      <c r="M29" s="2" t="s">
        <v>131</v>
      </c>
      <c r="N29" s="2" t="s">
        <v>63</v>
      </c>
      <c r="O29" s="2" t="s">
        <v>132</v>
      </c>
      <c r="P29" s="12">
        <v>0</v>
      </c>
      <c r="Q29" s="12">
        <v>0</v>
      </c>
      <c r="R29" s="2">
        <v>40</v>
      </c>
      <c r="S29" s="2">
        <v>80</v>
      </c>
      <c r="T29" s="2">
        <v>120</v>
      </c>
      <c r="U29" s="2">
        <v>160</v>
      </c>
      <c r="V29" s="2">
        <v>200</v>
      </c>
      <c r="W29" s="2">
        <v>200</v>
      </c>
      <c r="X29" s="12">
        <v>6</v>
      </c>
      <c r="Y29" s="2">
        <v>52</v>
      </c>
      <c r="Z29" s="12">
        <v>84</v>
      </c>
      <c r="AA29" s="2">
        <v>110</v>
      </c>
      <c r="AB29" s="12">
        <v>16</v>
      </c>
      <c r="AC29" s="2"/>
    </row>
    <row r="30" spans="1:29">
      <c r="A30" s="149" t="s">
        <v>243</v>
      </c>
      <c r="B30" s="149" t="s">
        <v>247</v>
      </c>
      <c r="C30" s="149" t="s">
        <v>36</v>
      </c>
      <c r="D30" s="149" t="s">
        <v>248</v>
      </c>
      <c r="E30" s="149" t="s">
        <v>38</v>
      </c>
      <c r="F30" s="9" t="s">
        <v>249</v>
      </c>
      <c r="G30" s="11">
        <v>44469</v>
      </c>
      <c r="H30" s="11">
        <v>44469</v>
      </c>
      <c r="I30" s="11">
        <v>44651</v>
      </c>
      <c r="J30" s="11">
        <v>44834</v>
      </c>
      <c r="K30" s="11">
        <v>45016</v>
      </c>
      <c r="L30" s="11">
        <v>45199</v>
      </c>
      <c r="M30" s="11">
        <v>45382</v>
      </c>
      <c r="N30" s="11">
        <v>45565</v>
      </c>
      <c r="O30" s="11">
        <v>45565</v>
      </c>
      <c r="P30" s="12">
        <v>2</v>
      </c>
      <c r="Q30" s="12">
        <v>2</v>
      </c>
      <c r="R30" s="2">
        <v>1</v>
      </c>
      <c r="S30" s="2">
        <v>2</v>
      </c>
      <c r="T30" s="2">
        <v>2</v>
      </c>
      <c r="U30" s="2">
        <v>3</v>
      </c>
      <c r="V30" s="2">
        <v>3</v>
      </c>
      <c r="W30" s="2">
        <v>3</v>
      </c>
      <c r="X30" s="12">
        <v>2</v>
      </c>
      <c r="Y30" s="2">
        <v>3</v>
      </c>
      <c r="Z30" s="12">
        <v>2</v>
      </c>
      <c r="AA30" s="2">
        <v>3</v>
      </c>
      <c r="AB30" s="12">
        <v>2</v>
      </c>
      <c r="AC30" s="2"/>
    </row>
    <row r="31" spans="1:29">
      <c r="A31" s="149" t="s">
        <v>243</v>
      </c>
      <c r="B31" s="149" t="s">
        <v>250</v>
      </c>
      <c r="C31" s="149" t="s">
        <v>36</v>
      </c>
      <c r="D31" s="149" t="s">
        <v>251</v>
      </c>
      <c r="E31" s="149" t="s">
        <v>252</v>
      </c>
      <c r="F31" s="9" t="s">
        <v>253</v>
      </c>
      <c r="G31" s="11">
        <v>44469</v>
      </c>
      <c r="H31" s="11">
        <v>44469</v>
      </c>
      <c r="I31" s="11" t="s">
        <v>254</v>
      </c>
      <c r="J31" s="11">
        <v>44713</v>
      </c>
      <c r="K31" s="11" t="s">
        <v>255</v>
      </c>
      <c r="L31" s="11">
        <v>45078</v>
      </c>
      <c r="M31" s="11" t="s">
        <v>256</v>
      </c>
      <c r="N31" s="11">
        <v>45444</v>
      </c>
      <c r="O31" s="11">
        <v>45444</v>
      </c>
      <c r="P31" s="12">
        <v>94.73</v>
      </c>
      <c r="Q31" s="12">
        <v>94.73</v>
      </c>
      <c r="R31" s="2">
        <v>100</v>
      </c>
      <c r="S31" s="2">
        <v>100</v>
      </c>
      <c r="T31" s="2">
        <v>100</v>
      </c>
      <c r="U31" s="2">
        <v>100</v>
      </c>
      <c r="V31" s="2">
        <v>100</v>
      </c>
      <c r="W31" s="2">
        <v>100</v>
      </c>
      <c r="X31" s="12">
        <v>100</v>
      </c>
      <c r="Y31" s="24">
        <v>90.98</v>
      </c>
      <c r="Z31" s="12">
        <v>94.85</v>
      </c>
      <c r="AA31" s="24">
        <v>81.36</v>
      </c>
      <c r="AB31" s="12">
        <v>95.85</v>
      </c>
      <c r="AC31" s="2"/>
    </row>
    <row r="32" spans="1:29">
      <c r="A32" s="149" t="s">
        <v>243</v>
      </c>
      <c r="B32" s="149" t="s">
        <v>257</v>
      </c>
      <c r="C32" s="149" t="s">
        <v>36</v>
      </c>
      <c r="D32" s="149" t="s">
        <v>258</v>
      </c>
      <c r="E32" s="149" t="s">
        <v>38</v>
      </c>
      <c r="F32" s="9" t="s">
        <v>259</v>
      </c>
      <c r="G32" s="11">
        <v>44469</v>
      </c>
      <c r="H32" s="11">
        <v>44469</v>
      </c>
      <c r="I32" s="11">
        <v>44651</v>
      </c>
      <c r="J32" s="11">
        <v>44834</v>
      </c>
      <c r="K32" s="11">
        <v>45016</v>
      </c>
      <c r="L32" s="11">
        <v>45199</v>
      </c>
      <c r="M32" s="11">
        <v>45382</v>
      </c>
      <c r="N32" s="11">
        <v>45565</v>
      </c>
      <c r="O32" s="11">
        <v>45565</v>
      </c>
      <c r="P32" s="12">
        <v>0</v>
      </c>
      <c r="Q32" s="12">
        <v>0</v>
      </c>
      <c r="R32" s="2">
        <v>4</v>
      </c>
      <c r="S32" s="2">
        <v>4</v>
      </c>
      <c r="T32" s="2">
        <v>4</v>
      </c>
      <c r="U32" s="2">
        <v>4</v>
      </c>
      <c r="V32" s="2">
        <v>4</v>
      </c>
      <c r="W32" s="2">
        <v>4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2"/>
    </row>
    <row r="33" spans="1:29">
      <c r="A33" s="149" t="s">
        <v>243</v>
      </c>
      <c r="B33" s="149" t="s">
        <v>260</v>
      </c>
      <c r="C33" s="149" t="s">
        <v>36</v>
      </c>
      <c r="D33" s="149" t="s">
        <v>273</v>
      </c>
      <c r="E33" s="149" t="s">
        <v>38</v>
      </c>
      <c r="F33" s="9" t="s">
        <v>274</v>
      </c>
      <c r="G33" s="11">
        <v>44469</v>
      </c>
      <c r="H33" s="4"/>
      <c r="I33" s="11">
        <v>44651</v>
      </c>
      <c r="J33" s="4"/>
      <c r="K33" s="11">
        <v>45016</v>
      </c>
      <c r="L33" s="4"/>
      <c r="M33" s="11">
        <v>45382</v>
      </c>
      <c r="N33" s="4"/>
      <c r="O33" s="11">
        <v>45565</v>
      </c>
      <c r="P33" s="254"/>
      <c r="Q33" s="254"/>
      <c r="R33" s="4"/>
      <c r="S33" s="60">
        <v>0.5</v>
      </c>
      <c r="T33" s="60">
        <v>0.5</v>
      </c>
      <c r="U33" s="60">
        <v>0.5</v>
      </c>
      <c r="V33" s="60">
        <v>0.5</v>
      </c>
      <c r="W33" s="60">
        <v>0.5</v>
      </c>
      <c r="X33" s="15">
        <v>0.30158730158730157</v>
      </c>
      <c r="Y33" s="15">
        <v>0.29166666666666602</v>
      </c>
      <c r="Z33" s="15">
        <v>0.28169014084506999</v>
      </c>
      <c r="AA33" s="15" t="s">
        <v>420</v>
      </c>
      <c r="AB33" s="15">
        <v>0.27868852459016302</v>
      </c>
      <c r="AC33" s="2"/>
    </row>
    <row r="34" spans="1:29">
      <c r="A34" s="149" t="s">
        <v>275</v>
      </c>
      <c r="B34" s="149" t="s">
        <v>276</v>
      </c>
      <c r="C34" s="149" t="s">
        <v>36</v>
      </c>
      <c r="D34" s="149" t="s">
        <v>282</v>
      </c>
      <c r="E34" s="149" t="s">
        <v>278</v>
      </c>
      <c r="F34" s="9" t="s">
        <v>283</v>
      </c>
      <c r="G34" s="9" t="s">
        <v>213</v>
      </c>
      <c r="H34" s="2" t="s">
        <v>214</v>
      </c>
      <c r="I34" s="9" t="s">
        <v>215</v>
      </c>
      <c r="J34" s="4"/>
      <c r="K34" s="9" t="s">
        <v>216</v>
      </c>
      <c r="L34" s="4"/>
      <c r="M34" s="9" t="s">
        <v>217</v>
      </c>
      <c r="N34" s="2" t="s">
        <v>218</v>
      </c>
      <c r="O34" s="2" t="s">
        <v>218</v>
      </c>
      <c r="P34" s="15">
        <v>0.45038096868515498</v>
      </c>
      <c r="Q34" s="15">
        <v>0.45038096868515498</v>
      </c>
      <c r="R34" s="2"/>
      <c r="S34" s="26">
        <v>0.46300000000000002</v>
      </c>
      <c r="T34" s="2"/>
      <c r="U34" s="15">
        <v>0.47699999999999998</v>
      </c>
      <c r="V34" s="15">
        <v>0.49</v>
      </c>
      <c r="W34" s="15">
        <v>0.49</v>
      </c>
      <c r="X34" s="15">
        <v>0.45038096868515498</v>
      </c>
      <c r="Y34" s="302" t="s">
        <v>420</v>
      </c>
      <c r="Z34" s="15">
        <v>0.38765404110289198</v>
      </c>
      <c r="AA34" s="302" t="s">
        <v>420</v>
      </c>
      <c r="AB34" s="15">
        <v>0.39101019314046798</v>
      </c>
      <c r="AC34" s="2"/>
    </row>
    <row r="35" spans="1:29">
      <c r="A35" s="149" t="s">
        <v>275</v>
      </c>
      <c r="B35" s="149" t="s">
        <v>276</v>
      </c>
      <c r="C35" s="149" t="s">
        <v>36</v>
      </c>
      <c r="D35" s="149" t="s">
        <v>287</v>
      </c>
      <c r="E35" s="149" t="s">
        <v>278</v>
      </c>
      <c r="F35" s="9" t="s">
        <v>288</v>
      </c>
      <c r="G35" s="9" t="s">
        <v>213</v>
      </c>
      <c r="H35" s="2" t="s">
        <v>214</v>
      </c>
      <c r="I35" s="9" t="s">
        <v>215</v>
      </c>
      <c r="J35" s="4"/>
      <c r="K35" s="9" t="s">
        <v>216</v>
      </c>
      <c r="L35" s="4"/>
      <c r="M35" s="9" t="s">
        <v>217</v>
      </c>
      <c r="N35" s="2" t="s">
        <v>218</v>
      </c>
      <c r="O35" s="2" t="s">
        <v>218</v>
      </c>
      <c r="P35" s="15">
        <v>0.56280989711130658</v>
      </c>
      <c r="Q35" s="15">
        <v>0.56280989711130658</v>
      </c>
      <c r="R35" s="2"/>
      <c r="S35" s="26">
        <v>0.57999999999999996</v>
      </c>
      <c r="T35" s="2"/>
      <c r="U35" s="15">
        <v>0.59599999999999997</v>
      </c>
      <c r="V35" s="15">
        <v>0.61299999999999999</v>
      </c>
      <c r="W35" s="15">
        <v>0.61299999999999999</v>
      </c>
      <c r="X35" s="15">
        <v>0.56280989711130658</v>
      </c>
      <c r="Y35" s="302" t="s">
        <v>420</v>
      </c>
      <c r="Z35" s="15">
        <v>0.46399751639050801</v>
      </c>
      <c r="AA35" s="302" t="s">
        <v>420</v>
      </c>
      <c r="AB35" s="15">
        <v>0.50028395843026496</v>
      </c>
      <c r="AC35" s="2"/>
    </row>
    <row r="36" spans="1:29">
      <c r="A36" s="149" t="s">
        <v>275</v>
      </c>
      <c r="B36" s="149" t="s">
        <v>276</v>
      </c>
      <c r="C36" s="149" t="s">
        <v>36</v>
      </c>
      <c r="D36" s="149" t="s">
        <v>292</v>
      </c>
      <c r="E36" s="149" t="s">
        <v>38</v>
      </c>
      <c r="F36" s="9" t="s">
        <v>293</v>
      </c>
      <c r="G36" s="9" t="s">
        <v>213</v>
      </c>
      <c r="H36" s="2" t="s">
        <v>214</v>
      </c>
      <c r="I36" s="9" t="s">
        <v>215</v>
      </c>
      <c r="J36" s="4"/>
      <c r="K36" s="9" t="s">
        <v>216</v>
      </c>
      <c r="L36" s="4"/>
      <c r="M36" s="9" t="s">
        <v>217</v>
      </c>
      <c r="N36" s="2" t="s">
        <v>218</v>
      </c>
      <c r="O36" s="2" t="s">
        <v>218</v>
      </c>
      <c r="P36" s="15">
        <v>0.35650243665960757</v>
      </c>
      <c r="Q36" s="15">
        <v>0.35650243665960757</v>
      </c>
      <c r="R36" s="2"/>
      <c r="S36" s="26">
        <v>0.36399999999999999</v>
      </c>
      <c r="T36" s="2"/>
      <c r="U36" s="15">
        <v>0.37</v>
      </c>
      <c r="V36" s="15">
        <v>0.377</v>
      </c>
      <c r="W36" s="15">
        <v>0.377</v>
      </c>
      <c r="X36" s="15">
        <v>0.34501627248887595</v>
      </c>
      <c r="Y36" s="302" t="s">
        <v>420</v>
      </c>
      <c r="Z36" s="15">
        <v>0.31151321800196502</v>
      </c>
      <c r="AA36" s="302" t="s">
        <v>420</v>
      </c>
      <c r="AB36" s="15">
        <v>0.31070294850118202</v>
      </c>
      <c r="AC36" s="2"/>
    </row>
    <row r="37" spans="1:29">
      <c r="A37" s="149" t="s">
        <v>275</v>
      </c>
      <c r="B37" s="149" t="s">
        <v>276</v>
      </c>
      <c r="C37" s="149" t="s">
        <v>36</v>
      </c>
      <c r="D37" s="149" t="s">
        <v>296</v>
      </c>
      <c r="E37" s="149" t="s">
        <v>38</v>
      </c>
      <c r="F37" s="9" t="s">
        <v>297</v>
      </c>
      <c r="G37" s="9" t="s">
        <v>213</v>
      </c>
      <c r="H37" s="2" t="s">
        <v>214</v>
      </c>
      <c r="I37" s="9" t="s">
        <v>215</v>
      </c>
      <c r="J37" s="4"/>
      <c r="K37" s="9" t="s">
        <v>216</v>
      </c>
      <c r="L37" s="4"/>
      <c r="M37" s="9" t="s">
        <v>217</v>
      </c>
      <c r="N37" s="2" t="s">
        <v>218</v>
      </c>
      <c r="O37" s="2" t="s">
        <v>218</v>
      </c>
      <c r="P37" s="36">
        <v>103093630.20999999</v>
      </c>
      <c r="Q37" s="36">
        <v>103093630.20999999</v>
      </c>
      <c r="R37" s="2"/>
      <c r="S37" s="36">
        <v>105186430.90000001</v>
      </c>
      <c r="T37" s="2"/>
      <c r="U37" s="36">
        <v>107279231.59999999</v>
      </c>
      <c r="V37" s="36">
        <v>109372032.29000001</v>
      </c>
      <c r="W37" s="36">
        <v>109372032.29000001</v>
      </c>
      <c r="X37" s="36">
        <v>103093630.20999999</v>
      </c>
      <c r="Y37" s="336" t="s">
        <v>420</v>
      </c>
      <c r="Z37" s="36">
        <v>99582374.120000005</v>
      </c>
      <c r="AA37" s="336" t="s">
        <v>420</v>
      </c>
      <c r="AB37" s="36">
        <v>134586057.36999899</v>
      </c>
      <c r="AC37" s="2"/>
    </row>
    <row r="38" spans="1:29">
      <c r="A38" s="149" t="s">
        <v>275</v>
      </c>
      <c r="B38" s="149" t="s">
        <v>298</v>
      </c>
      <c r="C38" s="149" t="s">
        <v>36</v>
      </c>
      <c r="D38" s="149" t="s">
        <v>301</v>
      </c>
      <c r="E38" s="149" t="s">
        <v>278</v>
      </c>
      <c r="F38" s="9" t="s">
        <v>302</v>
      </c>
      <c r="G38" s="9" t="s">
        <v>213</v>
      </c>
      <c r="H38" s="2" t="s">
        <v>214</v>
      </c>
      <c r="I38" s="9" t="s">
        <v>215</v>
      </c>
      <c r="J38" s="4"/>
      <c r="K38" s="9" t="s">
        <v>216</v>
      </c>
      <c r="L38" s="4"/>
      <c r="M38" s="9" t="s">
        <v>217</v>
      </c>
      <c r="N38" s="2" t="s">
        <v>218</v>
      </c>
      <c r="O38" s="2" t="s">
        <v>218</v>
      </c>
      <c r="P38" s="15">
        <v>0.86009259582291675</v>
      </c>
      <c r="Q38" s="15">
        <v>0.86009259582291675</v>
      </c>
      <c r="R38" s="2"/>
      <c r="S38" s="26">
        <v>0.84299999999999997</v>
      </c>
      <c r="T38" s="2"/>
      <c r="U38" s="15">
        <v>0.82699999999999996</v>
      </c>
      <c r="V38" s="15">
        <v>0.81</v>
      </c>
      <c r="W38" s="15">
        <v>0.81</v>
      </c>
      <c r="X38" s="15">
        <v>0.86009259582291675</v>
      </c>
      <c r="Y38" s="302" t="s">
        <v>420</v>
      </c>
      <c r="Z38" s="15">
        <v>0.85152195429975797</v>
      </c>
      <c r="AA38" s="302" t="s">
        <v>420</v>
      </c>
      <c r="AB38" s="15">
        <v>0.83823590487620003</v>
      </c>
      <c r="AC38" s="2"/>
    </row>
    <row r="39" spans="1:29">
      <c r="A39" s="149" t="s">
        <v>275</v>
      </c>
      <c r="B39" s="149" t="s">
        <v>303</v>
      </c>
      <c r="C39" s="149" t="s">
        <v>36</v>
      </c>
      <c r="D39" s="149" t="s">
        <v>304</v>
      </c>
      <c r="E39" s="149" t="s">
        <v>305</v>
      </c>
      <c r="F39" s="9" t="s">
        <v>306</v>
      </c>
      <c r="G39" s="11" t="s">
        <v>307</v>
      </c>
      <c r="H39" s="4"/>
      <c r="I39" s="2" t="s">
        <v>254</v>
      </c>
      <c r="J39" s="4"/>
      <c r="K39" s="2" t="s">
        <v>255</v>
      </c>
      <c r="L39" s="4"/>
      <c r="M39" s="2" t="s">
        <v>256</v>
      </c>
      <c r="N39" s="49">
        <v>45473</v>
      </c>
      <c r="O39" s="2"/>
      <c r="P39" s="30" t="s">
        <v>308</v>
      </c>
      <c r="Q39" s="30" t="s">
        <v>308</v>
      </c>
      <c r="R39" s="2" t="s">
        <v>308</v>
      </c>
      <c r="S39" s="2" t="s">
        <v>308</v>
      </c>
      <c r="T39" s="2" t="s">
        <v>308</v>
      </c>
      <c r="U39" s="2" t="s">
        <v>308</v>
      </c>
      <c r="V39" s="2" t="s">
        <v>308</v>
      </c>
      <c r="W39" s="2" t="s">
        <v>308</v>
      </c>
      <c r="X39" s="30" t="s">
        <v>308</v>
      </c>
      <c r="Y39" s="181" t="s">
        <v>420</v>
      </c>
      <c r="Z39" s="30" t="s">
        <v>308</v>
      </c>
      <c r="AA39" s="181" t="s">
        <v>420</v>
      </c>
      <c r="AB39" s="30" t="s">
        <v>308</v>
      </c>
      <c r="AC39" s="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CC146-A78D-F144-A460-0881D59C1A8F}">
  <dimension ref="A1:M39"/>
  <sheetViews>
    <sheetView workbookViewId="0">
      <selection activeCell="G2" sqref="G2"/>
    </sheetView>
  </sheetViews>
  <sheetFormatPr baseColWidth="10" defaultRowHeight="16"/>
  <cols>
    <col min="1" max="1" width="10.83203125" style="118"/>
    <col min="3" max="3" width="21" customWidth="1"/>
    <col min="4" max="4" width="12" customWidth="1"/>
    <col min="5" max="5" width="12.5" customWidth="1"/>
    <col min="7" max="7" width="12" customWidth="1"/>
    <col min="8" max="8" width="12.3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GAR'!$D$2:$AB$113,4,0)</f>
        <v>44469</v>
      </c>
      <c r="E2" s="212">
        <f>VLOOKUP(C2,'BD EVA 4 GAR'!$D$2:$AB$113,13,0)</f>
        <v>382</v>
      </c>
      <c r="F2" s="75">
        <v>45382</v>
      </c>
      <c r="G2" s="212">
        <f>VLOOKUP(C2,'BD EVA 4 GAR'!$D$2:$AC$113,25,0)</f>
        <v>406</v>
      </c>
      <c r="H2" s="72">
        <f>VLOOKUP(C2,'BD EVA 4 GAR'!$D$2:$AC$113,18,0)</f>
        <v>473</v>
      </c>
      <c r="I2" s="78">
        <f>IF(G2&gt;=E2,G2/H2,0)</f>
        <v>0.85835095137420714</v>
      </c>
      <c r="J2" s="72" t="s">
        <v>316</v>
      </c>
      <c r="K2" s="81">
        <v>2.7</v>
      </c>
      <c r="L2" s="81">
        <f t="shared" ref="L2:L39" si="0">IF(I2&lt;0,0,IF(I2&gt;1,K2,I2*K2))</f>
        <v>2.3175475687103595</v>
      </c>
      <c r="M2" s="342">
        <f>SUM(L2:L4)</f>
        <v>9.2140231159146637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GAR'!$D$3:$AB$113,4,0)</f>
        <v>44469</v>
      </c>
      <c r="E3" s="207">
        <f>VLOOKUP(C3,'BD EVA 4 GAR'!$D$3:$AB$113,13,0)</f>
        <v>0.51570680628272247</v>
      </c>
      <c r="F3" s="75">
        <v>45382</v>
      </c>
      <c r="G3" s="207">
        <f>VLOOKUP(C3,'BD EVA 4 GAR'!$D$3:$AC$113,25,0)</f>
        <v>0.866995073891625</v>
      </c>
      <c r="H3" s="207" t="str">
        <f>VLOOKUP(C3,'BD EVA 4 GAR'!$D$3:$AC$113,18,0)</f>
        <v>&gt;=97%</v>
      </c>
      <c r="I3" s="78">
        <f>IF(G3&gt;=97%,1,G3/97%)</f>
        <v>0.89380935452744847</v>
      </c>
      <c r="J3" s="75" t="s">
        <v>318</v>
      </c>
      <c r="K3" s="81">
        <v>3.8</v>
      </c>
      <c r="L3" s="81">
        <f t="shared" si="0"/>
        <v>3.3964755472043042</v>
      </c>
      <c r="M3" s="343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GAR'!$D$3:$AB$113,4,0)</f>
        <v>44469</v>
      </c>
      <c r="E4" s="207">
        <f>VLOOKUP(C4,'BD EVA 4 GAR'!$D$3:$AB$113,13,0)</f>
        <v>0</v>
      </c>
      <c r="F4" s="75">
        <v>45382</v>
      </c>
      <c r="G4" s="207">
        <f>VLOOKUP(C4,'BD EVA 4 GAR'!$D$3:$AC$113,25,0)</f>
        <v>3.2019704433497498E-2</v>
      </c>
      <c r="H4" s="207">
        <f>VLOOKUP(C4,'BD EVA 4 GAR'!$D$3:$AC$113,18,0)</f>
        <v>5.0000000000000001E-4</v>
      </c>
      <c r="I4" s="77">
        <f t="shared" ref="I4:I5" si="1">G4/H4</f>
        <v>64.039408866994989</v>
      </c>
      <c r="J4" s="75" t="s">
        <v>318</v>
      </c>
      <c r="K4" s="81">
        <v>3.5</v>
      </c>
      <c r="L4" s="81">
        <f t="shared" si="0"/>
        <v>3.5</v>
      </c>
      <c r="M4" s="344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GAR'!$D$3:$AB$113,4,0)</f>
        <v>octubre 20 - mar 21</v>
      </c>
      <c r="E5" s="207">
        <f>VLOOKUP(C5,'BD EVA 4 GAR'!$D$3:$AB$113,13,0)</f>
        <v>0</v>
      </c>
      <c r="F5" s="72" t="s">
        <v>62</v>
      </c>
      <c r="G5" s="207">
        <f>VLOOKUP(C5,'BD EVA 4 GAR'!$D$3:$AC$113,25,0)</f>
        <v>0.11046511627906901</v>
      </c>
      <c r="H5" s="207">
        <f>VLOOKUP(C5,'BD EVA 4 GAR'!$D$3:$AC$113,18,0)</f>
        <v>0.08</v>
      </c>
      <c r="I5" s="77">
        <f t="shared" si="1"/>
        <v>1.3808139534883626</v>
      </c>
      <c r="J5" s="75" t="s">
        <v>318</v>
      </c>
      <c r="K5" s="208">
        <v>1.6</v>
      </c>
      <c r="L5" s="209">
        <f t="shared" si="0"/>
        <v>1.6</v>
      </c>
      <c r="M5" s="345">
        <f>SUM(L5:L10)</f>
        <v>3.3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GAR'!$D$3:$AB$113,4,0)</f>
        <v>octubre 20 - mar 21</v>
      </c>
      <c r="E6" s="209">
        <f>VLOOKUP(C6,'BD EVA 4 GAR'!$D$3:$AB$113,13,0)</f>
        <v>9.6945255014493323</v>
      </c>
      <c r="F6" s="72" t="s">
        <v>62</v>
      </c>
      <c r="G6" s="209">
        <f>VLOOKUP(C6,'BD EVA 4 GAR'!$D$3:$AC$113,25,0)</f>
        <v>22.8983861217461</v>
      </c>
      <c r="H6" s="209">
        <f>VLOOKUP(C6,'BD EVA 4 GAR'!$D$3:$AC$113,18,0)</f>
        <v>9.2100000000000009</v>
      </c>
      <c r="I6" s="78">
        <f t="shared" ref="I6:I10" si="2">(G6-E6)/(H6-E6)</f>
        <v>-27.251115949110762</v>
      </c>
      <c r="J6" s="71" t="s">
        <v>319</v>
      </c>
      <c r="K6" s="208">
        <v>1.7</v>
      </c>
      <c r="L6" s="209">
        <f t="shared" si="0"/>
        <v>0</v>
      </c>
      <c r="M6" s="346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GAR'!$D$3:$AB$113,4,0)</f>
        <v>octubre 20 - mar 21</v>
      </c>
      <c r="E7" s="208">
        <f>VLOOKUP(C7,'BD EVA 4 GAR'!$D$3:$AB$113,13,0)</f>
        <v>320.24249239787628</v>
      </c>
      <c r="F7" s="72" t="s">
        <v>62</v>
      </c>
      <c r="G7" s="208">
        <f>VLOOKUP(C7,'BD EVA 4 GAR'!$D$3:$AC$113,25,0)</f>
        <v>464.98989417892398</v>
      </c>
      <c r="H7" s="208">
        <f>VLOOKUP(C7,'BD EVA 4 GAR'!$D$3:$AC$113,18,0)</f>
        <v>298.89999999999998</v>
      </c>
      <c r="I7" s="78">
        <f t="shared" si="2"/>
        <v>-6.7821226819530649</v>
      </c>
      <c r="J7" s="71" t="s">
        <v>319</v>
      </c>
      <c r="K7" s="208">
        <v>1.6</v>
      </c>
      <c r="L7" s="209">
        <f t="shared" si="0"/>
        <v>0</v>
      </c>
      <c r="M7" s="346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GAR'!$D$3:$AB$113,4,0)</f>
        <v>octubre 20 - mar 21</v>
      </c>
      <c r="E8" s="208">
        <f>VLOOKUP(C8,'BD EVA 4 GAR'!$D$3:$AB$113,13,0)</f>
        <v>315.71838049719986</v>
      </c>
      <c r="F8" s="72" t="s">
        <v>62</v>
      </c>
      <c r="G8" s="208">
        <f>VLOOKUP(C8,'BD EVA 4 GAR'!$D$3:$AC$113,25,0)</f>
        <v>410.644391116647</v>
      </c>
      <c r="H8" s="208">
        <f>VLOOKUP(C8,'BD EVA 4 GAR'!$D$3:$AC$113,18,0)</f>
        <v>305.2</v>
      </c>
      <c r="I8" s="78">
        <f t="shared" si="2"/>
        <v>-9.0247743599613717</v>
      </c>
      <c r="J8" s="71" t="s">
        <v>319</v>
      </c>
      <c r="K8" s="208">
        <v>1.7</v>
      </c>
      <c r="L8" s="209">
        <f t="shared" si="0"/>
        <v>0</v>
      </c>
      <c r="M8" s="346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GAR'!$D$3:$AB$113,4,0)</f>
        <v>octubre 20 - mar 21</v>
      </c>
      <c r="E9" s="208">
        <f>VLOOKUP(C9,'BD EVA 4 GAR'!$D$3:$AB$113,13,0)</f>
        <v>342.86305190125802</v>
      </c>
      <c r="F9" s="72" t="s">
        <v>62</v>
      </c>
      <c r="G9" s="208">
        <f>VLOOKUP(C9,'BD EVA 4 GAR'!$D$3:$AC$113,25,0)</f>
        <v>276.30719253573602</v>
      </c>
      <c r="H9" s="208">
        <f>VLOOKUP(C9,'BD EVA 4 GAR'!$D$3:$AC$113,18,0)</f>
        <v>331.4</v>
      </c>
      <c r="I9" s="78">
        <f t="shared" si="2"/>
        <v>5.8061203891275817</v>
      </c>
      <c r="J9" s="71" t="s">
        <v>319</v>
      </c>
      <c r="K9" s="208">
        <v>1.7</v>
      </c>
      <c r="L9" s="209">
        <f t="shared" si="0"/>
        <v>1.7</v>
      </c>
      <c r="M9" s="346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GAR'!$D$3:$AB$113,4,0)</f>
        <v>octubre 20 - mar 21</v>
      </c>
      <c r="E10" s="208">
        <f>VLOOKUP(C10,'BD EVA 4 GAR'!$D$3:$AB$113,13,0)</f>
        <v>10.663978051594265</v>
      </c>
      <c r="F10" s="72" t="s">
        <v>62</v>
      </c>
      <c r="G10" s="208">
        <f>VLOOKUP(C10,'BD EVA 4 GAR'!$D$3:$AC$113,25,0)</f>
        <v>21.066515232006399</v>
      </c>
      <c r="H10" s="208">
        <f>VLOOKUP(C10,'BD EVA 4 GAR'!$D$3:$AC$113,18,0)</f>
        <v>10.3</v>
      </c>
      <c r="I10" s="78">
        <f t="shared" si="2"/>
        <v>-28.580122166289602</v>
      </c>
      <c r="J10" s="71" t="s">
        <v>319</v>
      </c>
      <c r="K10" s="208">
        <v>1.7</v>
      </c>
      <c r="L10" s="209">
        <f t="shared" si="0"/>
        <v>0</v>
      </c>
      <c r="M10" s="174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GAR'!$D$3:$AB$113,4,0)</f>
        <v>44469</v>
      </c>
      <c r="E11" s="78">
        <f>VLOOKUP(C11,'BD EVA 4 GAR'!$D$3:$AB$113,13,0)</f>
        <v>0</v>
      </c>
      <c r="F11" s="89">
        <v>45382</v>
      </c>
      <c r="G11" s="78">
        <f>VLOOKUP(C11,'BD EVA 4 GAR'!$D$3:$AC$113,25,0)</f>
        <v>0</v>
      </c>
      <c r="H11" s="78" t="str">
        <f>VLOOKUP(C11,'BD EVA 4 GAR'!$D$3:$AC$113,18,0)</f>
        <v>Sin meta</v>
      </c>
      <c r="I11" s="77">
        <v>0</v>
      </c>
      <c r="J11" s="89" t="s">
        <v>318</v>
      </c>
      <c r="K11" s="85">
        <v>1.05</v>
      </c>
      <c r="L11" s="209">
        <f t="shared" si="0"/>
        <v>0</v>
      </c>
      <c r="M11" s="345">
        <f>SUM(L11:L15)</f>
        <v>4.6235200000000001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4 GAR'!$D$3:$AB$113,4,0)</f>
        <v>octubre 20 - mar 21</v>
      </c>
      <c r="E12" s="310">
        <f>VLOOKUP(C12,'BD EVA 4 GAR'!$D$3:$AB$113,13,0)</f>
        <v>0</v>
      </c>
      <c r="F12" s="71" t="s">
        <v>62</v>
      </c>
      <c r="G12" s="207">
        <f>VLOOKUP(C12,'BD EVA 4 GAR'!$D$3:$AC$113,25,0)</f>
        <v>0</v>
      </c>
      <c r="H12" s="210" t="str">
        <f>VLOOKUP(C12,'BD EVA 4 GAR'!$D$3:$AC$113,18,0)</f>
        <v>Sin meta</v>
      </c>
      <c r="I12" s="78">
        <v>0</v>
      </c>
      <c r="J12" s="75" t="s">
        <v>318</v>
      </c>
      <c r="K12" s="85">
        <v>1.05</v>
      </c>
      <c r="L12" s="209">
        <f t="shared" si="0"/>
        <v>0</v>
      </c>
      <c r="M12" s="346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GAR'!$D$3:$AB$113,4,0)</f>
        <v>octubre 20 - mar 21</v>
      </c>
      <c r="E13" s="212">
        <f>VLOOKUP(C13,'BD EVA 4 GAR'!$D$3:$AB$113,13,0)</f>
        <v>0</v>
      </c>
      <c r="F13" s="71" t="s">
        <v>337</v>
      </c>
      <c r="G13" s="212">
        <f>VLOOKUP(C13,'BD EVA 4 GAR'!$D$3:$AC$113,25,0)</f>
        <v>0</v>
      </c>
      <c r="H13" s="212">
        <f>VLOOKUP(C13,'BD EVA 4 GAR'!$D$3:$AC$113,18,0)</f>
        <v>3</v>
      </c>
      <c r="I13" s="78">
        <f t="shared" ref="I13:I15" si="3">G13/H13</f>
        <v>0</v>
      </c>
      <c r="J13" s="75" t="s">
        <v>318</v>
      </c>
      <c r="K13" s="81">
        <v>2.4</v>
      </c>
      <c r="L13" s="209">
        <f t="shared" si="0"/>
        <v>0</v>
      </c>
      <c r="M13" s="346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GAR'!$D$3:$AB$113,4,0)</f>
        <v>octubre 20 - mar 21</v>
      </c>
      <c r="E14" s="212">
        <f>VLOOKUP(C14,'BD EVA 4 GAR'!$D$3:$AB$113,13,0)</f>
        <v>230</v>
      </c>
      <c r="F14" s="71" t="s">
        <v>337</v>
      </c>
      <c r="G14" s="212">
        <f>VLOOKUP(C14,'BD EVA 4 GAR'!$D$3:$AC$113,25,0)</f>
        <v>1587</v>
      </c>
      <c r="H14" s="212">
        <f>VLOOKUP(C14,'BD EVA 4 GAR'!$D$3:$AC$113,18,0)</f>
        <v>2500</v>
      </c>
      <c r="I14" s="78">
        <f t="shared" si="3"/>
        <v>0.63480000000000003</v>
      </c>
      <c r="J14" s="75" t="s">
        <v>318</v>
      </c>
      <c r="K14" s="81">
        <v>2.4</v>
      </c>
      <c r="L14" s="209">
        <f t="shared" si="0"/>
        <v>1.52352</v>
      </c>
      <c r="M14" s="346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GAR'!$D$3:$AB$113,4,0)</f>
        <v>octubre 20 - mar 21</v>
      </c>
      <c r="E15" s="212">
        <f>VLOOKUP(C15,'BD EVA 4 GAR'!$D$3:$AB$113,13,0)</f>
        <v>9</v>
      </c>
      <c r="F15" s="71" t="s">
        <v>337</v>
      </c>
      <c r="G15" s="212">
        <f>VLOOKUP(C15,'BD EVA 4 GAR'!$D$3:$AC$113,25,0)</f>
        <v>48</v>
      </c>
      <c r="H15" s="212">
        <f>VLOOKUP(C15,'BD EVA 4 GAR'!$D$3:$AC$113,18,0)</f>
        <v>41</v>
      </c>
      <c r="I15" s="78">
        <f t="shared" si="3"/>
        <v>1.1707317073170731</v>
      </c>
      <c r="J15" s="75" t="s">
        <v>318</v>
      </c>
      <c r="K15" s="81">
        <v>3.1</v>
      </c>
      <c r="L15" s="209">
        <f t="shared" si="0"/>
        <v>3.1</v>
      </c>
      <c r="M15" s="174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GAR'!$D$3:$AB$113,4,0)</f>
        <v>44469</v>
      </c>
      <c r="E16" s="213">
        <f>VLOOKUP(C16,'BD EVA 4 GAR'!$D$3:$AB$113,13,0)</f>
        <v>0</v>
      </c>
      <c r="F16" s="75">
        <v>45382</v>
      </c>
      <c r="G16" s="213">
        <f>VLOOKUP(C16,'BD EVA 4 GAR'!$D$3:$AC$113,25,0)</f>
        <v>0.33333333333333298</v>
      </c>
      <c r="H16" s="213" t="str">
        <f>VLOOKUP(C16,'BD EVA 4 GAR'!$D$3:$AC$113,18,0)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si="4">G16/1</f>
        <v>0.33333333333333298</v>
      </c>
      <c r="J16" s="75" t="s">
        <v>318</v>
      </c>
      <c r="K16" s="81">
        <v>1.5</v>
      </c>
      <c r="L16" s="209">
        <f t="shared" si="0"/>
        <v>0.49999999999999944</v>
      </c>
      <c r="M16" s="345">
        <f>SUM(L16:L23)</f>
        <v>4.3576937075492275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GAR'!$D$3:$AB$113,4,0)</f>
        <v>44469</v>
      </c>
      <c r="E17" s="212">
        <f>VLOOKUP(C17,'BD EVA 4 GAR'!$D$3:$AB$113,13,0)</f>
        <v>0</v>
      </c>
      <c r="F17" s="75">
        <v>45382</v>
      </c>
      <c r="G17" s="212">
        <f>VLOOKUP(C17,'BD EVA 4 GAR'!$D$3:$AC$113,25,0)</f>
        <v>0</v>
      </c>
      <c r="H17" s="212" t="str">
        <f>VLOOKUP(C17,'BD EVA 4 GAR'!$D$3:$AC$113,18,0)</f>
        <v>Actualizado al 2019</v>
      </c>
      <c r="I17" s="214">
        <f t="shared" si="4"/>
        <v>0</v>
      </c>
      <c r="J17" s="75" t="s">
        <v>318</v>
      </c>
      <c r="K17" s="81">
        <v>1.5</v>
      </c>
      <c r="L17" s="209">
        <f t="shared" si="0"/>
        <v>0</v>
      </c>
      <c r="M17" s="346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GAR'!$D$3:$AB$113,4,0)</f>
        <v>44469</v>
      </c>
      <c r="E18" s="207" t="str">
        <f>VLOOKUP(C18,'BD EVA 4 GAR'!$D$3:$AB$113,13,0)</f>
        <v>NA</v>
      </c>
      <c r="F18" s="75">
        <v>45382</v>
      </c>
      <c r="G18" s="207" t="str">
        <f>VLOOKUP(C18,'BD EVA 4 GAR'!$D$3:$AC$113,25,0)</f>
        <v>NA</v>
      </c>
      <c r="H18" s="207">
        <f>VLOOKUP(C18,'BD EVA 4 GAR'!$D$3:$AC$113,18,0)</f>
        <v>1</v>
      </c>
      <c r="I18" s="214">
        <v>1</v>
      </c>
      <c r="J18" s="75" t="s">
        <v>318</v>
      </c>
      <c r="K18" s="81">
        <v>0.3</v>
      </c>
      <c r="L18" s="209">
        <f t="shared" si="0"/>
        <v>0.3</v>
      </c>
      <c r="M18" s="346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GAR'!$D$3:$AB$113,4,0)</f>
        <v>44469</v>
      </c>
      <c r="E19" s="207">
        <f>VLOOKUP(C19,'BD EVA 4 GAR'!$D$3:$AB$113,13,0)</f>
        <v>0.96726315789473682</v>
      </c>
      <c r="F19" s="75">
        <v>45382</v>
      </c>
      <c r="G19" s="207">
        <f>VLOOKUP(C19,'BD EVA 4 GAR'!$D$3:$AC$113,25,0)</f>
        <v>1</v>
      </c>
      <c r="H19" s="207">
        <f>VLOOKUP(C19,'BD EVA 4 GAR'!$D$3:$AC$113,18,0)</f>
        <v>1</v>
      </c>
      <c r="I19" s="214">
        <f>G19/H19</f>
        <v>1</v>
      </c>
      <c r="J19" s="75" t="s">
        <v>318</v>
      </c>
      <c r="K19" s="81">
        <v>1.5</v>
      </c>
      <c r="L19" s="209">
        <f t="shared" si="0"/>
        <v>1.5</v>
      </c>
      <c r="M19" s="346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GAR'!$D$3:$AB$113,4,0)</f>
        <v>44469</v>
      </c>
      <c r="E20" s="214">
        <f>VLOOKUP(C20,'BD EVA 4 GAR'!$D$3:$AB$113,13,0)</f>
        <v>0.59262478455619816</v>
      </c>
      <c r="F20" s="75">
        <v>45382</v>
      </c>
      <c r="G20" s="214" t="str">
        <f>VLOOKUP(C20,'BD EVA 4 GAR'!$D$3:$AC$113,25,0)</f>
        <v>Sin dato</v>
      </c>
      <c r="H20" s="214">
        <f>VLOOKUP(C20,'BD EVA 4 GAR'!$D$3:$AC$113,18,0)</f>
        <v>1</v>
      </c>
      <c r="I20" s="214">
        <v>0</v>
      </c>
      <c r="J20" s="75" t="s">
        <v>318</v>
      </c>
      <c r="K20" s="81">
        <v>1.5</v>
      </c>
      <c r="L20" s="209">
        <f t="shared" si="0"/>
        <v>0</v>
      </c>
      <c r="M20" s="346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GAR'!$D$3:$AB$113,4,0)</f>
        <v>44469</v>
      </c>
      <c r="E21" s="207">
        <f>VLOOKUP(C21,'BD EVA 4 GAR'!$D$3:$AB$113,13,0)</f>
        <v>0.80780800599065006</v>
      </c>
      <c r="F21" s="75">
        <v>45382</v>
      </c>
      <c r="G21" s="207">
        <f>VLOOKUP(C21,'BD EVA 4 GAR'!$D$3:$AC$113,25,0)</f>
        <v>0.81380000571380096</v>
      </c>
      <c r="H21" s="207">
        <f>VLOOKUP(C21,'BD EVA 4 GAR'!$D$3:$AC$113,18,0)</f>
        <v>1</v>
      </c>
      <c r="I21" s="214">
        <f t="shared" ref="I21:I23" si="5">G21/H21</f>
        <v>0.81380000571380096</v>
      </c>
      <c r="J21" s="75" t="s">
        <v>318</v>
      </c>
      <c r="K21" s="81">
        <v>0.9</v>
      </c>
      <c r="L21" s="209">
        <f t="shared" si="0"/>
        <v>0.73242000514242089</v>
      </c>
      <c r="M21" s="346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GAR'!$D$3:$AB$113,4,0)</f>
        <v>44469</v>
      </c>
      <c r="E22" s="207">
        <f>VLOOKUP(C22,'BD EVA 4 GAR'!$D$3:$AB$113,13,0)</f>
        <v>0.74489795918367352</v>
      </c>
      <c r="F22" s="75">
        <v>45382</v>
      </c>
      <c r="G22" s="207">
        <f>VLOOKUP(C22,'BD EVA 4 GAR'!$D$3:$AC$113,25,0)</f>
        <v>0.88351580160453802</v>
      </c>
      <c r="H22" s="207">
        <f>VLOOKUP(C22,'BD EVA 4 GAR'!$D$3:$AC$113,18,0)</f>
        <v>1</v>
      </c>
      <c r="I22" s="214">
        <f t="shared" si="5"/>
        <v>0.88351580160453802</v>
      </c>
      <c r="J22" s="75" t="s">
        <v>318</v>
      </c>
      <c r="K22" s="81">
        <v>1.5</v>
      </c>
      <c r="L22" s="209">
        <f t="shared" si="0"/>
        <v>1.3252737024068071</v>
      </c>
      <c r="M22" s="346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GAR'!$D$3:$AB$113,4,0)</f>
        <v>octubre 20 - mar 21</v>
      </c>
      <c r="E23" s="208">
        <f>VLOOKUP(C23,'BD EVA 4 GAR'!$D$3:$AB$113,13,0)</f>
        <v>0</v>
      </c>
      <c r="F23" s="71" t="s">
        <v>131</v>
      </c>
      <c r="G23" s="208">
        <f>VLOOKUP(C23,'BD EVA 4 GAR'!$D$3:$AC$113,25,0)</f>
        <v>0</v>
      </c>
      <c r="H23" s="208">
        <f>VLOOKUP(C23,'BD EVA 4 GAR'!$D$3:$AC$113,18,0)</f>
        <v>2.4333333330000002</v>
      </c>
      <c r="I23" s="214">
        <f t="shared" si="5"/>
        <v>0</v>
      </c>
      <c r="J23" s="75" t="s">
        <v>318</v>
      </c>
      <c r="K23" s="81">
        <v>1.3</v>
      </c>
      <c r="L23" s="209">
        <f t="shared" si="0"/>
        <v>0</v>
      </c>
      <c r="M23" s="174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GAR'!$D$3:$AB$113,4,0)</f>
        <v>44469</v>
      </c>
      <c r="E24" s="171">
        <f>VLOOKUP(C24,'BD EVA 4 GAR'!$D$3:$AB$113,13,0)</f>
        <v>1.5</v>
      </c>
      <c r="F24" s="75">
        <v>45382</v>
      </c>
      <c r="G24" s="171">
        <f>VLOOKUP(C24,'BD EVA 4 GAR'!$D$3:$AC$113,25,0)</f>
        <v>1.76</v>
      </c>
      <c r="H24" s="171" t="str">
        <f>VLOOKUP(C24,'BD EVA 4 GAR'!$D$3:$AC$113,18,0)</f>
        <v>sin meta</v>
      </c>
      <c r="I24" s="214">
        <v>0</v>
      </c>
      <c r="J24" s="75" t="s">
        <v>318</v>
      </c>
      <c r="K24" s="85">
        <v>1.9450000000000001</v>
      </c>
      <c r="L24" s="82">
        <f t="shared" si="0"/>
        <v>0</v>
      </c>
      <c r="M24" s="345">
        <f>SUM(L24:L28)</f>
        <v>4.3206000000000007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GAR'!$D$3:$AB$113,4,0)</f>
        <v>octubre 20 - mar 21</v>
      </c>
      <c r="E25" s="311">
        <f>VLOOKUP(C25,'BD EVA 4 GAR'!$D$3:$AB$113,13,0)</f>
        <v>0</v>
      </c>
      <c r="F25" s="71" t="s">
        <v>131</v>
      </c>
      <c r="G25" s="212">
        <f>VLOOKUP(C25,'BD EVA 4 GAR'!$D$3:$AC$113,25,0)</f>
        <v>0</v>
      </c>
      <c r="H25" s="212">
        <f>VLOOKUP(C25,'BD EVA 4 GAR'!$D$3:$AC$113,18,0)</f>
        <v>883.3</v>
      </c>
      <c r="I25" s="214">
        <f t="shared" ref="I25:I27" si="6">G25/H25</f>
        <v>0</v>
      </c>
      <c r="J25" s="75" t="s">
        <v>318</v>
      </c>
      <c r="K25" s="85">
        <v>1.6337999999999999</v>
      </c>
      <c r="L25" s="209">
        <f t="shared" si="0"/>
        <v>0</v>
      </c>
      <c r="M25" s="346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GAR'!$D$3:$AB$113,4,0)</f>
        <v>enero - diciembre 2021</v>
      </c>
      <c r="E26" s="210">
        <f>VLOOKUP(C26,'BD EVA 4 GAR'!$D$3:$AB$113,13,0)</f>
        <v>5.767480656675171E-2</v>
      </c>
      <c r="F26" s="71" t="s">
        <v>217</v>
      </c>
      <c r="G26" s="210">
        <f>VLOOKUP(C26,'BD EVA 4 GAR'!$D$3:$AC$113,25,0)</f>
        <v>9.3566623821933495E-2</v>
      </c>
      <c r="H26" s="210">
        <f>VLOOKUP(C26,'BD EVA 4 GAR'!$D$3:$AC$113,18,0)</f>
        <v>8.5999999999999993E-2</v>
      </c>
      <c r="I26" s="214">
        <f t="shared" si="6"/>
        <v>1.0879839979294594</v>
      </c>
      <c r="J26" s="75" t="s">
        <v>318</v>
      </c>
      <c r="K26" s="85">
        <v>2.1006</v>
      </c>
      <c r="L26" s="209">
        <f t="shared" si="0"/>
        <v>2.1006</v>
      </c>
      <c r="M26" s="346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GAR'!$D$3:$AB$113,4,0)</f>
        <v>octubre 20 - mar 21</v>
      </c>
      <c r="E27" s="212">
        <f>VLOOKUP(C27,'BD EVA 4 GAR'!$D$3:$AB$113,13,0)</f>
        <v>0</v>
      </c>
      <c r="F27" s="71" t="s">
        <v>131</v>
      </c>
      <c r="G27" s="212">
        <f>VLOOKUP(C27,'BD EVA 4 GAR'!$D$3:$AC$113,25,0)</f>
        <v>0</v>
      </c>
      <c r="H27" s="212">
        <f>VLOOKUP(C27,'BD EVA 4 GAR'!$D$3:$AC$113,18,0)</f>
        <v>1</v>
      </c>
      <c r="I27" s="214">
        <f t="shared" si="6"/>
        <v>0</v>
      </c>
      <c r="J27" s="75" t="s">
        <v>318</v>
      </c>
      <c r="K27" s="85">
        <v>2.1006</v>
      </c>
      <c r="L27" s="209">
        <f t="shared" si="0"/>
        <v>0</v>
      </c>
      <c r="M27" s="346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GAR'!$D$3:$AB$113,4,0)</f>
        <v>octubre 2018 - marzo 2019</v>
      </c>
      <c r="E28" s="212">
        <f>VLOOKUP(C28,'BD EVA 4 GAR'!$D$3:$AB$113,13,0)</f>
        <v>1466</v>
      </c>
      <c r="F28" s="71" t="s">
        <v>131</v>
      </c>
      <c r="G28" s="212">
        <f>VLOOKUP(C28,'BD EVA 4 GAR'!$D$3:$AC$113,25,0)</f>
        <v>1093</v>
      </c>
      <c r="H28" s="212">
        <f>VLOOKUP(C28,'BD EVA 4 GAR'!$D$3:$AC$113,18,0)</f>
        <v>1368.3</v>
      </c>
      <c r="I28" s="78">
        <f>(G28-E28)/(H28-E28)</f>
        <v>3.8178096212896606</v>
      </c>
      <c r="J28" s="89" t="s">
        <v>319</v>
      </c>
      <c r="K28" s="85">
        <v>2.2200000000000002</v>
      </c>
      <c r="L28" s="209">
        <f t="shared" si="0"/>
        <v>2.2200000000000002</v>
      </c>
      <c r="M28" s="174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4 GAR'!$D$3:$AB$113,4,0)</f>
        <v>octubre 20 - mar 21</v>
      </c>
      <c r="E29" s="212">
        <f>VLOOKUP(C29,'BD EVA 4 GAR'!$D$3:$AB$113,13,0)</f>
        <v>0</v>
      </c>
      <c r="F29" s="71" t="s">
        <v>131</v>
      </c>
      <c r="G29" s="212">
        <f>VLOOKUP(C29,'BD EVA 4 GAR'!$D$3:$AC$113,25,0)</f>
        <v>16</v>
      </c>
      <c r="H29" s="212">
        <f>VLOOKUP(C29,'BD EVA 4 GAR'!$D$3:$AC$113,18,0)</f>
        <v>160</v>
      </c>
      <c r="I29" s="78">
        <f t="shared" ref="I29:I33" si="7">G29/H29</f>
        <v>0.1</v>
      </c>
      <c r="J29" s="75" t="s">
        <v>318</v>
      </c>
      <c r="K29" s="76">
        <v>2</v>
      </c>
      <c r="L29" s="209">
        <f t="shared" si="0"/>
        <v>0.2</v>
      </c>
      <c r="M29" s="345">
        <f>SUM(L29:L33)</f>
        <v>4.5650874316939856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GAR'!$D$3:$AB$113,4,0)</f>
        <v>44469</v>
      </c>
      <c r="E30" s="212">
        <f>VLOOKUP(C30,'BD EVA 4 GAR'!$D$3:$AB$113,13,0)</f>
        <v>2</v>
      </c>
      <c r="F30" s="75">
        <v>45382</v>
      </c>
      <c r="G30" s="212">
        <f>VLOOKUP(C30,'BD EVA 4 GAR'!$D$3:$AC$113,25,0)</f>
        <v>2</v>
      </c>
      <c r="H30" s="212">
        <f>VLOOKUP(C30,'BD EVA 4 GAR'!$D$3:$AC$113,18,0)</f>
        <v>3</v>
      </c>
      <c r="I30" s="78">
        <f t="shared" si="7"/>
        <v>0.66666666666666663</v>
      </c>
      <c r="J30" s="75" t="s">
        <v>318</v>
      </c>
      <c r="K30" s="76">
        <v>2</v>
      </c>
      <c r="L30" s="209">
        <f t="shared" si="0"/>
        <v>1.3333333333333333</v>
      </c>
      <c r="M30" s="346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GAR'!$D$3:$AB$113,4,0)</f>
        <v>44469</v>
      </c>
      <c r="E31" s="212">
        <f>VLOOKUP(C31,'BD EVA 4 GAR'!$D$3:$AB$113,13,0)</f>
        <v>94.73</v>
      </c>
      <c r="F31" s="75" t="s">
        <v>256</v>
      </c>
      <c r="G31" s="212">
        <f>VLOOKUP(C31,'BD EVA 4 GAR'!$D$3:$AC$113,25,0)</f>
        <v>95.85</v>
      </c>
      <c r="H31" s="212">
        <f>VLOOKUP(C31,'BD EVA 4 GAR'!$D$3:$AC$113,18,0)</f>
        <v>100</v>
      </c>
      <c r="I31" s="78">
        <f t="shared" si="7"/>
        <v>0.95849999999999991</v>
      </c>
      <c r="J31" s="75" t="s">
        <v>318</v>
      </c>
      <c r="K31" s="76">
        <v>2</v>
      </c>
      <c r="L31" s="209">
        <f t="shared" si="0"/>
        <v>1.9169999999999998</v>
      </c>
      <c r="M31" s="346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GAR'!$D$3:$AB$113,4,0)</f>
        <v>44469</v>
      </c>
      <c r="E32" s="209">
        <f>VLOOKUP(C32,'BD EVA 4 GAR'!$D$3:$AB$113,13,0)</f>
        <v>0</v>
      </c>
      <c r="F32" s="75">
        <v>45382</v>
      </c>
      <c r="G32" s="209">
        <f>VLOOKUP(C32,'BD EVA 4 GAR'!$D$3:$AC$113,25,0)</f>
        <v>0</v>
      </c>
      <c r="H32" s="209">
        <f>VLOOKUP(C32,'BD EVA 4 GAR'!$D$3:$AC$113,18,0)</f>
        <v>4</v>
      </c>
      <c r="I32" s="78">
        <f t="shared" si="7"/>
        <v>0</v>
      </c>
      <c r="J32" s="75" t="s">
        <v>318</v>
      </c>
      <c r="K32" s="76">
        <v>2</v>
      </c>
      <c r="L32" s="209">
        <f t="shared" si="0"/>
        <v>0</v>
      </c>
      <c r="M32" s="346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GAR'!$D$3:$AB$113,4,0)</f>
        <v>44469</v>
      </c>
      <c r="E33" s="312">
        <f>VLOOKUP(C33,'BD EVA 4 GAR'!$D$3:$AB$113,13,0)</f>
        <v>0</v>
      </c>
      <c r="F33" s="75">
        <v>45382</v>
      </c>
      <c r="G33" s="207">
        <f>VLOOKUP(C33,'BD EVA 4 GAR'!$D$3:$AC$113,25,0)</f>
        <v>0.27868852459016302</v>
      </c>
      <c r="H33" s="207">
        <f>VLOOKUP(C33,'BD EVA 4 GAR'!$D$3:$AC$113,18,0)</f>
        <v>0.5</v>
      </c>
      <c r="I33" s="78">
        <f t="shared" si="7"/>
        <v>0.55737704918032605</v>
      </c>
      <c r="J33" s="75" t="s">
        <v>318</v>
      </c>
      <c r="K33" s="76">
        <v>2</v>
      </c>
      <c r="L33" s="209">
        <f t="shared" si="0"/>
        <v>1.1147540983606521</v>
      </c>
      <c r="M33" s="174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GAR'!$D$3:$AB$113,4,0)</f>
        <v>enero - diciembre 2021</v>
      </c>
      <c r="E34" s="78">
        <f>VLOOKUP(C34,'BD EVA 4 GAR'!$D$3:$AB$113,13,0)</f>
        <v>0.45038096868515498</v>
      </c>
      <c r="F34" s="71" t="s">
        <v>217</v>
      </c>
      <c r="G34" s="78">
        <f>VLOOKUP(C34,'BD EVA 4 GAR'!$D$3:$AC$113,25,0)</f>
        <v>0.39101019314046798</v>
      </c>
      <c r="H34" s="78">
        <f>VLOOKUP(C34,'BD EVA 4 GAR'!$D$3:$AC$113,18,0)</f>
        <v>0.47699999999999998</v>
      </c>
      <c r="I34" s="78">
        <f>(G34/H34)</f>
        <v>0.81972786821901045</v>
      </c>
      <c r="J34" s="75" t="s">
        <v>318</v>
      </c>
      <c r="K34" s="85">
        <v>2.1631999999999998</v>
      </c>
      <c r="L34" s="209">
        <f t="shared" si="0"/>
        <v>1.7732353245313632</v>
      </c>
      <c r="M34" s="345">
        <f>SUM(L34:L39)</f>
        <v>7.2079928110026064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GAR'!$D$3:$AB$113,4,0)</f>
        <v>enero - diciembre 2021</v>
      </c>
      <c r="E35" s="78">
        <f>VLOOKUP(C35,'BD EVA 4 GAR'!$D$3:$AB$113,13,0)</f>
        <v>0.56280989711130658</v>
      </c>
      <c r="F35" s="71" t="s">
        <v>217</v>
      </c>
      <c r="G35" s="78">
        <f>VLOOKUP(C35,'BD EVA 4 GAR'!$D$3:$AC$113,25,0)</f>
        <v>0.50028395843026496</v>
      </c>
      <c r="H35" s="78">
        <f>VLOOKUP(C35,'BD EVA 4 GAR'!$D$3:$AC$113,18,0)</f>
        <v>0.59599999999999997</v>
      </c>
      <c r="I35" s="78">
        <f>G35/H35</f>
        <v>0.83940261481588085</v>
      </c>
      <c r="J35" s="75" t="s">
        <v>318</v>
      </c>
      <c r="K35" s="85">
        <v>1.3520000000000001</v>
      </c>
      <c r="L35" s="209">
        <f t="shared" si="0"/>
        <v>1.134872335231071</v>
      </c>
      <c r="M35" s="346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GAR'!$D$3:$AB$113,4,0)</f>
        <v>enero - diciembre 2021</v>
      </c>
      <c r="E36" s="78">
        <f>VLOOKUP(C36,'BD EVA 4 GAR'!$D$3:$AB$113,13,0)</f>
        <v>0.35650243665960757</v>
      </c>
      <c r="F36" s="71" t="s">
        <v>217</v>
      </c>
      <c r="G36" s="78">
        <f>VLOOKUP(C36,'BD EVA 4 GAR'!$D$3:$AC$113,25,0)</f>
        <v>0.31070294850118202</v>
      </c>
      <c r="H36" s="78">
        <f>VLOOKUP(C36,'BD EVA 4 GAR'!$D$3:$AC$113,18,0)</f>
        <v>0.37</v>
      </c>
      <c r="I36" s="78">
        <f>IF(G36&lt;E36,0,G36/H36)</f>
        <v>0</v>
      </c>
      <c r="J36" s="72" t="s">
        <v>316</v>
      </c>
      <c r="K36" s="85">
        <v>2.1631999999999998</v>
      </c>
      <c r="L36" s="209">
        <f t="shared" si="0"/>
        <v>0</v>
      </c>
      <c r="M36" s="346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GAR'!$D$3:$AB$113,4,0)</f>
        <v>enero - diciembre 2021</v>
      </c>
      <c r="E37" s="90">
        <f>VLOOKUP(C37,'BD EVA 4 GAR'!$D$3:$AB$113,13,0)</f>
        <v>103093630.20999999</v>
      </c>
      <c r="F37" s="71" t="s">
        <v>217</v>
      </c>
      <c r="G37" s="90">
        <f>VLOOKUP(C37,'BD EVA 4 GAR'!$D$3:$AC$113,25,0)</f>
        <v>134586057.36999899</v>
      </c>
      <c r="H37" s="90">
        <f>VLOOKUP(C37,'BD EVA 4 GAR'!$D$3:$AC$113,18,0)</f>
        <v>107279231.59999999</v>
      </c>
      <c r="I37" s="78">
        <f>G37/H37</f>
        <v>1.254539721833718</v>
      </c>
      <c r="J37" s="75" t="s">
        <v>318</v>
      </c>
      <c r="K37" s="85">
        <v>1.0815999999999999</v>
      </c>
      <c r="L37" s="209">
        <f t="shared" si="0"/>
        <v>1.0815999999999999</v>
      </c>
      <c r="M37" s="346"/>
    </row>
    <row r="38" spans="1:13" ht="78">
      <c r="A38" s="121" t="s">
        <v>275</v>
      </c>
      <c r="B38" s="72" t="s">
        <v>298</v>
      </c>
      <c r="C38" s="72" t="s">
        <v>301</v>
      </c>
      <c r="D38" s="89" t="str">
        <f>VLOOKUP(C38,'BD EVA 4 GAR'!$D$3:$AB$113,4,0)</f>
        <v>enero - diciembre 2021</v>
      </c>
      <c r="E38" s="78">
        <f>VLOOKUP(C38,'BD EVA 4 GAR'!$D$3:$AB$113,13,0)</f>
        <v>0.86009259582291675</v>
      </c>
      <c r="F38" s="71" t="s">
        <v>217</v>
      </c>
      <c r="G38" s="78">
        <f>VLOOKUP(C38,'BD EVA 4 GAR'!$D$3:$AC$113,25,0)</f>
        <v>0.83823590487620003</v>
      </c>
      <c r="H38" s="78">
        <f>VLOOKUP(C38,'BD EVA 4 GAR'!$D$3:$AC$113,18,0)</f>
        <v>0.82699999999999996</v>
      </c>
      <c r="I38" s="78">
        <f>(H38/G38)</f>
        <v>0.98659577237047669</v>
      </c>
      <c r="J38" s="71" t="s">
        <v>341</v>
      </c>
      <c r="K38" s="85">
        <v>1.62</v>
      </c>
      <c r="L38" s="209">
        <f t="shared" si="0"/>
        <v>1.5982851512401723</v>
      </c>
      <c r="M38" s="346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GAR'!$D$3:$AB$113,4,0)</f>
        <v>Dic 2020</v>
      </c>
      <c r="E39" s="76" t="str">
        <f>VLOOKUP(C39,'BD EVA 4 GAR'!$D$3:$AB$113,13,0)</f>
        <v>Verde</v>
      </c>
      <c r="F39" s="71" t="s">
        <v>256</v>
      </c>
      <c r="G39" s="76" t="str">
        <f>VLOOKUP(C39,'BD EVA 4 GAR'!$D$3:$AC$113,25,0)</f>
        <v>Verde</v>
      </c>
      <c r="H39" s="76" t="str">
        <f>VLOOKUP(C39,'BD EVA 4 GAR'!$D$3:$AC$113,18,0)</f>
        <v>Verde</v>
      </c>
      <c r="I39" s="76">
        <f>IF(G39="Verde",1,0)</f>
        <v>1</v>
      </c>
      <c r="J39" s="75" t="s">
        <v>318</v>
      </c>
      <c r="K39" s="85">
        <v>1.62</v>
      </c>
      <c r="L39" s="209">
        <f t="shared" si="0"/>
        <v>1.62</v>
      </c>
      <c r="M39" s="174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4BE32-B99F-1C4F-85FF-E2FBBB124202}">
  <dimension ref="A1:AE113"/>
  <sheetViews>
    <sheetView workbookViewId="0">
      <selection activeCell="F7" sqref="F7"/>
    </sheetView>
  </sheetViews>
  <sheetFormatPr baseColWidth="10" defaultRowHeight="16"/>
  <sheetData>
    <row r="1" spans="1:31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430</v>
      </c>
      <c r="Y1" s="64" t="s">
        <v>22</v>
      </c>
      <c r="Z1" s="61" t="s">
        <v>427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431</v>
      </c>
    </row>
    <row r="2" spans="1:31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4"/>
      <c r="Q2" s="12">
        <v>309453</v>
      </c>
      <c r="R2" s="12">
        <v>309453</v>
      </c>
      <c r="S2" s="12">
        <v>309453</v>
      </c>
      <c r="T2" s="13"/>
      <c r="U2" s="316"/>
      <c r="V2" s="316"/>
      <c r="W2" s="316"/>
      <c r="X2" s="316"/>
      <c r="Y2" s="6"/>
      <c r="Z2" s="12">
        <v>316902</v>
      </c>
      <c r="AA2" s="12">
        <v>316902</v>
      </c>
      <c r="AB2" s="12">
        <v>322969</v>
      </c>
      <c r="AC2" s="12">
        <v>322969</v>
      </c>
      <c r="AD2" s="12">
        <v>327534</v>
      </c>
      <c r="AE2" s="12">
        <v>327534</v>
      </c>
    </row>
    <row r="3" spans="1:31">
      <c r="A3" s="148" t="s">
        <v>34</v>
      </c>
      <c r="B3" s="148" t="s">
        <v>35</v>
      </c>
      <c r="C3" s="148" t="s">
        <v>36</v>
      </c>
      <c r="D3" s="148" t="s">
        <v>37</v>
      </c>
      <c r="E3" s="149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382</v>
      </c>
      <c r="R3" s="12">
        <v>382</v>
      </c>
      <c r="S3" s="12">
        <f ca="1">IFERROR(__xludf.DUMMYFUNCTION("INDEX(IMPORTRANGE(""17pNv02DXDpQT9S3w4-QeNym2QJy2BzMBqDXp-XtzJBM"", ""'GAR'!BG3:BG139""),MATCH($D3,IMPORTRANGE(""17pNv02DXDpQT9S3w4-QeNym2QJy2BzMBqDXp-XtzJBM"", ""'GAR'!D3:D139""),0))"),382)</f>
        <v>382</v>
      </c>
      <c r="T3" s="257">
        <v>405</v>
      </c>
      <c r="U3" s="257">
        <v>428</v>
      </c>
      <c r="V3" s="257">
        <v>450</v>
      </c>
      <c r="W3" s="257">
        <v>473</v>
      </c>
      <c r="X3" s="29">
        <f>((Y3-W3)/6)*5+W3</f>
        <v>492.16666666666669</v>
      </c>
      <c r="Y3" s="2">
        <v>496</v>
      </c>
      <c r="Z3" s="12">
        <f ca="1">IFERROR(__xludf.DUMMYFUNCTION("INDEX(IMPORTRANGE(""17pNv02DXDpQT9S3w4-QeNym2QJy2BzMBqDXp-XtzJBM"", ""'GAR'!BH3:BH139""),MATCH($D3,IMPORTRANGE(""17pNv02DXDpQT9S3w4-QeNym2QJy2BzMBqDXp-XtzJBM"", ""'GAR'!D3:D139""),0))"),416)</f>
        <v>416</v>
      </c>
      <c r="AA3" s="2">
        <f ca="1">IFERROR(__xludf.DUMMYFUNCTION("INDEX(IMPORTRANGE(""17pNv02DXDpQT9S3w4-QeNym2QJy2BzMBqDXp-XtzJBM"", ""'GAR'!BI3:BI139""),MATCH($D3,IMPORTRANGE(""17pNv02DXDpQT9S3w4-QeNym2QJy2BzMBqDXp-XtzJBM"", ""'GAR'!D3:D139""),0))"),436)</f>
        <v>436</v>
      </c>
      <c r="AB3" s="12">
        <f ca="1">IFERROR(__xludf.DUMMYFUNCTION("INDEX(IMPORTRANGE(""17pNv02DXDpQT9S3w4-QeNym2QJy2BzMBqDXp-XtzJBM"", ""'GAR'!BJ3:BJ139""),MATCH($D3,IMPORTRANGE(""17pNv02DXDpQT9S3w4-QeNym2QJy2BzMBqDXp-XtzJBM"", ""'GAR'!D3:D139""),0))"),402)</f>
        <v>402</v>
      </c>
      <c r="AC3" s="2">
        <f ca="1">IFERROR(__xludf.DUMMYFUNCTION("INDEX(IMPORTRANGE(""17pNv02DXDpQT9S3w4-QeNym2QJy2BzMBqDXp-XtzJBM"", ""'GAR'!BK3:BK139""),MATCH($D3,IMPORTRANGE(""17pNv02DXDpQT9S3w4-QeNym2QJy2BzMBqDXp-XtzJBM"", ""'GAR'!D3:D139""),0))"),408)</f>
        <v>408</v>
      </c>
      <c r="AD3" s="12">
        <f ca="1">IFERROR(__xludf.DUMMYFUNCTION("INDEX(IMPORTRANGE(""17pNv02DXDpQT9S3w4-QeNym2QJy2BzMBqDXp-XtzJBM"", ""'GAR'!BL3:BL139""),MATCH($D3,IMPORTRANGE(""17pNv02DXDpQT9S3w4-QeNym2QJy2BzMBqDXp-XtzJBM"", ""'GAR'!D3:D139""),0))"),406)</f>
        <v>406</v>
      </c>
      <c r="AE3" s="2">
        <f ca="1">IFERROR(__xludf.DUMMYFUNCTION("INDEX(IMPORTRANGE(""17pNv02DXDpQT9S3w4-QeNym2QJy2BzMBqDXp-XtzJBM"", ""'GAR'!BM3:BM139""),MATCH($D3,IMPORTRANGE(""17pNv02DXDpQT9S3w4-QeNym2QJy2BzMBqDXp-XtzJBM"", ""'GAR'!D3:D139""),0))"),382)</f>
        <v>382</v>
      </c>
    </row>
    <row r="4" spans="1:31">
      <c r="A4" s="149" t="s">
        <v>34</v>
      </c>
      <c r="B4" s="149" t="s">
        <v>40</v>
      </c>
      <c r="C4" s="149" t="s">
        <v>30</v>
      </c>
      <c r="D4" s="149" t="s">
        <v>41</v>
      </c>
      <c r="E4" s="149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197</v>
      </c>
      <c r="R4" s="12">
        <v>197</v>
      </c>
      <c r="S4" s="12">
        <f ca="1">IFERROR(__xludf.DUMMYFUNCTION("INDEX(IMPORTRANGE(""17pNv02DXDpQT9S3w4-QeNym2QJy2BzMBqDXp-XtzJBM"", ""'GAR'!BG3:BG139""),MATCH($D4,IMPORTRANGE(""17pNv02DXDpQT9S3w4-QeNym2QJy2BzMBqDXp-XtzJBM"", ""'GAR'!D3:D139""),0))"),197)</f>
        <v>197</v>
      </c>
      <c r="T4" s="13"/>
      <c r="U4" s="13"/>
      <c r="V4" s="13"/>
      <c r="W4" s="13"/>
      <c r="X4" s="13"/>
      <c r="Y4" s="4"/>
      <c r="Z4" s="12">
        <f ca="1">IFERROR(__xludf.DUMMYFUNCTION("INDEX(IMPORTRANGE(""17pNv02DXDpQT9S3w4-QeNym2QJy2BzMBqDXp-XtzJBM"", ""'GAR'!BH3:BH139""),MATCH($D4,IMPORTRANGE(""17pNv02DXDpQT9S3w4-QeNym2QJy2BzMBqDXp-XtzJBM"", ""'GAR'!D3:D139""),0))"),289)</f>
        <v>289</v>
      </c>
      <c r="AA4" s="2">
        <f ca="1">IFERROR(__xludf.DUMMYFUNCTION("INDEX(IMPORTRANGE(""17pNv02DXDpQT9S3w4-QeNym2QJy2BzMBqDXp-XtzJBM"", ""'GAR'!BI3:BI139""),MATCH($D4,IMPORTRANGE(""17pNv02DXDpQT9S3w4-QeNym2QJy2BzMBqDXp-XtzJBM"", ""'GAR'!D3:D139""),0))"),336)</f>
        <v>336</v>
      </c>
      <c r="AB4" s="12">
        <f ca="1">IFERROR(__xludf.DUMMYFUNCTION("INDEX(IMPORTRANGE(""17pNv02DXDpQT9S3w4-QeNym2QJy2BzMBqDXp-XtzJBM"", ""'GAR'!BJ3:BJ139""),MATCH($D4,IMPORTRANGE(""17pNv02DXDpQT9S3w4-QeNym2QJy2BzMBqDXp-XtzJBM"", ""'GAR'!D3:D139""),0))"),371)</f>
        <v>371</v>
      </c>
      <c r="AC4" s="2">
        <f ca="1">IFERROR(__xludf.DUMMYFUNCTION("INDEX(IMPORTRANGE(""17pNv02DXDpQT9S3w4-QeNym2QJy2BzMBqDXp-XtzJBM"", ""'GAR'!BK3:BK139""),MATCH($D4,IMPORTRANGE(""17pNv02DXDpQT9S3w4-QeNym2QJy2BzMBqDXp-XtzJBM"", ""'GAR'!D3:D139""),0))"),362)</f>
        <v>362</v>
      </c>
      <c r="AD4" s="12">
        <f ca="1">IFERROR(__xludf.DUMMYFUNCTION("INDEX(IMPORTRANGE(""17pNv02DXDpQT9S3w4-QeNym2QJy2BzMBqDXp-XtzJBM"", ""'GAR'!BL3:BL139""),MATCH($D4,IMPORTRANGE(""17pNv02DXDpQT9S3w4-QeNym2QJy2BzMBqDXp-XtzJBM"", ""'GAR'!D3:D139""),0))"),352)</f>
        <v>352</v>
      </c>
      <c r="AE4" s="2">
        <f ca="1">IFERROR(__xludf.DUMMYFUNCTION("INDEX(IMPORTRANGE(""17pNv02DXDpQT9S3w4-QeNym2QJy2BzMBqDXp-XtzJBM"", ""'GAR'!BM3:BM139""),MATCH($D4,IMPORTRANGE(""17pNv02DXDpQT9S3w4-QeNym2QJy2BzMBqDXp-XtzJBM"", ""'GAR'!D3:D139""),0))"),362)</f>
        <v>362</v>
      </c>
    </row>
    <row r="5" spans="1:31">
      <c r="A5" s="148" t="s">
        <v>34</v>
      </c>
      <c r="B5" s="148" t="s">
        <v>40</v>
      </c>
      <c r="C5" s="148" t="s">
        <v>36</v>
      </c>
      <c r="D5" s="148" t="s">
        <v>43</v>
      </c>
      <c r="E5" s="149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0.51570680628272247</v>
      </c>
      <c r="R5" s="15">
        <f t="shared" si="0"/>
        <v>0.51570680628272247</v>
      </c>
      <c r="S5" s="15">
        <f ca="1">IFERROR(__xludf.DUMMYFUNCTION("INDEX(IMPORTRANGE(""17pNv02DXDpQT9S3w4-QeNym2QJy2BzMBqDXp-XtzJBM"", ""'GAR'!BG3:BG139""),MATCH($D5,IMPORTRANGE(""17pNv02DXDpQT9S3w4-QeNym2QJy2BzMBqDXp-XtzJBM"", ""'GAR'!D3:D139""),0))"),0.515706806282722)</f>
        <v>0.51570680628272203</v>
      </c>
      <c r="T5" s="2" t="s">
        <v>327</v>
      </c>
      <c r="U5" s="2" t="s">
        <v>327</v>
      </c>
      <c r="V5" s="2" t="s">
        <v>327</v>
      </c>
      <c r="W5" s="2" t="s">
        <v>327</v>
      </c>
      <c r="X5" s="2" t="s">
        <v>327</v>
      </c>
      <c r="Y5" s="2" t="s">
        <v>327</v>
      </c>
      <c r="Z5" s="15">
        <f ca="1">IFERROR(__xludf.DUMMYFUNCTION("INDEX(IMPORTRANGE(""17pNv02DXDpQT9S3w4-QeNym2QJy2BzMBqDXp-XtzJBM"", ""'GAR'!BH3:BH139""),MATCH($D5,IMPORTRANGE(""17pNv02DXDpQT9S3w4-QeNym2QJy2BzMBqDXp-XtzJBM"", ""'GAR'!D3:D139""),0))"),0.694711538461538)</f>
        <v>0.69471153846153799</v>
      </c>
      <c r="AA5" s="15">
        <f ca="1">IFERROR(__xludf.DUMMYFUNCTION("INDEX(IMPORTRANGE(""17pNv02DXDpQT9S3w4-QeNym2QJy2BzMBqDXp-XtzJBM"", ""'GAR'!BI3:BI139""),MATCH($D5,IMPORTRANGE(""17pNv02DXDpQT9S3w4-QeNym2QJy2BzMBqDXp-XtzJBM"", ""'GAR'!D3:D139""),0))"),0.770642201834862)</f>
        <v>0.77064220183486198</v>
      </c>
      <c r="AB5" s="15">
        <f ca="1">IFERROR(__xludf.DUMMYFUNCTION("INDEX(IMPORTRANGE(""17pNv02DXDpQT9S3w4-QeNym2QJy2BzMBqDXp-XtzJBM"", ""'GAR'!BJ3:BJ139""),MATCH($D5,IMPORTRANGE(""17pNv02DXDpQT9S3w4-QeNym2QJy2BzMBqDXp-XtzJBM"", ""'GAR'!D3:D139""),0))"),0.922885572139303)</f>
        <v>0.922885572139303</v>
      </c>
      <c r="AC5" s="15">
        <f ca="1">IFERROR(__xludf.DUMMYFUNCTION("INDEX(IMPORTRANGE(""17pNv02DXDpQT9S3w4-QeNym2QJy2BzMBqDXp-XtzJBM"", ""'GAR'!BK3:BK139""),MATCH($D5,IMPORTRANGE(""17pNv02DXDpQT9S3w4-QeNym2QJy2BzMBqDXp-XtzJBM"", ""'GAR'!D3:D139""),0))"),0.887254901960784)</f>
        <v>0.88725490196078405</v>
      </c>
      <c r="AD5" s="15">
        <f ca="1">IFERROR(__xludf.DUMMYFUNCTION("INDEX(IMPORTRANGE(""17pNv02DXDpQT9S3w4-QeNym2QJy2BzMBqDXp-XtzJBM"", ""'GAR'!BL3:BL139""),MATCH($D5,IMPORTRANGE(""17pNv02DXDpQT9S3w4-QeNym2QJy2BzMBqDXp-XtzJBM"", ""'GAR'!D3:D139""),0))"),0.866995073891625)</f>
        <v>0.866995073891625</v>
      </c>
      <c r="AE5" s="15">
        <f ca="1">IFERROR(__xludf.DUMMYFUNCTION("INDEX(IMPORTRANGE(""17pNv02DXDpQT9S3w4-QeNym2QJy2BzMBqDXp-XtzJBM"", ""'GAR'!BM3:BM139""),MATCH($D5,IMPORTRANGE(""17pNv02DXDpQT9S3w4-QeNym2QJy2BzMBqDXp-XtzJBM"", ""'GAR'!D3:D139""),0))"),0.947643979057591)</f>
        <v>0.94764397905759101</v>
      </c>
    </row>
    <row r="6" spans="1:31">
      <c r="A6" s="148" t="s">
        <v>34</v>
      </c>
      <c r="B6" s="148" t="s">
        <v>45</v>
      </c>
      <c r="C6" s="148" t="s">
        <v>30</v>
      </c>
      <c r="D6" s="148" t="s">
        <v>328</v>
      </c>
      <c r="E6" s="149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17"/>
      <c r="R6" s="18"/>
      <c r="S6" s="2">
        <f ca="1">IFERROR(__xludf.DUMMYFUNCTION("INDEX(IMPORTRANGE(""17pNv02DXDpQT9S3w4-QeNym2QJy2BzMBqDXp-XtzJBM"", ""'GAR'!BG3:BG139""),MATCH($D6,IMPORTRANGE(""17pNv02DXDpQT9S3w4-QeNym2QJy2BzMBqDXp-XtzJBM"", ""'GAR'!D3:D139""),0))"),13)</f>
        <v>13</v>
      </c>
      <c r="T6" s="1"/>
      <c r="U6" s="1"/>
      <c r="V6" s="1"/>
      <c r="W6" s="1"/>
      <c r="X6" s="1"/>
      <c r="Y6" s="2"/>
      <c r="Z6" s="29">
        <f ca="1">IFERROR(__xludf.DUMMYFUNCTION("INDEX(IMPORTRANGE(""17pNv02DXDpQT9S3w4-QeNym2QJy2BzMBqDXp-XtzJBM"", ""'GAR'!BH3:BH139""),MATCH($D6,IMPORTRANGE(""17pNv02DXDpQT9S3w4-QeNym2QJy2BzMBqDXp-XtzJBM"", ""'GAR'!D3:D139""),0))"),9)</f>
        <v>9</v>
      </c>
      <c r="AA6" s="2">
        <f ca="1">IFERROR(__xludf.DUMMYFUNCTION("INDEX(IMPORTRANGE(""17pNv02DXDpQT9S3w4-QeNym2QJy2BzMBqDXp-XtzJBM"", ""'GAR'!BI3:BI139""),MATCH($D6,IMPORTRANGE(""17pNv02DXDpQT9S3w4-QeNym2QJy2BzMBqDXp-XtzJBM"", ""'GAR'!D3:D139""),0))"),18)</f>
        <v>18</v>
      </c>
      <c r="AB6" s="29">
        <f ca="1">IFERROR(__xludf.DUMMYFUNCTION("INDEX(IMPORTRANGE(""17pNv02DXDpQT9S3w4-QeNym2QJy2BzMBqDXp-XtzJBM"", ""'GAR'!BJ3:BJ139""),MATCH($D6,IMPORTRANGE(""17pNv02DXDpQT9S3w4-QeNym2QJy2BzMBqDXp-XtzJBM"", ""'GAR'!D3:D139""),0))"),12.864)</f>
        <v>12.864000000000001</v>
      </c>
      <c r="AC6" s="2">
        <f ca="1">IFERROR(__xludf.DUMMYFUNCTION("INDEX(IMPORTRANGE(""17pNv02DXDpQT9S3w4-QeNym2QJy2BzMBqDXp-XtzJBM"", ""'GAR'!BK3:BK139""),MATCH($D6,IMPORTRANGE(""17pNv02DXDpQT9S3w4-QeNym2QJy2BzMBqDXp-XtzJBM"", ""'GAR'!D3:D139""),0))"),7)</f>
        <v>7</v>
      </c>
      <c r="AD6" s="29">
        <f ca="1">IFERROR(__xludf.DUMMYFUNCTION("INDEX(IMPORTRANGE(""17pNv02DXDpQT9S3w4-QeNym2QJy2BzMBqDXp-XtzJBM"", ""'GAR'!BL3:BL139""),MATCH($D6,IMPORTRANGE(""17pNv02DXDpQT9S3w4-QeNym2QJy2BzMBqDXp-XtzJBM"", ""'GAR'!D3:D139""),0))"),13)</f>
        <v>13</v>
      </c>
      <c r="AE6" s="2">
        <f ca="1">IFERROR(__xludf.DUMMYFUNCTION("INDEX(IMPORTRANGE(""17pNv02DXDpQT9S3w4-QeNym2QJy2BzMBqDXp-XtzJBM"", ""'GAR'!BM3:BM139""),MATCH($D6,IMPORTRANGE(""17pNv02DXDpQT9S3w4-QeNym2QJy2BzMBqDXp-XtzJBM"", ""'GAR'!D3:D139""),0))"),14)</f>
        <v>14</v>
      </c>
    </row>
    <row r="7" spans="1:31">
      <c r="A7" s="148" t="s">
        <v>34</v>
      </c>
      <c r="B7" s="148" t="s">
        <v>45</v>
      </c>
      <c r="C7" s="148" t="s">
        <v>30</v>
      </c>
      <c r="D7" s="148" t="s">
        <v>329</v>
      </c>
      <c r="E7" s="149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9"/>
      <c r="R7" s="19"/>
      <c r="S7" s="15">
        <f ca="1">IFERROR(__xludf.DUMMYFUNCTION("INDEX(IMPORTRANGE(""17pNv02DXDpQT9S3w4-QeNym2QJy2BzMBqDXp-XtzJBM"", ""'GAR'!BG3:BG139""),MATCH($D7,IMPORTRANGE(""17pNv02DXDpQT9S3w4-QeNym2QJy2BzMBqDXp-XtzJBM"", ""'GAR'!D3:D139""),0))"),0)</f>
        <v>0</v>
      </c>
      <c r="T7" s="1"/>
      <c r="U7" s="1"/>
      <c r="V7" s="1"/>
      <c r="W7" s="1"/>
      <c r="X7" s="1"/>
      <c r="Y7" s="2"/>
      <c r="Z7" s="15" t="str">
        <f ca="1">IFERROR(__xludf.DUMMYFUNCTION("INDEX(IMPORTRANGE(""17pNv02DXDpQT9S3w4-QeNym2QJy2BzMBqDXp-XtzJBM"", ""'GAR'!BH3:BH139""),MATCH($D7,IMPORTRANGE(""17pNv02DXDpQT9S3w4-QeNym2QJy2BzMBqDXp-XtzJBM"", ""'GAR'!D3:D139""),0))"),"")</f>
        <v/>
      </c>
      <c r="AA7" s="15">
        <f ca="1">IFERROR(__xludf.DUMMYFUNCTION("INDEX(IMPORTRANGE(""17pNv02DXDpQT9S3w4-QeNym2QJy2BzMBqDXp-XtzJBM"", ""'GAR'!BI3:BI139""),MATCH($D7,IMPORTRANGE(""17pNv02DXDpQT9S3w4-QeNym2QJy2BzMBqDXp-XtzJBM"", ""'GAR'!D3:D139""),0))"),0)</f>
        <v>0</v>
      </c>
      <c r="AB7" s="15">
        <f ca="1">IFERROR(__xludf.DUMMYFUNCTION("INDEX(IMPORTRANGE(""17pNv02DXDpQT9S3w4-QeNym2QJy2BzMBqDXp-XtzJBM"", ""'GAR'!BJ3:BJ139""),MATCH($D7,IMPORTRANGE(""17pNv02DXDpQT9S3w4-QeNym2QJy2BzMBqDXp-XtzJBM"", ""'GAR'!D3:D139""),0))"),0)</f>
        <v>0</v>
      </c>
      <c r="AC7" s="15">
        <f ca="1">IFERROR(__xludf.DUMMYFUNCTION("INDEX(IMPORTRANGE(""17pNv02DXDpQT9S3w4-QeNym2QJy2BzMBqDXp-XtzJBM"", ""'GAR'!BK3:BK139""),MATCH($D7,IMPORTRANGE(""17pNv02DXDpQT9S3w4-QeNym2QJy2BzMBqDXp-XtzJBM"", ""'GAR'!D3:D139""),0))"),0)</f>
        <v>0</v>
      </c>
      <c r="AD7" s="15">
        <f ca="1">IFERROR(__xludf.DUMMYFUNCTION("INDEX(IMPORTRANGE(""17pNv02DXDpQT9S3w4-QeNym2QJy2BzMBqDXp-XtzJBM"", ""'GAR'!BL3:BL139""),MATCH($D7,IMPORTRANGE(""17pNv02DXDpQT9S3w4-QeNym2QJy2BzMBqDXp-XtzJBM"", ""'GAR'!D3:D139""),0))"),0)</f>
        <v>0</v>
      </c>
      <c r="AE7" s="15">
        <f ca="1">IFERROR(__xludf.DUMMYFUNCTION("INDEX(IMPORTRANGE(""17pNv02DXDpQT9S3w4-QeNym2QJy2BzMBqDXp-XtzJBM"", ""'GAR'!BM3:BM139""),MATCH($D7,IMPORTRANGE(""17pNv02DXDpQT9S3w4-QeNym2QJy2BzMBqDXp-XtzJBM"", ""'GAR'!D3:D139""),0))"),0)</f>
        <v>0</v>
      </c>
    </row>
    <row r="8" spans="1:31">
      <c r="A8" s="148" t="s">
        <v>34</v>
      </c>
      <c r="B8" s="148" t="s">
        <v>45</v>
      </c>
      <c r="C8" s="148" t="s">
        <v>36</v>
      </c>
      <c r="D8" s="148" t="s">
        <v>50</v>
      </c>
      <c r="E8" s="149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9">
        <f t="shared" ref="Q8:R8" si="1">Q6/Q3</f>
        <v>0</v>
      </c>
      <c r="R8" s="19">
        <f t="shared" si="1"/>
        <v>0</v>
      </c>
      <c r="S8" s="15">
        <f ca="1">IFERROR(__xludf.DUMMYFUNCTION("INDEX(IMPORTRANGE(""17pNv02DXDpQT9S3w4-QeNym2QJy2BzMBqDXp-XtzJBM"", ""'GAR'!BG3:BG139""),MATCH($D8,IMPORTRANGE(""17pNv02DXDpQT9S3w4-QeNym2QJy2BzMBqDXp-XtzJBM"", ""'GAR'!D3:D139""),0))"),0.0340314136125654)</f>
        <v>3.4031413612565398E-2</v>
      </c>
      <c r="T8" s="297">
        <v>5.0000000000000001E-4</v>
      </c>
      <c r="U8" s="297">
        <v>5.0000000000000001E-4</v>
      </c>
      <c r="V8" s="297">
        <v>5.0000000000000001E-4</v>
      </c>
      <c r="W8" s="297">
        <v>5.0000000000000001E-4</v>
      </c>
      <c r="X8" s="297">
        <v>5.0000000000000001E-4</v>
      </c>
      <c r="Y8" s="297">
        <v>5.0000000000000001E-4</v>
      </c>
      <c r="Z8" s="15">
        <f ca="1">IFERROR(__xludf.DUMMYFUNCTION("INDEX(IMPORTRANGE(""17pNv02DXDpQT9S3w4-QeNym2QJy2BzMBqDXp-XtzJBM"", ""'GAR'!BH3:BH139""),MATCH($D8,IMPORTRANGE(""17pNv02DXDpQT9S3w4-QeNym2QJy2BzMBqDXp-XtzJBM"", ""'GAR'!D3:D139""),0))"),0.0216346153846153)</f>
        <v>2.1634615384615301E-2</v>
      </c>
      <c r="AA8" s="15">
        <f ca="1">IFERROR(__xludf.DUMMYFUNCTION("INDEX(IMPORTRANGE(""17pNv02DXDpQT9S3w4-QeNym2QJy2BzMBqDXp-XtzJBM"", ""'GAR'!BI3:BI139""),MATCH($D8,IMPORTRANGE(""17pNv02DXDpQT9S3w4-QeNym2QJy2BzMBqDXp-XtzJBM"", ""'GAR'!D3:D139""),0))"),0.0412844036697247)</f>
        <v>4.1284403669724697E-2</v>
      </c>
      <c r="AB8" s="15">
        <f ca="1">IFERROR(__xludf.DUMMYFUNCTION("INDEX(IMPORTRANGE(""17pNv02DXDpQT9S3w4-QeNym2QJy2BzMBqDXp-XtzJBM"", ""'GAR'!BJ3:BJ139""),MATCH($D8,IMPORTRANGE(""17pNv02DXDpQT9S3w4-QeNym2QJy2BzMBqDXp-XtzJBM"", ""'GAR'!D3:D139""),0))"),0.032)</f>
        <v>3.2000000000000001E-2</v>
      </c>
      <c r="AC8" s="15">
        <f ca="1">IFERROR(__xludf.DUMMYFUNCTION("INDEX(IMPORTRANGE(""17pNv02DXDpQT9S3w4-QeNym2QJy2BzMBqDXp-XtzJBM"", ""'GAR'!BK3:BK139""),MATCH($D8,IMPORTRANGE(""17pNv02DXDpQT9S3w4-QeNym2QJy2BzMBqDXp-XtzJBM"", ""'GAR'!D3:D139""),0))"),0.017156862745098)</f>
        <v>1.7156862745097999E-2</v>
      </c>
      <c r="AD8" s="15">
        <f ca="1">IFERROR(__xludf.DUMMYFUNCTION("INDEX(IMPORTRANGE(""17pNv02DXDpQT9S3w4-QeNym2QJy2BzMBqDXp-XtzJBM"", ""'GAR'!BL3:BL139""),MATCH($D8,IMPORTRANGE(""17pNv02DXDpQT9S3w4-QeNym2QJy2BzMBqDXp-XtzJBM"", ""'GAR'!D3:D139""),0))"),0.0320197044334975)</f>
        <v>3.2019704433497498E-2</v>
      </c>
      <c r="AE8" s="15">
        <f ca="1">IFERROR(__xludf.DUMMYFUNCTION("INDEX(IMPORTRANGE(""17pNv02DXDpQT9S3w4-QeNym2QJy2BzMBqDXp-XtzJBM"", ""'GAR'!BM3:BM139""),MATCH($D8,IMPORTRANGE(""17pNv02DXDpQT9S3w4-QeNym2QJy2BzMBqDXp-XtzJBM"", ""'GAR'!D3:D139""),0))"),0.0366492146596858)</f>
        <v>3.6649214659685798E-2</v>
      </c>
    </row>
    <row r="9" spans="1:31">
      <c r="A9" s="149" t="s">
        <v>52</v>
      </c>
      <c r="B9" s="149" t="s">
        <v>53</v>
      </c>
      <c r="C9" s="149" t="s">
        <v>30</v>
      </c>
      <c r="D9" s="149" t="s">
        <v>54</v>
      </c>
      <c r="E9" s="149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0</v>
      </c>
      <c r="R9" s="2">
        <v>0</v>
      </c>
      <c r="S9" s="2">
        <f ca="1">IFERROR(__xludf.DUMMYFUNCTION("INDEX(IMPORTRANGE(""17pNv02DXDpQT9S3w4-QeNym2QJy2BzMBqDXp-XtzJBM"", ""'GAR'!BG3:BG139""),MATCH($D9,IMPORTRANGE(""17pNv02DXDpQT9S3w4-QeNym2QJy2BzMBqDXp-XtzJBM"", ""'GAR'!D3:D139""),0))"),0)</f>
        <v>0</v>
      </c>
      <c r="T9" s="13"/>
      <c r="U9" s="13"/>
      <c r="V9" s="13"/>
      <c r="W9" s="13"/>
      <c r="X9" s="13"/>
      <c r="Y9" s="4"/>
      <c r="Z9" s="2">
        <f ca="1">IFERROR(__xludf.DUMMYFUNCTION("INDEX(IMPORTRANGE(""17pNv02DXDpQT9S3w4-QeNym2QJy2BzMBqDXp-XtzJBM"", ""'GAR'!BH3:BH139""),MATCH($D9,IMPORTRANGE(""17pNv02DXDpQT9S3w4-QeNym2QJy2BzMBqDXp-XtzJBM"", ""'GAR'!D3:D139""),0))"),0)</f>
        <v>0</v>
      </c>
      <c r="AA9" s="2">
        <f ca="1">IFERROR(__xludf.DUMMYFUNCTION("INDEX(IMPORTRANGE(""17pNv02DXDpQT9S3w4-QeNym2QJy2BzMBqDXp-XtzJBM"", ""'GAR'!BI3:BI139""),MATCH($D9,IMPORTRANGE(""17pNv02DXDpQT9S3w4-QeNym2QJy2BzMBqDXp-XtzJBM"", ""'GAR'!D3:D139""),0))"),373)</f>
        <v>373</v>
      </c>
      <c r="AB9" s="2">
        <f ca="1">IFERROR(__xludf.DUMMYFUNCTION("INDEX(IMPORTRANGE(""17pNv02DXDpQT9S3w4-QeNym2QJy2BzMBqDXp-XtzJBM"", ""'GAR'!BJ3:BJ139""),MATCH($D9,IMPORTRANGE(""17pNv02DXDpQT9S3w4-QeNym2QJy2BzMBqDXp-XtzJBM"", ""'GAR'!D3:D139""),0))"),19)</f>
        <v>19</v>
      </c>
      <c r="AC9" s="2">
        <f ca="1">IFERROR(__xludf.DUMMYFUNCTION("INDEX(IMPORTRANGE(""17pNv02DXDpQT9S3w4-QeNym2QJy2BzMBqDXp-XtzJBM"", ""'GAR'!BK3:BK139""),MATCH($D9,IMPORTRANGE(""17pNv02DXDpQT9S3w4-QeNym2QJy2BzMBqDXp-XtzJBM"", ""'GAR'!D3:D139""),0))"),162)</f>
        <v>162</v>
      </c>
      <c r="AD9" s="2">
        <f ca="1">IFERROR(__xludf.DUMMYFUNCTION("INDEX(IMPORTRANGE(""17pNv02DXDpQT9S3w4-QeNym2QJy2BzMBqDXp-XtzJBM"", ""'GAR'!BL3:BL139""),MATCH($D9,IMPORTRANGE(""17pNv02DXDpQT9S3w4-QeNym2QJy2BzMBqDXp-XtzJBM"", ""'GAR'!D3:D139""),0))"),266)</f>
        <v>266</v>
      </c>
      <c r="AE9" s="2">
        <f ca="1">IFERROR(__xludf.DUMMYFUNCTION("INDEX(IMPORTRANGE(""17pNv02DXDpQT9S3w4-QeNym2QJy2BzMBqDXp-XtzJBM"", ""'GAR'!BM3:BM139""),MATCH($D9,IMPORTRANGE(""17pNv02DXDpQT9S3w4-QeNym2QJy2BzMBqDXp-XtzJBM"", ""'GAR'!D3:D139""),0))"),280)</f>
        <v>280</v>
      </c>
    </row>
    <row r="10" spans="1:31">
      <c r="A10" s="149" t="s">
        <v>52</v>
      </c>
      <c r="B10" s="149" t="s">
        <v>53</v>
      </c>
      <c r="C10" s="149" t="s">
        <v>30</v>
      </c>
      <c r="D10" s="149" t="s">
        <v>64</v>
      </c>
      <c r="E10" s="149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3037</v>
      </c>
      <c r="R10" s="12">
        <v>5094</v>
      </c>
      <c r="S10" s="12">
        <f ca="1">IFERROR(__xludf.DUMMYFUNCTION("INDEX(IMPORTRANGE(""17pNv02DXDpQT9S3w4-QeNym2QJy2BzMBqDXp-XtzJBM"", ""'GAR'!BG3:BG139""),MATCH($D10,IMPORTRANGE(""17pNv02DXDpQT9S3w4-QeNym2QJy2BzMBqDXp-XtzJBM"", ""'GAR'!D3:D139""),0))"),5094)</f>
        <v>5094</v>
      </c>
      <c r="T10" s="13"/>
      <c r="U10" s="13"/>
      <c r="V10" s="13"/>
      <c r="W10" s="13"/>
      <c r="X10" s="13"/>
      <c r="Y10" s="4"/>
      <c r="Z10" s="12">
        <f ca="1">IFERROR(__xludf.DUMMYFUNCTION("INDEX(IMPORTRANGE(""17pNv02DXDpQT9S3w4-QeNym2QJy2BzMBqDXp-XtzJBM"", ""'GAR'!BH3:BH139""),MATCH($D10,IMPORTRANGE(""17pNv02DXDpQT9S3w4-QeNym2QJy2BzMBqDXp-XtzJBM"", ""'GAR'!D3:D139""),0))"),2722)</f>
        <v>2722</v>
      </c>
      <c r="AA10" s="12">
        <f ca="1">IFERROR(__xludf.DUMMYFUNCTION("INDEX(IMPORTRANGE(""17pNv02DXDpQT9S3w4-QeNym2QJy2BzMBqDXp-XtzJBM"", ""'GAR'!BI3:BI139""),MATCH($D10,IMPORTRANGE(""17pNv02DXDpQT9S3w4-QeNym2QJy2BzMBqDXp-XtzJBM"", ""'GAR'!D3:D139""),0))"),5147)</f>
        <v>5147</v>
      </c>
      <c r="AB10" s="12">
        <f ca="1">IFERROR(__xludf.DUMMYFUNCTION("INDEX(IMPORTRANGE(""17pNv02DXDpQT9S3w4-QeNym2QJy2BzMBqDXp-XtzJBM"", ""'GAR'!BJ3:BJ139""),MATCH($D10,IMPORTRANGE(""17pNv02DXDpQT9S3w4-QeNym2QJy2BzMBqDXp-XtzJBM"", ""'GAR'!D3:D139""),0))"),2848)</f>
        <v>2848</v>
      </c>
      <c r="AC10" s="12">
        <f ca="1">IFERROR(__xludf.DUMMYFUNCTION("INDEX(IMPORTRANGE(""17pNv02DXDpQT9S3w4-QeNym2QJy2BzMBqDXp-XtzJBM"", ""'GAR'!BK3:BK139""),MATCH($D10,IMPORTRANGE(""17pNv02DXDpQT9S3w4-QeNym2QJy2BzMBqDXp-XtzJBM"", ""'GAR'!D3:D139""),0))"),5607)</f>
        <v>5607</v>
      </c>
      <c r="AD10" s="12">
        <f ca="1">IFERROR(__xludf.DUMMYFUNCTION("INDEX(IMPORTRANGE(""17pNv02DXDpQT9S3w4-QeNym2QJy2BzMBqDXp-XtzJBM"", ""'GAR'!BL3:BL139""),MATCH($D10,IMPORTRANGE(""17pNv02DXDpQT9S3w4-QeNym2QJy2BzMBqDXp-XtzJBM"", ""'GAR'!D3:D139""),0))"),2408)</f>
        <v>2408</v>
      </c>
      <c r="AE10" s="12">
        <f ca="1">IFERROR(__xludf.DUMMYFUNCTION("INDEX(IMPORTRANGE(""17pNv02DXDpQT9S3w4-QeNym2QJy2BzMBqDXp-XtzJBM"", ""'GAR'!BM3:BM139""),MATCH($D10,IMPORTRANGE(""17pNv02DXDpQT9S3w4-QeNym2QJy2BzMBqDXp-XtzJBM"", ""'GAR'!D3:D139""),0))"),4121)</f>
        <v>4121</v>
      </c>
    </row>
    <row r="11" spans="1:31">
      <c r="A11" s="149" t="s">
        <v>52</v>
      </c>
      <c r="B11" s="149" t="s">
        <v>53</v>
      </c>
      <c r="C11" s="149" t="s">
        <v>36</v>
      </c>
      <c r="D11" s="149" t="s">
        <v>66</v>
      </c>
      <c r="E11" s="149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</v>
      </c>
      <c r="R11" s="15">
        <f t="shared" si="2"/>
        <v>0</v>
      </c>
      <c r="S11" s="15">
        <f ca="1">IFERROR(__xludf.DUMMYFUNCTION("INDEX(IMPORTRANGE(""17pNv02DXDpQT9S3w4-QeNym2QJy2BzMBqDXp-XtzJBM"", ""'GAR'!BG3:BG139""),MATCH($D11,IMPORTRANGE(""17pNv02DXDpQT9S3w4-QeNym2QJy2BzMBqDXp-XtzJBM"", ""'GAR'!D3:D139""),0))"),0)</f>
        <v>0</v>
      </c>
      <c r="T11" s="15">
        <f>0.1/5</f>
        <v>0.02</v>
      </c>
      <c r="U11" s="15">
        <f t="shared" ref="U11:W11" si="3">T11+0.02</f>
        <v>0.04</v>
      </c>
      <c r="V11" s="15">
        <f t="shared" si="3"/>
        <v>0.06</v>
      </c>
      <c r="W11" s="15">
        <f t="shared" si="3"/>
        <v>0.08</v>
      </c>
      <c r="X11" s="15">
        <f>((Y11-W11)/6)*5+W11</f>
        <v>9.6666666666666679E-2</v>
      </c>
      <c r="Y11" s="14">
        <v>0.1</v>
      </c>
      <c r="Z11" s="15">
        <f ca="1">IFERROR(__xludf.DUMMYFUNCTION("INDEX(IMPORTRANGE(""17pNv02DXDpQT9S3w4-QeNym2QJy2BzMBqDXp-XtzJBM"", ""'GAR'!BH3:BH139""),MATCH($D11,IMPORTRANGE(""17pNv02DXDpQT9S3w4-QeNym2QJy2BzMBqDXp-XtzJBM"", ""'GAR'!D3:D139""),0))"),0)</f>
        <v>0</v>
      </c>
      <c r="AA11" s="15">
        <f ca="1">IFERROR(__xludf.DUMMYFUNCTION("INDEX(IMPORTRANGE(""17pNv02DXDpQT9S3w4-QeNym2QJy2BzMBqDXp-XtzJBM"", ""'GAR'!BI3:BI139""),MATCH($D11,IMPORTRANGE(""17pNv02DXDpQT9S3w4-QeNym2QJy2BzMBqDXp-XtzJBM"", ""'GAR'!D3:D139""),0))"),0.0724693996502817)</f>
        <v>7.2469399650281693E-2</v>
      </c>
      <c r="AB11" s="15">
        <f ca="1">IFERROR(__xludf.DUMMYFUNCTION("INDEX(IMPORTRANGE(""17pNv02DXDpQT9S3w4-QeNym2QJy2BzMBqDXp-XtzJBM"", ""'GAR'!BJ3:BJ139""),MATCH($D11,IMPORTRANGE(""17pNv02DXDpQT9S3w4-QeNym2QJy2BzMBqDXp-XtzJBM"", ""'GAR'!D3:D139""),0))"),0.00667134831460674)</f>
        <v>6.6713483146067397E-3</v>
      </c>
      <c r="AC11" s="15">
        <f ca="1">IFERROR(__xludf.DUMMYFUNCTION("INDEX(IMPORTRANGE(""17pNv02DXDpQT9S3w4-QeNym2QJy2BzMBqDXp-XtzJBM"", ""'GAR'!BK3:BK139""),MATCH($D11,IMPORTRANGE(""17pNv02DXDpQT9S3w4-QeNym2QJy2BzMBqDXp-XtzJBM"", ""'GAR'!D3:D139""),0))"),0.0288924558587479)</f>
        <v>2.88924558587479E-2</v>
      </c>
      <c r="AD11" s="15">
        <f ca="1">IFERROR(__xludf.DUMMYFUNCTION("INDEX(IMPORTRANGE(""17pNv02DXDpQT9S3w4-QeNym2QJy2BzMBqDXp-XtzJBM"", ""'GAR'!BL3:BL139""),MATCH($D11,IMPORTRANGE(""17pNv02DXDpQT9S3w4-QeNym2QJy2BzMBqDXp-XtzJBM"", ""'GAR'!D3:D139""),0))"),0.110465116279069)</f>
        <v>0.11046511627906901</v>
      </c>
      <c r="AE11" s="15">
        <f ca="1">IFERROR(__xludf.DUMMYFUNCTION("INDEX(IMPORTRANGE(""17pNv02DXDpQT9S3w4-QeNym2QJy2BzMBqDXp-XtzJBM"", ""'GAR'!BM3:BM139""),MATCH($D11,IMPORTRANGE(""17pNv02DXDpQT9S3w4-QeNym2QJy2BzMBqDXp-XtzJBM"", ""'GAR'!D3:D139""),0))"),0.067944673622907)</f>
        <v>6.7944673622907001E-2</v>
      </c>
    </row>
    <row r="12" spans="1:31">
      <c r="A12" s="149" t="s">
        <v>52</v>
      </c>
      <c r="B12" s="149" t="s">
        <v>68</v>
      </c>
      <c r="C12" s="149" t="s">
        <v>30</v>
      </c>
      <c r="D12" s="149" t="s">
        <v>69</v>
      </c>
      <c r="E12" s="149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30</v>
      </c>
      <c r="R12" s="12">
        <v>58</v>
      </c>
      <c r="S12" s="12">
        <f ca="1">IFERROR(__xludf.DUMMYFUNCTION("INDEX(IMPORTRANGE(""17pNv02DXDpQT9S3w4-QeNym2QJy2BzMBqDXp-XtzJBM"", ""'GAR'!BG3:BG139""),MATCH($D12,IMPORTRANGE(""17pNv02DXDpQT9S3w4-QeNym2QJy2BzMBqDXp-XtzJBM"", ""'GAR'!D3:D139""),0))"),52)</f>
        <v>52</v>
      </c>
      <c r="T12" s="13"/>
      <c r="U12" s="13"/>
      <c r="V12" s="13"/>
      <c r="W12" s="13"/>
      <c r="X12" s="13"/>
      <c r="Y12" s="4"/>
      <c r="Z12" s="12">
        <f ca="1">IFERROR(__xludf.DUMMYFUNCTION("INDEX(IMPORTRANGE(""17pNv02DXDpQT9S3w4-QeNym2QJy2BzMBqDXp-XtzJBM"", ""'GAR'!BH3:BH139""),MATCH($D12,IMPORTRANGE(""17pNv02DXDpQT9S3w4-QeNym2QJy2BzMBqDXp-XtzJBM"", ""'GAR'!D3:D139""),0))"),40)</f>
        <v>40</v>
      </c>
      <c r="AA12" s="2">
        <f ca="1">IFERROR(__xludf.DUMMYFUNCTION("INDEX(IMPORTRANGE(""17pNv02DXDpQT9S3w4-QeNym2QJy2BzMBqDXp-XtzJBM"", ""'GAR'!BI3:BI139""),MATCH($D12,IMPORTRANGE(""17pNv02DXDpQT9S3w4-QeNym2QJy2BzMBqDXp-XtzJBM"", ""'GAR'!D3:D139""),0))"),89)</f>
        <v>89</v>
      </c>
      <c r="AB12" s="12">
        <f ca="1">IFERROR(__xludf.DUMMYFUNCTION("INDEX(IMPORTRANGE(""17pNv02DXDpQT9S3w4-QeNym2QJy2BzMBqDXp-XtzJBM"", ""'GAR'!BJ3:BJ139""),MATCH($D12,IMPORTRANGE(""17pNv02DXDpQT9S3w4-QeNym2QJy2BzMBqDXp-XtzJBM"", ""'GAR'!D3:D139""),0))"),48)</f>
        <v>48</v>
      </c>
      <c r="AC12" s="2">
        <f ca="1">IFERROR(__xludf.DUMMYFUNCTION("INDEX(IMPORTRANGE(""17pNv02DXDpQT9S3w4-QeNym2QJy2BzMBqDXp-XtzJBM"", ""'GAR'!BK3:BK139""),MATCH($D12,IMPORTRANGE(""17pNv02DXDpQT9S3w4-QeNym2QJy2BzMBqDXp-XtzJBM"", ""'GAR'!D3:D139""),0))"),96)</f>
        <v>96</v>
      </c>
      <c r="AD12" s="12">
        <f ca="1">IFERROR(__xludf.DUMMYFUNCTION("INDEX(IMPORTRANGE(""17pNv02DXDpQT9S3w4-QeNym2QJy2BzMBqDXp-XtzJBM"", ""'GAR'!BL3:BL139""),MATCH($D12,IMPORTRANGE(""17pNv02DXDpQT9S3w4-QeNym2QJy2BzMBqDXp-XtzJBM"", ""'GAR'!D3:D139""),0))"),75)</f>
        <v>75</v>
      </c>
      <c r="AE12" s="2">
        <f ca="1">IFERROR(__xludf.DUMMYFUNCTION("INDEX(IMPORTRANGE(""17pNv02DXDpQT9S3w4-QeNym2QJy2BzMBqDXp-XtzJBM"", ""'GAR'!BM3:BM139""),MATCH($D12,IMPORTRANGE(""17pNv02DXDpQT9S3w4-QeNym2QJy2BzMBqDXp-XtzJBM"", ""'GAR'!D3:D139""),0))"),175)</f>
        <v>175</v>
      </c>
    </row>
    <row r="13" spans="1:31">
      <c r="A13" s="149" t="s">
        <v>52</v>
      </c>
      <c r="B13" s="149" t="s">
        <v>68</v>
      </c>
      <c r="C13" s="149" t="s">
        <v>36</v>
      </c>
      <c r="D13" s="149" t="s">
        <v>72</v>
      </c>
      <c r="E13" s="149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4">(Q12/Q$2)*100000</f>
        <v>9.6945255014493323</v>
      </c>
      <c r="R13" s="23">
        <f t="shared" si="4"/>
        <v>18.742749302802043</v>
      </c>
      <c r="S13" s="23">
        <f ca="1">IFERROR(__xludf.DUMMYFUNCTION("INDEX(IMPORTRANGE(""17pNv02DXDpQT9S3w4-QeNym2QJy2BzMBqDXp-XtzJBM"", ""'GAR'!BG3:BG139""),MATCH($D13,IMPORTRANGE(""17pNv02DXDpQT9S3w4-QeNym2QJy2BzMBqDXp-XtzJBM"", ""'GAR'!D3:D139""),0))"),16.8038442025121)</f>
        <v>16.803844202512099</v>
      </c>
      <c r="T13" s="2">
        <v>18.43</v>
      </c>
      <c r="U13" s="2">
        <v>9.4499999999999993</v>
      </c>
      <c r="V13" s="2">
        <v>18.12</v>
      </c>
      <c r="W13" s="2">
        <v>9.2100000000000009</v>
      </c>
      <c r="X13" s="24">
        <f ca="1">+S13*(1+(Y13-R13)/R13)</f>
        <v>15.967586206896478</v>
      </c>
      <c r="Y13" s="2">
        <v>17.809999999999999</v>
      </c>
      <c r="Z13" s="23">
        <f ca="1">IFERROR(__xludf.DUMMYFUNCTION("INDEX(IMPORTRANGE(""17pNv02DXDpQT9S3w4-QeNym2QJy2BzMBqDXp-XtzJBM"", ""'GAR'!BH3:BH139""),MATCH($D13,IMPORTRANGE(""17pNv02DXDpQT9S3w4-QeNym2QJy2BzMBqDXp-XtzJBM"", ""'GAR'!D3:D139""),0))"),12.6221986607847)</f>
        <v>12.622198660784701</v>
      </c>
      <c r="AA13" s="23">
        <f ca="1">IFERROR(__xludf.DUMMYFUNCTION("INDEX(IMPORTRANGE(""17pNv02DXDpQT9S3w4-QeNym2QJy2BzMBqDXp-XtzJBM"", ""'GAR'!BI3:BI139""),MATCH($D13,IMPORTRANGE(""17pNv02DXDpQT9S3w4-QeNym2QJy2BzMBqDXp-XtzJBM"", ""'GAR'!D3:D139""),0))"),28.084392020246)</f>
        <v>28.084392020246</v>
      </c>
      <c r="AB13" s="23">
        <f ca="1">IFERROR(__xludf.DUMMYFUNCTION("INDEX(IMPORTRANGE(""17pNv02DXDpQT9S3w4-QeNym2QJy2BzMBqDXp-XtzJBM"", ""'GAR'!BJ3:BJ139""),MATCH($D13,IMPORTRANGE(""17pNv02DXDpQT9S3w4-QeNym2QJy2BzMBqDXp-XtzJBM"", ""'GAR'!D3:D139""),0))"),14.8621075087701)</f>
        <v>14.8621075087701</v>
      </c>
      <c r="AC13" s="23">
        <f ca="1">IFERROR(__xludf.DUMMYFUNCTION("INDEX(IMPORTRANGE(""17pNv02DXDpQT9S3w4-QeNym2QJy2BzMBqDXp-XtzJBM"", ""'GAR'!BK3:BK139""),MATCH($D13,IMPORTRANGE(""17pNv02DXDpQT9S3w4-QeNym2QJy2BzMBqDXp-XtzJBM"", ""'GAR'!D3:D139""),0))"),29.7242150175403)</f>
        <v>29.724215017540299</v>
      </c>
      <c r="AD13" s="23">
        <f ca="1">IFERROR(__xludf.DUMMYFUNCTION("INDEX(IMPORTRANGE(""17pNv02DXDpQT9S3w4-QeNym2QJy2BzMBqDXp-XtzJBM"", ""'GAR'!BL3:BL139""),MATCH($D13,IMPORTRANGE(""17pNv02DXDpQT9S3w4-QeNym2QJy2BzMBqDXp-XtzJBM"", ""'GAR'!D3:D139""),0))"),22.8983861217461)</f>
        <v>22.8983861217461</v>
      </c>
      <c r="AE13" s="23">
        <f ca="1">IFERROR(__xludf.DUMMYFUNCTION("INDEX(IMPORTRANGE(""17pNv02DXDpQT9S3w4-QeNym2QJy2BzMBqDXp-XtzJBM"", ""'GAR'!BM3:BM139""),MATCH($D13,IMPORTRANGE(""17pNv02DXDpQT9S3w4-QeNym2QJy2BzMBqDXp-XtzJBM"", ""'GAR'!D3:D139""),0))"),53.4295676174076)</f>
        <v>53.429567617407599</v>
      </c>
    </row>
    <row r="14" spans="1:31">
      <c r="A14" s="149" t="s">
        <v>52</v>
      </c>
      <c r="B14" s="149" t="s">
        <v>68</v>
      </c>
      <c r="C14" s="149" t="s">
        <v>30</v>
      </c>
      <c r="D14" s="149" t="s">
        <v>75</v>
      </c>
      <c r="E14" s="149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498</v>
      </c>
      <c r="R14" s="12">
        <v>1059</v>
      </c>
      <c r="S14" s="12">
        <f ca="1">IFERROR(__xludf.DUMMYFUNCTION("INDEX(IMPORTRANGE(""17pNv02DXDpQT9S3w4-QeNym2QJy2BzMBqDXp-XtzJBM"", ""'GAR'!BG3:BG139""),MATCH($D14,IMPORTRANGE(""17pNv02DXDpQT9S3w4-QeNym2QJy2BzMBqDXp-XtzJBM"", ""'GAR'!D3:D139""),0))"),964)</f>
        <v>964</v>
      </c>
      <c r="T14" s="13"/>
      <c r="U14" s="13"/>
      <c r="V14" s="13"/>
      <c r="W14" s="13"/>
      <c r="X14" s="13"/>
      <c r="Y14" s="4"/>
      <c r="Z14" s="12">
        <f ca="1">IFERROR(__xludf.DUMMYFUNCTION("INDEX(IMPORTRANGE(""17pNv02DXDpQT9S3w4-QeNym2QJy2BzMBqDXp-XtzJBM"", ""'GAR'!BH3:BH139""),MATCH($D14,IMPORTRANGE(""17pNv02DXDpQT9S3w4-QeNym2QJy2BzMBqDXp-XtzJBM"", ""'GAR'!D3:D139""),0))"),631)</f>
        <v>631</v>
      </c>
      <c r="AA14" s="12">
        <f ca="1">IFERROR(__xludf.DUMMYFUNCTION("INDEX(IMPORTRANGE(""17pNv02DXDpQT9S3w4-QeNym2QJy2BzMBqDXp-XtzJBM"", ""'GAR'!BI3:BI139""),MATCH($D14,IMPORTRANGE(""17pNv02DXDpQT9S3w4-QeNym2QJy2BzMBqDXp-XtzJBM"", ""'GAR'!D3:D139""),0))"),1187)</f>
        <v>1187</v>
      </c>
      <c r="AB14" s="12">
        <f ca="1">IFERROR(__xludf.DUMMYFUNCTION("INDEX(IMPORTRANGE(""17pNv02DXDpQT9S3w4-QeNym2QJy2BzMBqDXp-XtzJBM"", ""'GAR'!BJ3:BJ139""),MATCH($D14,IMPORTRANGE(""17pNv02DXDpQT9S3w4-QeNym2QJy2BzMBqDXp-XtzJBM"", ""'GAR'!D3:D139""),0))"),467)</f>
        <v>467</v>
      </c>
      <c r="AC14" s="12">
        <f ca="1">IFERROR(__xludf.DUMMYFUNCTION("INDEX(IMPORTRANGE(""17pNv02DXDpQT9S3w4-QeNym2QJy2BzMBqDXp-XtzJBM"", ""'GAR'!BK3:BK139""),MATCH($D14,IMPORTRANGE(""17pNv02DXDpQT9S3w4-QeNym2QJy2BzMBqDXp-XtzJBM"", ""'GAR'!D3:D139""),0))"),968)</f>
        <v>968</v>
      </c>
      <c r="AD14" s="12">
        <f ca="1">IFERROR(__xludf.DUMMYFUNCTION("INDEX(IMPORTRANGE(""17pNv02DXDpQT9S3w4-QeNym2QJy2BzMBqDXp-XtzJBM"", ""'GAR'!BL3:BL139""),MATCH($D14,IMPORTRANGE(""17pNv02DXDpQT9S3w4-QeNym2QJy2BzMBqDXp-XtzJBM"", ""'GAR'!D3:D139""),0))"),536)</f>
        <v>536</v>
      </c>
      <c r="AE14" s="12">
        <f ca="1">IFERROR(__xludf.DUMMYFUNCTION("INDEX(IMPORTRANGE(""17pNv02DXDpQT9S3w4-QeNym2QJy2BzMBqDXp-XtzJBM"", ""'GAR'!BM3:BM139""),MATCH($D14,IMPORTRANGE(""17pNv02DXDpQT9S3w4-QeNym2QJy2BzMBqDXp-XtzJBM"", ""'GAR'!D3:D139""),0))"),907)</f>
        <v>907</v>
      </c>
    </row>
    <row r="15" spans="1:31">
      <c r="A15" s="149" t="s">
        <v>52</v>
      </c>
      <c r="B15" s="149" t="s">
        <v>68</v>
      </c>
      <c r="C15" s="149" t="s">
        <v>30</v>
      </c>
      <c r="D15" s="149" t="s">
        <v>78</v>
      </c>
      <c r="E15" s="149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246</v>
      </c>
      <c r="R15" s="12">
        <v>546</v>
      </c>
      <c r="S15" s="12">
        <f ca="1">IFERROR(__xludf.DUMMYFUNCTION("INDEX(IMPORTRANGE(""17pNv02DXDpQT9S3w4-QeNym2QJy2BzMBqDXp-XtzJBM"", ""'GAR'!BG3:BG139""),MATCH($D15,IMPORTRANGE(""17pNv02DXDpQT9S3w4-QeNym2QJy2BzMBqDXp-XtzJBM"", ""'GAR'!D3:D139""),0))"),501)</f>
        <v>501</v>
      </c>
      <c r="T15" s="13"/>
      <c r="U15" s="13"/>
      <c r="V15" s="13"/>
      <c r="W15" s="13"/>
      <c r="X15" s="13"/>
      <c r="Y15" s="4"/>
      <c r="Z15" s="12">
        <f ca="1">IFERROR(__xludf.DUMMYFUNCTION("INDEX(IMPORTRANGE(""17pNv02DXDpQT9S3w4-QeNym2QJy2BzMBqDXp-XtzJBM"", ""'GAR'!BH3:BH139""),MATCH($D15,IMPORTRANGE(""17pNv02DXDpQT9S3w4-QeNym2QJy2BzMBqDXp-XtzJBM"", ""'GAR'!D3:D139""),0))"),488)</f>
        <v>488</v>
      </c>
      <c r="AA15" s="12">
        <f ca="1">IFERROR(__xludf.DUMMYFUNCTION("INDEX(IMPORTRANGE(""17pNv02DXDpQT9S3w4-QeNym2QJy2BzMBqDXp-XtzJBM"", ""'GAR'!BI3:BI139""),MATCH($D15,IMPORTRANGE(""17pNv02DXDpQT9S3w4-QeNym2QJy2BzMBqDXp-XtzJBM"", ""'GAR'!D3:D139""),0))"),774)</f>
        <v>774</v>
      </c>
      <c r="AB15" s="12">
        <f ca="1">IFERROR(__xludf.DUMMYFUNCTION("INDEX(IMPORTRANGE(""17pNv02DXDpQT9S3w4-QeNym2QJy2BzMBqDXp-XtzJBM"", ""'GAR'!BJ3:BJ139""),MATCH($D15,IMPORTRANGE(""17pNv02DXDpQT9S3w4-QeNym2QJy2BzMBqDXp-XtzJBM"", ""'GAR'!D3:D139""),0))"),399)</f>
        <v>399</v>
      </c>
      <c r="AC15" s="12">
        <f ca="1">IFERROR(__xludf.DUMMYFUNCTION("INDEX(IMPORTRANGE(""17pNv02DXDpQT9S3w4-QeNym2QJy2BzMBqDXp-XtzJBM"", ""'GAR'!BK3:BK139""),MATCH($D15,IMPORTRANGE(""17pNv02DXDpQT9S3w4-QeNym2QJy2BzMBqDXp-XtzJBM"", ""'GAR'!D3:D139""),0))"),801)</f>
        <v>801</v>
      </c>
      <c r="AD15" s="12">
        <f ca="1">IFERROR(__xludf.DUMMYFUNCTION("INDEX(IMPORTRANGE(""17pNv02DXDpQT9S3w4-QeNym2QJy2BzMBqDXp-XtzJBM"", ""'GAR'!BL3:BL139""),MATCH($D15,IMPORTRANGE(""17pNv02DXDpQT9S3w4-QeNym2QJy2BzMBqDXp-XtzJBM"", ""'GAR'!D3:D139""),0))"),623)</f>
        <v>623</v>
      </c>
      <c r="AE15" s="12">
        <f ca="1">IFERROR(__xludf.DUMMYFUNCTION("INDEX(IMPORTRANGE(""17pNv02DXDpQT9S3w4-QeNym2QJy2BzMBqDXp-XtzJBM"", ""'GAR'!BM3:BM139""),MATCH($D15,IMPORTRANGE(""17pNv02DXDpQT9S3w4-QeNym2QJy2BzMBqDXp-XtzJBM"", ""'GAR'!D3:D139""),0))"),1029)</f>
        <v>1029</v>
      </c>
    </row>
    <row r="16" spans="1:31">
      <c r="A16" s="149" t="s">
        <v>52</v>
      </c>
      <c r="B16" s="149" t="s">
        <v>68</v>
      </c>
      <c r="C16" s="149" t="s">
        <v>30</v>
      </c>
      <c r="D16" s="149" t="s">
        <v>80</v>
      </c>
      <c r="E16" s="149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132</v>
      </c>
      <c r="R16" s="12">
        <v>282</v>
      </c>
      <c r="S16" s="12">
        <f ca="1">IFERROR(__xludf.DUMMYFUNCTION("INDEX(IMPORTRANGE(""17pNv02DXDpQT9S3w4-QeNym2QJy2BzMBqDXp-XtzJBM"", ""'GAR'!BG3:BG139""),MATCH($D16,IMPORTRANGE(""17pNv02DXDpQT9S3w4-QeNym2QJy2BzMBqDXp-XtzJBM"", ""'GAR'!D3:D139""),0))"),255)</f>
        <v>255</v>
      </c>
      <c r="T16" s="13"/>
      <c r="U16" s="13"/>
      <c r="V16" s="13"/>
      <c r="W16" s="13"/>
      <c r="X16" s="13"/>
      <c r="Y16" s="4"/>
      <c r="Z16" s="12">
        <f ca="1">IFERROR(__xludf.DUMMYFUNCTION("INDEX(IMPORTRANGE(""17pNv02DXDpQT9S3w4-QeNym2QJy2BzMBqDXp-XtzJBM"", ""'GAR'!BH3:BH139""),MATCH($D16,IMPORTRANGE(""17pNv02DXDpQT9S3w4-QeNym2QJy2BzMBqDXp-XtzJBM"", ""'GAR'!D3:D139""),0))"),155)</f>
        <v>155</v>
      </c>
      <c r="AA16" s="12">
        <f ca="1">IFERROR(__xludf.DUMMYFUNCTION("INDEX(IMPORTRANGE(""17pNv02DXDpQT9S3w4-QeNym2QJy2BzMBqDXp-XtzJBM"", ""'GAR'!BI3:BI139""),MATCH($D16,IMPORTRANGE(""17pNv02DXDpQT9S3w4-QeNym2QJy2BzMBqDXp-XtzJBM"", ""'GAR'!D3:D139""),0))"),359)</f>
        <v>359</v>
      </c>
      <c r="AB16" s="12">
        <f ca="1">IFERROR(__xludf.DUMMYFUNCTION("INDEX(IMPORTRANGE(""17pNv02DXDpQT9S3w4-QeNym2QJy2BzMBqDXp-XtzJBM"", ""'GAR'!BJ3:BJ139""),MATCH($D16,IMPORTRANGE(""17pNv02DXDpQT9S3w4-QeNym2QJy2BzMBqDXp-XtzJBM"", ""'GAR'!D3:D139""),0))"),135)</f>
        <v>135</v>
      </c>
      <c r="AC16" s="12">
        <f ca="1">IFERROR(__xludf.DUMMYFUNCTION("INDEX(IMPORTRANGE(""17pNv02DXDpQT9S3w4-QeNym2QJy2BzMBqDXp-XtzJBM"", ""'GAR'!BK3:BK139""),MATCH($D16,IMPORTRANGE(""17pNv02DXDpQT9S3w4-QeNym2QJy2BzMBqDXp-XtzJBM"", ""'GAR'!D3:D139""),0))"),383)</f>
        <v>383</v>
      </c>
      <c r="AD16" s="12">
        <f ca="1">IFERROR(__xludf.DUMMYFUNCTION("INDEX(IMPORTRANGE(""17pNv02DXDpQT9S3w4-QeNym2QJy2BzMBqDXp-XtzJBM"", ""'GAR'!BL3:BL139""),MATCH($D16,IMPORTRANGE(""17pNv02DXDpQT9S3w4-QeNym2QJy2BzMBqDXp-XtzJBM"", ""'GAR'!D3:D139""),0))"),259)</f>
        <v>259</v>
      </c>
      <c r="AE16" s="12">
        <f ca="1">IFERROR(__xludf.DUMMYFUNCTION("INDEX(IMPORTRANGE(""17pNv02DXDpQT9S3w4-QeNym2QJy2BzMBqDXp-XtzJBM"", ""'GAR'!BM3:BM139""),MATCH($D16,IMPORTRANGE(""17pNv02DXDpQT9S3w4-QeNym2QJy2BzMBqDXp-XtzJBM"", ""'GAR'!D3:D139""),0))"),418)</f>
        <v>418</v>
      </c>
    </row>
    <row r="17" spans="1:31">
      <c r="A17" s="149" t="s">
        <v>52</v>
      </c>
      <c r="B17" s="149" t="s">
        <v>68</v>
      </c>
      <c r="C17" s="149" t="s">
        <v>30</v>
      </c>
      <c r="D17" s="149" t="s">
        <v>82</v>
      </c>
      <c r="E17" s="149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115</v>
      </c>
      <c r="R17" s="12">
        <v>209</v>
      </c>
      <c r="S17" s="12">
        <f ca="1">IFERROR(__xludf.DUMMYFUNCTION("INDEX(IMPORTRANGE(""17pNv02DXDpQT9S3w4-QeNym2QJy2BzMBqDXp-XtzJBM"", ""'GAR'!BG3:BG139""),MATCH($D17,IMPORTRANGE(""17pNv02DXDpQT9S3w4-QeNym2QJy2BzMBqDXp-XtzJBM"", ""'GAR'!D3:D139""),0))"),192)</f>
        <v>192</v>
      </c>
      <c r="T17" s="13"/>
      <c r="U17" s="13"/>
      <c r="V17" s="13"/>
      <c r="W17" s="13"/>
      <c r="X17" s="13"/>
      <c r="Y17" s="4"/>
      <c r="Z17" s="12">
        <f ca="1">IFERROR(__xludf.DUMMYFUNCTION("INDEX(IMPORTRANGE(""17pNv02DXDpQT9S3w4-QeNym2QJy2BzMBqDXp-XtzJBM"", ""'GAR'!BH3:BH139""),MATCH($D17,IMPORTRANGE(""17pNv02DXDpQT9S3w4-QeNym2QJy2BzMBqDXp-XtzJBM"", ""'GAR'!D3:D139""),0))"),92)</f>
        <v>92</v>
      </c>
      <c r="AA17" s="12">
        <f ca="1">IFERROR(__xludf.DUMMYFUNCTION("INDEX(IMPORTRANGE(""17pNv02DXDpQT9S3w4-QeNym2QJy2BzMBqDXp-XtzJBM"", ""'GAR'!BI3:BI139""),MATCH($D17,IMPORTRANGE(""17pNv02DXDpQT9S3w4-QeNym2QJy2BzMBqDXp-XtzJBM"", ""'GAR'!D3:D139""),0))"),197)</f>
        <v>197</v>
      </c>
      <c r="AB17" s="12">
        <f ca="1">IFERROR(__xludf.DUMMYFUNCTION("INDEX(IMPORTRANGE(""17pNv02DXDpQT9S3w4-QeNym2QJy2BzMBqDXp-XtzJBM"", ""'GAR'!BJ3:BJ139""),MATCH($D17,IMPORTRANGE(""17pNv02DXDpQT9S3w4-QeNym2QJy2BzMBqDXp-XtzJBM"", ""'GAR'!D3:D139""),0))"),103)</f>
        <v>103</v>
      </c>
      <c r="AC17" s="12">
        <f ca="1">IFERROR(__xludf.DUMMYFUNCTION("INDEX(IMPORTRANGE(""17pNv02DXDpQT9S3w4-QeNym2QJy2BzMBqDXp-XtzJBM"", ""'GAR'!BK3:BK139""),MATCH($D17,IMPORTRANGE(""17pNv02DXDpQT9S3w4-QeNym2QJy2BzMBqDXp-XtzJBM"", ""'GAR'!D3:D139""),0))"),249)</f>
        <v>249</v>
      </c>
      <c r="AD17" s="12">
        <f ca="1">IFERROR(__xludf.DUMMYFUNCTION("INDEX(IMPORTRANGE(""17pNv02DXDpQT9S3w4-QeNym2QJy2BzMBqDXp-XtzJBM"", ""'GAR'!BL3:BL139""),MATCH($D17,IMPORTRANGE(""17pNv02DXDpQT9S3w4-QeNym2QJy2BzMBqDXp-XtzJBM"", ""'GAR'!D3:D139""),0))"),105)</f>
        <v>105</v>
      </c>
      <c r="AE17" s="12">
        <f ca="1">IFERROR(__xludf.DUMMYFUNCTION("INDEX(IMPORTRANGE(""17pNv02DXDpQT9S3w4-QeNym2QJy2BzMBqDXp-XtzJBM"", ""'GAR'!BM3:BM139""),MATCH($D17,IMPORTRANGE(""17pNv02DXDpQT9S3w4-QeNym2QJy2BzMBqDXp-XtzJBM"", ""'GAR'!D3:D139""),0))"),185)</f>
        <v>185</v>
      </c>
    </row>
    <row r="18" spans="1:31">
      <c r="A18" s="16" t="s">
        <v>52</v>
      </c>
      <c r="B18" s="16" t="s">
        <v>68</v>
      </c>
      <c r="C18" s="8" t="s">
        <v>30</v>
      </c>
      <c r="D18" s="16" t="s">
        <v>342</v>
      </c>
      <c r="E18" s="151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9" t="s">
        <v>363</v>
      </c>
      <c r="P18" s="21" t="s">
        <v>349</v>
      </c>
      <c r="Q18" s="262">
        <f t="shared" ref="Q18:R18" si="5">SUM(Q14:Q17)</f>
        <v>991</v>
      </c>
      <c r="R18" s="262">
        <f t="shared" si="5"/>
        <v>2096</v>
      </c>
      <c r="S18" s="262">
        <f ca="1">IFERROR(__xludf.DUMMYFUNCTION("INDEX(IMPORTRANGE(""17pNv02DXDpQT9S3w4-QeNym2QJy2BzMBqDXp-XtzJBM"", ""'GAR'!BG3:BG139""),MATCH($D18,IMPORTRANGE(""17pNv02DXDpQT9S3w4-QeNym2QJy2BzMBqDXp-XtzJBM"", ""'GAR'!D3:D139""),0))"),1912)</f>
        <v>1912</v>
      </c>
      <c r="T18" s="43"/>
      <c r="U18" s="43"/>
      <c r="V18" s="43"/>
      <c r="W18" s="43"/>
      <c r="X18" s="43"/>
      <c r="Y18" s="43"/>
      <c r="Z18" s="12">
        <f ca="1">IFERROR(__xludf.DUMMYFUNCTION("INDEX(IMPORTRANGE(""17pNv02DXDpQT9S3w4-QeNym2QJy2BzMBqDXp-XtzJBM"", ""'GAR'!BH3:BH139""),MATCH($D18,IMPORTRANGE(""17pNv02DXDpQT9S3w4-QeNym2QJy2BzMBqDXp-XtzJBM"", ""'GAR'!D3:D139""),0))"),1366)</f>
        <v>1366</v>
      </c>
      <c r="AA18" s="12">
        <f ca="1">IFERROR(__xludf.DUMMYFUNCTION("INDEX(IMPORTRANGE(""17pNv02DXDpQT9S3w4-QeNym2QJy2BzMBqDXp-XtzJBM"", ""'GAR'!BI3:BI139""),MATCH($D18,IMPORTRANGE(""17pNv02DXDpQT9S3w4-QeNym2QJy2BzMBqDXp-XtzJBM"", ""'GAR'!D3:D139""),0))"),2517)</f>
        <v>2517</v>
      </c>
      <c r="AB18" s="12">
        <f ca="1">IFERROR(__xludf.DUMMYFUNCTION("INDEX(IMPORTRANGE(""17pNv02DXDpQT9S3w4-QeNym2QJy2BzMBqDXp-XtzJBM"", ""'GAR'!BJ3:BJ139""),MATCH($D18,IMPORTRANGE(""17pNv02DXDpQT9S3w4-QeNym2QJy2BzMBqDXp-XtzJBM"", ""'GAR'!D3:D139""),0))"),1104)</f>
        <v>1104</v>
      </c>
      <c r="AC18" s="12">
        <f ca="1">IFERROR(__xludf.DUMMYFUNCTION("INDEX(IMPORTRANGE(""17pNv02DXDpQT9S3w4-QeNym2QJy2BzMBqDXp-XtzJBM"", ""'GAR'!BK3:BK139""),MATCH($D18,IMPORTRANGE(""17pNv02DXDpQT9S3w4-QeNym2QJy2BzMBqDXp-XtzJBM"", ""'GAR'!D3:D139""),0))"),2401)</f>
        <v>2401</v>
      </c>
      <c r="AD18" s="12">
        <f ca="1">IFERROR(__xludf.DUMMYFUNCTION("INDEX(IMPORTRANGE(""17pNv02DXDpQT9S3w4-QeNym2QJy2BzMBqDXp-XtzJBM"", ""'GAR'!BL3:BL139""),MATCH($D18,IMPORTRANGE(""17pNv02DXDpQT9S3w4-QeNym2QJy2BzMBqDXp-XtzJBM"", ""'GAR'!D3:D139""),0))"),1523)</f>
        <v>1523</v>
      </c>
      <c r="AE18" s="12">
        <f ca="1">IFERROR(__xludf.DUMMYFUNCTION("INDEX(IMPORTRANGE(""17pNv02DXDpQT9S3w4-QeNym2QJy2BzMBqDXp-XtzJBM"", ""'GAR'!BM3:BM139""),MATCH($D18,IMPORTRANGE(""17pNv02DXDpQT9S3w4-QeNym2QJy2BzMBqDXp-XtzJBM"", ""'GAR'!D3:D139""),0))"),2539)</f>
        <v>2539</v>
      </c>
    </row>
    <row r="19" spans="1:31">
      <c r="A19" s="149" t="s">
        <v>52</v>
      </c>
      <c r="B19" s="149" t="s">
        <v>68</v>
      </c>
      <c r="C19" s="149" t="s">
        <v>36</v>
      </c>
      <c r="D19" s="149" t="s">
        <v>84</v>
      </c>
      <c r="E19" s="149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6">(SUM(Q14:Q17)/Q2)*100000</f>
        <v>320.24249239787628</v>
      </c>
      <c r="R19" s="23">
        <f t="shared" si="6"/>
        <v>677.32418170125993</v>
      </c>
      <c r="S19" s="23">
        <f ca="1">IFERROR(__xludf.DUMMYFUNCTION("INDEX(IMPORTRANGE(""17pNv02DXDpQT9S3w4-QeNym2QJy2BzMBqDXp-XtzJBM"", ""'GAR'!BG3:BG139""),MATCH($D19,IMPORTRANGE(""17pNv02DXDpQT9S3w4-QeNym2QJy2BzMBqDXp-XtzJBM"", ""'GAR'!D3:D139""),0))"),617.86442529237)</f>
        <v>617.86442529237002</v>
      </c>
      <c r="T19" s="2">
        <v>654.70000000000005</v>
      </c>
      <c r="U19" s="2">
        <v>309.60000000000002</v>
      </c>
      <c r="V19" s="2">
        <v>632.20000000000005</v>
      </c>
      <c r="W19" s="2">
        <v>298.89999999999998</v>
      </c>
      <c r="X19" s="24">
        <f ca="1">+S19*(1+(Y19-R19)/R19)</f>
        <v>556.08549618320546</v>
      </c>
      <c r="Y19" s="2">
        <v>609.6</v>
      </c>
      <c r="Z19" s="23">
        <f ca="1">IFERROR(__xludf.DUMMYFUNCTION("INDEX(IMPORTRANGE(""17pNv02DXDpQT9S3w4-QeNym2QJy2BzMBqDXp-XtzJBM"", ""'GAR'!BH3:BH139""),MATCH($D19,IMPORTRANGE(""17pNv02DXDpQT9S3w4-QeNym2QJy2BzMBqDXp-XtzJBM"", ""'GAR'!D3:D139""),0))"),431.048084265798)</f>
        <v>431.04808426579802</v>
      </c>
      <c r="AA19" s="23">
        <f ca="1">IFERROR(__xludf.DUMMYFUNCTION("INDEX(IMPORTRANGE(""17pNv02DXDpQT9S3w4-QeNym2QJy2BzMBqDXp-XtzJBM"", ""'GAR'!BI3:BI139""),MATCH($D19,IMPORTRANGE(""17pNv02DXDpQT9S3w4-QeNym2QJy2BzMBqDXp-XtzJBM"", ""'GAR'!D3:D139""),0))"),794.251850729878)</f>
        <v>794.25185072987802</v>
      </c>
      <c r="AB19" s="23">
        <f ca="1">IFERROR(__xludf.DUMMYFUNCTION("INDEX(IMPORTRANGE(""17pNv02DXDpQT9S3w4-QeNym2QJy2BzMBqDXp-XtzJBM"", ""'GAR'!BJ3:BJ139""),MATCH($D19,IMPORTRANGE(""17pNv02DXDpQT9S3w4-QeNym2QJy2BzMBqDXp-XtzJBM"", ""'GAR'!D3:D139""),0))"),341.828472701714)</f>
        <v>341.82847270171402</v>
      </c>
      <c r="AC19" s="23">
        <f ca="1">IFERROR(__xludf.DUMMYFUNCTION("INDEX(IMPORTRANGE(""17pNv02DXDpQT9S3w4-QeNym2QJy2BzMBqDXp-XtzJBM"", ""'GAR'!BK3:BK139""),MATCH($D19,IMPORTRANGE(""17pNv02DXDpQT9S3w4-QeNym2QJy2BzMBqDXp-XtzJBM"", ""'GAR'!D3:D139""),0))"),743.415002678275)</f>
        <v>743.41500267827496</v>
      </c>
      <c r="AD19" s="23">
        <f ca="1">IFERROR(__xludf.DUMMYFUNCTION("INDEX(IMPORTRANGE(""17pNv02DXDpQT9S3w4-QeNym2QJy2BzMBqDXp-XtzJBM"", ""'GAR'!BL3:BL139""),MATCH($D19,IMPORTRANGE(""17pNv02DXDpQT9S3w4-QeNym2QJy2BzMBqDXp-XtzJBM"", ""'GAR'!D3:D139""),0))"),464.989894178924)</f>
        <v>464.98989417892398</v>
      </c>
      <c r="AE19" s="23">
        <f ca="1">IFERROR(__xludf.DUMMYFUNCTION("INDEX(IMPORTRANGE(""17pNv02DXDpQT9S3w4-QeNym2QJy2BzMBqDXp-XtzJBM"", ""'GAR'!BM3:BM139""),MATCH($D19,IMPORTRANGE(""17pNv02DXDpQT9S3w4-QeNym2QJy2BzMBqDXp-XtzJBM"", ""'GAR'!D3:D139""),0))"),775.186698174846)</f>
        <v>775.18669817484601</v>
      </c>
    </row>
    <row r="20" spans="1:31">
      <c r="A20" s="149" t="s">
        <v>52</v>
      </c>
      <c r="B20" s="149" t="s">
        <v>86</v>
      </c>
      <c r="C20" s="149" t="s">
        <v>30</v>
      </c>
      <c r="D20" s="149" t="s">
        <v>87</v>
      </c>
      <c r="E20" s="149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977</v>
      </c>
      <c r="R20" s="12">
        <v>2058</v>
      </c>
      <c r="S20" s="12">
        <f ca="1">IFERROR(__xludf.DUMMYFUNCTION("INDEX(IMPORTRANGE(""17pNv02DXDpQT9S3w4-QeNym2QJy2BzMBqDXp-XtzJBM"", ""'GAR'!BG3:BG139""),MATCH($D20,IMPORTRANGE(""17pNv02DXDpQT9S3w4-QeNym2QJy2BzMBqDXp-XtzJBM"", ""'GAR'!D3:D139""),0))"),1867)</f>
        <v>1867</v>
      </c>
      <c r="T20" s="13"/>
      <c r="U20" s="13"/>
      <c r="V20" s="13"/>
      <c r="W20" s="13"/>
      <c r="X20" s="13"/>
      <c r="Y20" s="4"/>
      <c r="Z20" s="12">
        <f ca="1">IFERROR(__xludf.DUMMYFUNCTION("INDEX(IMPORTRANGE(""17pNv02DXDpQT9S3w4-QeNym2QJy2BzMBqDXp-XtzJBM"", ""'GAR'!BH3:BH139""),MATCH($D20,IMPORTRANGE(""17pNv02DXDpQT9S3w4-QeNym2QJy2BzMBqDXp-XtzJBM"", ""'GAR'!D3:D139""),0))"),1080)</f>
        <v>1080</v>
      </c>
      <c r="AA20" s="12">
        <f ca="1">IFERROR(__xludf.DUMMYFUNCTION("INDEX(IMPORTRANGE(""17pNv02DXDpQT9S3w4-QeNym2QJy2BzMBqDXp-XtzJBM"", ""'GAR'!BI3:BI139""),MATCH($D20,IMPORTRANGE(""17pNv02DXDpQT9S3w4-QeNym2QJy2BzMBqDXp-XtzJBM"", ""'GAR'!D3:D139""),0))"),2540)</f>
        <v>2540</v>
      </c>
      <c r="AB20" s="12">
        <f ca="1">IFERROR(__xludf.DUMMYFUNCTION("INDEX(IMPORTRANGE(""17pNv02DXDpQT9S3w4-QeNym2QJy2BzMBqDXp-XtzJBM"", ""'GAR'!BJ3:BJ139""),MATCH($D20,IMPORTRANGE(""17pNv02DXDpQT9S3w4-QeNym2QJy2BzMBqDXp-XtzJBM"", ""'GAR'!D3:D139""),0))"),1242)</f>
        <v>1242</v>
      </c>
      <c r="AC20" s="12">
        <f ca="1">IFERROR(__xludf.DUMMYFUNCTION("INDEX(IMPORTRANGE(""17pNv02DXDpQT9S3w4-QeNym2QJy2BzMBqDXp-XtzJBM"", ""'GAR'!BK3:BK139""),MATCH($D20,IMPORTRANGE(""17pNv02DXDpQT9S3w4-QeNym2QJy2BzMBqDXp-XtzJBM"", ""'GAR'!D3:D139""),0))"),2699)</f>
        <v>2699</v>
      </c>
      <c r="AD20" s="12">
        <f ca="1">IFERROR(__xludf.DUMMYFUNCTION("INDEX(IMPORTRANGE(""17pNv02DXDpQT9S3w4-QeNym2QJy2BzMBqDXp-XtzJBM"", ""'GAR'!BL3:BL139""),MATCH($D20,IMPORTRANGE(""17pNv02DXDpQT9S3w4-QeNym2QJy2BzMBqDXp-XtzJBM"", ""'GAR'!D3:D139""),0))"),1345)</f>
        <v>1345</v>
      </c>
      <c r="AE20" s="12">
        <f ca="1">IFERROR(__xludf.DUMMYFUNCTION("INDEX(IMPORTRANGE(""17pNv02DXDpQT9S3w4-QeNym2QJy2BzMBqDXp-XtzJBM"", ""'GAR'!BM3:BM139""),MATCH($D20,IMPORTRANGE(""17pNv02DXDpQT9S3w4-QeNym2QJy2BzMBqDXp-XtzJBM"", ""'GAR'!D3:D139""),0))"),2250)</f>
        <v>2250</v>
      </c>
    </row>
    <row r="21" spans="1:31">
      <c r="A21" s="149" t="s">
        <v>52</v>
      </c>
      <c r="B21" s="149" t="s">
        <v>86</v>
      </c>
      <c r="C21" s="149" t="s">
        <v>36</v>
      </c>
      <c r="D21" s="149" t="s">
        <v>89</v>
      </c>
      <c r="E21" s="149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7">(Q20/Q$2)*100000</f>
        <v>315.71838049719986</v>
      </c>
      <c r="R21" s="23">
        <f t="shared" si="7"/>
        <v>665.04444939942414</v>
      </c>
      <c r="S21" s="23">
        <f ca="1">IFERROR(__xludf.DUMMYFUNCTION("INDEX(IMPORTRANGE(""17pNv02DXDpQT9S3w4-QeNym2QJy2BzMBqDXp-XtzJBM"", ""'GAR'!BG3:BG139""),MATCH($D21,IMPORTRANGE(""17pNv02DXDpQT9S3w4-QeNym2QJy2BzMBqDXp-XtzJBM"", ""'GAR'!D3:D139""),0))"),603.322637040196)</f>
        <v>603.32263704019601</v>
      </c>
      <c r="T21" s="2">
        <v>654</v>
      </c>
      <c r="U21" s="2">
        <v>310.5</v>
      </c>
      <c r="V21" s="2">
        <v>642.9</v>
      </c>
      <c r="W21" s="2">
        <v>305.2</v>
      </c>
      <c r="X21" s="24">
        <f ca="1">+S21*(1+(Y21-R21)/R21)</f>
        <v>573.16355685131123</v>
      </c>
      <c r="Y21" s="2">
        <v>631.79999999999995</v>
      </c>
      <c r="Z21" s="23">
        <f ca="1">IFERROR(__xludf.DUMMYFUNCTION("INDEX(IMPORTRANGE(""17pNv02DXDpQT9S3w4-QeNym2QJy2BzMBqDXp-XtzJBM"", ""'GAR'!BH3:BH139""),MATCH($D21,IMPORTRANGE(""17pNv02DXDpQT9S3w4-QeNym2QJy2BzMBqDXp-XtzJBM"", ""'GAR'!D3:D139""),0))"),340.799363841187)</f>
        <v>340.79936384118702</v>
      </c>
      <c r="AA21" s="23">
        <f ca="1">IFERROR(__xludf.DUMMYFUNCTION("INDEX(IMPORTRANGE(""17pNv02DXDpQT9S3w4-QeNym2QJy2BzMBqDXp-XtzJBM"", ""'GAR'!BI3:BI139""),MATCH($D21,IMPORTRANGE(""17pNv02DXDpQT9S3w4-QeNym2QJy2BzMBqDXp-XtzJBM"", ""'GAR'!D3:D139""),0))"),801.509614959829)</f>
        <v>801.50961495982904</v>
      </c>
      <c r="AB21" s="23">
        <f ca="1">IFERROR(__xludf.DUMMYFUNCTION("INDEX(IMPORTRANGE(""17pNv02DXDpQT9S3w4-QeNym2QJy2BzMBqDXp-XtzJBM"", ""'GAR'!BJ3:BJ139""),MATCH($D21,IMPORTRANGE(""17pNv02DXDpQT9S3w4-QeNym2QJy2BzMBqDXp-XtzJBM"", ""'GAR'!D3:D139""),0))"),384.557031789428)</f>
        <v>384.55703178942798</v>
      </c>
      <c r="AC21" s="23">
        <f ca="1">IFERROR(__xludf.DUMMYFUNCTION("INDEX(IMPORTRANGE(""17pNv02DXDpQT9S3w4-QeNym2QJy2BzMBqDXp-XtzJBM"", ""'GAR'!BK3:BK139""),MATCH($D21,IMPORTRANGE(""17pNv02DXDpQT9S3w4-QeNym2QJy2BzMBqDXp-XtzJBM"", ""'GAR'!D3:D139""),0))"),835.683920128557)</f>
        <v>835.68392012855702</v>
      </c>
      <c r="AD21" s="23">
        <f ca="1">IFERROR(__xludf.DUMMYFUNCTION("INDEX(IMPORTRANGE(""17pNv02DXDpQT9S3w4-QeNym2QJy2BzMBqDXp-XtzJBM"", ""'GAR'!BL3:BL139""),MATCH($D21,IMPORTRANGE(""17pNv02DXDpQT9S3w4-QeNym2QJy2BzMBqDXp-XtzJBM"", ""'GAR'!D3:D139""),0))"),410.644391116647)</f>
        <v>410.644391116647</v>
      </c>
      <c r="AE21" s="23">
        <f ca="1">IFERROR(__xludf.DUMMYFUNCTION("INDEX(IMPORTRANGE(""17pNv02DXDpQT9S3w4-QeNym2QJy2BzMBqDXp-XtzJBM"", ""'GAR'!BM3:BM139""),MATCH($D21,IMPORTRANGE(""17pNv02DXDpQT9S3w4-QeNym2QJy2BzMBqDXp-XtzJBM"", ""'GAR'!D3:D139""),0))"),686.951583652384)</f>
        <v>686.95158365238399</v>
      </c>
    </row>
    <row r="22" spans="1:31">
      <c r="A22" s="149" t="s">
        <v>52</v>
      </c>
      <c r="B22" s="149" t="s">
        <v>86</v>
      </c>
      <c r="C22" s="149" t="s">
        <v>30</v>
      </c>
      <c r="D22" s="149" t="s">
        <v>91</v>
      </c>
      <c r="E22" s="149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1061</v>
      </c>
      <c r="R22" s="12">
        <v>2862</v>
      </c>
      <c r="S22" s="12">
        <f ca="1">IFERROR(__xludf.DUMMYFUNCTION("INDEX(IMPORTRANGE(""17pNv02DXDpQT9S3w4-QeNym2QJy2BzMBqDXp-XtzJBM"", ""'GAR'!BG3:BG139""),MATCH($D22,IMPORTRANGE(""17pNv02DXDpQT9S3w4-QeNym2QJy2BzMBqDXp-XtzJBM"", ""'GAR'!D3:D139""),0))"),2567)</f>
        <v>2567</v>
      </c>
      <c r="T22" s="13"/>
      <c r="U22" s="13"/>
      <c r="V22" s="13"/>
      <c r="W22" s="13"/>
      <c r="X22" s="13"/>
      <c r="Y22" s="4"/>
      <c r="Z22" s="12">
        <f ca="1">IFERROR(__xludf.DUMMYFUNCTION("INDEX(IMPORTRANGE(""17pNv02DXDpQT9S3w4-QeNym2QJy2BzMBqDXp-XtzJBM"", ""'GAR'!BH3:BH139""),MATCH($D22,IMPORTRANGE(""17pNv02DXDpQT9S3w4-QeNym2QJy2BzMBqDXp-XtzJBM"", ""'GAR'!D3:D139""),0))"),1584)</f>
        <v>1584</v>
      </c>
      <c r="AA22" s="12">
        <f ca="1">IFERROR(__xludf.DUMMYFUNCTION("INDEX(IMPORTRANGE(""17pNv02DXDpQT9S3w4-QeNym2QJy2BzMBqDXp-XtzJBM"", ""'GAR'!BI3:BI139""),MATCH($D22,IMPORTRANGE(""17pNv02DXDpQT9S3w4-QeNym2QJy2BzMBqDXp-XtzJBM"", ""'GAR'!D3:D139""),0))"),3231)</f>
        <v>3231</v>
      </c>
      <c r="AB22" s="12">
        <f ca="1">IFERROR(__xludf.DUMMYFUNCTION("INDEX(IMPORTRANGE(""17pNv02DXDpQT9S3w4-QeNym2QJy2BzMBqDXp-XtzJBM"", ""'GAR'!BJ3:BJ139""),MATCH($D22,IMPORTRANGE(""17pNv02DXDpQT9S3w4-QeNym2QJy2BzMBqDXp-XtzJBM"", ""'GAR'!D3:D139""),0))"),1317)</f>
        <v>1317</v>
      </c>
      <c r="AC22" s="12">
        <f ca="1">IFERROR(__xludf.DUMMYFUNCTION("INDEX(IMPORTRANGE(""17pNv02DXDpQT9S3w4-QeNym2QJy2BzMBqDXp-XtzJBM"", ""'GAR'!BK3:BK139""),MATCH($D22,IMPORTRANGE(""17pNv02DXDpQT9S3w4-QeNym2QJy2BzMBqDXp-XtzJBM"", ""'GAR'!D3:D139""),0))"),2820)</f>
        <v>2820</v>
      </c>
      <c r="AD22" s="12">
        <f ca="1">IFERROR(__xludf.DUMMYFUNCTION("INDEX(IMPORTRANGE(""17pNv02DXDpQT9S3w4-QeNym2QJy2BzMBqDXp-XtzJBM"", ""'GAR'!BL3:BL139""),MATCH($D22,IMPORTRANGE(""17pNv02DXDpQT9S3w4-QeNym2QJy2BzMBqDXp-XtzJBM"", ""'GAR'!D3:D139""),0))"),905)</f>
        <v>905</v>
      </c>
      <c r="AE22" s="12">
        <f ca="1">IFERROR(__xludf.DUMMYFUNCTION("INDEX(IMPORTRANGE(""17pNv02DXDpQT9S3w4-QeNym2QJy2BzMBqDXp-XtzJBM"", ""'GAR'!BM3:BM139""),MATCH($D22,IMPORTRANGE(""17pNv02DXDpQT9S3w4-QeNym2QJy2BzMBqDXp-XtzJBM"", ""'GAR'!D3:D139""),0))"),1798)</f>
        <v>1798</v>
      </c>
    </row>
    <row r="23" spans="1:31">
      <c r="A23" s="149" t="s">
        <v>52</v>
      </c>
      <c r="B23" s="149" t="s">
        <v>86</v>
      </c>
      <c r="C23" s="149" t="s">
        <v>36</v>
      </c>
      <c r="D23" s="149" t="s">
        <v>93</v>
      </c>
      <c r="E23" s="149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8">(Q22/Q$2)*100000</f>
        <v>342.86305190125802</v>
      </c>
      <c r="R23" s="23">
        <f t="shared" si="8"/>
        <v>924.8577328382662</v>
      </c>
      <c r="S23" s="23">
        <f ca="1">IFERROR(__xludf.DUMMYFUNCTION("INDEX(IMPORTRANGE(""17pNv02DXDpQT9S3w4-QeNym2QJy2BzMBqDXp-XtzJBM"", ""'GAR'!BG3:BG139""),MATCH($D23,IMPORTRANGE(""17pNv02DXDpQT9S3w4-QeNym2QJy2BzMBqDXp-XtzJBM"", ""'GAR'!D3:D139""),0))"),829.528232074014)</f>
        <v>829.528232074014</v>
      </c>
      <c r="T23" s="2">
        <v>909.4</v>
      </c>
      <c r="U23" s="2">
        <v>337.1</v>
      </c>
      <c r="V23" s="2">
        <v>894</v>
      </c>
      <c r="W23" s="2">
        <v>331.4</v>
      </c>
      <c r="X23" s="24">
        <f ca="1">+S23*(1+(Y23-R23)/R23)</f>
        <v>788.03850454227768</v>
      </c>
      <c r="Y23" s="2">
        <v>878.6</v>
      </c>
      <c r="Z23" s="23">
        <f ca="1">IFERROR(__xludf.DUMMYFUNCTION("INDEX(IMPORTRANGE(""17pNv02DXDpQT9S3w4-QeNym2QJy2BzMBqDXp-XtzJBM"", ""'GAR'!BH3:BH139""),MATCH($D23,IMPORTRANGE(""17pNv02DXDpQT9S3w4-QeNym2QJy2BzMBqDXp-XtzJBM"", ""'GAR'!D3:D139""),0))"),499.839066967074)</f>
        <v>499.83906696707402</v>
      </c>
      <c r="AA23" s="23">
        <f ca="1">IFERROR(__xludf.DUMMYFUNCTION("INDEX(IMPORTRANGE(""17pNv02DXDpQT9S3w4-QeNym2QJy2BzMBqDXp-XtzJBM"", ""'GAR'!BI3:BI139""),MATCH($D23,IMPORTRANGE(""17pNv02DXDpQT9S3w4-QeNym2QJy2BzMBqDXp-XtzJBM"", ""'GAR'!D3:D139""),0))"),1019.55809682488)</f>
        <v>1019.55809682488</v>
      </c>
      <c r="AB23" s="23">
        <f ca="1">IFERROR(__xludf.DUMMYFUNCTION("INDEX(IMPORTRANGE(""17pNv02DXDpQT9S3w4-QeNym2QJy2BzMBqDXp-XtzJBM"", ""'GAR'!BJ3:BJ139""),MATCH($D23,IMPORTRANGE(""17pNv02DXDpQT9S3w4-QeNym2QJy2BzMBqDXp-XtzJBM"", ""'GAR'!D3:D139""),0))"),407.779074771882)</f>
        <v>407.77907477188199</v>
      </c>
      <c r="AC23" s="23">
        <f ca="1">IFERROR(__xludf.DUMMYFUNCTION("INDEX(IMPORTRANGE(""17pNv02DXDpQT9S3w4-QeNym2QJy2BzMBqDXp-XtzJBM"", ""'GAR'!BK3:BK139""),MATCH($D23,IMPORTRANGE(""17pNv02DXDpQT9S3w4-QeNym2QJy2BzMBqDXp-XtzJBM"", ""'GAR'!D3:D139""),0))"),873.148816140248)</f>
        <v>873.14881614024796</v>
      </c>
      <c r="AD23" s="23">
        <f ca="1">IFERROR(__xludf.DUMMYFUNCTION("INDEX(IMPORTRANGE(""17pNv02DXDpQT9S3w4-QeNym2QJy2BzMBqDXp-XtzJBM"", ""'GAR'!BL3:BL139""),MATCH($D23,IMPORTRANGE(""17pNv02DXDpQT9S3w4-QeNym2QJy2BzMBqDXp-XtzJBM"", ""'GAR'!D3:D139""),0))"),276.307192535736)</f>
        <v>276.30719253573602</v>
      </c>
      <c r="AE23" s="23">
        <f ca="1">IFERROR(__xludf.DUMMYFUNCTION("INDEX(IMPORTRANGE(""17pNv02DXDpQT9S3w4-QeNym2QJy2BzMBqDXp-XtzJBM"", ""'GAR'!BM3:BM139""),MATCH($D23,IMPORTRANGE(""17pNv02DXDpQT9S3w4-QeNym2QJy2BzMBqDXp-XtzJBM"", ""'GAR'!D3:D139""),0))"),548.950643291994)</f>
        <v>548.95064329199397</v>
      </c>
    </row>
    <row r="24" spans="1:31">
      <c r="A24" s="149" t="s">
        <v>52</v>
      </c>
      <c r="B24" s="149" t="s">
        <v>86</v>
      </c>
      <c r="C24" s="149" t="s">
        <v>30</v>
      </c>
      <c r="D24" s="149" t="s">
        <v>95</v>
      </c>
      <c r="E24" s="149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12">
        <v>15</v>
      </c>
      <c r="R24" s="12">
        <v>30</v>
      </c>
      <c r="S24" s="12">
        <f ca="1">IFERROR(__xludf.DUMMYFUNCTION("INDEX(IMPORTRANGE(""17pNv02DXDpQT9S3w4-QeNym2QJy2BzMBqDXp-XtzJBM"", ""'GAR'!BG3:BG139""),MATCH($D24,IMPORTRANGE(""17pNv02DXDpQT9S3w4-QeNym2QJy2BzMBqDXp-XtzJBM"", ""'GAR'!D3:D139""),0))"),27)</f>
        <v>27</v>
      </c>
      <c r="T24" s="13"/>
      <c r="U24" s="13"/>
      <c r="V24" s="13"/>
      <c r="W24" s="13"/>
      <c r="X24" s="13"/>
      <c r="Y24" s="4"/>
      <c r="Z24" s="12">
        <f ca="1">IFERROR(__xludf.DUMMYFUNCTION("INDEX(IMPORTRANGE(""17pNv02DXDpQT9S3w4-QeNym2QJy2BzMBqDXp-XtzJBM"", ""'GAR'!BH3:BH139""),MATCH($D24,IMPORTRANGE(""17pNv02DXDpQT9S3w4-QeNym2QJy2BzMBqDXp-XtzJBM"", ""'GAR'!D3:D139""),0))"),23)</f>
        <v>23</v>
      </c>
      <c r="AA24" s="12">
        <f ca="1">IFERROR(__xludf.DUMMYFUNCTION("INDEX(IMPORTRANGE(""17pNv02DXDpQT9S3w4-QeNym2QJy2BzMBqDXp-XtzJBM"", ""'GAR'!BI3:BI139""),MATCH($D24,IMPORTRANGE(""17pNv02DXDpQT9S3w4-QeNym2QJy2BzMBqDXp-XtzJBM"", ""'GAR'!D3:D139""),0))"),44)</f>
        <v>44</v>
      </c>
      <c r="AB24" s="12">
        <f ca="1">IFERROR(__xludf.DUMMYFUNCTION("INDEX(IMPORTRANGE(""17pNv02DXDpQT9S3w4-QeNym2QJy2BzMBqDXp-XtzJBM"", ""'GAR'!BJ3:BJ139""),MATCH($D24,IMPORTRANGE(""17pNv02DXDpQT9S3w4-QeNym2QJy2BzMBqDXp-XtzJBM"", ""'GAR'!D3:D139""),0))"),11)</f>
        <v>11</v>
      </c>
      <c r="AC24" s="12">
        <f ca="1">IFERROR(__xludf.DUMMYFUNCTION("INDEX(IMPORTRANGE(""17pNv02DXDpQT9S3w4-QeNym2QJy2BzMBqDXp-XtzJBM"", ""'GAR'!BK3:BK139""),MATCH($D24,IMPORTRANGE(""17pNv02DXDpQT9S3w4-QeNym2QJy2BzMBqDXp-XtzJBM"", ""'GAR'!D3:D139""),0))"),38)</f>
        <v>38</v>
      </c>
      <c r="AD24" s="12">
        <f ca="1">IFERROR(__xludf.DUMMYFUNCTION("INDEX(IMPORTRANGE(""17pNv02DXDpQT9S3w4-QeNym2QJy2BzMBqDXp-XtzJBM"", ""'GAR'!BL3:BL139""),MATCH($D24,IMPORTRANGE(""17pNv02DXDpQT9S3w4-QeNym2QJy2BzMBqDXp-XtzJBM"", ""'GAR'!D3:D139""),0))"),30)</f>
        <v>30</v>
      </c>
      <c r="AE24" s="12">
        <f ca="1">IFERROR(__xludf.DUMMYFUNCTION("INDEX(IMPORTRANGE(""17pNv02DXDpQT9S3w4-QeNym2QJy2BzMBqDXp-XtzJBM"", ""'GAR'!BM3:BM139""),MATCH($D24,IMPORTRANGE(""17pNv02DXDpQT9S3w4-QeNym2QJy2BzMBqDXp-XtzJBM"", ""'GAR'!D3:D139""),0))"),60)</f>
        <v>60</v>
      </c>
    </row>
    <row r="25" spans="1:31">
      <c r="A25" s="149" t="s">
        <v>52</v>
      </c>
      <c r="B25" s="149" t="s">
        <v>86</v>
      </c>
      <c r="C25" s="149" t="s">
        <v>30</v>
      </c>
      <c r="D25" s="149" t="s">
        <v>97</v>
      </c>
      <c r="E25" s="149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12">
        <v>9</v>
      </c>
      <c r="R25" s="12">
        <v>27</v>
      </c>
      <c r="S25" s="12">
        <f ca="1">IFERROR(__xludf.DUMMYFUNCTION("INDEX(IMPORTRANGE(""17pNv02DXDpQT9S3w4-QeNym2QJy2BzMBqDXp-XtzJBM"", ""'GAR'!BG3:BG139""),MATCH($D25,IMPORTRANGE(""17pNv02DXDpQT9S3w4-QeNym2QJy2BzMBqDXp-XtzJBM"", ""'GAR'!D3:D139""),0))"),26)</f>
        <v>26</v>
      </c>
      <c r="T25" s="13"/>
      <c r="U25" s="13"/>
      <c r="V25" s="13"/>
      <c r="W25" s="13"/>
      <c r="X25" s="13"/>
      <c r="Y25" s="4"/>
      <c r="Z25" s="12">
        <f ca="1">IFERROR(__xludf.DUMMYFUNCTION("INDEX(IMPORTRANGE(""17pNv02DXDpQT9S3w4-QeNym2QJy2BzMBqDXp-XtzJBM"", ""'GAR'!BH3:BH139""),MATCH($D25,IMPORTRANGE(""17pNv02DXDpQT9S3w4-QeNym2QJy2BzMBqDXp-XtzJBM"", ""'GAR'!D3:D139""),0))"),15)</f>
        <v>15</v>
      </c>
      <c r="AA25" s="12">
        <f ca="1">IFERROR(__xludf.DUMMYFUNCTION("INDEX(IMPORTRANGE(""17pNv02DXDpQT9S3w4-QeNym2QJy2BzMBqDXp-XtzJBM"", ""'GAR'!BI3:BI139""),MATCH($D25,IMPORTRANGE(""17pNv02DXDpQT9S3w4-QeNym2QJy2BzMBqDXp-XtzJBM"", ""'GAR'!D3:D139""),0))"),36)</f>
        <v>36</v>
      </c>
      <c r="AB25" s="12">
        <f ca="1">IFERROR(__xludf.DUMMYFUNCTION("INDEX(IMPORTRANGE(""17pNv02DXDpQT9S3w4-QeNym2QJy2BzMBqDXp-XtzJBM"", ""'GAR'!BJ3:BJ139""),MATCH($D25,IMPORTRANGE(""17pNv02DXDpQT9S3w4-QeNym2QJy2BzMBqDXp-XtzJBM"", ""'GAR'!D3:D139""),0))"),16)</f>
        <v>16</v>
      </c>
      <c r="AC25" s="12">
        <f ca="1">IFERROR(__xludf.DUMMYFUNCTION("INDEX(IMPORTRANGE(""17pNv02DXDpQT9S3w4-QeNym2QJy2BzMBqDXp-XtzJBM"", ""'GAR'!BK3:BK139""),MATCH($D25,IMPORTRANGE(""17pNv02DXDpQT9S3w4-QeNym2QJy2BzMBqDXp-XtzJBM"", ""'GAR'!D3:D139""),0))"),36)</f>
        <v>36</v>
      </c>
      <c r="AD25" s="12">
        <f ca="1">IFERROR(__xludf.DUMMYFUNCTION("INDEX(IMPORTRANGE(""17pNv02DXDpQT9S3w4-QeNym2QJy2BzMBqDXp-XtzJBM"", ""'GAR'!BL3:BL139""),MATCH($D25,IMPORTRANGE(""17pNv02DXDpQT9S3w4-QeNym2QJy2BzMBqDXp-XtzJBM"", ""'GAR'!D3:D139""),0))"),12)</f>
        <v>12</v>
      </c>
      <c r="AE25" s="12">
        <f ca="1">IFERROR(__xludf.DUMMYFUNCTION("INDEX(IMPORTRANGE(""17pNv02DXDpQT9S3w4-QeNym2QJy2BzMBqDXp-XtzJBM"", ""'GAR'!BM3:BM139""),MATCH($D25,IMPORTRANGE(""17pNv02DXDpQT9S3w4-QeNym2QJy2BzMBqDXp-XtzJBM"", ""'GAR'!D3:D139""),0))"),26)</f>
        <v>26</v>
      </c>
    </row>
    <row r="26" spans="1:31">
      <c r="A26" s="149" t="s">
        <v>52</v>
      </c>
      <c r="B26" s="149" t="s">
        <v>86</v>
      </c>
      <c r="C26" s="149" t="s">
        <v>30</v>
      </c>
      <c r="D26" s="149" t="s">
        <v>99</v>
      </c>
      <c r="E26" s="149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12">
        <v>2</v>
      </c>
      <c r="R26" s="12">
        <v>5</v>
      </c>
      <c r="S26" s="12">
        <f ca="1">IFERROR(__xludf.DUMMYFUNCTION("INDEX(IMPORTRANGE(""17pNv02DXDpQT9S3w4-QeNym2QJy2BzMBqDXp-XtzJBM"", ""'GAR'!BG3:BG139""),MATCH($D26,IMPORTRANGE(""17pNv02DXDpQT9S3w4-QeNym2QJy2BzMBqDXp-XtzJBM"", ""'GAR'!D3:D139""),0))"),5)</f>
        <v>5</v>
      </c>
      <c r="T26" s="13"/>
      <c r="U26" s="13"/>
      <c r="V26" s="13"/>
      <c r="W26" s="13"/>
      <c r="X26" s="13"/>
      <c r="Y26" s="4"/>
      <c r="Z26" s="12">
        <f ca="1">IFERROR(__xludf.DUMMYFUNCTION("INDEX(IMPORTRANGE(""17pNv02DXDpQT9S3w4-QeNym2QJy2BzMBqDXp-XtzJBM"", ""'GAR'!BH3:BH139""),MATCH($D26,IMPORTRANGE(""17pNv02DXDpQT9S3w4-QeNym2QJy2BzMBqDXp-XtzJBM"", ""'GAR'!D3:D139""),0))"),3)</f>
        <v>3</v>
      </c>
      <c r="AA26" s="12">
        <f ca="1">IFERROR(__xludf.DUMMYFUNCTION("INDEX(IMPORTRANGE(""17pNv02DXDpQT9S3w4-QeNym2QJy2BzMBqDXp-XtzJBM"", ""'GAR'!BI3:BI139""),MATCH($D26,IMPORTRANGE(""17pNv02DXDpQT9S3w4-QeNym2QJy2BzMBqDXp-XtzJBM"", ""'GAR'!D3:D139""),0))"),7)</f>
        <v>7</v>
      </c>
      <c r="AB26" s="12">
        <f ca="1">IFERROR(__xludf.DUMMYFUNCTION("INDEX(IMPORTRANGE(""17pNv02DXDpQT9S3w4-QeNym2QJy2BzMBqDXp-XtzJBM"", ""'GAR'!BJ3:BJ139""),MATCH($D26,IMPORTRANGE(""17pNv02DXDpQT9S3w4-QeNym2QJy2BzMBqDXp-XtzJBM"", ""'GAR'!D3:D139""),0))"),1)</f>
        <v>1</v>
      </c>
      <c r="AC26" s="12">
        <f ca="1">IFERROR(__xludf.DUMMYFUNCTION("INDEX(IMPORTRANGE(""17pNv02DXDpQT9S3w4-QeNym2QJy2BzMBqDXp-XtzJBM"", ""'GAR'!BK3:BK139""),MATCH($D26,IMPORTRANGE(""17pNv02DXDpQT9S3w4-QeNym2QJy2BzMBqDXp-XtzJBM"", ""'GAR'!D3:D139""),0))"),6)</f>
        <v>6</v>
      </c>
      <c r="AD26" s="12">
        <f ca="1">IFERROR(__xludf.DUMMYFUNCTION("INDEX(IMPORTRANGE(""17pNv02DXDpQT9S3w4-QeNym2QJy2BzMBqDXp-XtzJBM"", ""'GAR'!BL3:BL139""),MATCH($D26,IMPORTRANGE(""17pNv02DXDpQT9S3w4-QeNym2QJy2BzMBqDXp-XtzJBM"", ""'GAR'!D3:D139""),0))"),8)</f>
        <v>8</v>
      </c>
      <c r="AE26" s="12">
        <f ca="1">IFERROR(__xludf.DUMMYFUNCTION("INDEX(IMPORTRANGE(""17pNv02DXDpQT9S3w4-QeNym2QJy2BzMBqDXp-XtzJBM"", ""'GAR'!BM3:BM139""),MATCH($D26,IMPORTRANGE(""17pNv02DXDpQT9S3w4-QeNym2QJy2BzMBqDXp-XtzJBM"", ""'GAR'!D3:D139""),0))"),11)</f>
        <v>11</v>
      </c>
    </row>
    <row r="27" spans="1:31">
      <c r="A27" s="149" t="s">
        <v>52</v>
      </c>
      <c r="B27" s="149" t="s">
        <v>86</v>
      </c>
      <c r="C27" s="149" t="s">
        <v>30</v>
      </c>
      <c r="D27" s="149" t="s">
        <v>101</v>
      </c>
      <c r="E27" s="149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12">
        <v>0</v>
      </c>
      <c r="R27" s="12">
        <v>0</v>
      </c>
      <c r="S27" s="12">
        <f ca="1">IFERROR(__xludf.DUMMYFUNCTION("INDEX(IMPORTRANGE(""17pNv02DXDpQT9S3w4-QeNym2QJy2BzMBqDXp-XtzJBM"", ""'GAR'!BG3:BG139""),MATCH($D27,IMPORTRANGE(""17pNv02DXDpQT9S3w4-QeNym2QJy2BzMBqDXp-XtzJBM"", ""'GAR'!D3:D139""),0))"),0)</f>
        <v>0</v>
      </c>
      <c r="T27" s="13"/>
      <c r="U27" s="13"/>
      <c r="V27" s="13"/>
      <c r="W27" s="13"/>
      <c r="X27" s="13"/>
      <c r="Y27" s="4"/>
      <c r="Z27" s="12">
        <f ca="1">IFERROR(__xludf.DUMMYFUNCTION("INDEX(IMPORTRANGE(""17pNv02DXDpQT9S3w4-QeNym2QJy2BzMBqDXp-XtzJBM"", ""'GAR'!BH3:BH139""),MATCH($D27,IMPORTRANGE(""17pNv02DXDpQT9S3w4-QeNym2QJy2BzMBqDXp-XtzJBM"", ""'GAR'!D3:D139""),0))"),0)</f>
        <v>0</v>
      </c>
      <c r="AA27" s="12">
        <f ca="1">IFERROR(__xludf.DUMMYFUNCTION("INDEX(IMPORTRANGE(""17pNv02DXDpQT9S3w4-QeNym2QJy2BzMBqDXp-XtzJBM"", ""'GAR'!BI3:BI139""),MATCH($D27,IMPORTRANGE(""17pNv02DXDpQT9S3w4-QeNym2QJy2BzMBqDXp-XtzJBM"", ""'GAR'!D3:D139""),0))"),0)</f>
        <v>0</v>
      </c>
      <c r="AB27" s="12">
        <f ca="1">IFERROR(__xludf.DUMMYFUNCTION("INDEX(IMPORTRANGE(""17pNv02DXDpQT9S3w4-QeNym2QJy2BzMBqDXp-XtzJBM"", ""'GAR'!BJ3:BJ139""),MATCH($D27,IMPORTRANGE(""17pNv02DXDpQT9S3w4-QeNym2QJy2BzMBqDXp-XtzJBM"", ""'GAR'!D3:D139""),0))"),1)</f>
        <v>1</v>
      </c>
      <c r="AC27" s="12">
        <f ca="1">IFERROR(__xludf.DUMMYFUNCTION("INDEX(IMPORTRANGE(""17pNv02DXDpQT9S3w4-QeNym2QJy2BzMBqDXp-XtzJBM"", ""'GAR'!BK3:BK139""),MATCH($D27,IMPORTRANGE(""17pNv02DXDpQT9S3w4-QeNym2QJy2BzMBqDXp-XtzJBM"", ""'GAR'!D3:D139""),0))"),1)</f>
        <v>1</v>
      </c>
      <c r="AD27" s="12">
        <f ca="1">IFERROR(__xludf.DUMMYFUNCTION("INDEX(IMPORTRANGE(""17pNv02DXDpQT9S3w4-QeNym2QJy2BzMBqDXp-XtzJBM"", ""'GAR'!BL3:BL139""),MATCH($D27,IMPORTRANGE(""17pNv02DXDpQT9S3w4-QeNym2QJy2BzMBqDXp-XtzJBM"", ""'GAR'!D3:D139""),0))"),0)</f>
        <v>0</v>
      </c>
      <c r="AE27" s="12">
        <f ca="1">IFERROR(__xludf.DUMMYFUNCTION("INDEX(IMPORTRANGE(""17pNv02DXDpQT9S3w4-QeNym2QJy2BzMBqDXp-XtzJBM"", ""'GAR'!BM3:BM139""),MATCH($D27,IMPORTRANGE(""17pNv02DXDpQT9S3w4-QeNym2QJy2BzMBqDXp-XtzJBM"", ""'GAR'!D3:D139""),0))"),0)</f>
        <v>0</v>
      </c>
    </row>
    <row r="28" spans="1:31">
      <c r="A28" s="149" t="s">
        <v>52</v>
      </c>
      <c r="B28" s="149" t="s">
        <v>86</v>
      </c>
      <c r="C28" s="149" t="s">
        <v>30</v>
      </c>
      <c r="D28" s="149" t="s">
        <v>103</v>
      </c>
      <c r="E28" s="149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>
        <v>1</v>
      </c>
      <c r="R28" s="12">
        <v>1</v>
      </c>
      <c r="S28" s="12">
        <f ca="1">IFERROR(__xludf.DUMMYFUNCTION("INDEX(IMPORTRANGE(""17pNv02DXDpQT9S3w4-QeNym2QJy2BzMBqDXp-XtzJBM"", ""'GAR'!BG3:BG139""),MATCH($D28,IMPORTRANGE(""17pNv02DXDpQT9S3w4-QeNym2QJy2BzMBqDXp-XtzJBM"", ""'GAR'!D3:D139""),0))"),1)</f>
        <v>1</v>
      </c>
      <c r="T28" s="13"/>
      <c r="U28" s="13"/>
      <c r="V28" s="13"/>
      <c r="W28" s="13"/>
      <c r="X28" s="13"/>
      <c r="Y28" s="4"/>
      <c r="Z28" s="12">
        <f ca="1">IFERROR(__xludf.DUMMYFUNCTION("INDEX(IMPORTRANGE(""17pNv02DXDpQT9S3w4-QeNym2QJy2BzMBqDXp-XtzJBM"", ""'GAR'!BH3:BH139""),MATCH($D28,IMPORTRANGE(""17pNv02DXDpQT9S3w4-QeNym2QJy2BzMBqDXp-XtzJBM"", ""'GAR'!D3:D139""),0))"),1)</f>
        <v>1</v>
      </c>
      <c r="AA28" s="12">
        <f ca="1">IFERROR(__xludf.DUMMYFUNCTION("INDEX(IMPORTRANGE(""17pNv02DXDpQT9S3w4-QeNym2QJy2BzMBqDXp-XtzJBM"", ""'GAR'!BI3:BI139""),MATCH($D28,IMPORTRANGE(""17pNv02DXDpQT9S3w4-QeNym2QJy2BzMBqDXp-XtzJBM"", ""'GAR'!D3:D139""),0))"),1)</f>
        <v>1</v>
      </c>
      <c r="AB28" s="12">
        <f ca="1">IFERROR(__xludf.DUMMYFUNCTION("INDEX(IMPORTRANGE(""17pNv02DXDpQT9S3w4-QeNym2QJy2BzMBqDXp-XtzJBM"", ""'GAR'!BJ3:BJ139""),MATCH($D28,IMPORTRANGE(""17pNv02DXDpQT9S3w4-QeNym2QJy2BzMBqDXp-XtzJBM"", ""'GAR'!D3:D139""),0))"),0)</f>
        <v>0</v>
      </c>
      <c r="AC28" s="12">
        <f ca="1">IFERROR(__xludf.DUMMYFUNCTION("INDEX(IMPORTRANGE(""17pNv02DXDpQT9S3w4-QeNym2QJy2BzMBqDXp-XtzJBM"", ""'GAR'!BK3:BK139""),MATCH($D28,IMPORTRANGE(""17pNv02DXDpQT9S3w4-QeNym2QJy2BzMBqDXp-XtzJBM"", ""'GAR'!D3:D139""),0))"),1)</f>
        <v>1</v>
      </c>
      <c r="AD28" s="12">
        <f ca="1">IFERROR(__xludf.DUMMYFUNCTION("INDEX(IMPORTRANGE(""17pNv02DXDpQT9S3w4-QeNym2QJy2BzMBqDXp-XtzJBM"", ""'GAR'!BL3:BL139""),MATCH($D28,IMPORTRANGE(""17pNv02DXDpQT9S3w4-QeNym2QJy2BzMBqDXp-XtzJBM"", ""'GAR'!D3:D139""),0))"),0)</f>
        <v>0</v>
      </c>
      <c r="AE28" s="12">
        <f ca="1">IFERROR(__xludf.DUMMYFUNCTION("INDEX(IMPORTRANGE(""17pNv02DXDpQT9S3w4-QeNym2QJy2BzMBqDXp-XtzJBM"", ""'GAR'!BM3:BM139""),MATCH($D28,IMPORTRANGE(""17pNv02DXDpQT9S3w4-QeNym2QJy2BzMBqDXp-XtzJBM"", ""'GAR'!D3:D139""),0))"),1)</f>
        <v>1</v>
      </c>
    </row>
    <row r="29" spans="1:31">
      <c r="A29" s="149" t="s">
        <v>52</v>
      </c>
      <c r="B29" s="149" t="s">
        <v>86</v>
      </c>
      <c r="C29" s="149" t="s">
        <v>30</v>
      </c>
      <c r="D29" s="149" t="s">
        <v>105</v>
      </c>
      <c r="E29" s="149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""'GAR'!BG3:BG139""),MATCH($D29,IMPORTRANGE(""17pNv02DXDpQT9S3w4-QeNym2QJy2BzMBqDXp-XtzJBM"", ""'GAR'!D3:D139""),0))"),0)</f>
        <v>0</v>
      </c>
      <c r="T29" s="13"/>
      <c r="U29" s="13"/>
      <c r="V29" s="13"/>
      <c r="W29" s="13"/>
      <c r="X29" s="13"/>
      <c r="Y29" s="4"/>
      <c r="Z29" s="12">
        <f ca="1">IFERROR(__xludf.DUMMYFUNCTION("INDEX(IMPORTRANGE(""17pNv02DXDpQT9S3w4-QeNym2QJy2BzMBqDXp-XtzJBM"", ""'GAR'!BH3:BH139""),MATCH($D29,IMPORTRANGE(""17pNv02DXDpQT9S3w4-QeNym2QJy2BzMBqDXp-XtzJBM"", ""'GAR'!D3:D139""),0))"),0)</f>
        <v>0</v>
      </c>
      <c r="AA29" s="12">
        <f ca="1">IFERROR(__xludf.DUMMYFUNCTION("INDEX(IMPORTRANGE(""17pNv02DXDpQT9S3w4-QeNym2QJy2BzMBqDXp-XtzJBM"", ""'GAR'!BI3:BI139""),MATCH($D29,IMPORTRANGE(""17pNv02DXDpQT9S3w4-QeNym2QJy2BzMBqDXp-XtzJBM"", ""'GAR'!D3:D139""),0))"),0)</f>
        <v>0</v>
      </c>
      <c r="AB29" s="12">
        <f ca="1">IFERROR(__xludf.DUMMYFUNCTION("INDEX(IMPORTRANGE(""17pNv02DXDpQT9S3w4-QeNym2QJy2BzMBqDXp-XtzJBM"", ""'GAR'!BJ3:BJ139""),MATCH($D29,IMPORTRANGE(""17pNv02DXDpQT9S3w4-QeNym2QJy2BzMBqDXp-XtzJBM"", ""'GAR'!D3:D139""),0))"),0)</f>
        <v>0</v>
      </c>
      <c r="AC29" s="12">
        <f ca="1">IFERROR(__xludf.DUMMYFUNCTION("INDEX(IMPORTRANGE(""17pNv02DXDpQT9S3w4-QeNym2QJy2BzMBqDXp-XtzJBM"", ""'GAR'!BK3:BK139""),MATCH($D29,IMPORTRANGE(""17pNv02DXDpQT9S3w4-QeNym2QJy2BzMBqDXp-XtzJBM"", ""'GAR'!D3:D139""),0))"),0)</f>
        <v>0</v>
      </c>
      <c r="AD29" s="12">
        <f ca="1">IFERROR(__xludf.DUMMYFUNCTION("INDEX(IMPORTRANGE(""17pNv02DXDpQT9S3w4-QeNym2QJy2BzMBqDXp-XtzJBM"", ""'GAR'!BL3:BL139""),MATCH($D29,IMPORTRANGE(""17pNv02DXDpQT9S3w4-QeNym2QJy2BzMBqDXp-XtzJBM"", ""'GAR'!D3:D139""),0))"),0)</f>
        <v>0</v>
      </c>
      <c r="AE29" s="12">
        <f ca="1">IFERROR(__xludf.DUMMYFUNCTION("INDEX(IMPORTRANGE(""17pNv02DXDpQT9S3w4-QeNym2QJy2BzMBqDXp-XtzJBM"", ""'GAR'!BM3:BM139""),MATCH($D29,IMPORTRANGE(""17pNv02DXDpQT9S3w4-QeNym2QJy2BzMBqDXp-XtzJBM"", ""'GAR'!D3:D139""),0))"),0)</f>
        <v>0</v>
      </c>
    </row>
    <row r="30" spans="1:31">
      <c r="A30" s="149" t="s">
        <v>52</v>
      </c>
      <c r="B30" s="149" t="s">
        <v>86</v>
      </c>
      <c r="C30" s="149" t="s">
        <v>30</v>
      </c>
      <c r="D30" s="149" t="s">
        <v>107</v>
      </c>
      <c r="E30" s="149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>
        <v>2</v>
      </c>
      <c r="R30" s="12">
        <v>7</v>
      </c>
      <c r="S30" s="12">
        <f ca="1">IFERROR(__xludf.DUMMYFUNCTION("INDEX(IMPORTRANGE(""17pNv02DXDpQT9S3w4-QeNym2QJy2BzMBqDXp-XtzJBM"", ""'GAR'!BG3:BG139""),MATCH($D30,IMPORTRANGE(""17pNv02DXDpQT9S3w4-QeNym2QJy2BzMBqDXp-XtzJBM"", ""'GAR'!D3:D139""),0))"),6)</f>
        <v>6</v>
      </c>
      <c r="T30" s="13"/>
      <c r="U30" s="13"/>
      <c r="V30" s="13"/>
      <c r="W30" s="13"/>
      <c r="X30" s="13"/>
      <c r="Y30" s="4"/>
      <c r="Z30" s="12">
        <f ca="1">IFERROR(__xludf.DUMMYFUNCTION("INDEX(IMPORTRANGE(""17pNv02DXDpQT9S3w4-QeNym2QJy2BzMBqDXp-XtzJBM"", ""'GAR'!BH3:BH139""),MATCH($D30,IMPORTRANGE(""17pNv02DXDpQT9S3w4-QeNym2QJy2BzMBqDXp-XtzJBM"", ""'GAR'!D3:D139""),0))"),9)</f>
        <v>9</v>
      </c>
      <c r="AA30" s="12">
        <f ca="1">IFERROR(__xludf.DUMMYFUNCTION("INDEX(IMPORTRANGE(""17pNv02DXDpQT9S3w4-QeNym2QJy2BzMBqDXp-XtzJBM"", ""'GAR'!BI3:BI139""),MATCH($D30,IMPORTRANGE(""17pNv02DXDpQT9S3w4-QeNym2QJy2BzMBqDXp-XtzJBM"", ""'GAR'!D3:D139""),0))"),20)</f>
        <v>20</v>
      </c>
      <c r="AB30" s="12">
        <f ca="1">IFERROR(__xludf.DUMMYFUNCTION("INDEX(IMPORTRANGE(""17pNv02DXDpQT9S3w4-QeNym2QJy2BzMBqDXp-XtzJBM"", ""'GAR'!BJ3:BJ139""),MATCH($D30,IMPORTRANGE(""17pNv02DXDpQT9S3w4-QeNym2QJy2BzMBqDXp-XtzJBM"", ""'GAR'!D3:D139""),0))"),8)</f>
        <v>8</v>
      </c>
      <c r="AC30" s="12">
        <f ca="1">IFERROR(__xludf.DUMMYFUNCTION("INDEX(IMPORTRANGE(""17pNv02DXDpQT9S3w4-QeNym2QJy2BzMBqDXp-XtzJBM"", ""'GAR'!BK3:BK139""),MATCH($D30,IMPORTRANGE(""17pNv02DXDpQT9S3w4-QeNym2QJy2BzMBqDXp-XtzJBM"", ""'GAR'!D3:D139""),0))"),20)</f>
        <v>20</v>
      </c>
      <c r="AD30" s="12">
        <f ca="1">IFERROR(__xludf.DUMMYFUNCTION("INDEX(IMPORTRANGE(""17pNv02DXDpQT9S3w4-QeNym2QJy2BzMBqDXp-XtzJBM"", ""'GAR'!BL3:BL139""),MATCH($D30,IMPORTRANGE(""17pNv02DXDpQT9S3w4-QeNym2QJy2BzMBqDXp-XtzJBM"", ""'GAR'!D3:D139""),0))"),17)</f>
        <v>17</v>
      </c>
      <c r="AE30" s="12">
        <f ca="1">IFERROR(__xludf.DUMMYFUNCTION("INDEX(IMPORTRANGE(""17pNv02DXDpQT9S3w4-QeNym2QJy2BzMBqDXp-XtzJBM"", ""'GAR'!BM3:BM139""),MATCH($D30,IMPORTRANGE(""17pNv02DXDpQT9S3w4-QeNym2QJy2BzMBqDXp-XtzJBM"", ""'GAR'!D3:D139""),0))"),29)</f>
        <v>29</v>
      </c>
    </row>
    <row r="31" spans="1:31">
      <c r="A31" s="149" t="s">
        <v>52</v>
      </c>
      <c r="B31" s="149" t="s">
        <v>86</v>
      </c>
      <c r="C31" s="149" t="s">
        <v>30</v>
      </c>
      <c r="D31" s="149" t="s">
        <v>109</v>
      </c>
      <c r="E31" s="149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>
        <v>4</v>
      </c>
      <c r="R31" s="12">
        <v>13</v>
      </c>
      <c r="S31" s="12">
        <f ca="1">IFERROR(__xludf.DUMMYFUNCTION("INDEX(IMPORTRANGE(""17pNv02DXDpQT9S3w4-QeNym2QJy2BzMBqDXp-XtzJBM"", ""'GAR'!BG3:BG139""),MATCH($D31,IMPORTRANGE(""17pNv02DXDpQT9S3w4-QeNym2QJy2BzMBqDXp-XtzJBM"", ""'GAR'!D3:D139""),0))"),11)</f>
        <v>11</v>
      </c>
      <c r="T31" s="13"/>
      <c r="U31" s="13"/>
      <c r="V31" s="13"/>
      <c r="W31" s="13"/>
      <c r="X31" s="13"/>
      <c r="Y31" s="4"/>
      <c r="Z31" s="12">
        <f ca="1">IFERROR(__xludf.DUMMYFUNCTION("INDEX(IMPORTRANGE(""17pNv02DXDpQT9S3w4-QeNym2QJy2BzMBqDXp-XtzJBM"", ""'GAR'!BH3:BH139""),MATCH($D31,IMPORTRANGE(""17pNv02DXDpQT9S3w4-QeNym2QJy2BzMBqDXp-XtzJBM"", ""'GAR'!D3:D139""),0))"),3)</f>
        <v>3</v>
      </c>
      <c r="AA31" s="12">
        <f ca="1">IFERROR(__xludf.DUMMYFUNCTION("INDEX(IMPORTRANGE(""17pNv02DXDpQT9S3w4-QeNym2QJy2BzMBqDXp-XtzJBM"", ""'GAR'!BI3:BI139""),MATCH($D31,IMPORTRANGE(""17pNv02DXDpQT9S3w4-QeNym2QJy2BzMBqDXp-XtzJBM"", ""'GAR'!D3:D139""),0))"),5)</f>
        <v>5</v>
      </c>
      <c r="AB31" s="12">
        <f ca="1">IFERROR(__xludf.DUMMYFUNCTION("INDEX(IMPORTRANGE(""17pNv02DXDpQT9S3w4-QeNym2QJy2BzMBqDXp-XtzJBM"", ""'GAR'!BJ3:BJ139""),MATCH($D31,IMPORTRANGE(""17pNv02DXDpQT9S3w4-QeNym2QJy2BzMBqDXp-XtzJBM"", ""'GAR'!D3:D139""),0))"),1)</f>
        <v>1</v>
      </c>
      <c r="AC31" s="12">
        <f ca="1">IFERROR(__xludf.DUMMYFUNCTION("INDEX(IMPORTRANGE(""17pNv02DXDpQT9S3w4-QeNym2QJy2BzMBqDXp-XtzJBM"", ""'GAR'!BK3:BK139""),MATCH($D31,IMPORTRANGE(""17pNv02DXDpQT9S3w4-QeNym2QJy2BzMBqDXp-XtzJBM"", ""'GAR'!D3:D139""),0))"),3)</f>
        <v>3</v>
      </c>
      <c r="AD31" s="12">
        <f ca="1">IFERROR(__xludf.DUMMYFUNCTION("INDEX(IMPORTRANGE(""17pNv02DXDpQT9S3w4-QeNym2QJy2BzMBqDXp-XtzJBM"", ""'GAR'!BL3:BL139""),MATCH($D31,IMPORTRANGE(""17pNv02DXDpQT9S3w4-QeNym2QJy2BzMBqDXp-XtzJBM"", ""'GAR'!D3:D139""),0))"),0)</f>
        <v>0</v>
      </c>
      <c r="AE31" s="12">
        <f ca="1">IFERROR(__xludf.DUMMYFUNCTION("INDEX(IMPORTRANGE(""17pNv02DXDpQT9S3w4-QeNym2QJy2BzMBqDXp-XtzJBM"", ""'GAR'!BM3:BM139""),MATCH($D31,IMPORTRANGE(""17pNv02DXDpQT9S3w4-QeNym2QJy2BzMBqDXp-XtzJBM"", ""'GAR'!D3:D139""),0))"),0)</f>
        <v>0</v>
      </c>
    </row>
    <row r="32" spans="1:31">
      <c r="A32" s="149" t="s">
        <v>52</v>
      </c>
      <c r="B32" s="149" t="s">
        <v>86</v>
      </c>
      <c r="C32" s="149" t="s">
        <v>30</v>
      </c>
      <c r="D32" s="149" t="s">
        <v>111</v>
      </c>
      <c r="E32" s="149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""'GAR'!BG3:BG139""),MATCH($D32,IMPORTRANGE(""17pNv02DXDpQT9S3w4-QeNym2QJy2BzMBqDXp-XtzJBM"", ""'GAR'!D3:D139""),0))"),0)</f>
        <v>0</v>
      </c>
      <c r="T32" s="13"/>
      <c r="U32" s="13"/>
      <c r="V32" s="13"/>
      <c r="W32" s="13"/>
      <c r="X32" s="13"/>
      <c r="Y32" s="4"/>
      <c r="Z32" s="12">
        <f ca="1">IFERROR(__xludf.DUMMYFUNCTION("INDEX(IMPORTRANGE(""17pNv02DXDpQT9S3w4-QeNym2QJy2BzMBqDXp-XtzJBM"", ""'GAR'!BH3:BH139""),MATCH($D32,IMPORTRANGE(""17pNv02DXDpQT9S3w4-QeNym2QJy2BzMBqDXp-XtzJBM"", ""'GAR'!D3:D139""),0))"),0)</f>
        <v>0</v>
      </c>
      <c r="AA32" s="12">
        <f ca="1">IFERROR(__xludf.DUMMYFUNCTION("INDEX(IMPORTRANGE(""17pNv02DXDpQT9S3w4-QeNym2QJy2BzMBqDXp-XtzJBM"", ""'GAR'!BI3:BI139""),MATCH($D32,IMPORTRANGE(""17pNv02DXDpQT9S3w4-QeNym2QJy2BzMBqDXp-XtzJBM"", ""'GAR'!D3:D139""),0))"),2)</f>
        <v>2</v>
      </c>
      <c r="AB32" s="12">
        <f ca="1">IFERROR(__xludf.DUMMYFUNCTION("INDEX(IMPORTRANGE(""17pNv02DXDpQT9S3w4-QeNym2QJy2BzMBqDXp-XtzJBM"", ""'GAR'!BJ3:BJ139""),MATCH($D32,IMPORTRANGE(""17pNv02DXDpQT9S3w4-QeNym2QJy2BzMBqDXp-XtzJBM"", ""'GAR'!D3:D139""),0))"),0)</f>
        <v>0</v>
      </c>
      <c r="AC32" s="12">
        <f ca="1">IFERROR(__xludf.DUMMYFUNCTION("INDEX(IMPORTRANGE(""17pNv02DXDpQT9S3w4-QeNym2QJy2BzMBqDXp-XtzJBM"", ""'GAR'!BK3:BK139""),MATCH($D32,IMPORTRANGE(""17pNv02DXDpQT9S3w4-QeNym2QJy2BzMBqDXp-XtzJBM"", ""'GAR'!D3:D139""),0))"),0)</f>
        <v>0</v>
      </c>
      <c r="AD32" s="12">
        <f ca="1">IFERROR(__xludf.DUMMYFUNCTION("INDEX(IMPORTRANGE(""17pNv02DXDpQT9S3w4-QeNym2QJy2BzMBqDXp-XtzJBM"", ""'GAR'!BL3:BL139""),MATCH($D32,IMPORTRANGE(""17pNv02DXDpQT9S3w4-QeNym2QJy2BzMBqDXp-XtzJBM"", ""'GAR'!D3:D139""),0))"),0)</f>
        <v>0</v>
      </c>
      <c r="AE32" s="12">
        <f ca="1">IFERROR(__xludf.DUMMYFUNCTION("INDEX(IMPORTRANGE(""17pNv02DXDpQT9S3w4-QeNym2QJy2BzMBqDXp-XtzJBM"", ""'GAR'!BM3:BM139""),MATCH($D32,IMPORTRANGE(""17pNv02DXDpQT9S3w4-QeNym2QJy2BzMBqDXp-XtzJBM"", ""'GAR'!D3:D139""),0))"),0)</f>
        <v>0</v>
      </c>
    </row>
    <row r="33" spans="1:31">
      <c r="A33" s="149" t="s">
        <v>52</v>
      </c>
      <c r="B33" s="149" t="s">
        <v>86</v>
      </c>
      <c r="C33" s="149" t="s">
        <v>30</v>
      </c>
      <c r="D33" s="149" t="s">
        <v>113</v>
      </c>
      <c r="E33" s="149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>
        <v>0</v>
      </c>
      <c r="R33" s="12">
        <v>0</v>
      </c>
      <c r="S33" s="12">
        <f ca="1">IFERROR(__xludf.DUMMYFUNCTION("INDEX(IMPORTRANGE(""17pNv02DXDpQT9S3w4-QeNym2QJy2BzMBqDXp-XtzJBM"", ""'GAR'!BG3:BG139""),MATCH($D33,IMPORTRANGE(""17pNv02DXDpQT9S3w4-QeNym2QJy2BzMBqDXp-XtzJBM"", ""'GAR'!D3:D139""),0))"),0)</f>
        <v>0</v>
      </c>
      <c r="T33" s="13"/>
      <c r="U33" s="13"/>
      <c r="V33" s="13"/>
      <c r="W33" s="13"/>
      <c r="X33" s="13"/>
      <c r="Y33" s="4"/>
      <c r="Z33" s="12">
        <f ca="1">IFERROR(__xludf.DUMMYFUNCTION("INDEX(IMPORTRANGE(""17pNv02DXDpQT9S3w4-QeNym2QJy2BzMBqDXp-XtzJBM"", ""'GAR'!BH3:BH139""),MATCH($D33,IMPORTRANGE(""17pNv02DXDpQT9S3w4-QeNym2QJy2BzMBqDXp-XtzJBM"", ""'GAR'!D3:D139""),0))"),1)</f>
        <v>1</v>
      </c>
      <c r="AA33" s="12">
        <f ca="1">IFERROR(__xludf.DUMMYFUNCTION("INDEX(IMPORTRANGE(""17pNv02DXDpQT9S3w4-QeNym2QJy2BzMBqDXp-XtzJBM"", ""'GAR'!BI3:BI139""),MATCH($D33,IMPORTRANGE(""17pNv02DXDpQT9S3w4-QeNym2QJy2BzMBqDXp-XtzJBM"", ""'GAR'!D3:D139""),0))"),5)</f>
        <v>5</v>
      </c>
      <c r="AB33" s="12">
        <f ca="1">IFERROR(__xludf.DUMMYFUNCTION("INDEX(IMPORTRANGE(""17pNv02DXDpQT9S3w4-QeNym2QJy2BzMBqDXp-XtzJBM"", ""'GAR'!BJ3:BJ139""),MATCH($D33,IMPORTRANGE(""17pNv02DXDpQT9S3w4-QeNym2QJy2BzMBqDXp-XtzJBM"", ""'GAR'!D3:D139""),0))"),4)</f>
        <v>4</v>
      </c>
      <c r="AC33" s="12">
        <f ca="1">IFERROR(__xludf.DUMMYFUNCTION("INDEX(IMPORTRANGE(""17pNv02DXDpQT9S3w4-QeNym2QJy2BzMBqDXp-XtzJBM"", ""'GAR'!BK3:BK139""),MATCH($D33,IMPORTRANGE(""17pNv02DXDpQT9S3w4-QeNym2QJy2BzMBqDXp-XtzJBM"", ""'GAR'!D3:D139""),0))"),5)</f>
        <v>5</v>
      </c>
      <c r="AD33" s="12">
        <f ca="1">IFERROR(__xludf.DUMMYFUNCTION("INDEX(IMPORTRANGE(""17pNv02DXDpQT9S3w4-QeNym2QJy2BzMBqDXp-XtzJBM"", ""'GAR'!BL3:BL139""),MATCH($D33,IMPORTRANGE(""17pNv02DXDpQT9S3w4-QeNym2QJy2BzMBqDXp-XtzJBM"", ""'GAR'!D3:D139""),0))"),1)</f>
        <v>1</v>
      </c>
      <c r="AE33" s="12">
        <f ca="1">IFERROR(__xludf.DUMMYFUNCTION("INDEX(IMPORTRANGE(""17pNv02DXDpQT9S3w4-QeNym2QJy2BzMBqDXp-XtzJBM"", ""'GAR'!BM3:BM139""),MATCH($D33,IMPORTRANGE(""17pNv02DXDpQT9S3w4-QeNym2QJy2BzMBqDXp-XtzJBM"", ""'GAR'!D3:D139""),0))"),1)</f>
        <v>1</v>
      </c>
    </row>
    <row r="34" spans="1:31">
      <c r="A34" s="149" t="s">
        <v>52</v>
      </c>
      <c r="B34" s="149" t="s">
        <v>86</v>
      </c>
      <c r="C34" s="149" t="s">
        <v>30</v>
      </c>
      <c r="D34" s="149" t="s">
        <v>115</v>
      </c>
      <c r="E34" s="149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>
        <v>0</v>
      </c>
      <c r="R34" s="12">
        <v>0</v>
      </c>
      <c r="S34" s="12">
        <f ca="1">IFERROR(__xludf.DUMMYFUNCTION("INDEX(IMPORTRANGE(""17pNv02DXDpQT9S3w4-QeNym2QJy2BzMBqDXp-XtzJBM"", ""'GAR'!BG3:BG139""),MATCH($D34,IMPORTRANGE(""17pNv02DXDpQT9S3w4-QeNym2QJy2BzMBqDXp-XtzJBM"", ""'GAR'!D3:D139""),0))"),0)</f>
        <v>0</v>
      </c>
      <c r="T34" s="13"/>
      <c r="U34" s="13"/>
      <c r="V34" s="13"/>
      <c r="W34" s="13"/>
      <c r="X34" s="13"/>
      <c r="Y34" s="4"/>
      <c r="Z34" s="12">
        <f ca="1">IFERROR(__xludf.DUMMYFUNCTION("INDEX(IMPORTRANGE(""17pNv02DXDpQT9S3w4-QeNym2QJy2BzMBqDXp-XtzJBM"", ""'GAR'!BH3:BH139""),MATCH($D34,IMPORTRANGE(""17pNv02DXDpQT9S3w4-QeNym2QJy2BzMBqDXp-XtzJBM"", ""'GAR'!D3:D139""),0))"),1)</f>
        <v>1</v>
      </c>
      <c r="AA34" s="12">
        <f ca="1">IFERROR(__xludf.DUMMYFUNCTION("INDEX(IMPORTRANGE(""17pNv02DXDpQT9S3w4-QeNym2QJy2BzMBqDXp-XtzJBM"", ""'GAR'!BI3:BI139""),MATCH($D34,IMPORTRANGE(""17pNv02DXDpQT9S3w4-QeNym2QJy2BzMBqDXp-XtzJBM"", ""'GAR'!D3:D139""),0))"),2)</f>
        <v>2</v>
      </c>
      <c r="AB34" s="12">
        <f ca="1">IFERROR(__xludf.DUMMYFUNCTION("INDEX(IMPORTRANGE(""17pNv02DXDpQT9S3w4-QeNym2QJy2BzMBqDXp-XtzJBM"", ""'GAR'!BJ3:BJ139""),MATCH($D34,IMPORTRANGE(""17pNv02DXDpQT9S3w4-QeNym2QJy2BzMBqDXp-XtzJBM"", ""'GAR'!D3:D139""),0))"),1)</f>
        <v>1</v>
      </c>
      <c r="AC34" s="12">
        <f ca="1">IFERROR(__xludf.DUMMYFUNCTION("INDEX(IMPORTRANGE(""17pNv02DXDpQT9S3w4-QeNym2QJy2BzMBqDXp-XtzJBM"", ""'GAR'!BK3:BK139""),MATCH($D34,IMPORTRANGE(""17pNv02DXDpQT9S3w4-QeNym2QJy2BzMBqDXp-XtzJBM"", ""'GAR'!D3:D139""),0))"),1)</f>
        <v>1</v>
      </c>
      <c r="AD34" s="12">
        <f ca="1">IFERROR(__xludf.DUMMYFUNCTION("INDEX(IMPORTRANGE(""17pNv02DXDpQT9S3w4-QeNym2QJy2BzMBqDXp-XtzJBM"", ""'GAR'!BL3:BL139""),MATCH($D34,IMPORTRANGE(""17pNv02DXDpQT9S3w4-QeNym2QJy2BzMBqDXp-XtzJBM"", ""'GAR'!D3:D139""),0))"),1)</f>
        <v>1</v>
      </c>
      <c r="AE34" s="12">
        <f ca="1">IFERROR(__xludf.DUMMYFUNCTION("INDEX(IMPORTRANGE(""17pNv02DXDpQT9S3w4-QeNym2QJy2BzMBqDXp-XtzJBM"", ""'GAR'!BM3:BM139""),MATCH($D34,IMPORTRANGE(""17pNv02DXDpQT9S3w4-QeNym2QJy2BzMBqDXp-XtzJBM"", ""'GAR'!D3:D139""),0))"),1)</f>
        <v>1</v>
      </c>
    </row>
    <row r="35" spans="1:31">
      <c r="A35" s="16" t="s">
        <v>52</v>
      </c>
      <c r="B35" s="16" t="s">
        <v>86</v>
      </c>
      <c r="C35" s="8" t="s">
        <v>30</v>
      </c>
      <c r="D35" s="16" t="s">
        <v>350</v>
      </c>
      <c r="E35" s="151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9" t="s">
        <v>363</v>
      </c>
      <c r="P35" s="21" t="s">
        <v>349</v>
      </c>
      <c r="Q35" s="262">
        <f t="shared" ref="Q35:R35" si="9">SUM(Q24:Q34)</f>
        <v>33</v>
      </c>
      <c r="R35" s="262">
        <f t="shared" si="9"/>
        <v>83</v>
      </c>
      <c r="S35" s="262">
        <f ca="1">IFERROR(__xludf.DUMMYFUNCTION("INDEX(IMPORTRANGE(""17pNv02DXDpQT9S3w4-QeNym2QJy2BzMBqDXp-XtzJBM"", ""'GAR'!BG3:BG139""),MATCH($D35,IMPORTRANGE(""17pNv02DXDpQT9S3w4-QeNym2QJy2BzMBqDXp-XtzJBM"", ""'GAR'!D3:D139""),0))"),76)</f>
        <v>76</v>
      </c>
      <c r="T35" s="43"/>
      <c r="U35" s="43"/>
      <c r="V35" s="43"/>
      <c r="W35" s="43"/>
      <c r="X35" s="43"/>
      <c r="Y35" s="43"/>
      <c r="Z35" s="262">
        <f ca="1">IFERROR(__xludf.DUMMYFUNCTION("INDEX(IMPORTRANGE(""17pNv02DXDpQT9S3w4-QeNym2QJy2BzMBqDXp-XtzJBM"", ""'GAR'!BH3:BH139""),MATCH($D35,IMPORTRANGE(""17pNv02DXDpQT9S3w4-QeNym2QJy2BzMBqDXp-XtzJBM"", ""'GAR'!D3:D139""),0))"),56)</f>
        <v>56</v>
      </c>
      <c r="AA35" s="262">
        <f ca="1">IFERROR(__xludf.DUMMYFUNCTION("INDEX(IMPORTRANGE(""17pNv02DXDpQT9S3w4-QeNym2QJy2BzMBqDXp-XtzJBM"", ""'GAR'!BI3:BI139""),MATCH($D35,IMPORTRANGE(""17pNv02DXDpQT9S3w4-QeNym2QJy2BzMBqDXp-XtzJBM"", ""'GAR'!D3:D139""),0))"),122)</f>
        <v>122</v>
      </c>
      <c r="AB35" s="262">
        <f ca="1">IFERROR(__xludf.DUMMYFUNCTION("INDEX(IMPORTRANGE(""17pNv02DXDpQT9S3w4-QeNym2QJy2BzMBqDXp-XtzJBM"", ""'GAR'!BJ3:BJ139""),MATCH($D35,IMPORTRANGE(""17pNv02DXDpQT9S3w4-QeNym2QJy2BzMBqDXp-XtzJBM"", ""'GAR'!D3:D139""),0))"),43)</f>
        <v>43</v>
      </c>
      <c r="AC35" s="262">
        <f ca="1">IFERROR(__xludf.DUMMYFUNCTION("INDEX(IMPORTRANGE(""17pNv02DXDpQT9S3w4-QeNym2QJy2BzMBqDXp-XtzJBM"", ""'GAR'!BK3:BK139""),MATCH($D35,IMPORTRANGE(""17pNv02DXDpQT9S3w4-QeNym2QJy2BzMBqDXp-XtzJBM"", ""'GAR'!D3:D139""),0))"),111)</f>
        <v>111</v>
      </c>
      <c r="AD35" s="262">
        <f ca="1">IFERROR(__xludf.DUMMYFUNCTION("INDEX(IMPORTRANGE(""17pNv02DXDpQT9S3w4-QeNym2QJy2BzMBqDXp-XtzJBM"", ""'GAR'!BL3:BL139""),MATCH($D35,IMPORTRANGE(""17pNv02DXDpQT9S3w4-QeNym2QJy2BzMBqDXp-XtzJBM"", ""'GAR'!D3:D139""),0))"),69)</f>
        <v>69</v>
      </c>
      <c r="AE35" s="262">
        <f ca="1">IFERROR(__xludf.DUMMYFUNCTION("INDEX(IMPORTRANGE(""17pNv02DXDpQT9S3w4-QeNym2QJy2BzMBqDXp-XtzJBM"", ""'GAR'!BM3:BM139""),MATCH($D35,IMPORTRANGE(""17pNv02DXDpQT9S3w4-QeNym2QJy2BzMBqDXp-XtzJBM"", ""'GAR'!D3:D139""),0))"),129)</f>
        <v>129</v>
      </c>
    </row>
    <row r="36" spans="1:31">
      <c r="A36" s="149" t="s">
        <v>52</v>
      </c>
      <c r="B36" s="149" t="s">
        <v>86</v>
      </c>
      <c r="C36" s="149" t="s">
        <v>36</v>
      </c>
      <c r="D36" s="149" t="s">
        <v>117</v>
      </c>
      <c r="E36" s="149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10">(SUM(Q24:Q34)/Q$2)*100000</f>
        <v>10.663978051594265</v>
      </c>
      <c r="R36" s="23">
        <f t="shared" si="10"/>
        <v>26.821520554009815</v>
      </c>
      <c r="S36" s="23">
        <f ca="1">IFERROR(__xludf.DUMMYFUNCTION("INDEX(IMPORTRANGE(""17pNv02DXDpQT9S3w4-QeNym2QJy2BzMBqDXp-XtzJBM"", ""'GAR'!BG3:BG139""),MATCH($D36,IMPORTRANGE(""17pNv02DXDpQT9S3w4-QeNym2QJy2BzMBqDXp-XtzJBM"", ""'GAR'!D3:D139""),0))"),24.5594646036716)</f>
        <v>24.5594646036716</v>
      </c>
      <c r="T36" s="2">
        <v>26.4</v>
      </c>
      <c r="U36" s="2">
        <v>10.5</v>
      </c>
      <c r="V36" s="2">
        <v>25.9</v>
      </c>
      <c r="W36" s="2">
        <v>10.3</v>
      </c>
      <c r="X36" s="24">
        <f ca="1">+S36*(1+(Y36-R36)/R36)</f>
        <v>23.349397590361409</v>
      </c>
      <c r="Y36" s="2">
        <v>25.5</v>
      </c>
      <c r="Z36" s="23">
        <f ca="1">IFERROR(__xludf.DUMMYFUNCTION("INDEX(IMPORTRANGE(""17pNv02DXDpQT9S3w4-QeNym2QJy2BzMBqDXp-XtzJBM"", ""'GAR'!BH3:BH139""),MATCH($D36,IMPORTRANGE(""17pNv02DXDpQT9S3w4-QeNym2QJy2BzMBqDXp-XtzJBM"", ""'GAR'!D3:D139""),0))"),17.6710781250986)</f>
        <v>17.6710781250986</v>
      </c>
      <c r="AA36" s="23">
        <f ca="1">IFERROR(__xludf.DUMMYFUNCTION("INDEX(IMPORTRANGE(""17pNv02DXDpQT9S3w4-QeNym2QJy2BzMBqDXp-XtzJBM"", ""'GAR'!BI3:BI139""),MATCH($D36,IMPORTRANGE(""17pNv02DXDpQT9S3w4-QeNym2QJy2BzMBqDXp-XtzJBM"", ""'GAR'!D3:D139""),0))"),38.4977059153934)</f>
        <v>38.497705915393396</v>
      </c>
      <c r="AB36" s="23">
        <f ca="1">IFERROR(__xludf.DUMMYFUNCTION("INDEX(IMPORTRANGE(""17pNv02DXDpQT9S3w4-QeNym2QJy2BzMBqDXp-XtzJBM"", ""'GAR'!BJ3:BJ139""),MATCH($D36,IMPORTRANGE(""17pNv02DXDpQT9S3w4-QeNym2QJy2BzMBqDXp-XtzJBM"", ""'GAR'!D3:D139""),0))"),13.3139713099399)</f>
        <v>13.3139713099399</v>
      </c>
      <c r="AC36" s="23">
        <f ca="1">IFERROR(__xludf.DUMMYFUNCTION("INDEX(IMPORTRANGE(""17pNv02DXDpQT9S3w4-QeNym2QJy2BzMBqDXp-XtzJBM"", ""'GAR'!BK3:BK139""),MATCH($D36,IMPORTRANGE(""17pNv02DXDpQT9S3w4-QeNym2QJy2BzMBqDXp-XtzJBM"", ""'GAR'!D3:D139""),0))"),34.368623614031)</f>
        <v>34.368623614031002</v>
      </c>
      <c r="AD36" s="23">
        <f ca="1">IFERROR(__xludf.DUMMYFUNCTION("INDEX(IMPORTRANGE(""17pNv02DXDpQT9S3w4-QeNym2QJy2BzMBqDXp-XtzJBM"", ""'GAR'!BL3:BL139""),MATCH($D36,IMPORTRANGE(""17pNv02DXDpQT9S3w4-QeNym2QJy2BzMBqDXp-XtzJBM"", ""'GAR'!D3:D139""),0))"),21.0665152320064)</f>
        <v>21.066515232006399</v>
      </c>
      <c r="AE36" s="23">
        <f ca="1">IFERROR(__xludf.DUMMYFUNCTION("INDEX(IMPORTRANGE(""17pNv02DXDpQT9S3w4-QeNym2QJy2BzMBqDXp-XtzJBM"", ""'GAR'!BM3:BM139""),MATCH($D36,IMPORTRANGE(""17pNv02DXDpQT9S3w4-QeNym2QJy2BzMBqDXp-XtzJBM"", ""'GAR'!D3:D139""),0))"),39.3852241294033)</f>
        <v>39.385224129403298</v>
      </c>
    </row>
    <row r="37" spans="1:31">
      <c r="A37" s="148" t="s">
        <v>119</v>
      </c>
      <c r="B37" s="148" t="s">
        <v>120</v>
      </c>
      <c r="C37" s="148" t="s">
        <v>30</v>
      </c>
      <c r="D37" s="148" t="s">
        <v>121</v>
      </c>
      <c r="E37" s="148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12">
        <v>202489</v>
      </c>
      <c r="R37" s="12">
        <v>202489</v>
      </c>
      <c r="S37" s="12">
        <f ca="1">IFERROR(__xludf.DUMMYFUNCTION("INDEX(IMPORTRANGE(""17pNv02DXDpQT9S3w4-QeNym2QJy2BzMBqDXp-XtzJBM"", ""'GAR'!BG3:BG139""),MATCH($D37,IMPORTRANGE(""17pNv02DXDpQT9S3w4-QeNym2QJy2BzMBqDXp-XtzJBM"", ""'GAR'!D3:D139""),0))"),195965)</f>
        <v>195965</v>
      </c>
      <c r="T37" s="13"/>
      <c r="U37" s="13"/>
      <c r="V37" s="13"/>
      <c r="W37" s="13"/>
      <c r="X37" s="13"/>
      <c r="Y37" s="4"/>
      <c r="Z37" s="12">
        <f ca="1">IFERROR(__xludf.DUMMYFUNCTION("INDEX(IMPORTRANGE(""17pNv02DXDpQT9S3w4-QeNym2QJy2BzMBqDXp-XtzJBM"", ""'GAR'!BH3:BH139""),MATCH($D37,IMPORTRANGE(""17pNv02DXDpQT9S3w4-QeNym2QJy2BzMBqDXp-XtzJBM"", ""'GAR'!D3:D139""),0))"),202489)</f>
        <v>202489</v>
      </c>
      <c r="AA37" s="12">
        <f ca="1">IFERROR(__xludf.DUMMYFUNCTION("INDEX(IMPORTRANGE(""17pNv02DXDpQT9S3w4-QeNym2QJy2BzMBqDXp-XtzJBM"", ""'GAR'!BI3:BI139""),MATCH($D37,IMPORTRANGE(""17pNv02DXDpQT9S3w4-QeNym2QJy2BzMBqDXp-XtzJBM"", ""'GAR'!D3:D139""),0))"),202489)</f>
        <v>202489</v>
      </c>
      <c r="AB37" s="12">
        <f ca="1">IFERROR(__xludf.DUMMYFUNCTION("INDEX(IMPORTRANGE(""17pNv02DXDpQT9S3w4-QeNym2QJy2BzMBqDXp-XtzJBM"", ""'GAR'!BJ3:BJ139""),MATCH($D37,IMPORTRANGE(""17pNv02DXDpQT9S3w4-QeNym2QJy2BzMBqDXp-XtzJBM"", ""'GAR'!D3:D139""),0))"),207597)</f>
        <v>207597</v>
      </c>
      <c r="AC37" s="12">
        <f ca="1">IFERROR(__xludf.DUMMYFUNCTION("INDEX(IMPORTRANGE(""17pNv02DXDpQT9S3w4-QeNym2QJy2BzMBqDXp-XtzJBM"", ""'GAR'!BK3:BK139""),MATCH($D37,IMPORTRANGE(""17pNv02DXDpQT9S3w4-QeNym2QJy2BzMBqDXp-XtzJBM"", ""'GAR'!D3:D139""),0))"),207597)</f>
        <v>207597</v>
      </c>
      <c r="AD37" s="12">
        <f ca="1">IFERROR(__xludf.DUMMYFUNCTION("INDEX(IMPORTRANGE(""17pNv02DXDpQT9S3w4-QeNym2QJy2BzMBqDXp-XtzJBM"", ""'GAR'!BL3:BL139""),MATCH($D37,IMPORTRANGE(""17pNv02DXDpQT9S3w4-QeNym2QJy2BzMBqDXp-XtzJBM"", ""'GAR'!D3:D139""),0))"),212878)</f>
        <v>212878</v>
      </c>
      <c r="AE37" s="12">
        <f ca="1">IFERROR(__xludf.DUMMYFUNCTION("INDEX(IMPORTRANGE(""17pNv02DXDpQT9S3w4-QeNym2QJy2BzMBqDXp-XtzJBM"", ""'GAR'!BM3:BM139""),MATCH($D37,IMPORTRANGE(""17pNv02DXDpQT9S3w4-QeNym2QJy2BzMBqDXp-XtzJBM"", ""'GAR'!D3:D139""),0))"),212878)</f>
        <v>212878</v>
      </c>
    </row>
    <row r="38" spans="1:31">
      <c r="A38" s="148" t="s">
        <v>119</v>
      </c>
      <c r="B38" s="148" t="s">
        <v>120</v>
      </c>
      <c r="C38" s="148" t="s">
        <v>30</v>
      </c>
      <c r="D38" s="148" t="s">
        <v>123</v>
      </c>
      <c r="E38" s="148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1" t="s">
        <v>361</v>
      </c>
      <c r="P38" s="11">
        <v>45565</v>
      </c>
      <c r="Q38" s="12">
        <v>0</v>
      </c>
      <c r="R38" s="12">
        <v>0</v>
      </c>
      <c r="S38" s="12">
        <f ca="1">IFERROR(__xludf.DUMMYFUNCTION("INDEX(IMPORTRANGE(""17pNv02DXDpQT9S3w4-QeNym2QJy2BzMBqDXp-XtzJBM"", ""'GAR'!BG3:BG139""),MATCH($D38,IMPORTRANGE(""17pNv02DXDpQT9S3w4-QeNym2QJy2BzMBqDXp-XtzJBM"", ""'GAR'!D3:D139""),0))"),0)</f>
        <v>0</v>
      </c>
      <c r="T38" s="1"/>
      <c r="U38" s="1"/>
      <c r="V38" s="1"/>
      <c r="W38" s="1"/>
      <c r="X38" s="1"/>
      <c r="Y38" s="2"/>
      <c r="Z38" s="12">
        <f ca="1">IFERROR(__xludf.DUMMYFUNCTION("INDEX(IMPORTRANGE(""17pNv02DXDpQT9S3w4-QeNym2QJy2BzMBqDXp-XtzJBM"", ""'GAR'!BH3:BH139""),MATCH($D38,IMPORTRANGE(""17pNv02DXDpQT9S3w4-QeNym2QJy2BzMBqDXp-XtzJBM"", ""'GAR'!D3:D139""),0))"),0)</f>
        <v>0</v>
      </c>
      <c r="AA38" s="2">
        <f ca="1">IFERROR(__xludf.DUMMYFUNCTION("INDEX(IMPORTRANGE(""17pNv02DXDpQT9S3w4-QeNym2QJy2BzMBqDXp-XtzJBM"", ""'GAR'!BI3:BI139""),MATCH($D38,IMPORTRANGE(""17pNv02DXDpQT9S3w4-QeNym2QJy2BzMBqDXp-XtzJBM"", ""'GAR'!D3:D139""),0))"),0)</f>
        <v>0</v>
      </c>
      <c r="AB38" s="12">
        <f ca="1">IFERROR(__xludf.DUMMYFUNCTION("INDEX(IMPORTRANGE(""17pNv02DXDpQT9S3w4-QeNym2QJy2BzMBqDXp-XtzJBM"", ""'GAR'!BJ3:BJ139""),MATCH($D38,IMPORTRANGE(""17pNv02DXDpQT9S3w4-QeNym2QJy2BzMBqDXp-XtzJBM"", ""'GAR'!D3:D139""),0))"),0)</f>
        <v>0</v>
      </c>
      <c r="AC38" s="2">
        <f ca="1">IFERROR(__xludf.DUMMYFUNCTION("INDEX(IMPORTRANGE(""17pNv02DXDpQT9S3w4-QeNym2QJy2BzMBqDXp-XtzJBM"", ""'GAR'!BK3:BK139""),MATCH($D38,IMPORTRANGE(""17pNv02DXDpQT9S3w4-QeNym2QJy2BzMBqDXp-XtzJBM"", ""'GAR'!D3:D139""),0))"),0)</f>
        <v>0</v>
      </c>
      <c r="AD38" s="12">
        <f ca="1">IFERROR(__xludf.DUMMYFUNCTION("INDEX(IMPORTRANGE(""17pNv02DXDpQT9S3w4-QeNym2QJy2BzMBqDXp-XtzJBM"", ""'GAR'!BL3:BL139""),MATCH($D38,IMPORTRANGE(""17pNv02DXDpQT9S3w4-QeNym2QJy2BzMBqDXp-XtzJBM"", ""'GAR'!D3:D139""),0))"),0)</f>
        <v>0</v>
      </c>
      <c r="AE38" s="2">
        <f ca="1">IFERROR(__xludf.DUMMYFUNCTION("INDEX(IMPORTRANGE(""17pNv02DXDpQT9S3w4-QeNym2QJy2BzMBqDXp-XtzJBM"", ""'GAR'!BM3:BM139""),MATCH($D38,IMPORTRANGE(""17pNv02DXDpQT9S3w4-QeNym2QJy2BzMBqDXp-XtzJBM"", ""'GAR'!D3:D139""),0))"),0)</f>
        <v>0</v>
      </c>
    </row>
    <row r="39" spans="1:31">
      <c r="A39" s="148" t="s">
        <v>119</v>
      </c>
      <c r="B39" s="148" t="s">
        <v>120</v>
      </c>
      <c r="C39" s="148" t="s">
        <v>36</v>
      </c>
      <c r="D39" s="148" t="s">
        <v>125</v>
      </c>
      <c r="E39" s="148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1" t="s">
        <v>361</v>
      </c>
      <c r="P39" s="11">
        <v>45565</v>
      </c>
      <c r="Q39" s="15">
        <f t="shared" ref="Q39:R39" si="11">Q38/Q37</f>
        <v>0</v>
      </c>
      <c r="R39" s="15">
        <f t="shared" si="11"/>
        <v>0</v>
      </c>
      <c r="S39" s="15">
        <f ca="1">IFERROR(__xludf.DUMMYFUNCTION("INDEX(IMPORTRANGE(""17pNv02DXDpQT9S3w4-QeNym2QJy2BzMBqDXp-XtzJBM"", ""'GAR'!BG3:BG139""),MATCH($D39,IMPORTRANGE(""17pNv02DXDpQT9S3w4-QeNym2QJy2BzMBqDXp-XtzJBM"", ""'GAR'!D3:D139""),0))"),0)</f>
        <v>0</v>
      </c>
      <c r="T39" s="2" t="s">
        <v>419</v>
      </c>
      <c r="U39" s="2" t="s">
        <v>419</v>
      </c>
      <c r="V39" s="2" t="s">
        <v>419</v>
      </c>
      <c r="W39" s="2" t="s">
        <v>419</v>
      </c>
      <c r="X39" s="2" t="s">
        <v>419</v>
      </c>
      <c r="Y39" s="2" t="s">
        <v>419</v>
      </c>
      <c r="Z39" s="15">
        <f ca="1">IFERROR(__xludf.DUMMYFUNCTION("INDEX(IMPORTRANGE(""17pNv02DXDpQT9S3w4-QeNym2QJy2BzMBqDXp-XtzJBM"", ""'GAR'!BH3:BH139""),MATCH($D39,IMPORTRANGE(""17pNv02DXDpQT9S3w4-QeNym2QJy2BzMBqDXp-XtzJBM"", ""'GAR'!D3:D139""),0))"),0)</f>
        <v>0</v>
      </c>
      <c r="AA39" s="15" t="str">
        <f ca="1">IFERROR(__xludf.DUMMYFUNCTION("INDEX(IMPORTRANGE(""17pNv02DXDpQT9S3w4-QeNym2QJy2BzMBqDXp-XtzJBM"", ""'GAR'!BI3:BI139""),MATCH($D39,IMPORTRANGE(""17pNv02DXDpQT9S3w4-QeNym2QJy2BzMBqDXp-XtzJBM"", ""'GAR'!D3:D139""),0))"),"")</f>
        <v/>
      </c>
      <c r="AB39" s="15">
        <f ca="1">IFERROR(__xludf.DUMMYFUNCTION("INDEX(IMPORTRANGE(""17pNv02DXDpQT9S3w4-QeNym2QJy2BzMBqDXp-XtzJBM"", ""'GAR'!BJ3:BJ139""),MATCH($D39,IMPORTRANGE(""17pNv02DXDpQT9S3w4-QeNym2QJy2BzMBqDXp-XtzJBM"", ""'GAR'!D3:D139""),0))"),0)</f>
        <v>0</v>
      </c>
      <c r="AC39" s="15">
        <f ca="1">IFERROR(__xludf.DUMMYFUNCTION("INDEX(IMPORTRANGE(""17pNv02DXDpQT9S3w4-QeNym2QJy2BzMBqDXp-XtzJBM"", ""'GAR'!BK3:BK139""),MATCH($D39,IMPORTRANGE(""17pNv02DXDpQT9S3w4-QeNym2QJy2BzMBqDXp-XtzJBM"", ""'GAR'!D3:D139""),0))"),0)</f>
        <v>0</v>
      </c>
      <c r="AD39" s="15">
        <f ca="1">IFERROR(__xludf.DUMMYFUNCTION("INDEX(IMPORTRANGE(""17pNv02DXDpQT9S3w4-QeNym2QJy2BzMBqDXp-XtzJBM"", ""'GAR'!BL3:BL139""),MATCH($D39,IMPORTRANGE(""17pNv02DXDpQT9S3w4-QeNym2QJy2BzMBqDXp-XtzJBM"", ""'GAR'!D3:D139""),0))"),0)</f>
        <v>0</v>
      </c>
      <c r="AE39" s="15">
        <f ca="1">IFERROR(__xludf.DUMMYFUNCTION("INDEX(IMPORTRANGE(""17pNv02DXDpQT9S3w4-QeNym2QJy2BzMBqDXp-XtzJBM"", ""'GAR'!BM3:BM139""),MATCH($D39,IMPORTRANGE(""17pNv02DXDpQT9S3w4-QeNym2QJy2BzMBqDXp-XtzJBM"", ""'GAR'!D3:D139""),0))"),0)</f>
        <v>0</v>
      </c>
    </row>
    <row r="40" spans="1:31">
      <c r="A40" s="149" t="s">
        <v>119</v>
      </c>
      <c r="B40" s="149" t="s">
        <v>120</v>
      </c>
      <c r="C40" s="149" t="s">
        <v>30</v>
      </c>
      <c r="D40" s="149" t="s">
        <v>330</v>
      </c>
      <c r="E40" s="149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""'GAR'!BG3:BG139""),MATCH($D40,IMPORTRANGE(""17pNv02DXDpQT9S3w4-QeNym2QJy2BzMBqDXp-XtzJBM"", ""'GAR'!D3:D139""),0))"),"")</f>
        <v/>
      </c>
      <c r="T40" s="1"/>
      <c r="U40" s="1"/>
      <c r="V40" s="1"/>
      <c r="W40" s="1"/>
      <c r="X40" s="1"/>
      <c r="Y40" s="2"/>
      <c r="Z40" s="12" t="str">
        <f ca="1">IFERROR(__xludf.DUMMYFUNCTION("INDEX(IMPORTRANGE(""17pNv02DXDpQT9S3w4-QeNym2QJy2BzMBqDXp-XtzJBM"", ""'GAR'!BH3:BH139""),MATCH($D40,IMPORTRANGE(""17pNv02DXDpQT9S3w4-QeNym2QJy2BzMBqDXp-XtzJBM"", ""'GAR'!D3:D139""),0))"),"")</f>
        <v/>
      </c>
      <c r="AA40" s="12" t="str">
        <f ca="1">IFERROR(__xludf.DUMMYFUNCTION("INDEX(IMPORTRANGE(""17pNv02DXDpQT9S3w4-QeNym2QJy2BzMBqDXp-XtzJBM"", ""'GAR'!BI3:BI139""),MATCH($D40,IMPORTRANGE(""17pNv02DXDpQT9S3w4-QeNym2QJy2BzMBqDXp-XtzJBM"", ""'GAR'!D3:D139""),0))"),"")</f>
        <v/>
      </c>
      <c r="AB40" s="12">
        <f ca="1">IFERROR(__xludf.DUMMYFUNCTION("INDEX(IMPORTRANGE(""17pNv02DXDpQT9S3w4-QeNym2QJy2BzMBqDXp-XtzJBM"", ""'GAR'!BJ3:BJ139""),MATCH($D40,IMPORTRANGE(""17pNv02DXDpQT9S3w4-QeNym2QJy2BzMBqDXp-XtzJBM"", ""'GAR'!D3:D139""),0))"),0)</f>
        <v>0</v>
      </c>
      <c r="AC40" s="12">
        <f ca="1">IFERROR(__xludf.DUMMYFUNCTION("INDEX(IMPORTRANGE(""17pNv02DXDpQT9S3w4-QeNym2QJy2BzMBqDXp-XtzJBM"", ""'GAR'!BK3:BK139""),MATCH($D40,IMPORTRANGE(""17pNv02DXDpQT9S3w4-QeNym2QJy2BzMBqDXp-XtzJBM"", ""'GAR'!D3:D139""),0))"),0)</f>
        <v>0</v>
      </c>
      <c r="AD40" s="12">
        <f ca="1">IFERROR(__xludf.DUMMYFUNCTION("INDEX(IMPORTRANGE(""17pNv02DXDpQT9S3w4-QeNym2QJy2BzMBqDXp-XtzJBM"", ""'GAR'!BL3:BL139""),MATCH($D40,IMPORTRANGE(""17pNv02DXDpQT9S3w4-QeNym2QJy2BzMBqDXp-XtzJBM"", ""'GAR'!D3:D139""),0))"),0)</f>
        <v>0</v>
      </c>
      <c r="AE40" s="12">
        <f ca="1">IFERROR(__xludf.DUMMYFUNCTION("INDEX(IMPORTRANGE(""17pNv02DXDpQT9S3w4-QeNym2QJy2BzMBqDXp-XtzJBM"", ""'GAR'!BM3:BM139""),MATCH($D40,IMPORTRANGE(""17pNv02DXDpQT9S3w4-QeNym2QJy2BzMBqDXp-XtzJBM"", ""'GAR'!D3:D139""),0))"),0)</f>
        <v>0</v>
      </c>
    </row>
    <row r="41" spans="1:31">
      <c r="A41" s="149" t="s">
        <v>119</v>
      </c>
      <c r="B41" s="149" t="s">
        <v>120</v>
      </c>
      <c r="C41" s="149" t="s">
        <v>30</v>
      </c>
      <c r="D41" s="149" t="s">
        <v>331</v>
      </c>
      <c r="E41" s="149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""'GAR'!BG3:BG139""),MATCH($D41,IMPORTRANGE(""17pNv02DXDpQT9S3w4-QeNym2QJy2BzMBqDXp-XtzJBM"", ""'GAR'!D3:D139""),0))"),"")</f>
        <v/>
      </c>
      <c r="T41" s="1"/>
      <c r="U41" s="1"/>
      <c r="V41" s="1"/>
      <c r="W41" s="1"/>
      <c r="X41" s="1"/>
      <c r="Y41" s="2"/>
      <c r="Z41" s="12" t="str">
        <f ca="1">IFERROR(__xludf.DUMMYFUNCTION("INDEX(IMPORTRANGE(""17pNv02DXDpQT9S3w4-QeNym2QJy2BzMBqDXp-XtzJBM"", ""'GAR'!BH3:BH139""),MATCH($D41,IMPORTRANGE(""17pNv02DXDpQT9S3w4-QeNym2QJy2BzMBqDXp-XtzJBM"", ""'GAR'!D3:D139""),0))"),"")</f>
        <v/>
      </c>
      <c r="AA41" s="12" t="str">
        <f ca="1">IFERROR(__xludf.DUMMYFUNCTION("INDEX(IMPORTRANGE(""17pNv02DXDpQT9S3w4-QeNym2QJy2BzMBqDXp-XtzJBM"", ""'GAR'!BI3:BI139""),MATCH($D41,IMPORTRANGE(""17pNv02DXDpQT9S3w4-QeNym2QJy2BzMBqDXp-XtzJBM"", ""'GAR'!D3:D139""),0))"),"")</f>
        <v/>
      </c>
      <c r="AB41" s="12">
        <f ca="1">IFERROR(__xludf.DUMMYFUNCTION("INDEX(IMPORTRANGE(""17pNv02DXDpQT9S3w4-QeNym2QJy2BzMBqDXp-XtzJBM"", ""'GAR'!BJ3:BJ139""),MATCH($D41,IMPORTRANGE(""17pNv02DXDpQT9S3w4-QeNym2QJy2BzMBqDXp-XtzJBM"", ""'GAR'!D3:D139""),0))"),60375.3)</f>
        <v>60375.3</v>
      </c>
      <c r="AC41" s="12">
        <f ca="1">IFERROR(__xludf.DUMMYFUNCTION("INDEX(IMPORTRANGE(""17pNv02DXDpQT9S3w4-QeNym2QJy2BzMBqDXp-XtzJBM"", ""'GAR'!BK3:BK139""),MATCH($D41,IMPORTRANGE(""17pNv02DXDpQT9S3w4-QeNym2QJy2BzMBqDXp-XtzJBM"", ""'GAR'!D3:D139""),0))"),123621.33)</f>
        <v>123621.33</v>
      </c>
      <c r="AD41" s="12">
        <f ca="1">IFERROR(__xludf.DUMMYFUNCTION("INDEX(IMPORTRANGE(""17pNv02DXDpQT9S3w4-QeNym2QJy2BzMBqDXp-XtzJBM"", ""'GAR'!BL3:BL139""),MATCH($D41,IMPORTRANGE(""17pNv02DXDpQT9S3w4-QeNym2QJy2BzMBqDXp-XtzJBM"", ""'GAR'!D3:D139""),0))"),68881.73)</f>
        <v>68881.73</v>
      </c>
      <c r="AE41" s="12">
        <f ca="1">IFERROR(__xludf.DUMMYFUNCTION("INDEX(IMPORTRANGE(""17pNv02DXDpQT9S3w4-QeNym2QJy2BzMBqDXp-XtzJBM"", ""'GAR'!BM3:BM139""),MATCH($D41,IMPORTRANGE(""17pNv02DXDpQT9S3w4-QeNym2QJy2BzMBqDXp-XtzJBM"", ""'GAR'!D3:D139""),0))"),133954.01)</f>
        <v>133954.01</v>
      </c>
    </row>
    <row r="42" spans="1:31">
      <c r="A42" s="149" t="s">
        <v>119</v>
      </c>
      <c r="B42" s="149" t="s">
        <v>120</v>
      </c>
      <c r="C42" s="149" t="s">
        <v>36</v>
      </c>
      <c r="D42" s="149" t="s">
        <v>333</v>
      </c>
      <c r="E42" s="149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""'GAR'!BG3:BG139""),MATCH($D42,IMPORTRANGE(""17pNv02DXDpQT9S3w4-QeNym2QJy2BzMBqDXp-XtzJBM"", ""'GAR'!D3:D139""),0))"),"")</f>
        <v/>
      </c>
      <c r="T42" s="2"/>
      <c r="U42" s="2" t="s">
        <v>419</v>
      </c>
      <c r="V42" s="2" t="s">
        <v>419</v>
      </c>
      <c r="W42" s="2" t="s">
        <v>419</v>
      </c>
      <c r="X42" s="2" t="s">
        <v>419</v>
      </c>
      <c r="Y42" s="2" t="s">
        <v>419</v>
      </c>
      <c r="Z42" s="12" t="str">
        <f ca="1">IFERROR(__xludf.DUMMYFUNCTION("INDEX(IMPORTRANGE(""17pNv02DXDpQT9S3w4-QeNym2QJy2BzMBqDXp-XtzJBM"", ""'GAR'!BH3:BH139""),MATCH($D42,IMPORTRANGE(""17pNv02DXDpQT9S3w4-QeNym2QJy2BzMBqDXp-XtzJBM"", ""'GAR'!D3:D139""),0))"),"")</f>
        <v/>
      </c>
      <c r="AA42" s="12" t="str">
        <f ca="1">IFERROR(__xludf.DUMMYFUNCTION("INDEX(IMPORTRANGE(""17pNv02DXDpQT9S3w4-QeNym2QJy2BzMBqDXp-XtzJBM"", ""'GAR'!BI3:BI139""),MATCH($D42,IMPORTRANGE(""17pNv02DXDpQT9S3w4-QeNym2QJy2BzMBqDXp-XtzJBM"", ""'GAR'!D3:D139""),0))"),"")</f>
        <v/>
      </c>
      <c r="AB42" s="12">
        <f ca="1">IFERROR(__xludf.DUMMYFUNCTION("INDEX(IMPORTRANGE(""17pNv02DXDpQT9S3w4-QeNym2QJy2BzMBqDXp-XtzJBM"", ""'GAR'!BJ3:BJ139""),MATCH($D42,IMPORTRANGE(""17pNv02DXDpQT9S3w4-QeNym2QJy2BzMBqDXp-XtzJBM"", ""'GAR'!D3:D139""),0))"),0)</f>
        <v>0</v>
      </c>
      <c r="AC42" s="12">
        <f ca="1">IFERROR(__xludf.DUMMYFUNCTION("INDEX(IMPORTRANGE(""17pNv02DXDpQT9S3w4-QeNym2QJy2BzMBqDXp-XtzJBM"", ""'GAR'!BK3:BK139""),MATCH($D42,IMPORTRANGE(""17pNv02DXDpQT9S3w4-QeNym2QJy2BzMBqDXp-XtzJBM"", ""'GAR'!D3:D139""),0))"),0)</f>
        <v>0</v>
      </c>
      <c r="AD42" s="12">
        <f ca="1">IFERROR(__xludf.DUMMYFUNCTION("INDEX(IMPORTRANGE(""17pNv02DXDpQT9S3w4-QeNym2QJy2BzMBqDXp-XtzJBM"", ""'GAR'!BL3:BL139""),MATCH($D42,IMPORTRANGE(""17pNv02DXDpQT9S3w4-QeNym2QJy2BzMBqDXp-XtzJBM"", ""'GAR'!D3:D139""),0))"),0)</f>
        <v>0</v>
      </c>
      <c r="AE42" s="15">
        <f ca="1">IFERROR(__xludf.DUMMYFUNCTION("INDEX(IMPORTRANGE(""17pNv02DXDpQT9S3w4-QeNym2QJy2BzMBqDXp-XtzJBM"", ""'GAR'!BM3:BM139""),MATCH($D42,IMPORTRANGE(""17pNv02DXDpQT9S3w4-QeNym2QJy2BzMBqDXp-XtzJBM"", ""'GAR'!D3:D139""),0))"),0)</f>
        <v>0</v>
      </c>
    </row>
    <row r="43" spans="1:31">
      <c r="A43" s="149" t="s">
        <v>119</v>
      </c>
      <c r="B43" s="149" t="s">
        <v>127</v>
      </c>
      <c r="C43" s="149" t="s">
        <v>36</v>
      </c>
      <c r="D43" s="149" t="s">
        <v>128</v>
      </c>
      <c r="E43" s="149" t="s">
        <v>38</v>
      </c>
      <c r="F43" s="9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12" t="s">
        <v>364</v>
      </c>
      <c r="P43" s="12" t="s">
        <v>132</v>
      </c>
      <c r="Q43" s="12">
        <v>0</v>
      </c>
      <c r="R43" s="12">
        <v>0</v>
      </c>
      <c r="S43" s="12">
        <f ca="1">IFERROR(__xludf.DUMMYFUNCTION("INDEX(IMPORTRANGE(""17pNv02DXDpQT9S3w4-QeNym2QJy2BzMBqDXp-XtzJBM"", ""'GAR'!BG3:BG139""),MATCH($D43,IMPORTRANGE(""17pNv02DXDpQT9S3w4-QeNym2QJy2BzMBqDXp-XtzJBM"", ""'GAR'!D3:D139""),0))"),0)</f>
        <v>0</v>
      </c>
      <c r="T43" s="2">
        <v>1</v>
      </c>
      <c r="U43" s="2">
        <v>2</v>
      </c>
      <c r="V43" s="2">
        <v>2</v>
      </c>
      <c r="W43" s="2">
        <v>3</v>
      </c>
      <c r="X43" s="2">
        <v>3</v>
      </c>
      <c r="Y43" s="2">
        <v>3</v>
      </c>
      <c r="Z43" s="12">
        <f ca="1">IFERROR(__xludf.DUMMYFUNCTION("INDEX(IMPORTRANGE(""17pNv02DXDpQT9S3w4-QeNym2QJy2BzMBqDXp-XtzJBM"", ""'GAR'!BH3:BH139""),MATCH($D43,IMPORTRANGE(""17pNv02DXDpQT9S3w4-QeNym2QJy2BzMBqDXp-XtzJBM"", ""'GAR'!D3:D139""),0))"),0)</f>
        <v>0</v>
      </c>
      <c r="AA43" s="2">
        <f ca="1">IFERROR(__xludf.DUMMYFUNCTION("INDEX(IMPORTRANGE(""17pNv02DXDpQT9S3w4-QeNym2QJy2BzMBqDXp-XtzJBM"", ""'GAR'!BI3:BI139""),MATCH($D43,IMPORTRANGE(""17pNv02DXDpQT9S3w4-QeNym2QJy2BzMBqDXp-XtzJBM"", ""'GAR'!D3:D139""),0))"),0)</f>
        <v>0</v>
      </c>
      <c r="AB43" s="12">
        <f ca="1">IFERROR(__xludf.DUMMYFUNCTION("INDEX(IMPORTRANGE(""17pNv02DXDpQT9S3w4-QeNym2QJy2BzMBqDXp-XtzJBM"", ""'GAR'!BJ3:BJ139""),MATCH($D43,IMPORTRANGE(""17pNv02DXDpQT9S3w4-QeNym2QJy2BzMBqDXp-XtzJBM"", ""'GAR'!D3:D139""),0))"),0)</f>
        <v>0</v>
      </c>
      <c r="AC43" s="2">
        <f ca="1">IFERROR(__xludf.DUMMYFUNCTION("INDEX(IMPORTRANGE(""17pNv02DXDpQT9S3w4-QeNym2QJy2BzMBqDXp-XtzJBM"", ""'GAR'!BK3:BK139""),MATCH($D43,IMPORTRANGE(""17pNv02DXDpQT9S3w4-QeNym2QJy2BzMBqDXp-XtzJBM"", ""'GAR'!D3:D139""),0))"),0)</f>
        <v>0</v>
      </c>
      <c r="AD43" s="12">
        <f ca="1">IFERROR(__xludf.DUMMYFUNCTION("INDEX(IMPORTRANGE(""17pNv02DXDpQT9S3w4-QeNym2QJy2BzMBqDXp-XtzJBM"", ""'GAR'!BL3:BL139""),MATCH($D43,IMPORTRANGE(""17pNv02DXDpQT9S3w4-QeNym2QJy2BzMBqDXp-XtzJBM"", ""'GAR'!D3:D139""),0))"),0)</f>
        <v>0</v>
      </c>
      <c r="AE43" s="2">
        <f ca="1">IFERROR(__xludf.DUMMYFUNCTION("INDEX(IMPORTRANGE(""17pNv02DXDpQT9S3w4-QeNym2QJy2BzMBqDXp-XtzJBM"", ""'GAR'!BM3:BM139""),MATCH($D43,IMPORTRANGE(""17pNv02DXDpQT9S3w4-QeNym2QJy2BzMBqDXp-XtzJBM"", ""'GAR'!D3:D139""),0))"),0)</f>
        <v>0</v>
      </c>
    </row>
    <row r="44" spans="1:31">
      <c r="A44" s="149" t="s">
        <v>119</v>
      </c>
      <c r="B44" s="149" t="s">
        <v>133</v>
      </c>
      <c r="C44" s="149" t="s">
        <v>36</v>
      </c>
      <c r="D44" s="149" t="s">
        <v>134</v>
      </c>
      <c r="E44" s="149" t="s">
        <v>38</v>
      </c>
      <c r="F44" s="9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12" t="s">
        <v>364</v>
      </c>
      <c r="P44" s="12" t="s">
        <v>132</v>
      </c>
      <c r="Q44" s="12">
        <v>230</v>
      </c>
      <c r="R44" s="12">
        <v>440</v>
      </c>
      <c r="S44" s="12">
        <f ca="1">IFERROR(__xludf.DUMMYFUNCTION("INDEX(IMPORTRANGE(""17pNv02DXDpQT9S3w4-QeNym2QJy2BzMBqDXp-XtzJBM"", ""'GAR'!BG3:BG139""),MATCH($D44,IMPORTRANGE(""17pNv02DXDpQT9S3w4-QeNym2QJy2BzMBqDXp-XtzJBM"", ""'GAR'!D3:D139""),0))"),440)</f>
        <v>440</v>
      </c>
      <c r="T44" s="9">
        <v>1000</v>
      </c>
      <c r="U44" s="9">
        <f t="shared" ref="U44:V44" si="12">T44+500</f>
        <v>1500</v>
      </c>
      <c r="V44" s="9">
        <f t="shared" si="12"/>
        <v>2000</v>
      </c>
      <c r="W44" s="9">
        <f>500+V44</f>
        <v>2500</v>
      </c>
      <c r="X44" s="12">
        <f>((Y44-W44)/6)*5+W44</f>
        <v>2916.6666666666665</v>
      </c>
      <c r="Y44" s="2">
        <v>3000</v>
      </c>
      <c r="Z44" s="12">
        <f ca="1">IFERROR(__xludf.DUMMYFUNCTION("INDEX(IMPORTRANGE(""17pNv02DXDpQT9S3w4-QeNym2QJy2BzMBqDXp-XtzJBM"", ""'GAR'!BH3:BH139""),MATCH($D44,IMPORTRANGE(""17pNv02DXDpQT9S3w4-QeNym2QJy2BzMBqDXp-XtzJBM"", ""'GAR'!D3:D139""),0))"),779)</f>
        <v>779</v>
      </c>
      <c r="AA44" s="12">
        <f ca="1">IFERROR(__xludf.DUMMYFUNCTION("INDEX(IMPORTRANGE(""17pNv02DXDpQT9S3w4-QeNym2QJy2BzMBqDXp-XtzJBM"", ""'GAR'!BI3:BI139""),MATCH($D44,IMPORTRANGE(""17pNv02DXDpQT9S3w4-QeNym2QJy2BzMBqDXp-XtzJBM"", ""'GAR'!D3:D139""),0))"),922)</f>
        <v>922</v>
      </c>
      <c r="AB44" s="12">
        <f ca="1">IFERROR(__xludf.DUMMYFUNCTION("INDEX(IMPORTRANGE(""17pNv02DXDpQT9S3w4-QeNym2QJy2BzMBqDXp-XtzJBM"", ""'GAR'!BJ3:BJ139""),MATCH($D44,IMPORTRANGE(""17pNv02DXDpQT9S3w4-QeNym2QJy2BzMBqDXp-XtzJBM"", ""'GAR'!D3:D139""),0))"),1167)</f>
        <v>1167</v>
      </c>
      <c r="AC44" s="12">
        <f ca="1">IFERROR(__xludf.DUMMYFUNCTION("INDEX(IMPORTRANGE(""17pNv02DXDpQT9S3w4-QeNym2QJy2BzMBqDXp-XtzJBM"", ""'GAR'!BK3:BK139""),MATCH($D44,IMPORTRANGE(""17pNv02DXDpQT9S3w4-QeNym2QJy2BzMBqDXp-XtzJBM"", ""'GAR'!D3:D139""),0))"),1504)</f>
        <v>1504</v>
      </c>
      <c r="AD44" s="12">
        <f ca="1">IFERROR(__xludf.DUMMYFUNCTION("INDEX(IMPORTRANGE(""17pNv02DXDpQT9S3w4-QeNym2QJy2BzMBqDXp-XtzJBM"", ""'GAR'!BL3:BL139""),MATCH($D44,IMPORTRANGE(""17pNv02DXDpQT9S3w4-QeNym2QJy2BzMBqDXp-XtzJBM"", ""'GAR'!D3:D139""),0))"),1587)</f>
        <v>1587</v>
      </c>
      <c r="AE44" s="12">
        <f ca="1">IFERROR(__xludf.DUMMYFUNCTION("INDEX(IMPORTRANGE(""17pNv02DXDpQT9S3w4-QeNym2QJy2BzMBqDXp-XtzJBM"", ""'GAR'!BM3:BM139""),MATCH($D44,IMPORTRANGE(""17pNv02DXDpQT9S3w4-QeNym2QJy2BzMBqDXp-XtzJBM"", ""'GAR'!D3:D139""),0))"),1635)</f>
        <v>1635</v>
      </c>
    </row>
    <row r="45" spans="1:31">
      <c r="A45" s="149" t="s">
        <v>119</v>
      </c>
      <c r="B45" s="149" t="s">
        <v>136</v>
      </c>
      <c r="C45" s="149" t="s">
        <v>30</v>
      </c>
      <c r="D45" s="149" t="s">
        <v>137</v>
      </c>
      <c r="E45" s="149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12" t="s">
        <v>364</v>
      </c>
      <c r="P45" s="12" t="s">
        <v>132</v>
      </c>
      <c r="Q45" s="12">
        <v>3</v>
      </c>
      <c r="R45" s="12">
        <v>6</v>
      </c>
      <c r="S45" s="12">
        <f ca="1">IFERROR(__xludf.DUMMYFUNCTION("INDEX(IMPORTRANGE(""17pNv02DXDpQT9S3w4-QeNym2QJy2BzMBqDXp-XtzJBM"", ""'GAR'!BG3:BG139""),MATCH($D45,IMPORTRANGE(""17pNv02DXDpQT9S3w4-QeNym2QJy2BzMBqDXp-XtzJBM"", ""'GAR'!D3:D139""),0))"),6)</f>
        <v>6</v>
      </c>
      <c r="T45" s="1"/>
      <c r="U45" s="1"/>
      <c r="V45" s="1"/>
      <c r="W45" s="1"/>
      <c r="X45" s="1"/>
      <c r="Y45" s="2">
        <v>9</v>
      </c>
      <c r="Z45" s="12">
        <f ca="1">IFERROR(__xludf.DUMMYFUNCTION("INDEX(IMPORTRANGE(""17pNv02DXDpQT9S3w4-QeNym2QJy2BzMBqDXp-XtzJBM"", ""'GAR'!BH3:BH139""),MATCH($D45,IMPORTRANGE(""17pNv02DXDpQT9S3w4-QeNym2QJy2BzMBqDXp-XtzJBM"", ""'GAR'!D3:D139""),0))"),3)</f>
        <v>3</v>
      </c>
      <c r="AA45" s="2">
        <f ca="1">IFERROR(__xludf.DUMMYFUNCTION("INDEX(IMPORTRANGE(""17pNv02DXDpQT9S3w4-QeNym2QJy2BzMBqDXp-XtzJBM"", ""'GAR'!BI3:BI139""),MATCH($D45,IMPORTRANGE(""17pNv02DXDpQT9S3w4-QeNym2QJy2BzMBqDXp-XtzJBM"", ""'GAR'!D3:D139""),0))"),6)</f>
        <v>6</v>
      </c>
      <c r="AB45" s="12">
        <f ca="1">IFERROR(__xludf.DUMMYFUNCTION("INDEX(IMPORTRANGE(""17pNv02DXDpQT9S3w4-QeNym2QJy2BzMBqDXp-XtzJBM"", ""'GAR'!BJ3:BJ139""),MATCH($D45,IMPORTRANGE(""17pNv02DXDpQT9S3w4-QeNym2QJy2BzMBqDXp-XtzJBM"", ""'GAR'!D3:D139""),0))"),7)</f>
        <v>7</v>
      </c>
      <c r="AC45" s="2">
        <f ca="1">IFERROR(__xludf.DUMMYFUNCTION("INDEX(IMPORTRANGE(""17pNv02DXDpQT9S3w4-QeNym2QJy2BzMBqDXp-XtzJBM"", ""'GAR'!BK3:BK139""),MATCH($D45,IMPORTRANGE(""17pNv02DXDpQT9S3w4-QeNym2QJy2BzMBqDXp-XtzJBM"", ""'GAR'!D3:D139""),0))"),10)</f>
        <v>10</v>
      </c>
      <c r="AD45" s="12">
        <f ca="1">IFERROR(__xludf.DUMMYFUNCTION("INDEX(IMPORTRANGE(""17pNv02DXDpQT9S3w4-QeNym2QJy2BzMBqDXp-XtzJBM"", ""'GAR'!BL3:BL139""),MATCH($D45,IMPORTRANGE(""17pNv02DXDpQT9S3w4-QeNym2QJy2BzMBqDXp-XtzJBM"", ""'GAR'!D3:D139""),0))"),10)</f>
        <v>10</v>
      </c>
      <c r="AE45" s="2">
        <f ca="1">IFERROR(__xludf.DUMMYFUNCTION("INDEX(IMPORTRANGE(""17pNv02DXDpQT9S3w4-QeNym2QJy2BzMBqDXp-XtzJBM"", ""'GAR'!BM3:BM139""),MATCH($D45,IMPORTRANGE(""17pNv02DXDpQT9S3w4-QeNym2QJy2BzMBqDXp-XtzJBM"", ""'GAR'!D3:D139""),0))"),10)</f>
        <v>10</v>
      </c>
    </row>
    <row r="46" spans="1:31">
      <c r="A46" s="149" t="s">
        <v>119</v>
      </c>
      <c r="B46" s="149" t="s">
        <v>136</v>
      </c>
      <c r="C46" s="149" t="s">
        <v>30</v>
      </c>
      <c r="D46" s="149" t="s">
        <v>139</v>
      </c>
      <c r="E46" s="149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12" t="s">
        <v>364</v>
      </c>
      <c r="P46" s="12" t="s">
        <v>132</v>
      </c>
      <c r="Q46" s="12"/>
      <c r="R46" s="12"/>
      <c r="S46" s="12">
        <f ca="1">IFERROR(__xludf.DUMMYFUNCTION("INDEX(IMPORTRANGE(""17pNv02DXDpQT9S3w4-QeNym2QJy2BzMBqDXp-XtzJBM"", ""'GAR'!BG3:BG139""),MATCH($D46,IMPORTRANGE(""17pNv02DXDpQT9S3w4-QeNym2QJy2BzMBqDXp-XtzJBM"", ""'GAR'!D3:D139""),0))"),0)</f>
        <v>0</v>
      </c>
      <c r="T46" s="1"/>
      <c r="U46" s="1"/>
      <c r="V46" s="1"/>
      <c r="W46" s="1"/>
      <c r="X46" s="1"/>
      <c r="Y46" s="2"/>
      <c r="Z46" s="12" t="str">
        <f ca="1">IFERROR(__xludf.DUMMYFUNCTION("INDEX(IMPORTRANGE(""17pNv02DXDpQT9S3w4-QeNym2QJy2BzMBqDXp-XtzJBM"", ""'GAR'!BH3:BH139""),MATCH($D46,IMPORTRANGE(""17pNv02DXDpQT9S3w4-QeNym2QJy2BzMBqDXp-XtzJBM"", ""'GAR'!D3:D139""),0))"),"")</f>
        <v/>
      </c>
      <c r="AA46" s="2">
        <f ca="1">IFERROR(__xludf.DUMMYFUNCTION("INDEX(IMPORTRANGE(""17pNv02DXDpQT9S3w4-QeNym2QJy2BzMBqDXp-XtzJBM"", ""'GAR'!BI3:BI139""),MATCH($D46,IMPORTRANGE(""17pNv02DXDpQT9S3w4-QeNym2QJy2BzMBqDXp-XtzJBM"", ""'GAR'!D3:D139""),0))"),0)</f>
        <v>0</v>
      </c>
      <c r="AB46" s="12">
        <f ca="1">IFERROR(__xludf.DUMMYFUNCTION("INDEX(IMPORTRANGE(""17pNv02DXDpQT9S3w4-QeNym2QJy2BzMBqDXp-XtzJBM"", ""'GAR'!BJ3:BJ139""),MATCH($D46,IMPORTRANGE(""17pNv02DXDpQT9S3w4-QeNym2QJy2BzMBqDXp-XtzJBM"", ""'GAR'!D3:D139""),0))"),0)</f>
        <v>0</v>
      </c>
      <c r="AC46" s="2">
        <f ca="1">IFERROR(__xludf.DUMMYFUNCTION("INDEX(IMPORTRANGE(""17pNv02DXDpQT9S3w4-QeNym2QJy2BzMBqDXp-XtzJBM"", ""'GAR'!BK3:BK139""),MATCH($D46,IMPORTRANGE(""17pNv02DXDpQT9S3w4-QeNym2QJy2BzMBqDXp-XtzJBM"", ""'GAR'!D3:D139""),0))"),0)</f>
        <v>0</v>
      </c>
      <c r="AD46" s="12">
        <f ca="1">IFERROR(__xludf.DUMMYFUNCTION("INDEX(IMPORTRANGE(""17pNv02DXDpQT9S3w4-QeNym2QJy2BzMBqDXp-XtzJBM"", ""'GAR'!BL3:BL139""),MATCH($D46,IMPORTRANGE(""17pNv02DXDpQT9S3w4-QeNym2QJy2BzMBqDXp-XtzJBM"", ""'GAR'!D3:D139""),0))"),0)</f>
        <v>0</v>
      </c>
      <c r="AE46" s="2">
        <f ca="1">IFERROR(__xludf.DUMMYFUNCTION("INDEX(IMPORTRANGE(""17pNv02DXDpQT9S3w4-QeNym2QJy2BzMBqDXp-XtzJBM"", ""'GAR'!BM3:BM139""),MATCH($D46,IMPORTRANGE(""17pNv02DXDpQT9S3w4-QeNym2QJy2BzMBqDXp-XtzJBM"", ""'GAR'!D3:D139""),0))"),0)</f>
        <v>0</v>
      </c>
    </row>
    <row r="47" spans="1:31">
      <c r="A47" s="149" t="s">
        <v>119</v>
      </c>
      <c r="B47" s="149" t="s">
        <v>136</v>
      </c>
      <c r="C47" s="149" t="s">
        <v>30</v>
      </c>
      <c r="D47" s="149" t="s">
        <v>141</v>
      </c>
      <c r="E47" s="149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12" t="s">
        <v>364</v>
      </c>
      <c r="P47" s="12" t="s">
        <v>132</v>
      </c>
      <c r="Q47" s="12">
        <v>6</v>
      </c>
      <c r="R47" s="12">
        <v>19</v>
      </c>
      <c r="S47" s="12">
        <f ca="1">IFERROR(__xludf.DUMMYFUNCTION("INDEX(IMPORTRANGE(""17pNv02DXDpQT9S3w4-QeNym2QJy2BzMBqDXp-XtzJBM"", ""'GAR'!BG3:BG139""),MATCH($D47,IMPORTRANGE(""17pNv02DXDpQT9S3w4-QeNym2QJy2BzMBqDXp-XtzJBM"", ""'GAR'!D3:D139""),0))"),19)</f>
        <v>19</v>
      </c>
      <c r="T47" s="1"/>
      <c r="U47" s="1"/>
      <c r="V47" s="1"/>
      <c r="W47" s="1"/>
      <c r="X47" s="1"/>
      <c r="Y47" s="2">
        <v>40</v>
      </c>
      <c r="Z47" s="12">
        <f ca="1">IFERROR(__xludf.DUMMYFUNCTION("INDEX(IMPORTRANGE(""17pNv02DXDpQT9S3w4-QeNym2QJy2BzMBqDXp-XtzJBM"", ""'GAR'!BH3:BH139""),MATCH($D47,IMPORTRANGE(""17pNv02DXDpQT9S3w4-QeNym2QJy2BzMBqDXp-XtzJBM"", ""'GAR'!D3:D139""),0))"),6)</f>
        <v>6</v>
      </c>
      <c r="AA47" s="2">
        <f ca="1">IFERROR(__xludf.DUMMYFUNCTION("INDEX(IMPORTRANGE(""17pNv02DXDpQT9S3w4-QeNym2QJy2BzMBqDXp-XtzJBM"", ""'GAR'!BI3:BI139""),MATCH($D47,IMPORTRANGE(""17pNv02DXDpQT9S3w4-QeNym2QJy2BzMBqDXp-XtzJBM"", ""'GAR'!D3:D139""),0))"),19)</f>
        <v>19</v>
      </c>
      <c r="AB47" s="12">
        <f ca="1">IFERROR(__xludf.DUMMYFUNCTION("INDEX(IMPORTRANGE(""17pNv02DXDpQT9S3w4-QeNym2QJy2BzMBqDXp-XtzJBM"", ""'GAR'!BJ3:BJ139""),MATCH($D47,IMPORTRANGE(""17pNv02DXDpQT9S3w4-QeNym2QJy2BzMBqDXp-XtzJBM"", ""'GAR'!D3:D139""),0))"),19)</f>
        <v>19</v>
      </c>
      <c r="AC47" s="2">
        <f ca="1">IFERROR(__xludf.DUMMYFUNCTION("INDEX(IMPORTRANGE(""17pNv02DXDpQT9S3w4-QeNym2QJy2BzMBqDXp-XtzJBM"", ""'GAR'!BK3:BK139""),MATCH($D47,IMPORTRANGE(""17pNv02DXDpQT9S3w4-QeNym2QJy2BzMBqDXp-XtzJBM"", ""'GAR'!D3:D139""),0))"),38)</f>
        <v>38</v>
      </c>
      <c r="AD47" s="12">
        <f ca="1">IFERROR(__xludf.DUMMYFUNCTION("INDEX(IMPORTRANGE(""17pNv02DXDpQT9S3w4-QeNym2QJy2BzMBqDXp-XtzJBM"", ""'GAR'!BL3:BL139""),MATCH($D47,IMPORTRANGE(""17pNv02DXDpQT9S3w4-QeNym2QJy2BzMBqDXp-XtzJBM"", ""'GAR'!D3:D139""),0))"),38)</f>
        <v>38</v>
      </c>
      <c r="AE47" s="2">
        <f ca="1">IFERROR(__xludf.DUMMYFUNCTION("INDEX(IMPORTRANGE(""17pNv02DXDpQT9S3w4-QeNym2QJy2BzMBqDXp-XtzJBM"", ""'GAR'!BM3:BM139""),MATCH($D47,IMPORTRANGE(""17pNv02DXDpQT9S3w4-QeNym2QJy2BzMBqDXp-XtzJBM"", ""'GAR'!D3:D139""),0))"),38)</f>
        <v>38</v>
      </c>
    </row>
    <row r="48" spans="1:31">
      <c r="A48" s="149" t="s">
        <v>119</v>
      </c>
      <c r="B48" s="149" t="s">
        <v>136</v>
      </c>
      <c r="C48" s="149" t="s">
        <v>30</v>
      </c>
      <c r="D48" s="149" t="s">
        <v>143</v>
      </c>
      <c r="E48" s="149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12" t="s">
        <v>364</v>
      </c>
      <c r="P48" s="12" t="s">
        <v>132</v>
      </c>
      <c r="Q48" s="12"/>
      <c r="R48" s="12"/>
      <c r="S48" s="12">
        <f ca="1">IFERROR(__xludf.DUMMYFUNCTION("INDEX(IMPORTRANGE(""17pNv02DXDpQT9S3w4-QeNym2QJy2BzMBqDXp-XtzJBM"", ""'GAR'!BG3:BG139""),MATCH($D48,IMPORTRANGE(""17pNv02DXDpQT9S3w4-QeNym2QJy2BzMBqDXp-XtzJBM"", ""'GAR'!D3:D139""),0))"),0)</f>
        <v>0</v>
      </c>
      <c r="T48" s="13"/>
      <c r="U48" s="13"/>
      <c r="V48" s="13"/>
      <c r="W48" s="13"/>
      <c r="X48" s="13"/>
      <c r="Y48" s="4"/>
      <c r="Z48" s="12" t="str">
        <f ca="1">IFERROR(__xludf.DUMMYFUNCTION("INDEX(IMPORTRANGE(""17pNv02DXDpQT9S3w4-QeNym2QJy2BzMBqDXp-XtzJBM"", ""'GAR'!BH3:BH139""),MATCH($D48,IMPORTRANGE(""17pNv02DXDpQT9S3w4-QeNym2QJy2BzMBqDXp-XtzJBM"", ""'GAR'!D3:D139""),0))"),"")</f>
        <v/>
      </c>
      <c r="AA48" s="2">
        <f ca="1">IFERROR(__xludf.DUMMYFUNCTION("INDEX(IMPORTRANGE(""17pNv02DXDpQT9S3w4-QeNym2QJy2BzMBqDXp-XtzJBM"", ""'GAR'!BI3:BI139""),MATCH($D48,IMPORTRANGE(""17pNv02DXDpQT9S3w4-QeNym2QJy2BzMBqDXp-XtzJBM"", ""'GAR'!D3:D139""),0))"),0)</f>
        <v>0</v>
      </c>
      <c r="AB48" s="12">
        <f ca="1">IFERROR(__xludf.DUMMYFUNCTION("INDEX(IMPORTRANGE(""17pNv02DXDpQT9S3w4-QeNym2QJy2BzMBqDXp-XtzJBM"", ""'GAR'!BJ3:BJ139""),MATCH($D48,IMPORTRANGE(""17pNv02DXDpQT9S3w4-QeNym2QJy2BzMBqDXp-XtzJBM"", ""'GAR'!D3:D139""),0))"),0)</f>
        <v>0</v>
      </c>
      <c r="AC48" s="2">
        <f ca="1">IFERROR(__xludf.DUMMYFUNCTION("INDEX(IMPORTRANGE(""17pNv02DXDpQT9S3w4-QeNym2QJy2BzMBqDXp-XtzJBM"", ""'GAR'!BK3:BK139""),MATCH($D48,IMPORTRANGE(""17pNv02DXDpQT9S3w4-QeNym2QJy2BzMBqDXp-XtzJBM"", ""'GAR'!D3:D139""),0))"),0)</f>
        <v>0</v>
      </c>
      <c r="AD48" s="12">
        <f ca="1">IFERROR(__xludf.DUMMYFUNCTION("INDEX(IMPORTRANGE(""17pNv02DXDpQT9S3w4-QeNym2QJy2BzMBqDXp-XtzJBM"", ""'GAR'!BL3:BL139""),MATCH($D48,IMPORTRANGE(""17pNv02DXDpQT9S3w4-QeNym2QJy2BzMBqDXp-XtzJBM"", ""'GAR'!D3:D139""),0))"),0)</f>
        <v>0</v>
      </c>
      <c r="AE48" s="2">
        <f ca="1">IFERROR(__xludf.DUMMYFUNCTION("INDEX(IMPORTRANGE(""17pNv02DXDpQT9S3w4-QeNym2QJy2BzMBqDXp-XtzJBM"", ""'GAR'!BM3:BM139""),MATCH($D48,IMPORTRANGE(""17pNv02DXDpQT9S3w4-QeNym2QJy2BzMBqDXp-XtzJBM"", ""'GAR'!D3:D139""),0))"),0)</f>
        <v>0</v>
      </c>
    </row>
    <row r="49" spans="1:31">
      <c r="A49" s="149" t="s">
        <v>119</v>
      </c>
      <c r="B49" s="149" t="s">
        <v>136</v>
      </c>
      <c r="C49" s="149" t="s">
        <v>36</v>
      </c>
      <c r="D49" s="149" t="s">
        <v>145</v>
      </c>
      <c r="E49" s="149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12" t="s">
        <v>364</v>
      </c>
      <c r="P49" s="12" t="s">
        <v>132</v>
      </c>
      <c r="Q49" s="12">
        <f t="shared" ref="Q49:R49" si="13">Q45+Q47</f>
        <v>9</v>
      </c>
      <c r="R49" s="12">
        <f t="shared" si="13"/>
        <v>25</v>
      </c>
      <c r="S49" s="12">
        <f ca="1">IFERROR(__xludf.DUMMYFUNCTION("INDEX(IMPORTRANGE(""17pNv02DXDpQT9S3w4-QeNym2QJy2BzMBqDXp-XtzJBM"", ""'GAR'!BG3:BG139""),MATCH($D49,IMPORTRANGE(""17pNv02DXDpQT9S3w4-QeNym2QJy2BzMBqDXp-XtzJBM"", ""'GAR'!D3:D139""),0))"),25)</f>
        <v>25</v>
      </c>
      <c r="T49" s="4">
        <v>16</v>
      </c>
      <c r="U49" s="4">
        <f>T49+8</f>
        <v>24</v>
      </c>
      <c r="V49" s="4">
        <f>17-8+U49</f>
        <v>33</v>
      </c>
      <c r="W49" s="4">
        <f>V49+8</f>
        <v>41</v>
      </c>
      <c r="X49" s="217">
        <f>((Y49-W49)/6)*5+W49</f>
        <v>47.666666666666664</v>
      </c>
      <c r="Y49" s="4">
        <v>49</v>
      </c>
      <c r="Z49" s="12">
        <f ca="1">IFERROR(__xludf.DUMMYFUNCTION("INDEX(IMPORTRANGE(""17pNv02DXDpQT9S3w4-QeNym2QJy2BzMBqDXp-XtzJBM"", ""'GAR'!BH3:BH139""),MATCH($D49,IMPORTRANGE(""17pNv02DXDpQT9S3w4-QeNym2QJy2BzMBqDXp-XtzJBM"", ""'GAR'!D3:D139""),0))"),9)</f>
        <v>9</v>
      </c>
      <c r="AA49" s="2">
        <f ca="1">IFERROR(__xludf.DUMMYFUNCTION("INDEX(IMPORTRANGE(""17pNv02DXDpQT9S3w4-QeNym2QJy2BzMBqDXp-XtzJBM"", ""'GAR'!BI3:BI139""),MATCH($D49,IMPORTRANGE(""17pNv02DXDpQT9S3w4-QeNym2QJy2BzMBqDXp-XtzJBM"", ""'GAR'!D3:D139""),0))"),25)</f>
        <v>25</v>
      </c>
      <c r="AB49" s="12">
        <f ca="1">IFERROR(__xludf.DUMMYFUNCTION("INDEX(IMPORTRANGE(""17pNv02DXDpQT9S3w4-QeNym2QJy2BzMBqDXp-XtzJBM"", ""'GAR'!BJ3:BJ139""),MATCH($D49,IMPORTRANGE(""17pNv02DXDpQT9S3w4-QeNym2QJy2BzMBqDXp-XtzJBM"", ""'GAR'!D3:D139""),0))"),26)</f>
        <v>26</v>
      </c>
      <c r="AC49" s="2">
        <f ca="1">IFERROR(__xludf.DUMMYFUNCTION("INDEX(IMPORTRANGE(""17pNv02DXDpQT9S3w4-QeNym2QJy2BzMBqDXp-XtzJBM"", ""'GAR'!BK3:BK139""),MATCH($D49,IMPORTRANGE(""17pNv02DXDpQT9S3w4-QeNym2QJy2BzMBqDXp-XtzJBM"", ""'GAR'!D3:D139""),0))"),48)</f>
        <v>48</v>
      </c>
      <c r="AD49" s="12">
        <f ca="1">IFERROR(__xludf.DUMMYFUNCTION("INDEX(IMPORTRANGE(""17pNv02DXDpQT9S3w4-QeNym2QJy2BzMBqDXp-XtzJBM"", ""'GAR'!BL3:BL139""),MATCH($D49,IMPORTRANGE(""17pNv02DXDpQT9S3w4-QeNym2QJy2BzMBqDXp-XtzJBM"", ""'GAR'!D3:D139""),0))"),48)</f>
        <v>48</v>
      </c>
      <c r="AE49" s="2">
        <f ca="1">IFERROR(__xludf.DUMMYFUNCTION("INDEX(IMPORTRANGE(""17pNv02DXDpQT9S3w4-QeNym2QJy2BzMBqDXp-XtzJBM"", ""'GAR'!BM3:BM139""),MATCH($D49,IMPORTRANGE(""17pNv02DXDpQT9S3w4-QeNym2QJy2BzMBqDXp-XtzJBM"", ""'GAR'!D3:D139""),0))"),48)</f>
        <v>48</v>
      </c>
    </row>
    <row r="50" spans="1:31">
      <c r="A50" s="149" t="s">
        <v>147</v>
      </c>
      <c r="B50" s="149" t="s">
        <v>148</v>
      </c>
      <c r="C50" s="149" t="s">
        <v>30</v>
      </c>
      <c r="D50" s="149" t="s">
        <v>149</v>
      </c>
      <c r="E50" s="149" t="s">
        <v>38</v>
      </c>
      <c r="F50" s="9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150</v>
      </c>
      <c r="R50" s="2" t="s">
        <v>150</v>
      </c>
      <c r="S50" s="2" t="str">
        <f ca="1">IFERROR(__xludf.DUMMYFUNCTION("INDEX(IMPORTRANGE(""17pNv02DXDpQT9S3w4-QeNym2QJy2BzMBqDXp-XtzJBM"", ""'GAR'!BG3:BG139""),MATCH($D50,IMPORTRANGE(""17pNv02DXDpQT9S3w4-QeNym2QJy2BzMBqDXp-XtzJBM"", ""'GAR'!D3:D139""),0))"),"No")</f>
        <v>No</v>
      </c>
      <c r="T50" s="1" t="s">
        <v>151</v>
      </c>
      <c r="U50" s="1" t="s">
        <v>151</v>
      </c>
      <c r="V50" s="1" t="s">
        <v>151</v>
      </c>
      <c r="W50" s="1" t="s">
        <v>151</v>
      </c>
      <c r="X50" s="1" t="s">
        <v>151</v>
      </c>
      <c r="Y50" s="1" t="s">
        <v>151</v>
      </c>
      <c r="Z50" s="2" t="str">
        <f ca="1">IFERROR(__xludf.DUMMYFUNCTION("INDEX(IMPORTRANGE(""17pNv02DXDpQT9S3w4-QeNym2QJy2BzMBqDXp-XtzJBM"", ""'GAR'!BH3:BH139""),MATCH($D50,IMPORTRANGE(""17pNv02DXDpQT9S3w4-QeNym2QJy2BzMBqDXp-XtzJBM"", ""'GAR'!D3:D139""),0))"),"No")</f>
        <v>No</v>
      </c>
      <c r="AA50" s="2" t="str">
        <f ca="1">IFERROR(__xludf.DUMMYFUNCTION("INDEX(IMPORTRANGE(""17pNv02DXDpQT9S3w4-QeNym2QJy2BzMBqDXp-XtzJBM"", ""'GAR'!BI3:BI139""),MATCH($D50,IMPORTRANGE(""17pNv02DXDpQT9S3w4-QeNym2QJy2BzMBqDXp-XtzJBM"", ""'GAR'!D3:D139""),0))"),"No")</f>
        <v>No</v>
      </c>
      <c r="AB50" s="2" t="str">
        <f ca="1">IFERROR(__xludf.DUMMYFUNCTION("INDEX(IMPORTRANGE(""17pNv02DXDpQT9S3w4-QeNym2QJy2BzMBqDXp-XtzJBM"", ""'GAR'!BJ3:BJ139""),MATCH($D50,IMPORTRANGE(""17pNv02DXDpQT9S3w4-QeNym2QJy2BzMBqDXp-XtzJBM"", ""'GAR'!D3:D139""),0))"),"Sí")</f>
        <v>Sí</v>
      </c>
      <c r="AC50" s="2" t="str">
        <f ca="1">IFERROR(__xludf.DUMMYFUNCTION("INDEX(IMPORTRANGE(""17pNv02DXDpQT9S3w4-QeNym2QJy2BzMBqDXp-XtzJBM"", ""'GAR'!BK3:BK139""),MATCH($D50,IMPORTRANGE(""17pNv02DXDpQT9S3w4-QeNym2QJy2BzMBqDXp-XtzJBM"", ""'GAR'!D3:D139""),0))"),"Sí")</f>
        <v>Sí</v>
      </c>
      <c r="AD50" s="2" t="str">
        <f ca="1">IFERROR(__xludf.DUMMYFUNCTION("INDEX(IMPORTRANGE(""17pNv02DXDpQT9S3w4-QeNym2QJy2BzMBqDXp-XtzJBM"", ""'GAR'!BL3:BL139""),MATCH($D50,IMPORTRANGE(""17pNv02DXDpQT9S3w4-QeNym2QJy2BzMBqDXp-XtzJBM"", ""'GAR'!D3:D139""),0))"),"Sí")</f>
        <v>Sí</v>
      </c>
      <c r="AE50" s="2" t="str">
        <f ca="1">IFERROR(__xludf.DUMMYFUNCTION("INDEX(IMPORTRANGE(""17pNv02DXDpQT9S3w4-QeNym2QJy2BzMBqDXp-XtzJBM"", ""'GAR'!BM3:BM139""),MATCH($D50,IMPORTRANGE(""17pNv02DXDpQT9S3w4-QeNym2QJy2BzMBqDXp-XtzJBM"", ""'GAR'!D3:D139""),0))"),"Sí")</f>
        <v>Sí</v>
      </c>
    </row>
    <row r="51" spans="1:31">
      <c r="A51" s="149" t="s">
        <v>147</v>
      </c>
      <c r="B51" s="149" t="s">
        <v>148</v>
      </c>
      <c r="C51" s="149" t="s">
        <v>30</v>
      </c>
      <c r="D51" s="149" t="s">
        <v>152</v>
      </c>
      <c r="E51" s="149" t="s">
        <v>38</v>
      </c>
      <c r="F51" s="9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150</v>
      </c>
      <c r="R51" s="2" t="s">
        <v>150</v>
      </c>
      <c r="S51" s="2" t="str">
        <f ca="1">IFERROR(__xludf.DUMMYFUNCTION("INDEX(IMPORTRANGE(""17pNv02DXDpQT9S3w4-QeNym2QJy2BzMBqDXp-XtzJBM"", ""'GAR'!BG3:BG139""),MATCH($D51,IMPORTRANGE(""17pNv02DXDpQT9S3w4-QeNym2QJy2BzMBqDXp-XtzJBM"", ""'GAR'!D3:D139""),0))"),"No")</f>
        <v>No</v>
      </c>
      <c r="T51" s="1" t="s">
        <v>151</v>
      </c>
      <c r="U51" s="1" t="s">
        <v>151</v>
      </c>
      <c r="V51" s="1" t="s">
        <v>151</v>
      </c>
      <c r="W51" s="1" t="s">
        <v>151</v>
      </c>
      <c r="X51" s="1" t="s">
        <v>151</v>
      </c>
      <c r="Y51" s="1" t="s">
        <v>151</v>
      </c>
      <c r="Z51" s="2" t="str">
        <f ca="1">IFERROR(__xludf.DUMMYFUNCTION("INDEX(IMPORTRANGE(""17pNv02DXDpQT9S3w4-QeNym2QJy2BzMBqDXp-XtzJBM"", ""'GAR'!BH3:BH139""),MATCH($D51,IMPORTRANGE(""17pNv02DXDpQT9S3w4-QeNym2QJy2BzMBqDXp-XtzJBM"", ""'GAR'!D3:D139""),0))"),"No")</f>
        <v>No</v>
      </c>
      <c r="AA51" s="2" t="str">
        <f ca="1">IFERROR(__xludf.DUMMYFUNCTION("INDEX(IMPORTRANGE(""17pNv02DXDpQT9S3w4-QeNym2QJy2BzMBqDXp-XtzJBM"", ""'GAR'!BI3:BI139""),MATCH($D51,IMPORTRANGE(""17pNv02DXDpQT9S3w4-QeNym2QJy2BzMBqDXp-XtzJBM"", ""'GAR'!D3:D139""),0))"),"No")</f>
        <v>No</v>
      </c>
      <c r="AB51" s="2" t="str">
        <f ca="1">IFERROR(__xludf.DUMMYFUNCTION("INDEX(IMPORTRANGE(""17pNv02DXDpQT9S3w4-QeNym2QJy2BzMBqDXp-XtzJBM"", ""'GAR'!BJ3:BJ139""),MATCH($D51,IMPORTRANGE(""17pNv02DXDpQT9S3w4-QeNym2QJy2BzMBqDXp-XtzJBM"", ""'GAR'!D3:D139""),0))"),"No")</f>
        <v>No</v>
      </c>
      <c r="AC51" s="2" t="str">
        <f ca="1">IFERROR(__xludf.DUMMYFUNCTION("INDEX(IMPORTRANGE(""17pNv02DXDpQT9S3w4-QeNym2QJy2BzMBqDXp-XtzJBM"", ""'GAR'!BK3:BK139""),MATCH($D51,IMPORTRANGE(""17pNv02DXDpQT9S3w4-QeNym2QJy2BzMBqDXp-XtzJBM"", ""'GAR'!D3:D139""),0))"),"No")</f>
        <v>No</v>
      </c>
      <c r="AD51" s="2" t="str">
        <f ca="1">IFERROR(__xludf.DUMMYFUNCTION("INDEX(IMPORTRANGE(""17pNv02DXDpQT9S3w4-QeNym2QJy2BzMBqDXp-XtzJBM"", ""'GAR'!BL3:BL139""),MATCH($D51,IMPORTRANGE(""17pNv02DXDpQT9S3w4-QeNym2QJy2BzMBqDXp-XtzJBM"", ""'GAR'!D3:D139""),0))"),"No")</f>
        <v>No</v>
      </c>
      <c r="AE51" s="2" t="str">
        <f ca="1">IFERROR(__xludf.DUMMYFUNCTION("INDEX(IMPORTRANGE(""17pNv02DXDpQT9S3w4-QeNym2QJy2BzMBqDXp-XtzJBM"", ""'GAR'!BM3:BM139""),MATCH($D51,IMPORTRANGE(""17pNv02DXDpQT9S3w4-QeNym2QJy2BzMBqDXp-XtzJBM"", ""'GAR'!D3:D139""),0))"),"No")</f>
        <v>No</v>
      </c>
    </row>
    <row r="52" spans="1:31">
      <c r="A52" s="149" t="s">
        <v>147</v>
      </c>
      <c r="B52" s="149" t="s">
        <v>148</v>
      </c>
      <c r="C52" s="149" t="s">
        <v>30</v>
      </c>
      <c r="D52" s="149" t="s">
        <v>154</v>
      </c>
      <c r="E52" s="149" t="s">
        <v>38</v>
      </c>
      <c r="F52" s="9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150</v>
      </c>
      <c r="R52" s="2" t="s">
        <v>150</v>
      </c>
      <c r="S52" s="2" t="str">
        <f ca="1">IFERROR(__xludf.DUMMYFUNCTION("INDEX(IMPORTRANGE(""17pNv02DXDpQT9S3w4-QeNym2QJy2BzMBqDXp-XtzJBM"", ""'GAR'!BG3:BG139""),MATCH($D52,IMPORTRANGE(""17pNv02DXDpQT9S3w4-QeNym2QJy2BzMBqDXp-XtzJBM"", ""'GAR'!D3:D139""),0))"),"No")</f>
        <v>No</v>
      </c>
      <c r="T52" s="2" t="s">
        <v>155</v>
      </c>
      <c r="U52" s="1" t="s">
        <v>155</v>
      </c>
      <c r="V52" s="1" t="s">
        <v>155</v>
      </c>
      <c r="W52" s="1" t="s">
        <v>155</v>
      </c>
      <c r="X52" s="1" t="s">
        <v>155</v>
      </c>
      <c r="Y52" s="2" t="s">
        <v>155</v>
      </c>
      <c r="Z52" s="2" t="str">
        <f ca="1">IFERROR(__xludf.DUMMYFUNCTION("INDEX(IMPORTRANGE(""17pNv02DXDpQT9S3w4-QeNym2QJy2BzMBqDXp-XtzJBM"", ""'GAR'!BH3:BH139""),MATCH($D52,IMPORTRANGE(""17pNv02DXDpQT9S3w4-QeNym2QJy2BzMBqDXp-XtzJBM"", ""'GAR'!D3:D139""),0))"),"No")</f>
        <v>No</v>
      </c>
      <c r="AA52" s="2" t="str">
        <f ca="1">IFERROR(__xludf.DUMMYFUNCTION("INDEX(IMPORTRANGE(""17pNv02DXDpQT9S3w4-QeNym2QJy2BzMBqDXp-XtzJBM"", ""'GAR'!BI3:BI139""),MATCH($D52,IMPORTRANGE(""17pNv02DXDpQT9S3w4-QeNym2QJy2BzMBqDXp-XtzJBM"", ""'GAR'!D3:D139""),0))"),"No Existe")</f>
        <v>No Existe</v>
      </c>
      <c r="AB52" s="2" t="str">
        <f ca="1">IFERROR(__xludf.DUMMYFUNCTION("INDEX(IMPORTRANGE(""17pNv02DXDpQT9S3w4-QeNym2QJy2BzMBqDXp-XtzJBM"", ""'GAR'!BJ3:BJ139""),MATCH($D52,IMPORTRANGE(""17pNv02DXDpQT9S3w4-QeNym2QJy2BzMBqDXp-XtzJBM"", ""'GAR'!D3:D139""),0))"),"No")</f>
        <v>No</v>
      </c>
      <c r="AC52" s="2" t="str">
        <f ca="1">IFERROR(__xludf.DUMMYFUNCTION("INDEX(IMPORTRANGE(""17pNv02DXDpQT9S3w4-QeNym2QJy2BzMBqDXp-XtzJBM"", ""'GAR'!BK3:BK139""),MATCH($D52,IMPORTRANGE(""17pNv02DXDpQT9S3w4-QeNym2QJy2BzMBqDXp-XtzJBM"", ""'GAR'!D3:D139""),0))"),"No ")</f>
        <v xml:space="preserve">No </v>
      </c>
      <c r="AD52" s="2" t="str">
        <f ca="1">IFERROR(__xludf.DUMMYFUNCTION("INDEX(IMPORTRANGE(""17pNv02DXDpQT9S3w4-QeNym2QJy2BzMBqDXp-XtzJBM"", ""'GAR'!BL3:BL139""),MATCH($D52,IMPORTRANGE(""17pNv02DXDpQT9S3w4-QeNym2QJy2BzMBqDXp-XtzJBM"", ""'GAR'!D3:D139""),0))"),"No ")</f>
        <v xml:space="preserve">No </v>
      </c>
      <c r="AE52" s="2" t="str">
        <f ca="1">IFERROR(__xludf.DUMMYFUNCTION("INDEX(IMPORTRANGE(""17pNv02DXDpQT9S3w4-QeNym2QJy2BzMBqDXp-XtzJBM"", ""'GAR'!BM3:BM139""),MATCH($D52,IMPORTRANGE(""17pNv02DXDpQT9S3w4-QeNym2QJy2BzMBqDXp-XtzJBM"", ""'GAR'!D3:D139""),0))"),"No ")</f>
        <v xml:space="preserve">No </v>
      </c>
    </row>
    <row r="53" spans="1:31">
      <c r="A53" s="149" t="s">
        <v>147</v>
      </c>
      <c r="B53" s="149" t="s">
        <v>148</v>
      </c>
      <c r="C53" s="149" t="s">
        <v>36</v>
      </c>
      <c r="D53" s="149" t="s">
        <v>156</v>
      </c>
      <c r="E53" s="149" t="s">
        <v>38</v>
      </c>
      <c r="F53" s="9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12">
        <f t="shared" ref="Q53:R53" si="14">COUNTIF(Q50:Q52,"Sí")*(1/3)</f>
        <v>0</v>
      </c>
      <c r="R53" s="12">
        <f t="shared" si="14"/>
        <v>0</v>
      </c>
      <c r="S53" s="12">
        <f ca="1">IFERROR(__xludf.DUMMYFUNCTION("INDEX(IMPORTRANGE(""17pNv02DXDpQT9S3w4-QeNym2QJy2BzMBqDXp-XtzJBM"", ""'GAR'!BG3:BG139""),MATCH($D53,IMPORTRANGE(""17pNv02DXDpQT9S3w4-QeNym2QJy2BzMBqDXp-XtzJBM"", ""'GAR'!D3:D139""),0))"),0)</f>
        <v>0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26" t="str">
        <f ca="1">IFERROR(__xludf.DUMMYFUNCTION("INDEX(IMPORTRANGE(""17pNv02DXDpQT9S3w4-QeNym2QJy2BzMBqDXp-XtzJBM"", ""'GAR'!BH3:BH139""),MATCH($D53,IMPORTRANGE(""17pNv02DXDpQT9S3w4-QeNym2QJy2BzMBqDXp-XtzJBM"", ""'GAR'!D3:D139""),0))"),"")</f>
        <v/>
      </c>
      <c r="AA53" s="26">
        <f ca="1">IFERROR(__xludf.DUMMYFUNCTION("INDEX(IMPORTRANGE(""17pNv02DXDpQT9S3w4-QeNym2QJy2BzMBqDXp-XtzJBM"", ""'GAR'!BI3:BI139""),MATCH($D53,IMPORTRANGE(""17pNv02DXDpQT9S3w4-QeNym2QJy2BzMBqDXp-XtzJBM"", ""'GAR'!D3:D139""),0))"),0)</f>
        <v>0</v>
      </c>
      <c r="AB53" s="26">
        <f ca="1">IFERROR(__xludf.DUMMYFUNCTION("INDEX(IMPORTRANGE(""17pNv02DXDpQT9S3w4-QeNym2QJy2BzMBqDXp-XtzJBM"", ""'GAR'!BJ3:BJ139""),MATCH($D53,IMPORTRANGE(""17pNv02DXDpQT9S3w4-QeNym2QJy2BzMBqDXp-XtzJBM"", ""'GAR'!D3:D139""),0))"),0.333333333333333)</f>
        <v>0.33333333333333298</v>
      </c>
      <c r="AC53" s="26">
        <f ca="1">IFERROR(__xludf.DUMMYFUNCTION("INDEX(IMPORTRANGE(""17pNv02DXDpQT9S3w4-QeNym2QJy2BzMBqDXp-XtzJBM"", ""'GAR'!BK3:BK139""),MATCH($D53,IMPORTRANGE(""17pNv02DXDpQT9S3w4-QeNym2QJy2BzMBqDXp-XtzJBM"", ""'GAR'!D3:D139""),0))"),0.333333333333333)</f>
        <v>0.33333333333333298</v>
      </c>
      <c r="AD53" s="26">
        <f ca="1">IFERROR(__xludf.DUMMYFUNCTION("INDEX(IMPORTRANGE(""17pNv02DXDpQT9S3w4-QeNym2QJy2BzMBqDXp-XtzJBM"", ""'GAR'!BL3:BL139""),MATCH($D53,IMPORTRANGE(""17pNv02DXDpQT9S3w4-QeNym2QJy2BzMBqDXp-XtzJBM"", ""'GAR'!D3:D139""),0))"),0.333333333333333)</f>
        <v>0.33333333333333298</v>
      </c>
      <c r="AE53" s="26">
        <f ca="1">IFERROR(__xludf.DUMMYFUNCTION("INDEX(IMPORTRANGE(""17pNv02DXDpQT9S3w4-QeNym2QJy2BzMBqDXp-XtzJBM"", ""'GAR'!BM3:BM139""),MATCH($D53,IMPORTRANGE(""17pNv02DXDpQT9S3w4-QeNym2QJy2BzMBqDXp-XtzJBM"", ""'GAR'!D3:D139""),0))"),0.333333333333333)</f>
        <v>0.33333333333333298</v>
      </c>
    </row>
    <row r="54" spans="1:31">
      <c r="A54" s="149" t="s">
        <v>147</v>
      </c>
      <c r="B54" s="149" t="s">
        <v>148</v>
      </c>
      <c r="C54" s="149" t="s">
        <v>36</v>
      </c>
      <c r="D54" s="149" t="s">
        <v>351</v>
      </c>
      <c r="E54" s="149" t="s">
        <v>38</v>
      </c>
      <c r="F54" s="9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12">
        <v>0</v>
      </c>
      <c r="R54" s="12">
        <v>0</v>
      </c>
      <c r="S54" s="12">
        <f ca="1">IFERROR(__xludf.DUMMYFUNCTION("INDEX(IMPORTRANGE(""17pNv02DXDpQT9S3w4-QeNym2QJy2BzMBqDXp-XtzJBM"", ""'GAR'!BG3:BG139""),MATCH($D54,IMPORTRANGE(""17pNv02DXDpQT9S3w4-QeNym2QJy2BzMBqDXp-XtzJBM"", ""'GAR'!D3:D139""),0))"),0)</f>
        <v>0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12">
        <f ca="1">IFERROR(__xludf.DUMMYFUNCTION("INDEX(IMPORTRANGE(""17pNv02DXDpQT9S3w4-QeNym2QJy2BzMBqDXp-XtzJBM"", ""'GAR'!BH3:BH139""),MATCH($D54,IMPORTRANGE(""17pNv02DXDpQT9S3w4-QeNym2QJy2BzMBqDXp-XtzJBM"", ""'GAR'!D3:D139""),0))"),0)</f>
        <v>0</v>
      </c>
      <c r="AA54" s="2">
        <f ca="1">IFERROR(__xludf.DUMMYFUNCTION("INDEX(IMPORTRANGE(""17pNv02DXDpQT9S3w4-QeNym2QJy2BzMBqDXp-XtzJBM"", ""'GAR'!BI3:BI139""),MATCH($D54,IMPORTRANGE(""17pNv02DXDpQT9S3w4-QeNym2QJy2BzMBqDXp-XtzJBM"", ""'GAR'!D3:D139""),0))"),0)</f>
        <v>0</v>
      </c>
      <c r="AB54" s="12">
        <f ca="1">IFERROR(__xludf.DUMMYFUNCTION("INDEX(IMPORTRANGE(""17pNv02DXDpQT9S3w4-QeNym2QJy2BzMBqDXp-XtzJBM"", ""'GAR'!BJ3:BJ139""),MATCH($D54,IMPORTRANGE(""17pNv02DXDpQT9S3w4-QeNym2QJy2BzMBqDXp-XtzJBM"", ""'GAR'!D3:D139""),0))"),0)</f>
        <v>0</v>
      </c>
      <c r="AC54" s="2">
        <f ca="1">IFERROR(__xludf.DUMMYFUNCTION("INDEX(IMPORTRANGE(""17pNv02DXDpQT9S3w4-QeNym2QJy2BzMBqDXp-XtzJBM"", ""'GAR'!BK3:BK139""),MATCH($D54,IMPORTRANGE(""17pNv02DXDpQT9S3w4-QeNym2QJy2BzMBqDXp-XtzJBM"", ""'GAR'!D3:D139""),0))"),0)</f>
        <v>0</v>
      </c>
      <c r="AD54" s="12">
        <f ca="1">IFERROR(__xludf.DUMMYFUNCTION("INDEX(IMPORTRANGE(""17pNv02DXDpQT9S3w4-QeNym2QJy2BzMBqDXp-XtzJBM"", ""'GAR'!BL3:BL139""),MATCH($D54,IMPORTRANGE(""17pNv02DXDpQT9S3w4-QeNym2QJy2BzMBqDXp-XtzJBM"", ""'GAR'!D3:D139""),0))"),0)</f>
        <v>0</v>
      </c>
      <c r="AE54" s="2">
        <f ca="1">IFERROR(__xludf.DUMMYFUNCTION("INDEX(IMPORTRANGE(""17pNv02DXDpQT9S3w4-QeNym2QJy2BzMBqDXp-XtzJBM"", ""'GAR'!BM3:BM139""),MATCH($D54,IMPORTRANGE(""17pNv02DXDpQT9S3w4-QeNym2QJy2BzMBqDXp-XtzJBM"", ""'GAR'!D3:D139""),0))"),0)</f>
        <v>0</v>
      </c>
    </row>
    <row r="55" spans="1:31">
      <c r="A55" s="149" t="s">
        <v>147</v>
      </c>
      <c r="B55" s="149" t="s">
        <v>148</v>
      </c>
      <c r="C55" s="149" t="s">
        <v>30</v>
      </c>
      <c r="D55" s="149" t="s">
        <v>162</v>
      </c>
      <c r="E55" s="149" t="s">
        <v>38</v>
      </c>
      <c r="F55" s="9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0</v>
      </c>
      <c r="R55" s="12">
        <v>0</v>
      </c>
      <c r="S55" s="12">
        <f ca="1">IFERROR(__xludf.DUMMYFUNCTION("INDEX(IMPORTRANGE(""17pNv02DXDpQT9S3w4-QeNym2QJy2BzMBqDXp-XtzJBM"", ""'GAR'!BG3:BG139""),MATCH($D55,IMPORTRANGE(""17pNv02DXDpQT9S3w4-QeNym2QJy2BzMBqDXp-XtzJBM"", ""'GAR'!D3:D139""),0))"),0)</f>
        <v>0</v>
      </c>
      <c r="T55" s="13"/>
      <c r="U55" s="13"/>
      <c r="V55" s="13"/>
      <c r="W55" s="13"/>
      <c r="X55" s="13"/>
      <c r="Y55" s="4"/>
      <c r="Z55" s="12">
        <f ca="1">IFERROR(__xludf.DUMMYFUNCTION("INDEX(IMPORTRANGE(""17pNv02DXDpQT9S3w4-QeNym2QJy2BzMBqDXp-XtzJBM"", ""'GAR'!BH3:BH139""),MATCH($D55,IMPORTRANGE(""17pNv02DXDpQT9S3w4-QeNym2QJy2BzMBqDXp-XtzJBM"", ""'GAR'!D3:D139""),0))"),0)</f>
        <v>0</v>
      </c>
      <c r="AA55" s="2">
        <f ca="1">IFERROR(__xludf.DUMMYFUNCTION("INDEX(IMPORTRANGE(""17pNv02DXDpQT9S3w4-QeNym2QJy2BzMBqDXp-XtzJBM"", ""'GAR'!BI3:BI139""),MATCH($D55,IMPORTRANGE(""17pNv02DXDpQT9S3w4-QeNym2QJy2BzMBqDXp-XtzJBM"", ""'GAR'!D3:D139""),0))"),0)</f>
        <v>0</v>
      </c>
      <c r="AB55" s="12">
        <f ca="1">IFERROR(__xludf.DUMMYFUNCTION("INDEX(IMPORTRANGE(""17pNv02DXDpQT9S3w4-QeNym2QJy2BzMBqDXp-XtzJBM"", ""'GAR'!BJ3:BJ139""),MATCH($D55,IMPORTRANGE(""17pNv02DXDpQT9S3w4-QeNym2QJy2BzMBqDXp-XtzJBM"", ""'GAR'!D3:D139""),0))"),0)</f>
        <v>0</v>
      </c>
      <c r="AC55" s="2">
        <f ca="1">IFERROR(__xludf.DUMMYFUNCTION("INDEX(IMPORTRANGE(""17pNv02DXDpQT9S3w4-QeNym2QJy2BzMBqDXp-XtzJBM"", ""'GAR'!BK3:BK139""),MATCH($D55,IMPORTRANGE(""17pNv02DXDpQT9S3w4-QeNym2QJy2BzMBqDXp-XtzJBM"", ""'GAR'!D3:D139""),0))"),0)</f>
        <v>0</v>
      </c>
      <c r="AD55" s="12">
        <f ca="1">IFERROR(__xludf.DUMMYFUNCTION("INDEX(IMPORTRANGE(""17pNv02DXDpQT9S3w4-QeNym2QJy2BzMBqDXp-XtzJBM"", ""'GAR'!BL3:BL139""),MATCH($D55,IMPORTRANGE(""17pNv02DXDpQT9S3w4-QeNym2QJy2BzMBqDXp-XtzJBM"", ""'GAR'!D3:D139""),0))"),0)</f>
        <v>0</v>
      </c>
      <c r="AE55" s="2">
        <f ca="1">IFERROR(__xludf.DUMMYFUNCTION("INDEX(IMPORTRANGE(""17pNv02DXDpQT9S3w4-QeNym2QJy2BzMBqDXp-XtzJBM"", ""'GAR'!BM3:BM139""),MATCH($D55,IMPORTRANGE(""17pNv02DXDpQT9S3w4-QeNym2QJy2BzMBqDXp-XtzJBM"", ""'GAR'!D3:D139""),0))"),0)</f>
        <v>0</v>
      </c>
    </row>
    <row r="56" spans="1:31">
      <c r="A56" s="149" t="s">
        <v>147</v>
      </c>
      <c r="B56" s="149" t="s">
        <v>148</v>
      </c>
      <c r="C56" s="149" t="s">
        <v>30</v>
      </c>
      <c r="D56" s="149" t="s">
        <v>164</v>
      </c>
      <c r="E56" s="149" t="s">
        <v>38</v>
      </c>
      <c r="F56" s="9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""'GAR'!BG3:BG139""),MATCH($D56,IMPORTRANGE(""17pNv02DXDpQT9S3w4-QeNym2QJy2BzMBqDXp-XtzJBM"", ""'GAR'!D3:D139""),0))"),0)</f>
        <v>0</v>
      </c>
      <c r="T56" s="13"/>
      <c r="U56" s="13"/>
      <c r="V56" s="13"/>
      <c r="W56" s="13"/>
      <c r="X56" s="13"/>
      <c r="Y56" s="4"/>
      <c r="Z56" s="12">
        <f ca="1">IFERROR(__xludf.DUMMYFUNCTION("INDEX(IMPORTRANGE(""17pNv02DXDpQT9S3w4-QeNym2QJy2BzMBqDXp-XtzJBM"", ""'GAR'!BH3:BH139""),MATCH($D56,IMPORTRANGE(""17pNv02DXDpQT9S3w4-QeNym2QJy2BzMBqDXp-XtzJBM"", ""'GAR'!D3:D139""),0))"),0)</f>
        <v>0</v>
      </c>
      <c r="AA56" s="2">
        <f ca="1">IFERROR(__xludf.DUMMYFUNCTION("INDEX(IMPORTRANGE(""17pNv02DXDpQT9S3w4-QeNym2QJy2BzMBqDXp-XtzJBM"", ""'GAR'!BI3:BI139""),MATCH($D56,IMPORTRANGE(""17pNv02DXDpQT9S3w4-QeNym2QJy2BzMBqDXp-XtzJBM"", ""'GAR'!D3:D139""),0))"),0)</f>
        <v>0</v>
      </c>
      <c r="AB56" s="12">
        <f ca="1">IFERROR(__xludf.DUMMYFUNCTION("INDEX(IMPORTRANGE(""17pNv02DXDpQT9S3w4-QeNym2QJy2BzMBqDXp-XtzJBM"", ""'GAR'!BJ3:BJ139""),MATCH($D56,IMPORTRANGE(""17pNv02DXDpQT9S3w4-QeNym2QJy2BzMBqDXp-XtzJBM"", ""'GAR'!D3:D139""),0))"),0)</f>
        <v>0</v>
      </c>
      <c r="AC56" s="2">
        <f ca="1">IFERROR(__xludf.DUMMYFUNCTION("INDEX(IMPORTRANGE(""17pNv02DXDpQT9S3w4-QeNym2QJy2BzMBqDXp-XtzJBM"", ""'GAR'!BK3:BK139""),MATCH($D56,IMPORTRANGE(""17pNv02DXDpQT9S3w4-QeNym2QJy2BzMBqDXp-XtzJBM"", ""'GAR'!D3:D139""),0))"),0)</f>
        <v>0</v>
      </c>
      <c r="AD56" s="12">
        <f ca="1">IFERROR(__xludf.DUMMYFUNCTION("INDEX(IMPORTRANGE(""17pNv02DXDpQT9S3w4-QeNym2QJy2BzMBqDXp-XtzJBM"", ""'GAR'!BL3:BL139""),MATCH($D56,IMPORTRANGE(""17pNv02DXDpQT9S3w4-QeNym2QJy2BzMBqDXp-XtzJBM"", ""'GAR'!D3:D139""),0))"),0)</f>
        <v>0</v>
      </c>
      <c r="AE56" s="2">
        <f ca="1">IFERROR(__xludf.DUMMYFUNCTION("INDEX(IMPORTRANGE(""17pNv02DXDpQT9S3w4-QeNym2QJy2BzMBqDXp-XtzJBM"", ""'GAR'!BM3:BM139""),MATCH($D56,IMPORTRANGE(""17pNv02DXDpQT9S3w4-QeNym2QJy2BzMBqDXp-XtzJBM"", ""'GAR'!D3:D139""),0))"),0)</f>
        <v>0</v>
      </c>
    </row>
    <row r="57" spans="1:31">
      <c r="A57" s="149" t="s">
        <v>147</v>
      </c>
      <c r="B57" s="149" t="s">
        <v>148</v>
      </c>
      <c r="C57" s="149" t="s">
        <v>36</v>
      </c>
      <c r="D57" s="149" t="s">
        <v>166</v>
      </c>
      <c r="E57" s="149" t="s">
        <v>38</v>
      </c>
      <c r="F57" s="9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30" t="s">
        <v>320</v>
      </c>
      <c r="R57" s="30" t="s">
        <v>320</v>
      </c>
      <c r="S57" s="30" t="str">
        <f ca="1">IFERROR(__xludf.DUMMYFUNCTION("INDEX(IMPORTRANGE(""17pNv02DXDpQT9S3w4-QeNym2QJy2BzMBqDXp-XtzJBM"", ""'GAR'!BG3:BG139""),MATCH($D57,IMPORTRANGE(""17pNv02DXDpQT9S3w4-QeNym2QJy2BzMBqDXp-XtzJBM"", ""'GAR'!D3:D139""),0))"),"NA")</f>
        <v>NA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30" t="str">
        <f ca="1">IFERROR(__xludf.DUMMYFUNCTION("INDEX(IMPORTRANGE(""17pNv02DXDpQT9S3w4-QeNym2QJy2BzMBqDXp-XtzJBM"", ""'GAR'!BH3:BH139""),MATCH($D57,IMPORTRANGE(""17pNv02DXDpQT9S3w4-QeNym2QJy2BzMBqDXp-XtzJBM"", ""'GAR'!D3:D139""),0))"),"NA")</f>
        <v>NA</v>
      </c>
      <c r="AA57" s="15" t="str">
        <f ca="1">IFERROR(__xludf.DUMMYFUNCTION("INDEX(IMPORTRANGE(""17pNv02DXDpQT9S3w4-QeNym2QJy2BzMBqDXp-XtzJBM"", ""'GAR'!BI3:BI139""),MATCH($D57,IMPORTRANGE(""17pNv02DXDpQT9S3w4-QeNym2QJy2BzMBqDXp-XtzJBM"", ""'GAR'!D3:D139""),0))"),"NA")</f>
        <v>NA</v>
      </c>
      <c r="AB57" s="30" t="str">
        <f ca="1">IFERROR(__xludf.DUMMYFUNCTION("INDEX(IMPORTRANGE(""17pNv02DXDpQT9S3w4-QeNym2QJy2BzMBqDXp-XtzJBM"", ""'GAR'!BJ3:BJ139""),MATCH($D57,IMPORTRANGE(""17pNv02DXDpQT9S3w4-QeNym2QJy2BzMBqDXp-XtzJBM"", ""'GAR'!D3:D139""),0))"),"NA")</f>
        <v>NA</v>
      </c>
      <c r="AC57" s="15" t="str">
        <f ca="1">IFERROR(__xludf.DUMMYFUNCTION("INDEX(IMPORTRANGE(""17pNv02DXDpQT9S3w4-QeNym2QJy2BzMBqDXp-XtzJBM"", ""'GAR'!BK3:BK139""),MATCH($D57,IMPORTRANGE(""17pNv02DXDpQT9S3w4-QeNym2QJy2BzMBqDXp-XtzJBM"", ""'GAR'!D3:D139""),0))"),"NA")</f>
        <v>NA</v>
      </c>
      <c r="AD57" s="30" t="str">
        <f ca="1">IFERROR(__xludf.DUMMYFUNCTION("INDEX(IMPORTRANGE(""17pNv02DXDpQT9S3w4-QeNym2QJy2BzMBqDXp-XtzJBM"", ""'GAR'!BL3:BL139""),MATCH($D57,IMPORTRANGE(""17pNv02DXDpQT9S3w4-QeNym2QJy2BzMBqDXp-XtzJBM"", ""'GAR'!D3:D139""),0))"),"NA")</f>
        <v>NA</v>
      </c>
      <c r="AE57" s="15" t="str">
        <f ca="1">IFERROR(__xludf.DUMMYFUNCTION("INDEX(IMPORTRANGE(""17pNv02DXDpQT9S3w4-QeNym2QJy2BzMBqDXp-XtzJBM"", ""'GAR'!BM3:BM139""),MATCH($D57,IMPORTRANGE(""17pNv02DXDpQT9S3w4-QeNym2QJy2BzMBqDXp-XtzJBM"", ""'GAR'!D3:D139""),0))"),"NA")</f>
        <v>NA</v>
      </c>
    </row>
    <row r="58" spans="1:31">
      <c r="A58" s="149" t="s">
        <v>147</v>
      </c>
      <c r="B58" s="149" t="s">
        <v>168</v>
      </c>
      <c r="C58" s="149" t="s">
        <v>30</v>
      </c>
      <c r="D58" s="149" t="s">
        <v>169</v>
      </c>
      <c r="E58" s="149" t="s">
        <v>38</v>
      </c>
      <c r="F58" s="9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27567</v>
      </c>
      <c r="R58" s="12">
        <v>27567</v>
      </c>
      <c r="S58" s="12">
        <f ca="1">IFERROR(__xludf.DUMMYFUNCTION("INDEX(IMPORTRANGE(""17pNv02DXDpQT9S3w4-QeNym2QJy2BzMBqDXp-XtzJBM"", ""'GAR'!BG3:BG139""),MATCH($D58,IMPORTRANGE(""17pNv02DXDpQT9S3w4-QeNym2QJy2BzMBqDXp-XtzJBM"", ""'GAR'!D3:D139""),0))"),27567)</f>
        <v>27567</v>
      </c>
      <c r="T58" s="13"/>
      <c r="U58" s="13"/>
      <c r="V58" s="13"/>
      <c r="W58" s="13"/>
      <c r="X58" s="13"/>
      <c r="Y58" s="4"/>
      <c r="Z58" s="12">
        <f ca="1">IFERROR(__xludf.DUMMYFUNCTION("INDEX(IMPORTRANGE(""17pNv02DXDpQT9S3w4-QeNym2QJy2BzMBqDXp-XtzJBM"", ""'GAR'!BH3:BH139""),MATCH($D58,IMPORTRANGE(""17pNv02DXDpQT9S3w4-QeNym2QJy2BzMBqDXp-XtzJBM"", ""'GAR'!D3:D139""),0))"),27919)</f>
        <v>27919</v>
      </c>
      <c r="AA58" s="12">
        <f ca="1">IFERROR(__xludf.DUMMYFUNCTION("INDEX(IMPORTRANGE(""17pNv02DXDpQT9S3w4-QeNym2QJy2BzMBqDXp-XtzJBM"", ""'GAR'!BI3:BI139""),MATCH($D58,IMPORTRANGE(""17pNv02DXDpQT9S3w4-QeNym2QJy2BzMBqDXp-XtzJBM"", ""'GAR'!D3:D139""),0))"),27923)</f>
        <v>27923</v>
      </c>
      <c r="AB58" s="12">
        <f ca="1">IFERROR(__xludf.DUMMYFUNCTION("INDEX(IMPORTRANGE(""17pNv02DXDpQT9S3w4-QeNym2QJy2BzMBqDXp-XtzJBM"", ""'GAR'!BJ3:BJ139""),MATCH($D58,IMPORTRANGE(""17pNv02DXDpQT9S3w4-QeNym2QJy2BzMBqDXp-XtzJBM"", ""'GAR'!D3:D139""),0))"),28273)</f>
        <v>28273</v>
      </c>
      <c r="AC58" s="12">
        <f ca="1">IFERROR(__xludf.DUMMYFUNCTION("INDEX(IMPORTRANGE(""17pNv02DXDpQT9S3w4-QeNym2QJy2BzMBqDXp-XtzJBM"", ""'GAR'!BK3:BK139""),MATCH($D58,IMPORTRANGE(""17pNv02DXDpQT9S3w4-QeNym2QJy2BzMBqDXp-XtzJBM"", ""'GAR'!D3:D139""),0))"),28503)</f>
        <v>28503</v>
      </c>
      <c r="AD58" s="12">
        <f ca="1">IFERROR(__xludf.DUMMYFUNCTION("INDEX(IMPORTRANGE(""17pNv02DXDpQT9S3w4-QeNym2QJy2BzMBqDXp-XtzJBM"", ""'GAR'!BL3:BL139""),MATCH($D58,IMPORTRANGE(""17pNv02DXDpQT9S3w4-QeNym2QJy2BzMBqDXp-XtzJBM"", ""'GAR'!D3:D139""),0))"),29271)</f>
        <v>29271</v>
      </c>
      <c r="AE58" s="12">
        <f ca="1">IFERROR(__xludf.DUMMYFUNCTION("INDEX(IMPORTRANGE(""17pNv02DXDpQT9S3w4-QeNym2QJy2BzMBqDXp-XtzJBM"", ""'GAR'!BM3:BM139""),MATCH($D58,IMPORTRANGE(""17pNv02DXDpQT9S3w4-QeNym2QJy2BzMBqDXp-XtzJBM"", ""'GAR'!D3:D139""),0))"),29471)</f>
        <v>29471</v>
      </c>
    </row>
    <row r="59" spans="1:31">
      <c r="A59" s="149" t="s">
        <v>147</v>
      </c>
      <c r="B59" s="149" t="s">
        <v>168</v>
      </c>
      <c r="C59" s="149" t="s">
        <v>30</v>
      </c>
      <c r="D59" s="149" t="s">
        <v>171</v>
      </c>
      <c r="E59" s="149" t="s">
        <v>38</v>
      </c>
      <c r="F59" s="9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12">
        <v>28500</v>
      </c>
      <c r="R59" s="12">
        <v>28500</v>
      </c>
      <c r="S59" s="12">
        <f ca="1">IFERROR(__xludf.DUMMYFUNCTION("INDEX(IMPORTRANGE(""17pNv02DXDpQT9S3w4-QeNym2QJy2BzMBqDXp-XtzJBM"", ""'GAR'!BG3:BG139""),MATCH($D59,IMPORTRANGE(""17pNv02DXDpQT9S3w4-QeNym2QJy2BzMBqDXp-XtzJBM"", ""'GAR'!D3:D139""),0))"),28500)</f>
        <v>28500</v>
      </c>
      <c r="T59" s="13"/>
      <c r="U59" s="13"/>
      <c r="V59" s="13"/>
      <c r="W59" s="13"/>
      <c r="X59" s="13"/>
      <c r="Y59" s="4"/>
      <c r="Z59" s="12">
        <f ca="1">IFERROR(__xludf.DUMMYFUNCTION("INDEX(IMPORTRANGE(""17pNv02DXDpQT9S3w4-QeNym2QJy2BzMBqDXp-XtzJBM"", ""'GAR'!BH3:BH139""),MATCH($D59,IMPORTRANGE(""17pNv02DXDpQT9S3w4-QeNym2QJy2BzMBqDXp-XtzJBM"", ""'GAR'!D3:D139""),0))"),28625)</f>
        <v>28625</v>
      </c>
      <c r="AA59" s="12">
        <f ca="1">IFERROR(__xludf.DUMMYFUNCTION("INDEX(IMPORTRANGE(""17pNv02DXDpQT9S3w4-QeNym2QJy2BzMBqDXp-XtzJBM"", ""'GAR'!BI3:BI139""),MATCH($D59,IMPORTRANGE(""17pNv02DXDpQT9S3w4-QeNym2QJy2BzMBqDXp-XtzJBM"", ""'GAR'!D3:D139""),0))"),28032)</f>
        <v>28032</v>
      </c>
      <c r="AB59" s="12">
        <f ca="1">IFERROR(__xludf.DUMMYFUNCTION("INDEX(IMPORTRANGE(""17pNv02DXDpQT9S3w4-QeNym2QJy2BzMBqDXp-XtzJBM"", ""'GAR'!BJ3:BJ139""),MATCH($D59,IMPORTRANGE(""17pNv02DXDpQT9S3w4-QeNym2QJy2BzMBqDXp-XtzJBM"", ""'GAR'!D3:D139""),0))"),28032)</f>
        <v>28032</v>
      </c>
      <c r="AC59" s="12">
        <f ca="1">IFERROR(__xludf.DUMMYFUNCTION("INDEX(IMPORTRANGE(""17pNv02DXDpQT9S3w4-QeNym2QJy2BzMBqDXp-XtzJBM"", ""'GAR'!BK3:BK139""),MATCH($D59,IMPORTRANGE(""17pNv02DXDpQT9S3w4-QeNym2QJy2BzMBqDXp-XtzJBM"", ""'GAR'!D3:D139""),0))"),28032)</f>
        <v>28032</v>
      </c>
      <c r="AD59" s="12">
        <f ca="1">IFERROR(__xludf.DUMMYFUNCTION("INDEX(IMPORTRANGE(""17pNv02DXDpQT9S3w4-QeNym2QJy2BzMBqDXp-XtzJBM"", ""'GAR'!BL3:BL139""),MATCH($D59,IMPORTRANGE(""17pNv02DXDpQT9S3w4-QeNym2QJy2BzMBqDXp-XtzJBM"", ""'GAR'!D3:D139""),0))"),29271)</f>
        <v>29271</v>
      </c>
      <c r="AE59" s="12">
        <f ca="1">IFERROR(__xludf.DUMMYFUNCTION("INDEX(IMPORTRANGE(""17pNv02DXDpQT9S3w4-QeNym2QJy2BzMBqDXp-XtzJBM"", ""'GAR'!BM3:BM139""),MATCH($D59,IMPORTRANGE(""17pNv02DXDpQT9S3w4-QeNym2QJy2BzMBqDXp-XtzJBM"", ""'GAR'!D3:D139""),0))"),29471)</f>
        <v>29471</v>
      </c>
    </row>
    <row r="60" spans="1:31">
      <c r="A60" s="149" t="s">
        <v>147</v>
      </c>
      <c r="B60" s="149" t="s">
        <v>168</v>
      </c>
      <c r="C60" s="149" t="s">
        <v>36</v>
      </c>
      <c r="D60" s="149" t="s">
        <v>173</v>
      </c>
      <c r="E60" s="149" t="s">
        <v>38</v>
      </c>
      <c r="F60" s="9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15">
        <f t="shared" ref="Q60:R60" si="15">Q58/Q59</f>
        <v>0.96726315789473682</v>
      </c>
      <c r="R60" s="15">
        <f t="shared" si="15"/>
        <v>0.96726315789473682</v>
      </c>
      <c r="S60" s="15">
        <f ca="1">IFERROR(__xludf.DUMMYFUNCTION("INDEX(IMPORTRANGE(""17pNv02DXDpQT9S3w4-QeNym2QJy2BzMBqDXp-XtzJBM"", ""'GAR'!BG3:BG139""),MATCH($D60,IMPORTRANGE(""17pNv02DXDpQT9S3w4-QeNym2QJy2BzMBqDXp-XtzJBM"", ""'GAR'!D3:D139""),0))"),0.967263157894736)</f>
        <v>0.96726315789473605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""'GAR'!BH3:BH139""),MATCH($D60,IMPORTRANGE(""17pNv02DXDpQT9S3w4-QeNym2QJy2BzMBqDXp-XtzJBM"", ""'GAR'!D3:D139""),0))"),0.975336244541484)</f>
        <v>0.97533624454148404</v>
      </c>
      <c r="AA60" s="15">
        <f ca="1">IFERROR(__xludf.DUMMYFUNCTION("INDEX(IMPORTRANGE(""17pNv02DXDpQT9S3w4-QeNym2QJy2BzMBqDXp-XtzJBM"", ""'GAR'!BI3:BI139""),MATCH($D60,IMPORTRANGE(""17pNv02DXDpQT9S3w4-QeNym2QJy2BzMBqDXp-XtzJBM"", ""'GAR'!D3:D139""),0))"),0.99611158675799)</f>
        <v>0.99611158675799005</v>
      </c>
      <c r="AB60" s="15">
        <f ca="1">IFERROR(__xludf.DUMMYFUNCTION("INDEX(IMPORTRANGE(""17pNv02DXDpQT9S3w4-QeNym2QJy2BzMBqDXp-XtzJBM"", ""'GAR'!BJ3:BJ139""),MATCH($D60,IMPORTRANGE(""17pNv02DXDpQT9S3w4-QeNym2QJy2BzMBqDXp-XtzJBM"", ""'GAR'!D3:D139""),0))"),1.00859731735159)</f>
        <v>1.0085973173515901</v>
      </c>
      <c r="AC60" s="15">
        <f ca="1">IFERROR(__xludf.DUMMYFUNCTION("INDEX(IMPORTRANGE(""17pNv02DXDpQT9S3w4-QeNym2QJy2BzMBqDXp-XtzJBM"", ""'GAR'!BK3:BK139""),MATCH($D60,IMPORTRANGE(""17pNv02DXDpQT9S3w4-QeNym2QJy2BzMBqDXp-XtzJBM"", ""'GAR'!D3:D139""),0))"),1.01680222602739)</f>
        <v>1.0168022260273899</v>
      </c>
      <c r="AD60" s="15">
        <f ca="1">IFERROR(__xludf.DUMMYFUNCTION("INDEX(IMPORTRANGE(""17pNv02DXDpQT9S3w4-QeNym2QJy2BzMBqDXp-XtzJBM"", ""'GAR'!BL3:BL139""),MATCH($D60,IMPORTRANGE(""17pNv02DXDpQT9S3w4-QeNym2QJy2BzMBqDXp-XtzJBM"", ""'GAR'!D3:D139""),0))"),1)</f>
        <v>1</v>
      </c>
      <c r="AE60" s="15">
        <f ca="1">IFERROR(__xludf.DUMMYFUNCTION("INDEX(IMPORTRANGE(""17pNv02DXDpQT9S3w4-QeNym2QJy2BzMBqDXp-XtzJBM"", ""'GAR'!BM3:BM139""),MATCH($D60,IMPORTRANGE(""17pNv02DXDpQT9S3w4-QeNym2QJy2BzMBqDXp-XtzJBM"", ""'GAR'!D3:D139""),0))"),1)</f>
        <v>1</v>
      </c>
    </row>
    <row r="61" spans="1:31">
      <c r="A61" s="149" t="s">
        <v>147</v>
      </c>
      <c r="B61" s="149" t="s">
        <v>168</v>
      </c>
      <c r="C61" s="149" t="s">
        <v>30</v>
      </c>
      <c r="D61" s="149" t="s">
        <v>175</v>
      </c>
      <c r="E61" s="149" t="s">
        <v>38</v>
      </c>
      <c r="F61" s="9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120000</v>
      </c>
      <c r="R61" s="12">
        <v>120000</v>
      </c>
      <c r="S61" s="12">
        <f ca="1">IFERROR(__xludf.DUMMYFUNCTION("INDEX(IMPORTRANGE(""17pNv02DXDpQT9S3w4-QeNym2QJy2BzMBqDXp-XtzJBM"", ""'GAR'!BG3:BG139""),MATCH($D61,IMPORTRANGE(""17pNv02DXDpQT9S3w4-QeNym2QJy2BzMBqDXp-XtzJBM"", ""'GAR'!D3:D139""),0))"),120000)</f>
        <v>120000</v>
      </c>
      <c r="T61" s="13"/>
      <c r="U61" s="13"/>
      <c r="V61" s="13"/>
      <c r="W61" s="13"/>
      <c r="X61" s="13"/>
      <c r="Y61" s="4"/>
      <c r="Z61" s="12">
        <f ca="1">IFERROR(__xludf.DUMMYFUNCTION("INDEX(IMPORTRANGE(""17pNv02DXDpQT9S3w4-QeNym2QJy2BzMBqDXp-XtzJBM"", ""'GAR'!BH3:BH139""),MATCH($D61,IMPORTRANGE(""17pNv02DXDpQT9S3w4-QeNym2QJy2BzMBqDXp-XtzJBM"", ""'GAR'!D3:D139""),0))"),120000)</f>
        <v>120000</v>
      </c>
      <c r="AA61" s="12" t="str">
        <f ca="1">IFERROR(__xludf.DUMMYFUNCTION("INDEX(IMPORTRANGE(""17pNv02DXDpQT9S3w4-QeNym2QJy2BzMBqDXp-XtzJBM"", ""'GAR'!BI3:BI139""),MATCH($D61,IMPORTRANGE(""17pNv02DXDpQT9S3w4-QeNym2QJy2BzMBqDXp-XtzJBM"", ""'GAR'!D3:D139""),0))"),"Sin dato")</f>
        <v>Sin dato</v>
      </c>
      <c r="AB61" s="12" t="str">
        <f ca="1">IFERROR(__xludf.DUMMYFUNCTION("INDEX(IMPORTRANGE(""17pNv02DXDpQT9S3w4-QeNym2QJy2BzMBqDXp-XtzJBM"", ""'GAR'!BJ3:BJ139""),MATCH($D61,IMPORTRANGE(""17pNv02DXDpQT9S3w4-QeNym2QJy2BzMBqDXp-XtzJBM"", ""'GAR'!D3:D139""),0))"),"Sin dato")</f>
        <v>Sin dato</v>
      </c>
      <c r="AC61" s="12" t="str">
        <f ca="1">IFERROR(__xludf.DUMMYFUNCTION("INDEX(IMPORTRANGE(""17pNv02DXDpQT9S3w4-QeNym2QJy2BzMBqDXp-XtzJBM"", ""'GAR'!BK3:BK139""),MATCH($D61,IMPORTRANGE(""17pNv02DXDpQT9S3w4-QeNym2QJy2BzMBqDXp-XtzJBM"", ""'GAR'!D3:D139""),0))"),"Sin dato")</f>
        <v>Sin dato</v>
      </c>
      <c r="AD61" s="12" t="str">
        <f ca="1">IFERROR(__xludf.DUMMYFUNCTION("INDEX(IMPORTRANGE(""17pNv02DXDpQT9S3w4-QeNym2QJy2BzMBqDXp-XtzJBM"", ""'GAR'!BL3:BL139""),MATCH($D61,IMPORTRANGE(""17pNv02DXDpQT9S3w4-QeNym2QJy2BzMBqDXp-XtzJBM"", ""'GAR'!D3:D139""),0))"),"Sin dato")</f>
        <v>Sin dato</v>
      </c>
      <c r="AE61" s="12" t="str">
        <f ca="1">IFERROR(__xludf.DUMMYFUNCTION("INDEX(IMPORTRANGE(""17pNv02DXDpQT9S3w4-QeNym2QJy2BzMBqDXp-XtzJBM"", ""'GAR'!BM3:BM139""),MATCH($D61,IMPORTRANGE(""17pNv02DXDpQT9S3w4-QeNym2QJy2BzMBqDXp-XtzJBM"", ""'GAR'!D3:D139""),0))"),"Sin dato")</f>
        <v>Sin dato</v>
      </c>
    </row>
    <row r="62" spans="1:31">
      <c r="A62" s="148" t="s">
        <v>147</v>
      </c>
      <c r="B62" s="148" t="s">
        <v>168</v>
      </c>
      <c r="C62" s="148" t="s">
        <v>36</v>
      </c>
      <c r="D62" s="148" t="s">
        <v>177</v>
      </c>
      <c r="E62" s="148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49">
        <v>44651</v>
      </c>
      <c r="K62" s="49">
        <v>44834</v>
      </c>
      <c r="L62" s="49">
        <v>45016</v>
      </c>
      <c r="M62" s="49">
        <v>45199</v>
      </c>
      <c r="N62" s="49">
        <v>45382</v>
      </c>
      <c r="O62" s="11" t="s">
        <v>361</v>
      </c>
      <c r="P62" s="49">
        <v>45565</v>
      </c>
      <c r="Q62" s="15">
        <f t="shared" ref="Q62:R62" si="16">Q61/Q37</f>
        <v>0.59262478455619816</v>
      </c>
      <c r="R62" s="15">
        <f t="shared" si="16"/>
        <v>0.59262478455619816</v>
      </c>
      <c r="S62" s="15">
        <f ca="1">IFERROR(__xludf.DUMMYFUNCTION("INDEX(IMPORTRANGE(""17pNv02DXDpQT9S3w4-QeNym2QJy2BzMBqDXp-XtzJBM"", ""'GAR'!BG3:BG139""),MATCH($D62,IMPORTRANGE(""17pNv02DXDpQT9S3w4-QeNym2QJy2BzMBqDXp-XtzJBM"", ""'GAR'!D3:D139""),0))"),0.61235424693185)</f>
        <v>0.61235424693185003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""'GAR'!BH3:BH139""),MATCH($D62,IMPORTRANGE(""17pNv02DXDpQT9S3w4-QeNym2QJy2BzMBqDXp-XtzJBM"", ""'GAR'!D3:D139""),0))"),0.592624784556198)</f>
        <v>0.59262478455619805</v>
      </c>
      <c r="AA62" s="14" t="str">
        <f ca="1">IFERROR(__xludf.DUMMYFUNCTION("INDEX(IMPORTRANGE(""17pNv02DXDpQT9S3w4-QeNym2QJy2BzMBqDXp-XtzJBM"", ""'GAR'!BI3:BI139""),MATCH($D62,IMPORTRANGE(""17pNv02DXDpQT9S3w4-QeNym2QJy2BzMBqDXp-XtzJBM"", ""'GAR'!D3:D139""),0))"),"Sin dato")</f>
        <v>Sin dato</v>
      </c>
      <c r="AB62" s="15" t="str">
        <f ca="1">IFERROR(__xludf.DUMMYFUNCTION("INDEX(IMPORTRANGE(""17pNv02DXDpQT9S3w4-QeNym2QJy2BzMBqDXp-XtzJBM"", ""'GAR'!BJ3:BJ139""),MATCH($D62,IMPORTRANGE(""17pNv02DXDpQT9S3w4-QeNym2QJy2BzMBqDXp-XtzJBM"", ""'GAR'!D3:D139""),0))"),"Sin dato")</f>
        <v>Sin dato</v>
      </c>
      <c r="AC62" s="14" t="str">
        <f ca="1">IFERROR(__xludf.DUMMYFUNCTION("INDEX(IMPORTRANGE(""17pNv02DXDpQT9S3w4-QeNym2QJy2BzMBqDXp-XtzJBM"", ""'GAR'!BK3:BK139""),MATCH($D62,IMPORTRANGE(""17pNv02DXDpQT9S3w4-QeNym2QJy2BzMBqDXp-XtzJBM"", ""'GAR'!D3:D139""),0))"),"Sin dato")</f>
        <v>Sin dato</v>
      </c>
      <c r="AD62" s="15" t="str">
        <f ca="1">IFERROR(__xludf.DUMMYFUNCTION("INDEX(IMPORTRANGE(""17pNv02DXDpQT9S3w4-QeNym2QJy2BzMBqDXp-XtzJBM"", ""'GAR'!BL3:BL139""),MATCH($D62,IMPORTRANGE(""17pNv02DXDpQT9S3w4-QeNym2QJy2BzMBqDXp-XtzJBM"", ""'GAR'!D3:D139""),0))"),"Sin dato")</f>
        <v>Sin dato</v>
      </c>
      <c r="AE62" s="14" t="str">
        <f ca="1">IFERROR(__xludf.DUMMYFUNCTION("INDEX(IMPORTRANGE(""17pNv02DXDpQT9S3w4-QeNym2QJy2BzMBqDXp-XtzJBM"", ""'GAR'!BM3:BM139""),MATCH($D62,IMPORTRANGE(""17pNv02DXDpQT9S3w4-QeNym2QJy2BzMBqDXp-XtzJBM"", ""'GAR'!D3:D139""),0))"),"Sin dato")</f>
        <v>Sin dato</v>
      </c>
    </row>
    <row r="63" spans="1:31">
      <c r="A63" s="149" t="s">
        <v>147</v>
      </c>
      <c r="B63" s="149" t="s">
        <v>168</v>
      </c>
      <c r="C63" s="149" t="s">
        <v>30</v>
      </c>
      <c r="D63" s="149" t="s">
        <v>179</v>
      </c>
      <c r="E63" s="149" t="s">
        <v>38</v>
      </c>
      <c r="F63" s="9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23">
        <v>6304695.5899999999</v>
      </c>
      <c r="R63" s="23">
        <v>6304695.5999999996</v>
      </c>
      <c r="S63" s="23">
        <f ca="1">IFERROR(__xludf.DUMMYFUNCTION("INDEX(IMPORTRANGE(""17pNv02DXDpQT9S3w4-QeNym2QJy2BzMBqDXp-XtzJBM"", ""'GAR'!BG3:BG139""),MATCH($D63,IMPORTRANGE(""17pNv02DXDpQT9S3w4-QeNym2QJy2BzMBqDXp-XtzJBM"", ""'GAR'!D3:D139""),0))"),6304695.59)</f>
        <v>6304695.5899999999</v>
      </c>
      <c r="T63" s="13"/>
      <c r="U63" s="13"/>
      <c r="V63" s="13"/>
      <c r="W63" s="13"/>
      <c r="X63" s="13"/>
      <c r="Y63" s="4"/>
      <c r="Z63" s="23">
        <f ca="1">IFERROR(__xludf.DUMMYFUNCTION("INDEX(IMPORTRANGE(""17pNv02DXDpQT9S3w4-QeNym2QJy2BzMBqDXp-XtzJBM"", ""'GAR'!BH3:BH139""),MATCH($D63,IMPORTRANGE(""17pNv02DXDpQT9S3w4-QeNym2QJy2BzMBqDXp-XtzJBM"", ""'GAR'!D3:D139""),0))"),6315863.54)</f>
        <v>6315863.54</v>
      </c>
      <c r="AA63" s="12">
        <f ca="1">IFERROR(__xludf.DUMMYFUNCTION("INDEX(IMPORTRANGE(""17pNv02DXDpQT9S3w4-QeNym2QJy2BzMBqDXp-XtzJBM"", ""'GAR'!BI3:BI139""),MATCH($D63,IMPORTRANGE(""17pNv02DXDpQT9S3w4-QeNym2QJy2BzMBqDXp-XtzJBM"", ""'GAR'!D3:D139""),0))"),15243.36)</f>
        <v>15243.36</v>
      </c>
      <c r="AB63" s="23">
        <f ca="1">IFERROR(__xludf.DUMMYFUNCTION("INDEX(IMPORTRANGE(""17pNv02DXDpQT9S3w4-QeNym2QJy2BzMBqDXp-XtzJBM"", ""'GAR'!BJ3:BJ139""),MATCH($D63,IMPORTRANGE(""17pNv02DXDpQT9S3w4-QeNym2QJy2BzMBqDXp-XtzJBM"", ""'GAR'!D3:D139""),0))"),6339964.58)</f>
        <v>6339964.5800000001</v>
      </c>
      <c r="AC63" s="12">
        <f ca="1">IFERROR(__xludf.DUMMYFUNCTION("INDEX(IMPORTRANGE(""17pNv02DXDpQT9S3w4-QeNym2QJy2BzMBqDXp-XtzJBM"", ""'GAR'!BK3:BK139""),MATCH($D63,IMPORTRANGE(""17pNv02DXDpQT9S3w4-QeNym2QJy2BzMBqDXp-XtzJBM"", ""'GAR'!D3:D139""),0))"),6360063.9)</f>
        <v>6360063.9000000004</v>
      </c>
      <c r="AD63" s="23">
        <f ca="1">IFERROR(__xludf.DUMMYFUNCTION("INDEX(IMPORTRANGE(""17pNv02DXDpQT9S3w4-QeNym2QJy2BzMBqDXp-XtzJBM"", ""'GAR'!BL3:BL139""),MATCH($D63,IMPORTRANGE(""17pNv02DXDpQT9S3w4-QeNym2QJy2BzMBqDXp-XtzJBM"", ""'GAR'!D3:D139""),0))"),6380163.22)</f>
        <v>6380163.2199999997</v>
      </c>
      <c r="AE63" s="12">
        <f ca="1">IFERROR(__xludf.DUMMYFUNCTION("INDEX(IMPORTRANGE(""17pNv02DXDpQT9S3w4-QeNym2QJy2BzMBqDXp-XtzJBM"", ""'GAR'!BM3:BM139""),MATCH($D63,IMPORTRANGE(""17pNv02DXDpQT9S3w4-QeNym2QJy2BzMBqDXp-XtzJBM"", ""'GAR'!D3:D139""),0))"),6391460.38)</f>
        <v>6391460.3799999999</v>
      </c>
    </row>
    <row r="64" spans="1:31">
      <c r="A64" s="149" t="s">
        <v>147</v>
      </c>
      <c r="B64" s="149" t="s">
        <v>168</v>
      </c>
      <c r="C64" s="149" t="s">
        <v>30</v>
      </c>
      <c r="D64" s="149" t="s">
        <v>181</v>
      </c>
      <c r="E64" s="149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318">
        <v>7804695.5999999996</v>
      </c>
      <c r="R64" s="318">
        <v>7804695.5999999996</v>
      </c>
      <c r="S64" s="23">
        <f ca="1">IFERROR(__xludf.DUMMYFUNCTION("INDEX(IMPORTRANGE(""17pNv02DXDpQT9S3w4-QeNym2QJy2BzMBqDXp-XtzJBM"", ""'GAR'!BG3:BG139""),MATCH($D64,IMPORTRANGE(""17pNv02DXDpQT9S3w4-QeNym2QJy2BzMBqDXp-XtzJBM"", ""'GAR'!D3:D139""),0))"),7804695.59)</f>
        <v>7804695.5899999999</v>
      </c>
      <c r="T64" s="13"/>
      <c r="U64" s="13"/>
      <c r="V64" s="13"/>
      <c r="W64" s="13"/>
      <c r="X64" s="13"/>
      <c r="Y64" s="4"/>
      <c r="Z64" s="193">
        <f ca="1">IFERROR(__xludf.DUMMYFUNCTION("INDEX(IMPORTRANGE(""17pNv02DXDpQT9S3w4-QeNym2QJy2BzMBqDXp-XtzJBM"", ""'GAR'!BH3:BH139""),MATCH($D64,IMPORTRANGE(""17pNv02DXDpQT9S3w4-QeNym2QJy2BzMBqDXp-XtzJBM"", ""'GAR'!D3:D139""),0))"),7804695.59)</f>
        <v>7804695.5899999999</v>
      </c>
      <c r="AA64" s="12">
        <f ca="1">IFERROR(__xludf.DUMMYFUNCTION("INDEX(IMPORTRANGE(""17pNv02DXDpQT9S3w4-QeNym2QJy2BzMBqDXp-XtzJBM"", ""'GAR'!BI3:BI139""),MATCH($D64,IMPORTRANGE(""17pNv02DXDpQT9S3w4-QeNym2QJy2BzMBqDXp-XtzJBM"", ""'GAR'!D3:D139""),0))"),1500000)</f>
        <v>1500000</v>
      </c>
      <c r="AB64" s="193">
        <f ca="1">IFERROR(__xludf.DUMMYFUNCTION("INDEX(IMPORTRANGE(""17pNv02DXDpQT9S3w4-QeNym2QJy2BzMBqDXp-XtzJBM"", ""'GAR'!BJ3:BJ139""),MATCH($D64,IMPORTRANGE(""17pNv02DXDpQT9S3w4-QeNym2QJy2BzMBqDXp-XtzJBM"", ""'GAR'!D3:D139""),0))"),7839964.58)</f>
        <v>7839964.5800000001</v>
      </c>
      <c r="AC64" s="12">
        <f ca="1">IFERROR(__xludf.DUMMYFUNCTION("INDEX(IMPORTRANGE(""17pNv02DXDpQT9S3w4-QeNym2QJy2BzMBqDXp-XtzJBM"", ""'GAR'!BK3:BK139""),MATCH($D64,IMPORTRANGE(""17pNv02DXDpQT9S3w4-QeNym2QJy2BzMBqDXp-XtzJBM"", ""'GAR'!D3:D139""),0))"),7839964.58)</f>
        <v>7839964.5800000001</v>
      </c>
      <c r="AD64" s="193">
        <f ca="1">IFERROR(__xludf.DUMMYFUNCTION("INDEX(IMPORTRANGE(""17pNv02DXDpQT9S3w4-QeNym2QJy2BzMBqDXp-XtzJBM"", ""'GAR'!BL3:BL139""),MATCH($D64,IMPORTRANGE(""17pNv02DXDpQT9S3w4-QeNym2QJy2BzMBqDXp-XtzJBM"", ""'GAR'!D3:D139""),0))"),7839964.58)</f>
        <v>7839964.5800000001</v>
      </c>
      <c r="AE64" s="12">
        <f ca="1">IFERROR(__xludf.DUMMYFUNCTION("INDEX(IMPORTRANGE(""17pNv02DXDpQT9S3w4-QeNym2QJy2BzMBqDXp-XtzJBM"", ""'GAR'!BM3:BM139""),MATCH($D64,IMPORTRANGE(""17pNv02DXDpQT9S3w4-QeNym2QJy2BzMBqDXp-XtzJBM"", ""'GAR'!D3:D139""),0))"),7839964.58)</f>
        <v>7839964.5800000001</v>
      </c>
    </row>
    <row r="65" spans="1:31">
      <c r="A65" s="149" t="s">
        <v>147</v>
      </c>
      <c r="B65" s="149" t="s">
        <v>168</v>
      </c>
      <c r="C65" s="149" t="s">
        <v>36</v>
      </c>
      <c r="D65" s="149" t="s">
        <v>183</v>
      </c>
      <c r="E65" s="149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15">
        <f t="shared" ref="Q65:R65" si="17">Q63/Q64</f>
        <v>0.80780800599065006</v>
      </c>
      <c r="R65" s="15">
        <f t="shared" si="17"/>
        <v>0.80780800727193003</v>
      </c>
      <c r="S65" s="15">
        <f ca="1">IFERROR(__xludf.DUMMYFUNCTION("INDEX(IMPORTRANGE(""17pNv02DXDpQT9S3w4-QeNym2QJy2BzMBqDXp-XtzJBM"", ""'GAR'!BG3:BG139""),MATCH($D65,IMPORTRANGE(""17pNv02DXDpQT9S3w4-QeNym2QJy2BzMBqDXp-XtzJBM"", ""'GAR'!D3:D139""),0))"),0.807808007025678)</f>
        <v>0.80780800702567801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""'GAR'!BH3:BH139""),MATCH($D65,IMPORTRANGE(""17pNv02DXDpQT9S3w4-QeNym2QJy2BzMBqDXp-XtzJBM"", ""'GAR'!D3:D139""),0))"),0.80923893407097)</f>
        <v>0.80923893407097003</v>
      </c>
      <c r="AA65" s="15">
        <f ca="1">IFERROR(__xludf.DUMMYFUNCTION("INDEX(IMPORTRANGE(""17pNv02DXDpQT9S3w4-QeNym2QJy2BzMBqDXp-XtzJBM"", ""'GAR'!BI3:BI139""),MATCH($D65,IMPORTRANGE(""17pNv02DXDpQT9S3w4-QeNym2QJy2BzMBqDXp-XtzJBM"", ""'GAR'!D3:D139""),0))"),0.01016224)</f>
        <v>1.0162239999999999E-2</v>
      </c>
      <c r="AB65" s="15">
        <f ca="1">IFERROR(__xludf.DUMMYFUNCTION("INDEX(IMPORTRANGE(""17pNv02DXDpQT9S3w4-QeNym2QJy2BzMBqDXp-XtzJBM"", ""'GAR'!BJ3:BJ139""),MATCH($D65,IMPORTRANGE(""17pNv02DXDpQT9S3w4-QeNym2QJy2BzMBqDXp-XtzJBM"", ""'GAR'!D3:D139""),0))"),0.808672604997916)</f>
        <v>0.80867260499791604</v>
      </c>
      <c r="AC65" s="15">
        <f ca="1">IFERROR(__xludf.DUMMYFUNCTION("INDEX(IMPORTRANGE(""17pNv02DXDpQT9S3w4-QeNym2QJy2BzMBqDXp-XtzJBM"", ""'GAR'!BK3:BK139""),MATCH($D65,IMPORTRANGE(""17pNv02DXDpQT9S3w4-QeNym2QJy2BzMBqDXp-XtzJBM"", ""'GAR'!D3:D139""),0))"),0.811236305355859)</f>
        <v>0.811236305355859</v>
      </c>
      <c r="AD65" s="15">
        <f ca="1">IFERROR(__xludf.DUMMYFUNCTION("INDEX(IMPORTRANGE(""17pNv02DXDpQT9S3w4-QeNym2QJy2BzMBqDXp-XtzJBM"", ""'GAR'!BL3:BL139""),MATCH($D65,IMPORTRANGE(""17pNv02DXDpQT9S3w4-QeNym2QJy2BzMBqDXp-XtzJBM"", ""'GAR'!D3:D139""),0))"),0.813800005713801)</f>
        <v>0.81380000571380096</v>
      </c>
      <c r="AE65" s="15">
        <f ca="1">IFERROR(__xludf.DUMMYFUNCTION("INDEX(IMPORTRANGE(""17pNv02DXDpQT9S3w4-QeNym2QJy2BzMBqDXp-XtzJBM"", ""'GAR'!BM3:BM139""),MATCH($D65,IMPORTRANGE(""17pNv02DXDpQT9S3w4-QeNym2QJy2BzMBqDXp-XtzJBM"", ""'GAR'!D3:D139""),0))"),0.815240976509615)</f>
        <v>0.81524097650961502</v>
      </c>
    </row>
    <row r="66" spans="1:31">
      <c r="A66" s="149" t="s">
        <v>147</v>
      </c>
      <c r="B66" s="149" t="s">
        <v>168</v>
      </c>
      <c r="C66" s="149" t="s">
        <v>30</v>
      </c>
      <c r="D66" s="149" t="s">
        <v>185</v>
      </c>
      <c r="E66" s="149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12">
        <v>7300</v>
      </c>
      <c r="R66" s="12">
        <v>7300</v>
      </c>
      <c r="S66" s="12">
        <f ca="1">IFERROR(__xludf.DUMMYFUNCTION("INDEX(IMPORTRANGE(""17pNv02DXDpQT9S3w4-QeNym2QJy2BzMBqDXp-XtzJBM"", ""'GAR'!BG3:BG139""),MATCH($D66,IMPORTRANGE(""17pNv02DXDpQT9S3w4-QeNym2QJy2BzMBqDXp-XtzJBM"", ""'GAR'!D3:D139""),0))"),7300)</f>
        <v>7300</v>
      </c>
      <c r="T66" s="13"/>
      <c r="U66" s="13"/>
      <c r="V66" s="13"/>
      <c r="W66" s="13"/>
      <c r="X66" s="13"/>
      <c r="Y66" s="4"/>
      <c r="Z66" s="12">
        <f ca="1">IFERROR(__xludf.DUMMYFUNCTION("INDEX(IMPORTRANGE(""17pNv02DXDpQT9S3w4-QeNym2QJy2BzMBqDXp-XtzJBM"", ""'GAR'!BH3:BH139""),MATCH($D66,IMPORTRANGE(""17pNv02DXDpQT9S3w4-QeNym2QJy2BzMBqDXp-XtzJBM"", ""'GAR'!D3:D139""),0))"),7300)</f>
        <v>7300</v>
      </c>
      <c r="AA66" s="12">
        <f ca="1">IFERROR(__xludf.DUMMYFUNCTION("INDEX(IMPORTRANGE(""17pNv02DXDpQT9S3w4-QeNym2QJy2BzMBqDXp-XtzJBM"", ""'GAR'!BI3:BI139""),MATCH($D66,IMPORTRANGE(""17pNv02DXDpQT9S3w4-QeNym2QJy2BzMBqDXp-XtzJBM"", ""'GAR'!D3:D139""),0))"),8780.5)</f>
        <v>8780.5</v>
      </c>
      <c r="AB66" s="12">
        <f ca="1">IFERROR(__xludf.DUMMYFUNCTION("INDEX(IMPORTRANGE(""17pNv02DXDpQT9S3w4-QeNym2QJy2BzMBqDXp-XtzJBM"", ""'GAR'!BJ3:BJ139""),MATCH($D66,IMPORTRANGE(""17pNv02DXDpQT9S3w4-QeNym2QJy2BzMBqDXp-XtzJBM"", ""'GAR'!D3:D139""),0))"),8780.5)</f>
        <v>8780.5</v>
      </c>
      <c r="AC66" s="12">
        <f ca="1">IFERROR(__xludf.DUMMYFUNCTION("INDEX(IMPORTRANGE(""17pNv02DXDpQT9S3w4-QeNym2QJy2BzMBqDXp-XtzJBM"", ""'GAR'!BK3:BK139""),MATCH($D66,IMPORTRANGE(""17pNv02DXDpQT9S3w4-QeNym2QJy2BzMBqDXp-XtzJBM"", ""'GAR'!D3:D139""),0))"),9373.5)</f>
        <v>9373.5</v>
      </c>
      <c r="AD66" s="12">
        <f ca="1">IFERROR(__xludf.DUMMYFUNCTION("INDEX(IMPORTRANGE(""17pNv02DXDpQT9S3w4-QeNym2QJy2BzMBqDXp-XtzJBM"", ""'GAR'!BL3:BL139""),MATCH($D66,IMPORTRANGE(""17pNv02DXDpQT9S3w4-QeNym2QJy2BzMBqDXp-XtzJBM"", ""'GAR'!D3:D139""),0))"),9966.5)</f>
        <v>9966.5</v>
      </c>
      <c r="AE66" s="12">
        <f ca="1">IFERROR(__xludf.DUMMYFUNCTION("INDEX(IMPORTRANGE(""17pNv02DXDpQT9S3w4-QeNym2QJy2BzMBqDXp-XtzJBM"", ""'GAR'!BM3:BM139""),MATCH($D66,IMPORTRANGE(""17pNv02DXDpQT9S3w4-QeNym2QJy2BzMBqDXp-XtzJBM"", ""'GAR'!D3:D139""),0))"),10466.5)</f>
        <v>10466.5</v>
      </c>
    </row>
    <row r="67" spans="1:31">
      <c r="A67" s="149" t="s">
        <v>147</v>
      </c>
      <c r="B67" s="149" t="s">
        <v>168</v>
      </c>
      <c r="C67" s="149" t="s">
        <v>30</v>
      </c>
      <c r="D67" s="149" t="s">
        <v>187</v>
      </c>
      <c r="E67" s="149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12">
        <v>9800</v>
      </c>
      <c r="R67" s="12">
        <v>9800</v>
      </c>
      <c r="S67" s="12">
        <f ca="1">IFERROR(__xludf.DUMMYFUNCTION("INDEX(IMPORTRANGE(""17pNv02DXDpQT9S3w4-QeNym2QJy2BzMBqDXp-XtzJBM"", ""'GAR'!BG3:BG139""),MATCH($D67,IMPORTRANGE(""17pNv02DXDpQT9S3w4-QeNym2QJy2BzMBqDXp-XtzJBM"", ""'GAR'!D3:D139""),0))"),9800)</f>
        <v>9800</v>
      </c>
      <c r="T67" s="13"/>
      <c r="U67" s="13"/>
      <c r="V67" s="13"/>
      <c r="W67" s="13"/>
      <c r="X67" s="13"/>
      <c r="Y67" s="4"/>
      <c r="Z67" s="12">
        <f ca="1">IFERROR(__xludf.DUMMYFUNCTION("INDEX(IMPORTRANGE(""17pNv02DXDpQT9S3w4-QeNym2QJy2BzMBqDXp-XtzJBM"", ""'GAR'!BH3:BH139""),MATCH($D67,IMPORTRANGE(""17pNv02DXDpQT9S3w4-QeNym2QJy2BzMBqDXp-XtzJBM"", ""'GAR'!D3:D139""),0))"),9800)</f>
        <v>9800</v>
      </c>
      <c r="AA67" s="12">
        <f ca="1">IFERROR(__xludf.DUMMYFUNCTION("INDEX(IMPORTRANGE(""17pNv02DXDpQT9S3w4-QeNym2QJy2BzMBqDXp-XtzJBM"", ""'GAR'!BI3:BI139""),MATCH($D67,IMPORTRANGE(""17pNv02DXDpQT9S3w4-QeNym2QJy2BzMBqDXp-XtzJBM"", ""'GAR'!D3:D139""),0))"),8780.5)</f>
        <v>8780.5</v>
      </c>
      <c r="AB67" s="12">
        <f ca="1">IFERROR(__xludf.DUMMYFUNCTION("INDEX(IMPORTRANGE(""17pNv02DXDpQT9S3w4-QeNym2QJy2BzMBqDXp-XtzJBM"", ""'GAR'!BJ3:BJ139""),MATCH($D67,IMPORTRANGE(""17pNv02DXDpQT9S3w4-QeNym2QJy2BzMBqDXp-XtzJBM"", ""'GAR'!D3:D139""),0))"),11280.5)</f>
        <v>11280.5</v>
      </c>
      <c r="AC67" s="12">
        <f ca="1">IFERROR(__xludf.DUMMYFUNCTION("INDEX(IMPORTRANGE(""17pNv02DXDpQT9S3w4-QeNym2QJy2BzMBqDXp-XtzJBM"", ""'GAR'!BK3:BK139""),MATCH($D67,IMPORTRANGE(""17pNv02DXDpQT9S3w4-QeNym2QJy2BzMBqDXp-XtzJBM"", ""'GAR'!D3:D139""),0))"),11280.5)</f>
        <v>11280.5</v>
      </c>
      <c r="AD67" s="12">
        <f ca="1">IFERROR(__xludf.DUMMYFUNCTION("INDEX(IMPORTRANGE(""17pNv02DXDpQT9S3w4-QeNym2QJy2BzMBqDXp-XtzJBM"", ""'GAR'!BL3:BL139""),MATCH($D67,IMPORTRANGE(""17pNv02DXDpQT9S3w4-QeNym2QJy2BzMBqDXp-XtzJBM"", ""'GAR'!D3:D139""),0))"),11280.5)</f>
        <v>11280.5</v>
      </c>
      <c r="AE67" s="12">
        <f ca="1">IFERROR(__xludf.DUMMYFUNCTION("INDEX(IMPORTRANGE(""17pNv02DXDpQT9S3w4-QeNym2QJy2BzMBqDXp-XtzJBM"", ""'GAR'!BM3:BM139""),MATCH($D67,IMPORTRANGE(""17pNv02DXDpQT9S3w4-QeNym2QJy2BzMBqDXp-XtzJBM"", ""'GAR'!D3:D139""),0))"),11280.5)</f>
        <v>11280.5</v>
      </c>
    </row>
    <row r="68" spans="1:31">
      <c r="A68" s="149" t="s">
        <v>147</v>
      </c>
      <c r="B68" s="149" t="s">
        <v>168</v>
      </c>
      <c r="C68" s="149" t="s">
        <v>36</v>
      </c>
      <c r="D68" s="149" t="s">
        <v>189</v>
      </c>
      <c r="E68" s="149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15">
        <f t="shared" ref="Q68:R68" si="18">Q66/Q67</f>
        <v>0.74489795918367352</v>
      </c>
      <c r="R68" s="15">
        <f t="shared" si="18"/>
        <v>0.74489795918367352</v>
      </c>
      <c r="S68" s="15">
        <f ca="1">IFERROR(__xludf.DUMMYFUNCTION("INDEX(IMPORTRANGE(""17pNv02DXDpQT9S3w4-QeNym2QJy2BzMBqDXp-XtzJBM"", ""'GAR'!BG3:BG139""),MATCH($D68,IMPORTRANGE(""17pNv02DXDpQT9S3w4-QeNym2QJy2BzMBqDXp-XtzJBM"", ""'GAR'!D3:D139""),0))"),0.744897959183673)</f>
        <v>0.74489795918367296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""'GAR'!BH3:BH139""),MATCH($D68,IMPORTRANGE(""17pNv02DXDpQT9S3w4-QeNym2QJy2BzMBqDXp-XtzJBM"", ""'GAR'!D3:D139""),0))"),0.744897959183673)</f>
        <v>0.74489795918367296</v>
      </c>
      <c r="AA68" s="15">
        <f ca="1">IFERROR(__xludf.DUMMYFUNCTION("INDEX(IMPORTRANGE(""17pNv02DXDpQT9S3w4-QeNym2QJy2BzMBqDXp-XtzJBM"", ""'GAR'!BI3:BI139""),MATCH($D68,IMPORTRANGE(""17pNv02DXDpQT9S3w4-QeNym2QJy2BzMBqDXp-XtzJBM"", ""'GAR'!D3:D139""),0))"),1)</f>
        <v>1</v>
      </c>
      <c r="AB68" s="15">
        <f ca="1">IFERROR(__xludf.DUMMYFUNCTION("INDEX(IMPORTRANGE(""17pNv02DXDpQT9S3w4-QeNym2QJy2BzMBqDXp-XtzJBM"", ""'GAR'!BJ3:BJ139""),MATCH($D68,IMPORTRANGE(""17pNv02DXDpQT9S3w4-QeNym2QJy2BzMBqDXp-XtzJBM"", ""'GAR'!D3:D139""),0))"),0.778378617969061)</f>
        <v>0.77837861796906105</v>
      </c>
      <c r="AC68" s="15">
        <f ca="1">IFERROR(__xludf.DUMMYFUNCTION("INDEX(IMPORTRANGE(""17pNv02DXDpQT9S3w4-QeNym2QJy2BzMBqDXp-XtzJBM"", ""'GAR'!BK3:BK139""),MATCH($D68,IMPORTRANGE(""17pNv02DXDpQT9S3w4-QeNym2QJy2BzMBqDXp-XtzJBM"", ""'GAR'!D3:D139""),0))"),0.8309472097868)</f>
        <v>0.83094720978680003</v>
      </c>
      <c r="AD68" s="15">
        <f ca="1">IFERROR(__xludf.DUMMYFUNCTION("INDEX(IMPORTRANGE(""17pNv02DXDpQT9S3w4-QeNym2QJy2BzMBqDXp-XtzJBM"", ""'GAR'!BL3:BL139""),MATCH($D68,IMPORTRANGE(""17pNv02DXDpQT9S3w4-QeNym2QJy2BzMBqDXp-XtzJBM"", ""'GAR'!D3:D139""),0))"),0.883515801604538)</f>
        <v>0.88351580160453802</v>
      </c>
      <c r="AE68" s="15">
        <f ca="1">IFERROR(__xludf.DUMMYFUNCTION("INDEX(IMPORTRANGE(""17pNv02DXDpQT9S3w4-QeNym2QJy2BzMBqDXp-XtzJBM"", ""'GAR'!BM3:BM139""),MATCH($D68,IMPORTRANGE(""17pNv02DXDpQT9S3w4-QeNym2QJy2BzMBqDXp-XtzJBM"", ""'GAR'!D3:D139""),0))"),0.927840078010726)</f>
        <v>0.92784007801072599</v>
      </c>
    </row>
    <row r="69" spans="1:31">
      <c r="A69" s="149" t="s">
        <v>147</v>
      </c>
      <c r="B69" s="149" t="s">
        <v>168</v>
      </c>
      <c r="C69" s="149" t="s">
        <v>30</v>
      </c>
      <c r="D69" s="149" t="s">
        <v>191</v>
      </c>
      <c r="E69" s="149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3">
        <v>0</v>
      </c>
      <c r="R69" s="23">
        <v>0</v>
      </c>
      <c r="S69" s="23">
        <f ca="1">IFERROR(__xludf.DUMMYFUNCTION("INDEX(IMPORTRANGE(""17pNv02DXDpQT9S3w4-QeNym2QJy2BzMBqDXp-XtzJBM"", ""'GAR'!BG3:BG139""),MATCH($D69,IMPORTRANGE(""17pNv02DXDpQT9S3w4-QeNym2QJy2BzMBqDXp-XtzJBM"", ""'GAR'!D3:D139""),0))"),0)</f>
        <v>0</v>
      </c>
      <c r="T69" s="1"/>
      <c r="U69" s="1"/>
      <c r="V69" s="1"/>
      <c r="W69" s="1"/>
      <c r="X69" s="1"/>
      <c r="Y69" s="12"/>
      <c r="Z69" s="23">
        <f ca="1">IFERROR(__xludf.DUMMYFUNCTION("INDEX(IMPORTRANGE(""17pNv02DXDpQT9S3w4-QeNym2QJy2BzMBqDXp-XtzJBM"", ""'GAR'!BH3:BH139""),MATCH($D69,IMPORTRANGE(""17pNv02DXDpQT9S3w4-QeNym2QJy2BzMBqDXp-XtzJBM"", ""'GAR'!D3:D139""),0))"),0)</f>
        <v>0</v>
      </c>
      <c r="AA69" s="24">
        <f ca="1">IFERROR(__xludf.DUMMYFUNCTION("INDEX(IMPORTRANGE(""17pNv02DXDpQT9S3w4-QeNym2QJy2BzMBqDXp-XtzJBM"", ""'GAR'!BI3:BI139""),MATCH($D69,IMPORTRANGE(""17pNv02DXDpQT9S3w4-QeNym2QJy2BzMBqDXp-XtzJBM"", ""'GAR'!D3:D139""),0))"),0)</f>
        <v>0</v>
      </c>
      <c r="AB69" s="23">
        <f ca="1">IFERROR(__xludf.DUMMYFUNCTION("INDEX(IMPORTRANGE(""17pNv02DXDpQT9S3w4-QeNym2QJy2BzMBqDXp-XtzJBM"", ""'GAR'!BJ3:BJ139""),MATCH($D69,IMPORTRANGE(""17pNv02DXDpQT9S3w4-QeNym2QJy2BzMBqDXp-XtzJBM"", ""'GAR'!D3:D139""),0))"),0)</f>
        <v>0</v>
      </c>
      <c r="AC69" s="24">
        <f ca="1">IFERROR(__xludf.DUMMYFUNCTION("INDEX(IMPORTRANGE(""17pNv02DXDpQT9S3w4-QeNym2QJy2BzMBqDXp-XtzJBM"", ""'GAR'!BK3:BK139""),MATCH($D69,IMPORTRANGE(""17pNv02DXDpQT9S3w4-QeNym2QJy2BzMBqDXp-XtzJBM"", ""'GAR'!D3:D139""),0))"),0)</f>
        <v>0</v>
      </c>
      <c r="AD69" s="23">
        <f ca="1">IFERROR(__xludf.DUMMYFUNCTION("INDEX(IMPORTRANGE(""17pNv02DXDpQT9S3w4-QeNym2QJy2BzMBqDXp-XtzJBM"", ""'GAR'!BL3:BL139""),MATCH($D69,IMPORTRANGE(""17pNv02DXDpQT9S3w4-QeNym2QJy2BzMBqDXp-XtzJBM"", ""'GAR'!D3:D139""),0))"),0)</f>
        <v>0</v>
      </c>
      <c r="AE69" s="24">
        <f ca="1">IFERROR(__xludf.DUMMYFUNCTION("INDEX(IMPORTRANGE(""17pNv02DXDpQT9S3w4-QeNym2QJy2BzMBqDXp-XtzJBM"", ""'GAR'!BM3:BM139""),MATCH($D69,IMPORTRANGE(""17pNv02DXDpQT9S3w4-QeNym2QJy2BzMBqDXp-XtzJBM"", ""'GAR'!D3:D139""),0))"),0)</f>
        <v>0</v>
      </c>
    </row>
    <row r="70" spans="1:31">
      <c r="A70" s="149" t="s">
        <v>147</v>
      </c>
      <c r="B70" s="149" t="s">
        <v>168</v>
      </c>
      <c r="C70" s="149" t="s">
        <v>30</v>
      </c>
      <c r="D70" s="149" t="s">
        <v>193</v>
      </c>
      <c r="E70" s="149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</v>
      </c>
      <c r="R70" s="23">
        <v>0</v>
      </c>
      <c r="S70" s="23">
        <f ca="1">IFERROR(__xludf.DUMMYFUNCTION("INDEX(IMPORTRANGE(""17pNv02DXDpQT9S3w4-QeNym2QJy2BzMBqDXp-XtzJBM"", ""'GAR'!BG3:BG139""),MATCH($D70,IMPORTRANGE(""17pNv02DXDpQT9S3w4-QeNym2QJy2BzMBqDXp-XtzJBM"", ""'GAR'!D3:D139""),0))"),0)</f>
        <v>0</v>
      </c>
      <c r="T70" s="1"/>
      <c r="U70" s="1"/>
      <c r="V70" s="1"/>
      <c r="W70" s="1"/>
      <c r="X70" s="1"/>
      <c r="Y70" s="12"/>
      <c r="Z70" s="23">
        <f ca="1">IFERROR(__xludf.DUMMYFUNCTION("INDEX(IMPORTRANGE(""17pNv02DXDpQT9S3w4-QeNym2QJy2BzMBqDXp-XtzJBM"", ""'GAR'!BH3:BH139""),MATCH($D70,IMPORTRANGE(""17pNv02DXDpQT9S3w4-QeNym2QJy2BzMBqDXp-XtzJBM"", ""'GAR'!D3:D139""),0))"),6319.81881)</f>
        <v>6319.8188099999998</v>
      </c>
      <c r="AA70" s="12">
        <f ca="1">IFERROR(__xludf.DUMMYFUNCTION("INDEX(IMPORTRANGE(""17pNv02DXDpQT9S3w4-QeNym2QJy2BzMBqDXp-XtzJBM"", ""'GAR'!BI3:BI139""),MATCH($D70,IMPORTRANGE(""17pNv02DXDpQT9S3w4-QeNym2QJy2BzMBqDXp-XtzJBM"", ""'GAR'!D3:D139""),0))"),6355.35881)</f>
        <v>6355.3588099999997</v>
      </c>
      <c r="AB70" s="23">
        <f ca="1">IFERROR(__xludf.DUMMYFUNCTION("INDEX(IMPORTRANGE(""17pNv02DXDpQT9S3w4-QeNym2QJy2BzMBqDXp-XtzJBM"", ""'GAR'!BJ3:BJ139""),MATCH($D70,IMPORTRANGE(""17pNv02DXDpQT9S3w4-QeNym2QJy2BzMBqDXp-XtzJBM"", ""'GAR'!D3:D139""),0))"),0.04525)</f>
        <v>4.5249999999999999E-2</v>
      </c>
      <c r="AC70" s="12">
        <f ca="1">IFERROR(__xludf.DUMMYFUNCTION("INDEX(IMPORTRANGE(""17pNv02DXDpQT9S3w4-QeNym2QJy2BzMBqDXp-XtzJBM"", ""'GAR'!BK3:BK139""),MATCH($D70,IMPORTRANGE(""17pNv02DXDpQT9S3w4-QeNym2QJy2BzMBqDXp-XtzJBM"", ""'GAR'!D3:D139""),0))"),0.04525)</f>
        <v>4.5249999999999999E-2</v>
      </c>
      <c r="AD70" s="23">
        <f ca="1">IFERROR(__xludf.DUMMYFUNCTION("INDEX(IMPORTRANGE(""17pNv02DXDpQT9S3w4-QeNym2QJy2BzMBqDXp-XtzJBM"", ""'GAR'!BL3:BL139""),MATCH($D70,IMPORTRANGE(""17pNv02DXDpQT9S3w4-QeNym2QJy2BzMBqDXp-XtzJBM"", ""'GAR'!D3:D139""),0))"),0)</f>
        <v>0</v>
      </c>
      <c r="AE70" s="12">
        <f ca="1">IFERROR(__xludf.DUMMYFUNCTION("INDEX(IMPORTRANGE(""17pNv02DXDpQT9S3w4-QeNym2QJy2BzMBqDXp-XtzJBM"", ""'GAR'!BM3:BM139""),MATCH($D70,IMPORTRANGE(""17pNv02DXDpQT9S3w4-QeNym2QJy2BzMBqDXp-XtzJBM"", ""'GAR'!D3:D139""),0))"),0)</f>
        <v>0</v>
      </c>
    </row>
    <row r="71" spans="1:31">
      <c r="A71" s="149" t="s">
        <v>147</v>
      </c>
      <c r="B71" s="149" t="s">
        <v>168</v>
      </c>
      <c r="C71" s="149" t="s">
        <v>30</v>
      </c>
      <c r="D71" s="149" t="s">
        <v>195</v>
      </c>
      <c r="E71" s="149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12">
        <v>0</v>
      </c>
      <c r="R71" s="12">
        <v>0</v>
      </c>
      <c r="S71" s="12">
        <f ca="1">IFERROR(__xludf.DUMMYFUNCTION("INDEX(IMPORTRANGE(""17pNv02DXDpQT9S3w4-QeNym2QJy2BzMBqDXp-XtzJBM"", ""'GAR'!BG3:BG139""),MATCH($D71,IMPORTRANGE(""17pNv02DXDpQT9S3w4-QeNym2QJy2BzMBqDXp-XtzJBM"", ""'GAR'!D3:D139""),0))"),0)</f>
        <v>0</v>
      </c>
      <c r="T71" s="13"/>
      <c r="U71" s="13"/>
      <c r="V71" s="13"/>
      <c r="W71" s="13"/>
      <c r="X71" s="13"/>
      <c r="Y71" s="4"/>
      <c r="Z71" s="12">
        <f ca="1">IFERROR(__xludf.DUMMYFUNCTION("INDEX(IMPORTRANGE(""17pNv02DXDpQT9S3w4-QeNym2QJy2BzMBqDXp-XtzJBM"", ""'GAR'!BH3:BH139""),MATCH($D71,IMPORTRANGE(""17pNv02DXDpQT9S3w4-QeNym2QJy2BzMBqDXp-XtzJBM"", ""'GAR'!D3:D139""),0))"),0)</f>
        <v>0</v>
      </c>
      <c r="AA71" s="12" t="str">
        <f ca="1">IFERROR(__xludf.DUMMYFUNCTION("INDEX(IMPORTRANGE(""17pNv02DXDpQT9S3w4-QeNym2QJy2BzMBqDXp-XtzJBM"", ""'GAR'!BI3:BI139""),MATCH($D71,IMPORTRANGE(""17pNv02DXDpQT9S3w4-QeNym2QJy2BzMBqDXp-XtzJBM"", ""'GAR'!D3:D139""),0))"),"")</f>
        <v/>
      </c>
      <c r="AB71" s="12" t="str">
        <f ca="1">IFERROR(__xludf.DUMMYFUNCTION("INDEX(IMPORTRANGE(""17pNv02DXDpQT9S3w4-QeNym2QJy2BzMBqDXp-XtzJBM"", ""'GAR'!BJ3:BJ139""),MATCH($D71,IMPORTRANGE(""17pNv02DXDpQT9S3w4-QeNym2QJy2BzMBqDXp-XtzJBM"", ""'GAR'!D3:D139""),0))"),"https://trans.garcia.gob.mx/admin/uploads/PLAN%20MUNICIPAL%202021%202024.pdf pag 155-166")</f>
        <v>https://trans.garcia.gob.mx/admin/uploads/PLAN%20MUNICIPAL%202021%202024.pdf pag 155-166</v>
      </c>
      <c r="AC71" s="12" t="str">
        <f ca="1">IFERROR(__xludf.DUMMYFUNCTION("INDEX(IMPORTRANGE(""17pNv02DXDpQT9S3w4-QeNym2QJy2BzMBqDXp-XtzJBM"", ""'GAR'!BK3:BK139""),MATCH($D71,IMPORTRANGE(""17pNv02DXDpQT9S3w4-QeNym2QJy2BzMBqDXp-XtzJBM"", ""'GAR'!D3:D139""),0))"),"")</f>
        <v/>
      </c>
      <c r="AD71" s="12" t="str">
        <f ca="1">IFERROR(__xludf.DUMMYFUNCTION("INDEX(IMPORTRANGE(""17pNv02DXDpQT9S3w4-QeNym2QJy2BzMBqDXp-XtzJBM"", ""'GAR'!BL3:BL139""),MATCH($D71,IMPORTRANGE(""17pNv02DXDpQT9S3w4-QeNym2QJy2BzMBqDXp-XtzJBM"", ""'GAR'!D3:D139""),0))"),"Sin plan")</f>
        <v>Sin plan</v>
      </c>
      <c r="AE71" s="12" t="str">
        <f ca="1">IFERROR(__xludf.DUMMYFUNCTION("INDEX(IMPORTRANGE(""17pNv02DXDpQT9S3w4-QeNym2QJy2BzMBqDXp-XtzJBM"", ""'GAR'!BM3:BM139""),MATCH($D71,IMPORTRANGE(""17pNv02DXDpQT9S3w4-QeNym2QJy2BzMBqDXp-XtzJBM"", ""'GAR'!D3:D139""),0))"),"Sin plan")</f>
        <v>Sin plan</v>
      </c>
    </row>
    <row r="72" spans="1:31">
      <c r="A72" s="149" t="s">
        <v>147</v>
      </c>
      <c r="B72" s="149" t="s">
        <v>168</v>
      </c>
      <c r="C72" s="149" t="s">
        <v>36</v>
      </c>
      <c r="D72" s="149" t="s">
        <v>197</v>
      </c>
      <c r="E72" s="149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 t="shared" ref="Q72:R72" si="19">Q69+Q70</f>
        <v>0</v>
      </c>
      <c r="R72" s="23">
        <f t="shared" si="19"/>
        <v>0</v>
      </c>
      <c r="S72" s="23">
        <f ca="1">IFERROR(__xludf.DUMMYFUNCTION("INDEX(IMPORTRANGE(""17pNv02DXDpQT9S3w4-QeNym2QJy2BzMBqDXp-XtzJBM"", ""'GAR'!BG3:BG139""),MATCH($D72,IMPORTRANGE(""17pNv02DXDpQT9S3w4-QeNym2QJy2BzMBqDXp-XtzJBM"", ""'GAR'!D3:D139""),0))"),0)</f>
        <v>0</v>
      </c>
      <c r="T72" s="320">
        <v>2.4333333330000002</v>
      </c>
      <c r="U72" s="320">
        <v>2.4333333330000002</v>
      </c>
      <c r="V72" s="320">
        <v>2.4333333330000002</v>
      </c>
      <c r="W72" s="320">
        <v>2.4333333330000002</v>
      </c>
      <c r="X72" s="320">
        <v>2.4333333330000002</v>
      </c>
      <c r="Y72" s="320">
        <v>7.3</v>
      </c>
      <c r="Z72" s="23">
        <f ca="1">IFERROR(__xludf.DUMMYFUNCTION("INDEX(IMPORTRANGE(""17pNv02DXDpQT9S3w4-QeNym2QJy2BzMBqDXp-XtzJBM"", ""'GAR'!BH3:BH139""),MATCH($D72,IMPORTRANGE(""17pNv02DXDpQT9S3w4-QeNym2QJy2BzMBqDXp-XtzJBM"", ""'GAR'!D3:D139""),0))"),6319.81881)</f>
        <v>6319.8188099999998</v>
      </c>
      <c r="AA72" s="12">
        <f ca="1">IFERROR(__xludf.DUMMYFUNCTION("INDEX(IMPORTRANGE(""17pNv02DXDpQT9S3w4-QeNym2QJy2BzMBqDXp-XtzJBM"", ""'GAR'!BI3:BI139""),MATCH($D72,IMPORTRANGE(""17pNv02DXDpQT9S3w4-QeNym2QJy2BzMBqDXp-XtzJBM"", ""'GAR'!D3:D139""),0))"),6355.35881)</f>
        <v>6355.3588099999997</v>
      </c>
      <c r="AB72" s="23">
        <f ca="1">IFERROR(__xludf.DUMMYFUNCTION("INDEX(IMPORTRANGE(""17pNv02DXDpQT9S3w4-QeNym2QJy2BzMBqDXp-XtzJBM"", ""'GAR'!BJ3:BJ139""),MATCH($D72,IMPORTRANGE(""17pNv02DXDpQT9S3w4-QeNym2QJy2BzMBqDXp-XtzJBM"", ""'GAR'!D3:D139""),0))"),0.04525)</f>
        <v>4.5249999999999999E-2</v>
      </c>
      <c r="AC72" s="12">
        <f ca="1">IFERROR(__xludf.DUMMYFUNCTION("INDEX(IMPORTRANGE(""17pNv02DXDpQT9S3w4-QeNym2QJy2BzMBqDXp-XtzJBM"", ""'GAR'!BK3:BK139""),MATCH($D72,IMPORTRANGE(""17pNv02DXDpQT9S3w4-QeNym2QJy2BzMBqDXp-XtzJBM"", ""'GAR'!D3:D139""),0))"),0.04525)</f>
        <v>4.5249999999999999E-2</v>
      </c>
      <c r="AD72" s="23">
        <f ca="1">IFERROR(__xludf.DUMMYFUNCTION("INDEX(IMPORTRANGE(""17pNv02DXDpQT9S3w4-QeNym2QJy2BzMBqDXp-XtzJBM"", ""'GAR'!BL3:BL139""),MATCH($D72,IMPORTRANGE(""17pNv02DXDpQT9S3w4-QeNym2QJy2BzMBqDXp-XtzJBM"", ""'GAR'!D3:D139""),0))"),0)</f>
        <v>0</v>
      </c>
      <c r="AE72" s="12">
        <f ca="1">IFERROR(__xludf.DUMMYFUNCTION("INDEX(IMPORTRANGE(""17pNv02DXDpQT9S3w4-QeNym2QJy2BzMBqDXp-XtzJBM"", ""'GAR'!BM3:BM139""),MATCH($D72,IMPORTRANGE(""17pNv02DXDpQT9S3w4-QeNym2QJy2BzMBqDXp-XtzJBM"", ""'GAR'!D3:D139""),0))"),0)</f>
        <v>0</v>
      </c>
    </row>
    <row r="73" spans="1:31">
      <c r="A73" s="149" t="s">
        <v>199</v>
      </c>
      <c r="B73" s="149" t="s">
        <v>200</v>
      </c>
      <c r="C73" s="149" t="s">
        <v>36</v>
      </c>
      <c r="D73" s="149" t="s">
        <v>201</v>
      </c>
      <c r="E73" s="149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1.5</v>
      </c>
      <c r="R73" s="23">
        <v>1.5</v>
      </c>
      <c r="S73" s="23">
        <f ca="1">IFERROR(__xludf.DUMMYFUNCTION("INDEX(IMPORTRANGE(""17pNv02DXDpQT9S3w4-QeNym2QJy2BzMBqDXp-XtzJBM"", ""'GAR'!BG3:BG139""),MATCH($D73,IMPORTRANGE(""17pNv02DXDpQT9S3w4-QeNym2QJy2BzMBqDXp-XtzJBM"", ""'GAR'!D3:D139""),0))"),1.76)</f>
        <v>1.76</v>
      </c>
      <c r="T73" s="56">
        <v>1.8</v>
      </c>
      <c r="U73" s="56" t="s">
        <v>419</v>
      </c>
      <c r="V73" s="56" t="s">
        <v>419</v>
      </c>
      <c r="W73" s="56" t="s">
        <v>419</v>
      </c>
      <c r="X73" s="56" t="s">
        <v>419</v>
      </c>
      <c r="Y73" s="56" t="s">
        <v>419</v>
      </c>
      <c r="Z73" s="30">
        <f ca="1">IFERROR(__xludf.DUMMYFUNCTION("INDEX(IMPORTRANGE(""17pNv02DXDpQT9S3w4-QeNym2QJy2BzMBqDXp-XtzJBM"", ""'GAR'!BH3:BH139""),MATCH($D73,IMPORTRANGE(""17pNv02DXDpQT9S3w4-QeNym2QJy2BzMBqDXp-XtzJBM"", ""'GAR'!D3:D139""),0))"),1.7575)</f>
        <v>1.7575000000000001</v>
      </c>
      <c r="AA73" s="30">
        <f ca="1">IFERROR(__xludf.DUMMYFUNCTION("INDEX(IMPORTRANGE(""17pNv02DXDpQT9S3w4-QeNym2QJy2BzMBqDXp-XtzJBM"", ""'GAR'!BI3:BI139""),MATCH($D73,IMPORTRANGE(""17pNv02DXDpQT9S3w4-QeNym2QJy2BzMBqDXp-XtzJBM"", ""'GAR'!D3:D139""),0))"),1.76)</f>
        <v>1.76</v>
      </c>
      <c r="AB73" s="30">
        <f ca="1">IFERROR(__xludf.DUMMYFUNCTION("INDEX(IMPORTRANGE(""17pNv02DXDpQT9S3w4-QeNym2QJy2BzMBqDXp-XtzJBM"", ""'GAR'!BJ3:BJ139""),MATCH($D73,IMPORTRANGE(""17pNv02DXDpQT9S3w4-QeNym2QJy2BzMBqDXp-XtzJBM"", ""'GAR'!D3:D139""),0))"),1.76)</f>
        <v>1.76</v>
      </c>
      <c r="AC73" s="30">
        <f ca="1">IFERROR(__xludf.DUMMYFUNCTION("INDEX(IMPORTRANGE(""17pNv02DXDpQT9S3w4-QeNym2QJy2BzMBqDXp-XtzJBM"", ""'GAR'!BK3:BK139""),MATCH($D73,IMPORTRANGE(""17pNv02DXDpQT9S3w4-QeNym2QJy2BzMBqDXp-XtzJBM"", ""'GAR'!D3:D139""),0))"),1.76)</f>
        <v>1.76</v>
      </c>
      <c r="AD73" s="30">
        <f ca="1">IFERROR(__xludf.DUMMYFUNCTION("INDEX(IMPORTRANGE(""17pNv02DXDpQT9S3w4-QeNym2QJy2BzMBqDXp-XtzJBM"", ""'GAR'!BL3:BL139""),MATCH($D73,IMPORTRANGE(""17pNv02DXDpQT9S3w4-QeNym2QJy2BzMBqDXp-XtzJBM"", ""'GAR'!D3:D139""),0))"),1.76)</f>
        <v>1.76</v>
      </c>
      <c r="AE73" s="30">
        <f ca="1">IFERROR(__xludf.DUMMYFUNCTION("INDEX(IMPORTRANGE(""17pNv02DXDpQT9S3w4-QeNym2QJy2BzMBqDXp-XtzJBM"", ""'GAR'!BM3:BM139""),MATCH($D73,IMPORTRANGE(""17pNv02DXDpQT9S3w4-QeNym2QJy2BzMBqDXp-XtzJBM"", ""'GAR'!D3:D139""),0))"),1.76)</f>
        <v>1.76</v>
      </c>
    </row>
    <row r="74" spans="1:31">
      <c r="A74" s="149" t="s">
        <v>199</v>
      </c>
      <c r="B74" s="149" t="s">
        <v>200</v>
      </c>
      <c r="C74" s="149" t="s">
        <v>30</v>
      </c>
      <c r="D74" s="149" t="s">
        <v>203</v>
      </c>
      <c r="E74" s="149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 t="str">
        <f ca="1">IFERROR(__xludf.DUMMYFUNCTION("INDEX(IMPORTRANGE(""17pNv02DXDpQT9S3w4-QeNym2QJy2BzMBqDXp-XtzJBM"", ""'GAR'!BG3:BG139""),MATCH($D74,IMPORTRANGE(""17pNv02DXDpQT9S3w4-QeNym2QJy2BzMBqDXp-XtzJBM"", ""'GAR'!D3:D139""),0))"),"")</f>
        <v/>
      </c>
      <c r="T74" s="1"/>
      <c r="U74" s="1"/>
      <c r="V74" s="1"/>
      <c r="W74" s="1"/>
      <c r="X74" s="1"/>
      <c r="Y74" s="2">
        <v>4500</v>
      </c>
      <c r="Z74" s="23">
        <f ca="1">IFERROR(__xludf.DUMMYFUNCTION("INDEX(IMPORTRANGE(""17pNv02DXDpQT9S3w4-QeNym2QJy2BzMBqDXp-XtzJBM"", ""'GAR'!BH3:BH139""),MATCH($D74,IMPORTRANGE(""17pNv02DXDpQT9S3w4-QeNym2QJy2BzMBqDXp-XtzJBM"", ""'GAR'!D3:D139""),0))"),2494.96)</f>
        <v>2494.96</v>
      </c>
      <c r="AA74" s="12">
        <f ca="1">IFERROR(__xludf.DUMMYFUNCTION("INDEX(IMPORTRANGE(""17pNv02DXDpQT9S3w4-QeNym2QJy2BzMBqDXp-XtzJBM"", ""'GAR'!BI3:BI139""),MATCH($D74,IMPORTRANGE(""17pNv02DXDpQT9S3w4-QeNym2QJy2BzMBqDXp-XtzJBM"", ""'GAR'!D3:D139""),0))"),3680.12)</f>
        <v>3680.12</v>
      </c>
      <c r="AB74" s="23">
        <f ca="1">IFERROR(__xludf.DUMMYFUNCTION("INDEX(IMPORTRANGE(""17pNv02DXDpQT9S3w4-QeNym2QJy2BzMBqDXp-XtzJBM"", ""'GAR'!BJ3:BJ139""),MATCH($D74,IMPORTRANGE(""17pNv02DXDpQT9S3w4-QeNym2QJy2BzMBqDXp-XtzJBM"", ""'GAR'!D3:D139""),0))"),0)</f>
        <v>0</v>
      </c>
      <c r="AC74" s="12">
        <f ca="1">IFERROR(__xludf.DUMMYFUNCTION("INDEX(IMPORTRANGE(""17pNv02DXDpQT9S3w4-QeNym2QJy2BzMBqDXp-XtzJBM"", ""'GAR'!BK3:BK139""),MATCH($D74,IMPORTRANGE(""17pNv02DXDpQT9S3w4-QeNym2QJy2BzMBqDXp-XtzJBM"", ""'GAR'!D3:D139""),0))"),7528.3)</f>
        <v>7528.3</v>
      </c>
      <c r="AD74" s="23">
        <f ca="1">IFERROR(__xludf.DUMMYFUNCTION("INDEX(IMPORTRANGE(""17pNv02DXDpQT9S3w4-QeNym2QJy2BzMBqDXp-XtzJBM"", ""'GAR'!BL3:BL139""),MATCH($D74,IMPORTRANGE(""17pNv02DXDpQT9S3w4-QeNym2QJy2BzMBqDXp-XtzJBM"", ""'GAR'!D3:D139""),0))"),0)</f>
        <v>0</v>
      </c>
      <c r="AE74" s="12">
        <f ca="1">IFERROR(__xludf.DUMMYFUNCTION("INDEX(IMPORTRANGE(""17pNv02DXDpQT9S3w4-QeNym2QJy2BzMBqDXp-XtzJBM"", ""'GAR'!BM3:BM139""),MATCH($D74,IMPORTRANGE(""17pNv02DXDpQT9S3w4-QeNym2QJy2BzMBqDXp-XtzJBM"", ""'GAR'!D3:D139""),0))"),0)</f>
        <v>0</v>
      </c>
    </row>
    <row r="75" spans="1:31">
      <c r="A75" s="149" t="s">
        <v>199</v>
      </c>
      <c r="B75" s="149" t="s">
        <v>200</v>
      </c>
      <c r="C75" s="149" t="s">
        <v>30</v>
      </c>
      <c r="D75" s="149" t="s">
        <v>205</v>
      </c>
      <c r="E75" s="149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 t="str">
        <f ca="1">IFERROR(__xludf.DUMMYFUNCTION("INDEX(IMPORTRANGE(""17pNv02DXDpQT9S3w4-QeNym2QJy2BzMBqDXp-XtzJBM"", ""'GAR'!BG3:BG139""),MATCH($D75,IMPORTRANGE(""17pNv02DXDpQT9S3w4-QeNym2QJy2BzMBqDXp-XtzJBM"", ""'GAR'!D3:D139""),0))"),"")</f>
        <v/>
      </c>
      <c r="T75" s="1"/>
      <c r="U75" s="1"/>
      <c r="V75" s="1"/>
      <c r="W75" s="1"/>
      <c r="X75" s="1"/>
      <c r="Y75" s="2">
        <v>300</v>
      </c>
      <c r="Z75" s="12">
        <f ca="1">IFERROR(__xludf.DUMMYFUNCTION("INDEX(IMPORTRANGE(""17pNv02DXDpQT9S3w4-QeNym2QJy2BzMBqDXp-XtzJBM"", ""'GAR'!BH3:BH139""),MATCH($D75,IMPORTRANGE(""17pNv02DXDpQT9S3w4-QeNym2QJy2BzMBqDXp-XtzJBM"", ""'GAR'!D3:D139""),0))"),0)</f>
        <v>0</v>
      </c>
      <c r="AA75" s="12">
        <f ca="1">IFERROR(__xludf.DUMMYFUNCTION("INDEX(IMPORTRANGE(""17pNv02DXDpQT9S3w4-QeNym2QJy2BzMBqDXp-XtzJBM"", ""'GAR'!BI3:BI139""),MATCH($D75,IMPORTRANGE(""17pNv02DXDpQT9S3w4-QeNym2QJy2BzMBqDXp-XtzJBM"", ""'GAR'!D3:D139""),0))"),863.069999999999)</f>
        <v>863.06999999999903</v>
      </c>
      <c r="AB75" s="12">
        <f ca="1">IFERROR(__xludf.DUMMYFUNCTION("INDEX(IMPORTRANGE(""17pNv02DXDpQT9S3w4-QeNym2QJy2BzMBqDXp-XtzJBM"", ""'GAR'!BJ3:BJ139""),MATCH($D75,IMPORTRANGE(""17pNv02DXDpQT9S3w4-QeNym2QJy2BzMBqDXp-XtzJBM"", ""'GAR'!D3:D139""),0))"),0)</f>
        <v>0</v>
      </c>
      <c r="AC75" s="12">
        <f ca="1">IFERROR(__xludf.DUMMYFUNCTION("INDEX(IMPORTRANGE(""17pNv02DXDpQT9S3w4-QeNym2QJy2BzMBqDXp-XtzJBM"", ""'GAR'!BK3:BK139""),MATCH($D75,IMPORTRANGE(""17pNv02DXDpQT9S3w4-QeNym2QJy2BzMBqDXp-XtzJBM"", ""'GAR'!D3:D139""),0))"),0)</f>
        <v>0</v>
      </c>
      <c r="AD75" s="12">
        <f ca="1">IFERROR(__xludf.DUMMYFUNCTION("INDEX(IMPORTRANGE(""17pNv02DXDpQT9S3w4-QeNym2QJy2BzMBqDXp-XtzJBM"", ""'GAR'!BL3:BL139""),MATCH($D75,IMPORTRANGE(""17pNv02DXDpQT9S3w4-QeNym2QJy2BzMBqDXp-XtzJBM"", ""'GAR'!D3:D139""),0))"),0)</f>
        <v>0</v>
      </c>
      <c r="AE75" s="12">
        <f ca="1">IFERROR(__xludf.DUMMYFUNCTION("INDEX(IMPORTRANGE(""17pNv02DXDpQT9S3w4-QeNym2QJy2BzMBqDXp-XtzJBM"", ""'GAR'!BM3:BM139""),MATCH($D75,IMPORTRANGE(""17pNv02DXDpQT9S3w4-QeNym2QJy2BzMBqDXp-XtzJBM"", ""'GAR'!D3:D139""),0))"),0)</f>
        <v>0</v>
      </c>
    </row>
    <row r="76" spans="1:31">
      <c r="A76" s="149" t="s">
        <v>199</v>
      </c>
      <c r="B76" s="149" t="s">
        <v>200</v>
      </c>
      <c r="C76" s="149" t="s">
        <v>30</v>
      </c>
      <c r="D76" s="149" t="s">
        <v>207</v>
      </c>
      <c r="E76" s="149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""'GAR'!BG3:BG139""),MATCH($D76,IMPORTRANGE(""17pNv02DXDpQT9S3w4-QeNym2QJy2BzMBqDXp-XtzJBM"", ""'GAR'!D3:D139""),0))"),"")</f>
        <v/>
      </c>
      <c r="T76" s="1"/>
      <c r="U76" s="1"/>
      <c r="V76" s="1"/>
      <c r="W76" s="1"/>
      <c r="X76" s="1"/>
      <c r="Y76" s="2">
        <v>500</v>
      </c>
      <c r="Z76" s="12">
        <f ca="1">IFERROR(__xludf.DUMMYFUNCTION("INDEX(IMPORTRANGE(""17pNv02DXDpQT9S3w4-QeNym2QJy2BzMBqDXp-XtzJBM"", ""'GAR'!BH3:BH139""),MATCH($D76,IMPORTRANGE(""17pNv02DXDpQT9S3w4-QeNym2QJy2BzMBqDXp-XtzJBM"", ""'GAR'!D3:D139""),0))"),0)</f>
        <v>0</v>
      </c>
      <c r="AA76" s="12">
        <f ca="1">IFERROR(__xludf.DUMMYFUNCTION("INDEX(IMPORTRANGE(""17pNv02DXDpQT9S3w4-QeNym2QJy2BzMBqDXp-XtzJBM"", ""'GAR'!BI3:BI139""),MATCH($D76,IMPORTRANGE(""17pNv02DXDpQT9S3w4-QeNym2QJy2BzMBqDXp-XtzJBM"", ""'GAR'!D3:D139""),0))"),0)</f>
        <v>0</v>
      </c>
      <c r="AB76" s="12">
        <f ca="1">IFERROR(__xludf.DUMMYFUNCTION("INDEX(IMPORTRANGE(""17pNv02DXDpQT9S3w4-QeNym2QJy2BzMBqDXp-XtzJBM"", ""'GAR'!BJ3:BJ139""),MATCH($D76,IMPORTRANGE(""17pNv02DXDpQT9S3w4-QeNym2QJy2BzMBqDXp-XtzJBM"", ""'GAR'!D3:D139""),0))"),0)</f>
        <v>0</v>
      </c>
      <c r="AC76" s="12">
        <f ca="1">IFERROR(__xludf.DUMMYFUNCTION("INDEX(IMPORTRANGE(""17pNv02DXDpQT9S3w4-QeNym2QJy2BzMBqDXp-XtzJBM"", ""'GAR'!BK3:BK139""),MATCH($D76,IMPORTRANGE(""17pNv02DXDpQT9S3w4-QeNym2QJy2BzMBqDXp-XtzJBM"", ""'GAR'!D3:D139""),0))"),0)</f>
        <v>0</v>
      </c>
      <c r="AD76" s="12">
        <f ca="1">IFERROR(__xludf.DUMMYFUNCTION("INDEX(IMPORTRANGE(""17pNv02DXDpQT9S3w4-QeNym2QJy2BzMBqDXp-XtzJBM"", ""'GAR'!BL3:BL139""),MATCH($D76,IMPORTRANGE(""17pNv02DXDpQT9S3w4-QeNym2QJy2BzMBqDXp-XtzJBM"", ""'GAR'!D3:D139""),0))"),0)</f>
        <v>0</v>
      </c>
      <c r="AE76" s="12">
        <f ca="1">IFERROR(__xludf.DUMMYFUNCTION("INDEX(IMPORTRANGE(""17pNv02DXDpQT9S3w4-QeNym2QJy2BzMBqDXp-XtzJBM"", ""'GAR'!BM3:BM139""),MATCH($D76,IMPORTRANGE(""17pNv02DXDpQT9S3w4-QeNym2QJy2BzMBqDXp-XtzJBM"", ""'GAR'!D3:D139""),0))"),0)</f>
        <v>0</v>
      </c>
    </row>
    <row r="77" spans="1:31">
      <c r="A77" s="149" t="s">
        <v>199</v>
      </c>
      <c r="B77" s="149" t="s">
        <v>200</v>
      </c>
      <c r="C77" s="149" t="s">
        <v>36</v>
      </c>
      <c r="D77" s="149" t="s">
        <v>209</v>
      </c>
      <c r="E77" s="149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""'GAR'!BG3:BG139""),MATCH($D77,IMPORTRANGE(""17pNv02DXDpQT9S3w4-QeNym2QJy2BzMBqDXp-XtzJBM"", ""'GAR'!D3:D139""),0))"),"")</f>
        <v/>
      </c>
      <c r="T77" s="4">
        <v>1766.7</v>
      </c>
      <c r="U77" s="4">
        <v>883.3</v>
      </c>
      <c r="V77" s="4">
        <v>1766.7</v>
      </c>
      <c r="W77" s="4">
        <v>883.3</v>
      </c>
      <c r="X77" s="217">
        <f>(W77)/6*5+W77</f>
        <v>1619.3833333333332</v>
      </c>
      <c r="Y77" s="4">
        <f>SUM(Y74:Y76)</f>
        <v>5300</v>
      </c>
      <c r="Z77" s="23">
        <f ca="1">IFERROR(__xludf.DUMMYFUNCTION("INDEX(IMPORTRANGE(""17pNv02DXDpQT9S3w4-QeNym2QJy2BzMBqDXp-XtzJBM"", ""'GAR'!BH3:BH139""),MATCH($D77,IMPORTRANGE(""17pNv02DXDpQT9S3w4-QeNym2QJy2BzMBqDXp-XtzJBM"", ""'GAR'!D3:D139""),0))"),2494.96)</f>
        <v>2494.96</v>
      </c>
      <c r="AA77" s="12">
        <f ca="1">IFERROR(__xludf.DUMMYFUNCTION("INDEX(IMPORTRANGE(""17pNv02DXDpQT9S3w4-QeNym2QJy2BzMBqDXp-XtzJBM"", ""'GAR'!BI3:BI139""),MATCH($D77,IMPORTRANGE(""17pNv02DXDpQT9S3w4-QeNym2QJy2BzMBqDXp-XtzJBM"", ""'GAR'!D3:D139""),0))"),4543.19)</f>
        <v>4543.1899999999996</v>
      </c>
      <c r="AB77" s="23">
        <f ca="1">IFERROR(__xludf.DUMMYFUNCTION("INDEX(IMPORTRANGE(""17pNv02DXDpQT9S3w4-QeNym2QJy2BzMBqDXp-XtzJBM"", ""'GAR'!BJ3:BJ139""),MATCH($D77,IMPORTRANGE(""17pNv02DXDpQT9S3w4-QeNym2QJy2BzMBqDXp-XtzJBM"", ""'GAR'!D3:D139""),0))"),0)</f>
        <v>0</v>
      </c>
      <c r="AC77" s="12">
        <f ca="1">IFERROR(__xludf.DUMMYFUNCTION("INDEX(IMPORTRANGE(""17pNv02DXDpQT9S3w4-QeNym2QJy2BzMBqDXp-XtzJBM"", ""'GAR'!BK3:BK139""),MATCH($D77,IMPORTRANGE(""17pNv02DXDpQT9S3w4-QeNym2QJy2BzMBqDXp-XtzJBM"", ""'GAR'!D3:D139""),0))"),7528.3)</f>
        <v>7528.3</v>
      </c>
      <c r="AD77" s="23">
        <f ca="1">IFERROR(__xludf.DUMMYFUNCTION("INDEX(IMPORTRANGE(""17pNv02DXDpQT9S3w4-QeNym2QJy2BzMBqDXp-XtzJBM"", ""'GAR'!BL3:BL139""),MATCH($D77,IMPORTRANGE(""17pNv02DXDpQT9S3w4-QeNym2QJy2BzMBqDXp-XtzJBM"", ""'GAR'!D3:D139""),0))"),0)</f>
        <v>0</v>
      </c>
      <c r="AE77" s="12">
        <f ca="1">IFERROR(__xludf.DUMMYFUNCTION("INDEX(IMPORTRANGE(""17pNv02DXDpQT9S3w4-QeNym2QJy2BzMBqDXp-XtzJBM"", ""'GAR'!BM3:BM139""),MATCH($D77,IMPORTRANGE(""17pNv02DXDpQT9S3w4-QeNym2QJy2BzMBqDXp-XtzJBM"", ""'GAR'!D3:D139""),0))"),0)</f>
        <v>0</v>
      </c>
    </row>
    <row r="78" spans="1:31">
      <c r="A78" s="149" t="s">
        <v>199</v>
      </c>
      <c r="B78" s="149" t="s">
        <v>200</v>
      </c>
      <c r="C78" s="149" t="s">
        <v>30</v>
      </c>
      <c r="D78" s="149" t="s">
        <v>211</v>
      </c>
      <c r="E78" s="149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2" t="s">
        <v>366</v>
      </c>
      <c r="P78" s="1" t="s">
        <v>218</v>
      </c>
      <c r="Q78" s="36">
        <v>21422303.489999998</v>
      </c>
      <c r="R78" s="36">
        <v>21422303.489999998</v>
      </c>
      <c r="S78" s="36">
        <f ca="1">IFERROR(__xludf.DUMMYFUNCTION("INDEX(IMPORTRANGE(""17pNv02DXDpQT9S3w4-QeNym2QJy2BzMBqDXp-XtzJBM"", ""'GAR'!BG3:BG139""),MATCH($D78,IMPORTRANGE(""17pNv02DXDpQT9S3w4-QeNym2QJy2BzMBqDXp-XtzJBM"", ""'GAR'!D3:D139""),0))"),8303295.98)</f>
        <v>8303295.9800000004</v>
      </c>
      <c r="T78" s="13"/>
      <c r="U78" s="13"/>
      <c r="V78" s="13"/>
      <c r="W78" s="13"/>
      <c r="X78" s="13"/>
      <c r="Y78" s="4"/>
      <c r="Z78" s="36">
        <f ca="1">IFERROR(__xludf.DUMMYFUNCTION("INDEX(IMPORTRANGE(""17pNv02DXDpQT9S3w4-QeNym2QJy2BzMBqDXp-XtzJBM"", ""'GAR'!BH3:BH139""),MATCH($D78,IMPORTRANGE(""17pNv02DXDpQT9S3w4-QeNym2QJy2BzMBqDXp-XtzJBM"", ""'GAR'!D3:D139""),0))"),21422303.49)</f>
        <v>21422303.489999998</v>
      </c>
      <c r="AA78" s="178" t="str">
        <f ca="1">IFERROR(__xludf.DUMMYFUNCTION("INDEX(IMPORTRANGE(""17pNv02DXDpQT9S3w4-QeNym2QJy2BzMBqDXp-XtzJBM"", ""'GAR'!BI3:BI139""),MATCH($D78,IMPORTRANGE(""17pNv02DXDpQT9S3w4-QeNym2QJy2BzMBqDXp-XtzJBM"", ""'GAR'!D3:D139""),0))"),"")</f>
        <v/>
      </c>
      <c r="AB78" s="36">
        <f ca="1">IFERROR(__xludf.DUMMYFUNCTION("INDEX(IMPORTRANGE(""17pNv02DXDpQT9S3w4-QeNym2QJy2BzMBqDXp-XtzJBM"", ""'GAR'!BJ3:BJ139""),MATCH($D78,IMPORTRANGE(""17pNv02DXDpQT9S3w4-QeNym2QJy2BzMBqDXp-XtzJBM"", ""'GAR'!D3:D139""),0))"),15621633.95)</f>
        <v>15621633.949999999</v>
      </c>
      <c r="AC78" s="178" t="str">
        <f ca="1">IFERROR(__xludf.DUMMYFUNCTION("INDEX(IMPORTRANGE(""17pNv02DXDpQT9S3w4-QeNym2QJy2BzMBqDXp-XtzJBM"", ""'GAR'!BK3:BK139""),MATCH($D78,IMPORTRANGE(""17pNv02DXDpQT9S3w4-QeNym2QJy2BzMBqDXp-XtzJBM"", ""'GAR'!D3:D139""),0))"),"")</f>
        <v/>
      </c>
      <c r="AD78" s="36">
        <f ca="1">IFERROR(__xludf.DUMMYFUNCTION("INDEX(IMPORTRANGE(""17pNv02DXDpQT9S3w4-QeNym2QJy2BzMBqDXp-XtzJBM"", ""'GAR'!BL3:BL139""),MATCH($D78,IMPORTRANGE(""17pNv02DXDpQT9S3w4-QeNym2QJy2BzMBqDXp-XtzJBM"", ""'GAR'!D3:D139""),0))"),25444613.29)</f>
        <v>25444613.289999999</v>
      </c>
      <c r="AE78" s="36">
        <f ca="1">IFERROR(__xludf.DUMMYFUNCTION("INDEX(IMPORTRANGE(""17pNv02DXDpQT9S3w4-QeNym2QJy2BzMBqDXp-XtzJBM"", ""'GAR'!BM3:BM139""),MATCH($D78,IMPORTRANGE(""17pNv02DXDpQT9S3w4-QeNym2QJy2BzMBqDXp-XtzJBM"", ""'GAR'!D3:D139""),0))"),28368501.7)</f>
        <v>28368501.699999999</v>
      </c>
    </row>
    <row r="79" spans="1:31">
      <c r="A79" s="149" t="s">
        <v>199</v>
      </c>
      <c r="B79" s="149" t="s">
        <v>200</v>
      </c>
      <c r="C79" s="149" t="s">
        <v>30</v>
      </c>
      <c r="D79" s="149" t="s">
        <v>219</v>
      </c>
      <c r="E79" s="149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2" t="s">
        <v>366</v>
      </c>
      <c r="P79" s="1" t="s">
        <v>218</v>
      </c>
      <c r="Q79" s="36">
        <v>1235527.21</v>
      </c>
      <c r="R79" s="36">
        <v>1235527.21</v>
      </c>
      <c r="S79" s="36">
        <f ca="1">IFERROR(__xludf.DUMMYFUNCTION("INDEX(IMPORTRANGE(""17pNv02DXDpQT9S3w4-QeNym2QJy2BzMBqDXp-XtzJBM"", ""'GAR'!BG3:BG139""),MATCH($D79,IMPORTRANGE(""17pNv02DXDpQT9S3w4-QeNym2QJy2BzMBqDXp-XtzJBM"", ""'GAR'!D3:D139""),0))"),916625.95)</f>
        <v>916625.95</v>
      </c>
      <c r="T79" s="13"/>
      <c r="U79" s="13"/>
      <c r="V79" s="13"/>
      <c r="W79" s="13"/>
      <c r="X79" s="13"/>
      <c r="Y79" s="4"/>
      <c r="Z79" s="36">
        <f ca="1">IFERROR(__xludf.DUMMYFUNCTION("INDEX(IMPORTRANGE(""17pNv02DXDpQT9S3w4-QeNym2QJy2BzMBqDXp-XtzJBM"", ""'GAR'!BH3:BH139""),MATCH($D79,IMPORTRANGE(""17pNv02DXDpQT9S3w4-QeNym2QJy2BzMBqDXp-XtzJBM"", ""'GAR'!D3:D139""),0))"),1235527.21)</f>
        <v>1235527.21</v>
      </c>
      <c r="AA79" s="178" t="str">
        <f ca="1">IFERROR(__xludf.DUMMYFUNCTION("INDEX(IMPORTRANGE(""17pNv02DXDpQT9S3w4-QeNym2QJy2BzMBqDXp-XtzJBM"", ""'GAR'!BI3:BI139""),MATCH($D79,IMPORTRANGE(""17pNv02DXDpQT9S3w4-QeNym2QJy2BzMBqDXp-XtzJBM"", ""'GAR'!D3:D139""),0))"),"")</f>
        <v/>
      </c>
      <c r="AB79" s="36">
        <f ca="1">IFERROR(__xludf.DUMMYFUNCTION("INDEX(IMPORTRANGE(""17pNv02DXDpQT9S3w4-QeNym2QJy2BzMBqDXp-XtzJBM"", ""'GAR'!BJ3:BJ139""),MATCH($D79,IMPORTRANGE(""17pNv02DXDpQT9S3w4-QeNym2QJy2BzMBqDXp-XtzJBM"", ""'GAR'!D3:D139""),0))"),1017342.76)</f>
        <v>1017342.76</v>
      </c>
      <c r="AC79" s="178" t="str">
        <f ca="1">IFERROR(__xludf.DUMMYFUNCTION("INDEX(IMPORTRANGE(""17pNv02DXDpQT9S3w4-QeNym2QJy2BzMBqDXp-XtzJBM"", ""'GAR'!BK3:BK139""),MATCH($D79,IMPORTRANGE(""17pNv02DXDpQT9S3w4-QeNym2QJy2BzMBqDXp-XtzJBM"", ""'GAR'!D3:D139""),0))"),"")</f>
        <v/>
      </c>
      <c r="AD79" s="36">
        <f ca="1">IFERROR(__xludf.DUMMYFUNCTION("INDEX(IMPORTRANGE(""17pNv02DXDpQT9S3w4-QeNym2QJy2BzMBqDXp-XtzJBM"", ""'GAR'!BL3:BL139""),MATCH($D79,IMPORTRANGE(""17pNv02DXDpQT9S3w4-QeNym2QJy2BzMBqDXp-XtzJBM"", ""'GAR'!D3:D139""),0))"),2380766.56)</f>
        <v>2380766.56</v>
      </c>
      <c r="AE79" s="36">
        <f ca="1">IFERROR(__xludf.DUMMYFUNCTION("INDEX(IMPORTRANGE(""17pNv02DXDpQT9S3w4-QeNym2QJy2BzMBqDXp-XtzJBM"", ""'GAR'!BM3:BM139""),MATCH($D79,IMPORTRANGE(""17pNv02DXDpQT9S3w4-QeNym2QJy2BzMBqDXp-XtzJBM"", ""'GAR'!D3:D139""),0))"),434648.23)</f>
        <v>434648.23</v>
      </c>
    </row>
    <row r="80" spans="1:31">
      <c r="A80" s="149" t="s">
        <v>199</v>
      </c>
      <c r="B80" s="149" t="s">
        <v>200</v>
      </c>
      <c r="C80" s="149" t="s">
        <v>36</v>
      </c>
      <c r="D80" s="149" t="s">
        <v>221</v>
      </c>
      <c r="E80" s="149" t="s">
        <v>38</v>
      </c>
      <c r="F80" s="9" t="s">
        <v>222</v>
      </c>
      <c r="G80" s="9" t="s">
        <v>213</v>
      </c>
      <c r="H80" s="2" t="s">
        <v>214</v>
      </c>
      <c r="I80" s="2" t="s">
        <v>365</v>
      </c>
      <c r="J80" s="9" t="s">
        <v>215</v>
      </c>
      <c r="K80" s="4"/>
      <c r="L80" s="9" t="s">
        <v>216</v>
      </c>
      <c r="M80" s="4"/>
      <c r="N80" s="9" t="s">
        <v>217</v>
      </c>
      <c r="O80" s="2" t="s">
        <v>366</v>
      </c>
      <c r="P80" s="2" t="s">
        <v>218</v>
      </c>
      <c r="Q80" s="15">
        <f t="shared" ref="Q80:R80" si="20">Q79/Q78</f>
        <v>5.767480656675171E-2</v>
      </c>
      <c r="R80" s="15">
        <f t="shared" si="20"/>
        <v>5.767480656675171E-2</v>
      </c>
      <c r="S80" s="15">
        <f ca="1">IFERROR(__xludf.DUMMYFUNCTION("INDEX(IMPORTRANGE(""17pNv02DXDpQT9S3w4-QeNym2QJy2BzMBqDXp-XtzJBM"", ""'GAR'!BG3:BG139""),MATCH($D80,IMPORTRANGE(""17pNv02DXDpQT9S3w4-QeNym2QJy2BzMBqDXp-XtzJBM"", ""'GAR'!D3:D139""),0))"),0.110393023711049)</f>
        <v>0.110393023711049</v>
      </c>
      <c r="T80" s="15"/>
      <c r="U80" s="15">
        <v>7.1999999999999995E-2</v>
      </c>
      <c r="V80" s="15"/>
      <c r="W80" s="15">
        <v>8.5999999999999993E-2</v>
      </c>
      <c r="X80" s="15">
        <f>(Y80-W80)/6*5+W80</f>
        <v>9.7666666666666666E-2</v>
      </c>
      <c r="Y80" s="15">
        <v>0.1</v>
      </c>
      <c r="Z80" s="15">
        <f ca="1">IFERROR(__xludf.DUMMYFUNCTION("INDEX(IMPORTRANGE(""17pNv02DXDpQT9S3w4-QeNym2QJy2BzMBqDXp-XtzJBM"", ""'GAR'!BH3:BH139""),MATCH($D80,IMPORTRANGE(""17pNv02DXDpQT9S3w4-QeNym2QJy2BzMBqDXp-XtzJBM"", ""'GAR'!D3:D139""),0))"),0.0576748065667516)</f>
        <v>5.7674806566751599E-2</v>
      </c>
      <c r="AA80" s="38" t="str">
        <f ca="1">IFERROR(__xludf.DUMMYFUNCTION("INDEX(IMPORTRANGE(""17pNv02DXDpQT9S3w4-QeNym2QJy2BzMBqDXp-XtzJBM"", ""'GAR'!BI3:BI139""),MATCH($D80,IMPORTRANGE(""17pNv02DXDpQT9S3w4-QeNym2QJy2BzMBqDXp-XtzJBM"", ""'GAR'!D3:D139""),0))"),"")</f>
        <v/>
      </c>
      <c r="AB80" s="15">
        <f ca="1">IFERROR(__xludf.DUMMYFUNCTION("INDEX(IMPORTRANGE(""17pNv02DXDpQT9S3w4-QeNym2QJy2BzMBqDXp-XtzJBM"", ""'GAR'!BJ3:BJ139""),MATCH($D80,IMPORTRANGE(""17pNv02DXDpQT9S3w4-QeNym2QJy2BzMBqDXp-XtzJBM"", ""'GAR'!D3:D139""),0))"),0.0651239661136727)</f>
        <v>6.5123966113672702E-2</v>
      </c>
      <c r="AC80" s="38" t="str">
        <f ca="1">IFERROR(__xludf.DUMMYFUNCTION("INDEX(IMPORTRANGE(""17pNv02DXDpQT9S3w4-QeNym2QJy2BzMBqDXp-XtzJBM"", ""'GAR'!BK3:BK139""),MATCH($D80,IMPORTRANGE(""17pNv02DXDpQT9S3w4-QeNym2QJy2BzMBqDXp-XtzJBM"", ""'GAR'!D3:D139""),0))"),"")</f>
        <v/>
      </c>
      <c r="AD80" s="15">
        <f ca="1">IFERROR(__xludf.DUMMYFUNCTION("INDEX(IMPORTRANGE(""17pNv02DXDpQT9S3w4-QeNym2QJy2BzMBqDXp-XtzJBM"", ""'GAR'!BL3:BL139""),MATCH($D80,IMPORTRANGE(""17pNv02DXDpQT9S3w4-QeNym2QJy2BzMBqDXp-XtzJBM"", ""'GAR'!D3:D139""),0))"),0.0935666238219335)</f>
        <v>9.3566623821933495E-2</v>
      </c>
      <c r="AE80" s="26">
        <f ca="1">IFERROR(__xludf.DUMMYFUNCTION("INDEX(IMPORTRANGE(""17pNv02DXDpQT9S3w4-QeNym2QJy2BzMBqDXp-XtzJBM"", ""'GAR'!BM3:BM139""),MATCH($D80,IMPORTRANGE(""17pNv02DXDpQT9S3w4-QeNym2QJy2BzMBqDXp-XtzJBM"", ""'GAR'!D3:D139""),0))"),0.0153215081500056)</f>
        <v>1.5321508150005599E-2</v>
      </c>
    </row>
    <row r="81" spans="1:31">
      <c r="A81" s="149" t="s">
        <v>199</v>
      </c>
      <c r="B81" s="149" t="s">
        <v>200</v>
      </c>
      <c r="C81" s="149" t="s">
        <v>30</v>
      </c>
      <c r="D81" s="149" t="s">
        <v>223</v>
      </c>
      <c r="E81" s="149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0</v>
      </c>
      <c r="R81" s="12">
        <v>0</v>
      </c>
      <c r="S81" s="12">
        <f ca="1">IFERROR(__xludf.DUMMYFUNCTION("INDEX(IMPORTRANGE(""17pNv02DXDpQT9S3w4-QeNym2QJy2BzMBqDXp-XtzJBM"", ""'GAR'!BG3:BG139""),MATCH($D81,IMPORTRANGE(""17pNv02DXDpQT9S3w4-QeNym2QJy2BzMBqDXp-XtzJBM"", ""'GAR'!D3:D139""),0))"),0)</f>
        <v>0</v>
      </c>
      <c r="T81" s="1"/>
      <c r="U81" s="1"/>
      <c r="V81" s="1"/>
      <c r="W81" s="1"/>
      <c r="X81" s="1"/>
      <c r="Y81" s="2">
        <v>3</v>
      </c>
      <c r="Z81" s="12">
        <f ca="1">IFERROR(__xludf.DUMMYFUNCTION("INDEX(IMPORTRANGE(""17pNv02DXDpQT9S3w4-QeNym2QJy2BzMBqDXp-XtzJBM"", ""'GAR'!BH3:BH139""),MATCH($D81,IMPORTRANGE(""17pNv02DXDpQT9S3w4-QeNym2QJy2BzMBqDXp-XtzJBM"", ""'GAR'!D3:D139""),0))"),0)</f>
        <v>0</v>
      </c>
      <c r="AA81" s="12">
        <f ca="1">IFERROR(__xludf.DUMMYFUNCTION("INDEX(IMPORTRANGE(""17pNv02DXDpQT9S3w4-QeNym2QJy2BzMBqDXp-XtzJBM"", ""'GAR'!BI3:BI139""),MATCH($D81,IMPORTRANGE(""17pNv02DXDpQT9S3w4-QeNym2QJy2BzMBqDXp-XtzJBM"", ""'GAR'!D3:D139""),0))"),0)</f>
        <v>0</v>
      </c>
      <c r="AB81" s="12">
        <f ca="1">IFERROR(__xludf.DUMMYFUNCTION("INDEX(IMPORTRANGE(""17pNv02DXDpQT9S3w4-QeNym2QJy2BzMBqDXp-XtzJBM"", ""'GAR'!BJ3:BJ139""),MATCH($D81,IMPORTRANGE(""17pNv02DXDpQT9S3w4-QeNym2QJy2BzMBqDXp-XtzJBM"", ""'GAR'!D3:D139""),0))"),0)</f>
        <v>0</v>
      </c>
      <c r="AC81" s="12">
        <f ca="1">IFERROR(__xludf.DUMMYFUNCTION("INDEX(IMPORTRANGE(""17pNv02DXDpQT9S3w4-QeNym2QJy2BzMBqDXp-XtzJBM"", ""'GAR'!BK3:BK139""),MATCH($D81,IMPORTRANGE(""17pNv02DXDpQT9S3w4-QeNym2QJy2BzMBqDXp-XtzJBM"", ""'GAR'!D3:D139""),0))"),1)</f>
        <v>1</v>
      </c>
      <c r="AD81" s="12">
        <f ca="1">IFERROR(__xludf.DUMMYFUNCTION("INDEX(IMPORTRANGE(""17pNv02DXDpQT9S3w4-QeNym2QJy2BzMBqDXp-XtzJBM"", ""'GAR'!BL3:BL139""),MATCH($D81,IMPORTRANGE(""17pNv02DXDpQT9S3w4-QeNym2QJy2BzMBqDXp-XtzJBM"", ""'GAR'!D3:D139""),0))"),0)</f>
        <v>0</v>
      </c>
      <c r="AE81" s="12">
        <f ca="1">IFERROR(__xludf.DUMMYFUNCTION("INDEX(IMPORTRANGE(""17pNv02DXDpQT9S3w4-QeNym2QJy2BzMBqDXp-XtzJBM"", ""'GAR'!BM3:BM139""),MATCH($D81,IMPORTRANGE(""17pNv02DXDpQT9S3w4-QeNym2QJy2BzMBqDXp-XtzJBM"", ""'GAR'!D3:D139""),0))"),0)</f>
        <v>0</v>
      </c>
    </row>
    <row r="82" spans="1:31">
      <c r="A82" s="149" t="s">
        <v>199</v>
      </c>
      <c r="B82" s="149" t="s">
        <v>200</v>
      </c>
      <c r="C82" s="149" t="s">
        <v>30</v>
      </c>
      <c r="D82" s="149" t="s">
        <v>225</v>
      </c>
      <c r="E82" s="149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0</v>
      </c>
      <c r="R82" s="12">
        <v>0</v>
      </c>
      <c r="S82" s="12">
        <f ca="1">IFERROR(__xludf.DUMMYFUNCTION("INDEX(IMPORTRANGE(""17pNv02DXDpQT9S3w4-QeNym2QJy2BzMBqDXp-XtzJBM"", ""'GAR'!BG3:BG139""),MATCH($D82,IMPORTRANGE(""17pNv02DXDpQT9S3w4-QeNym2QJy2BzMBqDXp-XtzJBM"", ""'GAR'!D3:D139""),0))"),0)</f>
        <v>0</v>
      </c>
      <c r="T82" s="1"/>
      <c r="U82" s="1"/>
      <c r="V82" s="1"/>
      <c r="W82" s="1"/>
      <c r="X82" s="1"/>
      <c r="Y82" s="2">
        <v>5</v>
      </c>
      <c r="Z82" s="12">
        <f ca="1">IFERROR(__xludf.DUMMYFUNCTION("INDEX(IMPORTRANGE(""17pNv02DXDpQT9S3w4-QeNym2QJy2BzMBqDXp-XtzJBM"", ""'GAR'!BH3:BH139""),MATCH($D82,IMPORTRANGE(""17pNv02DXDpQT9S3w4-QeNym2QJy2BzMBqDXp-XtzJBM"", ""'GAR'!D3:D139""),0))"),0)</f>
        <v>0</v>
      </c>
      <c r="AA82" s="12">
        <f ca="1">IFERROR(__xludf.DUMMYFUNCTION("INDEX(IMPORTRANGE(""17pNv02DXDpQT9S3w4-QeNym2QJy2BzMBqDXp-XtzJBM"", ""'GAR'!BI3:BI139""),MATCH($D82,IMPORTRANGE(""17pNv02DXDpQT9S3w4-QeNym2QJy2BzMBqDXp-XtzJBM"", ""'GAR'!D3:D139""),0))"),0)</f>
        <v>0</v>
      </c>
      <c r="AB82" s="12">
        <f ca="1">IFERROR(__xludf.DUMMYFUNCTION("INDEX(IMPORTRANGE(""17pNv02DXDpQT9S3w4-QeNym2QJy2BzMBqDXp-XtzJBM"", ""'GAR'!BJ3:BJ139""),MATCH($D82,IMPORTRANGE(""17pNv02DXDpQT9S3w4-QeNym2QJy2BzMBqDXp-XtzJBM"", ""'GAR'!D3:D139""),0))"),0)</f>
        <v>0</v>
      </c>
      <c r="AC82" s="12">
        <f ca="1">IFERROR(__xludf.DUMMYFUNCTION("INDEX(IMPORTRANGE(""17pNv02DXDpQT9S3w4-QeNym2QJy2BzMBqDXp-XtzJBM"", ""'GAR'!BK3:BK139""),MATCH($D82,IMPORTRANGE(""17pNv02DXDpQT9S3w4-QeNym2QJy2BzMBqDXp-XtzJBM"", ""'GAR'!D3:D139""),0))"),0)</f>
        <v>0</v>
      </c>
      <c r="AD82" s="12">
        <f ca="1">IFERROR(__xludf.DUMMYFUNCTION("INDEX(IMPORTRANGE(""17pNv02DXDpQT9S3w4-QeNym2QJy2BzMBqDXp-XtzJBM"", ""'GAR'!BL3:BL139""),MATCH($D82,IMPORTRANGE(""17pNv02DXDpQT9S3w4-QeNym2QJy2BzMBqDXp-XtzJBM"", ""'GAR'!D3:D139""),0))"),0)</f>
        <v>0</v>
      </c>
      <c r="AE82" s="12">
        <f ca="1">IFERROR(__xludf.DUMMYFUNCTION("INDEX(IMPORTRANGE(""17pNv02DXDpQT9S3w4-QeNym2QJy2BzMBqDXp-XtzJBM"", ""'GAR'!BM3:BM139""),MATCH($D82,IMPORTRANGE(""17pNv02DXDpQT9S3w4-QeNym2QJy2BzMBqDXp-XtzJBM"", ""'GAR'!D3:D139""),0))"),0)</f>
        <v>0</v>
      </c>
    </row>
    <row r="83" spans="1:31">
      <c r="A83" s="149" t="s">
        <v>199</v>
      </c>
      <c r="B83" s="149" t="s">
        <v>200</v>
      </c>
      <c r="C83" s="149" t="s">
        <v>36</v>
      </c>
      <c r="D83" s="149" t="s">
        <v>226</v>
      </c>
      <c r="E83" s="149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f t="shared" ref="Q83:R83" si="21">Q81+Q82</f>
        <v>0</v>
      </c>
      <c r="R83" s="12">
        <f t="shared" si="21"/>
        <v>0</v>
      </c>
      <c r="S83" s="12">
        <f ca="1">IFERROR(__xludf.DUMMYFUNCTION("INDEX(IMPORTRANGE(""17pNv02DXDpQT9S3w4-QeNym2QJy2BzMBqDXp-XtzJBM"", ""'GAR'!BG3:BG139""),MATCH($D83,IMPORTRANGE(""17pNv02DXDpQT9S3w4-QeNym2QJy2BzMBqDXp-XtzJBM"", ""'GAR'!D3:D139""),0))"),0)</f>
        <v>0</v>
      </c>
      <c r="T83" s="4">
        <v>3</v>
      </c>
      <c r="U83" s="4">
        <v>2</v>
      </c>
      <c r="V83" s="4">
        <v>3</v>
      </c>
      <c r="W83" s="4">
        <v>1</v>
      </c>
      <c r="X83" s="4">
        <v>2</v>
      </c>
      <c r="Y83" s="4">
        <f>SUM(Y81:Y82)</f>
        <v>8</v>
      </c>
      <c r="Z83" s="12">
        <f ca="1">IFERROR(__xludf.DUMMYFUNCTION("INDEX(IMPORTRANGE(""17pNv02DXDpQT9S3w4-QeNym2QJy2BzMBqDXp-XtzJBM"", ""'GAR'!BH3:BH139""),MATCH($D83,IMPORTRANGE(""17pNv02DXDpQT9S3w4-QeNym2QJy2BzMBqDXp-XtzJBM"", ""'GAR'!D3:D139""),0))"),0)</f>
        <v>0</v>
      </c>
      <c r="AA83" s="12">
        <f ca="1">IFERROR(__xludf.DUMMYFUNCTION("INDEX(IMPORTRANGE(""17pNv02DXDpQT9S3w4-QeNym2QJy2BzMBqDXp-XtzJBM"", ""'GAR'!BI3:BI139""),MATCH($D83,IMPORTRANGE(""17pNv02DXDpQT9S3w4-QeNym2QJy2BzMBqDXp-XtzJBM"", ""'GAR'!D3:D139""),0))"),0)</f>
        <v>0</v>
      </c>
      <c r="AB83" s="12">
        <f ca="1">IFERROR(__xludf.DUMMYFUNCTION("INDEX(IMPORTRANGE(""17pNv02DXDpQT9S3w4-QeNym2QJy2BzMBqDXp-XtzJBM"", ""'GAR'!BJ3:BJ139""),MATCH($D83,IMPORTRANGE(""17pNv02DXDpQT9S3w4-QeNym2QJy2BzMBqDXp-XtzJBM"", ""'GAR'!D3:D139""),0))"),0)</f>
        <v>0</v>
      </c>
      <c r="AC83" s="12">
        <f ca="1">IFERROR(__xludf.DUMMYFUNCTION("INDEX(IMPORTRANGE(""17pNv02DXDpQT9S3w4-QeNym2QJy2BzMBqDXp-XtzJBM"", ""'GAR'!BK3:BK139""),MATCH($D83,IMPORTRANGE(""17pNv02DXDpQT9S3w4-QeNym2QJy2BzMBqDXp-XtzJBM"", ""'GAR'!D3:D139""),0))"),1)</f>
        <v>1</v>
      </c>
      <c r="AD83" s="12">
        <f ca="1">IFERROR(__xludf.DUMMYFUNCTION("INDEX(IMPORTRANGE(""17pNv02DXDpQT9S3w4-QeNym2QJy2BzMBqDXp-XtzJBM"", ""'GAR'!BL3:BL139""),MATCH($D83,IMPORTRANGE(""17pNv02DXDpQT9S3w4-QeNym2QJy2BzMBqDXp-XtzJBM"", ""'GAR'!D3:D139""),0))"),0)</f>
        <v>0</v>
      </c>
      <c r="AE83" s="12">
        <f ca="1">IFERROR(__xludf.DUMMYFUNCTION("INDEX(IMPORTRANGE(""17pNv02DXDpQT9S3w4-QeNym2QJy2BzMBqDXp-XtzJBM"", ""'GAR'!BM3:BM139""),MATCH($D83,IMPORTRANGE(""17pNv02DXDpQT9S3w4-QeNym2QJy2BzMBqDXp-XtzJBM"", ""'GAR'!D3:D139""),0))"),0)</f>
        <v>0</v>
      </c>
    </row>
    <row r="84" spans="1:31">
      <c r="A84" s="149" t="s">
        <v>199</v>
      </c>
      <c r="B84" s="149" t="s">
        <v>228</v>
      </c>
      <c r="C84" s="149" t="s">
        <v>30</v>
      </c>
      <c r="D84" s="149" t="s">
        <v>229</v>
      </c>
      <c r="E84" s="149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66</v>
      </c>
      <c r="R84" s="12">
        <v>144</v>
      </c>
      <c r="S84" s="12">
        <f ca="1">IFERROR(__xludf.DUMMYFUNCTION("INDEX(IMPORTRANGE(""17pNv02DXDpQT9S3w4-QeNym2QJy2BzMBqDXp-XtzJBM"", ""'GAR'!BG3:BG139""),MATCH($D84,IMPORTRANGE(""17pNv02DXDpQT9S3w4-QeNym2QJy2BzMBqDXp-XtzJBM"", ""'GAR'!D3:D139""),0))"),129)</f>
        <v>129</v>
      </c>
      <c r="T84" s="13"/>
      <c r="U84" s="13"/>
      <c r="V84" s="13"/>
      <c r="W84" s="13"/>
      <c r="X84" s="13"/>
      <c r="Y84" s="4"/>
      <c r="Z84" s="12">
        <f ca="1">IFERROR(__xludf.DUMMYFUNCTION("INDEX(IMPORTRANGE(""17pNv02DXDpQT9S3w4-QeNym2QJy2BzMBqDXp-XtzJBM"", ""'GAR'!BH3:BH139""),MATCH($D84,IMPORTRANGE(""17pNv02DXDpQT9S3w4-QeNym2QJy2BzMBqDXp-XtzJBM"", ""'GAR'!D3:D139""),0))"),44)</f>
        <v>44</v>
      </c>
      <c r="AA84" s="12">
        <f ca="1">IFERROR(__xludf.DUMMYFUNCTION("INDEX(IMPORTRANGE(""17pNv02DXDpQT9S3w4-QeNym2QJy2BzMBqDXp-XtzJBM"", ""'GAR'!BI3:BI139""),MATCH($D84,IMPORTRANGE(""17pNv02DXDpQT9S3w4-QeNym2QJy2BzMBqDXp-XtzJBM"", ""'GAR'!D3:D139""),0))"),109)</f>
        <v>109</v>
      </c>
      <c r="AB84" s="12">
        <f ca="1">IFERROR(__xludf.DUMMYFUNCTION("INDEX(IMPORTRANGE(""17pNv02DXDpQT9S3w4-QeNym2QJy2BzMBqDXp-XtzJBM"", ""'GAR'!BJ3:BJ139""),MATCH($D84,IMPORTRANGE(""17pNv02DXDpQT9S3w4-QeNym2QJy2BzMBqDXp-XtzJBM"", ""'GAR'!D3:D139""),0))"),54)</f>
        <v>54</v>
      </c>
      <c r="AC84" s="12">
        <f ca="1">IFERROR(__xludf.DUMMYFUNCTION("INDEX(IMPORTRANGE(""17pNv02DXDpQT9S3w4-QeNym2QJy2BzMBqDXp-XtzJBM"", ""'GAR'!BK3:BK139""),MATCH($D84,IMPORTRANGE(""17pNv02DXDpQT9S3w4-QeNym2QJy2BzMBqDXp-XtzJBM"", ""'GAR'!D3:D139""),0))"),103)</f>
        <v>103</v>
      </c>
      <c r="AD84" s="12">
        <f ca="1">IFERROR(__xludf.DUMMYFUNCTION("INDEX(IMPORTRANGE(""17pNv02DXDpQT9S3w4-QeNym2QJy2BzMBqDXp-XtzJBM"", ""'GAR'!BL3:BL139""),MATCH($D84,IMPORTRANGE(""17pNv02DXDpQT9S3w4-QeNym2QJy2BzMBqDXp-XtzJBM"", ""'GAR'!D3:D139""),0))"),46)</f>
        <v>46</v>
      </c>
      <c r="AE84" s="12">
        <f ca="1">IFERROR(__xludf.DUMMYFUNCTION("INDEX(IMPORTRANGE(""17pNv02DXDpQT9S3w4-QeNym2QJy2BzMBqDXp-XtzJBM"", ""'GAR'!BM3:BM139""),MATCH($D84,IMPORTRANGE(""17pNv02DXDpQT9S3w4-QeNym2QJy2BzMBqDXp-XtzJBM"", ""'GAR'!D3:D139""),0))"),61)</f>
        <v>61</v>
      </c>
    </row>
    <row r="85" spans="1:31">
      <c r="A85" s="149" t="s">
        <v>199</v>
      </c>
      <c r="B85" s="149" t="s">
        <v>228</v>
      </c>
      <c r="C85" s="149" t="s">
        <v>30</v>
      </c>
      <c r="D85" s="149" t="s">
        <v>233</v>
      </c>
      <c r="E85" s="149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7</v>
      </c>
      <c r="R85" s="12">
        <v>9</v>
      </c>
      <c r="S85" s="12">
        <f ca="1">IFERROR(__xludf.DUMMYFUNCTION("INDEX(IMPORTRANGE(""17pNv02DXDpQT9S3w4-QeNym2QJy2BzMBqDXp-XtzJBM"", ""'GAR'!BG3:BG139""),MATCH($D85,IMPORTRANGE(""17pNv02DXDpQT9S3w4-QeNym2QJy2BzMBqDXp-XtzJBM"", ""'GAR'!D3:D139""),0))"),9)</f>
        <v>9</v>
      </c>
      <c r="T85" s="13"/>
      <c r="U85" s="13"/>
      <c r="V85" s="13"/>
      <c r="W85" s="13"/>
      <c r="X85" s="13"/>
      <c r="Y85" s="4"/>
      <c r="Z85" s="12">
        <f ca="1">IFERROR(__xludf.DUMMYFUNCTION("INDEX(IMPORTRANGE(""17pNv02DXDpQT9S3w4-QeNym2QJy2BzMBqDXp-XtzJBM"", ""'GAR'!BH3:BH139""),MATCH($D85,IMPORTRANGE(""17pNv02DXDpQT9S3w4-QeNym2QJy2BzMBqDXp-XtzJBM"", ""'GAR'!D3:D139""),0))"),4)</f>
        <v>4</v>
      </c>
      <c r="AA85" s="12">
        <f ca="1">IFERROR(__xludf.DUMMYFUNCTION("INDEX(IMPORTRANGE(""17pNv02DXDpQT9S3w4-QeNym2QJy2BzMBqDXp-XtzJBM"", ""'GAR'!BI3:BI139""),MATCH($D85,IMPORTRANGE(""17pNv02DXDpQT9S3w4-QeNym2QJy2BzMBqDXp-XtzJBM"", ""'GAR'!D3:D139""),0))"),15)</f>
        <v>15</v>
      </c>
      <c r="AB85" s="12">
        <f ca="1">IFERROR(__xludf.DUMMYFUNCTION("INDEX(IMPORTRANGE(""17pNv02DXDpQT9S3w4-QeNym2QJy2BzMBqDXp-XtzJBM"", ""'GAR'!BJ3:BJ139""),MATCH($D85,IMPORTRANGE(""17pNv02DXDpQT9S3w4-QeNym2QJy2BzMBqDXp-XtzJBM"", ""'GAR'!D3:D139""),0))"),2)</f>
        <v>2</v>
      </c>
      <c r="AC85" s="12">
        <f ca="1">IFERROR(__xludf.DUMMYFUNCTION("INDEX(IMPORTRANGE(""17pNv02DXDpQT9S3w4-QeNym2QJy2BzMBqDXp-XtzJBM"", ""'GAR'!BK3:BK139""),MATCH($D85,IMPORTRANGE(""17pNv02DXDpQT9S3w4-QeNym2QJy2BzMBqDXp-XtzJBM"", ""'GAR'!D3:D139""),0))"),12)</f>
        <v>12</v>
      </c>
      <c r="AD85" s="12">
        <f ca="1">IFERROR(__xludf.DUMMYFUNCTION("INDEX(IMPORTRANGE(""17pNv02DXDpQT9S3w4-QeNym2QJy2BzMBqDXp-XtzJBM"", ""'GAR'!BL3:BL139""),MATCH($D85,IMPORTRANGE(""17pNv02DXDpQT9S3w4-QeNym2QJy2BzMBqDXp-XtzJBM"", ""'GAR'!D3:D139""),0))"),5)</f>
        <v>5</v>
      </c>
      <c r="AE85" s="12">
        <f ca="1">IFERROR(__xludf.DUMMYFUNCTION("INDEX(IMPORTRANGE(""17pNv02DXDpQT9S3w4-QeNym2QJy2BzMBqDXp-XtzJBM"", ""'GAR'!BM3:BM139""),MATCH($D85,IMPORTRANGE(""17pNv02DXDpQT9S3w4-QeNym2QJy2BzMBqDXp-XtzJBM"", ""'GAR'!D3:D139""),0))"),9)</f>
        <v>9</v>
      </c>
    </row>
    <row r="86" spans="1:31">
      <c r="A86" s="149" t="s">
        <v>199</v>
      </c>
      <c r="B86" s="149" t="s">
        <v>228</v>
      </c>
      <c r="C86" s="149" t="s">
        <v>30</v>
      </c>
      <c r="D86" s="149" t="s">
        <v>235</v>
      </c>
      <c r="E86" s="149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964</v>
      </c>
      <c r="R86" s="12">
        <v>2141</v>
      </c>
      <c r="S86" s="12">
        <f ca="1">IFERROR(__xludf.DUMMYFUNCTION("INDEX(IMPORTRANGE(""17pNv02DXDpQT9S3w4-QeNym2QJy2BzMBqDXp-XtzJBM"", ""'GAR'!BG3:BG139""),MATCH($D86,IMPORTRANGE(""17pNv02DXDpQT9S3w4-QeNym2QJy2BzMBqDXp-XtzJBM"", ""'GAR'!D3:D139""),0))"),1934)</f>
        <v>1934</v>
      </c>
      <c r="T86" s="13"/>
      <c r="U86" s="13"/>
      <c r="V86" s="13"/>
      <c r="W86" s="13"/>
      <c r="X86" s="13"/>
      <c r="Y86" s="4"/>
      <c r="Z86" s="12">
        <f ca="1">IFERROR(__xludf.DUMMYFUNCTION("INDEX(IMPORTRANGE(""17pNv02DXDpQT9S3w4-QeNym2QJy2BzMBqDXp-XtzJBM"", ""'GAR'!BH3:BH139""),MATCH($D86,IMPORTRANGE(""17pNv02DXDpQT9S3w4-QeNym2QJy2BzMBqDXp-XtzJBM"", ""'GAR'!D3:D139""),0))"),460)</f>
        <v>460</v>
      </c>
      <c r="AA86" s="12">
        <f ca="1">IFERROR(__xludf.DUMMYFUNCTION("INDEX(IMPORTRANGE(""17pNv02DXDpQT9S3w4-QeNym2QJy2BzMBqDXp-XtzJBM"", ""'GAR'!BI3:BI139""),MATCH($D86,IMPORTRANGE(""17pNv02DXDpQT9S3w4-QeNym2QJy2BzMBqDXp-XtzJBM"", ""'GAR'!D3:D139""),0))"),951)</f>
        <v>951</v>
      </c>
      <c r="AB86" s="12">
        <f ca="1">IFERROR(__xludf.DUMMYFUNCTION("INDEX(IMPORTRANGE(""17pNv02DXDpQT9S3w4-QeNym2QJy2BzMBqDXp-XtzJBM"", ""'GAR'!BJ3:BJ139""),MATCH($D86,IMPORTRANGE(""17pNv02DXDpQT9S3w4-QeNym2QJy2BzMBqDXp-XtzJBM"", ""'GAR'!D3:D139""),0))"),390)</f>
        <v>390</v>
      </c>
      <c r="AC86" s="12">
        <f ca="1">IFERROR(__xludf.DUMMYFUNCTION("INDEX(IMPORTRANGE(""17pNv02DXDpQT9S3w4-QeNym2QJy2BzMBqDXp-XtzJBM"", ""'GAR'!BK3:BK139""),MATCH($D86,IMPORTRANGE(""17pNv02DXDpQT9S3w4-QeNym2QJy2BzMBqDXp-XtzJBM"", ""'GAR'!D3:D139""),0))"),849)</f>
        <v>849</v>
      </c>
      <c r="AD86" s="12">
        <f ca="1">IFERROR(__xludf.DUMMYFUNCTION("INDEX(IMPORTRANGE(""17pNv02DXDpQT9S3w4-QeNym2QJy2BzMBqDXp-XtzJBM"", ""'GAR'!BL3:BL139""),MATCH($D86,IMPORTRANGE(""17pNv02DXDpQT9S3w4-QeNym2QJy2BzMBqDXp-XtzJBM"", ""'GAR'!D3:D139""),0))"),422)</f>
        <v>422</v>
      </c>
      <c r="AE86" s="12">
        <f ca="1">IFERROR(__xludf.DUMMYFUNCTION("INDEX(IMPORTRANGE(""17pNv02DXDpQT9S3w4-QeNym2QJy2BzMBqDXp-XtzJBM"", ""'GAR'!BM3:BM139""),MATCH($D86,IMPORTRANGE(""17pNv02DXDpQT9S3w4-QeNym2QJy2BzMBqDXp-XtzJBM"", ""'GAR'!D3:D139""),0))"),726)</f>
        <v>726</v>
      </c>
    </row>
    <row r="87" spans="1:31">
      <c r="A87" s="149" t="s">
        <v>199</v>
      </c>
      <c r="B87" s="149" t="s">
        <v>228</v>
      </c>
      <c r="C87" s="149" t="s">
        <v>30</v>
      </c>
      <c r="D87" s="149" t="s">
        <v>237</v>
      </c>
      <c r="E87" s="149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62</v>
      </c>
      <c r="R87" s="12">
        <v>79</v>
      </c>
      <c r="S87" s="12">
        <f ca="1">IFERROR(__xludf.DUMMYFUNCTION("INDEX(IMPORTRANGE(""17pNv02DXDpQT9S3w4-QeNym2QJy2BzMBqDXp-XtzJBM"", ""'GAR'!BG3:BG139""),MATCH($D87,IMPORTRANGE(""17pNv02DXDpQT9S3w4-QeNym2QJy2BzMBqDXp-XtzJBM"", ""'GAR'!D3:D139""),0))"),79)</f>
        <v>79</v>
      </c>
      <c r="T87" s="13"/>
      <c r="U87" s="13"/>
      <c r="V87" s="13"/>
      <c r="W87" s="13"/>
      <c r="X87" s="13"/>
      <c r="Y87" s="4"/>
      <c r="Z87" s="12">
        <f ca="1">IFERROR(__xludf.DUMMYFUNCTION("INDEX(IMPORTRANGE(""17pNv02DXDpQT9S3w4-QeNym2QJy2BzMBqDXp-XtzJBM"", ""'GAR'!BH3:BH139""),MATCH($D87,IMPORTRANGE(""17pNv02DXDpQT9S3w4-QeNym2QJy2BzMBqDXp-XtzJBM"", ""'GAR'!D3:D139""),0))"),152)</f>
        <v>152</v>
      </c>
      <c r="AA87" s="12">
        <f ca="1">IFERROR(__xludf.DUMMYFUNCTION("INDEX(IMPORTRANGE(""17pNv02DXDpQT9S3w4-QeNym2QJy2BzMBqDXp-XtzJBM"", ""'GAR'!BI3:BI139""),MATCH($D87,IMPORTRANGE(""17pNv02DXDpQT9S3w4-QeNym2QJy2BzMBqDXp-XtzJBM"", ""'GAR'!D3:D139""),0))"),338)</f>
        <v>338</v>
      </c>
      <c r="AB87" s="12">
        <f ca="1">IFERROR(__xludf.DUMMYFUNCTION("INDEX(IMPORTRANGE(""17pNv02DXDpQT9S3w4-QeNym2QJy2BzMBqDXp-XtzJBM"", ""'GAR'!BJ3:BJ139""),MATCH($D87,IMPORTRANGE(""17pNv02DXDpQT9S3w4-QeNym2QJy2BzMBqDXp-XtzJBM"", ""'GAR'!D3:D139""),0))"),141)</f>
        <v>141</v>
      </c>
      <c r="AC87" s="12">
        <f ca="1">IFERROR(__xludf.DUMMYFUNCTION("INDEX(IMPORTRANGE(""17pNv02DXDpQT9S3w4-QeNym2QJy2BzMBqDXp-XtzJBM"", ""'GAR'!BK3:BK139""),MATCH($D87,IMPORTRANGE(""17pNv02DXDpQT9S3w4-QeNym2QJy2BzMBqDXp-XtzJBM"", ""'GAR'!D3:D139""),0))"),312)</f>
        <v>312</v>
      </c>
      <c r="AD87" s="12">
        <f ca="1">IFERROR(__xludf.DUMMYFUNCTION("INDEX(IMPORTRANGE(""17pNv02DXDpQT9S3w4-QeNym2QJy2BzMBqDXp-XtzJBM"", ""'GAR'!BL3:BL139""),MATCH($D87,IMPORTRANGE(""17pNv02DXDpQT9S3w4-QeNym2QJy2BzMBqDXp-XtzJBM"", ""'GAR'!D3:D139""),0))"),195)</f>
        <v>195</v>
      </c>
      <c r="AE87" s="12">
        <f ca="1">IFERROR(__xludf.DUMMYFUNCTION("INDEX(IMPORTRANGE(""17pNv02DXDpQT9S3w4-QeNym2QJy2BzMBqDXp-XtzJBM"", ""'GAR'!BM3:BM139""),MATCH($D87,IMPORTRANGE(""17pNv02DXDpQT9S3w4-QeNym2QJy2BzMBqDXp-XtzJBM"", ""'GAR'!D3:D139""),0))"),346)</f>
        <v>346</v>
      </c>
    </row>
    <row r="88" spans="1:31">
      <c r="A88" s="149" t="s">
        <v>199</v>
      </c>
      <c r="B88" s="149" t="s">
        <v>228</v>
      </c>
      <c r="C88" s="149" t="s">
        <v>30</v>
      </c>
      <c r="D88" s="149" t="s">
        <v>239</v>
      </c>
      <c r="E88" s="149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367</v>
      </c>
      <c r="R88" s="12">
        <v>751</v>
      </c>
      <c r="S88" s="12">
        <f ca="1">IFERROR(__xludf.DUMMYFUNCTION("INDEX(IMPORTRANGE(""17pNv02DXDpQT9S3w4-QeNym2QJy2BzMBqDXp-XtzJBM"", ""'GAR'!BG3:BG139""),MATCH($D88,IMPORTRANGE(""17pNv02DXDpQT9S3w4-QeNym2QJy2BzMBqDXp-XtzJBM"", ""'GAR'!D3:D139""),0))"),679)</f>
        <v>679</v>
      </c>
      <c r="T88" s="13"/>
      <c r="U88" s="13"/>
      <c r="V88" s="13"/>
      <c r="W88" s="13"/>
      <c r="X88" s="13"/>
      <c r="Y88" s="4"/>
      <c r="Z88" s="12">
        <f ca="1">IFERROR(__xludf.DUMMYFUNCTION("INDEX(IMPORTRANGE(""17pNv02DXDpQT9S3w4-QeNym2QJy2BzMBqDXp-XtzJBM"", ""'GAR'!BH3:BH139""),MATCH($D88,IMPORTRANGE(""17pNv02DXDpQT9S3w4-QeNym2QJy2BzMBqDXp-XtzJBM"", ""'GAR'!D3:D139""),0))"),434)</f>
        <v>434</v>
      </c>
      <c r="AA88" s="12">
        <f ca="1">IFERROR(__xludf.DUMMYFUNCTION("INDEX(IMPORTRANGE(""17pNv02DXDpQT9S3w4-QeNym2QJy2BzMBqDXp-XtzJBM"", ""'GAR'!BI3:BI139""),MATCH($D88,IMPORTRANGE(""17pNv02DXDpQT9S3w4-QeNym2QJy2BzMBqDXp-XtzJBM"", ""'GAR'!D3:D139""),0))"),996)</f>
        <v>996</v>
      </c>
      <c r="AB88" s="12">
        <f ca="1">IFERROR(__xludf.DUMMYFUNCTION("INDEX(IMPORTRANGE(""17pNv02DXDpQT9S3w4-QeNym2QJy2BzMBqDXp-XtzJBM"", ""'GAR'!BJ3:BJ139""),MATCH($D88,IMPORTRANGE(""17pNv02DXDpQT9S3w4-QeNym2QJy2BzMBqDXp-XtzJBM"", ""'GAR'!D3:D139""),0))"),372)</f>
        <v>372</v>
      </c>
      <c r="AC88" s="12">
        <f ca="1">IFERROR(__xludf.DUMMYFUNCTION("INDEX(IMPORTRANGE(""17pNv02DXDpQT9S3w4-QeNym2QJy2BzMBqDXp-XtzJBM"", ""'GAR'!BK3:BK139""),MATCH($D88,IMPORTRANGE(""17pNv02DXDpQT9S3w4-QeNym2QJy2BzMBqDXp-XtzJBM"", ""'GAR'!D3:D139""),0))"),862)</f>
        <v>862</v>
      </c>
      <c r="AD88" s="12">
        <f ca="1">IFERROR(__xludf.DUMMYFUNCTION("INDEX(IMPORTRANGE(""17pNv02DXDpQT9S3w4-QeNym2QJy2BzMBqDXp-XtzJBM"", ""'GAR'!BL3:BL139""),MATCH($D88,IMPORTRANGE(""17pNv02DXDpQT9S3w4-QeNym2QJy2BzMBqDXp-XtzJBM"", ""'GAR'!D3:D139""),0))"),425)</f>
        <v>425</v>
      </c>
      <c r="AE88" s="12">
        <f ca="1">IFERROR(__xludf.DUMMYFUNCTION("INDEX(IMPORTRANGE(""17pNv02DXDpQT9S3w4-QeNym2QJy2BzMBqDXp-XtzJBM"", ""'GAR'!BM3:BM139""),MATCH($D88,IMPORTRANGE(""17pNv02DXDpQT9S3w4-QeNym2QJy2BzMBqDXp-XtzJBM"", ""'GAR'!D3:D139""),0))"),733)</f>
        <v>733</v>
      </c>
    </row>
    <row r="89" spans="1:31">
      <c r="A89" s="149" t="s">
        <v>199</v>
      </c>
      <c r="B89" s="149" t="s">
        <v>228</v>
      </c>
      <c r="C89" s="149" t="s">
        <v>36</v>
      </c>
      <c r="D89" s="149" t="s">
        <v>241</v>
      </c>
      <c r="E89" s="149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v>1466</v>
      </c>
      <c r="R89" s="12">
        <v>3124</v>
      </c>
      <c r="S89" s="12">
        <f ca="1">IFERROR(__xludf.DUMMYFUNCTION("INDEX(IMPORTRANGE(""17pNv02DXDpQT9S3w4-QeNym2QJy2BzMBqDXp-XtzJBM"", ""'GAR'!BG3:BG139""),MATCH($D89,IMPORTRANGE(""17pNv02DXDpQT9S3w4-QeNym2QJy2BzMBqDXp-XtzJBM"", ""'GAR'!D3:D139""),0))"),2830)</f>
        <v>2830</v>
      </c>
      <c r="T89" s="12">
        <v>3020</v>
      </c>
      <c r="U89" s="12">
        <v>1417</v>
      </c>
      <c r="V89" s="12">
        <v>2915.7</v>
      </c>
      <c r="W89" s="12">
        <v>1368.3</v>
      </c>
      <c r="X89" s="24">
        <f ca="1">+S89*(1+(Y89-R89)/R89)</f>
        <v>2546.9999999999995</v>
      </c>
      <c r="Y89" s="12">
        <v>2811.6</v>
      </c>
      <c r="Z89" s="12">
        <f ca="1">IFERROR(__xludf.DUMMYFUNCTION("INDEX(IMPORTRANGE(""17pNv02DXDpQT9S3w4-QeNym2QJy2BzMBqDXp-XtzJBM"", ""'GAR'!BH3:BH139""),MATCH($D89,IMPORTRANGE(""17pNv02DXDpQT9S3w4-QeNym2QJy2BzMBqDXp-XtzJBM"", ""'GAR'!D3:D139""),0))"),1094)</f>
        <v>1094</v>
      </c>
      <c r="AA89" s="12">
        <f ca="1">IFERROR(__xludf.DUMMYFUNCTION("INDEX(IMPORTRANGE(""17pNv02DXDpQT9S3w4-QeNym2QJy2BzMBqDXp-XtzJBM"", ""'GAR'!BI3:BI139""),MATCH($D89,IMPORTRANGE(""17pNv02DXDpQT9S3w4-QeNym2QJy2BzMBqDXp-XtzJBM"", ""'GAR'!D3:D139""),0))"),2409)</f>
        <v>2409</v>
      </c>
      <c r="AB89" s="12">
        <f ca="1">IFERROR(__xludf.DUMMYFUNCTION("INDEX(IMPORTRANGE(""17pNv02DXDpQT9S3w4-QeNym2QJy2BzMBqDXp-XtzJBM"", ""'GAR'!BJ3:BJ139""),MATCH($D89,IMPORTRANGE(""17pNv02DXDpQT9S3w4-QeNym2QJy2BzMBqDXp-XtzJBM"", ""'GAR'!D3:D139""),0))"),959)</f>
        <v>959</v>
      </c>
      <c r="AC89" s="12">
        <f ca="1">IFERROR(__xludf.DUMMYFUNCTION("INDEX(IMPORTRANGE(""17pNv02DXDpQT9S3w4-QeNym2QJy2BzMBqDXp-XtzJBM"", ""'GAR'!BK3:BK139""),MATCH($D89,IMPORTRANGE(""17pNv02DXDpQT9S3w4-QeNym2QJy2BzMBqDXp-XtzJBM"", ""'GAR'!D3:D139""),0))"),2138)</f>
        <v>2138</v>
      </c>
      <c r="AD89" s="12">
        <f ca="1">IFERROR(__xludf.DUMMYFUNCTION("INDEX(IMPORTRANGE(""17pNv02DXDpQT9S3w4-QeNym2QJy2BzMBqDXp-XtzJBM"", ""'GAR'!BL3:BL139""),MATCH($D89,IMPORTRANGE(""17pNv02DXDpQT9S3w4-QeNym2QJy2BzMBqDXp-XtzJBM"", ""'GAR'!D3:D139""),0))"),1093)</f>
        <v>1093</v>
      </c>
      <c r="AE89" s="12">
        <f ca="1">IFERROR(__xludf.DUMMYFUNCTION("INDEX(IMPORTRANGE(""17pNv02DXDpQT9S3w4-QeNym2QJy2BzMBqDXp-XtzJBM"", ""'GAR'!BM3:BM139""),MATCH($D89,IMPORTRANGE(""17pNv02DXDpQT9S3w4-QeNym2QJy2BzMBqDXp-XtzJBM"", ""'GAR'!D3:D139""),0))"),1875)</f>
        <v>1875</v>
      </c>
    </row>
    <row r="90" spans="1:31">
      <c r="A90" s="149" t="s">
        <v>243</v>
      </c>
      <c r="B90" s="149" t="s">
        <v>244</v>
      </c>
      <c r="C90" s="149" t="s">
        <v>36</v>
      </c>
      <c r="D90" s="149" t="s">
        <v>338</v>
      </c>
      <c r="E90" s="149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0</v>
      </c>
      <c r="R90" s="12">
        <v>0</v>
      </c>
      <c r="S90" s="12">
        <f ca="1">IFERROR(__xludf.DUMMYFUNCTION("INDEX(IMPORTRANGE(""17pNv02DXDpQT9S3w4-QeNym2QJy2BzMBqDXp-XtzJBM"", ""'GAR'!BG3:BG139""),MATCH($D90,IMPORTRANGE(""17pNv02DXDpQT9S3w4-QeNym2QJy2BzMBqDXp-XtzJBM"", ""'GAR'!D3:D139""),0))"),0)</f>
        <v>0</v>
      </c>
      <c r="T90" s="2">
        <v>40</v>
      </c>
      <c r="U90" s="2">
        <v>80</v>
      </c>
      <c r="V90" s="2">
        <v>120</v>
      </c>
      <c r="W90" s="2">
        <v>160</v>
      </c>
      <c r="X90" s="29">
        <f>(Y90-W90)/6*5+W90</f>
        <v>193.33333333333334</v>
      </c>
      <c r="Y90" s="2">
        <v>200</v>
      </c>
      <c r="Z90" s="12">
        <f ca="1">IFERROR(__xludf.DUMMYFUNCTION("INDEX(IMPORTRANGE(""17pNv02DXDpQT9S3w4-QeNym2QJy2BzMBqDXp-XtzJBM"", ""'GAR'!BH3:BH139""),MATCH($D90,IMPORTRANGE(""17pNv02DXDpQT9S3w4-QeNym2QJy2BzMBqDXp-XtzJBM"", ""'GAR'!D3:D139""),0))"),6)</f>
        <v>6</v>
      </c>
      <c r="AA90" s="2">
        <f ca="1">IFERROR(__xludf.DUMMYFUNCTION("INDEX(IMPORTRANGE(""17pNv02DXDpQT9S3w4-QeNym2QJy2BzMBqDXp-XtzJBM"", ""'GAR'!BI3:BI139""),MATCH($D90,IMPORTRANGE(""17pNv02DXDpQT9S3w4-QeNym2QJy2BzMBqDXp-XtzJBM"", ""'GAR'!D3:D139""),0))"),52)</f>
        <v>52</v>
      </c>
      <c r="AB90" s="12">
        <f ca="1">IFERROR(__xludf.DUMMYFUNCTION("INDEX(IMPORTRANGE(""17pNv02DXDpQT9S3w4-QeNym2QJy2BzMBqDXp-XtzJBM"", ""'GAR'!BJ3:BJ139""),MATCH($D90,IMPORTRANGE(""17pNv02DXDpQT9S3w4-QeNym2QJy2BzMBqDXp-XtzJBM"", ""'GAR'!D3:D139""),0))"),84)</f>
        <v>84</v>
      </c>
      <c r="AC90" s="2">
        <f ca="1">IFERROR(__xludf.DUMMYFUNCTION("INDEX(IMPORTRANGE(""17pNv02DXDpQT9S3w4-QeNym2QJy2BzMBqDXp-XtzJBM"", ""'GAR'!BK3:BK139""),MATCH($D90,IMPORTRANGE(""17pNv02DXDpQT9S3w4-QeNym2QJy2BzMBqDXp-XtzJBM"", ""'GAR'!D3:D139""),0))"),110)</f>
        <v>110</v>
      </c>
      <c r="AD90" s="12">
        <f ca="1">IFERROR(__xludf.DUMMYFUNCTION("INDEX(IMPORTRANGE(""17pNv02DXDpQT9S3w4-QeNym2QJy2BzMBqDXp-XtzJBM"", ""'GAR'!BL3:BL139""),MATCH($D90,IMPORTRANGE(""17pNv02DXDpQT9S3w4-QeNym2QJy2BzMBqDXp-XtzJBM"", ""'GAR'!D3:D139""),0))"),16)</f>
        <v>16</v>
      </c>
      <c r="AE90" s="2">
        <f ca="1">IFERROR(__xludf.DUMMYFUNCTION("INDEX(IMPORTRANGE(""17pNv02DXDpQT9S3w4-QeNym2QJy2BzMBqDXp-XtzJBM"", ""'GAR'!BM3:BM139""),MATCH($D90,IMPORTRANGE(""17pNv02DXDpQT9S3w4-QeNym2QJy2BzMBqDXp-XtzJBM"", ""'GAR'!D3:D139""),0))"),16)</f>
        <v>16</v>
      </c>
    </row>
    <row r="91" spans="1:31">
      <c r="A91" s="149" t="s">
        <v>243</v>
      </c>
      <c r="B91" s="149" t="s">
        <v>247</v>
      </c>
      <c r="C91" s="149" t="s">
        <v>36</v>
      </c>
      <c r="D91" s="149" t="s">
        <v>248</v>
      </c>
      <c r="E91" s="149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1" t="s">
        <v>361</v>
      </c>
      <c r="P91" s="11">
        <v>45565</v>
      </c>
      <c r="Q91" s="12">
        <v>2</v>
      </c>
      <c r="R91" s="12">
        <v>2</v>
      </c>
      <c r="S91" s="12">
        <f ca="1">IFERROR(__xludf.DUMMYFUNCTION("INDEX(IMPORTRANGE(""17pNv02DXDpQT9S3w4-QeNym2QJy2BzMBqDXp-XtzJBM"", ""'GAR'!BG3:BG139""),MATCH($D91,IMPORTRANGE(""17pNv02DXDpQT9S3w4-QeNym2QJy2BzMBqDXp-XtzJBM"", ""'GAR'!D3:D139""),0))"),2)</f>
        <v>2</v>
      </c>
      <c r="T91" s="2">
        <v>1</v>
      </c>
      <c r="U91" s="2">
        <v>2</v>
      </c>
      <c r="V91" s="2">
        <v>2</v>
      </c>
      <c r="W91" s="2">
        <v>3</v>
      </c>
      <c r="X91" s="2">
        <v>3</v>
      </c>
      <c r="Y91" s="2">
        <v>3</v>
      </c>
      <c r="Z91" s="12">
        <f ca="1">IFERROR(__xludf.DUMMYFUNCTION("INDEX(IMPORTRANGE(""17pNv02DXDpQT9S3w4-QeNym2QJy2BzMBqDXp-XtzJBM"", ""'GAR'!BH3:BH139""),MATCH($D91,IMPORTRANGE(""17pNv02DXDpQT9S3w4-QeNym2QJy2BzMBqDXp-XtzJBM"", ""'GAR'!D3:D139""),0))"),2)</f>
        <v>2</v>
      </c>
      <c r="AA91" s="2">
        <f ca="1">IFERROR(__xludf.DUMMYFUNCTION("INDEX(IMPORTRANGE(""17pNv02DXDpQT9S3w4-QeNym2QJy2BzMBqDXp-XtzJBM"", ""'GAR'!BI3:BI139""),MATCH($D91,IMPORTRANGE(""17pNv02DXDpQT9S3w4-QeNym2QJy2BzMBqDXp-XtzJBM"", ""'GAR'!D3:D139""),0))"),3)</f>
        <v>3</v>
      </c>
      <c r="AB91" s="12">
        <f ca="1">IFERROR(__xludf.DUMMYFUNCTION("INDEX(IMPORTRANGE(""17pNv02DXDpQT9S3w4-QeNym2QJy2BzMBqDXp-XtzJBM"", ""'GAR'!BJ3:BJ139""),MATCH($D91,IMPORTRANGE(""17pNv02DXDpQT9S3w4-QeNym2QJy2BzMBqDXp-XtzJBM"", ""'GAR'!D3:D139""),0))"),2)</f>
        <v>2</v>
      </c>
      <c r="AC91" s="2">
        <f ca="1">IFERROR(__xludf.DUMMYFUNCTION("INDEX(IMPORTRANGE(""17pNv02DXDpQT9S3w4-QeNym2QJy2BzMBqDXp-XtzJBM"", ""'GAR'!BK3:BK139""),MATCH($D91,IMPORTRANGE(""17pNv02DXDpQT9S3w4-QeNym2QJy2BzMBqDXp-XtzJBM"", ""'GAR'!D3:D139""),0))"),3)</f>
        <v>3</v>
      </c>
      <c r="AD91" s="12">
        <f ca="1">IFERROR(__xludf.DUMMYFUNCTION("INDEX(IMPORTRANGE(""17pNv02DXDpQT9S3w4-QeNym2QJy2BzMBqDXp-XtzJBM"", ""'GAR'!BL3:BL139""),MATCH($D91,IMPORTRANGE(""17pNv02DXDpQT9S3w4-QeNym2QJy2BzMBqDXp-XtzJBM"", ""'GAR'!D3:D139""),0))"),2)</f>
        <v>2</v>
      </c>
      <c r="AE91" s="2">
        <f ca="1">IFERROR(__xludf.DUMMYFUNCTION("INDEX(IMPORTRANGE(""17pNv02DXDpQT9S3w4-QeNym2QJy2BzMBqDXp-XtzJBM"", ""'GAR'!BM3:BM139""),MATCH($D91,IMPORTRANGE(""17pNv02DXDpQT9S3w4-QeNym2QJy2BzMBqDXp-XtzJBM"", ""'GAR'!D3:D139""),0))"),2)</f>
        <v>2</v>
      </c>
    </row>
    <row r="92" spans="1:31">
      <c r="A92" s="149" t="s">
        <v>243</v>
      </c>
      <c r="B92" s="149" t="s">
        <v>250</v>
      </c>
      <c r="C92" s="149" t="s">
        <v>36</v>
      </c>
      <c r="D92" s="149" t="s">
        <v>251</v>
      </c>
      <c r="E92" s="149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12">
        <v>94.73</v>
      </c>
      <c r="R92" s="12">
        <v>94.73</v>
      </c>
      <c r="S92" s="12">
        <f ca="1">IFERROR(__xludf.DUMMYFUNCTION("INDEX(IMPORTRANGE(""17pNv02DXDpQT9S3w4-QeNym2QJy2BzMBqDXp-XtzJBM"", ""'GAR'!BG3:BG139""),MATCH($D92,IMPORTRANGE(""17pNv02DXDpQT9S3w4-QeNym2QJy2BzMBqDXp-XtzJBM"", ""'GAR'!D3:D139""),0))"),94.73)</f>
        <v>94.73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12">
        <f ca="1">IFERROR(__xludf.DUMMYFUNCTION("INDEX(IMPORTRANGE(""17pNv02DXDpQT9S3w4-QeNym2QJy2BzMBqDXp-XtzJBM"", ""'GAR'!BH3:BH139""),MATCH($D92,IMPORTRANGE(""17pNv02DXDpQT9S3w4-QeNym2QJy2BzMBqDXp-XtzJBM"", ""'GAR'!D3:D139""),0))"),100)</f>
        <v>100</v>
      </c>
      <c r="AA92" s="24">
        <f ca="1">IFERROR(__xludf.DUMMYFUNCTION("INDEX(IMPORTRANGE(""17pNv02DXDpQT9S3w4-QeNym2QJy2BzMBqDXp-XtzJBM"", ""'GAR'!BI3:BI139""),MATCH($D92,IMPORTRANGE(""17pNv02DXDpQT9S3w4-QeNym2QJy2BzMBqDXp-XtzJBM"", ""'GAR'!D3:D139""),0))"),90.98)</f>
        <v>90.98</v>
      </c>
      <c r="AB92" s="12">
        <f ca="1">IFERROR(__xludf.DUMMYFUNCTION("INDEX(IMPORTRANGE(""17pNv02DXDpQT9S3w4-QeNym2QJy2BzMBqDXp-XtzJBM"", ""'GAR'!BJ3:BJ139""),MATCH($D92,IMPORTRANGE(""17pNv02DXDpQT9S3w4-QeNym2QJy2BzMBqDXp-XtzJBM"", ""'GAR'!D3:D139""),0))"),94.85)</f>
        <v>94.85</v>
      </c>
      <c r="AC92" s="24">
        <f ca="1">IFERROR(__xludf.DUMMYFUNCTION("INDEX(IMPORTRANGE(""17pNv02DXDpQT9S3w4-QeNym2QJy2BzMBqDXp-XtzJBM"", ""'GAR'!BK3:BK139""),MATCH($D92,IMPORTRANGE(""17pNv02DXDpQT9S3w4-QeNym2QJy2BzMBqDXp-XtzJBM"", ""'GAR'!D3:D139""),0))"),81.36)</f>
        <v>81.36</v>
      </c>
      <c r="AD92" s="12">
        <f ca="1">IFERROR(__xludf.DUMMYFUNCTION("INDEX(IMPORTRANGE(""17pNv02DXDpQT9S3w4-QeNym2QJy2BzMBqDXp-XtzJBM"", ""'GAR'!BL3:BL139""),MATCH($D92,IMPORTRANGE(""17pNv02DXDpQT9S3w4-QeNym2QJy2BzMBqDXp-XtzJBM"", ""'GAR'!D3:D139""),0))"),95.85)</f>
        <v>95.85</v>
      </c>
      <c r="AE92" s="24">
        <f ca="1">IFERROR(__xludf.DUMMYFUNCTION("INDEX(IMPORTRANGE(""17pNv02DXDpQT9S3w4-QeNym2QJy2BzMBqDXp-XtzJBM"", ""'GAR'!BM3:BM139""),MATCH($D92,IMPORTRANGE(""17pNv02DXDpQT9S3w4-QeNym2QJy2BzMBqDXp-XtzJBM"", ""'GAR'!D3:D139""),0))"),95.85)</f>
        <v>95.85</v>
      </c>
    </row>
    <row r="93" spans="1:31">
      <c r="A93" s="149" t="s">
        <v>243</v>
      </c>
      <c r="B93" s="149" t="s">
        <v>257</v>
      </c>
      <c r="C93" s="149" t="s">
        <v>36</v>
      </c>
      <c r="D93" s="149" t="s">
        <v>258</v>
      </c>
      <c r="E93" s="149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""'GAR'!BG3:BG139""),MATCH($D93,IMPORTRANGE(""17pNv02DXDpQT9S3w4-QeNym2QJy2BzMBqDXp-XtzJBM"", ""'GAR'!D3:D139""),0))"),0)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12">
        <f ca="1">IFERROR(__xludf.DUMMYFUNCTION("INDEX(IMPORTRANGE(""17pNv02DXDpQT9S3w4-QeNym2QJy2BzMBqDXp-XtzJBM"", ""'GAR'!BH3:BH139""),MATCH($D93,IMPORTRANGE(""17pNv02DXDpQT9S3w4-QeNym2QJy2BzMBqDXp-XtzJBM"", ""'GAR'!D3:D139""),0))"),0)</f>
        <v>0</v>
      </c>
      <c r="AA93" s="12">
        <f ca="1">IFERROR(__xludf.DUMMYFUNCTION("INDEX(IMPORTRANGE(""17pNv02DXDpQT9S3w4-QeNym2QJy2BzMBqDXp-XtzJBM"", ""'GAR'!BI3:BI139""),MATCH($D93,IMPORTRANGE(""17pNv02DXDpQT9S3w4-QeNym2QJy2BzMBqDXp-XtzJBM"", ""'GAR'!D3:D139""),0))"),0)</f>
        <v>0</v>
      </c>
      <c r="AB93" s="12">
        <f ca="1">IFERROR(__xludf.DUMMYFUNCTION("INDEX(IMPORTRANGE(""17pNv02DXDpQT9S3w4-QeNym2QJy2BzMBqDXp-XtzJBM"", ""'GAR'!BJ3:BJ139""),MATCH($D93,IMPORTRANGE(""17pNv02DXDpQT9S3w4-QeNym2QJy2BzMBqDXp-XtzJBM"", ""'GAR'!D3:D139""),0))"),0)</f>
        <v>0</v>
      </c>
      <c r="AC93" s="12">
        <f ca="1">IFERROR(__xludf.DUMMYFUNCTION("INDEX(IMPORTRANGE(""17pNv02DXDpQT9S3w4-QeNym2QJy2BzMBqDXp-XtzJBM"", ""'GAR'!BK3:BK139""),MATCH($D93,IMPORTRANGE(""17pNv02DXDpQT9S3w4-QeNym2QJy2BzMBqDXp-XtzJBM"", ""'GAR'!D3:D139""),0))"),0)</f>
        <v>0</v>
      </c>
      <c r="AD93" s="12">
        <f ca="1">IFERROR(__xludf.DUMMYFUNCTION("INDEX(IMPORTRANGE(""17pNv02DXDpQT9S3w4-QeNym2QJy2BzMBqDXp-XtzJBM"", ""'GAR'!BL3:BL139""),MATCH($D93,IMPORTRANGE(""17pNv02DXDpQT9S3w4-QeNym2QJy2BzMBqDXp-XtzJBM"", ""'GAR'!D3:D139""),0))"),0)</f>
        <v>0</v>
      </c>
      <c r="AE93" s="12">
        <f ca="1">IFERROR(__xludf.DUMMYFUNCTION("INDEX(IMPORTRANGE(""17pNv02DXDpQT9S3w4-QeNym2QJy2BzMBqDXp-XtzJBM"", ""'GAR'!BM3:BM139""),MATCH($D93,IMPORTRANGE(""17pNv02DXDpQT9S3w4-QeNym2QJy2BzMBqDXp-XtzJBM"", ""'GAR'!D3:D139""),0))"),0)</f>
        <v>0</v>
      </c>
    </row>
    <row r="94" spans="1:31">
      <c r="A94" s="149" t="s">
        <v>243</v>
      </c>
      <c r="B94" s="149" t="s">
        <v>260</v>
      </c>
      <c r="C94" s="149" t="s">
        <v>30</v>
      </c>
      <c r="D94" s="149" t="s">
        <v>261</v>
      </c>
      <c r="E94" s="149" t="s">
        <v>38</v>
      </c>
      <c r="F94" s="9" t="s">
        <v>262</v>
      </c>
      <c r="G94" s="11">
        <v>44469</v>
      </c>
      <c r="H94" s="287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11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""'GAR'!BG3:BG139""),MATCH($D94,IMPORTRANGE(""17pNv02DXDpQT9S3w4-QeNym2QJy2BzMBqDXp-XtzJBM"", ""'GAR'!D3:D139""),0))"),"")</f>
        <v/>
      </c>
      <c r="T94" s="13"/>
      <c r="U94" s="13"/>
      <c r="V94" s="13"/>
      <c r="W94" s="13"/>
      <c r="X94" s="13"/>
      <c r="Y94" s="4"/>
      <c r="Z94" s="2">
        <f ca="1">IFERROR(__xludf.DUMMYFUNCTION("INDEX(IMPORTRANGE(""17pNv02DXDpQT9S3w4-QeNym2QJy2BzMBqDXp-XtzJBM"", ""'GAR'!BH3:BH139""),MATCH($D94,IMPORTRANGE(""17pNv02DXDpQT9S3w4-QeNym2QJy2BzMBqDXp-XtzJBM"", ""'GAR'!D3:D139""),0))"),4)</f>
        <v>4</v>
      </c>
      <c r="AA94" s="2">
        <f ca="1">IFERROR(__xludf.DUMMYFUNCTION("INDEX(IMPORTRANGE(""17pNv02DXDpQT9S3w4-QeNym2QJy2BzMBqDXp-XtzJBM"", ""'GAR'!BI3:BI139""),MATCH($D94,IMPORTRANGE(""17pNv02DXDpQT9S3w4-QeNym2QJy2BzMBqDXp-XtzJBM"", ""'GAR'!D3:D139""),0))"),2)</f>
        <v>2</v>
      </c>
      <c r="AB94" s="2">
        <f ca="1">IFERROR(__xludf.DUMMYFUNCTION("INDEX(IMPORTRANGE(""17pNv02DXDpQT9S3w4-QeNym2QJy2BzMBqDXp-XtzJBM"", ""'GAR'!BJ3:BJ139""),MATCH($D94,IMPORTRANGE(""17pNv02DXDpQT9S3w4-QeNym2QJy2BzMBqDXp-XtzJBM"", ""'GAR'!D3:D139""),0))"),4)</f>
        <v>4</v>
      </c>
      <c r="AC94" s="2" t="str">
        <f ca="1">IFERROR(__xludf.DUMMYFUNCTION("INDEX(IMPORTRANGE(""17pNv02DXDpQT9S3w4-QeNym2QJy2BzMBqDXp-XtzJBM"", ""'GAR'!BK3:BK139""),MATCH($D94,IMPORTRANGE(""17pNv02DXDpQT9S3w4-QeNym2QJy2BzMBqDXp-XtzJBM"", ""'GAR'!D3:D139""),0))"),"")</f>
        <v/>
      </c>
      <c r="AD94" s="2">
        <f ca="1">IFERROR(__xludf.DUMMYFUNCTION("INDEX(IMPORTRANGE(""17pNv02DXDpQT9S3w4-QeNym2QJy2BzMBqDXp-XtzJBM"", ""'GAR'!BL3:BL139""),MATCH($D94,IMPORTRANGE(""17pNv02DXDpQT9S3w4-QeNym2QJy2BzMBqDXp-XtzJBM"", ""'GAR'!D3:D139""),0))"),3)</f>
        <v>3</v>
      </c>
      <c r="AE94" s="2">
        <f ca="1">IFERROR(__xludf.DUMMYFUNCTION("INDEX(IMPORTRANGE(""17pNv02DXDpQT9S3w4-QeNym2QJy2BzMBqDXp-XtzJBM"", ""'GAR'!BM3:BM139""),MATCH($D94,IMPORTRANGE(""17pNv02DXDpQT9S3w4-QeNym2QJy2BzMBqDXp-XtzJBM"", ""'GAR'!D3:D139""),0))"),3)</f>
        <v>3</v>
      </c>
    </row>
    <row r="95" spans="1:31">
      <c r="A95" s="149" t="s">
        <v>243</v>
      </c>
      <c r="B95" s="149" t="s">
        <v>260</v>
      </c>
      <c r="C95" s="149" t="s">
        <v>30</v>
      </c>
      <c r="D95" s="149" t="s">
        <v>263</v>
      </c>
      <c r="E95" s="149" t="s">
        <v>38</v>
      </c>
      <c r="F95" s="9" t="s">
        <v>264</v>
      </c>
      <c r="G95" s="11">
        <v>44469</v>
      </c>
      <c r="H95" s="13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11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""'GAR'!BG3:BG139""),MATCH($D95,IMPORTRANGE(""17pNv02DXDpQT9S3w4-QeNym2QJy2BzMBqDXp-XtzJBM"", ""'GAR'!D3:D139""),0))"),"")</f>
        <v/>
      </c>
      <c r="T95" s="13"/>
      <c r="U95" s="13"/>
      <c r="V95" s="13"/>
      <c r="W95" s="13"/>
      <c r="X95" s="13"/>
      <c r="Y95" s="4"/>
      <c r="Z95" s="2">
        <f ca="1">IFERROR(__xludf.DUMMYFUNCTION("INDEX(IMPORTRANGE(""17pNv02DXDpQT9S3w4-QeNym2QJy2BzMBqDXp-XtzJBM"", ""'GAR'!BH3:BH139""),MATCH($D95,IMPORTRANGE(""17pNv02DXDpQT9S3w4-QeNym2QJy2BzMBqDXp-XtzJBM"", ""'GAR'!D3:D139""),0))"),17)</f>
        <v>17</v>
      </c>
      <c r="AA95" s="2">
        <f ca="1">IFERROR(__xludf.DUMMYFUNCTION("INDEX(IMPORTRANGE(""17pNv02DXDpQT9S3w4-QeNym2QJy2BzMBqDXp-XtzJBM"", ""'GAR'!BI3:BI139""),MATCH($D95,IMPORTRANGE(""17pNv02DXDpQT9S3w4-QeNym2QJy2BzMBqDXp-XtzJBM"", ""'GAR'!D3:D139""),0))"),13)</f>
        <v>13</v>
      </c>
      <c r="AB95" s="2">
        <f ca="1">IFERROR(__xludf.DUMMYFUNCTION("INDEX(IMPORTRANGE(""17pNv02DXDpQT9S3w4-QeNym2QJy2BzMBqDXp-XtzJBM"", ""'GAR'!BJ3:BJ139""),MATCH($D95,IMPORTRANGE(""17pNv02DXDpQT9S3w4-QeNym2QJy2BzMBqDXp-XtzJBM"", ""'GAR'!D3:D139""),0))"),17)</f>
        <v>17</v>
      </c>
      <c r="AC95" s="2">
        <f ca="1">IFERROR(__xludf.DUMMYFUNCTION("INDEX(IMPORTRANGE(""17pNv02DXDpQT9S3w4-QeNym2QJy2BzMBqDXp-XtzJBM"", ""'GAR'!BK3:BK139""),MATCH($D95,IMPORTRANGE(""17pNv02DXDpQT9S3w4-QeNym2QJy2BzMBqDXp-XtzJBM"", ""'GAR'!D3:D139""),0))"),0)</f>
        <v>0</v>
      </c>
      <c r="AD95" s="2">
        <f ca="1">IFERROR(__xludf.DUMMYFUNCTION("INDEX(IMPORTRANGE(""17pNv02DXDpQT9S3w4-QeNym2QJy2BzMBqDXp-XtzJBM"", ""'GAR'!BL3:BL139""),MATCH($D95,IMPORTRANGE(""17pNv02DXDpQT9S3w4-QeNym2QJy2BzMBqDXp-XtzJBM"", ""'GAR'!D3:D139""),0))"),14)</f>
        <v>14</v>
      </c>
      <c r="AE95" s="2">
        <f ca="1">IFERROR(__xludf.DUMMYFUNCTION("INDEX(IMPORTRANGE(""17pNv02DXDpQT9S3w4-QeNym2QJy2BzMBqDXp-XtzJBM"", ""'GAR'!BM3:BM139""),MATCH($D95,IMPORTRANGE(""17pNv02DXDpQT9S3w4-QeNym2QJy2BzMBqDXp-XtzJBM"", ""'GAR'!D3:D139""),0))"),13)</f>
        <v>13</v>
      </c>
    </row>
    <row r="96" spans="1:31">
      <c r="A96" s="149" t="s">
        <v>243</v>
      </c>
      <c r="B96" s="149" t="s">
        <v>260</v>
      </c>
      <c r="C96" s="149" t="s">
        <v>30</v>
      </c>
      <c r="D96" s="149" t="s">
        <v>265</v>
      </c>
      <c r="E96" s="149" t="s">
        <v>38</v>
      </c>
      <c r="F96" s="9" t="s">
        <v>266</v>
      </c>
      <c r="G96" s="11">
        <v>44469</v>
      </c>
      <c r="H96" s="13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11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""'GAR'!BG3:BG139""),MATCH($D96,IMPORTRANGE(""17pNv02DXDpQT9S3w4-QeNym2QJy2BzMBqDXp-XtzJBM"", ""'GAR'!D3:D139""),0))"),"")</f>
        <v/>
      </c>
      <c r="T96" s="13"/>
      <c r="U96" s="13"/>
      <c r="V96" s="13"/>
      <c r="W96" s="13"/>
      <c r="X96" s="13"/>
      <c r="Y96" s="4"/>
      <c r="Z96" s="2">
        <f ca="1">IFERROR(__xludf.DUMMYFUNCTION("INDEX(IMPORTRANGE(""17pNv02DXDpQT9S3w4-QeNym2QJy2BzMBqDXp-XtzJBM"", ""'GAR'!BH3:BH139""),MATCH($D96,IMPORTRANGE(""17pNv02DXDpQT9S3w4-QeNym2QJy2BzMBqDXp-XtzJBM"", ""'GAR'!D3:D139""),0))"),0)</f>
        <v>0</v>
      </c>
      <c r="AA96" s="2">
        <f ca="1">IFERROR(__xludf.DUMMYFUNCTION("INDEX(IMPORTRANGE(""17pNv02DXDpQT9S3w4-QeNym2QJy2BzMBqDXp-XtzJBM"", ""'GAR'!BI3:BI139""),MATCH($D96,IMPORTRANGE(""17pNv02DXDpQT9S3w4-QeNym2QJy2BzMBqDXp-XtzJBM"", ""'GAR'!D3:D139""),0))"),0)</f>
        <v>0</v>
      </c>
      <c r="AB96" s="2">
        <f ca="1">IFERROR(__xludf.DUMMYFUNCTION("INDEX(IMPORTRANGE(""17pNv02DXDpQT9S3w4-QeNym2QJy2BzMBqDXp-XtzJBM"", ""'GAR'!BJ3:BJ139""),MATCH($D96,IMPORTRANGE(""17pNv02DXDpQT9S3w4-QeNym2QJy2BzMBqDXp-XtzJBM"", ""'GAR'!D3:D139""),0))"),0)</f>
        <v>0</v>
      </c>
      <c r="AC96" s="2" t="str">
        <f ca="1">IFERROR(__xludf.DUMMYFUNCTION("INDEX(IMPORTRANGE(""17pNv02DXDpQT9S3w4-QeNym2QJy2BzMBqDXp-XtzJBM"", ""'GAR'!BK3:BK139""),MATCH($D96,IMPORTRANGE(""17pNv02DXDpQT9S3w4-QeNym2QJy2BzMBqDXp-XtzJBM"", ""'GAR'!D3:D139""),0))"),"")</f>
        <v/>
      </c>
      <c r="AD96" s="2">
        <f ca="1">IFERROR(__xludf.DUMMYFUNCTION("INDEX(IMPORTRANGE(""17pNv02DXDpQT9S3w4-QeNym2QJy2BzMBqDXp-XtzJBM"", ""'GAR'!BL3:BL139""),MATCH($D96,IMPORTRANGE(""17pNv02DXDpQT9S3w4-QeNym2QJy2BzMBqDXp-XtzJBM"", ""'GAR'!D3:D139""),0))"),0)</f>
        <v>0</v>
      </c>
      <c r="AE96" s="2">
        <f ca="1">IFERROR(__xludf.DUMMYFUNCTION("INDEX(IMPORTRANGE(""17pNv02DXDpQT9S3w4-QeNym2QJy2BzMBqDXp-XtzJBM"", ""'GAR'!BM3:BM139""),MATCH($D96,IMPORTRANGE(""17pNv02DXDpQT9S3w4-QeNym2QJy2BzMBqDXp-XtzJBM"", ""'GAR'!D3:D139""),0))"),0)</f>
        <v>0</v>
      </c>
    </row>
    <row r="97" spans="1:31">
      <c r="A97" s="149" t="s">
        <v>243</v>
      </c>
      <c r="B97" s="149" t="s">
        <v>260</v>
      </c>
      <c r="C97" s="149" t="s">
        <v>30</v>
      </c>
      <c r="D97" s="149" t="s">
        <v>267</v>
      </c>
      <c r="E97" s="149" t="s">
        <v>38</v>
      </c>
      <c r="F97" s="9" t="s">
        <v>268</v>
      </c>
      <c r="G97" s="11">
        <v>44469</v>
      </c>
      <c r="H97" s="13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11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""'GAR'!BG3:BG139""),MATCH($D97,IMPORTRANGE(""17pNv02DXDpQT9S3w4-QeNym2QJy2BzMBqDXp-XtzJBM"", ""'GAR'!D3:D139""),0))"),"")</f>
        <v/>
      </c>
      <c r="T97" s="13"/>
      <c r="U97" s="13"/>
      <c r="V97" s="13"/>
      <c r="W97" s="13"/>
      <c r="X97" s="13"/>
      <c r="Y97" s="4"/>
      <c r="Z97" s="2">
        <f ca="1">IFERROR(__xludf.DUMMYFUNCTION("INDEX(IMPORTRANGE(""17pNv02DXDpQT9S3w4-QeNym2QJy2BzMBqDXp-XtzJBM"", ""'GAR'!BH3:BH139""),MATCH($D97,IMPORTRANGE(""17pNv02DXDpQT9S3w4-QeNym2QJy2BzMBqDXp-XtzJBM"", ""'GAR'!D3:D139""),0))"),0)</f>
        <v>0</v>
      </c>
      <c r="AA97" s="2">
        <f ca="1">IFERROR(__xludf.DUMMYFUNCTION("INDEX(IMPORTRANGE(""17pNv02DXDpQT9S3w4-QeNym2QJy2BzMBqDXp-XtzJBM"", ""'GAR'!BI3:BI139""),MATCH($D97,IMPORTRANGE(""17pNv02DXDpQT9S3w4-QeNym2QJy2BzMBqDXp-XtzJBM"", ""'GAR'!D3:D139""),0))"),0)</f>
        <v>0</v>
      </c>
      <c r="AB97" s="2">
        <f ca="1">IFERROR(__xludf.DUMMYFUNCTION("INDEX(IMPORTRANGE(""17pNv02DXDpQT9S3w4-QeNym2QJy2BzMBqDXp-XtzJBM"", ""'GAR'!BJ3:BJ139""),MATCH($D97,IMPORTRANGE(""17pNv02DXDpQT9S3w4-QeNym2QJy2BzMBqDXp-XtzJBM"", ""'GAR'!D3:D139""),0))"),0)</f>
        <v>0</v>
      </c>
      <c r="AC97" s="2">
        <f ca="1">IFERROR(__xludf.DUMMYFUNCTION("INDEX(IMPORTRANGE(""17pNv02DXDpQT9S3w4-QeNym2QJy2BzMBqDXp-XtzJBM"", ""'GAR'!BK3:BK139""),MATCH($D97,IMPORTRANGE(""17pNv02DXDpQT9S3w4-QeNym2QJy2BzMBqDXp-XtzJBM"", ""'GAR'!D3:D139""),0))"),0)</f>
        <v>0</v>
      </c>
      <c r="AD97" s="2">
        <f ca="1">IFERROR(__xludf.DUMMYFUNCTION("INDEX(IMPORTRANGE(""17pNv02DXDpQT9S3w4-QeNym2QJy2BzMBqDXp-XtzJBM"", ""'GAR'!BL3:BL139""),MATCH($D97,IMPORTRANGE(""17pNv02DXDpQT9S3w4-QeNym2QJy2BzMBqDXp-XtzJBM"", ""'GAR'!D3:D139""),0))"),0)</f>
        <v>0</v>
      </c>
      <c r="AE97" s="2">
        <f ca="1">IFERROR(__xludf.DUMMYFUNCTION("INDEX(IMPORTRANGE(""17pNv02DXDpQT9S3w4-QeNym2QJy2BzMBqDXp-XtzJBM"", ""'GAR'!BM3:BM139""),MATCH($D97,IMPORTRANGE(""17pNv02DXDpQT9S3w4-QeNym2QJy2BzMBqDXp-XtzJBM"", ""'GAR'!D3:D139""),0))"),0)</f>
        <v>0</v>
      </c>
    </row>
    <row r="98" spans="1:31">
      <c r="A98" s="149" t="s">
        <v>243</v>
      </c>
      <c r="B98" s="149" t="s">
        <v>260</v>
      </c>
      <c r="C98" s="149" t="s">
        <v>30</v>
      </c>
      <c r="D98" s="149" t="s">
        <v>269</v>
      </c>
      <c r="E98" s="149" t="s">
        <v>38</v>
      </c>
      <c r="F98" s="9" t="s">
        <v>270</v>
      </c>
      <c r="G98" s="11">
        <v>44469</v>
      </c>
      <c r="H98" s="13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11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""'GAR'!BG3:BG139""),MATCH($D98,IMPORTRANGE(""17pNv02DXDpQT9S3w4-QeNym2QJy2BzMBqDXp-XtzJBM"", ""'GAR'!D3:D139""),0))"),"")</f>
        <v/>
      </c>
      <c r="T98" s="13"/>
      <c r="U98" s="13"/>
      <c r="V98" s="13"/>
      <c r="W98" s="13"/>
      <c r="X98" s="13"/>
      <c r="Y98" s="4"/>
      <c r="Z98" s="2">
        <f ca="1">IFERROR(__xludf.DUMMYFUNCTION("INDEX(IMPORTRANGE(""17pNv02DXDpQT9S3w4-QeNym2QJy2BzMBqDXp-XtzJBM"", ""'GAR'!BH3:BH139""),MATCH($D98,IMPORTRANGE(""17pNv02DXDpQT9S3w4-QeNym2QJy2BzMBqDXp-XtzJBM"", ""'GAR'!D3:D139""),0))"),15)</f>
        <v>15</v>
      </c>
      <c r="AA98" s="2">
        <f ca="1">IFERROR(__xludf.DUMMYFUNCTION("INDEX(IMPORTRANGE(""17pNv02DXDpQT9S3w4-QeNym2QJy2BzMBqDXp-XtzJBM"", ""'GAR'!BI3:BI139""),MATCH($D98,IMPORTRANGE(""17pNv02DXDpQT9S3w4-QeNym2QJy2BzMBqDXp-XtzJBM"", ""'GAR'!D3:D139""),0))"),19)</f>
        <v>19</v>
      </c>
      <c r="AB98" s="2">
        <f ca="1">IFERROR(__xludf.DUMMYFUNCTION("INDEX(IMPORTRANGE(""17pNv02DXDpQT9S3w4-QeNym2QJy2BzMBqDXp-XtzJBM"", ""'GAR'!BJ3:BJ139""),MATCH($D98,IMPORTRANGE(""17pNv02DXDpQT9S3w4-QeNym2QJy2BzMBqDXp-XtzJBM"", ""'GAR'!D3:D139""),0))"),16)</f>
        <v>16</v>
      </c>
      <c r="AC98" s="2" t="str">
        <f ca="1">IFERROR(__xludf.DUMMYFUNCTION("INDEX(IMPORTRANGE(""17pNv02DXDpQT9S3w4-QeNym2QJy2BzMBqDXp-XtzJBM"", ""'GAR'!BK3:BK139""),MATCH($D98,IMPORTRANGE(""17pNv02DXDpQT9S3w4-QeNym2QJy2BzMBqDXp-XtzJBM"", ""'GAR'!D3:D139""),0))"),"")</f>
        <v/>
      </c>
      <c r="AD98" s="2">
        <f ca="1">IFERROR(__xludf.DUMMYFUNCTION("INDEX(IMPORTRANGE(""17pNv02DXDpQT9S3w4-QeNym2QJy2BzMBqDXp-XtzJBM"", ""'GAR'!BL3:BL139""),MATCH($D98,IMPORTRANGE(""17pNv02DXDpQT9S3w4-QeNym2QJy2BzMBqDXp-XtzJBM"", ""'GAR'!D3:D139""),0))"),14)</f>
        <v>14</v>
      </c>
      <c r="AE98" s="2">
        <f ca="1">IFERROR(__xludf.DUMMYFUNCTION("INDEX(IMPORTRANGE(""17pNv02DXDpQT9S3w4-QeNym2QJy2BzMBqDXp-XtzJBM"", ""'GAR'!BM3:BM139""),MATCH($D98,IMPORTRANGE(""17pNv02DXDpQT9S3w4-QeNym2QJy2BzMBqDXp-XtzJBM"", ""'GAR'!D3:D139""),0))"),13)</f>
        <v>13</v>
      </c>
    </row>
    <row r="99" spans="1:31">
      <c r="A99" s="149" t="s">
        <v>243</v>
      </c>
      <c r="B99" s="149" t="s">
        <v>260</v>
      </c>
      <c r="C99" s="149" t="s">
        <v>30</v>
      </c>
      <c r="D99" s="149" t="s">
        <v>271</v>
      </c>
      <c r="E99" s="149" t="s">
        <v>38</v>
      </c>
      <c r="F99" s="9" t="s">
        <v>272</v>
      </c>
      <c r="G99" s="11">
        <v>44469</v>
      </c>
      <c r="H99" s="13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11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""'GAR'!BG3:BG139""),MATCH($D99,IMPORTRANGE(""17pNv02DXDpQT9S3w4-QeNym2QJy2BzMBqDXp-XtzJBM"", ""'GAR'!D3:D139""),0))"),"")</f>
        <v/>
      </c>
      <c r="T99" s="13"/>
      <c r="U99" s="13"/>
      <c r="V99" s="13"/>
      <c r="W99" s="13"/>
      <c r="X99" s="13"/>
      <c r="Y99" s="4"/>
      <c r="Z99" s="2">
        <f ca="1">IFERROR(__xludf.DUMMYFUNCTION("INDEX(IMPORTRANGE(""17pNv02DXDpQT9S3w4-QeNym2QJy2BzMBqDXp-XtzJBM"", ""'GAR'!BH3:BH139""),MATCH($D99,IMPORTRANGE(""17pNv02DXDpQT9S3w4-QeNym2QJy2BzMBqDXp-XtzJBM"", ""'GAR'!D3:D139""),0))"),46)</f>
        <v>46</v>
      </c>
      <c r="AA99" s="2">
        <f ca="1">IFERROR(__xludf.DUMMYFUNCTION("INDEX(IMPORTRANGE(""17pNv02DXDpQT9S3w4-QeNym2QJy2BzMBqDXp-XtzJBM"", ""'GAR'!BI3:BI139""),MATCH($D99,IMPORTRANGE(""17pNv02DXDpQT9S3w4-QeNym2QJy2BzMBqDXp-XtzJBM"", ""'GAR'!D3:D139""),0))"),59)</f>
        <v>59</v>
      </c>
      <c r="AB99" s="2">
        <f ca="1">IFERROR(__xludf.DUMMYFUNCTION("INDEX(IMPORTRANGE(""17pNv02DXDpQT9S3w4-QeNym2QJy2BzMBqDXp-XtzJBM"", ""'GAR'!BJ3:BJ139""),MATCH($D99,IMPORTRANGE(""17pNv02DXDpQT9S3w4-QeNym2QJy2BzMBqDXp-XtzJBM"", ""'GAR'!D3:D139""),0))"),54)</f>
        <v>54</v>
      </c>
      <c r="AC99" s="2">
        <f ca="1">IFERROR(__xludf.DUMMYFUNCTION("INDEX(IMPORTRANGE(""17pNv02DXDpQT9S3w4-QeNym2QJy2BzMBqDXp-XtzJBM"", ""'GAR'!BK3:BK139""),MATCH($D99,IMPORTRANGE(""17pNv02DXDpQT9S3w4-QeNym2QJy2BzMBqDXp-XtzJBM"", ""'GAR'!D3:D139""),0))"),0)</f>
        <v>0</v>
      </c>
      <c r="AD99" s="2">
        <f ca="1">IFERROR(__xludf.DUMMYFUNCTION("INDEX(IMPORTRANGE(""17pNv02DXDpQT9S3w4-QeNym2QJy2BzMBqDXp-XtzJBM"", ""'GAR'!BL3:BL139""),MATCH($D99,IMPORTRANGE(""17pNv02DXDpQT9S3w4-QeNym2QJy2BzMBqDXp-XtzJBM"", ""'GAR'!D3:D139""),0))"),47)</f>
        <v>47</v>
      </c>
      <c r="AE99" s="2">
        <f ca="1">IFERROR(__xludf.DUMMYFUNCTION("INDEX(IMPORTRANGE(""17pNv02DXDpQT9S3w4-QeNym2QJy2BzMBqDXp-XtzJBM"", ""'GAR'!BM3:BM139""),MATCH($D99,IMPORTRANGE(""17pNv02DXDpQT9S3w4-QeNym2QJy2BzMBqDXp-XtzJBM"", ""'GAR'!D3:D139""),0))"),45)</f>
        <v>45</v>
      </c>
    </row>
    <row r="100" spans="1:31">
      <c r="A100" s="149" t="s">
        <v>243</v>
      </c>
      <c r="B100" s="149" t="s">
        <v>260</v>
      </c>
      <c r="C100" s="149" t="s">
        <v>36</v>
      </c>
      <c r="D100" s="149" t="s">
        <v>273</v>
      </c>
      <c r="E100" s="149" t="s">
        <v>38</v>
      </c>
      <c r="F100" s="9" t="s">
        <v>274</v>
      </c>
      <c r="G100" s="11">
        <v>44469</v>
      </c>
      <c r="H100" s="4"/>
      <c r="I100" s="49">
        <v>44440</v>
      </c>
      <c r="J100" s="11">
        <v>44651</v>
      </c>
      <c r="K100" s="4"/>
      <c r="L100" s="11">
        <v>45016</v>
      </c>
      <c r="M100" s="4"/>
      <c r="N100" s="11">
        <v>45382</v>
      </c>
      <c r="O100" s="11" t="s">
        <v>361</v>
      </c>
      <c r="P100" s="11">
        <v>45565</v>
      </c>
      <c r="Q100" s="254"/>
      <c r="R100" s="254"/>
      <c r="S100" s="30" t="str">
        <f ca="1">IFERROR(__xludf.DUMMYFUNCTION("INDEX(IMPORTRANGE(""17pNv02DXDpQT9S3w4-QeNym2QJy2BzMBqDXp-XtzJBM"", ""'GAR'!BG3:BG139""),MATCH($D100,IMPORTRANGE(""17pNv02DXDpQT9S3w4-QeNym2QJy2BzMBqDXp-XtzJBM"", ""'GAR'!D3:D139""),0))"),"")</f>
        <v/>
      </c>
      <c r="T100" s="4"/>
      <c r="U100" s="60">
        <v>0.5</v>
      </c>
      <c r="V100" s="60">
        <v>0.5</v>
      </c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""'GAR'!BH3:BH139""),MATCH($D100,IMPORTRANGE(""17pNv02DXDpQT9S3w4-QeNym2QJy2BzMBqDXp-XtzJBM"", ""'GAR'!D3:D139""),0))"),0.301587301587301)</f>
        <v>0.30158730158730102</v>
      </c>
      <c r="AA100" s="15">
        <f ca="1">IFERROR(__xludf.DUMMYFUNCTION("INDEX(IMPORTRANGE(""17pNv02DXDpQT9S3w4-QeNym2QJy2BzMBqDXp-XtzJBM"", ""'GAR'!BI3:BI139""),MATCH($D100,IMPORTRANGE(""17pNv02DXDpQT9S3w4-QeNym2QJy2BzMBqDXp-XtzJBM"", ""'GAR'!D3:D139""),0))"),0.291666666666666)</f>
        <v>0.29166666666666602</v>
      </c>
      <c r="AB100" s="15">
        <f ca="1">IFERROR(__xludf.DUMMYFUNCTION("INDEX(IMPORTRANGE(""17pNv02DXDpQT9S3w4-QeNym2QJy2BzMBqDXp-XtzJBM"", ""'GAR'!BJ3:BJ139""),MATCH($D100,IMPORTRANGE(""17pNv02DXDpQT9S3w4-QeNym2QJy2BzMBqDXp-XtzJBM"", ""'GAR'!D3:D139""),0))"),0.28169014084507)</f>
        <v>0.28169014084506999</v>
      </c>
      <c r="AC100" s="15" t="str">
        <f ca="1">IFERROR(__xludf.DUMMYFUNCTION("INDEX(IMPORTRANGE(""17pNv02DXDpQT9S3w4-QeNym2QJy2BzMBqDXp-XtzJBM"", ""'GAR'!BK3:BK139""),MATCH($D100,IMPORTRANGE(""17pNv02DXDpQT9S3w4-QeNym2QJy2BzMBqDXp-XtzJBM"", ""'GAR'!D3:D139""),0))"),"")</f>
        <v/>
      </c>
      <c r="AD100" s="15">
        <f ca="1">IFERROR(__xludf.DUMMYFUNCTION("INDEX(IMPORTRANGE(""17pNv02DXDpQT9S3w4-QeNym2QJy2BzMBqDXp-XtzJBM"", ""'GAR'!BL3:BL139""),MATCH($D100,IMPORTRANGE(""17pNv02DXDpQT9S3w4-QeNym2QJy2BzMBqDXp-XtzJBM"", ""'GAR'!D3:D139""),0))"),0.278688524590163)</f>
        <v>0.27868852459016302</v>
      </c>
      <c r="AE100" s="15">
        <f ca="1">IFERROR(__xludf.DUMMYFUNCTION("INDEX(IMPORTRANGE(""17pNv02DXDpQT9S3w4-QeNym2QJy2BzMBqDXp-XtzJBM"", ""'GAR'!BM3:BM139""),MATCH($D100,IMPORTRANGE(""17pNv02DXDpQT9S3w4-QeNym2QJy2BzMBqDXp-XtzJBM"", ""'GAR'!D3:D139""),0))"),0.275862068965517)</f>
        <v>0.27586206896551702</v>
      </c>
    </row>
    <row r="101" spans="1:31">
      <c r="A101" s="149" t="s">
        <v>275</v>
      </c>
      <c r="B101" s="149" t="s">
        <v>276</v>
      </c>
      <c r="C101" s="149" t="s">
        <v>30</v>
      </c>
      <c r="D101" s="149" t="s">
        <v>277</v>
      </c>
      <c r="E101" s="149" t="s">
        <v>278</v>
      </c>
      <c r="F101" s="9" t="s">
        <v>279</v>
      </c>
      <c r="G101" s="183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2" t="s">
        <v>369</v>
      </c>
      <c r="P101" s="1" t="s">
        <v>218</v>
      </c>
      <c r="Q101" s="36">
        <v>511748251.36000001</v>
      </c>
      <c r="R101" s="36">
        <v>511748251.36000001</v>
      </c>
      <c r="S101" s="36">
        <f ca="1">IFERROR(__xludf.DUMMYFUNCTION("INDEX(IMPORTRANGE(""17pNv02DXDpQT9S3w4-QeNym2QJy2BzMBqDXp-XtzJBM"", ""'GAR'!BG3:BG139""),MATCH($D101,IMPORTRANGE(""17pNv02DXDpQT9S3w4-QeNym2QJy2BzMBqDXp-XtzJBM"", ""'GAR'!D3:D139""),0))"),259381068.1)</f>
        <v>259381068.09999999</v>
      </c>
      <c r="T101" s="13"/>
      <c r="U101" s="13"/>
      <c r="V101" s="13"/>
      <c r="W101" s="13"/>
      <c r="X101" s="13"/>
      <c r="Y101" s="4"/>
      <c r="Z101" s="36">
        <f ca="1">IFERROR(__xludf.DUMMYFUNCTION("INDEX(IMPORTRANGE(""17pNv02DXDpQT9S3w4-QeNym2QJy2BzMBqDXp-XtzJBM"", ""'GAR'!BH3:BH139""),MATCH($D101,IMPORTRANGE(""17pNv02DXDpQT9S3w4-QeNym2QJy2BzMBqDXp-XtzJBM"", ""'GAR'!D3:D139""),0))"),511748251.36)</f>
        <v>511748251.36000001</v>
      </c>
      <c r="AA101" s="4" t="str">
        <f ca="1">IFERROR(__xludf.DUMMYFUNCTION("INDEX(IMPORTRANGE(""17pNv02DXDpQT9S3w4-QeNym2QJy2BzMBqDXp-XtzJBM"", ""'GAR'!BI3:BI139""),MATCH($D101,IMPORTRANGE(""17pNv02DXDpQT9S3w4-QeNym2QJy2BzMBqDXp-XtzJBM"", ""'GAR'!D3:D139""),0))"),"")</f>
        <v/>
      </c>
      <c r="AB101" s="36">
        <f ca="1">IFERROR(__xludf.DUMMYFUNCTION("INDEX(IMPORTRANGE(""17pNv02DXDpQT9S3w4-QeNym2QJy2BzMBqDXp-XtzJBM"", ""'GAR'!BJ3:BJ139""),MATCH($D101,IMPORTRANGE(""17pNv02DXDpQT9S3w4-QeNym2QJy2BzMBqDXp-XtzJBM"", ""'GAR'!D3:D139""),0))"),516904709.24)</f>
        <v>516904709.24000001</v>
      </c>
      <c r="AC101" s="4" t="str">
        <f ca="1">IFERROR(__xludf.DUMMYFUNCTION("INDEX(IMPORTRANGE(""17pNv02DXDpQT9S3w4-QeNym2QJy2BzMBqDXp-XtzJBM"", ""'GAR'!BK3:BK139""),MATCH($D101,IMPORTRANGE(""17pNv02DXDpQT9S3w4-QeNym2QJy2BzMBqDXp-XtzJBM"", ""'GAR'!D3:D139""),0))"),"")</f>
        <v/>
      </c>
      <c r="AD101" s="36">
        <f ca="1">IFERROR(__xludf.DUMMYFUNCTION("INDEX(IMPORTRANGE(""17pNv02DXDpQT9S3w4-QeNym2QJy2BzMBqDXp-XtzJBM"", ""'GAR'!BL3:BL139""),MATCH($D101,IMPORTRANGE(""17pNv02DXDpQT9S3w4-QeNym2QJy2BzMBqDXp-XtzJBM"", ""'GAR'!D3:D139""),0))"),670856668.95)</f>
        <v>670856668.95000005</v>
      </c>
      <c r="AE101" s="2">
        <f ca="1">IFERROR(__xludf.DUMMYFUNCTION("INDEX(IMPORTRANGE(""17pNv02DXDpQT9S3w4-QeNym2QJy2BzMBqDXp-XtzJBM"", ""'GAR'!BM3:BM139""),MATCH($D101,IMPORTRANGE(""17pNv02DXDpQT9S3w4-QeNym2QJy2BzMBqDXp-XtzJBM"", ""'GAR'!D3:D139""),0))"),350803171.7)</f>
        <v>350803171.69999999</v>
      </c>
    </row>
    <row r="102" spans="1:31">
      <c r="A102" s="149" t="s">
        <v>275</v>
      </c>
      <c r="B102" s="149" t="s">
        <v>276</v>
      </c>
      <c r="C102" s="149" t="s">
        <v>30</v>
      </c>
      <c r="D102" s="149" t="s">
        <v>280</v>
      </c>
      <c r="E102" s="149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2" t="s">
        <v>369</v>
      </c>
      <c r="P102" s="1" t="s">
        <v>218</v>
      </c>
      <c r="Q102" s="36">
        <v>1136256385.02</v>
      </c>
      <c r="R102" s="36">
        <v>1136256385.02</v>
      </c>
      <c r="S102" s="36">
        <f ca="1">IFERROR(__xludf.DUMMYFUNCTION("INDEX(IMPORTRANGE(""17pNv02DXDpQT9S3w4-QeNym2QJy2BzMBqDXp-XtzJBM"", ""'GAR'!BG3:BG139""),MATCH($D102,IMPORTRANGE(""17pNv02DXDpQT9S3w4-QeNym2QJy2BzMBqDXp-XtzJBM"", ""'GAR'!D3:D139""),0))"),571590301.38)</f>
        <v>571590301.38</v>
      </c>
      <c r="T102" s="13"/>
      <c r="U102" s="13"/>
      <c r="V102" s="13"/>
      <c r="W102" s="13"/>
      <c r="X102" s="13"/>
      <c r="Y102" s="4"/>
      <c r="Z102" s="36">
        <f ca="1">IFERROR(__xludf.DUMMYFUNCTION("INDEX(IMPORTRANGE(""17pNv02DXDpQT9S3w4-QeNym2QJy2BzMBqDXp-XtzJBM"", ""'GAR'!BH3:BH139""),MATCH($D102,IMPORTRANGE(""17pNv02DXDpQT9S3w4-QeNym2QJy2BzMBqDXp-XtzJBM"", ""'GAR'!D3:D139""),0))"),1136256385.02)</f>
        <v>1136256385.02</v>
      </c>
      <c r="AA102" s="4" t="str">
        <f ca="1">IFERROR(__xludf.DUMMYFUNCTION("INDEX(IMPORTRANGE(""17pNv02DXDpQT9S3w4-QeNym2QJy2BzMBqDXp-XtzJBM"", ""'GAR'!BI3:BI139""),MATCH($D102,IMPORTRANGE(""17pNv02DXDpQT9S3w4-QeNym2QJy2BzMBqDXp-XtzJBM"", ""'GAR'!D3:D139""),0))"),"")</f>
        <v/>
      </c>
      <c r="AB102" s="36">
        <f ca="1">IFERROR(__xludf.DUMMYFUNCTION("INDEX(IMPORTRANGE(""17pNv02DXDpQT9S3w4-QeNym2QJy2BzMBqDXp-XtzJBM"", ""'GAR'!BJ3:BJ139""),MATCH($D102,IMPORTRANGE(""17pNv02DXDpQT9S3w4-QeNym2QJy2BzMBqDXp-XtzJBM"", ""'GAR'!D3:D139""),0))"),1333417569.36)</f>
        <v>1333417569.3599999</v>
      </c>
      <c r="AC102" s="4" t="str">
        <f ca="1">IFERROR(__xludf.DUMMYFUNCTION("INDEX(IMPORTRANGE(""17pNv02DXDpQT9S3w4-QeNym2QJy2BzMBqDXp-XtzJBM"", ""'GAR'!BK3:BK139""),MATCH($D102,IMPORTRANGE(""17pNv02DXDpQT9S3w4-QeNym2QJy2BzMBqDXp-XtzJBM"", ""'GAR'!D3:D139""),0))"),"")</f>
        <v/>
      </c>
      <c r="AD102" s="36">
        <f ca="1">IFERROR(__xludf.DUMMYFUNCTION("INDEX(IMPORTRANGE(""17pNv02DXDpQT9S3w4-QeNym2QJy2BzMBqDXp-XtzJBM"", ""'GAR'!BL3:BL139""),MATCH($D102,IMPORTRANGE(""17pNv02DXDpQT9S3w4-QeNym2QJy2BzMBqDXp-XtzJBM"", ""'GAR'!D3:D139""),0))"),1715701229.07)</f>
        <v>1715701229.0699999</v>
      </c>
      <c r="AE102" s="2">
        <f ca="1">IFERROR(__xludf.DUMMYFUNCTION("INDEX(IMPORTRANGE(""17pNv02DXDpQT9S3w4-QeNym2QJy2BzMBqDXp-XtzJBM"", ""'GAR'!BM3:BM139""),MATCH($D102,IMPORTRANGE(""17pNv02DXDpQT9S3w4-QeNym2QJy2BzMBqDXp-XtzJBM"", ""'GAR'!D3:D139""),0))"),956321999.42)</f>
        <v>956321999.41999996</v>
      </c>
    </row>
    <row r="103" spans="1:31">
      <c r="A103" s="149" t="s">
        <v>275</v>
      </c>
      <c r="B103" s="149" t="s">
        <v>276</v>
      </c>
      <c r="C103" s="149" t="s">
        <v>36</v>
      </c>
      <c r="D103" s="149" t="s">
        <v>282</v>
      </c>
      <c r="E103" s="149" t="s">
        <v>278</v>
      </c>
      <c r="F103" s="9" t="s">
        <v>283</v>
      </c>
      <c r="G103" s="9" t="s">
        <v>213</v>
      </c>
      <c r="H103" s="2" t="s">
        <v>214</v>
      </c>
      <c r="I103" s="2" t="s">
        <v>368</v>
      </c>
      <c r="J103" s="9" t="s">
        <v>215</v>
      </c>
      <c r="K103" s="4"/>
      <c r="L103" s="9" t="s">
        <v>216</v>
      </c>
      <c r="M103" s="4"/>
      <c r="N103" s="9" t="s">
        <v>217</v>
      </c>
      <c r="O103" s="2" t="s">
        <v>369</v>
      </c>
      <c r="P103" s="2" t="s">
        <v>218</v>
      </c>
      <c r="Q103" s="15">
        <f t="shared" ref="Q103:R103" si="22">Q101/Q102</f>
        <v>0.45038096868515498</v>
      </c>
      <c r="R103" s="15">
        <f t="shared" si="22"/>
        <v>0.45038096868515498</v>
      </c>
      <c r="S103" s="15">
        <f ca="1">IFERROR(__xludf.DUMMYFUNCTION("INDEX(IMPORTRANGE(""17pNv02DXDpQT9S3w4-QeNym2QJy2BzMBqDXp-XtzJBM"", ""'GAR'!BG3:BG139""),MATCH($D103,IMPORTRANGE(""17pNv02DXDpQT9S3w4-QeNym2QJy2BzMBqDXp-XtzJBM"", ""'GAR'!D3:D139""),0))"),0.453788434607396)</f>
        <v>0.45378843460739599</v>
      </c>
      <c r="T103" s="2"/>
      <c r="U103" s="26">
        <v>0.46300000000000002</v>
      </c>
      <c r="V103" s="2"/>
      <c r="W103" s="15">
        <v>0.47699999999999998</v>
      </c>
      <c r="X103" s="15">
        <f>(Y103-W103)/6*5+W103</f>
        <v>0.48783333333333334</v>
      </c>
      <c r="Y103" s="15">
        <v>0.49</v>
      </c>
      <c r="Z103" s="15">
        <f ca="1">IFERROR(__xludf.DUMMYFUNCTION("INDEX(IMPORTRANGE(""17pNv02DXDpQT9S3w4-QeNym2QJy2BzMBqDXp-XtzJBM"", ""'GAR'!BH3:BH139""),MATCH($D103,IMPORTRANGE(""17pNv02DXDpQT9S3w4-QeNym2QJy2BzMBqDXp-XtzJBM"", ""'GAR'!D3:D139""),0))"),0.450380968685155)</f>
        <v>0.45038096868515498</v>
      </c>
      <c r="AA103" s="38" t="str">
        <f ca="1">IFERROR(__xludf.DUMMYFUNCTION("INDEX(IMPORTRANGE(""17pNv02DXDpQT9S3w4-QeNym2QJy2BzMBqDXp-XtzJBM"", ""'GAR'!BI3:BI139""),MATCH($D103,IMPORTRANGE(""17pNv02DXDpQT9S3w4-QeNym2QJy2BzMBqDXp-XtzJBM"", ""'GAR'!D3:D139""),0))"),"")</f>
        <v/>
      </c>
      <c r="AB103" s="15">
        <f ca="1">IFERROR(__xludf.DUMMYFUNCTION("INDEX(IMPORTRANGE(""17pNv02DXDpQT9S3w4-QeNym2QJy2BzMBqDXp-XtzJBM"", ""'GAR'!BJ3:BJ139""),MATCH($D103,IMPORTRANGE(""17pNv02DXDpQT9S3w4-QeNym2QJy2BzMBqDXp-XtzJBM"", ""'GAR'!D3:D139""),0))"),0.387654041102892)</f>
        <v>0.38765404110289198</v>
      </c>
      <c r="AC103" s="38" t="str">
        <f ca="1">IFERROR(__xludf.DUMMYFUNCTION("INDEX(IMPORTRANGE(""17pNv02DXDpQT9S3w4-QeNym2QJy2BzMBqDXp-XtzJBM"", ""'GAR'!BK3:BK139""),MATCH($D103,IMPORTRANGE(""17pNv02DXDpQT9S3w4-QeNym2QJy2BzMBqDXp-XtzJBM"", ""'GAR'!D3:D139""),0))"),"")</f>
        <v/>
      </c>
      <c r="AD103" s="15">
        <f ca="1">IFERROR(__xludf.DUMMYFUNCTION("INDEX(IMPORTRANGE(""17pNv02DXDpQT9S3w4-QeNym2QJy2BzMBqDXp-XtzJBM"", ""'GAR'!BL3:BL139""),MATCH($D103,IMPORTRANGE(""17pNv02DXDpQT9S3w4-QeNym2QJy2BzMBqDXp-XtzJBM"", ""'GAR'!D3:D139""),0))"),0.391010193140468)</f>
        <v>0.39101019314046798</v>
      </c>
      <c r="AE103" s="26">
        <f ca="1">IFERROR(__xludf.DUMMYFUNCTION("INDEX(IMPORTRANGE(""17pNv02DXDpQT9S3w4-QeNym2QJy2BzMBqDXp-XtzJBM"", ""'GAR'!BM3:BM139""),MATCH($D103,IMPORTRANGE(""17pNv02DXDpQT9S3w4-QeNym2QJy2BzMBqDXp-XtzJBM"", ""'GAR'!D3:D139""),0))"),0.366825370442966)</f>
        <v>0.36682537044296598</v>
      </c>
    </row>
    <row r="104" spans="1:31">
      <c r="A104" s="149" t="s">
        <v>275</v>
      </c>
      <c r="B104" s="149" t="s">
        <v>284</v>
      </c>
      <c r="C104" s="149" t="s">
        <v>30</v>
      </c>
      <c r="D104" s="149" t="s">
        <v>285</v>
      </c>
      <c r="E104" s="149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2" t="s">
        <v>369</v>
      </c>
      <c r="P104" s="1" t="s">
        <v>218</v>
      </c>
      <c r="Q104" s="36">
        <v>909273724.54999995</v>
      </c>
      <c r="R104" s="36">
        <v>909273724.54999995</v>
      </c>
      <c r="S104" s="36">
        <f ca="1">IFERROR(__xludf.DUMMYFUNCTION("INDEX(IMPORTRANGE(""17pNv02DXDpQT9S3w4-QeNym2QJy2BzMBqDXp-XtzJBM"", ""'GAR'!BG3:BG139""),MATCH($D104,IMPORTRANGE(""17pNv02DXDpQT9S3w4-QeNym2QJy2BzMBqDXp-XtzJBM"", ""'GAR'!D3:D139""),0))"),431654854.99)</f>
        <v>431654854.99000001</v>
      </c>
      <c r="T104" s="13"/>
      <c r="U104" s="13"/>
      <c r="V104" s="13"/>
      <c r="W104" s="13"/>
      <c r="X104" s="13"/>
      <c r="Y104" s="4"/>
      <c r="Z104" s="36">
        <f ca="1">IFERROR(__xludf.DUMMYFUNCTION("INDEX(IMPORTRANGE(""17pNv02DXDpQT9S3w4-QeNym2QJy2BzMBqDXp-XtzJBM"", ""'GAR'!BH3:BH139""),MATCH($D104,IMPORTRANGE(""17pNv02DXDpQT9S3w4-QeNym2QJy2BzMBqDXp-XtzJBM"", ""'GAR'!D3:D139""),0))"),909273724.55)</f>
        <v>909273724.54999995</v>
      </c>
      <c r="AA104" s="4" t="str">
        <f ca="1">IFERROR(__xludf.DUMMYFUNCTION("INDEX(IMPORTRANGE(""17pNv02DXDpQT9S3w4-QeNym2QJy2BzMBqDXp-XtzJBM"", ""'GAR'!BI3:BI139""),MATCH($D104,IMPORTRANGE(""17pNv02DXDpQT9S3w4-QeNym2QJy2BzMBqDXp-XtzJBM"", ""'GAR'!D3:D139""),0))"),"")</f>
        <v/>
      </c>
      <c r="AB104" s="36">
        <f ca="1">IFERROR(__xludf.DUMMYFUNCTION("INDEX(IMPORTRANGE(""17pNv02DXDpQT9S3w4-QeNym2QJy2BzMBqDXp-XtzJBM"", ""'GAR'!BJ3:BJ139""),MATCH($D104,IMPORTRANGE(""17pNv02DXDpQT9S3w4-QeNym2QJy2BzMBqDXp-XtzJBM"", ""'GAR'!D3:D139""),0))"),1114024732.85)</f>
        <v>1114024732.8499999</v>
      </c>
      <c r="AC104" s="4" t="str">
        <f ca="1">IFERROR(__xludf.DUMMYFUNCTION("INDEX(IMPORTRANGE(""17pNv02DXDpQT9S3w4-QeNym2QJy2BzMBqDXp-XtzJBM"", ""'GAR'!BK3:BK139""),MATCH($D104,IMPORTRANGE(""17pNv02DXDpQT9S3w4-QeNym2QJy2BzMBqDXp-XtzJBM"", ""'GAR'!D3:D139""),0))"),"")</f>
        <v/>
      </c>
      <c r="AD104" s="36">
        <f ca="1">IFERROR(__xludf.DUMMYFUNCTION("INDEX(IMPORTRANGE(""17pNv02DXDpQT9S3w4-QeNym2QJy2BzMBqDXp-XtzJBM"", ""'GAR'!BL3:BL139""),MATCH($D104,IMPORTRANGE(""17pNv02DXDpQT9S3w4-QeNym2QJy2BzMBqDXp-XtzJBM"", ""'GAR'!D3:D139""),0))"),1340951788.77)</f>
        <v>1340951788.77</v>
      </c>
      <c r="AE104" s="2">
        <f ca="1">IFERROR(__xludf.DUMMYFUNCTION("INDEX(IMPORTRANGE(""17pNv02DXDpQT9S3w4-QeNym2QJy2BzMBqDXp-XtzJBM"", ""'GAR'!BM3:BM139""),MATCH($D104,IMPORTRANGE(""17pNv02DXDpQT9S3w4-QeNym2QJy2BzMBqDXp-XtzJBM"", ""'GAR'!D3:D139""),0))"),892224383.78)</f>
        <v>892224383.77999997</v>
      </c>
    </row>
    <row r="105" spans="1:31">
      <c r="A105" s="149" t="s">
        <v>275</v>
      </c>
      <c r="B105" s="149" t="s">
        <v>276</v>
      </c>
      <c r="C105" s="149" t="s">
        <v>36</v>
      </c>
      <c r="D105" s="149" t="s">
        <v>287</v>
      </c>
      <c r="E105" s="149" t="s">
        <v>278</v>
      </c>
      <c r="F105" s="9" t="s">
        <v>288</v>
      </c>
      <c r="G105" s="9" t="s">
        <v>213</v>
      </c>
      <c r="H105" s="2" t="s">
        <v>214</v>
      </c>
      <c r="I105" s="2" t="s">
        <v>368</v>
      </c>
      <c r="J105" s="9" t="s">
        <v>215</v>
      </c>
      <c r="K105" s="4"/>
      <c r="L105" s="9" t="s">
        <v>216</v>
      </c>
      <c r="M105" s="4"/>
      <c r="N105" s="9" t="s">
        <v>217</v>
      </c>
      <c r="O105" s="2" t="s">
        <v>369</v>
      </c>
      <c r="P105" s="2" t="s">
        <v>218</v>
      </c>
      <c r="Q105" s="15">
        <f t="shared" ref="Q105:R105" si="23">Q101/Q104</f>
        <v>0.56280989711130658</v>
      </c>
      <c r="R105" s="15">
        <f t="shared" si="23"/>
        <v>0.56280989711130658</v>
      </c>
      <c r="S105" s="15">
        <f ca="1">IFERROR(__xludf.DUMMYFUNCTION("INDEX(IMPORTRANGE(""17pNv02DXDpQT9S3w4-QeNym2QJy2BzMBqDXp-XtzJBM"", ""'GAR'!BG3:BG139""),MATCH($D105,IMPORTRANGE(""17pNv02DXDpQT9S3w4-QeNym2QJy2BzMBqDXp-XtzJBM"", ""'GAR'!D3:D139""),0))"),0.600899225623233)</f>
        <v>0.60089922562323295</v>
      </c>
      <c r="T105" s="2"/>
      <c r="U105" s="26">
        <v>0.57999999999999996</v>
      </c>
      <c r="V105" s="2"/>
      <c r="W105" s="15">
        <v>0.59599999999999997</v>
      </c>
      <c r="X105" s="15">
        <f>(Y105-W105)/6*5+W105</f>
        <v>0.61016666666666663</v>
      </c>
      <c r="Y105" s="15">
        <v>0.61299999999999999</v>
      </c>
      <c r="Z105" s="15">
        <f ca="1">IFERROR(__xludf.DUMMYFUNCTION("INDEX(IMPORTRANGE(""17pNv02DXDpQT9S3w4-QeNym2QJy2BzMBqDXp-XtzJBM"", ""'GAR'!BH3:BH139""),MATCH($D105,IMPORTRANGE(""17pNv02DXDpQT9S3w4-QeNym2QJy2BzMBqDXp-XtzJBM"", ""'GAR'!D3:D139""),0))"),0.562809897111306)</f>
        <v>0.56280989711130602</v>
      </c>
      <c r="AA105" s="38" t="str">
        <f ca="1">IFERROR(__xludf.DUMMYFUNCTION("INDEX(IMPORTRANGE(""17pNv02DXDpQT9S3w4-QeNym2QJy2BzMBqDXp-XtzJBM"", ""'GAR'!BI3:BI139""),MATCH($D105,IMPORTRANGE(""17pNv02DXDpQT9S3w4-QeNym2QJy2BzMBqDXp-XtzJBM"", ""'GAR'!D3:D139""),0))"),"")</f>
        <v/>
      </c>
      <c r="AB105" s="15">
        <f ca="1">IFERROR(__xludf.DUMMYFUNCTION("INDEX(IMPORTRANGE(""17pNv02DXDpQT9S3w4-QeNym2QJy2BzMBqDXp-XtzJBM"", ""'GAR'!BJ3:BJ139""),MATCH($D105,IMPORTRANGE(""17pNv02DXDpQT9S3w4-QeNym2QJy2BzMBqDXp-XtzJBM"", ""'GAR'!D3:D139""),0))"),0.463997516390508)</f>
        <v>0.46399751639050801</v>
      </c>
      <c r="AC105" s="38" t="str">
        <f ca="1">IFERROR(__xludf.DUMMYFUNCTION("INDEX(IMPORTRANGE(""17pNv02DXDpQT9S3w4-QeNym2QJy2BzMBqDXp-XtzJBM"", ""'GAR'!BK3:BK139""),MATCH($D105,IMPORTRANGE(""17pNv02DXDpQT9S3w4-QeNym2QJy2BzMBqDXp-XtzJBM"", ""'GAR'!D3:D139""),0))"),"")</f>
        <v/>
      </c>
      <c r="AD105" s="15">
        <f ca="1">IFERROR(__xludf.DUMMYFUNCTION("INDEX(IMPORTRANGE(""17pNv02DXDpQT9S3w4-QeNym2QJy2BzMBqDXp-XtzJBM"", ""'GAR'!BL3:BL139""),MATCH($D105,IMPORTRANGE(""17pNv02DXDpQT9S3w4-QeNym2QJy2BzMBqDXp-XtzJBM"", ""'GAR'!D3:D139""),0))"),0.500283958430265)</f>
        <v>0.50028395843026496</v>
      </c>
      <c r="AE105" s="26">
        <f ca="1">IFERROR(__xludf.DUMMYFUNCTION("INDEX(IMPORTRANGE(""17pNv02DXDpQT9S3w4-QeNym2QJy2BzMBqDXp-XtzJBM"", ""'GAR'!BM3:BM139""),MATCH($D105,IMPORTRANGE(""17pNv02DXDpQT9S3w4-QeNym2QJy2BzMBqDXp-XtzJBM"", ""'GAR'!D3:D139""),0))"),0.393178193823605)</f>
        <v>0.39317819382360503</v>
      </c>
    </row>
    <row r="106" spans="1:31">
      <c r="A106" s="149" t="s">
        <v>275</v>
      </c>
      <c r="B106" s="149" t="s">
        <v>276</v>
      </c>
      <c r="C106" s="149" t="s">
        <v>30</v>
      </c>
      <c r="D106" s="149" t="s">
        <v>289</v>
      </c>
      <c r="E106" s="149" t="s">
        <v>38</v>
      </c>
      <c r="F106" s="9" t="s">
        <v>112</v>
      </c>
      <c r="G106" s="7" t="s">
        <v>254</v>
      </c>
      <c r="H106" s="7" t="s">
        <v>254</v>
      </c>
      <c r="I106" s="2" t="s">
        <v>370</v>
      </c>
      <c r="J106" s="7" t="s">
        <v>254</v>
      </c>
      <c r="K106" s="13"/>
      <c r="L106" s="7" t="s">
        <v>255</v>
      </c>
      <c r="M106" s="13"/>
      <c r="N106" s="7" t="s">
        <v>256</v>
      </c>
      <c r="O106" s="2" t="s">
        <v>361</v>
      </c>
      <c r="P106" s="1" t="s">
        <v>218</v>
      </c>
      <c r="Q106" s="12">
        <v>195965</v>
      </c>
      <c r="R106" s="12">
        <v>195965</v>
      </c>
      <c r="S106" s="12">
        <f ca="1">IFERROR(__xludf.DUMMYFUNCTION("INDEX(IMPORTRANGE(""17pNv02DXDpQT9S3w4-QeNym2QJy2BzMBqDXp-XtzJBM"", ""'GAR'!BG3:BG139""),MATCH($D106,IMPORTRANGE(""17pNv02DXDpQT9S3w4-QeNym2QJy2BzMBqDXp-XtzJBM"", ""'GAR'!D3:D139""),0))"),195965)</f>
        <v>195965</v>
      </c>
      <c r="T106" s="13"/>
      <c r="U106" s="13"/>
      <c r="V106" s="13"/>
      <c r="W106" s="13"/>
      <c r="X106" s="13"/>
      <c r="Y106" s="4"/>
      <c r="Z106" s="12">
        <f ca="1">IFERROR(__xludf.DUMMYFUNCTION("INDEX(IMPORTRANGE(""17pNv02DXDpQT9S3w4-QeNym2QJy2BzMBqDXp-XtzJBM"", ""'GAR'!BH3:BH139""),MATCH($D106,IMPORTRANGE(""17pNv02DXDpQT9S3w4-QeNym2QJy2BzMBqDXp-XtzJBM"", ""'GAR'!D3:D139""),0))"),195965)</f>
        <v>195965</v>
      </c>
      <c r="AA106" s="4" t="str">
        <f ca="1">IFERROR(__xludf.DUMMYFUNCTION("INDEX(IMPORTRANGE(""17pNv02DXDpQT9S3w4-QeNym2QJy2BzMBqDXp-XtzJBM"", ""'GAR'!BI3:BI139""),MATCH($D106,IMPORTRANGE(""17pNv02DXDpQT9S3w4-QeNym2QJy2BzMBqDXp-XtzJBM"", ""'GAR'!D3:D139""),0))"),"")</f>
        <v/>
      </c>
      <c r="AB106" s="12">
        <f ca="1">IFERROR(__xludf.DUMMYFUNCTION("INDEX(IMPORTRANGE(""17pNv02DXDpQT9S3w4-QeNym2QJy2BzMBqDXp-XtzJBM"", ""'GAR'!BJ3:BJ139""),MATCH($D106,IMPORTRANGE(""17pNv02DXDpQT9S3w4-QeNym2QJy2BzMBqDXp-XtzJBM"", ""'GAR'!D3:D139""),0))"),202489)</f>
        <v>202489</v>
      </c>
      <c r="AC106" s="4" t="str">
        <f ca="1">IFERROR(__xludf.DUMMYFUNCTION("INDEX(IMPORTRANGE(""17pNv02DXDpQT9S3w4-QeNym2QJy2BzMBqDXp-XtzJBM"", ""'GAR'!BK3:BK139""),MATCH($D106,IMPORTRANGE(""17pNv02DXDpQT9S3w4-QeNym2QJy2BzMBqDXp-XtzJBM"", ""'GAR'!D3:D139""),0))"),"")</f>
        <v/>
      </c>
      <c r="AD106" s="12">
        <f ca="1">IFERROR(__xludf.DUMMYFUNCTION("INDEX(IMPORTRANGE(""17pNv02DXDpQT9S3w4-QeNym2QJy2BzMBqDXp-XtzJBM"", ""'GAR'!BL3:BL139""),MATCH($D106,IMPORTRANGE(""17pNv02DXDpQT9S3w4-QeNym2QJy2BzMBqDXp-XtzJBM"", ""'GAR'!D3:D139""),0))"),207597)</f>
        <v>207597</v>
      </c>
      <c r="AE106" s="2">
        <f ca="1">IFERROR(__xludf.DUMMYFUNCTION("INDEX(IMPORTRANGE(""17pNv02DXDpQT9S3w4-QeNym2QJy2BzMBqDXp-XtzJBM"", ""'GAR'!BM3:BM139""),MATCH($D106,IMPORTRANGE(""17pNv02DXDpQT9S3w4-QeNym2QJy2BzMBqDXp-XtzJBM"", ""'GAR'!D3:D139""),0))"),212878)</f>
        <v>212878</v>
      </c>
    </row>
    <row r="107" spans="1:31">
      <c r="A107" s="149" t="s">
        <v>275</v>
      </c>
      <c r="B107" s="149" t="s">
        <v>276</v>
      </c>
      <c r="C107" s="149" t="s">
        <v>30</v>
      </c>
      <c r="D107" s="149" t="s">
        <v>290</v>
      </c>
      <c r="E107" s="149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2" t="s">
        <v>366</v>
      </c>
      <c r="P107" s="1" t="s">
        <v>218</v>
      </c>
      <c r="Q107" s="12">
        <v>69862</v>
      </c>
      <c r="R107" s="12">
        <v>69862</v>
      </c>
      <c r="S107" s="12">
        <f ca="1">IFERROR(__xludf.DUMMYFUNCTION("INDEX(IMPORTRANGE(""17pNv02DXDpQT9S3w4-QeNym2QJy2BzMBqDXp-XtzJBM"", ""'GAR'!BG3:BG139""),MATCH($D107,IMPORTRANGE(""17pNv02DXDpQT9S3w4-QeNym2QJy2BzMBqDXp-XtzJBM"", ""'GAR'!D3:D139""),0))"),55100)</f>
        <v>55100</v>
      </c>
      <c r="T107" s="1"/>
      <c r="U107" s="1"/>
      <c r="V107" s="1"/>
      <c r="W107" s="1"/>
      <c r="X107" s="1"/>
      <c r="Y107" s="2"/>
      <c r="Z107" s="12">
        <f ca="1">IFERROR(__xludf.DUMMYFUNCTION("INDEX(IMPORTRANGE(""17pNv02DXDpQT9S3w4-QeNym2QJy2BzMBqDXp-XtzJBM"", ""'GAR'!BH3:BH139""),MATCH($D107,IMPORTRANGE(""17pNv02DXDpQT9S3w4-QeNym2QJy2BzMBqDXp-XtzJBM"", ""'GAR'!D3:D139""),0))"),69862)</f>
        <v>69862</v>
      </c>
      <c r="AA107" s="4" t="str">
        <f ca="1">IFERROR(__xludf.DUMMYFUNCTION("INDEX(IMPORTRANGE(""17pNv02DXDpQT9S3w4-QeNym2QJy2BzMBqDXp-XtzJBM"", ""'GAR'!BI3:BI139""),MATCH($D107,IMPORTRANGE(""17pNv02DXDpQT9S3w4-QeNym2QJy2BzMBqDXp-XtzJBM"", ""'GAR'!D3:D139""),0))"),"")</f>
        <v/>
      </c>
      <c r="AB107" s="12">
        <f ca="1">IFERROR(__xludf.DUMMYFUNCTION("INDEX(IMPORTRANGE(""17pNv02DXDpQT9S3w4-QeNym2QJy2BzMBqDXp-XtzJBM"", ""'GAR'!BJ3:BJ139""),MATCH($D107,IMPORTRANGE(""17pNv02DXDpQT9S3w4-QeNym2QJy2BzMBqDXp-XtzJBM"", ""'GAR'!D3:D139""),0))"),63078)</f>
        <v>63078</v>
      </c>
      <c r="AC107" s="4" t="str">
        <f ca="1">IFERROR(__xludf.DUMMYFUNCTION("INDEX(IMPORTRANGE(""17pNv02DXDpQT9S3w4-QeNym2QJy2BzMBqDXp-XtzJBM"", ""'GAR'!BK3:BK139""),MATCH($D107,IMPORTRANGE(""17pNv02DXDpQT9S3w4-QeNym2QJy2BzMBqDXp-XtzJBM"", ""'GAR'!D3:D139""),0))"),"")</f>
        <v/>
      </c>
      <c r="AD107" s="12">
        <f ca="1">IFERROR(__xludf.DUMMYFUNCTION("INDEX(IMPORTRANGE(""17pNv02DXDpQT9S3w4-QeNym2QJy2BzMBqDXp-XtzJBM"", ""'GAR'!BL3:BL139""),MATCH($D107,IMPORTRANGE(""17pNv02DXDpQT9S3w4-QeNym2QJy2BzMBqDXp-XtzJBM"", ""'GAR'!D3:D139""),0))"),64501)</f>
        <v>64501</v>
      </c>
      <c r="AE107" s="2">
        <f ca="1">IFERROR(__xludf.DUMMYFUNCTION("INDEX(IMPORTRANGE(""17pNv02DXDpQT9S3w4-QeNym2QJy2BzMBqDXp-XtzJBM"", ""'GAR'!BM3:BM139""),MATCH($D107,IMPORTRANGE(""17pNv02DXDpQT9S3w4-QeNym2QJy2BzMBqDXp-XtzJBM"", ""'GAR'!D3:D139""),0))"),60775)</f>
        <v>60775</v>
      </c>
    </row>
    <row r="108" spans="1:31">
      <c r="A108" s="149" t="s">
        <v>275</v>
      </c>
      <c r="B108" s="149" t="s">
        <v>276</v>
      </c>
      <c r="C108" s="149" t="s">
        <v>36</v>
      </c>
      <c r="D108" s="149" t="s">
        <v>292</v>
      </c>
      <c r="E108" s="149" t="s">
        <v>38</v>
      </c>
      <c r="F108" s="9" t="s">
        <v>293</v>
      </c>
      <c r="G108" s="9" t="s">
        <v>213</v>
      </c>
      <c r="H108" s="2" t="s">
        <v>214</v>
      </c>
      <c r="I108" s="2" t="s">
        <v>365</v>
      </c>
      <c r="J108" s="9" t="s">
        <v>215</v>
      </c>
      <c r="K108" s="4"/>
      <c r="L108" s="9" t="s">
        <v>216</v>
      </c>
      <c r="M108" s="4"/>
      <c r="N108" s="9" t="s">
        <v>217</v>
      </c>
      <c r="O108" s="2" t="s">
        <v>366</v>
      </c>
      <c r="P108" s="2" t="s">
        <v>218</v>
      </c>
      <c r="Q108" s="15">
        <f t="shared" ref="Q108:R108" si="24">Q107/Q106</f>
        <v>0.35650243665960757</v>
      </c>
      <c r="R108" s="15">
        <f t="shared" si="24"/>
        <v>0.35650243665960757</v>
      </c>
      <c r="S108" s="15">
        <f ca="1">IFERROR(__xludf.DUMMYFUNCTION("INDEX(IMPORTRANGE(""17pNv02DXDpQT9S3w4-QeNym2QJy2BzMBqDXp-XtzJBM"", ""'GAR'!BG3:BG139""),MATCH($D108,IMPORTRANGE(""17pNv02DXDpQT9S3w4-QeNym2QJy2BzMBqDXp-XtzJBM"", ""'GAR'!D3:D139""),0))"),0.281172658382874)</f>
        <v>0.28117265838287397</v>
      </c>
      <c r="T108" s="2"/>
      <c r="U108" s="26">
        <v>0.36399999999999999</v>
      </c>
      <c r="V108" s="2"/>
      <c r="W108" s="15">
        <v>0.37</v>
      </c>
      <c r="X108" s="15">
        <f>(Y108-W108)/6*5+W108</f>
        <v>0.37583333333333335</v>
      </c>
      <c r="Y108" s="15">
        <v>0.377</v>
      </c>
      <c r="Z108" s="15">
        <f ca="1">IFERROR(__xludf.DUMMYFUNCTION("INDEX(IMPORTRANGE(""17pNv02DXDpQT9S3w4-QeNym2QJy2BzMBqDXp-XtzJBM"", ""'GAR'!BH3:BH139""),MATCH($D108,IMPORTRANGE(""17pNv02DXDpQT9S3w4-QeNym2QJy2BzMBqDXp-XtzJBM"", ""'GAR'!D3:D139""),0))"),0.356502436659607)</f>
        <v>0.35650243665960701</v>
      </c>
      <c r="AA108" s="38" t="str">
        <f ca="1">IFERROR(__xludf.DUMMYFUNCTION("INDEX(IMPORTRANGE(""17pNv02DXDpQT9S3w4-QeNym2QJy2BzMBqDXp-XtzJBM"", ""'GAR'!BI3:BI139""),MATCH($D108,IMPORTRANGE(""17pNv02DXDpQT9S3w4-QeNym2QJy2BzMBqDXp-XtzJBM"", ""'GAR'!D3:D139""),0))"),"")</f>
        <v/>
      </c>
      <c r="AB108" s="15">
        <f ca="1">IFERROR(__xludf.DUMMYFUNCTION("INDEX(IMPORTRANGE(""17pNv02DXDpQT9S3w4-QeNym2QJy2BzMBqDXp-XtzJBM"", ""'GAR'!BJ3:BJ139""),MATCH($D108,IMPORTRANGE(""17pNv02DXDpQT9S3w4-QeNym2QJy2BzMBqDXp-XtzJBM"", ""'GAR'!D3:D139""),0))"),0.311513218001965)</f>
        <v>0.31151321800196502</v>
      </c>
      <c r="AC108" s="38" t="str">
        <f ca="1">IFERROR(__xludf.DUMMYFUNCTION("INDEX(IMPORTRANGE(""17pNv02DXDpQT9S3w4-QeNym2QJy2BzMBqDXp-XtzJBM"", ""'GAR'!BK3:BK139""),MATCH($D108,IMPORTRANGE(""17pNv02DXDpQT9S3w4-QeNym2QJy2BzMBqDXp-XtzJBM"", ""'GAR'!D3:D139""),0))"),"")</f>
        <v/>
      </c>
      <c r="AD108" s="15">
        <f ca="1">IFERROR(__xludf.DUMMYFUNCTION("INDEX(IMPORTRANGE(""17pNv02DXDpQT9S3w4-QeNym2QJy2BzMBqDXp-XtzJBM"", ""'GAR'!BL3:BL139""),MATCH($D108,IMPORTRANGE(""17pNv02DXDpQT9S3w4-QeNym2QJy2BzMBqDXp-XtzJBM"", ""'GAR'!D3:D139""),0))"),0.310702948501182)</f>
        <v>0.31070294850118202</v>
      </c>
      <c r="AE108" s="26">
        <f ca="1">IFERROR(__xludf.DUMMYFUNCTION("INDEX(IMPORTRANGE(""17pNv02DXDpQT9S3w4-QeNym2QJy2BzMBqDXp-XtzJBM"", ""'GAR'!BM3:BM139""),MATCH($D108,IMPORTRANGE(""17pNv02DXDpQT9S3w4-QeNym2QJy2BzMBqDXp-XtzJBM"", ""'GAR'!D3:D139""),0))"),0.285492159828634)</f>
        <v>0.28549215982863402</v>
      </c>
    </row>
    <row r="109" spans="1:31">
      <c r="A109" s="149" t="s">
        <v>275</v>
      </c>
      <c r="B109" s="149" t="s">
        <v>276</v>
      </c>
      <c r="C109" s="149" t="s">
        <v>30</v>
      </c>
      <c r="D109" s="149" t="s">
        <v>294</v>
      </c>
      <c r="E109" s="149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2" t="s">
        <v>366</v>
      </c>
      <c r="P109" s="1" t="s">
        <v>218</v>
      </c>
      <c r="Q109" s="36"/>
      <c r="R109" s="36"/>
      <c r="S109" s="36">
        <f ca="1">IFERROR(__xludf.DUMMYFUNCTION("INDEX(IMPORTRANGE(""17pNv02DXDpQT9S3w4-QeNym2QJy2BzMBqDXp-XtzJBM"", ""'GAR'!BG3:BG139""),MATCH($D109,IMPORTRANGE(""17pNv02DXDpQT9S3w4-QeNym2QJy2BzMBqDXp-XtzJBM"", ""'GAR'!D3:D139""),0))"),82558021.9)</f>
        <v>82558021.900000006</v>
      </c>
      <c r="T109" s="1"/>
      <c r="U109" s="1"/>
      <c r="V109" s="1"/>
      <c r="W109" s="1"/>
      <c r="X109" s="1"/>
      <c r="Y109" s="2"/>
      <c r="Z109" s="36">
        <f ca="1">IFERROR(__xludf.DUMMYFUNCTION("INDEX(IMPORTRANGE(""17pNv02DXDpQT9S3w4-QeNym2QJy2BzMBqDXp-XtzJBM"", ""'GAR'!BH3:BH139""),MATCH($D109,IMPORTRANGE(""17pNv02DXDpQT9S3w4-QeNym2QJy2BzMBqDXp-XtzJBM"", ""'GAR'!D3:D139""),0))"),103093630.21)</f>
        <v>103093630.20999999</v>
      </c>
      <c r="AA109" s="4" t="str">
        <f ca="1">IFERROR(__xludf.DUMMYFUNCTION("INDEX(IMPORTRANGE(""17pNv02DXDpQT9S3w4-QeNym2QJy2BzMBqDXp-XtzJBM"", ""'GAR'!BI3:BI139""),MATCH($D109,IMPORTRANGE(""17pNv02DXDpQT9S3w4-QeNym2QJy2BzMBqDXp-XtzJBM"", ""'GAR'!D3:D139""),0))"),"")</f>
        <v/>
      </c>
      <c r="AB109" s="36">
        <f ca="1">IFERROR(__xludf.DUMMYFUNCTION("INDEX(IMPORTRANGE(""17pNv02DXDpQT9S3w4-QeNym2QJy2BzMBqDXp-XtzJBM"", ""'GAR'!BJ3:BJ139""),MATCH($D109,IMPORTRANGE(""17pNv02DXDpQT9S3w4-QeNym2QJy2BzMBqDXp-XtzJBM"", ""'GAR'!D3:D139""),0))"),98525893.12)</f>
        <v>98525893.120000005</v>
      </c>
      <c r="AC109" s="4" t="str">
        <f ca="1">IFERROR(__xludf.DUMMYFUNCTION("INDEX(IMPORTRANGE(""17pNv02DXDpQT9S3w4-QeNym2QJy2BzMBqDXp-XtzJBM"", ""'GAR'!BK3:BK139""),MATCH($D109,IMPORTRANGE(""17pNv02DXDpQT9S3w4-QeNym2QJy2BzMBqDXp-XtzJBM"", ""'GAR'!D3:D139""),0))"),"")</f>
        <v/>
      </c>
      <c r="AD109" s="36">
        <f ca="1">IFERROR(__xludf.DUMMYFUNCTION("INDEX(IMPORTRANGE(""17pNv02DXDpQT9S3w4-QeNym2QJy2BzMBqDXp-XtzJBM"", ""'GAR'!BL3:BL139""),MATCH($D109,IMPORTRANGE(""17pNv02DXDpQT9S3w4-QeNym2QJy2BzMBqDXp-XtzJBM"", ""'GAR'!D3:D139""),0))"),133196757.369999)</f>
        <v>133196757.36999901</v>
      </c>
      <c r="AE109" s="2">
        <f ca="1">IFERROR(__xludf.DUMMYFUNCTION("INDEX(IMPORTRANGE(""17pNv02DXDpQT9S3w4-QeNym2QJy2BzMBqDXp-XtzJBM"", ""'GAR'!BM3:BM139""),MATCH($D109,IMPORTRANGE(""17pNv02DXDpQT9S3w4-QeNym2QJy2BzMBqDXp-XtzJBM"", ""'GAR'!D3:D139""),0))"),107116137.97)</f>
        <v>107116137.97</v>
      </c>
    </row>
    <row r="110" spans="1:31">
      <c r="A110" s="149" t="s">
        <v>275</v>
      </c>
      <c r="B110" s="149" t="s">
        <v>276</v>
      </c>
      <c r="C110" s="149" t="s">
        <v>36</v>
      </c>
      <c r="D110" s="149" t="s">
        <v>296</v>
      </c>
      <c r="E110" s="149" t="s">
        <v>38</v>
      </c>
      <c r="F110" s="9" t="s">
        <v>297</v>
      </c>
      <c r="G110" s="9" t="s">
        <v>213</v>
      </c>
      <c r="H110" s="2" t="s">
        <v>214</v>
      </c>
      <c r="I110" s="2" t="s">
        <v>365</v>
      </c>
      <c r="J110" s="9" t="s">
        <v>215</v>
      </c>
      <c r="K110" s="4"/>
      <c r="L110" s="9" t="s">
        <v>216</v>
      </c>
      <c r="M110" s="4"/>
      <c r="N110" s="9" t="s">
        <v>217</v>
      </c>
      <c r="O110" s="2" t="s">
        <v>366</v>
      </c>
      <c r="P110" s="2" t="s">
        <v>218</v>
      </c>
      <c r="Q110" s="36">
        <v>103093630.20999999</v>
      </c>
      <c r="R110" s="36">
        <v>103093630.20999999</v>
      </c>
      <c r="S110" s="36" t="str">
        <f ca="1">IFERROR(__xludf.DUMMYFUNCTION("INDEX(IMPORTRANGE(""17pNv02DXDpQT9S3w4-QeNym2QJy2BzMBqDXp-XtzJBM"", ""'GAR'!BG3:BG139""),MATCH($D110,IMPORTRANGE(""17pNv02DXDpQT9S3w4-QeNym2QJy2BzMBqDXp-XtzJBM"", ""'GAR'!D3:D139""),0))"),"")</f>
        <v/>
      </c>
      <c r="T110" s="2"/>
      <c r="U110" s="36">
        <v>105186430.90000001</v>
      </c>
      <c r="V110" s="2"/>
      <c r="W110" s="36">
        <v>107279231.59999999</v>
      </c>
      <c r="X110" s="36">
        <f>(Y110-W110)/6*5+W110</f>
        <v>109023232.17500001</v>
      </c>
      <c r="Y110" s="36">
        <v>109372032.29000001</v>
      </c>
      <c r="Z110" s="36" t="str">
        <f ca="1">IFERROR(__xludf.DUMMYFUNCTION("INDEX(IMPORTRANGE(""17pNv02DXDpQT9S3w4-QeNym2QJy2BzMBqDXp-XtzJBM"", ""'GAR'!BH3:BH139""),MATCH($D110,IMPORTRANGE(""17pNv02DXDpQT9S3w4-QeNym2QJy2BzMBqDXp-XtzJBM"", ""'GAR'!D3:D139""),0))"),"")</f>
        <v/>
      </c>
      <c r="AA110" s="178" t="str">
        <f ca="1">IFERROR(__xludf.DUMMYFUNCTION("INDEX(IMPORTRANGE(""17pNv02DXDpQT9S3w4-QeNym2QJy2BzMBqDXp-XtzJBM"", ""'GAR'!BI3:BI139""),MATCH($D110,IMPORTRANGE(""17pNv02DXDpQT9S3w4-QeNym2QJy2BzMBqDXp-XtzJBM"", ""'GAR'!D3:D139""),0))"),"")</f>
        <v/>
      </c>
      <c r="AB110" s="36">
        <f ca="1">IFERROR(__xludf.DUMMYFUNCTION("INDEX(IMPORTRANGE(""17pNv02DXDpQT9S3w4-QeNym2QJy2BzMBqDXp-XtzJBM"", ""'GAR'!BJ3:BJ139""),MATCH($D110,IMPORTRANGE(""17pNv02DXDpQT9S3w4-QeNym2QJy2BzMBqDXp-XtzJBM"", ""'GAR'!D3:D139""),0))"),99582374.12)</f>
        <v>99582374.120000005</v>
      </c>
      <c r="AC110" s="178" t="str">
        <f ca="1">IFERROR(__xludf.DUMMYFUNCTION("INDEX(IMPORTRANGE(""17pNv02DXDpQT9S3w4-QeNym2QJy2BzMBqDXp-XtzJBM"", ""'GAR'!BK3:BK139""),MATCH($D110,IMPORTRANGE(""17pNv02DXDpQT9S3w4-QeNym2QJy2BzMBqDXp-XtzJBM"", ""'GAR'!D3:D139""),0))"),"")</f>
        <v/>
      </c>
      <c r="AD110" s="36">
        <f ca="1">IFERROR(__xludf.DUMMYFUNCTION("INDEX(IMPORTRANGE(""17pNv02DXDpQT9S3w4-QeNym2QJy2BzMBqDXp-XtzJBM"", ""'GAR'!BL3:BL139""),MATCH($D110,IMPORTRANGE(""17pNv02DXDpQT9S3w4-QeNym2QJy2BzMBqDXp-XtzJBM"", ""'GAR'!D3:D139""),0))"),134586057.369999)</f>
        <v>134586057.36999899</v>
      </c>
      <c r="AE110" s="36">
        <f ca="1">IFERROR(__xludf.DUMMYFUNCTION("INDEX(IMPORTRANGE(""17pNv02DXDpQT9S3w4-QeNym2QJy2BzMBqDXp-XtzJBM"", ""'GAR'!BM3:BM139""),MATCH($D110,IMPORTRANGE(""17pNv02DXDpQT9S3w4-QeNym2QJy2BzMBqDXp-XtzJBM"", ""'GAR'!D3:D139""),0))"),107116137.97)</f>
        <v>107116137.97</v>
      </c>
    </row>
    <row r="111" spans="1:31">
      <c r="A111" s="149" t="s">
        <v>275</v>
      </c>
      <c r="B111" s="149" t="s">
        <v>298</v>
      </c>
      <c r="C111" s="149" t="s">
        <v>30</v>
      </c>
      <c r="D111" s="149" t="s">
        <v>299</v>
      </c>
      <c r="E111" s="149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2" t="s">
        <v>369</v>
      </c>
      <c r="P111" s="1" t="s">
        <v>218</v>
      </c>
      <c r="Q111" s="36">
        <v>1057181202.3099999</v>
      </c>
      <c r="R111" s="36">
        <v>1057181202.3099999</v>
      </c>
      <c r="S111" s="36">
        <f ca="1">IFERROR(__xludf.DUMMYFUNCTION("INDEX(IMPORTRANGE(""17pNv02DXDpQT9S3w4-QeNym2QJy2BzMBqDXp-XtzJBM"", ""'GAR'!BG3:BG139""),MATCH($D111,IMPORTRANGE(""17pNv02DXDpQT9S3w4-QeNym2QJy2BzMBqDXp-XtzJBM"", ""'GAR'!D3:D139""),0))"),475850137.55)</f>
        <v>475850137.55000001</v>
      </c>
      <c r="T111" s="13"/>
      <c r="U111" s="13"/>
      <c r="V111" s="13"/>
      <c r="W111" s="13"/>
      <c r="X111" s="13"/>
      <c r="Y111" s="4"/>
      <c r="Z111" s="36">
        <f ca="1">IFERROR(__xludf.DUMMYFUNCTION("INDEX(IMPORTRANGE(""17pNv02DXDpQT9S3w4-QeNym2QJy2BzMBqDXp-XtzJBM"", ""'GAR'!BH3:BH139""),MATCH($D111,IMPORTRANGE(""17pNv02DXDpQT9S3w4-QeNym2QJy2BzMBqDXp-XtzJBM"", ""'GAR'!D3:D139""),0))"),1057181202.31)</f>
        <v>1057181202.3099999</v>
      </c>
      <c r="AA111" s="4" t="str">
        <f ca="1">IFERROR(__xludf.DUMMYFUNCTION("INDEX(IMPORTRANGE(""17pNv02DXDpQT9S3w4-QeNym2QJy2BzMBqDXp-XtzJBM"", ""'GAR'!BI3:BI139""),MATCH($D111,IMPORTRANGE(""17pNv02DXDpQT9S3w4-QeNym2QJy2BzMBqDXp-XtzJBM"", ""'GAR'!D3:D139""),0))"),"")</f>
        <v/>
      </c>
      <c r="AB111" s="36">
        <f ca="1">IFERROR(__xludf.DUMMYFUNCTION("INDEX(IMPORTRANGE(""17pNv02DXDpQT9S3w4-QeNym2QJy2BzMBqDXp-XtzJBM"", ""'GAR'!BJ3:BJ139""),MATCH($D111,IMPORTRANGE(""17pNv02DXDpQT9S3w4-QeNym2QJy2BzMBqDXp-XtzJBM"", ""'GAR'!D3:D139""),0))"),1308274821.6)</f>
        <v>1308274821.5999999</v>
      </c>
      <c r="AC111" s="4" t="str">
        <f ca="1">IFERROR(__xludf.DUMMYFUNCTION("INDEX(IMPORTRANGE(""17pNv02DXDpQT9S3w4-QeNym2QJy2BzMBqDXp-XtzJBM"", ""'GAR'!BK3:BK139""),MATCH($D111,IMPORTRANGE(""17pNv02DXDpQT9S3w4-QeNym2QJy2BzMBqDXp-XtzJBM"", ""'GAR'!D3:D139""),0))"),"")</f>
        <v/>
      </c>
      <c r="AD111" s="36">
        <f ca="1">IFERROR(__xludf.DUMMYFUNCTION("INDEX(IMPORTRANGE(""17pNv02DXDpQT9S3w4-QeNym2QJy2BzMBqDXp-XtzJBM"", ""'GAR'!BL3:BL139""),MATCH($D111,IMPORTRANGE(""17pNv02DXDpQT9S3w4-QeNym2QJy2BzMBqDXp-XtzJBM"", ""'GAR'!D3:D139""),0))"),1599730792.93)</f>
        <v>1599730792.9300001</v>
      </c>
      <c r="AE111" s="2">
        <f ca="1">IFERROR(__xludf.DUMMYFUNCTION("INDEX(IMPORTRANGE(""17pNv02DXDpQT9S3w4-QeNym2QJy2BzMBqDXp-XtzJBM"", ""'GAR'!BM3:BM139""),MATCH($D111,IMPORTRANGE(""17pNv02DXDpQT9S3w4-QeNym2QJy2BzMBqDXp-XtzJBM"", ""'GAR'!D3:D139""),0))"),968128998.12)</f>
        <v>968128998.12</v>
      </c>
    </row>
    <row r="112" spans="1:31">
      <c r="A112" s="149" t="s">
        <v>275</v>
      </c>
      <c r="B112" s="149" t="s">
        <v>298</v>
      </c>
      <c r="C112" s="149" t="s">
        <v>36</v>
      </c>
      <c r="D112" s="149" t="s">
        <v>301</v>
      </c>
      <c r="E112" s="149" t="s">
        <v>278</v>
      </c>
      <c r="F112" s="9" t="s">
        <v>302</v>
      </c>
      <c r="G112" s="9" t="s">
        <v>213</v>
      </c>
      <c r="H112" s="2" t="s">
        <v>214</v>
      </c>
      <c r="I112" s="2" t="s">
        <v>368</v>
      </c>
      <c r="J112" s="9" t="s">
        <v>215</v>
      </c>
      <c r="K112" s="4"/>
      <c r="L112" s="9" t="s">
        <v>216</v>
      </c>
      <c r="M112" s="4"/>
      <c r="N112" s="9" t="s">
        <v>217</v>
      </c>
      <c r="O112" s="2" t="s">
        <v>369</v>
      </c>
      <c r="P112" s="2" t="s">
        <v>218</v>
      </c>
      <c r="Q112" s="15">
        <f t="shared" ref="Q112:R112" si="25">Q104/Q111</f>
        <v>0.86009259582291675</v>
      </c>
      <c r="R112" s="15">
        <f t="shared" si="25"/>
        <v>0.86009259582291675</v>
      </c>
      <c r="S112" s="15">
        <f ca="1">IFERROR(__xludf.DUMMYFUNCTION("INDEX(IMPORTRANGE(""17pNv02DXDpQT9S3w4-QeNym2QJy2BzMBqDXp-XtzJBM"", ""'GAR'!BG3:BG139""),MATCH($D112,IMPORTRANGE(""17pNv02DXDpQT9S3w4-QeNym2QJy2BzMBqDXp-XtzJBM"", ""'GAR'!D3:D139""),0))"),0.593121419574525)</f>
        <v>0.59312141957452502</v>
      </c>
      <c r="T112" s="2"/>
      <c r="U112" s="26">
        <v>0.84299999999999997</v>
      </c>
      <c r="V112" s="2"/>
      <c r="W112" s="15">
        <v>0.82699999999999996</v>
      </c>
      <c r="X112" s="15">
        <f>(Y112-W112)/6*5+W112</f>
        <v>0.81283333333333341</v>
      </c>
      <c r="Y112" s="15">
        <v>0.81</v>
      </c>
      <c r="Z112" s="15">
        <f ca="1">IFERROR(__xludf.DUMMYFUNCTION("INDEX(IMPORTRANGE(""17pNv02DXDpQT9S3w4-QeNym2QJy2BzMBqDXp-XtzJBM"", ""'GAR'!BH3:BH139""),MATCH($D112,IMPORTRANGE(""17pNv02DXDpQT9S3w4-QeNym2QJy2BzMBqDXp-XtzJBM"", ""'GAR'!D3:D139""),0))"),0.860092595822916)</f>
        <v>0.86009259582291597</v>
      </c>
      <c r="AA112" s="38" t="str">
        <f ca="1">IFERROR(__xludf.DUMMYFUNCTION("INDEX(IMPORTRANGE(""17pNv02DXDpQT9S3w4-QeNym2QJy2BzMBqDXp-XtzJBM"", ""'GAR'!BI3:BI139""),MATCH($D112,IMPORTRANGE(""17pNv02DXDpQT9S3w4-QeNym2QJy2BzMBqDXp-XtzJBM"", ""'GAR'!D3:D139""),0))"),"")</f>
        <v/>
      </c>
      <c r="AB112" s="15">
        <f ca="1">IFERROR(__xludf.DUMMYFUNCTION("INDEX(IMPORTRANGE(""17pNv02DXDpQT9S3w4-QeNym2QJy2BzMBqDXp-XtzJBM"", ""'GAR'!BJ3:BJ139""),MATCH($D112,IMPORTRANGE(""17pNv02DXDpQT9S3w4-QeNym2QJy2BzMBqDXp-XtzJBM"", ""'GAR'!D3:D139""),0))"),0.851521954299758)</f>
        <v>0.85152195429975797</v>
      </c>
      <c r="AC112" s="38" t="str">
        <f ca="1">IFERROR(__xludf.DUMMYFUNCTION("INDEX(IMPORTRANGE(""17pNv02DXDpQT9S3w4-QeNym2QJy2BzMBqDXp-XtzJBM"", ""'GAR'!BK3:BK139""),MATCH($D112,IMPORTRANGE(""17pNv02DXDpQT9S3w4-QeNym2QJy2BzMBqDXp-XtzJBM"", ""'GAR'!D3:D139""),0))"),"")</f>
        <v/>
      </c>
      <c r="AD112" s="15">
        <f ca="1">IFERROR(__xludf.DUMMYFUNCTION("INDEX(IMPORTRANGE(""17pNv02DXDpQT9S3w4-QeNym2QJy2BzMBqDXp-XtzJBM"", ""'GAR'!BL3:BL139""),MATCH($D112,IMPORTRANGE(""17pNv02DXDpQT9S3w4-QeNym2QJy2BzMBqDXp-XtzJBM"", ""'GAR'!D3:D139""),0))"),0.8382359048762)</f>
        <v>0.83823590487620003</v>
      </c>
      <c r="AE112" s="26">
        <f ca="1">IFERROR(__xludf.DUMMYFUNCTION("INDEX(IMPORTRANGE(""17pNv02DXDpQT9S3w4-QeNym2QJy2BzMBqDXp-XtzJBM"", ""'GAR'!BM3:BM139""),MATCH($D112,IMPORTRANGE(""17pNv02DXDpQT9S3w4-QeNym2QJy2BzMBqDXp-XtzJBM"", ""'GAR'!D3:D139""),0))"),0.921596590446729)</f>
        <v>0.92159659044672904</v>
      </c>
    </row>
    <row r="113" spans="1:31">
      <c r="A113" s="149" t="s">
        <v>275</v>
      </c>
      <c r="B113" s="149" t="s">
        <v>303</v>
      </c>
      <c r="C113" s="149" t="s">
        <v>36</v>
      </c>
      <c r="D113" s="149" t="s">
        <v>304</v>
      </c>
      <c r="E113" s="149" t="s">
        <v>305</v>
      </c>
      <c r="F113" s="9" t="s">
        <v>306</v>
      </c>
      <c r="G113" s="11" t="s">
        <v>307</v>
      </c>
      <c r="H113" s="4"/>
      <c r="I113" s="49">
        <v>44348</v>
      </c>
      <c r="J113" s="2" t="s">
        <v>254</v>
      </c>
      <c r="K113" s="4"/>
      <c r="L113" s="2" t="s">
        <v>255</v>
      </c>
      <c r="M113" s="4"/>
      <c r="N113" s="2" t="s">
        <v>256</v>
      </c>
      <c r="O113" s="49">
        <v>45473</v>
      </c>
      <c r="P113" s="2"/>
      <c r="Q113" s="30" t="s">
        <v>308</v>
      </c>
      <c r="R113" s="30" t="s">
        <v>308</v>
      </c>
      <c r="S113" s="30" t="str">
        <f ca="1">IFERROR(__xludf.DUMMYFUNCTION("INDEX(IMPORTRANGE(""17pNv02DXDpQT9S3w4-QeNym2QJy2BzMBqDXp-XtzJBM"", ""'GAR'!BG3:BG139""),MATCH($D113,IMPORTRANGE(""17pNv02DXDpQT9S3w4-QeNym2QJy2BzMBqDXp-XtzJBM"", ""'GAR'!D3:D139""),0))"),"Verde")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30" t="str">
        <f ca="1">IFERROR(__xludf.DUMMYFUNCTION("INDEX(IMPORTRANGE(""17pNv02DXDpQT9S3w4-QeNym2QJy2BzMBqDXp-XtzJBM"", ""'GAR'!BH3:BH139""),MATCH($D113,IMPORTRANGE(""17pNv02DXDpQT9S3w4-QeNym2QJy2BzMBqDXp-XtzJBM"", ""'GAR'!D3:D139""),0))"),"Verde")</f>
        <v>Verde</v>
      </c>
      <c r="AA113" s="4" t="str">
        <f ca="1">IFERROR(__xludf.DUMMYFUNCTION("INDEX(IMPORTRANGE(""17pNv02DXDpQT9S3w4-QeNym2QJy2BzMBqDXp-XtzJBM"", ""'GAR'!BI3:BI139""),MATCH($D113,IMPORTRANGE(""17pNv02DXDpQT9S3w4-QeNym2QJy2BzMBqDXp-XtzJBM"", ""'GAR'!D3:D139""),0))"),"")</f>
        <v/>
      </c>
      <c r="AB113" s="30" t="str">
        <f ca="1">IFERROR(__xludf.DUMMYFUNCTION("INDEX(IMPORTRANGE(""17pNv02DXDpQT9S3w4-QeNym2QJy2BzMBqDXp-XtzJBM"", ""'GAR'!BJ3:BJ139""),MATCH($D113,IMPORTRANGE(""17pNv02DXDpQT9S3w4-QeNym2QJy2BzMBqDXp-XtzJBM"", ""'GAR'!D3:D139""),0))"),"Verde")</f>
        <v>Verde</v>
      </c>
      <c r="AC113" s="4" t="str">
        <f ca="1">IFERROR(__xludf.DUMMYFUNCTION("INDEX(IMPORTRANGE(""17pNv02DXDpQT9S3w4-QeNym2QJy2BzMBqDXp-XtzJBM"", ""'GAR'!BK3:BK139""),MATCH($D113,IMPORTRANGE(""17pNv02DXDpQT9S3w4-QeNym2QJy2BzMBqDXp-XtzJBM"", ""'GAR'!D3:D139""),0))"),"")</f>
        <v/>
      </c>
      <c r="AD113" s="30" t="str">
        <f ca="1">IFERROR(__xludf.DUMMYFUNCTION("INDEX(IMPORTRANGE(""17pNv02DXDpQT9S3w4-QeNym2QJy2BzMBqDXp-XtzJBM"", ""'GAR'!BL3:BL139""),MATCH($D113,IMPORTRANGE(""17pNv02DXDpQT9S3w4-QeNym2QJy2BzMBqDXp-XtzJBM"", ""'GAR'!D3:D139""),0))"),"Verde")</f>
        <v>Verde</v>
      </c>
      <c r="AE113" s="2" t="str">
        <f ca="1">IFERROR(__xludf.DUMMYFUNCTION("INDEX(IMPORTRANGE(""17pNv02DXDpQT9S3w4-QeNym2QJy2BzMBqDXp-XtzJBM"", ""'GAR'!BM3:BM139""),MATCH($D113,IMPORTRANGE(""17pNv02DXDpQT9S3w4-QeNym2QJy2BzMBqDXp-XtzJBM"", ""'GAR'!D3:D139""),0))"),"Verde")</f>
        <v>Verde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95767-AA63-5448-AC71-8745C185D1BC}">
  <dimension ref="A1:M39"/>
  <sheetViews>
    <sheetView topLeftCell="A34" workbookViewId="0">
      <selection activeCell="E2" sqref="E2"/>
    </sheetView>
  </sheetViews>
  <sheetFormatPr baseColWidth="10" defaultRowHeight="16"/>
  <cols>
    <col min="1" max="1" width="10.83203125" style="118"/>
    <col min="3" max="3" width="19" customWidth="1"/>
    <col min="7" max="7" width="12" customWidth="1"/>
    <col min="8" max="8" width="12.66406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17" t="s">
        <v>34</v>
      </c>
      <c r="B2" s="92" t="s">
        <v>35</v>
      </c>
      <c r="C2" s="71" t="s">
        <v>37</v>
      </c>
      <c r="D2" s="75">
        <f>VLOOKUP(C2,'BD EVA 5 GAR'!$D$3:$AE$113,6,0)</f>
        <v>44469</v>
      </c>
      <c r="E2" s="203">
        <f ca="1">VLOOKUP(C2,'BD EVA 5 GAR'!$D$3:$AE$113,16,0)</f>
        <v>382</v>
      </c>
      <c r="F2" s="75" t="str">
        <f>VLOOKUP(C2,'BD EVA 5 GAR'!$D$3:$AE$113,12,0)</f>
        <v>Ago 2024</v>
      </c>
      <c r="G2" s="203">
        <f ca="1">VLOOKUP(C2,'BD EVA 5 GAR'!$D$3:$AE$113,28,0)</f>
        <v>382</v>
      </c>
      <c r="H2" s="203">
        <f>VLOOKUP(C2,'BD EVA 5 GAR'!$D$3:$AE$113,21,0)</f>
        <v>492.16666666666669</v>
      </c>
      <c r="I2" s="94">
        <f ca="1">IF(G2&gt;=E2,G2/H2,0)</f>
        <v>0.7761598374534372</v>
      </c>
      <c r="J2" s="72" t="s">
        <v>316</v>
      </c>
      <c r="K2" s="95">
        <v>2.7</v>
      </c>
      <c r="L2" s="95">
        <f t="shared" ref="L2:L39" ca="1" si="0">IF(I2&lt;0,0,IF(I2&gt;1,K2,I2*K2))</f>
        <v>2.0956315611242804</v>
      </c>
      <c r="M2" s="114">
        <f ca="1">SUM(L2:L4)</f>
        <v>9.3080512728962859</v>
      </c>
    </row>
    <row r="3" spans="1:13" ht="52">
      <c r="A3" s="117" t="s">
        <v>34</v>
      </c>
      <c r="B3" s="92" t="s">
        <v>40</v>
      </c>
      <c r="C3" s="71" t="s">
        <v>43</v>
      </c>
      <c r="D3" s="75">
        <f>VLOOKUP(C3,'BD EVA 5 GAR'!$D$3:$AE$113,6,0)</f>
        <v>44469</v>
      </c>
      <c r="E3" s="197">
        <f ca="1">VLOOKUP(C3,'BD EVA 5 GAR'!$D$3:$AE$113,16,0)</f>
        <v>0.51570680628272203</v>
      </c>
      <c r="F3" s="75" t="str">
        <f>VLOOKUP(C3,'BD EVA 5 GAR'!$D$3:$AE$113,12,0)</f>
        <v>Ago 2024</v>
      </c>
      <c r="G3" s="197">
        <f ca="1">VLOOKUP(C3,'BD EVA 5 GAR'!$D$3:$AE$113,28,0)</f>
        <v>0.94764397905759101</v>
      </c>
      <c r="H3" s="197" t="str">
        <f>VLOOKUP(C3,'BD EVA 5 GAR'!$D$3:$AE$113,21,0)</f>
        <v>&gt;=97%</v>
      </c>
      <c r="I3" s="94">
        <f ca="1">IF(G3&gt;=97%,1,G3/97%)</f>
        <v>0.97695255572947526</v>
      </c>
      <c r="J3" s="75" t="s">
        <v>318</v>
      </c>
      <c r="K3" s="95">
        <v>3.8</v>
      </c>
      <c r="L3" s="95">
        <f t="shared" ca="1" si="0"/>
        <v>3.7124197117720059</v>
      </c>
      <c r="M3" s="115"/>
    </row>
    <row r="4" spans="1:13" ht="143">
      <c r="A4" s="117" t="s">
        <v>34</v>
      </c>
      <c r="B4" s="92" t="s">
        <v>45</v>
      </c>
      <c r="C4" s="71" t="s">
        <v>50</v>
      </c>
      <c r="D4" s="89">
        <f>VLOOKUP(C4,'BD EVA 5 GAR'!$D$3:$AE$113,6,0)</f>
        <v>44469</v>
      </c>
      <c r="E4" s="197">
        <f ca="1">VLOOKUP(C4,'BD EVA 5 GAR'!$D$3:$AE$113,16,0)</f>
        <v>3.4031413612565398E-2</v>
      </c>
      <c r="F4" s="89" t="str">
        <f>VLOOKUP(C4,'BD EVA 5 GAR'!$D$3:$AE$113,12,0)</f>
        <v>Ago 2024</v>
      </c>
      <c r="G4" s="197">
        <f ca="1">VLOOKUP(C4,'BD EVA 5 GAR'!$D$3:$AE$113,28,0)</f>
        <v>3.6649214659685798E-2</v>
      </c>
      <c r="H4" s="197">
        <f>VLOOKUP(C4,'BD EVA 5 GAR'!$D$3:$AE$113,21,0)</f>
        <v>5.0000000000000001E-4</v>
      </c>
      <c r="I4" s="99">
        <f t="shared" ref="I4:I5" ca="1" si="1">G4/H4</f>
        <v>73.298429319371593</v>
      </c>
      <c r="J4" s="75" t="s">
        <v>318</v>
      </c>
      <c r="K4" s="95">
        <v>3.5</v>
      </c>
      <c r="L4" s="95">
        <f t="shared" ca="1" si="0"/>
        <v>3.5</v>
      </c>
      <c r="M4" s="115"/>
    </row>
    <row r="5" spans="1:13" ht="143">
      <c r="A5" s="117" t="s">
        <v>52</v>
      </c>
      <c r="B5" s="92" t="s">
        <v>53</v>
      </c>
      <c r="C5" s="72" t="s">
        <v>66</v>
      </c>
      <c r="D5" s="75" t="str">
        <f>VLOOKUP(C5,'BD EVA 5 GAR'!$D$3:$AE$113,6,0)</f>
        <v>octubre 20 - agosto 21</v>
      </c>
      <c r="E5" s="197">
        <f ca="1">VLOOKUP(C5,'BD EVA 5 GAR'!$D$3:$AE$113,16,0)</f>
        <v>0</v>
      </c>
      <c r="F5" s="75" t="str">
        <f>VLOOKUP(C5,'BD EVA 5 GAR'!$D$3:$AE$113,12,0)</f>
        <v>octubre 23 - agosto 24</v>
      </c>
      <c r="G5" s="197">
        <f ca="1">VLOOKUP(C5,'BD EVA 5 GAR'!$D$3:$AE$113,28,0)</f>
        <v>6.7944673622907001E-2</v>
      </c>
      <c r="H5" s="197">
        <f>VLOOKUP(C5,'BD EVA 5 GAR'!$D$3:$AE$113,21,0)</f>
        <v>9.6666666666666679E-2</v>
      </c>
      <c r="I5" s="99">
        <f t="shared" ca="1" si="1"/>
        <v>0.70287593403007231</v>
      </c>
      <c r="J5" s="75" t="s">
        <v>318</v>
      </c>
      <c r="K5" s="198">
        <v>1.6</v>
      </c>
      <c r="L5" s="199">
        <f t="shared" ca="1" si="0"/>
        <v>1.1246014944481157</v>
      </c>
      <c r="M5" s="116">
        <f ca="1">SUM(L5:L10)</f>
        <v>2.8246014944481157</v>
      </c>
    </row>
    <row r="6" spans="1:13" ht="65">
      <c r="A6" s="117" t="s">
        <v>52</v>
      </c>
      <c r="B6" s="92" t="s">
        <v>68</v>
      </c>
      <c r="C6" s="72" t="s">
        <v>72</v>
      </c>
      <c r="D6" s="75" t="str">
        <f>VLOOKUP(C6,'BD EVA 5 GAR'!$D$3:$AE$113,6,0)</f>
        <v>octubre 20 - agosto 21</v>
      </c>
      <c r="E6" s="199">
        <f ca="1">VLOOKUP(C6,'BD EVA 5 GAR'!$D$3:$AE$113,16,0)</f>
        <v>16.803844202512099</v>
      </c>
      <c r="F6" s="75" t="str">
        <f>VLOOKUP(C6,'BD EVA 5 GAR'!$D$3:$AE$113,12,0)</f>
        <v>octubre 23 - agosto 24</v>
      </c>
      <c r="G6" s="199">
        <f ca="1">VLOOKUP(C6,'BD EVA 5 GAR'!$D$3:$AE$113,28,0)</f>
        <v>53.429567617407599</v>
      </c>
      <c r="H6" s="199">
        <f ca="1">VLOOKUP(C6,'BD EVA 5 GAR'!$D$3:$AE$113,21,0)</f>
        <v>15.967586206896478</v>
      </c>
      <c r="I6" s="94">
        <f t="shared" ref="I6:I10" ca="1" si="2">(G6-E6)/(H6-E6)</f>
        <v>-43.797157823206248</v>
      </c>
      <c r="J6" s="71" t="s">
        <v>319</v>
      </c>
      <c r="K6" s="198">
        <v>1.7</v>
      </c>
      <c r="L6" s="199">
        <f t="shared" ca="1" si="0"/>
        <v>0</v>
      </c>
      <c r="M6" s="115"/>
    </row>
    <row r="7" spans="1:13" ht="91">
      <c r="A7" s="117" t="s">
        <v>52</v>
      </c>
      <c r="B7" s="92" t="s">
        <v>68</v>
      </c>
      <c r="C7" s="72" t="s">
        <v>84</v>
      </c>
      <c r="D7" s="75" t="str">
        <f>VLOOKUP(C7,'BD EVA 5 GAR'!$D$3:$AE$113,6,0)</f>
        <v>octubre 20 - agosto 21</v>
      </c>
      <c r="E7" s="198">
        <f ca="1">VLOOKUP(C7,'BD EVA 5 GAR'!$D$3:$AE$113,16,0)</f>
        <v>617.86442529237002</v>
      </c>
      <c r="F7" s="75" t="str">
        <f>VLOOKUP(C7,'BD EVA 5 GAR'!$D$3:$AE$113,12,0)</f>
        <v>octubre 23 - agosto 24</v>
      </c>
      <c r="G7" s="198">
        <f ca="1">VLOOKUP(C7,'BD EVA 5 GAR'!$D$3:$AE$113,28,0)</f>
        <v>775.18669817484601</v>
      </c>
      <c r="H7" s="198">
        <f ca="1">VLOOKUP(C7,'BD EVA 5 GAR'!$D$3:$AE$113,21,0)</f>
        <v>556.08549618320546</v>
      </c>
      <c r="I7" s="94">
        <f t="shared" ca="1" si="2"/>
        <v>-2.5465360949278439</v>
      </c>
      <c r="J7" s="71" t="s">
        <v>319</v>
      </c>
      <c r="K7" s="198">
        <v>1.6</v>
      </c>
      <c r="L7" s="199">
        <f t="shared" ca="1" si="0"/>
        <v>0</v>
      </c>
      <c r="M7" s="115"/>
    </row>
    <row r="8" spans="1:13" ht="104">
      <c r="A8" s="117" t="s">
        <v>52</v>
      </c>
      <c r="B8" s="92" t="s">
        <v>86</v>
      </c>
      <c r="C8" s="72" t="s">
        <v>89</v>
      </c>
      <c r="D8" s="75" t="str">
        <f>VLOOKUP(C8,'BD EVA 5 GAR'!$D$3:$AE$113,6,0)</f>
        <v>octubre 20 - agosto 21</v>
      </c>
      <c r="E8" s="198">
        <f ca="1">VLOOKUP(C8,'BD EVA 5 GAR'!$D$3:$AE$113,16,0)</f>
        <v>603.32263704019601</v>
      </c>
      <c r="F8" s="75" t="str">
        <f>VLOOKUP(C8,'BD EVA 5 GAR'!$D$3:$AE$113,12,0)</f>
        <v>octubre 23 - agosto 24</v>
      </c>
      <c r="G8" s="198">
        <f ca="1">VLOOKUP(C8,'BD EVA 5 GAR'!$D$3:$AE$113,28,0)</f>
        <v>686.95158365238399</v>
      </c>
      <c r="H8" s="198">
        <f ca="1">VLOOKUP(C8,'BD EVA 5 GAR'!$D$3:$AE$113,21,0)</f>
        <v>573.16355685131123</v>
      </c>
      <c r="I8" s="94">
        <f t="shared" ca="1" si="2"/>
        <v>-2.7729276253925561</v>
      </c>
      <c r="J8" s="71" t="s">
        <v>319</v>
      </c>
      <c r="K8" s="198">
        <v>1.7</v>
      </c>
      <c r="L8" s="199">
        <f t="shared" ca="1" si="0"/>
        <v>0</v>
      </c>
      <c r="M8" s="115"/>
    </row>
    <row r="9" spans="1:13" ht="104">
      <c r="A9" s="117" t="s">
        <v>52</v>
      </c>
      <c r="B9" s="92" t="s">
        <v>86</v>
      </c>
      <c r="C9" s="72" t="s">
        <v>93</v>
      </c>
      <c r="D9" s="75" t="str">
        <f>VLOOKUP(C9,'BD EVA 5 GAR'!$D$3:$AE$113,6,0)</f>
        <v>octubre 20 - agosto 21</v>
      </c>
      <c r="E9" s="198">
        <f ca="1">VLOOKUP(C9,'BD EVA 5 GAR'!$D$3:$AE$113,16,0)</f>
        <v>829.528232074014</v>
      </c>
      <c r="F9" s="75" t="str">
        <f>VLOOKUP(C9,'BD EVA 5 GAR'!$D$3:$AE$113,12,0)</f>
        <v>octubre 23 - agosto 24</v>
      </c>
      <c r="G9" s="198">
        <f ca="1">VLOOKUP(C9,'BD EVA 5 GAR'!$D$3:$AE$113,28,0)</f>
        <v>548.95064329199397</v>
      </c>
      <c r="H9" s="198">
        <f ca="1">VLOOKUP(C9,'BD EVA 5 GAR'!$D$3:$AE$113,21,0)</f>
        <v>788.03850454227768</v>
      </c>
      <c r="I9" s="94">
        <f t="shared" ca="1" si="2"/>
        <v>6.7625796907776898</v>
      </c>
      <c r="J9" s="71" t="s">
        <v>319</v>
      </c>
      <c r="K9" s="198">
        <v>1.7</v>
      </c>
      <c r="L9" s="199">
        <f t="shared" ca="1" si="0"/>
        <v>1.7</v>
      </c>
      <c r="M9" s="115"/>
    </row>
    <row r="10" spans="1:13" ht="156">
      <c r="A10" s="117" t="s">
        <v>52</v>
      </c>
      <c r="B10" s="92" t="s">
        <v>86</v>
      </c>
      <c r="C10" s="72" t="s">
        <v>117</v>
      </c>
      <c r="D10" s="89" t="str">
        <f>VLOOKUP(C10,'BD EVA 5 GAR'!$D$3:$AE$113,6,0)</f>
        <v>octubre 20 - agosto 21</v>
      </c>
      <c r="E10" s="198">
        <f ca="1">VLOOKUP(C10,'BD EVA 5 GAR'!$D$3:$AE$113,16,0)</f>
        <v>24.5594646036716</v>
      </c>
      <c r="F10" s="89" t="str">
        <f>VLOOKUP(C10,'BD EVA 5 GAR'!$D$3:$AE$113,12,0)</f>
        <v>octubre 23 - agosto 24</v>
      </c>
      <c r="G10" s="198">
        <f ca="1">VLOOKUP(C10,'BD EVA 5 GAR'!$D$3:$AE$113,28,0)</f>
        <v>39.385224129403298</v>
      </c>
      <c r="H10" s="198">
        <f ca="1">VLOOKUP(C10,'BD EVA 5 GAR'!$D$3:$AE$113,21,0)</f>
        <v>23.349397590361409</v>
      </c>
      <c r="I10" s="94">
        <f t="shared" ca="1" si="2"/>
        <v>-12.252015270770162</v>
      </c>
      <c r="J10" s="71" t="s">
        <v>319</v>
      </c>
      <c r="K10" s="198">
        <v>1.7</v>
      </c>
      <c r="L10" s="199">
        <f t="shared" ca="1" si="0"/>
        <v>0</v>
      </c>
      <c r="M10" s="115"/>
    </row>
    <row r="11" spans="1:13" ht="91">
      <c r="A11" s="117" t="s">
        <v>119</v>
      </c>
      <c r="B11" s="92" t="s">
        <v>120</v>
      </c>
      <c r="C11" s="72" t="s">
        <v>125</v>
      </c>
      <c r="D11" s="75">
        <f>VLOOKUP(C11,'BD EVA 5 GAR'!$D$3:$AE$113,6,0)</f>
        <v>44469</v>
      </c>
      <c r="E11" s="94">
        <f ca="1">VLOOKUP(C11,'BD EVA 5 GAR'!$D$3:$AE$113,16,0)</f>
        <v>0</v>
      </c>
      <c r="F11" s="75" t="str">
        <f>VLOOKUP(C11,'BD EVA 5 GAR'!$D$3:$AE$113,12,0)</f>
        <v>Ago 2024</v>
      </c>
      <c r="G11" s="94">
        <f ca="1">VLOOKUP(C11,'BD EVA 5 GAR'!$D$3:$AE$113,28,0)</f>
        <v>0</v>
      </c>
      <c r="H11" s="94" t="str">
        <f>VLOOKUP(C11,'BD EVA 5 GAR'!$D$3:$AE$113,21,0)</f>
        <v>Sin meta</v>
      </c>
      <c r="I11" s="99">
        <v>0</v>
      </c>
      <c r="J11" s="89" t="s">
        <v>318</v>
      </c>
      <c r="K11" s="200">
        <v>1.05</v>
      </c>
      <c r="L11" s="199">
        <f t="shared" si="0"/>
        <v>0</v>
      </c>
      <c r="M11" s="116">
        <f ca="1">SUM(L11:L15)</f>
        <v>4.4453714285714288</v>
      </c>
    </row>
    <row r="12" spans="1:13" ht="91">
      <c r="A12" s="347" t="s">
        <v>119</v>
      </c>
      <c r="B12" s="92" t="s">
        <v>120</v>
      </c>
      <c r="C12" s="72" t="s">
        <v>333</v>
      </c>
      <c r="D12" s="75" t="str">
        <f>VLOOKUP(C12,'BD EVA 5 GAR'!$D$3:$AE$113,6,0)</f>
        <v>octubre 20 - agosto 21</v>
      </c>
      <c r="E12" s="201" t="str">
        <f ca="1">VLOOKUP(C12,'BD EVA 5 GAR'!$D$3:$AE$113,16,0)</f>
        <v/>
      </c>
      <c r="F12" s="75" t="str">
        <f>VLOOKUP(C12,'BD EVA 5 GAR'!$D$3:$AE$113,12,0)</f>
        <v>octubre 23 - agosto 24</v>
      </c>
      <c r="G12" s="201">
        <f ca="1">VLOOKUP(C12,'BD EVA 5 GAR'!$D$3:$AE$113,28,0)</f>
        <v>0</v>
      </c>
      <c r="H12" s="201" t="str">
        <f>VLOOKUP(C12,'BD EVA 5 GAR'!$D$3:$AE$113,21,0)</f>
        <v>Sin meta</v>
      </c>
      <c r="I12" s="94">
        <v>0</v>
      </c>
      <c r="J12" s="75" t="s">
        <v>318</v>
      </c>
      <c r="K12" s="200">
        <v>1.05</v>
      </c>
      <c r="L12" s="199">
        <f t="shared" si="0"/>
        <v>0</v>
      </c>
      <c r="M12" s="115"/>
    </row>
    <row r="13" spans="1:13" ht="91">
      <c r="A13" s="117" t="s">
        <v>119</v>
      </c>
      <c r="B13" s="92" t="s">
        <v>127</v>
      </c>
      <c r="C13" s="72" t="s">
        <v>128</v>
      </c>
      <c r="D13" s="75" t="str">
        <f>VLOOKUP(C13,'BD EVA 5 GAR'!$D$3:$AE$113,6,0)</f>
        <v>octubre 20 - agosto 21</v>
      </c>
      <c r="E13" s="203">
        <f ca="1">VLOOKUP(C13,'BD EVA 5 GAR'!$D$3:$AE$113,16,0)</f>
        <v>0</v>
      </c>
      <c r="F13" s="75" t="str">
        <f>VLOOKUP(C13,'BD EVA 5 GAR'!$D$3:$AE$113,12,0)</f>
        <v>octubre 21 - agosto 24</v>
      </c>
      <c r="G13" s="203">
        <f ca="1">VLOOKUP(C13,'BD EVA 5 GAR'!$D$3:$AE$113,28,0)</f>
        <v>0</v>
      </c>
      <c r="H13" s="203">
        <f>VLOOKUP(C13,'BD EVA 5 GAR'!$D$3:$AE$113,21,0)</f>
        <v>3</v>
      </c>
      <c r="I13" s="94">
        <f t="shared" ref="I13:I15" ca="1" si="3">G13/H13</f>
        <v>0</v>
      </c>
      <c r="J13" s="75" t="s">
        <v>318</v>
      </c>
      <c r="K13" s="95">
        <v>2.4</v>
      </c>
      <c r="L13" s="199">
        <f t="shared" ca="1" si="0"/>
        <v>0</v>
      </c>
      <c r="M13" s="115"/>
    </row>
    <row r="14" spans="1:13" ht="78">
      <c r="A14" s="117" t="s">
        <v>119</v>
      </c>
      <c r="B14" s="92" t="s">
        <v>133</v>
      </c>
      <c r="C14" s="72" t="s">
        <v>134</v>
      </c>
      <c r="D14" s="75" t="str">
        <f>VLOOKUP(C14,'BD EVA 5 GAR'!$D$3:$AE$113,6,0)</f>
        <v>octubre 20 - agosto 21</v>
      </c>
      <c r="E14" s="203">
        <f ca="1">VLOOKUP(C14,'BD EVA 5 GAR'!$D$3:$AE$113,16,0)</f>
        <v>440</v>
      </c>
      <c r="F14" s="75" t="str">
        <f>VLOOKUP(C14,'BD EVA 5 GAR'!$D$3:$AE$113,12,0)</f>
        <v>octubre 21 - agosto 24</v>
      </c>
      <c r="G14" s="203">
        <f ca="1">VLOOKUP(C14,'BD EVA 5 GAR'!$D$3:$AE$113,28,0)</f>
        <v>1635</v>
      </c>
      <c r="H14" s="203">
        <f>VLOOKUP(C14,'BD EVA 5 GAR'!$D$3:$AE$113,21,0)</f>
        <v>2916.6666666666665</v>
      </c>
      <c r="I14" s="94">
        <f t="shared" ca="1" si="3"/>
        <v>0.56057142857142861</v>
      </c>
      <c r="J14" s="75" t="s">
        <v>318</v>
      </c>
      <c r="K14" s="95">
        <v>2.4</v>
      </c>
      <c r="L14" s="199">
        <f t="shared" ca="1" si="0"/>
        <v>1.3453714285714287</v>
      </c>
      <c r="M14" s="115"/>
    </row>
    <row r="15" spans="1:13" ht="78">
      <c r="A15" s="117" t="s">
        <v>119</v>
      </c>
      <c r="B15" s="92" t="s">
        <v>136</v>
      </c>
      <c r="C15" s="72" t="s">
        <v>145</v>
      </c>
      <c r="D15" s="89" t="str">
        <f>VLOOKUP(C15,'BD EVA 5 GAR'!$D$3:$AE$113,6,0)</f>
        <v>octubre 20 - agosto 21</v>
      </c>
      <c r="E15" s="203">
        <f ca="1">VLOOKUP(C15,'BD EVA 5 GAR'!$D$3:$AE$113,16,0)</f>
        <v>25</v>
      </c>
      <c r="F15" s="89" t="str">
        <f>VLOOKUP(C15,'BD EVA 5 GAR'!$D$3:$AE$113,12,0)</f>
        <v>octubre 21 - agosto 24</v>
      </c>
      <c r="G15" s="203">
        <f ca="1">VLOOKUP(C15,'BD EVA 5 GAR'!$D$3:$AE$113,28,0)</f>
        <v>48</v>
      </c>
      <c r="H15" s="203">
        <f>VLOOKUP(C15,'BD EVA 5 GAR'!$D$3:$AE$113,21,0)</f>
        <v>47.666666666666664</v>
      </c>
      <c r="I15" s="94">
        <f t="shared" ca="1" si="3"/>
        <v>1.0069930069930071</v>
      </c>
      <c r="J15" s="75" t="s">
        <v>318</v>
      </c>
      <c r="K15" s="95">
        <v>3.1</v>
      </c>
      <c r="L15" s="199">
        <f t="shared" ca="1" si="0"/>
        <v>3.1</v>
      </c>
      <c r="M15" s="115"/>
    </row>
    <row r="16" spans="1:13" ht="234">
      <c r="A16" s="117" t="s">
        <v>147</v>
      </c>
      <c r="B16" s="92" t="s">
        <v>148</v>
      </c>
      <c r="C16" s="72" t="s">
        <v>156</v>
      </c>
      <c r="D16" s="75">
        <f>VLOOKUP(C16,'BD EVA 5 GAR'!$D$3:$AE$113,6,0)</f>
        <v>44469</v>
      </c>
      <c r="E16" s="204">
        <f ca="1">VLOOKUP(C16,'BD EVA 5 GAR'!$D$3:$AE$113,16,0)</f>
        <v>0</v>
      </c>
      <c r="F16" s="75" t="str">
        <f>VLOOKUP(C16,'BD EVA 5 GAR'!$D$3:$AE$113,12,0)</f>
        <v>Ago 2024</v>
      </c>
      <c r="G16" s="204">
        <f ca="1">VLOOKUP(C16,'BD EVA 5 GAR'!$D$3:$AE$113,28,0)</f>
        <v>0.33333333333333298</v>
      </c>
      <c r="H16" s="204" t="str">
        <f>VLOOKUP(C16,'BD EVA 5 GAR'!$D$3:$AE$113,21,0)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99">
        <f t="shared" ref="I16:I17" ca="1" si="4">G16/1</f>
        <v>0.33333333333333298</v>
      </c>
      <c r="J16" s="75" t="s">
        <v>318</v>
      </c>
      <c r="K16" s="95">
        <v>1.5</v>
      </c>
      <c r="L16" s="199">
        <f t="shared" ca="1" si="0"/>
        <v>0.49999999999999944</v>
      </c>
      <c r="M16" s="116">
        <f ca="1">SUM(L16:L23)</f>
        <v>4.4254769958747424</v>
      </c>
    </row>
    <row r="17" spans="1:13" ht="52">
      <c r="A17" s="117" t="s">
        <v>147</v>
      </c>
      <c r="B17" s="92" t="s">
        <v>148</v>
      </c>
      <c r="C17" s="72" t="s">
        <v>351</v>
      </c>
      <c r="D17" s="75">
        <f>VLOOKUP(C17,'BD EVA 5 GAR'!$D$3:$AE$113,6,0)</f>
        <v>44469</v>
      </c>
      <c r="E17" s="203">
        <f ca="1">VLOOKUP(C17,'BD EVA 5 GAR'!$D$3:$AE$113,16,0)</f>
        <v>0</v>
      </c>
      <c r="F17" s="75" t="str">
        <f>VLOOKUP(C17,'BD EVA 5 GAR'!$D$3:$AE$113,12,0)</f>
        <v>Ago 2024</v>
      </c>
      <c r="G17" s="203">
        <f ca="1">VLOOKUP(C17,'BD EVA 5 GAR'!$D$3:$AE$113,28,0)</f>
        <v>0</v>
      </c>
      <c r="H17" s="203" t="str">
        <f>VLOOKUP(C17,'BD EVA 5 GAR'!$D$3:$AE$113,21,0)</f>
        <v>Actualizado al 2019</v>
      </c>
      <c r="I17" s="205">
        <f t="shared" ca="1" si="4"/>
        <v>0</v>
      </c>
      <c r="J17" s="75" t="s">
        <v>318</v>
      </c>
      <c r="K17" s="95">
        <v>1.5</v>
      </c>
      <c r="L17" s="199">
        <f t="shared" ca="1" si="0"/>
        <v>0</v>
      </c>
      <c r="M17" s="115"/>
    </row>
    <row r="18" spans="1:13" ht="104">
      <c r="A18" s="117" t="s">
        <v>147</v>
      </c>
      <c r="B18" s="92" t="s">
        <v>148</v>
      </c>
      <c r="C18" s="72" t="s">
        <v>166</v>
      </c>
      <c r="D18" s="75">
        <f>VLOOKUP(C18,'BD EVA 5 GAR'!$D$3:$AE$113,6,0)</f>
        <v>44469</v>
      </c>
      <c r="E18" s="197" t="str">
        <f ca="1">VLOOKUP(C18,'BD EVA 5 GAR'!$D$3:$AE$113,16,0)</f>
        <v>NA</v>
      </c>
      <c r="F18" s="75" t="str">
        <f>VLOOKUP(C18,'BD EVA 5 GAR'!$D$3:$AE$113,12,0)</f>
        <v>Ago 2024</v>
      </c>
      <c r="G18" s="197" t="str">
        <f ca="1">VLOOKUP(C18,'BD EVA 5 GAR'!$D$3:$AE$113,28,0)</f>
        <v>NA</v>
      </c>
      <c r="H18" s="197">
        <f>VLOOKUP(C18,'BD EVA 5 GAR'!$D$3:$AE$113,21,0)</f>
        <v>1</v>
      </c>
      <c r="I18" s="205">
        <v>1</v>
      </c>
      <c r="J18" s="75" t="s">
        <v>318</v>
      </c>
      <c r="K18" s="95">
        <v>0.3</v>
      </c>
      <c r="L18" s="199">
        <f t="shared" si="0"/>
        <v>0.3</v>
      </c>
      <c r="M18" s="115"/>
    </row>
    <row r="19" spans="1:13" ht="91">
      <c r="A19" s="117" t="s">
        <v>147</v>
      </c>
      <c r="B19" s="92" t="s">
        <v>168</v>
      </c>
      <c r="C19" s="72" t="s">
        <v>173</v>
      </c>
      <c r="D19" s="75">
        <f>VLOOKUP(C19,'BD EVA 5 GAR'!$D$3:$AE$113,6,0)</f>
        <v>44469</v>
      </c>
      <c r="E19" s="197">
        <f ca="1">VLOOKUP(C19,'BD EVA 5 GAR'!$D$3:$AE$113,16,0)</f>
        <v>0.96726315789473605</v>
      </c>
      <c r="F19" s="75" t="str">
        <f>VLOOKUP(C19,'BD EVA 5 GAR'!$D$3:$AE$113,12,0)</f>
        <v>Ago 2024</v>
      </c>
      <c r="G19" s="197">
        <f ca="1">VLOOKUP(C19,'BD EVA 5 GAR'!$D$3:$AE$113,28,0)</f>
        <v>1</v>
      </c>
      <c r="H19" s="197">
        <f>VLOOKUP(C19,'BD EVA 5 GAR'!$D$3:$AE$113,21,0)</f>
        <v>1</v>
      </c>
      <c r="I19" s="205">
        <f ca="1">G19/H19</f>
        <v>1</v>
      </c>
      <c r="J19" s="75" t="s">
        <v>318</v>
      </c>
      <c r="K19" s="95">
        <v>1.5</v>
      </c>
      <c r="L19" s="199">
        <f t="shared" ca="1" si="0"/>
        <v>1.5</v>
      </c>
      <c r="M19" s="115"/>
    </row>
    <row r="20" spans="1:13" ht="117">
      <c r="A20" s="117" t="s">
        <v>147</v>
      </c>
      <c r="B20" s="92" t="s">
        <v>168</v>
      </c>
      <c r="C20" s="71" t="s">
        <v>177</v>
      </c>
      <c r="D20" s="75">
        <f>VLOOKUP(C20,'BD EVA 5 GAR'!$D$3:$AE$113,6,0)</f>
        <v>44469</v>
      </c>
      <c r="E20" s="205">
        <f ca="1">VLOOKUP(C20,'BD EVA 5 GAR'!$D$3:$AE$113,16,0)</f>
        <v>0.61235424693185003</v>
      </c>
      <c r="F20" s="75" t="str">
        <f>VLOOKUP(C20,'BD EVA 5 GAR'!$D$3:$AE$113,12,0)</f>
        <v>Ago 2024</v>
      </c>
      <c r="G20" s="205" t="str">
        <f ca="1">VLOOKUP(C20,'BD EVA 5 GAR'!$D$3:$AE$113,28,0)</f>
        <v>Sin dato</v>
      </c>
      <c r="H20" s="205">
        <f>VLOOKUP(C20,'BD EVA 5 GAR'!$D$3:$AE$113,21,0)</f>
        <v>1</v>
      </c>
      <c r="I20" s="205">
        <v>0</v>
      </c>
      <c r="J20" s="75" t="s">
        <v>318</v>
      </c>
      <c r="K20" s="95">
        <v>1.5</v>
      </c>
      <c r="L20" s="199">
        <f t="shared" si="0"/>
        <v>0</v>
      </c>
      <c r="M20" s="115"/>
    </row>
    <row r="21" spans="1:13" ht="117">
      <c r="A21" s="117" t="s">
        <v>147</v>
      </c>
      <c r="B21" s="92" t="s">
        <v>168</v>
      </c>
      <c r="C21" s="72" t="s">
        <v>183</v>
      </c>
      <c r="D21" s="75">
        <f>VLOOKUP(C21,'BD EVA 5 GAR'!$D$3:$AE$113,6,0)</f>
        <v>44469</v>
      </c>
      <c r="E21" s="197">
        <f ca="1">VLOOKUP(C21,'BD EVA 5 GAR'!$D$3:$AE$113,16,0)</f>
        <v>0.80780800702567801</v>
      </c>
      <c r="F21" s="75" t="str">
        <f>VLOOKUP(C21,'BD EVA 5 GAR'!$D$3:$AE$113,12,0)</f>
        <v>Ago 2024</v>
      </c>
      <c r="G21" s="197">
        <f ca="1">VLOOKUP(C21,'BD EVA 5 GAR'!$D$3:$AE$113,28,0)</f>
        <v>0.81524097650961502</v>
      </c>
      <c r="H21" s="197">
        <f>VLOOKUP(C21,'BD EVA 5 GAR'!$D$3:$AE$113,21,0)</f>
        <v>1</v>
      </c>
      <c r="I21" s="205">
        <f t="shared" ref="I21:I23" ca="1" si="5">G21/H21</f>
        <v>0.81524097650961502</v>
      </c>
      <c r="J21" s="75" t="s">
        <v>318</v>
      </c>
      <c r="K21" s="95">
        <v>0.9</v>
      </c>
      <c r="L21" s="199">
        <f t="shared" ca="1" si="0"/>
        <v>0.73371687885865355</v>
      </c>
      <c r="M21" s="115"/>
    </row>
    <row r="22" spans="1:13" ht="78">
      <c r="A22" s="117" t="s">
        <v>147</v>
      </c>
      <c r="B22" s="92" t="s">
        <v>168</v>
      </c>
      <c r="C22" s="72" t="s">
        <v>189</v>
      </c>
      <c r="D22" s="75">
        <f>VLOOKUP(C22,'BD EVA 5 GAR'!$D$3:$AE$113,6,0)</f>
        <v>44469</v>
      </c>
      <c r="E22" s="197">
        <f ca="1">VLOOKUP(C22,'BD EVA 5 GAR'!$D$3:$AE$113,16,0)</f>
        <v>0.74489795918367296</v>
      </c>
      <c r="F22" s="75" t="str">
        <f>VLOOKUP(C22,'BD EVA 5 GAR'!$D$3:$AE$113,12,0)</f>
        <v>Ago 2024</v>
      </c>
      <c r="G22" s="197">
        <f ca="1">VLOOKUP(C22,'BD EVA 5 GAR'!$D$3:$AE$113,28,0)</f>
        <v>0.92784007801072599</v>
      </c>
      <c r="H22" s="197">
        <f>VLOOKUP(C22,'BD EVA 5 GAR'!$D$3:$AE$113,21,0)</f>
        <v>1</v>
      </c>
      <c r="I22" s="205">
        <f t="shared" ca="1" si="5"/>
        <v>0.92784007801072599</v>
      </c>
      <c r="J22" s="75" t="s">
        <v>318</v>
      </c>
      <c r="K22" s="95">
        <v>1.5</v>
      </c>
      <c r="L22" s="199">
        <f t="shared" ca="1" si="0"/>
        <v>1.3917601170160889</v>
      </c>
      <c r="M22" s="115"/>
    </row>
    <row r="23" spans="1:13" ht="195">
      <c r="A23" s="117" t="s">
        <v>147</v>
      </c>
      <c r="B23" s="92" t="s">
        <v>168</v>
      </c>
      <c r="C23" s="72" t="s">
        <v>197</v>
      </c>
      <c r="D23" s="89" t="str">
        <f>VLOOKUP(C23,'BD EVA 5 GAR'!$D$3:$AE$113,6,0)</f>
        <v>octubre 20 - septiembre 21</v>
      </c>
      <c r="E23" s="198">
        <f ca="1">VLOOKUP(C23,'BD EVA 5 GAR'!$D$3:$AE$113,16,0)</f>
        <v>0</v>
      </c>
      <c r="F23" s="89" t="str">
        <f>VLOOKUP(C23,'BD EVA 5 GAR'!$D$3:$AE$113,12,0)</f>
        <v>octubre 23 - septiembre 24</v>
      </c>
      <c r="G23" s="198">
        <f ca="1">VLOOKUP(C23,'BD EVA 5 GAR'!$D$3:$AE$113,28,0)</f>
        <v>0</v>
      </c>
      <c r="H23" s="198">
        <f>VLOOKUP(C23,'BD EVA 5 GAR'!$D$3:$AE$113,21,0)</f>
        <v>2.4333333330000002</v>
      </c>
      <c r="I23" s="205">
        <f t="shared" ca="1" si="5"/>
        <v>0</v>
      </c>
      <c r="J23" s="75" t="s">
        <v>318</v>
      </c>
      <c r="K23" s="95">
        <v>1.3</v>
      </c>
      <c r="L23" s="199">
        <f t="shared" ca="1" si="0"/>
        <v>0</v>
      </c>
      <c r="M23" s="115"/>
    </row>
    <row r="24" spans="1:13" ht="156">
      <c r="A24" s="117" t="s">
        <v>199</v>
      </c>
      <c r="B24" s="72" t="s">
        <v>200</v>
      </c>
      <c r="C24" s="72" t="s">
        <v>201</v>
      </c>
      <c r="D24" s="75">
        <f>VLOOKUP(C24,'BD EVA 5 GAR'!$D$3:$AE$113,6,0)</f>
        <v>44469</v>
      </c>
      <c r="E24" s="161">
        <f ca="1">VLOOKUP(C24,'BD EVA 5 GAR'!$D$3:$AE$113,16,0)</f>
        <v>1.76</v>
      </c>
      <c r="F24" s="75" t="str">
        <f>VLOOKUP(C24,'BD EVA 5 GAR'!$D$3:$AE$113,12,0)</f>
        <v>Ago 2024</v>
      </c>
      <c r="G24" s="161">
        <f ca="1">VLOOKUP(C24,'BD EVA 5 GAR'!$D$3:$AE$113,28,0)</f>
        <v>1.76</v>
      </c>
      <c r="H24" s="161" t="str">
        <f>VLOOKUP(C24,'BD EVA 5 GAR'!$D$3:$AE$113,21,0)</f>
        <v>Sin meta</v>
      </c>
      <c r="I24" s="205">
        <v>0</v>
      </c>
      <c r="J24" s="75" t="s">
        <v>318</v>
      </c>
      <c r="K24" s="200">
        <v>1.9450000000000001</v>
      </c>
      <c r="L24" s="109">
        <f t="shared" si="0"/>
        <v>0</v>
      </c>
      <c r="M24" s="116">
        <f ca="1">SUM(L24:L28)</f>
        <v>2.5495326964495062</v>
      </c>
    </row>
    <row r="25" spans="1:13" ht="130">
      <c r="A25" s="117" t="s">
        <v>199</v>
      </c>
      <c r="B25" s="72" t="s">
        <v>200</v>
      </c>
      <c r="C25" s="72" t="s">
        <v>209</v>
      </c>
      <c r="D25" s="75" t="str">
        <f>VLOOKUP(C25,'BD EVA 5 GAR'!$D$3:$AE$113,6,0)</f>
        <v>octubre 20 - agosto 21</v>
      </c>
      <c r="E25" s="203" t="str">
        <f ca="1">VLOOKUP(C25,'BD EVA 5 GAR'!$D$3:$AE$113,16,0)</f>
        <v/>
      </c>
      <c r="F25" s="75" t="str">
        <f>VLOOKUP(C25,'BD EVA 5 GAR'!$D$3:$AE$113,12,0)</f>
        <v>octubre 23 - agosto 24</v>
      </c>
      <c r="G25" s="203">
        <f ca="1">VLOOKUP(C25,'BD EVA 5 GAR'!$D$3:$AE$113,28,0)</f>
        <v>0</v>
      </c>
      <c r="H25" s="203">
        <f>VLOOKUP(C25,'BD EVA 5 GAR'!$D$3:$AE$113,21,0)</f>
        <v>1619.3833333333332</v>
      </c>
      <c r="I25" s="205">
        <f t="shared" ref="I25:I27" ca="1" si="6">G25/H25</f>
        <v>0</v>
      </c>
      <c r="J25" s="75" t="s">
        <v>318</v>
      </c>
      <c r="K25" s="200">
        <v>1.6337999999999999</v>
      </c>
      <c r="L25" s="199">
        <f t="shared" ca="1" si="0"/>
        <v>0</v>
      </c>
      <c r="M25" s="115"/>
    </row>
    <row r="26" spans="1:13" ht="117">
      <c r="A26" s="117" t="s">
        <v>199</v>
      </c>
      <c r="B26" s="72" t="s">
        <v>200</v>
      </c>
      <c r="C26" s="72" t="s">
        <v>221</v>
      </c>
      <c r="D26" s="75" t="str">
        <f>VLOOKUP(C26,'BD EVA 5 GAR'!$D$3:$AE$113,6,0)</f>
        <v>enero - agosto 2021</v>
      </c>
      <c r="E26" s="201">
        <f ca="1">VLOOKUP(C26,'BD EVA 5 GAR'!$D$3:$AE$113,16,0)</f>
        <v>0.110393023711049</v>
      </c>
      <c r="F26" s="75" t="str">
        <f>VLOOKUP(C26,'BD EVA 5 GAR'!$D$3:$AE$113,12,0)</f>
        <v>enero- agosto 2024</v>
      </c>
      <c r="G26" s="201">
        <f ca="1">VLOOKUP(C26,'BD EVA 5 GAR'!$D$3:$AE$113,28,0)</f>
        <v>1.5321508150005599E-2</v>
      </c>
      <c r="H26" s="201">
        <f>VLOOKUP(C26,'BD EVA 5 GAR'!$D$3:$AE$113,21,0)</f>
        <v>9.7666666666666666E-2</v>
      </c>
      <c r="I26" s="205">
        <f t="shared" ca="1" si="6"/>
        <v>0.15687551006831671</v>
      </c>
      <c r="J26" s="75" t="s">
        <v>318</v>
      </c>
      <c r="K26" s="200">
        <v>2.1006</v>
      </c>
      <c r="L26" s="199">
        <f t="shared" ca="1" si="0"/>
        <v>0.32953269644950606</v>
      </c>
      <c r="M26" s="115"/>
    </row>
    <row r="27" spans="1:13" ht="104">
      <c r="A27" s="117" t="s">
        <v>199</v>
      </c>
      <c r="B27" s="72" t="s">
        <v>200</v>
      </c>
      <c r="C27" s="72" t="s">
        <v>226</v>
      </c>
      <c r="D27" s="75" t="str">
        <f>VLOOKUP(C27,'BD EVA 5 GAR'!$D$3:$AE$113,6,0)</f>
        <v>octubre 20 - agosto 21</v>
      </c>
      <c r="E27" s="203">
        <f ca="1">VLOOKUP(C27,'BD EVA 5 GAR'!$D$3:$AE$113,16,0)</f>
        <v>0</v>
      </c>
      <c r="F27" s="75" t="str">
        <f>VLOOKUP(C27,'BD EVA 5 GAR'!$D$3:$AE$113,12,0)</f>
        <v>octubre 23 - agosto 24</v>
      </c>
      <c r="G27" s="203">
        <f ca="1">VLOOKUP(C27,'BD EVA 5 GAR'!$D$3:$AE$113,28,0)</f>
        <v>0</v>
      </c>
      <c r="H27" s="203">
        <f>VLOOKUP(C27,'BD EVA 5 GAR'!$D$3:$AE$113,21,0)</f>
        <v>2</v>
      </c>
      <c r="I27" s="205">
        <f t="shared" ca="1" si="6"/>
        <v>0</v>
      </c>
      <c r="J27" s="75" t="s">
        <v>318</v>
      </c>
      <c r="K27" s="200">
        <v>2.1006</v>
      </c>
      <c r="L27" s="199">
        <f t="shared" ca="1" si="0"/>
        <v>0</v>
      </c>
      <c r="M27" s="115"/>
    </row>
    <row r="28" spans="1:13" ht="52">
      <c r="A28" s="117" t="s">
        <v>199</v>
      </c>
      <c r="B28" s="72" t="s">
        <v>228</v>
      </c>
      <c r="C28" s="72" t="s">
        <v>241</v>
      </c>
      <c r="D28" s="89" t="str">
        <f>VLOOKUP(C28,'BD EVA 5 GAR'!$D$3:$AE$113,6,0)</f>
        <v>octubre 18 - agosto 19</v>
      </c>
      <c r="E28" s="203">
        <f ca="1">VLOOKUP(C28,'BD EVA 5 GAR'!$D$3:$AE$113,16,0)</f>
        <v>2830</v>
      </c>
      <c r="F28" s="89" t="str">
        <f>VLOOKUP(C28,'BD EVA 5 GAR'!$D$3:$AE$113,12,0)</f>
        <v>octubre 23 - agosto 24</v>
      </c>
      <c r="G28" s="203">
        <f ca="1">VLOOKUP(C28,'BD EVA 5 GAR'!$D$3:$AE$113,28,0)</f>
        <v>1875</v>
      </c>
      <c r="H28" s="203">
        <f ca="1">VLOOKUP(C28,'BD EVA 5 GAR'!$D$3:$AE$113,21,0)</f>
        <v>2546.9999999999995</v>
      </c>
      <c r="I28" s="94">
        <f ca="1">(G28-E28)/(H28-E28)</f>
        <v>3.3745583038869205</v>
      </c>
      <c r="J28" s="89" t="s">
        <v>319</v>
      </c>
      <c r="K28" s="200">
        <v>2.2200000000000002</v>
      </c>
      <c r="L28" s="199">
        <f t="shared" ca="1" si="0"/>
        <v>2.2200000000000002</v>
      </c>
      <c r="M28" s="115"/>
    </row>
    <row r="29" spans="1:13" ht="26">
      <c r="A29" s="117" t="s">
        <v>243</v>
      </c>
      <c r="B29" s="92" t="s">
        <v>244</v>
      </c>
      <c r="C29" s="162" t="s">
        <v>338</v>
      </c>
      <c r="D29" s="75" t="str">
        <f>VLOOKUP(C29,'BD EVA 5 GAR'!$D$3:$AE$113,6,0)</f>
        <v>octubre 20 - agosto 21</v>
      </c>
      <c r="E29" s="203">
        <f ca="1">VLOOKUP(C29,'BD EVA 5 GAR'!$D$3:$AE$113,16,0)</f>
        <v>0</v>
      </c>
      <c r="F29" s="75" t="str">
        <f>VLOOKUP(C29,'BD EVA 5 GAR'!$D$3:$AE$113,12,0)</f>
        <v>octubre 23 - agosto 24</v>
      </c>
      <c r="G29" s="203">
        <f ca="1">VLOOKUP(C29,'BD EVA 5 GAR'!$D$3:$AE$113,28,0)</f>
        <v>16</v>
      </c>
      <c r="H29" s="203">
        <f>VLOOKUP(C29,'BD EVA 5 GAR'!$D$3:$AE$113,21,0)</f>
        <v>193.33333333333334</v>
      </c>
      <c r="I29" s="94">
        <f t="shared" ref="I29:I33" ca="1" si="7">G29/H29</f>
        <v>8.2758620689655171E-2</v>
      </c>
      <c r="J29" s="75" t="s">
        <v>318</v>
      </c>
      <c r="K29" s="164">
        <v>2</v>
      </c>
      <c r="L29" s="199">
        <f t="shared" ca="1" si="0"/>
        <v>0.16551724137931034</v>
      </c>
      <c r="M29" s="116">
        <f ca="1">SUM(L29:L33)</f>
        <v>4.519298850574712</v>
      </c>
    </row>
    <row r="30" spans="1:13" ht="65">
      <c r="A30" s="117" t="s">
        <v>243</v>
      </c>
      <c r="B30" s="92" t="s">
        <v>247</v>
      </c>
      <c r="C30" s="72" t="s">
        <v>248</v>
      </c>
      <c r="D30" s="75">
        <f>VLOOKUP(C30,'BD EVA 5 GAR'!$D$3:$AE$113,6,0)</f>
        <v>44469</v>
      </c>
      <c r="E30" s="203">
        <f ca="1">VLOOKUP(C30,'BD EVA 5 GAR'!$D$3:$AE$113,16,0)</f>
        <v>2</v>
      </c>
      <c r="F30" s="75" t="str">
        <f>VLOOKUP(C30,'BD EVA 5 GAR'!$D$3:$AE$113,12,0)</f>
        <v>Ago 2024</v>
      </c>
      <c r="G30" s="203">
        <f ca="1">VLOOKUP(C30,'BD EVA 5 GAR'!$D$3:$AE$113,28,0)</f>
        <v>2</v>
      </c>
      <c r="H30" s="203">
        <f>VLOOKUP(C30,'BD EVA 5 GAR'!$D$3:$AE$113,21,0)</f>
        <v>3</v>
      </c>
      <c r="I30" s="94">
        <f t="shared" ca="1" si="7"/>
        <v>0.66666666666666663</v>
      </c>
      <c r="J30" s="75" t="s">
        <v>318</v>
      </c>
      <c r="K30" s="164">
        <v>2</v>
      </c>
      <c r="L30" s="199">
        <f t="shared" ca="1" si="0"/>
        <v>1.3333333333333333</v>
      </c>
      <c r="M30" s="115"/>
    </row>
    <row r="31" spans="1:13" ht="91">
      <c r="A31" s="117" t="s">
        <v>243</v>
      </c>
      <c r="B31" s="92" t="s">
        <v>250</v>
      </c>
      <c r="C31" s="72" t="s">
        <v>251</v>
      </c>
      <c r="D31" s="75">
        <f>VLOOKUP(C31,'BD EVA 5 GAR'!$D$3:$AE$113,6,0)</f>
        <v>44440</v>
      </c>
      <c r="E31" s="203">
        <f ca="1">VLOOKUP(C31,'BD EVA 5 GAR'!$D$3:$AE$113,16,0)</f>
        <v>94.73</v>
      </c>
      <c r="F31" s="75">
        <f>VLOOKUP(C31,'BD EVA 5 GAR'!$D$3:$AE$113,12,0)</f>
        <v>45444</v>
      </c>
      <c r="G31" s="203">
        <f ca="1">VLOOKUP(C31,'BD EVA 5 GAR'!$D$3:$AE$113,28,0)</f>
        <v>95.85</v>
      </c>
      <c r="H31" s="203">
        <f>VLOOKUP(C31,'BD EVA 5 GAR'!$D$3:$AE$113,21,0)</f>
        <v>100</v>
      </c>
      <c r="I31" s="94">
        <f t="shared" ca="1" si="7"/>
        <v>0.95849999999999991</v>
      </c>
      <c r="J31" s="75" t="s">
        <v>318</v>
      </c>
      <c r="K31" s="164">
        <v>2</v>
      </c>
      <c r="L31" s="199">
        <f t="shared" ca="1" si="0"/>
        <v>1.9169999999999998</v>
      </c>
      <c r="M31" s="115"/>
    </row>
    <row r="32" spans="1:13" ht="260">
      <c r="A32" s="117" t="s">
        <v>243</v>
      </c>
      <c r="B32" s="92" t="s">
        <v>257</v>
      </c>
      <c r="C32" s="72" t="s">
        <v>258</v>
      </c>
      <c r="D32" s="75">
        <f>VLOOKUP(C32,'BD EVA 5 GAR'!$D$3:$AE$113,6,0)</f>
        <v>44440</v>
      </c>
      <c r="E32" s="199">
        <f ca="1">VLOOKUP(C32,'BD EVA 5 GAR'!$D$3:$AE$113,16,0)</f>
        <v>0</v>
      </c>
      <c r="F32" s="75" t="str">
        <f>VLOOKUP(C32,'BD EVA 5 GAR'!$D$3:$AE$113,12,0)</f>
        <v>Ago 2024</v>
      </c>
      <c r="G32" s="199">
        <f ca="1">VLOOKUP(C32,'BD EVA 5 GAR'!$D$3:$AE$113,28,0)</f>
        <v>0</v>
      </c>
      <c r="H32" s="199">
        <f>VLOOKUP(C32,'BD EVA 5 GAR'!$D$3:$AE$113,21,0)</f>
        <v>4</v>
      </c>
      <c r="I32" s="94">
        <f t="shared" ca="1" si="7"/>
        <v>0</v>
      </c>
      <c r="J32" s="75" t="s">
        <v>318</v>
      </c>
      <c r="K32" s="164">
        <v>2</v>
      </c>
      <c r="L32" s="199">
        <f t="shared" ca="1" si="0"/>
        <v>0</v>
      </c>
      <c r="M32" s="115"/>
    </row>
    <row r="33" spans="1:13" ht="91">
      <c r="A33" s="117" t="s">
        <v>243</v>
      </c>
      <c r="B33" s="72" t="s">
        <v>260</v>
      </c>
      <c r="C33" s="72" t="s">
        <v>273</v>
      </c>
      <c r="D33" s="89">
        <f>VLOOKUP(C33,'BD EVA 5 GAR'!$D$3:$AE$113,6,0)</f>
        <v>44440</v>
      </c>
      <c r="E33" s="197" t="str">
        <f ca="1">VLOOKUP(C33,'BD EVA 5 GAR'!$D$3:$AE$113,16,0)</f>
        <v/>
      </c>
      <c r="F33" s="89" t="str">
        <f>VLOOKUP(C33,'BD EVA 5 GAR'!$D$3:$AE$113,12,0)</f>
        <v>Ago 2024</v>
      </c>
      <c r="G33" s="197">
        <f ca="1">VLOOKUP(C33,'BD EVA 5 GAR'!$D$3:$AE$113,28,0)</f>
        <v>0.27586206896551702</v>
      </c>
      <c r="H33" s="197">
        <f>VLOOKUP(C33,'BD EVA 5 GAR'!$D$3:$AE$113,21,0)</f>
        <v>0.5</v>
      </c>
      <c r="I33" s="94">
        <f t="shared" ca="1" si="7"/>
        <v>0.55172413793103403</v>
      </c>
      <c r="J33" s="75" t="s">
        <v>318</v>
      </c>
      <c r="K33" s="164">
        <v>2</v>
      </c>
      <c r="L33" s="199">
        <f t="shared" ca="1" si="0"/>
        <v>1.1034482758620681</v>
      </c>
      <c r="M33" s="115"/>
    </row>
    <row r="34" spans="1:13" ht="91">
      <c r="A34" s="117" t="s">
        <v>275</v>
      </c>
      <c r="B34" s="92" t="s">
        <v>276</v>
      </c>
      <c r="C34" s="72" t="s">
        <v>282</v>
      </c>
      <c r="D34" s="75" t="str">
        <f>VLOOKUP(C34,'BD EVA 5 GAR'!$D$3:$AE$113,6,0)</f>
        <v>enero - junio 2021</v>
      </c>
      <c r="E34" s="78">
        <f ca="1">VLOOKUP(C34,'BD EVA 5 GAR'!$D$3:$AE$113,16,0)</f>
        <v>0.45378843460739599</v>
      </c>
      <c r="F34" s="75" t="str">
        <f>VLOOKUP(C34,'BD EVA 5 GAR'!$D$3:$AE$113,12,0)</f>
        <v>enero- junio 2024</v>
      </c>
      <c r="G34" s="78">
        <f ca="1">VLOOKUP(C34,'BD EVA 5 GAR'!$D$3:$AE$113,28,0)</f>
        <v>0.36682537044296598</v>
      </c>
      <c r="H34" s="78">
        <f>VLOOKUP(C34,'BD EVA 5 GAR'!$D$3:$AE$113,21,0)</f>
        <v>0.48783333333333334</v>
      </c>
      <c r="I34" s="78">
        <f ca="1">(G34/H34)</f>
        <v>0.75194814576624391</v>
      </c>
      <c r="J34" s="75" t="s">
        <v>318</v>
      </c>
      <c r="K34" s="200">
        <v>2.1631999999999998</v>
      </c>
      <c r="L34" s="199">
        <f t="shared" ca="1" si="0"/>
        <v>1.6266142289215386</v>
      </c>
      <c r="M34" s="116">
        <f ca="1">SUM(L34:L39)</f>
        <v>8.2525271475034643</v>
      </c>
    </row>
    <row r="35" spans="1:13" ht="117">
      <c r="A35" s="117" t="s">
        <v>275</v>
      </c>
      <c r="B35" s="92" t="s">
        <v>276</v>
      </c>
      <c r="C35" s="72" t="s">
        <v>287</v>
      </c>
      <c r="D35" s="75" t="str">
        <f>VLOOKUP(C35,'BD EVA 5 GAR'!$D$3:$AE$113,6,0)</f>
        <v>enero - junio 2021</v>
      </c>
      <c r="E35" s="94">
        <f ca="1">VLOOKUP(C35,'BD EVA 5 GAR'!$D$3:$AE$113,16,0)</f>
        <v>0.60089922562323295</v>
      </c>
      <c r="F35" s="75" t="str">
        <f>VLOOKUP(C35,'BD EVA 5 GAR'!$D$3:$AE$113,12,0)</f>
        <v>enero- junio 2024</v>
      </c>
      <c r="G35" s="94">
        <f ca="1">VLOOKUP(C35,'BD EVA 5 GAR'!$D$3:$AE$113,28,0)</f>
        <v>0.39317819382360503</v>
      </c>
      <c r="H35" s="94">
        <f>VLOOKUP(C35,'BD EVA 5 GAR'!$D$3:$AE$113,21,0)</f>
        <v>0.61016666666666663</v>
      </c>
      <c r="I35" s="94">
        <f ca="1">G35/H35</f>
        <v>0.64437835644403996</v>
      </c>
      <c r="J35" s="75" t="s">
        <v>318</v>
      </c>
      <c r="K35" s="200">
        <v>1.3520000000000001</v>
      </c>
      <c r="L35" s="199">
        <f t="shared" ca="1" si="0"/>
        <v>0.87119953791234206</v>
      </c>
      <c r="M35" s="115"/>
    </row>
    <row r="36" spans="1:13" ht="117">
      <c r="A36" s="117" t="s">
        <v>275</v>
      </c>
      <c r="B36" s="92" t="s">
        <v>276</v>
      </c>
      <c r="C36" s="72" t="s">
        <v>292</v>
      </c>
      <c r="D36" s="75" t="str">
        <f>VLOOKUP(C36,'BD EVA 5 GAR'!$D$3:$AE$113,6,0)</f>
        <v>enero - agosto 2021</v>
      </c>
      <c r="E36" s="94">
        <f ca="1">VLOOKUP(C36,'BD EVA 5 GAR'!$D$3:$AE$113,16,0)</f>
        <v>0.28117265838287397</v>
      </c>
      <c r="F36" s="75" t="str">
        <f>VLOOKUP(C36,'BD EVA 5 GAR'!$D$3:$AE$113,12,0)</f>
        <v>enero- agosto 2024</v>
      </c>
      <c r="G36" s="94">
        <f ca="1">VLOOKUP(C36,'BD EVA 5 GAR'!$D$3:$AE$113,28,0)</f>
        <v>0.28549215982863402</v>
      </c>
      <c r="H36" s="94">
        <f>VLOOKUP(C36,'BD EVA 5 GAR'!$D$3:$AE$113,21,0)</f>
        <v>0.37583333333333335</v>
      </c>
      <c r="I36" s="94">
        <f ca="1">IF(G36&lt;E36,0,G36/H36)</f>
        <v>0.75962437204958044</v>
      </c>
      <c r="J36" s="72" t="s">
        <v>316</v>
      </c>
      <c r="K36" s="200">
        <v>2.1631999999999998</v>
      </c>
      <c r="L36" s="199">
        <f t="shared" ca="1" si="0"/>
        <v>1.6432194416176522</v>
      </c>
      <c r="M36" s="115"/>
    </row>
    <row r="37" spans="1:13" ht="78">
      <c r="A37" s="117" t="s">
        <v>275</v>
      </c>
      <c r="B37" s="92" t="s">
        <v>276</v>
      </c>
      <c r="C37" s="72" t="s">
        <v>296</v>
      </c>
      <c r="D37" s="75" t="str">
        <f>VLOOKUP(C37,'BD EVA 5 GAR'!$D$3:$AE$113,6,0)</f>
        <v>enero - agosto 2021</v>
      </c>
      <c r="E37" s="163" t="str">
        <f ca="1">VLOOKUP(C37,'BD EVA 5 GAR'!$D$3:$AE$113,16,0)</f>
        <v/>
      </c>
      <c r="F37" s="75" t="str">
        <f>VLOOKUP(C37,'BD EVA 5 GAR'!$D$3:$AE$113,12,0)</f>
        <v>enero- agosto 2024</v>
      </c>
      <c r="G37" s="163">
        <f ca="1">VLOOKUP(C37,'BD EVA 5 GAR'!$D$3:$AE$113,28,0)</f>
        <v>107116137.97</v>
      </c>
      <c r="H37" s="163">
        <f>VLOOKUP(C37,'BD EVA 5 GAR'!$D$3:$AE$113,21,0)</f>
        <v>109023232.17500001</v>
      </c>
      <c r="I37" s="94">
        <f ca="1">G37/H37</f>
        <v>0.98250745123811023</v>
      </c>
      <c r="J37" s="75" t="s">
        <v>318</v>
      </c>
      <c r="K37" s="200">
        <v>1.0815999999999999</v>
      </c>
      <c r="L37" s="199">
        <f t="shared" ca="1" si="0"/>
        <v>1.0626800592591399</v>
      </c>
      <c r="M37" s="115"/>
    </row>
    <row r="38" spans="1:13" ht="26">
      <c r="A38" s="117" t="s">
        <v>275</v>
      </c>
      <c r="B38" s="92" t="s">
        <v>298</v>
      </c>
      <c r="C38" s="162" t="s">
        <v>301</v>
      </c>
      <c r="D38" s="75" t="str">
        <f>VLOOKUP(C38,'BD EVA 5 GAR'!$D$3:$AE$113,6,0)</f>
        <v>enero - junio 2021</v>
      </c>
      <c r="E38" s="94">
        <f ca="1">VLOOKUP(C38,'BD EVA 5 GAR'!$D$3:$AE$113,16,0)</f>
        <v>0.59312141957452502</v>
      </c>
      <c r="F38" s="75" t="str">
        <f>VLOOKUP(C38,'BD EVA 5 GAR'!$D$3:$AE$113,12,0)</f>
        <v>enero- junio 2024</v>
      </c>
      <c r="G38" s="94">
        <f ca="1">VLOOKUP(C38,'BD EVA 5 GAR'!$D$3:$AE$113,28,0)</f>
        <v>0.92159659044672904</v>
      </c>
      <c r="H38" s="94">
        <f>VLOOKUP(C38,'BD EVA 5 GAR'!$D$3:$AE$113,21,0)</f>
        <v>0.81283333333333341</v>
      </c>
      <c r="I38" s="94">
        <f ca="1">(H38/G38)</f>
        <v>0.88198387641530396</v>
      </c>
      <c r="J38" s="71" t="s">
        <v>341</v>
      </c>
      <c r="K38" s="200">
        <v>1.62</v>
      </c>
      <c r="L38" s="199">
        <f t="shared" ca="1" si="0"/>
        <v>1.4288138797927925</v>
      </c>
      <c r="M38" s="115"/>
    </row>
    <row r="39" spans="1:13" ht="78">
      <c r="A39" s="117" t="s">
        <v>275</v>
      </c>
      <c r="B39" s="92" t="s">
        <v>303</v>
      </c>
      <c r="C39" s="72" t="s">
        <v>304</v>
      </c>
      <c r="D39" s="89">
        <f>VLOOKUP(C39,'BD EVA 5 GAR'!$D$3:$AE$113,6,0)</f>
        <v>44348</v>
      </c>
      <c r="E39" s="164" t="str">
        <f ca="1">VLOOKUP(C39,'BD EVA 5 GAR'!$D$3:$AE$113,16,0)</f>
        <v>Verde</v>
      </c>
      <c r="F39" s="89">
        <f>VLOOKUP(C39,'BD EVA 5 GAR'!$D$3:$AE$113,12,0)</f>
        <v>45473</v>
      </c>
      <c r="G39" s="164" t="str">
        <f ca="1">VLOOKUP(C39,'BD EVA 5 GAR'!$D$3:$AE$113,28,0)</f>
        <v>Verde</v>
      </c>
      <c r="H39" s="164" t="str">
        <f>VLOOKUP(C39,'BD EVA 5 GAR'!$D$3:$AE$113,21,0)</f>
        <v>Verde</v>
      </c>
      <c r="I39" s="164">
        <f ca="1">IF(G39="Verde",1,0)</f>
        <v>1</v>
      </c>
      <c r="J39" s="75" t="s">
        <v>318</v>
      </c>
      <c r="K39" s="200">
        <v>1.62</v>
      </c>
      <c r="L39" s="199">
        <f t="shared" ca="1" si="0"/>
        <v>1.62</v>
      </c>
      <c r="M39" s="115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4F00-8603-D543-9017-03F2684B9B8C}">
  <dimension ref="A1:M16"/>
  <sheetViews>
    <sheetView workbookViewId="0"/>
  </sheetViews>
  <sheetFormatPr baseColWidth="10" defaultRowHeight="16"/>
  <cols>
    <col min="1" max="1" width="22.33203125" customWidth="1"/>
    <col min="2" max="2" width="12.6640625" customWidth="1"/>
    <col min="4" max="4" width="12.33203125" customWidth="1"/>
    <col min="6" max="6" width="12.83203125" customWidth="1"/>
    <col min="8" max="8" width="12.33203125" customWidth="1"/>
    <col min="10" max="10" width="12.1640625" customWidth="1"/>
  </cols>
  <sheetData>
    <row r="1" spans="1:13" ht="22">
      <c r="A1" s="220" t="s">
        <v>376</v>
      </c>
      <c r="M1" s="248"/>
    </row>
    <row r="2" spans="1:13">
      <c r="A2" s="221" t="s">
        <v>425</v>
      </c>
      <c r="M2" s="248"/>
    </row>
    <row r="3" spans="1:13">
      <c r="M3" s="248"/>
    </row>
    <row r="4" spans="1:13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  <c r="M4" s="248"/>
    </row>
    <row r="5" spans="1:13">
      <c r="A5" s="222" t="s">
        <v>34</v>
      </c>
      <c r="B5" s="227">
        <v>0.1</v>
      </c>
      <c r="C5" s="229">
        <f ca="1">'EVA 1 GAR'!M2</f>
        <v>9.128440366972475</v>
      </c>
      <c r="D5" s="228">
        <v>8.5000000000000006E-2</v>
      </c>
      <c r="E5" s="229">
        <f ca="1">'EVA 2 GAR'!M2</f>
        <v>9.6514093229775568</v>
      </c>
      <c r="F5" s="228">
        <v>0.1</v>
      </c>
      <c r="G5" s="229">
        <f ca="1">'EVA 3 GAR'!M2</f>
        <v>9.4238439458257517</v>
      </c>
      <c r="H5" s="228">
        <v>8.5000000000000006E-2</v>
      </c>
      <c r="I5" s="229">
        <f>'EVA 4 GAR'!M2</f>
        <v>9.2140231159146637</v>
      </c>
      <c r="J5" s="228">
        <v>8.5000000000000006E-2</v>
      </c>
      <c r="K5" s="229">
        <f ca="1">'EVA 5 GAR'!M2</f>
        <v>9.3080512728962859</v>
      </c>
      <c r="L5" s="236">
        <f ca="1">AVERAGE(C5,E5,G5,I5,K5)</f>
        <v>9.3451536049173463</v>
      </c>
      <c r="M5" s="248"/>
    </row>
    <row r="6" spans="1:13">
      <c r="A6" s="222" t="s">
        <v>52</v>
      </c>
      <c r="B6" s="227">
        <v>0.22</v>
      </c>
      <c r="C6" s="229">
        <f ca="1">'EVA 1 GAR'!M5</f>
        <v>1.5859999999999999</v>
      </c>
      <c r="D6" s="228">
        <v>0.188</v>
      </c>
      <c r="E6" s="229">
        <f ca="1">'EVA 2 GAR'!M5</f>
        <v>0.26685393258426959</v>
      </c>
      <c r="F6" s="228">
        <v>0.221</v>
      </c>
      <c r="G6" s="229">
        <f ca="1">'EVA 3 GAR'!M5</f>
        <v>2.4704654895666107</v>
      </c>
      <c r="H6" s="228">
        <v>0.188</v>
      </c>
      <c r="I6" s="229">
        <f>'EVA 4 GAR'!M5</f>
        <v>3.3</v>
      </c>
      <c r="J6" s="228">
        <v>0.188</v>
      </c>
      <c r="K6" s="229">
        <f ca="1">'EVA 5 GAR'!M5</f>
        <v>2.8246014944481157</v>
      </c>
      <c r="L6" s="236">
        <f t="shared" ref="L6:L11" ca="1" si="0">AVERAGE(C6,E6,G6,I6,K6)</f>
        <v>2.0895841833197992</v>
      </c>
      <c r="M6" s="248"/>
    </row>
    <row r="7" spans="1:13">
      <c r="A7" s="222" t="s">
        <v>119</v>
      </c>
      <c r="B7" s="227">
        <v>0.11</v>
      </c>
      <c r="C7" s="229">
        <f ca="1">'EVA 1 GAR'!M11</f>
        <v>6.6582000000000008</v>
      </c>
      <c r="D7" s="228">
        <v>9.5000000000000001E-2</v>
      </c>
      <c r="E7" s="229">
        <f ca="1">'EVA 2 GAR'!M11</f>
        <v>1.9574666666666667</v>
      </c>
      <c r="F7" s="228">
        <v>0.111</v>
      </c>
      <c r="G7" s="229">
        <f ca="1">'EVA 3 GAR'!M11</f>
        <v>4.8672000000000004</v>
      </c>
      <c r="H7" s="228">
        <v>9.5000000000000001E-2</v>
      </c>
      <c r="I7" s="229">
        <f>'EVA 4 GAR'!M11</f>
        <v>4.6235200000000001</v>
      </c>
      <c r="J7" s="228">
        <v>9.5000000000000001E-2</v>
      </c>
      <c r="K7" s="229">
        <f ca="1">'EVA 5 GAR'!M11</f>
        <v>4.4453714285714288</v>
      </c>
      <c r="L7" s="236">
        <f t="shared" ca="1" si="0"/>
        <v>4.5103516190476203</v>
      </c>
      <c r="M7" s="248"/>
    </row>
    <row r="8" spans="1:13">
      <c r="A8" s="222" t="s">
        <v>378</v>
      </c>
      <c r="B8" s="227">
        <v>0.24</v>
      </c>
      <c r="C8" s="229">
        <f ca="1">'EVA 1 GAR'!M15</f>
        <v>4.6033133961369854</v>
      </c>
      <c r="D8" s="228">
        <v>0.2</v>
      </c>
      <c r="E8" s="229">
        <f ca="1">'EVA 2 GAR'!M16</f>
        <v>4.2195479289892743</v>
      </c>
      <c r="F8" s="228">
        <v>0.23699999999999999</v>
      </c>
      <c r="G8" s="229">
        <f ca="1">'EVA 3 GAR'!M16</f>
        <v>4.3007081470380308</v>
      </c>
      <c r="H8" s="228">
        <v>0.2</v>
      </c>
      <c r="I8" s="229">
        <f>'EVA 4 GAR'!M16</f>
        <v>4.3576937075492275</v>
      </c>
      <c r="J8" s="228">
        <v>0.2</v>
      </c>
      <c r="K8" s="229">
        <f ca="1">'EVA 5 GAR'!M16</f>
        <v>4.4254769958747424</v>
      </c>
      <c r="L8" s="236">
        <f t="shared" ca="1" si="0"/>
        <v>4.3813480351176519</v>
      </c>
      <c r="M8" s="248"/>
    </row>
    <row r="9" spans="1:13">
      <c r="A9" s="222" t="s">
        <v>199</v>
      </c>
      <c r="B9" s="227">
        <v>0.17</v>
      </c>
      <c r="C9" s="229">
        <f ca="1">'EVA 1 GAR'!M23</f>
        <v>7.1402222222222225</v>
      </c>
      <c r="D9" s="228">
        <v>0.14499999999999999</v>
      </c>
      <c r="E9" s="229">
        <f ca="1">'EVA 2 GAR'!M24</f>
        <v>4.0994490116487876</v>
      </c>
      <c r="F9" s="228">
        <v>0.17</v>
      </c>
      <c r="G9" s="229">
        <f ca="1">'EVA 3 GAR'!M24</f>
        <v>5.4833333333333334</v>
      </c>
      <c r="H9" s="228">
        <v>0.14499999999999999</v>
      </c>
      <c r="I9" s="229">
        <f>'EVA 4 GAR'!M24</f>
        <v>4.3206000000000007</v>
      </c>
      <c r="J9" s="228">
        <v>0.14499999999999999</v>
      </c>
      <c r="K9" s="229">
        <f ca="1">'EVA 5 GAR'!M24</f>
        <v>2.5495326964495062</v>
      </c>
      <c r="L9" s="236">
        <f t="shared" ca="1" si="0"/>
        <v>4.7186274527307708</v>
      </c>
      <c r="M9" s="248"/>
    </row>
    <row r="10" spans="1:13">
      <c r="A10" s="222" t="s">
        <v>243</v>
      </c>
      <c r="B10" s="227">
        <v>0.16</v>
      </c>
      <c r="C10" s="229">
        <f ca="1">'EVA 1 GAR'!M27</f>
        <v>7.2744999999999997</v>
      </c>
      <c r="D10" s="228">
        <v>0.13800000000000001</v>
      </c>
      <c r="E10" s="229">
        <f ca="1">'EVA 2 GAR'!M29</f>
        <v>7.0237605633802804</v>
      </c>
      <c r="F10" s="228">
        <v>0.161</v>
      </c>
      <c r="G10" s="229">
        <f ca="1">'EVA 3 GAR'!M28</f>
        <v>6.2839999999999998</v>
      </c>
      <c r="H10" s="228">
        <v>0.13800000000000001</v>
      </c>
      <c r="I10" s="229">
        <f>'EVA 4 GAR'!M29</f>
        <v>4.5650874316939856</v>
      </c>
      <c r="J10" s="228">
        <v>0.13800000000000001</v>
      </c>
      <c r="K10" s="229">
        <f ca="1">'EVA 5 GAR'!M29</f>
        <v>4.519298850574712</v>
      </c>
      <c r="L10" s="236">
        <f t="shared" ca="1" si="0"/>
        <v>5.9333293691297957</v>
      </c>
      <c r="M10" s="248"/>
    </row>
    <row r="11" spans="1:13">
      <c r="A11" s="222" t="s">
        <v>379</v>
      </c>
      <c r="B11" s="232"/>
      <c r="C11" s="235"/>
      <c r="D11" s="228">
        <v>0.14899999999999999</v>
      </c>
      <c r="E11" s="229">
        <f ca="1">'EVA 2 GAR'!M34</f>
        <v>7.1873608841046863</v>
      </c>
      <c r="F11" s="232"/>
      <c r="G11" s="232"/>
      <c r="H11" s="228">
        <v>0.14899999999999999</v>
      </c>
      <c r="I11" s="229">
        <f>'EVA 4 GAR'!M34</f>
        <v>7.2079928110026064</v>
      </c>
      <c r="J11" s="228">
        <v>0.14899999999999999</v>
      </c>
      <c r="K11" s="229">
        <f ca="1">'EVA 5 GAR'!M34</f>
        <v>8.2525271475034643</v>
      </c>
      <c r="L11" s="236">
        <f t="shared" ca="1" si="0"/>
        <v>7.5492936142035854</v>
      </c>
      <c r="M11" s="248"/>
    </row>
    <row r="12" spans="1:13">
      <c r="A12" s="223" t="s">
        <v>392</v>
      </c>
      <c r="B12" s="234"/>
      <c r="C12" s="231">
        <f ca="1">SUMPRODUCT(B5:B10,C5:C10)</f>
        <v>5.476719029547902</v>
      </c>
      <c r="D12" s="234"/>
      <c r="E12" s="231">
        <f ca="1">SUMPRODUCT(D5:D11,E5:E11)</f>
        <v>4.5350230870772741</v>
      </c>
      <c r="F12" s="234"/>
      <c r="G12" s="231">
        <f ca="1">SUMPRODUCT(F5:F10,G5:G10)</f>
        <v>4.9917749652914765</v>
      </c>
      <c r="H12" s="234"/>
      <c r="I12" s="231">
        <f>SUMPRODUCT(H5:H11,I5:I11)</f>
        <v>5.0448251007757499</v>
      </c>
      <c r="J12" s="233"/>
      <c r="K12" s="231">
        <f ca="1">SUMPRODUCT(J5:J11,K5:K11)</f>
        <v>4.852587151384169</v>
      </c>
      <c r="L12" s="238"/>
      <c r="M12" s="248"/>
    </row>
    <row r="13" spans="1:13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M13" s="248"/>
    </row>
    <row r="14" spans="1:13">
      <c r="M14" s="248"/>
    </row>
    <row r="15" spans="1:13" ht="32">
      <c r="A15" s="237" t="s">
        <v>390</v>
      </c>
      <c r="B15" s="231">
        <f ca="1">AVERAGE(C12,E12,G12,I12,K12)</f>
        <v>4.9801858668153143</v>
      </c>
      <c r="M15" s="248"/>
    </row>
    <row r="16" spans="1:13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B511-B8B9-0546-987B-6CC3813C9C13}">
  <dimension ref="A1:AC108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715442</v>
      </c>
      <c r="Q2" s="5">
        <v>715442</v>
      </c>
      <c r="R2" s="13"/>
      <c r="S2" s="316"/>
      <c r="T2" s="316"/>
      <c r="U2" s="316"/>
      <c r="V2" s="316"/>
      <c r="W2" s="316"/>
      <c r="X2" s="5">
        <v>721449</v>
      </c>
      <c r="Y2" s="5">
        <v>721449</v>
      </c>
      <c r="Z2" s="5">
        <v>728541</v>
      </c>
      <c r="AA2" s="5">
        <v>728541</v>
      </c>
      <c r="AB2" s="5">
        <v>736824</v>
      </c>
      <c r="AC2" s="5">
        <v>736824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845</v>
      </c>
      <c r="Q3" s="2">
        <v>845</v>
      </c>
      <c r="R3" s="13">
        <v>846</v>
      </c>
      <c r="S3" s="13">
        <v>847</v>
      </c>
      <c r="T3" s="13">
        <v>848</v>
      </c>
      <c r="U3" s="13">
        <v>849</v>
      </c>
      <c r="V3" s="13">
        <v>853</v>
      </c>
      <c r="W3" s="13">
        <v>853</v>
      </c>
      <c r="X3" s="2">
        <v>832</v>
      </c>
      <c r="Y3" s="2">
        <f ca="1">IFERROR(__xludf.DUMMYFUNCTION("INDEX(IMPORTRANGE(""1y0FWgjbB0gVlqn-q5LMJbGIsqOrzru4yowQz67dz2yc"", ""'GPE'!AM3:AM139""),MATCH(D3,IMPORTRANGE(""1y0FWgjbB0gVlqn-q5LMJbGIsqOrzru4yowQz67dz2yc"", ""'GPE'!D3:D139""),0))"),847)</f>
        <v>847</v>
      </c>
      <c r="Z3" s="1"/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838</v>
      </c>
      <c r="Q4" s="2">
        <v>838</v>
      </c>
      <c r="R4" s="13"/>
      <c r="S4" s="13"/>
      <c r="T4" s="13"/>
      <c r="U4" s="13"/>
      <c r="V4" s="13"/>
      <c r="W4" s="13"/>
      <c r="X4" s="2">
        <v>815</v>
      </c>
      <c r="Y4" s="2">
        <f ca="1">IFERROR(__xludf.DUMMYFUNCTION("INDEX(IMPORTRANGE(""1y0FWgjbB0gVlqn-q5LMJbGIsqOrzru4yowQz67dz2yc"", ""'GPE'!AM3:AM139""),MATCH(D4,IMPORTRANGE(""1y0FWgjbB0gVlqn-q5LMJbGIsqOrzru4yowQz67dz2yc"", ""'GPE'!D3:D139""),0))"),838)</f>
        <v>838</v>
      </c>
      <c r="Z4" s="1"/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56" t="s">
        <v>43</v>
      </c>
      <c r="E5" s="7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0.99171597633136099</v>
      </c>
      <c r="Q5" s="15">
        <f t="shared" si="0"/>
        <v>0.99171597633136099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0.97956730769230771</v>
      </c>
      <c r="Y5" s="15">
        <f ca="1">IFERROR(__xludf.DUMMYFUNCTION("INDEX(IMPORTRANGE(""1y0FWgjbB0gVlqn-q5LMJbGIsqOrzru4yowQz67dz2yc"", ""'GPE'!AM3:AM139""),MATCH(D5,IMPORTRANGE(""1y0FWgjbB0gVlqn-q5LMJbGIsqOrzru4yowQz67dz2yc"", ""'GPE'!D3:D139""),0))"),0.989374262101534)</f>
        <v>0.98937426210153401</v>
      </c>
      <c r="Z5" s="1"/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56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2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""'GPE'!AM3:AM139""),MATCH(D6,IMPORTRANGE(""1y0FWgjbB0gVlqn-q5LMJbGIsqOrzru4yowQz67dz2yc"", ""'GPE'!D3:D139""),0))"),19)</f>
        <v>19</v>
      </c>
      <c r="Z6" s="1"/>
      <c r="AA6" s="1"/>
      <c r="AB6" s="1"/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7"/>
      <c r="Q7" s="2"/>
      <c r="R7" s="1"/>
      <c r="S7" s="1"/>
      <c r="T7" s="1"/>
      <c r="U7" s="1"/>
      <c r="V7" s="1"/>
      <c r="W7" s="1"/>
      <c r="X7" s="18"/>
      <c r="Y7" s="2">
        <f ca="1">IFERROR(__xludf.DUMMYFUNCTION("INDEX(IMPORTRANGE(""1y0FWgjbB0gVlqn-q5LMJbGIsqOrzru4yowQz67dz2yc"", ""'GPE'!AM3:AM139""),MATCH(D7,IMPORTRANGE(""1y0FWgjbB0gVlqn-q5LMJbGIsqOrzru4yowQz67dz2yc"", ""'GPE'!D3:D139""),0))"),0)</f>
        <v>0</v>
      </c>
      <c r="Z7" s="1"/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5">
        <f t="shared" si="1"/>
        <v>0</v>
      </c>
      <c r="R8" s="54">
        <v>4.1999999999999997E-3</v>
      </c>
      <c r="S8" s="54">
        <v>8.3999999999999995E-3</v>
      </c>
      <c r="T8" s="54">
        <v>1.26E-2</v>
      </c>
      <c r="U8" s="54">
        <v>2.1000000000000001E-2</v>
      </c>
      <c r="V8" s="31">
        <v>0.03</v>
      </c>
      <c r="W8" s="31">
        <v>0.03</v>
      </c>
      <c r="X8" s="19">
        <f>X6/X3</f>
        <v>0</v>
      </c>
      <c r="Y8" s="15">
        <f ca="1">IFERROR(__xludf.DUMMYFUNCTION("INDEX(IMPORTRANGE(""1y0FWgjbB0gVlqn-q5LMJbGIsqOrzru4yowQz67dz2yc"", ""'GPE'!AM3:AM139""),MATCH(D8,IMPORTRANGE(""1y0FWgjbB0gVlqn-q5LMJbGIsqOrzru4yowQz67dz2yc"", ""'GPE'!D3:D139""),0))"),0.0224321133412042)</f>
        <v>2.24321133412042E-2</v>
      </c>
      <c r="Z8" s="1"/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553</v>
      </c>
      <c r="Q9" s="2">
        <v>809</v>
      </c>
      <c r="R9" s="13"/>
      <c r="S9" s="13"/>
      <c r="T9" s="13"/>
      <c r="U9" s="13"/>
      <c r="V9" s="13"/>
      <c r="W9" s="13"/>
      <c r="X9" s="12">
        <v>73</v>
      </c>
      <c r="Y9" s="2">
        <f ca="1">IFERROR(__xludf.DUMMYFUNCTION("INDEX(IMPORTRANGE(""1y0FWgjbB0gVlqn-q5LMJbGIsqOrzru4yowQz67dz2yc"", ""'GPE'!AM3:AM139""),MATCH(D9,IMPORTRANGE(""1y0FWgjbB0gVlqn-q5LMJbGIsqOrzru4yowQz67dz2yc"", ""'GPE'!D3:D139""),0))"),550)</f>
        <v>550</v>
      </c>
      <c r="Z9" s="1"/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4793</v>
      </c>
      <c r="Q10" s="2">
        <v>7857</v>
      </c>
      <c r="R10" s="13"/>
      <c r="S10" s="13"/>
      <c r="T10" s="13"/>
      <c r="U10" s="13"/>
      <c r="V10" s="13"/>
      <c r="W10" s="13"/>
      <c r="X10" s="12">
        <v>2050</v>
      </c>
      <c r="Y10" s="12">
        <f ca="1">IFERROR(__xludf.DUMMYFUNCTION("INDEX(IMPORTRANGE(""1y0FWgjbB0gVlqn-q5LMJbGIsqOrzru4yowQz67dz2yc"", ""'GPE'!AM3:AM139""),MATCH(D10,IMPORTRANGE(""1y0FWgjbB0gVlqn-q5LMJbGIsqOrzru4yowQz67dz2yc"", ""'GPE'!D3:D139""),0))"),4960)</f>
        <v>4960</v>
      </c>
      <c r="Z10" s="1"/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0.11537659086167328</v>
      </c>
      <c r="Q11" s="15">
        <f t="shared" si="2"/>
        <v>0.10296550846379025</v>
      </c>
      <c r="R11" s="47">
        <v>0.1018</v>
      </c>
      <c r="S11" s="47">
        <v>0.1273</v>
      </c>
      <c r="T11" s="47">
        <v>0.1336</v>
      </c>
      <c r="U11" s="47">
        <v>0.14000000000000001</v>
      </c>
      <c r="V11" s="47">
        <v>0.16300000000000001</v>
      </c>
      <c r="W11" s="47">
        <v>0.16300000000000001</v>
      </c>
      <c r="X11" s="15">
        <f>X9/X10</f>
        <v>3.5609756097560973E-2</v>
      </c>
      <c r="Y11" s="15">
        <f ca="1">IFERROR(__xludf.DUMMYFUNCTION("INDEX(IMPORTRANGE(""1y0FWgjbB0gVlqn-q5LMJbGIsqOrzru4yowQz67dz2yc"", ""'GPE'!AM3:AM139""),MATCH(D11,IMPORTRANGE(""1y0FWgjbB0gVlqn-q5LMJbGIsqOrzru4yowQz67dz2yc"", ""'GPE'!D3:D139""),0))"),0.110887096774193)</f>
        <v>0.11088709677419301</v>
      </c>
      <c r="Z11" s="1"/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46</v>
      </c>
      <c r="Q12" s="12">
        <v>105</v>
      </c>
      <c r="R12" s="13"/>
      <c r="S12" s="13"/>
      <c r="T12" s="13"/>
      <c r="U12" s="13"/>
      <c r="V12" s="13"/>
      <c r="W12" s="13"/>
      <c r="X12" s="12">
        <v>33</v>
      </c>
      <c r="Y12" s="12">
        <f ca="1">IFERROR(__xludf.DUMMYFUNCTION("INDEX(IMPORTRANGE(""1y0FWgjbB0gVlqn-q5LMJbGIsqOrzru4yowQz67dz2yc"", ""'GPE'!AM3:AM139""),MATCH(D12,IMPORTRANGE(""1y0FWgjbB0gVlqn-q5LMJbGIsqOrzru4yowQz67dz2yc"", ""'GPE'!D3:D139""),0))"),119)</f>
        <v>119</v>
      </c>
      <c r="Z12" s="1"/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6.4295917768316642</v>
      </c>
      <c r="Q13" s="23">
        <f t="shared" si="3"/>
        <v>14.67624209928967</v>
      </c>
      <c r="R13" s="1">
        <v>14.6616</v>
      </c>
      <c r="S13" s="1">
        <v>6.4135</v>
      </c>
      <c r="T13" s="1">
        <v>14.6175</v>
      </c>
      <c r="U13" s="1">
        <v>6.391</v>
      </c>
      <c r="V13" s="1">
        <v>14.529500000000001</v>
      </c>
      <c r="W13" s="1">
        <v>14.515000000000001</v>
      </c>
      <c r="X13" s="23">
        <f>(X12/X$2)*100000</f>
        <v>4.574127900932706</v>
      </c>
      <c r="Y13" s="23">
        <f ca="1">IFERROR(__xludf.DUMMYFUNCTION("INDEX(IMPORTRANGE(""1y0FWgjbB0gVlqn-q5LMJbGIsqOrzru4yowQz67dz2yc"", ""'GPE'!AM3:AM139""),MATCH(D13,IMPORTRANGE(""1y0FWgjbB0gVlqn-q5LMJbGIsqOrzru4yowQz67dz2yc"", ""'GPE'!D3:D139""),0))"),16.4945824306361)</f>
        <v>16.4945824306361</v>
      </c>
      <c r="Z13" s="1"/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214</v>
      </c>
      <c r="Q14" s="12">
        <v>454</v>
      </c>
      <c r="R14" s="13"/>
      <c r="S14" s="13"/>
      <c r="T14" s="13"/>
      <c r="U14" s="13"/>
      <c r="V14" s="13"/>
      <c r="W14" s="13"/>
      <c r="X14" s="12">
        <v>186</v>
      </c>
      <c r="Y14" s="12">
        <f ca="1">IFERROR(__xludf.DUMMYFUNCTION("INDEX(IMPORTRANGE(""1y0FWgjbB0gVlqn-q5LMJbGIsqOrzru4yowQz67dz2yc"", ""'GPE'!AM3:AM139""),MATCH(D14,IMPORTRANGE(""1y0FWgjbB0gVlqn-q5LMJbGIsqOrzru4yowQz67dz2yc"", ""'GPE'!D3:D139""),0))"),324)</f>
        <v>324</v>
      </c>
      <c r="Z14" s="1"/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416</v>
      </c>
      <c r="Q15" s="12">
        <v>883</v>
      </c>
      <c r="R15" s="13"/>
      <c r="S15" s="13"/>
      <c r="T15" s="13"/>
      <c r="U15" s="13"/>
      <c r="V15" s="13"/>
      <c r="W15" s="13"/>
      <c r="X15" s="12">
        <v>642</v>
      </c>
      <c r="Y15" s="12">
        <f ca="1">IFERROR(__xludf.DUMMYFUNCTION("INDEX(IMPORTRANGE(""1y0FWgjbB0gVlqn-q5LMJbGIsqOrzru4yowQz67dz2yc"", ""'GPE'!AM3:AM139""),MATCH(D15,IMPORTRANGE(""1y0FWgjbB0gVlqn-q5LMJbGIsqOrzru4yowQz67dz2yc"", ""'GPE'!D3:D139""),0))"),1110)</f>
        <v>1110</v>
      </c>
      <c r="Z15" s="1"/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226</v>
      </c>
      <c r="Q16" s="12">
        <v>471</v>
      </c>
      <c r="R16" s="13"/>
      <c r="S16" s="13"/>
      <c r="T16" s="13"/>
      <c r="U16" s="13"/>
      <c r="V16" s="13"/>
      <c r="W16" s="13"/>
      <c r="X16" s="12">
        <v>189</v>
      </c>
      <c r="Y16" s="12">
        <f ca="1">IFERROR(__xludf.DUMMYFUNCTION("INDEX(IMPORTRANGE(""1y0FWgjbB0gVlqn-q5LMJbGIsqOrzru4yowQz67dz2yc"", ""'GPE'!AM3:AM139""),MATCH(D16,IMPORTRANGE(""1y0FWgjbB0gVlqn-q5LMJbGIsqOrzru4yowQz67dz2yc"", ""'GPE'!D3:D139""),0))"),359)</f>
        <v>359</v>
      </c>
      <c r="Z16" s="1"/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108</v>
      </c>
      <c r="Q17" s="12">
        <v>216</v>
      </c>
      <c r="R17" s="13"/>
      <c r="S17" s="13"/>
      <c r="T17" s="13"/>
      <c r="U17" s="13"/>
      <c r="V17" s="13"/>
      <c r="W17" s="13"/>
      <c r="X17" s="12">
        <v>75</v>
      </c>
      <c r="Y17" s="12">
        <f ca="1">IFERROR(__xludf.DUMMYFUNCTION("INDEX(IMPORTRANGE(""1y0FWgjbB0gVlqn-q5LMJbGIsqOrzru4yowQz67dz2yc"", ""'GPE'!AM3:AM139""),MATCH(D17,IMPORTRANGE(""1y0FWgjbB0gVlqn-q5LMJbGIsqOrzru4yowQz67dz2yc"", ""'GPE'!D3:D139""),0))"),129)</f>
        <v>129</v>
      </c>
      <c r="Z17" s="1"/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134.74187984490706</v>
      </c>
      <c r="Q18" s="23">
        <f t="shared" si="4"/>
        <v>282.90203818059325</v>
      </c>
      <c r="R18" s="266">
        <f>(1-0.1%)*Q18</f>
        <v>282.61913614241269</v>
      </c>
      <c r="S18" s="266">
        <f>(1-0.25%)*P18</f>
        <v>134.40502514529479</v>
      </c>
      <c r="T18" s="266">
        <f>(1-0.4%)*Q18</f>
        <v>281.77043002787087</v>
      </c>
      <c r="U18" s="266">
        <f>(1-0.6%)*P18</f>
        <v>133.93342856583763</v>
      </c>
      <c r="V18" s="266">
        <f t="shared" ref="V18:W18" si="5">(1-1%)*Q18</f>
        <v>280.0730177987873</v>
      </c>
      <c r="W18" s="266">
        <f t="shared" si="5"/>
        <v>279.79294478098853</v>
      </c>
      <c r="X18" s="23">
        <f>(SUM(X14:X17)/X2)*100000</f>
        <v>151.36205053995502</v>
      </c>
      <c r="Y18" s="23">
        <f ca="1">IFERROR(__xludf.DUMMYFUNCTION("INDEX(IMPORTRANGE(""1y0FWgjbB0gVlqn-q5LMJbGIsqOrzru4yowQz67dz2yc"", ""'GPE'!AM3:AM139""),MATCH(D18,IMPORTRANGE(""1y0FWgjbB0gVlqn-q5LMJbGIsqOrzru4yowQz67dz2yc"", ""'GPE'!D3:D139""),0))"),266.408297745232)</f>
        <v>266.40829774523201</v>
      </c>
      <c r="Z18" s="1"/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1839</v>
      </c>
      <c r="Q19" s="12">
        <v>3825</v>
      </c>
      <c r="R19" s="13"/>
      <c r="S19" s="13"/>
      <c r="T19" s="13"/>
      <c r="U19" s="13"/>
      <c r="V19" s="13"/>
      <c r="W19" s="13"/>
      <c r="X19" s="12">
        <v>1720</v>
      </c>
      <c r="Y19" s="12">
        <f ca="1">IFERROR(__xludf.DUMMYFUNCTION("INDEX(IMPORTRANGE(""1y0FWgjbB0gVlqn-q5LMJbGIsqOrzru4yowQz67dz2yc"", ""'GPE'!AM3:AM139""),MATCH(D19,IMPORTRANGE(""1y0FWgjbB0gVlqn-q5LMJbGIsqOrzru4yowQz67dz2yc"", ""'GPE'!D3:D139""),0))"),3807)</f>
        <v>3807</v>
      </c>
      <c r="Z19" s="1"/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(P19/P$2)*100000</f>
        <v>257.04389733898768</v>
      </c>
      <c r="Q20" s="23">
        <f t="shared" si="6"/>
        <v>534.63453361698089</v>
      </c>
      <c r="R20" s="266">
        <f>(1-0.1%)*Q20</f>
        <v>534.09989908336388</v>
      </c>
      <c r="S20" s="266">
        <f>(1-0.25%)*P20</f>
        <v>256.40128759564021</v>
      </c>
      <c r="T20" s="266">
        <f>(1-0.4%)*Q20</f>
        <v>532.49599548251297</v>
      </c>
      <c r="U20" s="266">
        <f>(1-0.6%)*P20</f>
        <v>255.50163395495375</v>
      </c>
      <c r="V20" s="266">
        <f t="shared" ref="V20:W20" si="7">(1-1%)*Q20</f>
        <v>529.28818828081103</v>
      </c>
      <c r="W20" s="266">
        <f t="shared" si="7"/>
        <v>528.75890009253021</v>
      </c>
      <c r="X20" s="23">
        <f>(X19/X$2)*100000</f>
        <v>238.40909059406835</v>
      </c>
      <c r="Y20" s="23">
        <f ca="1">IFERROR(__xludf.DUMMYFUNCTION("INDEX(IMPORTRANGE(""1y0FWgjbB0gVlqn-q5LMJbGIsqOrzru4yowQz67dz2yc"", ""'GPE'!AM3:AM139""),MATCH(D20,IMPORTRANGE(""1y0FWgjbB0gVlqn-q5LMJbGIsqOrzru4yowQz67dz2yc"", ""'GPE'!D3:D139""),0))"),527.688027843964)</f>
        <v>527.68802784396405</v>
      </c>
      <c r="Z20" s="1"/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326</v>
      </c>
      <c r="Q21" s="12">
        <v>664</v>
      </c>
      <c r="R21" s="13"/>
      <c r="S21" s="13"/>
      <c r="T21" s="13"/>
      <c r="U21" s="13"/>
      <c r="V21" s="13"/>
      <c r="W21" s="13"/>
      <c r="X21" s="12">
        <v>260</v>
      </c>
      <c r="Y21" s="12">
        <f ca="1">IFERROR(__xludf.DUMMYFUNCTION("INDEX(IMPORTRANGE(""1y0FWgjbB0gVlqn-q5LMJbGIsqOrzru4yowQz67dz2yc"", ""'GPE'!AM3:AM139""),MATCH(D21,IMPORTRANGE(""1y0FWgjbB0gVlqn-q5LMJbGIsqOrzru4yowQz67dz2yc"", ""'GPE'!D3:D139""),0))"),651)</f>
        <v>651</v>
      </c>
      <c r="Z21" s="1"/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8">(P21/P$2)*100000</f>
        <v>45.566237374937451</v>
      </c>
      <c r="Q22" s="23">
        <f t="shared" si="8"/>
        <v>92.809759561222293</v>
      </c>
      <c r="R22" s="266">
        <f>(1-0.1%)*Q22</f>
        <v>92.716949801661073</v>
      </c>
      <c r="S22" s="266">
        <f>(1-0.25%)*P22</f>
        <v>45.45232178150011</v>
      </c>
      <c r="T22" s="266">
        <f>(1-0.4%)*Q22</f>
        <v>92.438520522977399</v>
      </c>
      <c r="U22" s="266">
        <f>(1-0.6%)*P22</f>
        <v>45.292839950687828</v>
      </c>
      <c r="V22" s="266">
        <f t="shared" ref="V22:W22" si="9">(1-1%)*Q22</f>
        <v>91.881661965610064</v>
      </c>
      <c r="W22" s="266">
        <f t="shared" si="9"/>
        <v>91.789780303644463</v>
      </c>
      <c r="X22" s="23">
        <f>(X21/X$2)*100000</f>
        <v>36.038583461894049</v>
      </c>
      <c r="Y22" s="23">
        <f ca="1">IFERROR(__xludf.DUMMYFUNCTION("INDEX(IMPORTRANGE(""1y0FWgjbB0gVlqn-q5LMJbGIsqOrzru4yowQz67dz2yc"", ""'GPE'!AM3:AM139""),MATCH(D22,IMPORTRANGE(""1y0FWgjbB0gVlqn-q5LMJbGIsqOrzru4yowQz67dz2yc"", ""'GPE'!D3:D139""),0))"),90.235068591127)</f>
        <v>90.235068591127003</v>
      </c>
      <c r="Z22" s="1"/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">
        <v>12</v>
      </c>
      <c r="Q23" s="2">
        <v>41</v>
      </c>
      <c r="R23" s="13"/>
      <c r="S23" s="13"/>
      <c r="T23" s="13"/>
      <c r="U23" s="13"/>
      <c r="V23" s="13"/>
      <c r="W23" s="13"/>
      <c r="X23" s="2">
        <v>22</v>
      </c>
      <c r="Y23" s="2">
        <f ca="1">IFERROR(__xludf.DUMMYFUNCTION("INDEX(IMPORTRANGE(""1y0FWgjbB0gVlqn-q5LMJbGIsqOrzru4yowQz67dz2yc"", ""'GPE'!AM3:AM139""),MATCH(D23,IMPORTRANGE(""1y0FWgjbB0gVlqn-q5LMJbGIsqOrzru4yowQz67dz2yc"", ""'GPE'!D3:D139""),0))"),41)</f>
        <v>41</v>
      </c>
      <c r="Z23" s="1"/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">
        <v>12</v>
      </c>
      <c r="Q24" s="2">
        <v>36</v>
      </c>
      <c r="R24" s="13"/>
      <c r="S24" s="13"/>
      <c r="T24" s="13"/>
      <c r="U24" s="13"/>
      <c r="V24" s="13"/>
      <c r="W24" s="13"/>
      <c r="X24" s="2">
        <v>24</v>
      </c>
      <c r="Y24" s="2">
        <f ca="1">IFERROR(__xludf.DUMMYFUNCTION("INDEX(IMPORTRANGE(""1y0FWgjbB0gVlqn-q5LMJbGIsqOrzru4yowQz67dz2yc"", ""'GPE'!AM3:AM139""),MATCH(D24,IMPORTRANGE(""1y0FWgjbB0gVlqn-q5LMJbGIsqOrzru4yowQz67dz2yc"", ""'GPE'!D3:D139""),0))"),54)</f>
        <v>54</v>
      </c>
      <c r="Z24" s="1"/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">
        <v>3</v>
      </c>
      <c r="Q25" s="2">
        <v>8</v>
      </c>
      <c r="R25" s="13"/>
      <c r="S25" s="13"/>
      <c r="T25" s="13"/>
      <c r="U25" s="13"/>
      <c r="V25" s="13"/>
      <c r="W25" s="13"/>
      <c r="X25" s="2">
        <v>4</v>
      </c>
      <c r="Y25" s="2">
        <f ca="1">IFERROR(__xludf.DUMMYFUNCTION("INDEX(IMPORTRANGE(""1y0FWgjbB0gVlqn-q5LMJbGIsqOrzru4yowQz67dz2yc"", ""'GPE'!AM3:AM139""),MATCH(D25,IMPORTRANGE(""1y0FWgjbB0gVlqn-q5LMJbGIsqOrzru4yowQz67dz2yc"", ""'GPE'!D3:D139""),0))"),11)</f>
        <v>11</v>
      </c>
      <c r="Z25" s="1"/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">
        <v>1</v>
      </c>
      <c r="Q26" s="2">
        <v>2</v>
      </c>
      <c r="R26" s="13"/>
      <c r="S26" s="13"/>
      <c r="T26" s="13"/>
      <c r="U26" s="13"/>
      <c r="V26" s="13"/>
      <c r="W26" s="13"/>
      <c r="X26" s="2">
        <v>0</v>
      </c>
      <c r="Y26" s="2">
        <f ca="1">IFERROR(__xludf.DUMMYFUNCTION("INDEX(IMPORTRANGE(""1y0FWgjbB0gVlqn-q5LMJbGIsqOrzru4yowQz67dz2yc"", ""'GPE'!AM3:AM139""),MATCH(D26,IMPORTRANGE(""1y0FWgjbB0gVlqn-q5LMJbGIsqOrzru4yowQz67dz2yc"", ""'GPE'!D3:D139""),0))"),0)</f>
        <v>0</v>
      </c>
      <c r="Z26" s="1"/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5</v>
      </c>
      <c r="Q27" s="12">
        <v>5</v>
      </c>
      <c r="R27" s="13"/>
      <c r="S27" s="13"/>
      <c r="T27" s="13"/>
      <c r="U27" s="13"/>
      <c r="V27" s="13"/>
      <c r="W27" s="13"/>
      <c r="X27" s="12">
        <v>0</v>
      </c>
      <c r="Y27" s="12">
        <f ca="1">IFERROR(__xludf.DUMMYFUNCTION("INDEX(IMPORTRANGE(""1y0FWgjbB0gVlqn-q5LMJbGIsqOrzru4yowQz67dz2yc"", ""'GPE'!AM3:AM139""),MATCH(D27,IMPORTRANGE(""1y0FWgjbB0gVlqn-q5LMJbGIsqOrzru4yowQz67dz2yc"", ""'GPE'!D3:D139""),0))"),1)</f>
        <v>1</v>
      </c>
      <c r="Z27" s="1"/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12">
        <f ca="1">IFERROR(__xludf.DUMMYFUNCTION("INDEX(IMPORTRANGE(""1y0FWgjbB0gVlqn-q5LMJbGIsqOrzru4yowQz67dz2yc"", ""'GPE'!AM3:AM139""),MATCH(D28,IMPORTRANGE(""1y0FWgjbB0gVlqn-q5LMJbGIsqOrzru4yowQz67dz2yc"", ""'GPE'!D3:D139""),0))"),0)</f>
        <v>0</v>
      </c>
      <c r="Z28" s="1"/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9</v>
      </c>
      <c r="Q29" s="12">
        <v>21</v>
      </c>
      <c r="R29" s="13"/>
      <c r="S29" s="13"/>
      <c r="T29" s="13"/>
      <c r="U29" s="13"/>
      <c r="V29" s="13"/>
      <c r="W29" s="13"/>
      <c r="X29" s="12">
        <v>19</v>
      </c>
      <c r="Y29" s="12">
        <f ca="1">IFERROR(__xludf.DUMMYFUNCTION("INDEX(IMPORTRANGE(""1y0FWgjbB0gVlqn-q5LMJbGIsqOrzru4yowQz67dz2yc"", ""'GPE'!AM3:AM139""),MATCH(D29,IMPORTRANGE(""1y0FWgjbB0gVlqn-q5LMJbGIsqOrzru4yowQz67dz2yc"", ""'GPE'!D3:D139""),0))"),28)</f>
        <v>28</v>
      </c>
      <c r="Z29" s="1"/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4</v>
      </c>
      <c r="Q30" s="12">
        <v>6</v>
      </c>
      <c r="R30" s="13"/>
      <c r="S30" s="13"/>
      <c r="T30" s="13"/>
      <c r="U30" s="13"/>
      <c r="V30" s="13"/>
      <c r="W30" s="13"/>
      <c r="X30" s="12">
        <v>5</v>
      </c>
      <c r="Y30" s="12">
        <f ca="1">IFERROR(__xludf.DUMMYFUNCTION("INDEX(IMPORTRANGE(""1y0FWgjbB0gVlqn-q5LMJbGIsqOrzru4yowQz67dz2yc"", ""'GPE'!AM3:AM139""),MATCH(D30,IMPORTRANGE(""1y0FWgjbB0gVlqn-q5LMJbGIsqOrzru4yowQz67dz2yc"", ""'GPE'!D3:D139""),0))"),7)</f>
        <v>7</v>
      </c>
      <c r="Z30" s="1"/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12">
        <f ca="1">IFERROR(__xludf.DUMMYFUNCTION("INDEX(IMPORTRANGE(""1y0FWgjbB0gVlqn-q5LMJbGIsqOrzru4yowQz67dz2yc"", ""'GPE'!AM3:AM139""),MATCH(D31,IMPORTRANGE(""1y0FWgjbB0gVlqn-q5LMJbGIsqOrzru4yowQz67dz2yc"", ""'GPE'!D3:D139""),0))"),0)</f>
        <v>0</v>
      </c>
      <c r="Z31" s="1"/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0</v>
      </c>
      <c r="Y32" s="12">
        <f ca="1">IFERROR(__xludf.DUMMYFUNCTION("INDEX(IMPORTRANGE(""1y0FWgjbB0gVlqn-q5LMJbGIsqOrzru4yowQz67dz2yc"", ""'GPE'!AM3:AM139""),MATCH(D32,IMPORTRANGE(""1y0FWgjbB0gVlqn-q5LMJbGIsqOrzru4yowQz67dz2yc"", ""'GPE'!D3:D139""),0))"),1)</f>
        <v>1</v>
      </c>
      <c r="Z32" s="1"/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2</v>
      </c>
      <c r="R33" s="13"/>
      <c r="S33" s="13"/>
      <c r="T33" s="13"/>
      <c r="U33" s="13"/>
      <c r="V33" s="13"/>
      <c r="W33" s="13"/>
      <c r="X33" s="12">
        <v>3</v>
      </c>
      <c r="Y33" s="12">
        <f ca="1">IFERROR(__xludf.DUMMYFUNCTION("INDEX(IMPORTRANGE(""1y0FWgjbB0gVlqn-q5LMJbGIsqOrzru4yowQz67dz2yc"", ""'GPE'!AM3:AM139""),MATCH(D33,IMPORTRANGE(""1y0FWgjbB0gVlqn-q5LMJbGIsqOrzru4yowQz67dz2yc"", ""'GPE'!D3:D139""),0))"),5)</f>
        <v>5</v>
      </c>
      <c r="Z33" s="1"/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10">(SUM(P23:P33)/P$2)*100000</f>
        <v>6.4295917768316642</v>
      </c>
      <c r="Q34" s="23">
        <f t="shared" si="10"/>
        <v>16.912621847752856</v>
      </c>
      <c r="R34" s="266">
        <f>(1-0.1%)*Q34</f>
        <v>16.895709225905104</v>
      </c>
      <c r="S34" s="266">
        <f>(1-0.25%)*P34</f>
        <v>6.4135177973895852</v>
      </c>
      <c r="T34" s="266">
        <f>(1-0.4%)*Q34</f>
        <v>16.844971360361846</v>
      </c>
      <c r="U34" s="266">
        <f>(1-0.6%)*P34</f>
        <v>6.3910142261706744</v>
      </c>
      <c r="V34" s="266">
        <f t="shared" ref="V34:W34" si="11">(1-1%)*Q34</f>
        <v>16.743495629275326</v>
      </c>
      <c r="W34" s="266">
        <f t="shared" si="11"/>
        <v>16.726752133646052</v>
      </c>
      <c r="X34" s="23">
        <f>(SUM(X23:X33)/X$2)*100000</f>
        <v>10.672965102176315</v>
      </c>
      <c r="Y34" s="23">
        <f ca="1">IFERROR(__xludf.DUMMYFUNCTION("INDEX(IMPORTRANGE(""1y0FWgjbB0gVlqn-q5LMJbGIsqOrzru4yowQz67dz2yc"", ""'GPE'!AM3:AM139""),MATCH(D34,IMPORTRANGE(""1y0FWgjbB0gVlqn-q5LMJbGIsqOrzru4yowQz67dz2yc"", ""'GPE'!D3:D139""),0))"),20.5142705860012)</f>
        <v>20.514270586001199</v>
      </c>
      <c r="Z34" s="1"/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181232</v>
      </c>
      <c r="Q35" s="12">
        <v>181232</v>
      </c>
      <c r="R35" s="13"/>
      <c r="S35" s="13"/>
      <c r="T35" s="13"/>
      <c r="U35" s="13"/>
      <c r="V35" s="13"/>
      <c r="W35" s="13"/>
      <c r="X35" s="12">
        <v>181232</v>
      </c>
      <c r="Y35" s="12">
        <f ca="1">IFERROR(__xludf.DUMMYFUNCTION("INDEX(IMPORTRANGE(""1y0FWgjbB0gVlqn-q5LMJbGIsqOrzru4yowQz67dz2yc"", ""'GPE'!AM3:AM139""),MATCH(D35,IMPORTRANGE(""1y0FWgjbB0gVlqn-q5LMJbGIsqOrzru4yowQz67dz2yc"", ""'GPE'!D3:D139""),0))"),195169)</f>
        <v>195169</v>
      </c>
      <c r="Z35" s="1"/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7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991</v>
      </c>
      <c r="Q36" s="2">
        <v>991</v>
      </c>
      <c r="R36" s="1"/>
      <c r="S36" s="1"/>
      <c r="T36" s="1"/>
      <c r="U36" s="1"/>
      <c r="V36" s="1"/>
      <c r="W36" s="1"/>
      <c r="X36" s="2">
        <v>805</v>
      </c>
      <c r="Y36" s="2">
        <f ca="1">IFERROR(__xludf.DUMMYFUNCTION("INDEX(IMPORTRANGE(""1y0FWgjbB0gVlqn-q5LMJbGIsqOrzru4yowQz67dz2yc"", ""'GPE'!AM3:AM139""),MATCH(D36,IMPORTRANGE(""1y0FWgjbB0gVlqn-q5LMJbGIsqOrzru4yowQz67dz2yc"", ""'GPE'!D3:D139""),0))"),2050)</f>
        <v>2050</v>
      </c>
      <c r="Z36" s="1"/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7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9">
        <f t="shared" ref="P37:Q37" si="12">P36/P35</f>
        <v>5.4681292486978015E-3</v>
      </c>
      <c r="Q37" s="19">
        <f t="shared" si="12"/>
        <v>5.4681292486978015E-3</v>
      </c>
      <c r="R37" s="15">
        <v>2E-3</v>
      </c>
      <c r="S37" s="15">
        <v>6.0000000000000001E-3</v>
      </c>
      <c r="T37" s="15">
        <v>0.01</v>
      </c>
      <c r="U37" s="15">
        <v>1.4E-2</v>
      </c>
      <c r="V37" s="15">
        <v>0.02</v>
      </c>
      <c r="W37" s="15">
        <v>0.02</v>
      </c>
      <c r="X37" s="15">
        <f>X36/X35</f>
        <v>4.4418204290633005E-3</v>
      </c>
      <c r="Y37" s="15">
        <f ca="1">IFERROR(__xludf.DUMMYFUNCTION("INDEX(IMPORTRANGE(""1y0FWgjbB0gVlqn-q5LMJbGIsqOrzru4yowQz67dz2yc"", ""'GPE'!AM3:AM139""),MATCH(D37,IMPORTRANGE(""1y0FWgjbB0gVlqn-q5LMJbGIsqOrzru4yowQz67dz2yc"", ""'GPE'!D3:D139""),0))"),0.0105037172911681)</f>
        <v>1.0503717291168099E-2</v>
      </c>
      <c r="Z37" s="1"/>
      <c r="AA37" s="1"/>
      <c r="AB37" s="1"/>
      <c r="AC37" s="1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2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2">
        <v>0</v>
      </c>
      <c r="R38" s="22">
        <v>2</v>
      </c>
      <c r="S38" s="22">
        <v>0</v>
      </c>
      <c r="T38" s="22">
        <v>1</v>
      </c>
      <c r="U38" s="22">
        <v>0</v>
      </c>
      <c r="V38" s="22">
        <v>2</v>
      </c>
      <c r="W38" s="2">
        <v>5</v>
      </c>
      <c r="X38" s="2">
        <v>1</v>
      </c>
      <c r="Y38" s="2">
        <f ca="1">IFERROR(__xludf.DUMMYFUNCTION("INDEX(IMPORTRANGE(""1y0FWgjbB0gVlqn-q5LMJbGIsqOrzru4yowQz67dz2yc"", ""'GPE'!AM3:AM139""),MATCH(D38,IMPORTRANGE(""1y0FWgjbB0gVlqn-q5LMJbGIsqOrzru4yowQz67dz2yc"", ""'GPE'!D3:D139""),0))"),3)</f>
        <v>3</v>
      </c>
      <c r="Z38" s="1"/>
      <c r="AA38" s="1"/>
      <c r="AB38" s="1"/>
      <c r="AC38" s="1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2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419</v>
      </c>
      <c r="Q39" s="2">
        <v>897</v>
      </c>
      <c r="R39" s="22">
        <v>1000</v>
      </c>
      <c r="S39" s="22">
        <v>500</v>
      </c>
      <c r="T39" s="262">
        <v>1000</v>
      </c>
      <c r="U39" s="262">
        <v>500</v>
      </c>
      <c r="V39" s="262">
        <v>1000</v>
      </c>
      <c r="W39" s="1">
        <v>3000</v>
      </c>
      <c r="X39" s="2">
        <v>1211</v>
      </c>
      <c r="Y39" s="2">
        <f ca="1">IFERROR(__xludf.DUMMYFUNCTION("INDEX(IMPORTRANGE(""1y0FWgjbB0gVlqn-q5LMJbGIsqOrzru4yowQz67dz2yc"", ""'GPE'!AM3:AM139""),MATCH(D39,IMPORTRANGE(""1y0FWgjbB0gVlqn-q5LMJbGIsqOrzru4yowQz67dz2yc"", ""'GPE'!D3:D139""),0))"),1696)</f>
        <v>1696</v>
      </c>
      <c r="Z39" s="1"/>
      <c r="AA39" s="1"/>
      <c r="AB39" s="1"/>
      <c r="AC39" s="1"/>
    </row>
    <row r="40" spans="1:29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1</v>
      </c>
      <c r="Q40" s="2">
        <v>1</v>
      </c>
      <c r="R40" s="1"/>
      <c r="S40" s="1"/>
      <c r="T40" s="1"/>
      <c r="U40" s="1"/>
      <c r="V40" s="1"/>
      <c r="W40" s="1"/>
      <c r="X40" s="2">
        <v>0</v>
      </c>
      <c r="Y40" s="2">
        <f ca="1">IFERROR(__xludf.DUMMYFUNCTION("INDEX(IMPORTRANGE(""1y0FWgjbB0gVlqn-q5LMJbGIsqOrzru4yowQz67dz2yc"", ""'GPE'!AM3:AM139""),MATCH(D40,IMPORTRANGE(""1y0FWgjbB0gVlqn-q5LMJbGIsqOrzru4yowQz67dz2yc"", ""'GPE'!D3:D139""),0))"),2)</f>
        <v>2</v>
      </c>
      <c r="Z40" s="1"/>
      <c r="AA40" s="1"/>
      <c r="AB40" s="1"/>
      <c r="AC40" s="1"/>
    </row>
    <row r="41" spans="1:29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2"/>
      <c r="R41" s="1"/>
      <c r="S41" s="1"/>
      <c r="T41" s="1"/>
      <c r="U41" s="1"/>
      <c r="V41" s="1"/>
      <c r="W41" s="1"/>
      <c r="X41" s="2"/>
      <c r="Y41" s="2">
        <f ca="1">IFERROR(__xludf.DUMMYFUNCTION("INDEX(IMPORTRANGE(""1y0FWgjbB0gVlqn-q5LMJbGIsqOrzru4yowQz67dz2yc"", ""'GPE'!AM3:AM139""),MATCH(D41,IMPORTRANGE(""1y0FWgjbB0gVlqn-q5LMJbGIsqOrzru4yowQz67dz2yc"", ""'GPE'!D3:D139""),0))"),0)</f>
        <v>0</v>
      </c>
      <c r="Z41" s="1"/>
      <c r="AA41" s="1"/>
      <c r="AB41" s="1"/>
      <c r="AC41" s="1"/>
    </row>
    <row r="42" spans="1:29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0</v>
      </c>
      <c r="Q42" s="2">
        <v>7</v>
      </c>
      <c r="R42" s="1"/>
      <c r="S42" s="1"/>
      <c r="T42" s="1"/>
      <c r="U42" s="1"/>
      <c r="V42" s="1"/>
      <c r="W42" s="1"/>
      <c r="X42" s="2">
        <v>5</v>
      </c>
      <c r="Y42" s="2">
        <f ca="1">IFERROR(__xludf.DUMMYFUNCTION("INDEX(IMPORTRANGE(""1y0FWgjbB0gVlqn-q5LMJbGIsqOrzru4yowQz67dz2yc"", ""'GPE'!AM3:AM139""),MATCH(D42,IMPORTRANGE(""1y0FWgjbB0gVlqn-q5LMJbGIsqOrzru4yowQz67dz2yc"", ""'GPE'!D3:D139""),0))"),23)</f>
        <v>23</v>
      </c>
      <c r="Z42" s="1"/>
      <c r="AA42" s="1"/>
      <c r="AB42" s="1"/>
      <c r="AC42" s="1"/>
    </row>
    <row r="43" spans="1:29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2"/>
      <c r="R43" s="1"/>
      <c r="S43" s="1"/>
      <c r="T43" s="1"/>
      <c r="U43" s="1"/>
      <c r="V43" s="1"/>
      <c r="W43" s="1"/>
      <c r="X43" s="2"/>
      <c r="Y43" s="2">
        <f ca="1">IFERROR(__xludf.DUMMYFUNCTION("INDEX(IMPORTRANGE(""1y0FWgjbB0gVlqn-q5LMJbGIsqOrzru4yowQz67dz2yc"", ""'GPE'!AM3:AM139""),MATCH(D43,IMPORTRANGE(""1y0FWgjbB0gVlqn-q5LMJbGIsqOrzru4yowQz67dz2yc"", ""'GPE'!D3:D139""),0))"),0)</f>
        <v>0</v>
      </c>
      <c r="Z43" s="1"/>
      <c r="AA43" s="1"/>
      <c r="AB43" s="1"/>
      <c r="AC43" s="1"/>
    </row>
    <row r="44" spans="1:29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f t="shared" ref="P44:Q44" si="13">SUM(P40:P42)</f>
        <v>1</v>
      </c>
      <c r="Q44" s="12">
        <f t="shared" si="13"/>
        <v>8</v>
      </c>
      <c r="R44" s="13">
        <v>8</v>
      </c>
      <c r="S44" s="13">
        <v>8</v>
      </c>
      <c r="T44" s="13">
        <v>8</v>
      </c>
      <c r="U44" s="13">
        <v>8</v>
      </c>
      <c r="V44" s="13">
        <v>8</v>
      </c>
      <c r="W44" s="13">
        <v>40</v>
      </c>
      <c r="X44" s="12">
        <f>SUM(X40:X42)</f>
        <v>5</v>
      </c>
      <c r="Y44" s="12">
        <f ca="1">IFERROR(__xludf.DUMMYFUNCTION("INDEX(IMPORTRANGE(""1y0FWgjbB0gVlqn-q5LMJbGIsqOrzru4yowQz67dz2yc"", ""'GPE'!AM3:AM139""),MATCH(D44,IMPORTRANGE(""1y0FWgjbB0gVlqn-q5LMJbGIsqOrzru4yowQz67dz2yc"", ""'GPE'!D3:D139""),0))"),25)</f>
        <v>25</v>
      </c>
      <c r="Z44" s="1"/>
      <c r="AA44" s="1"/>
      <c r="AB44" s="1"/>
      <c r="AC44" s="1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2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153</v>
      </c>
      <c r="Q45" s="30" t="s">
        <v>153</v>
      </c>
      <c r="R45" s="156" t="s">
        <v>151</v>
      </c>
      <c r="S45" s="156" t="s">
        <v>151</v>
      </c>
      <c r="T45" s="156" t="s">
        <v>151</v>
      </c>
      <c r="U45" s="156" t="s">
        <v>151</v>
      </c>
      <c r="V45" s="156" t="s">
        <v>151</v>
      </c>
      <c r="W45" s="156" t="s">
        <v>151</v>
      </c>
      <c r="X45" s="2" t="s">
        <v>153</v>
      </c>
      <c r="Y45" s="2" t="str">
        <f ca="1">IFERROR(__xludf.DUMMYFUNCTION("INDEX(IMPORTRANGE(""1y0FWgjbB0gVlqn-q5LMJbGIsqOrzru4yowQz67dz2yc"", ""'GPE'!AM3:AM139""),MATCH(D45,IMPORTRANGE(""1y0FWgjbB0gVlqn-q5LMJbGIsqOrzru4yowQz67dz2yc"", ""'GPE'!D3:D139""),0))"),"Sí")</f>
        <v>Sí</v>
      </c>
      <c r="Z45" s="1"/>
      <c r="AA45" s="1"/>
      <c r="AB45" s="1"/>
      <c r="AC45" s="1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2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153</v>
      </c>
      <c r="Q46" s="30" t="s">
        <v>153</v>
      </c>
      <c r="R46" s="156" t="s">
        <v>151</v>
      </c>
      <c r="S46" s="156" t="s">
        <v>151</v>
      </c>
      <c r="T46" s="156" t="s">
        <v>151</v>
      </c>
      <c r="U46" s="156" t="s">
        <v>151</v>
      </c>
      <c r="V46" s="156" t="s">
        <v>151</v>
      </c>
      <c r="W46" s="156" t="s">
        <v>151</v>
      </c>
      <c r="X46" s="2" t="s">
        <v>153</v>
      </c>
      <c r="Y46" s="2" t="str">
        <f ca="1">IFERROR(__xludf.DUMMYFUNCTION("INDEX(IMPORTRANGE(""1y0FWgjbB0gVlqn-q5LMJbGIsqOrzru4yowQz67dz2yc"", ""'GPE'!AM3:AM139""),MATCH(D46,IMPORTRANGE(""1y0FWgjbB0gVlqn-q5LMJbGIsqOrzru4yowQz67dz2yc"", ""'GPE'!D3:D139""),0))"),"Sí")</f>
        <v>Sí</v>
      </c>
      <c r="Z46" s="1"/>
      <c r="AA46" s="1"/>
      <c r="AB46" s="1"/>
      <c r="AC46" s="1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2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153</v>
      </c>
      <c r="Q47" s="30" t="s">
        <v>153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153</v>
      </c>
      <c r="Y47" s="2" t="str">
        <f ca="1">IFERROR(__xludf.DUMMYFUNCTION("INDEX(IMPORTRANGE(""1y0FWgjbB0gVlqn-q5LMJbGIsqOrzru4yowQz67dz2yc"", ""'GPE'!AM3:AM139""),MATCH(D47,IMPORTRANGE(""1y0FWgjbB0gVlqn-q5LMJbGIsqOrzru4yowQz67dz2yc"", ""'GPE'!D3:D139""),0))"),"Sí")</f>
        <v>Sí</v>
      </c>
      <c r="Z47" s="1"/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2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12">
        <f t="shared" ref="P48:Q48" si="14">COUNTIF(P45:P47,"Sí")*(1/3)</f>
        <v>1</v>
      </c>
      <c r="Q48" s="12">
        <f t="shared" si="14"/>
        <v>1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12">
        <f>COUNTIF(X45:X47,"Sí")*(1/3)</f>
        <v>1</v>
      </c>
      <c r="Y48" s="12">
        <f ca="1">IFERROR(__xludf.DUMMYFUNCTION("INDEX(IMPORTRANGE(""1y0FWgjbB0gVlqn-q5LMJbGIsqOrzru4yowQz67dz2yc"", ""'GPE'!AM3:AM139""),MATCH(D48,IMPORTRANGE(""1y0FWgjbB0gVlqn-q5LMJbGIsqOrzru4yowQz67dz2yc"", ""'GPE'!D3:D139""),0))"),1)</f>
        <v>1</v>
      </c>
      <c r="Z48" s="1"/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2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2">
        <v>0</v>
      </c>
      <c r="Q49" s="2">
        <v>0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2">
        <v>0</v>
      </c>
      <c r="Y49" s="2">
        <f ca="1">IFERROR(__xludf.DUMMYFUNCTION("INDEX(IMPORTRANGE(""1y0FWgjbB0gVlqn-q5LMJbGIsqOrzru4yowQz67dz2yc"", ""'GPE'!AM3:AM139""),MATCH(D49,IMPORTRANGE(""1y0FWgjbB0gVlqn-q5LMJbGIsqOrzru4yowQz67dz2yc"", ""'GPE'!D3:D139""),0))"),0)</f>
        <v>0</v>
      </c>
      <c r="Z49" s="1"/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2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8</v>
      </c>
      <c r="Q50" s="12">
        <v>8</v>
      </c>
      <c r="R50" s="13"/>
      <c r="S50" s="13"/>
      <c r="T50" s="13"/>
      <c r="U50" s="13"/>
      <c r="V50" s="13"/>
      <c r="W50" s="13"/>
      <c r="X50" s="2">
        <v>8</v>
      </c>
      <c r="Y50" s="2">
        <f ca="1">IFERROR(__xludf.DUMMYFUNCTION("INDEX(IMPORTRANGE(""1y0FWgjbB0gVlqn-q5LMJbGIsqOrzru4yowQz67dz2yc"", ""'GPE'!AM3:AM139""),MATCH(D50,IMPORTRANGE(""1y0FWgjbB0gVlqn-q5LMJbGIsqOrzru4yowQz67dz2yc"", ""'GPE'!D3:D139""),0))"),8)</f>
        <v>8</v>
      </c>
      <c r="Z50" s="1"/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2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13"/>
      <c r="X51" s="2">
        <v>0</v>
      </c>
      <c r="Y51" s="2">
        <f ca="1">IFERROR(__xludf.DUMMYFUNCTION("INDEX(IMPORTRANGE(""1y0FWgjbB0gVlqn-q5LMJbGIsqOrzru4yowQz67dz2yc"", ""'GPE'!AM3:AM139""),MATCH(D51,IMPORTRANGE(""1y0FWgjbB0gVlqn-q5LMJbGIsqOrzru4yowQz67dz2yc"", ""'GPE'!D3:D139""),0))"),1)</f>
        <v>1</v>
      </c>
      <c r="Z51" s="1"/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2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5">
        <f t="shared" ref="P52:Q52" si="15">P51/P50</f>
        <v>0</v>
      </c>
      <c r="Q52" s="15">
        <f t="shared" si="15"/>
        <v>0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5">
        <f>X51/X50</f>
        <v>0</v>
      </c>
      <c r="Y52" s="15">
        <f ca="1">IFERROR(__xludf.DUMMYFUNCTION("INDEX(IMPORTRANGE(""1y0FWgjbB0gVlqn-q5LMJbGIsqOrzru4yowQz67dz2yc"", ""'GPE'!AM3:AM139""),MATCH(D52,IMPORTRANGE(""1y0FWgjbB0gVlqn-q5LMJbGIsqOrzru4yowQz67dz2yc"", ""'GPE'!D3:D139""),0))"),0.125)</f>
        <v>0.125</v>
      </c>
      <c r="Z52" s="1"/>
      <c r="AA52" s="1"/>
      <c r="AB52" s="1"/>
      <c r="AC52" s="1"/>
    </row>
    <row r="53" spans="1:29">
      <c r="A53" s="7" t="s">
        <v>147</v>
      </c>
      <c r="B53" s="7" t="s">
        <v>168</v>
      </c>
      <c r="C53" s="1" t="s">
        <v>30</v>
      </c>
      <c r="D53" s="155" t="s">
        <v>169</v>
      </c>
      <c r="E53" s="7" t="s">
        <v>38</v>
      </c>
      <c r="F53" s="2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54147</v>
      </c>
      <c r="Q53" s="12">
        <v>54147</v>
      </c>
      <c r="R53" s="13"/>
      <c r="S53" s="13"/>
      <c r="T53" s="13"/>
      <c r="U53" s="13"/>
      <c r="V53" s="13"/>
      <c r="W53" s="13"/>
      <c r="X53" s="12">
        <v>54150</v>
      </c>
      <c r="Y53" s="12">
        <f ca="1">IFERROR(__xludf.DUMMYFUNCTION("INDEX(IMPORTRANGE(""1y0FWgjbB0gVlqn-q5LMJbGIsqOrzru4yowQz67dz2yc"", ""'GPE'!AM3:AM139""),MATCH(D53,IMPORTRANGE(""1y0FWgjbB0gVlqn-q5LMJbGIsqOrzru4yowQz67dz2yc"", ""'GPE'!D3:D139""),0))"),54600)</f>
        <v>54600</v>
      </c>
      <c r="Z53" s="1"/>
      <c r="AA53" s="1"/>
      <c r="AB53" s="1"/>
      <c r="AC53" s="1"/>
    </row>
    <row r="54" spans="1:29">
      <c r="A54" s="7" t="s">
        <v>147</v>
      </c>
      <c r="B54" s="7" t="s">
        <v>168</v>
      </c>
      <c r="C54" s="1" t="s">
        <v>30</v>
      </c>
      <c r="D54" s="155" t="s">
        <v>171</v>
      </c>
      <c r="E54" s="7" t="s">
        <v>38</v>
      </c>
      <c r="F54" s="2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54597</v>
      </c>
      <c r="Q54" s="12">
        <v>54597</v>
      </c>
      <c r="R54" s="13"/>
      <c r="S54" s="13"/>
      <c r="T54" s="13"/>
      <c r="U54" s="13"/>
      <c r="V54" s="13"/>
      <c r="W54" s="13"/>
      <c r="X54" s="12">
        <v>54600</v>
      </c>
      <c r="Y54" s="12">
        <f ca="1">IFERROR(__xludf.DUMMYFUNCTION("INDEX(IMPORTRANGE(""1y0FWgjbB0gVlqn-q5LMJbGIsqOrzru4yowQz67dz2yc"", ""'GPE'!AM3:AM139""),MATCH(D54,IMPORTRANGE(""1y0FWgjbB0gVlqn-q5LMJbGIsqOrzru4yowQz67dz2yc"", ""'GPE'!D3:D139""),0))"),54600)</f>
        <v>54600</v>
      </c>
      <c r="Z54" s="1"/>
      <c r="AA54" s="1"/>
      <c r="AB54" s="1"/>
      <c r="AC54" s="1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2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6">P53/P54</f>
        <v>0.99175778888949939</v>
      </c>
      <c r="Q55" s="15">
        <f t="shared" si="16"/>
        <v>0.99175778888949939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X53/X54</f>
        <v>0.99175824175824179</v>
      </c>
      <c r="Y55" s="15">
        <f ca="1">IFERROR(__xludf.DUMMYFUNCTION("INDEX(IMPORTRANGE(""1y0FWgjbB0gVlqn-q5LMJbGIsqOrzru4yowQz67dz2yc"", ""'GPE'!AM3:AM139""),MATCH(D55,IMPORTRANGE(""1y0FWgjbB0gVlqn-q5LMJbGIsqOrzru4yowQz67dz2yc"", ""'GPE'!D3:D139""),0))"),1)</f>
        <v>1</v>
      </c>
      <c r="Z55" s="1"/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2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181232</v>
      </c>
      <c r="Q56" s="12">
        <v>181232</v>
      </c>
      <c r="R56" s="13"/>
      <c r="S56" s="13"/>
      <c r="T56" s="13"/>
      <c r="U56" s="13"/>
      <c r="V56" s="13"/>
      <c r="W56" s="13"/>
      <c r="X56" s="12">
        <v>181232</v>
      </c>
      <c r="Y56" s="12">
        <f ca="1">IFERROR(__xludf.DUMMYFUNCTION("INDEX(IMPORTRANGE(""1y0FWgjbB0gVlqn-q5LMJbGIsqOrzru4yowQz67dz2yc"", ""'GPE'!AM3:AM139""),MATCH(D56,IMPORTRANGE(""1y0FWgjbB0gVlqn-q5LMJbGIsqOrzru4yowQz67dz2yc"", ""'GPE'!D3:D139""),0))"),195169)</f>
        <v>195169</v>
      </c>
      <c r="Z56" s="1"/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36</v>
      </c>
      <c r="D57" s="1" t="s">
        <v>177</v>
      </c>
      <c r="E57" s="7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7">P56/P35</f>
        <v>1</v>
      </c>
      <c r="Q57" s="15">
        <f t="shared" si="17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X56/X35</f>
        <v>1</v>
      </c>
      <c r="Y57" s="15">
        <f ca="1">IFERROR(__xludf.DUMMYFUNCTION("INDEX(IMPORTRANGE(""1y0FWgjbB0gVlqn-q5LMJbGIsqOrzru4yowQz67dz2yc"", ""'GPE'!AM3:AM139""),MATCH(D57,IMPORTRANGE(""1y0FWgjbB0gVlqn-q5LMJbGIsqOrzru4yowQz67dz2yc"", ""'GPE'!D3:D139""),0))"),1)</f>
        <v>1</v>
      </c>
      <c r="Z57" s="1"/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2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22237400</v>
      </c>
      <c r="Q58" s="12">
        <v>22237400</v>
      </c>
      <c r="R58" s="13"/>
      <c r="S58" s="13"/>
      <c r="T58" s="13"/>
      <c r="U58" s="13"/>
      <c r="V58" s="13"/>
      <c r="W58" s="13"/>
      <c r="X58" s="12">
        <v>22237400</v>
      </c>
      <c r="Y58" s="12">
        <f ca="1">IFERROR(__xludf.DUMMYFUNCTION("INDEX(IMPORTRANGE(""1y0FWgjbB0gVlqn-q5LMJbGIsqOrzru4yowQz67dz2yc"", ""'GPE'!AM3:AM139""),MATCH(D58,IMPORTRANGE(""1y0FWgjbB0gVlqn-q5LMJbGIsqOrzru4yowQz67dz2yc"", ""'GPE'!D3:D139""),0))"),22238900)</f>
        <v>22238900</v>
      </c>
      <c r="Z58" s="1"/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2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22238900</v>
      </c>
      <c r="Q59" s="12">
        <v>22238900</v>
      </c>
      <c r="R59" s="13"/>
      <c r="S59" s="13"/>
      <c r="T59" s="13"/>
      <c r="U59" s="13"/>
      <c r="V59" s="13"/>
      <c r="W59" s="13"/>
      <c r="X59" s="12">
        <v>22238900</v>
      </c>
      <c r="Y59" s="12">
        <f ca="1">IFERROR(__xludf.DUMMYFUNCTION("INDEX(IMPORTRANGE(""1y0FWgjbB0gVlqn-q5LMJbGIsqOrzru4yowQz67dz2yc"", ""'GPE'!AM3:AM139""),MATCH(D59,IMPORTRANGE(""1y0FWgjbB0gVlqn-q5LMJbGIsqOrzru4yowQz67dz2yc"", ""'GPE'!D3:D139""),0))"),22238900)</f>
        <v>22238900</v>
      </c>
      <c r="Z59" s="1"/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2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8">P58/P59</f>
        <v>0.99993255062075914</v>
      </c>
      <c r="Q60" s="15">
        <f t="shared" si="18"/>
        <v>0.99993255062075914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0.99993255062075914</v>
      </c>
      <c r="Y60" s="15">
        <f ca="1">IFERROR(__xludf.DUMMYFUNCTION("INDEX(IMPORTRANGE(""1y0FWgjbB0gVlqn-q5LMJbGIsqOrzru4yowQz67dz2yc"", ""'GPE'!AM3:AM139""),MATCH(D60,IMPORTRANGE(""1y0FWgjbB0gVlqn-q5LMJbGIsqOrzru4yowQz67dz2yc"", ""'GPE'!D3:D139""),0))"),1)</f>
        <v>1</v>
      </c>
      <c r="Z60" s="1"/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2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21815</v>
      </c>
      <c r="Q61" s="12">
        <v>21815</v>
      </c>
      <c r="R61" s="13"/>
      <c r="S61" s="13"/>
      <c r="T61" s="13"/>
      <c r="U61" s="13"/>
      <c r="V61" s="13"/>
      <c r="W61" s="13"/>
      <c r="X61" s="12">
        <v>21815</v>
      </c>
      <c r="Y61" s="12">
        <f ca="1">IFERROR(__xludf.DUMMYFUNCTION("INDEX(IMPORTRANGE(""1y0FWgjbB0gVlqn-q5LMJbGIsqOrzru4yowQz67dz2yc"", ""'GPE'!AM3:AM139""),MATCH(D61,IMPORTRANGE(""1y0FWgjbB0gVlqn-q5LMJbGIsqOrzru4yowQz67dz2yc"", ""'GPE'!D3:D139""),0))"),24075)</f>
        <v>24075</v>
      </c>
      <c r="Z61" s="1"/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2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24075</v>
      </c>
      <c r="Q62" s="12">
        <v>24075</v>
      </c>
      <c r="R62" s="13"/>
      <c r="S62" s="13"/>
      <c r="T62" s="13"/>
      <c r="U62" s="13"/>
      <c r="V62" s="13"/>
      <c r="W62" s="13"/>
      <c r="X62" s="12">
        <v>24075</v>
      </c>
      <c r="Y62" s="12">
        <f ca="1">IFERROR(__xludf.DUMMYFUNCTION("INDEX(IMPORTRANGE(""1y0FWgjbB0gVlqn-q5LMJbGIsqOrzru4yowQz67dz2yc"", ""'GPE'!AM3:AM139""),MATCH(D62,IMPORTRANGE(""1y0FWgjbB0gVlqn-q5LMJbGIsqOrzru4yowQz67dz2yc"", ""'GPE'!D3:D139""),0))"),23975)</f>
        <v>23975</v>
      </c>
      <c r="Z62" s="1"/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2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9">P61/P62</f>
        <v>0.90612668743509861</v>
      </c>
      <c r="Q63" s="15">
        <f t="shared" si="19"/>
        <v>0.90612668743509861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0.90612668743509861</v>
      </c>
      <c r="Y63" s="317">
        <f ca="1">IFERROR(__xludf.DUMMYFUNCTION("INDEX(IMPORTRANGE(""1y0FWgjbB0gVlqn-q5LMJbGIsqOrzru4yowQz67dz2yc"", ""'GPE'!AM3:AM139""),MATCH(D63,IMPORTRANGE(""1y0FWgjbB0gVlqn-q5LMJbGIsqOrzru4yowQz67dz2yc"", ""'GPE'!D3:D139""),0))"),1.00417101147028)</f>
        <v>1.00417101147028</v>
      </c>
      <c r="Z63" s="1"/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2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24">
        <v>0</v>
      </c>
      <c r="Q64" s="24">
        <v>5.4640000000000004</v>
      </c>
      <c r="R64" s="22"/>
      <c r="S64" s="22"/>
      <c r="T64" s="22"/>
      <c r="U64" s="22"/>
      <c r="V64" s="22"/>
      <c r="W64" s="22"/>
      <c r="X64" s="24">
        <v>25.54</v>
      </c>
      <c r="Y64" s="24">
        <f ca="1">IFERROR(__xludf.DUMMYFUNCTION("INDEX(IMPORTRANGE(""1y0FWgjbB0gVlqn-q5LMJbGIsqOrzru4yowQz67dz2yc"", ""'GPE'!AM3:AM139""),MATCH(D64,IMPORTRANGE(""1y0FWgjbB0gVlqn-q5LMJbGIsqOrzru4yowQz67dz2yc"", ""'GPE'!D3:D139""),0))"),51.6009999999999)</f>
        <v>51.6009999999999</v>
      </c>
      <c r="Z64" s="1"/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2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23">
        <v>0</v>
      </c>
      <c r="Q65" s="23">
        <v>0</v>
      </c>
      <c r="R65" s="1"/>
      <c r="S65" s="1"/>
      <c r="T65" s="1"/>
      <c r="U65" s="1"/>
      <c r="V65" s="1"/>
      <c r="W65" s="1"/>
      <c r="X65" s="23">
        <v>0</v>
      </c>
      <c r="Y65" s="23">
        <f ca="1">IFERROR(__xludf.DUMMYFUNCTION("INDEX(IMPORTRANGE(""1y0FWgjbB0gVlqn-q5LMJbGIsqOrzru4yowQz67dz2yc"", ""'GPE'!AM3:AM139""),MATCH(D65,IMPORTRANGE(""1y0FWgjbB0gVlqn-q5LMJbGIsqOrzru4yowQz67dz2yc"", ""'GPE'!D3:D139""),0))"),0.287)</f>
        <v>0.28699999999999998</v>
      </c>
      <c r="Z65" s="1"/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2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0</v>
      </c>
      <c r="Q66" s="12">
        <v>0</v>
      </c>
      <c r="R66" s="13"/>
      <c r="S66" s="13"/>
      <c r="T66" s="13"/>
      <c r="U66" s="13"/>
      <c r="V66" s="13"/>
      <c r="W66" s="13"/>
      <c r="X66" s="12">
        <v>0</v>
      </c>
      <c r="Y66" s="12" t="str">
        <f ca="1">IFERROR(__xludf.DUMMYFUNCTION("INDEX(IMPORTRANGE(""1y0FWgjbB0gVlqn-q5LMJbGIsqOrzru4yowQz67dz2yc"", ""'GPE'!AM3:AM139""),MATCH(D66,IMPORTRANGE(""1y0FWgjbB0gVlqn-q5LMJbGIsqOrzru4yowQz67dz2yc"", ""'GPE'!D3:D139""),0))"),"")</f>
        <v/>
      </c>
      <c r="Z66" s="1"/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2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v>0</v>
      </c>
      <c r="Q67" s="23">
        <v>5.4640000000000004</v>
      </c>
      <c r="R67" s="22">
        <v>10.1</v>
      </c>
      <c r="S67" s="22">
        <v>10</v>
      </c>
      <c r="T67" s="22">
        <v>10.1</v>
      </c>
      <c r="U67" s="22">
        <v>10</v>
      </c>
      <c r="V67" s="22">
        <v>10.1</v>
      </c>
      <c r="W67" s="22">
        <v>60.3</v>
      </c>
      <c r="X67" s="23">
        <v>25.54</v>
      </c>
      <c r="Y67" s="23">
        <f ca="1">IFERROR(__xludf.DUMMYFUNCTION("INDEX(IMPORTRANGE(""1y0FWgjbB0gVlqn-q5LMJbGIsqOrzru4yowQz67dz2yc"", ""'GPE'!AM3:AM139""),MATCH(D67,IMPORTRANGE(""1y0FWgjbB0gVlqn-q5LMJbGIsqOrzru4yowQz67dz2yc"", ""'GPE'!D3:D139""),0))"),51.8879999999999)</f>
        <v>51.887999999999899</v>
      </c>
      <c r="Z67" s="1"/>
      <c r="AA67" s="1"/>
      <c r="AB67" s="1"/>
      <c r="AC67" s="1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2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3">
        <v>13.875</v>
      </c>
      <c r="Q68" s="23">
        <v>13.875</v>
      </c>
      <c r="R68" s="1">
        <v>1.5</v>
      </c>
      <c r="S68" s="1">
        <v>1.73</v>
      </c>
      <c r="T68" s="1">
        <v>2.5299999999999998</v>
      </c>
      <c r="U68" s="1">
        <v>3.03</v>
      </c>
      <c r="V68" s="1">
        <v>7.66</v>
      </c>
      <c r="W68" s="1">
        <v>7.66</v>
      </c>
      <c r="X68" s="23">
        <v>13.875</v>
      </c>
      <c r="Y68" s="23">
        <f ca="1">IFERROR(__xludf.DUMMYFUNCTION("INDEX(IMPORTRANGE(""1y0FWgjbB0gVlqn-q5LMJbGIsqOrzru4yowQz67dz2yc"", ""'GPE'!AM3:AM139""),MATCH(D68,IMPORTRANGE(""1y0FWgjbB0gVlqn-q5LMJbGIsqOrzru4yowQz67dz2yc"", ""'GPE'!D3:D139""),0))"),1.86)</f>
        <v>1.86</v>
      </c>
      <c r="Z68" s="1"/>
      <c r="AA68" s="1"/>
      <c r="AB68" s="1"/>
      <c r="AC68" s="1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2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"/>
      <c r="S69" s="1"/>
      <c r="T69" s="1"/>
      <c r="U69" s="1"/>
      <c r="V69" s="1"/>
      <c r="W69" s="1"/>
      <c r="X69" s="2">
        <v>10</v>
      </c>
      <c r="Y69" s="12">
        <f ca="1">IFERROR(__xludf.DUMMYFUNCTION("INDEX(IMPORTRANGE(""1y0FWgjbB0gVlqn-q5LMJbGIsqOrzru4yowQz67dz2yc"", ""'GPE'!AM3:AM139""),MATCH(D69,IMPORTRANGE(""1y0FWgjbB0gVlqn-q5LMJbGIsqOrzru4yowQz67dz2yc"", ""'GPE'!D3:D139""),0))"),18703)</f>
        <v>18703</v>
      </c>
      <c r="Z69" s="1"/>
      <c r="AA69" s="1"/>
      <c r="AB69" s="1"/>
      <c r="AC69" s="1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2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"/>
      <c r="S70" s="1"/>
      <c r="T70" s="1"/>
      <c r="U70" s="1"/>
      <c r="V70" s="1"/>
      <c r="W70" s="1"/>
      <c r="X70" s="2">
        <v>80</v>
      </c>
      <c r="Y70" s="2">
        <f ca="1">IFERROR(__xludf.DUMMYFUNCTION("INDEX(IMPORTRANGE(""1y0FWgjbB0gVlqn-q5LMJbGIsqOrzru4yowQz67dz2yc"", ""'GPE'!AM3:AM139""),MATCH(D70,IMPORTRANGE(""1y0FWgjbB0gVlqn-q5LMJbGIsqOrzru4yowQz67dz2yc"", ""'GPE'!D3:D139""),0))"),80)</f>
        <v>80</v>
      </c>
      <c r="Z70" s="1"/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"/>
      <c r="S71" s="1"/>
      <c r="T71" s="1"/>
      <c r="U71" s="1"/>
      <c r="V71" s="1"/>
      <c r="W71" s="1"/>
      <c r="X71" s="2">
        <v>193</v>
      </c>
      <c r="Y71" s="2">
        <f ca="1">IFERROR(__xludf.DUMMYFUNCTION("INDEX(IMPORTRANGE(""1y0FWgjbB0gVlqn-q5LMJbGIsqOrzru4yowQz67dz2yc"", ""'GPE'!AM3:AM139""),MATCH(D71,IMPORTRANGE(""1y0FWgjbB0gVlqn-q5LMJbGIsqOrzru4yowQz67dz2yc"", ""'GPE'!D3:D139""),0))"),193)</f>
        <v>193</v>
      </c>
      <c r="Z71" s="1"/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316">
        <v>16667</v>
      </c>
      <c r="S72" s="316">
        <v>8333</v>
      </c>
      <c r="T72" s="316">
        <v>16667</v>
      </c>
      <c r="U72" s="316">
        <v>8333</v>
      </c>
      <c r="V72" s="316">
        <v>16667</v>
      </c>
      <c r="W72" s="13">
        <v>50000</v>
      </c>
      <c r="X72" s="2">
        <v>283</v>
      </c>
      <c r="Y72" s="12">
        <f ca="1">IFERROR(__xludf.DUMMYFUNCTION("INDEX(IMPORTRANGE(""1y0FWgjbB0gVlqn-q5LMJbGIsqOrzru4yowQz67dz2yc"", ""'GPE'!AM3:AM139""),MATCH(D72,IMPORTRANGE(""1y0FWgjbB0gVlqn-q5LMJbGIsqOrzru4yowQz67dz2yc"", ""'GPE'!D3:D139""),0))"),18976)</f>
        <v>18976</v>
      </c>
      <c r="Z72" s="1"/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155" t="s">
        <v>211</v>
      </c>
      <c r="E73" s="7" t="s">
        <v>38</v>
      </c>
      <c r="F73" s="9" t="s">
        <v>212</v>
      </c>
      <c r="G73" s="155" t="s">
        <v>213</v>
      </c>
      <c r="H73" s="156" t="s">
        <v>214</v>
      </c>
      <c r="I73" s="7" t="s">
        <v>215</v>
      </c>
      <c r="J73" s="181"/>
      <c r="K73" s="7" t="s">
        <v>216</v>
      </c>
      <c r="L73" s="181"/>
      <c r="M73" s="7" t="s">
        <v>217</v>
      </c>
      <c r="N73" s="1" t="s">
        <v>218</v>
      </c>
      <c r="O73" s="1" t="s">
        <v>218</v>
      </c>
      <c r="P73" s="36">
        <v>74396545.189999998</v>
      </c>
      <c r="Q73" s="36">
        <v>74396545.189999998</v>
      </c>
      <c r="R73" s="13"/>
      <c r="S73" s="13"/>
      <c r="T73" s="13"/>
      <c r="U73" s="13"/>
      <c r="V73" s="13"/>
      <c r="W73" s="13"/>
      <c r="X73" s="36">
        <v>74396545.189999998</v>
      </c>
      <c r="Y73" s="178" t="str">
        <f ca="1">IFERROR(__xludf.DUMMYFUNCTION("INDEX(IMPORTRANGE(""1y0FWgjbB0gVlqn-q5LMJbGIsqOrzru4yowQz67dz2yc"", ""'GPE'!AM3:AM139""),MATCH(D73,IMPORTRANGE(""1y0FWgjbB0gVlqn-q5LMJbGIsqOrzru4yowQz67dz2yc"", ""'GPE'!D3:D139""),0))"),"")</f>
        <v/>
      </c>
      <c r="Z73" s="1"/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155" t="s">
        <v>219</v>
      </c>
      <c r="E74" s="7" t="s">
        <v>38</v>
      </c>
      <c r="F74" s="9" t="s">
        <v>220</v>
      </c>
      <c r="G74" s="155" t="s">
        <v>213</v>
      </c>
      <c r="H74" s="156" t="s">
        <v>214</v>
      </c>
      <c r="I74" s="7" t="s">
        <v>215</v>
      </c>
      <c r="J74" s="181"/>
      <c r="K74" s="7" t="s">
        <v>216</v>
      </c>
      <c r="L74" s="181"/>
      <c r="M74" s="7" t="s">
        <v>217</v>
      </c>
      <c r="N74" s="1" t="s">
        <v>218</v>
      </c>
      <c r="O74" s="1" t="s">
        <v>218</v>
      </c>
      <c r="P74" s="36">
        <v>10029809.779999999</v>
      </c>
      <c r="Q74" s="36">
        <v>10029809.779999999</v>
      </c>
      <c r="R74" s="13"/>
      <c r="S74" s="13"/>
      <c r="T74" s="13"/>
      <c r="U74" s="13"/>
      <c r="V74" s="13"/>
      <c r="W74" s="13"/>
      <c r="X74" s="36">
        <v>10029809.779999999</v>
      </c>
      <c r="Y74" s="178" t="str">
        <f ca="1">IFERROR(__xludf.DUMMYFUNCTION("INDEX(IMPORTRANGE(""1y0FWgjbB0gVlqn-q5LMJbGIsqOrzru4yowQz67dz2yc"", ""'GPE'!AM3:AM139""),MATCH(D74,IMPORTRANGE(""1y0FWgjbB0gVlqn-q5LMJbGIsqOrzru4yowQz67dz2yc"", ""'GPE'!D3:D139""),0))"),"")</f>
        <v/>
      </c>
      <c r="Z74" s="1"/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55" t="s">
        <v>213</v>
      </c>
      <c r="H75" s="156" t="s">
        <v>214</v>
      </c>
      <c r="I75" s="7" t="s">
        <v>215</v>
      </c>
      <c r="J75" s="181"/>
      <c r="K75" s="7" t="s">
        <v>216</v>
      </c>
      <c r="L75" s="181"/>
      <c r="M75" s="7" t="s">
        <v>217</v>
      </c>
      <c r="N75" s="1" t="s">
        <v>218</v>
      </c>
      <c r="O75" s="1" t="s">
        <v>218</v>
      </c>
      <c r="P75" s="15">
        <f t="shared" ref="P75:Q75" si="20">P74/P73</f>
        <v>0.13481553147911707</v>
      </c>
      <c r="Q75" s="15">
        <f t="shared" si="20"/>
        <v>0.13481553147911707</v>
      </c>
      <c r="R75" s="263"/>
      <c r="S75" s="25">
        <v>0.13500000000000001</v>
      </c>
      <c r="T75" s="263"/>
      <c r="U75" s="25">
        <v>0.27</v>
      </c>
      <c r="V75" s="31">
        <v>0.4</v>
      </c>
      <c r="W75" s="31">
        <v>0.4</v>
      </c>
      <c r="X75" s="15">
        <f>X74/X73</f>
        <v>0.13481553147911707</v>
      </c>
      <c r="Y75" s="179" t="str">
        <f ca="1">IFERROR(__xludf.DUMMYFUNCTION("INDEX(IMPORTRANGE(""1y0FWgjbB0gVlqn-q5LMJbGIsqOrzru4yowQz67dz2yc"", ""'GPE'!AM3:AM139""),MATCH(D75,IMPORTRANGE(""1y0FWgjbB0gVlqn-q5LMJbGIsqOrzru4yowQz67dz2yc"", ""'GPE'!D3:D139""),0))"),"")</f>
        <v/>
      </c>
      <c r="Z75" s="1"/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">
        <v>0</v>
      </c>
      <c r="Q76" s="2">
        <v>0</v>
      </c>
      <c r="R76" s="1"/>
      <c r="S76" s="1"/>
      <c r="T76" s="1"/>
      <c r="U76" s="1"/>
      <c r="V76" s="1"/>
      <c r="W76" s="1"/>
      <c r="X76" s="2">
        <v>0</v>
      </c>
      <c r="Y76" s="2">
        <f ca="1">IFERROR(__xludf.DUMMYFUNCTION("INDEX(IMPORTRANGE(""1y0FWgjbB0gVlqn-q5LMJbGIsqOrzru4yowQz67dz2yc"", ""'GPE'!AM3:AM139""),MATCH(D76,IMPORTRANGE(""1y0FWgjbB0gVlqn-q5LMJbGIsqOrzru4yowQz67dz2yc"", ""'GPE'!D3:D139""),0))"),5)</f>
        <v>5</v>
      </c>
      <c r="Z76" s="1"/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155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">
        <v>0</v>
      </c>
      <c r="Q77" s="2">
        <v>0</v>
      </c>
      <c r="R77" s="1"/>
      <c r="S77" s="1"/>
      <c r="T77" s="1"/>
      <c r="U77" s="1"/>
      <c r="V77" s="1"/>
      <c r="W77" s="1"/>
      <c r="X77" s="2">
        <v>22</v>
      </c>
      <c r="Y77" s="2">
        <f ca="1">IFERROR(__xludf.DUMMYFUNCTION("INDEX(IMPORTRANGE(""1y0FWgjbB0gVlqn-q5LMJbGIsqOrzru4yowQz67dz2yc"", ""'GPE'!AM3:AM139""),MATCH(D77,IMPORTRANGE(""1y0FWgjbB0gVlqn-q5LMJbGIsqOrzru4yowQz67dz2yc"", ""'GPE'!D3:D139""),0))"),40)</f>
        <v>40</v>
      </c>
      <c r="Z77" s="1"/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155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2">
        <f t="shared" ref="P78:Q78" si="21">P76+P77</f>
        <v>0</v>
      </c>
      <c r="Q78" s="2">
        <f t="shared" si="21"/>
        <v>0</v>
      </c>
      <c r="R78" s="13">
        <v>8</v>
      </c>
      <c r="S78" s="13">
        <v>8</v>
      </c>
      <c r="T78" s="13">
        <v>8</v>
      </c>
      <c r="U78" s="13">
        <v>8</v>
      </c>
      <c r="V78" s="13">
        <v>8</v>
      </c>
      <c r="W78" s="13">
        <v>40</v>
      </c>
      <c r="X78" s="2">
        <f>X76+X77</f>
        <v>22</v>
      </c>
      <c r="Y78" s="2">
        <f ca="1">IFERROR(__xludf.DUMMYFUNCTION("INDEX(IMPORTRANGE(""1y0FWgjbB0gVlqn-q5LMJbGIsqOrzru4yowQz67dz2yc"", ""'GPE'!AM3:AM139""),MATCH(D78,IMPORTRANGE(""1y0FWgjbB0gVlqn-q5LMJbGIsqOrzru4yowQz67dz2yc"", ""'GPE'!D3:D139""),0))"),45)</f>
        <v>45</v>
      </c>
      <c r="Z78" s="1"/>
      <c r="AA78" s="1"/>
      <c r="AB78" s="1"/>
      <c r="AC78" s="1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99</v>
      </c>
      <c r="Q79" s="2">
        <v>212</v>
      </c>
      <c r="R79" s="13"/>
      <c r="S79" s="13"/>
      <c r="T79" s="13"/>
      <c r="U79" s="13"/>
      <c r="V79" s="13"/>
      <c r="W79" s="13"/>
      <c r="X79" s="2">
        <v>133</v>
      </c>
      <c r="Y79" s="2">
        <f ca="1">IFERROR(__xludf.DUMMYFUNCTION("INDEX(IMPORTRANGE(""1y0FWgjbB0gVlqn-q5LMJbGIsqOrzru4yowQz67dz2yc"", ""'GPE'!AM3:AM139""),MATCH(D79,IMPORTRANGE(""1y0FWgjbB0gVlqn-q5LMJbGIsqOrzru4yowQz67dz2yc"", ""'GPE'!D3:D139""),0))"),238)</f>
        <v>238</v>
      </c>
      <c r="Z79" s="1"/>
      <c r="AA79" s="1"/>
      <c r="AB79" s="1"/>
      <c r="AC79" s="1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9</v>
      </c>
      <c r="Q80" s="2">
        <v>31</v>
      </c>
      <c r="R80" s="13"/>
      <c r="S80" s="13"/>
      <c r="T80" s="13"/>
      <c r="U80" s="13"/>
      <c r="V80" s="13"/>
      <c r="W80" s="13"/>
      <c r="X80" s="2">
        <v>20</v>
      </c>
      <c r="Y80" s="2">
        <f ca="1">IFERROR(__xludf.DUMMYFUNCTION("INDEX(IMPORTRANGE(""1y0FWgjbB0gVlqn-q5LMJbGIsqOrzru4yowQz67dz2yc"", ""'GPE'!AM3:AM139""),MATCH(D80,IMPORTRANGE(""1y0FWgjbB0gVlqn-q5LMJbGIsqOrzru4yowQz67dz2yc"", ""'GPE'!D3:D139""),0))"),37)</f>
        <v>37</v>
      </c>
      <c r="Z80" s="1"/>
      <c r="AA80" s="1"/>
      <c r="AB80" s="1"/>
      <c r="AC80" s="1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1298</v>
      </c>
      <c r="Q81" s="12">
        <v>2765</v>
      </c>
      <c r="R81" s="13"/>
      <c r="S81" s="13"/>
      <c r="T81" s="13"/>
      <c r="U81" s="13"/>
      <c r="V81" s="13"/>
      <c r="W81" s="13"/>
      <c r="X81" s="2">
        <v>2591</v>
      </c>
      <c r="Y81" s="12">
        <f ca="1">IFERROR(__xludf.DUMMYFUNCTION("INDEX(IMPORTRANGE(""1y0FWgjbB0gVlqn-q5LMJbGIsqOrzru4yowQz67dz2yc"", ""'GPE'!AM3:AM139""),MATCH(D81,IMPORTRANGE(""1y0FWgjbB0gVlqn-q5LMJbGIsqOrzru4yowQz67dz2yc"", ""'GPE'!D3:D139""),0))"),4640)</f>
        <v>4640</v>
      </c>
      <c r="Z81" s="1"/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167</v>
      </c>
      <c r="Q82" s="2">
        <v>368</v>
      </c>
      <c r="R82" s="13"/>
      <c r="S82" s="13"/>
      <c r="T82" s="13"/>
      <c r="U82" s="13"/>
      <c r="V82" s="13"/>
      <c r="W82" s="13"/>
      <c r="X82" s="2">
        <v>351</v>
      </c>
      <c r="Y82" s="2">
        <f ca="1">IFERROR(__xludf.DUMMYFUNCTION("INDEX(IMPORTRANGE(""1y0FWgjbB0gVlqn-q5LMJbGIsqOrzru4yowQz67dz2yc"", ""'GPE'!AM3:AM139""),MATCH(D82,IMPORTRANGE(""1y0FWgjbB0gVlqn-q5LMJbGIsqOrzru4yowQz67dz2yc"", ""'GPE'!D3:D139""),0))"),663)</f>
        <v>663</v>
      </c>
      <c r="Z82" s="1"/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920</v>
      </c>
      <c r="Q83" s="12">
        <v>1862</v>
      </c>
      <c r="R83" s="13"/>
      <c r="S83" s="13"/>
      <c r="T83" s="13"/>
      <c r="U83" s="13"/>
      <c r="V83" s="13"/>
      <c r="W83" s="13"/>
      <c r="X83" s="2">
        <v>177</v>
      </c>
      <c r="Y83" s="2">
        <f ca="1">IFERROR(__xludf.DUMMYFUNCTION("INDEX(IMPORTRANGE(""1y0FWgjbB0gVlqn-q5LMJbGIsqOrzru4yowQz67dz2yc"", ""'GPE'!AM3:AM139""),MATCH(D83,IMPORTRANGE(""1y0FWgjbB0gVlqn-q5LMJbGIsqOrzru4yowQz67dz2yc"", ""'GPE'!D3:D139""),0))"),316)</f>
        <v>316</v>
      </c>
      <c r="Z83" s="1"/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2493</v>
      </c>
      <c r="Q84" s="2">
        <v>5238</v>
      </c>
      <c r="R84" s="218">
        <f>(1-0.1%)*Q84</f>
        <v>5232.7619999999997</v>
      </c>
      <c r="S84" s="218">
        <f>(1-0.25%)*P84</f>
        <v>2486.7674999999999</v>
      </c>
      <c r="T84" s="218">
        <f>(1-0.4%)*Q84</f>
        <v>5217.0479999999998</v>
      </c>
      <c r="U84" s="218">
        <f>(1-0.6%)*P84</f>
        <v>2478.0419999999999</v>
      </c>
      <c r="V84" s="218">
        <f t="shared" ref="V84:W84" si="22">(1-1%)*Q84</f>
        <v>5185.62</v>
      </c>
      <c r="W84" s="218">
        <f t="shared" si="22"/>
        <v>5180.4343799999997</v>
      </c>
      <c r="X84" s="2">
        <v>3272</v>
      </c>
      <c r="Y84" s="12">
        <f ca="1">IFERROR(__xludf.DUMMYFUNCTION("INDEX(IMPORTRANGE(""1y0FWgjbB0gVlqn-q5LMJbGIsqOrzru4yowQz67dz2yc"", ""'GPE'!AM3:AM139""),MATCH(D84,IMPORTRANGE(""1y0FWgjbB0gVlqn-q5LMJbGIsqOrzru4yowQz67dz2yc"", ""'GPE'!D3:D139""),0))"),5894)</f>
        <v>5894</v>
      </c>
      <c r="Z84" s="1"/>
      <c r="AA84" s="1"/>
      <c r="AB84" s="1"/>
      <c r="AC84" s="1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0</v>
      </c>
      <c r="Q85" s="2">
        <v>0</v>
      </c>
      <c r="R85" s="22">
        <v>10</v>
      </c>
      <c r="S85" s="22">
        <v>10</v>
      </c>
      <c r="T85" s="22">
        <v>10</v>
      </c>
      <c r="U85" s="22">
        <v>10</v>
      </c>
      <c r="V85" s="22">
        <v>10</v>
      </c>
      <c r="W85" s="2">
        <v>10</v>
      </c>
      <c r="X85" s="2">
        <v>3</v>
      </c>
      <c r="Y85" s="2">
        <f ca="1">IFERROR(__xludf.DUMMYFUNCTION("INDEX(IMPORTRANGE(""1y0FWgjbB0gVlqn-q5LMJbGIsqOrzru4yowQz67dz2yc"", ""'GPE'!AM3:AM139""),MATCH(D85,IMPORTRANGE(""1y0FWgjbB0gVlqn-q5LMJbGIsqOrzru4yowQz67dz2yc"", ""'GPE'!D3:D139""),0))"),17)</f>
        <v>17</v>
      </c>
      <c r="Z85" s="1"/>
      <c r="AA85" s="1"/>
      <c r="AB85" s="1"/>
      <c r="AC85" s="1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 t="s">
        <v>254</v>
      </c>
      <c r="J86" s="11">
        <v>44713</v>
      </c>
      <c r="K86" s="11" t="s">
        <v>255</v>
      </c>
      <c r="L86" s="11">
        <v>45078</v>
      </c>
      <c r="M86" s="11" t="s">
        <v>256</v>
      </c>
      <c r="N86" s="11">
        <v>45444</v>
      </c>
      <c r="O86" s="11">
        <v>45444</v>
      </c>
      <c r="P86" s="2">
        <v>6</v>
      </c>
      <c r="Q86" s="2">
        <v>6</v>
      </c>
      <c r="R86" s="2">
        <v>8</v>
      </c>
      <c r="S86" s="2">
        <v>10</v>
      </c>
      <c r="T86" s="2">
        <v>12</v>
      </c>
      <c r="U86" s="2">
        <v>14</v>
      </c>
      <c r="V86" s="2">
        <v>16</v>
      </c>
      <c r="W86" s="2">
        <v>16</v>
      </c>
      <c r="X86" s="2">
        <v>6</v>
      </c>
      <c r="Y86" s="2">
        <f ca="1">IFERROR(__xludf.DUMMYFUNCTION("INDEX(IMPORTRANGE(""1y0FWgjbB0gVlqn-q5LMJbGIsqOrzru4yowQz67dz2yc"", ""'GPE'!AM3:AM139""),MATCH(D86,IMPORTRANGE(""1y0FWgjbB0gVlqn-q5LMJbGIsqOrzru4yowQz67dz2yc"", ""'GPE'!D3:D139""),0))"),8)</f>
        <v>8</v>
      </c>
      <c r="Z86" s="1"/>
      <c r="AA86" s="1"/>
      <c r="AB86" s="1"/>
      <c r="AC86" s="1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>
        <v>44651</v>
      </c>
      <c r="J87" s="11">
        <v>44834</v>
      </c>
      <c r="K87" s="11">
        <v>45016</v>
      </c>
      <c r="L87" s="11">
        <v>45199</v>
      </c>
      <c r="M87" s="11">
        <v>45382</v>
      </c>
      <c r="N87" s="11">
        <v>45565</v>
      </c>
      <c r="O87" s="11">
        <v>45565</v>
      </c>
      <c r="P87" s="2">
        <v>100</v>
      </c>
      <c r="Q87" s="2">
        <v>100</v>
      </c>
      <c r="R87" s="2">
        <v>100</v>
      </c>
      <c r="S87" s="2">
        <v>100</v>
      </c>
      <c r="T87" s="2">
        <v>100</v>
      </c>
      <c r="U87" s="2">
        <v>100</v>
      </c>
      <c r="V87" s="2">
        <v>100</v>
      </c>
      <c r="W87" s="2">
        <v>100</v>
      </c>
      <c r="X87" s="2">
        <v>100</v>
      </c>
      <c r="Y87" s="2">
        <f ca="1">IFERROR(__xludf.DUMMYFUNCTION("INDEX(IMPORTRANGE(""1y0FWgjbB0gVlqn-q5LMJbGIsqOrzru4yowQz67dz2yc"", ""'GPE'!AM3:AM139""),MATCH(D87,IMPORTRANGE(""1y0FWgjbB0gVlqn-q5LMJbGIsqOrzru4yowQz67dz2yc"", ""'GPE'!D3:D139""),0))"),100)</f>
        <v>100</v>
      </c>
      <c r="Z87" s="1"/>
      <c r="AA87" s="1"/>
      <c r="AB87" s="1"/>
      <c r="AC87" s="1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57"/>
      <c r="I88" s="11">
        <v>44651</v>
      </c>
      <c r="J88" s="180"/>
      <c r="K88" s="11">
        <v>45016</v>
      </c>
      <c r="L88" s="180"/>
      <c r="M88" s="11">
        <v>45382</v>
      </c>
      <c r="N88" s="180"/>
      <c r="O88" s="11">
        <v>45565</v>
      </c>
      <c r="P88" s="12">
        <v>0</v>
      </c>
      <c r="Q88" s="2">
        <v>0</v>
      </c>
      <c r="R88" s="2">
        <v>4</v>
      </c>
      <c r="S88" s="2">
        <v>4</v>
      </c>
      <c r="T88" s="2">
        <v>4</v>
      </c>
      <c r="U88" s="2">
        <v>4</v>
      </c>
      <c r="V88" s="2">
        <v>4</v>
      </c>
      <c r="W88" s="2">
        <v>4</v>
      </c>
      <c r="X88" s="2">
        <v>3</v>
      </c>
      <c r="Y88" s="2">
        <f ca="1">IFERROR(__xludf.DUMMYFUNCTION("INDEX(IMPORTRANGE(""1y0FWgjbB0gVlqn-q5LMJbGIsqOrzru4yowQz67dz2yc"", ""'GPE'!AM3:AM139""),MATCH(D88,IMPORTRANGE(""1y0FWgjbB0gVlqn-q5LMJbGIsqOrzru4yowQz67dz2yc"", ""'GPE'!D3:D139""),0))"),4)</f>
        <v>4</v>
      </c>
      <c r="Z88" s="1"/>
      <c r="AA88" s="1"/>
      <c r="AB88" s="1"/>
      <c r="AC88" s="1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158"/>
      <c r="I89" s="11">
        <v>44651</v>
      </c>
      <c r="J89" s="181"/>
      <c r="K89" s="11">
        <v>45016</v>
      </c>
      <c r="L89" s="181"/>
      <c r="M89" s="11">
        <v>45382</v>
      </c>
      <c r="N89" s="181"/>
      <c r="O89" s="11">
        <v>45565</v>
      </c>
      <c r="P89" s="254"/>
      <c r="Q89" s="254"/>
      <c r="R89" s="13"/>
      <c r="S89" s="13"/>
      <c r="T89" s="13"/>
      <c r="U89" s="13"/>
      <c r="V89" s="13"/>
      <c r="W89" s="13"/>
      <c r="X89" s="2">
        <v>4</v>
      </c>
      <c r="Y89" s="2">
        <f ca="1">IFERROR(__xludf.DUMMYFUNCTION("INDEX(IMPORTRANGE(""1y0FWgjbB0gVlqn-q5LMJbGIsqOrzru4yowQz67dz2yc"", ""'GPE'!AM3:AM139""),MATCH(D89,IMPORTRANGE(""1y0FWgjbB0gVlqn-q5LMJbGIsqOrzru4yowQz67dz2yc"", ""'GPE'!D3:D139""),0))"),3)</f>
        <v>3</v>
      </c>
      <c r="Z89" s="1"/>
      <c r="AA89" s="1"/>
      <c r="AB89" s="1"/>
      <c r="AC89" s="1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158"/>
      <c r="I90" s="11">
        <v>44651</v>
      </c>
      <c r="J90" s="181"/>
      <c r="K90" s="11">
        <v>45016</v>
      </c>
      <c r="L90" s="181"/>
      <c r="M90" s="11">
        <v>45382</v>
      </c>
      <c r="N90" s="181"/>
      <c r="O90" s="11">
        <v>45565</v>
      </c>
      <c r="P90" s="254"/>
      <c r="Q90" s="254"/>
      <c r="R90" s="13"/>
      <c r="S90" s="13"/>
      <c r="T90" s="13"/>
      <c r="U90" s="13"/>
      <c r="V90" s="13"/>
      <c r="W90" s="13"/>
      <c r="X90" s="2">
        <v>11</v>
      </c>
      <c r="Y90" s="2">
        <f ca="1">IFERROR(__xludf.DUMMYFUNCTION("INDEX(IMPORTRANGE(""1y0FWgjbB0gVlqn-q5LMJbGIsqOrzru4yowQz67dz2yc"", ""'GPE'!AM3:AM139""),MATCH(D90,IMPORTRANGE(""1y0FWgjbB0gVlqn-q5LMJbGIsqOrzru4yowQz67dz2yc"", ""'GPE'!D3:D139""),0))"),10)</f>
        <v>10</v>
      </c>
      <c r="Z90" s="1"/>
      <c r="AA90" s="1"/>
      <c r="AB90" s="1"/>
      <c r="AC90" s="1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158"/>
      <c r="I91" s="11">
        <v>44651</v>
      </c>
      <c r="J91" s="181"/>
      <c r="K91" s="11">
        <v>45016</v>
      </c>
      <c r="L91" s="181"/>
      <c r="M91" s="11">
        <v>45382</v>
      </c>
      <c r="N91" s="181"/>
      <c r="O91" s="11">
        <v>45565</v>
      </c>
      <c r="P91" s="254"/>
      <c r="Q91" s="254"/>
      <c r="R91" s="13"/>
      <c r="S91" s="13"/>
      <c r="T91" s="13"/>
      <c r="U91" s="13"/>
      <c r="V91" s="13"/>
      <c r="W91" s="13"/>
      <c r="X91" s="2">
        <v>0</v>
      </c>
      <c r="Y91" s="2">
        <f ca="1">IFERROR(__xludf.DUMMYFUNCTION("INDEX(IMPORTRANGE(""1y0FWgjbB0gVlqn-q5LMJbGIsqOrzru4yowQz67dz2yc"", ""'GPE'!AM3:AM139""),MATCH(D91,IMPORTRANGE(""1y0FWgjbB0gVlqn-q5LMJbGIsqOrzru4yowQz67dz2yc"", ""'GPE'!D3:D139""),0))"),0)</f>
        <v>0</v>
      </c>
      <c r="Z91" s="1"/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158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254"/>
      <c r="Q92" s="254"/>
      <c r="R92" s="13"/>
      <c r="S92" s="13"/>
      <c r="T92" s="13"/>
      <c r="U92" s="13"/>
      <c r="V92" s="13"/>
      <c r="W92" s="13"/>
      <c r="X92" s="2">
        <v>0</v>
      </c>
      <c r="Y92" s="2">
        <f ca="1">IFERROR(__xludf.DUMMYFUNCTION("INDEX(IMPORTRANGE(""1y0FWgjbB0gVlqn-q5LMJbGIsqOrzru4yowQz67dz2yc"", ""'GPE'!AM3:AM139""),MATCH(D92,IMPORTRANGE(""1y0FWgjbB0gVlqn-q5LMJbGIsqOrzru4yowQz67dz2yc"", ""'GPE'!D3:D139""),0))"),0)</f>
        <v>0</v>
      </c>
      <c r="Z92" s="1"/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158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254"/>
      <c r="Q93" s="254"/>
      <c r="R93" s="13"/>
      <c r="S93" s="13"/>
      <c r="T93" s="13"/>
      <c r="U93" s="13"/>
      <c r="V93" s="13"/>
      <c r="W93" s="13"/>
      <c r="X93" s="2">
        <v>9</v>
      </c>
      <c r="Y93" s="2">
        <f ca="1">IFERROR(__xludf.DUMMYFUNCTION("INDEX(IMPORTRANGE(""1y0FWgjbB0gVlqn-q5LMJbGIsqOrzru4yowQz67dz2yc"", ""'GPE'!AM3:AM139""),MATCH(D93,IMPORTRANGE(""1y0FWgjbB0gVlqn-q5LMJbGIsqOrzru4yowQz67dz2yc"", ""'GPE'!D3:D139""),0))"),10)</f>
        <v>10</v>
      </c>
      <c r="Z93" s="1"/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158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2">
        <v>49</v>
      </c>
      <c r="Y94" s="2">
        <f ca="1">IFERROR(__xludf.DUMMYFUNCTION("INDEX(IMPORTRANGE(""1y0FWgjbB0gVlqn-q5LMJbGIsqOrzru4yowQz67dz2yc"", ""'GPE'!AM3:AM139""),MATCH(D94,IMPORTRANGE(""1y0FWgjbB0gVlqn-q5LMJbGIsqOrzru4yowQz67dz2yc"", ""'GPE'!D3:D139""),0))"),51)</f>
        <v>51</v>
      </c>
      <c r="Z94" s="1"/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59" t="s">
        <v>213</v>
      </c>
      <c r="H95" s="156" t="s">
        <v>214</v>
      </c>
      <c r="I95" s="183" t="s">
        <v>215</v>
      </c>
      <c r="J95" s="181"/>
      <c r="K95" s="183" t="s">
        <v>216</v>
      </c>
      <c r="L95" s="181"/>
      <c r="M95" s="183" t="s">
        <v>217</v>
      </c>
      <c r="N95" s="1" t="s">
        <v>218</v>
      </c>
      <c r="O95" s="348" t="s">
        <v>218</v>
      </c>
      <c r="P95" s="254"/>
      <c r="Q95" s="254"/>
      <c r="R95" s="13"/>
      <c r="S95" s="13"/>
      <c r="T95" s="13"/>
      <c r="U95" s="13"/>
      <c r="V95" s="13"/>
      <c r="W95" s="13"/>
      <c r="X95" s="15">
        <f>SUM(X89,X91,X93)/SUM(X90,X92,X94)</f>
        <v>0.21666666666666667</v>
      </c>
      <c r="Y95" s="15">
        <f ca="1">IFERROR(__xludf.DUMMYFUNCTION("INDEX(IMPORTRANGE(""1y0FWgjbB0gVlqn-q5LMJbGIsqOrzru4yowQz67dz2yc"", ""'GPE'!AM3:AM139""),MATCH(D95,IMPORTRANGE(""1y0FWgjbB0gVlqn-q5LMJbGIsqOrzru4yowQz67dz2yc"", ""'GPE'!D3:D139""),0))"),0.21311475409836)</f>
        <v>0.21311475409836</v>
      </c>
      <c r="Z95" s="1"/>
      <c r="AA95" s="1"/>
      <c r="AB95" s="1"/>
      <c r="AC95" s="1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55" t="s">
        <v>213</v>
      </c>
      <c r="H96" s="156" t="s">
        <v>214</v>
      </c>
      <c r="I96" s="7" t="s">
        <v>215</v>
      </c>
      <c r="J96" s="181"/>
      <c r="K96" s="7" t="s">
        <v>216</v>
      </c>
      <c r="L96" s="181"/>
      <c r="M96" s="7" t="s">
        <v>217</v>
      </c>
      <c r="N96" s="1" t="s">
        <v>218</v>
      </c>
      <c r="O96" s="1" t="s">
        <v>218</v>
      </c>
      <c r="P96" s="349">
        <v>596817816</v>
      </c>
      <c r="Q96" s="36">
        <v>596817816</v>
      </c>
      <c r="R96" s="13"/>
      <c r="S96" s="13"/>
      <c r="T96" s="13"/>
      <c r="U96" s="13"/>
      <c r="V96" s="13"/>
      <c r="W96" s="13"/>
      <c r="X96" s="349">
        <v>596817816</v>
      </c>
      <c r="Y96" s="350" t="str">
        <f ca="1">IFERROR(__xludf.DUMMYFUNCTION("INDEX(IMPORTRANGE(""1y0FWgjbB0gVlqn-q5LMJbGIsqOrzru4yowQz67dz2yc"", ""'GPE'!AM3:AM139""),MATCH(D96,IMPORTRANGE(""1y0FWgjbB0gVlqn-q5LMJbGIsqOrzru4yowQz67dz2yc"", ""'GPE'!D3:D139""),0))"),"")</f>
        <v/>
      </c>
      <c r="Z96" s="1"/>
      <c r="AA96" s="1"/>
      <c r="AB96" s="1"/>
      <c r="AC96" s="1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55" t="s">
        <v>213</v>
      </c>
      <c r="H97" s="156" t="s">
        <v>214</v>
      </c>
      <c r="I97" s="7" t="s">
        <v>215</v>
      </c>
      <c r="J97" s="181"/>
      <c r="K97" s="7" t="s">
        <v>216</v>
      </c>
      <c r="L97" s="181"/>
      <c r="M97" s="7" t="s">
        <v>217</v>
      </c>
      <c r="N97" s="1" t="s">
        <v>218</v>
      </c>
      <c r="O97" s="1" t="s">
        <v>218</v>
      </c>
      <c r="P97" s="349">
        <v>2180414073</v>
      </c>
      <c r="Q97" s="36">
        <v>2180414073</v>
      </c>
      <c r="R97" s="13"/>
      <c r="S97" s="13"/>
      <c r="T97" s="13"/>
      <c r="U97" s="13"/>
      <c r="V97" s="13"/>
      <c r="W97" s="13"/>
      <c r="X97" s="349">
        <v>2180414073</v>
      </c>
      <c r="Y97" s="350" t="str">
        <f ca="1">IFERROR(__xludf.DUMMYFUNCTION("INDEX(IMPORTRANGE(""1y0FWgjbB0gVlqn-q5LMJbGIsqOrzru4yowQz67dz2yc"", ""'GPE'!AM3:AM139""),MATCH(D97,IMPORTRANGE(""1y0FWgjbB0gVlqn-q5LMJbGIsqOrzru4yowQz67dz2yc"", ""'GPE'!D3:D139""),0))"),"")</f>
        <v/>
      </c>
      <c r="Z97" s="1"/>
      <c r="AA97" s="1"/>
      <c r="AB97" s="1"/>
      <c r="AC97" s="1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55" t="s">
        <v>213</v>
      </c>
      <c r="H98" s="156" t="s">
        <v>214</v>
      </c>
      <c r="I98" s="7" t="s">
        <v>215</v>
      </c>
      <c r="J98" s="181"/>
      <c r="K98" s="7" t="s">
        <v>216</v>
      </c>
      <c r="L98" s="181"/>
      <c r="M98" s="7" t="s">
        <v>217</v>
      </c>
      <c r="N98" s="1" t="s">
        <v>218</v>
      </c>
      <c r="O98" s="1" t="s">
        <v>218</v>
      </c>
      <c r="P98" s="15">
        <f t="shared" ref="P98:Q98" si="23">P96/P97</f>
        <v>0.27371764995941666</v>
      </c>
      <c r="Q98" s="15">
        <f t="shared" si="23"/>
        <v>0.27371764995941666</v>
      </c>
      <c r="R98" s="1"/>
      <c r="S98" s="1"/>
      <c r="T98" s="1"/>
      <c r="U98" s="1"/>
      <c r="V98" s="1"/>
      <c r="W98" s="1"/>
      <c r="X98" s="15">
        <f>X96/X97</f>
        <v>0.27371764995941666</v>
      </c>
      <c r="Y98" s="179" t="str">
        <f ca="1">IFERROR(__xludf.DUMMYFUNCTION("INDEX(IMPORTRANGE(""1y0FWgjbB0gVlqn-q5LMJbGIsqOrzru4yowQz67dz2yc"", ""'GPE'!AM3:AM139""),MATCH(D98,IMPORTRANGE(""1y0FWgjbB0gVlqn-q5LMJbGIsqOrzru4yowQz67dz2yc"", ""'GPE'!D3:D139""),0))"),"")</f>
        <v/>
      </c>
      <c r="Z98" s="1"/>
      <c r="AA98" s="1"/>
      <c r="AB98" s="1"/>
      <c r="AC98" s="1"/>
    </row>
    <row r="99" spans="1:29">
      <c r="A99" s="7" t="s">
        <v>275</v>
      </c>
      <c r="B99" s="7" t="s">
        <v>284</v>
      </c>
      <c r="C99" s="1" t="s">
        <v>30</v>
      </c>
      <c r="D99" s="155" t="s">
        <v>285</v>
      </c>
      <c r="E99" s="7" t="s">
        <v>278</v>
      </c>
      <c r="F99" s="9" t="s">
        <v>286</v>
      </c>
      <c r="G99" s="155" t="s">
        <v>213</v>
      </c>
      <c r="H99" s="156" t="s">
        <v>214</v>
      </c>
      <c r="I99" s="7" t="s">
        <v>215</v>
      </c>
      <c r="J99" s="181"/>
      <c r="K99" s="7" t="s">
        <v>216</v>
      </c>
      <c r="L99" s="181"/>
      <c r="M99" s="7" t="s">
        <v>217</v>
      </c>
      <c r="N99" s="1" t="s">
        <v>218</v>
      </c>
      <c r="O99" s="1" t="s">
        <v>218</v>
      </c>
      <c r="P99" s="349">
        <v>1685145440</v>
      </c>
      <c r="Q99" s="36">
        <v>1685145440</v>
      </c>
      <c r="R99" s="13"/>
      <c r="S99" s="13"/>
      <c r="T99" s="13"/>
      <c r="U99" s="13"/>
      <c r="V99" s="13"/>
      <c r="W99" s="13"/>
      <c r="X99" s="349">
        <v>1685145440</v>
      </c>
      <c r="Y99" s="350" t="str">
        <f ca="1">IFERROR(__xludf.DUMMYFUNCTION("INDEX(IMPORTRANGE(""1y0FWgjbB0gVlqn-q5LMJbGIsqOrzru4yowQz67dz2yc"", ""'GPE'!AM3:AM139""),MATCH(D99,IMPORTRANGE(""1y0FWgjbB0gVlqn-q5LMJbGIsqOrzru4yowQz67dz2yc"", ""'GPE'!D3:D139""),0))"),"")</f>
        <v/>
      </c>
      <c r="Z99" s="1"/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36</v>
      </c>
      <c r="D100" s="155" t="s">
        <v>287</v>
      </c>
      <c r="E100" s="7" t="s">
        <v>278</v>
      </c>
      <c r="F100" s="9" t="s">
        <v>288</v>
      </c>
      <c r="G100" s="155" t="s">
        <v>254</v>
      </c>
      <c r="H100" s="155" t="s">
        <v>254</v>
      </c>
      <c r="I100" s="7" t="s">
        <v>254</v>
      </c>
      <c r="J100" s="181"/>
      <c r="K100" s="7" t="s">
        <v>255</v>
      </c>
      <c r="L100" s="181"/>
      <c r="M100" s="7" t="s">
        <v>256</v>
      </c>
      <c r="N100" s="260">
        <v>45536</v>
      </c>
      <c r="O100" s="1" t="s">
        <v>218</v>
      </c>
      <c r="P100" s="15">
        <f t="shared" ref="P100:Q100" si="24">P96/P99</f>
        <v>0.35416398005385219</v>
      </c>
      <c r="Q100" s="15">
        <f t="shared" si="24"/>
        <v>0.35416398005385219</v>
      </c>
      <c r="R100" s="1"/>
      <c r="S100" s="1"/>
      <c r="T100" s="1"/>
      <c r="U100" s="1"/>
      <c r="V100" s="1"/>
      <c r="W100" s="1"/>
      <c r="X100" s="15">
        <f>X96/X99</f>
        <v>0.35416398005385219</v>
      </c>
      <c r="Y100" s="179" t="str">
        <f ca="1">IFERROR(__xludf.DUMMYFUNCTION("INDEX(IMPORTRANGE(""1y0FWgjbB0gVlqn-q5LMJbGIsqOrzru4yowQz67dz2yc"", ""'GPE'!AM3:AM139""),MATCH(D100,IMPORTRANGE(""1y0FWgjbB0gVlqn-q5LMJbGIsqOrzru4yowQz67dz2yc"", ""'GPE'!D3:D139""),0))"),"")</f>
        <v/>
      </c>
      <c r="Z100" s="1"/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55" t="s">
        <v>213</v>
      </c>
      <c r="H101" s="156" t="s">
        <v>214</v>
      </c>
      <c r="I101" s="7" t="s">
        <v>215</v>
      </c>
      <c r="J101" s="181"/>
      <c r="K101" s="7" t="s">
        <v>216</v>
      </c>
      <c r="L101" s="181"/>
      <c r="M101" s="7" t="s">
        <v>217</v>
      </c>
      <c r="N101" s="1" t="s">
        <v>218</v>
      </c>
      <c r="O101" s="1" t="s">
        <v>218</v>
      </c>
      <c r="P101" s="12">
        <v>226973</v>
      </c>
      <c r="Q101" s="12">
        <v>226973</v>
      </c>
      <c r="R101" s="13"/>
      <c r="S101" s="13"/>
      <c r="T101" s="13"/>
      <c r="U101" s="13"/>
      <c r="V101" s="13"/>
      <c r="W101" s="13"/>
      <c r="X101" s="12">
        <v>226973</v>
      </c>
      <c r="Y101" s="6" t="str">
        <f ca="1">IFERROR(__xludf.DUMMYFUNCTION("INDEX(IMPORTRANGE(""1y0FWgjbB0gVlqn-q5LMJbGIsqOrzru4yowQz67dz2yc"", ""'GPE'!AM3:AM139""),MATCH(D101,IMPORTRANGE(""1y0FWgjbB0gVlqn-q5LMJbGIsqOrzru4yowQz67dz2yc"", ""'GPE'!D3:D139""),0))"),"")</f>
        <v/>
      </c>
      <c r="Z101" s="1"/>
      <c r="AA101" s="1"/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55" t="s">
        <v>213</v>
      </c>
      <c r="H102" s="156" t="s">
        <v>214</v>
      </c>
      <c r="I102" s="7" t="s">
        <v>215</v>
      </c>
      <c r="J102" s="181"/>
      <c r="K102" s="7" t="s">
        <v>216</v>
      </c>
      <c r="L102" s="181"/>
      <c r="M102" s="7" t="s">
        <v>217</v>
      </c>
      <c r="N102" s="1" t="s">
        <v>218</v>
      </c>
      <c r="O102" s="1" t="s">
        <v>218</v>
      </c>
      <c r="P102" s="12">
        <v>142986</v>
      </c>
      <c r="Q102" s="12">
        <v>142986</v>
      </c>
      <c r="R102" s="1"/>
      <c r="S102" s="1"/>
      <c r="T102" s="1"/>
      <c r="U102" s="1"/>
      <c r="V102" s="1"/>
      <c r="W102" s="1"/>
      <c r="X102" s="12">
        <v>142986</v>
      </c>
      <c r="Y102" s="6" t="str">
        <f ca="1">IFERROR(__xludf.DUMMYFUNCTION("INDEX(IMPORTRANGE(""1y0FWgjbB0gVlqn-q5LMJbGIsqOrzru4yowQz67dz2yc"", ""'GPE'!AM3:AM139""),MATCH(D102,IMPORTRANGE(""1y0FWgjbB0gVlqn-q5LMJbGIsqOrzru4yowQz67dz2yc"", ""'GPE'!D3:D139""),0))"),"")</f>
        <v/>
      </c>
      <c r="Z102" s="1"/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55" t="s">
        <v>213</v>
      </c>
      <c r="H103" s="156" t="s">
        <v>214</v>
      </c>
      <c r="I103" s="7" t="s">
        <v>215</v>
      </c>
      <c r="J103" s="181"/>
      <c r="K103" s="7" t="s">
        <v>216</v>
      </c>
      <c r="L103" s="181"/>
      <c r="M103" s="7" t="s">
        <v>217</v>
      </c>
      <c r="N103" s="1" t="s">
        <v>218</v>
      </c>
      <c r="O103" s="1" t="s">
        <v>218</v>
      </c>
      <c r="P103" s="15">
        <f t="shared" ref="P103:Q103" si="25">P102/P101</f>
        <v>0.62996920338542473</v>
      </c>
      <c r="Q103" s="15">
        <f t="shared" si="25"/>
        <v>0.62996920338542473</v>
      </c>
      <c r="R103" s="1"/>
      <c r="S103" s="1"/>
      <c r="T103" s="1"/>
      <c r="U103" s="1"/>
      <c r="V103" s="1"/>
      <c r="W103" s="1"/>
      <c r="X103" s="15">
        <f>X102/X101</f>
        <v>0.62996920338542473</v>
      </c>
      <c r="Y103" s="179" t="str">
        <f ca="1">IFERROR(__xludf.DUMMYFUNCTION("INDEX(IMPORTRANGE(""1y0FWgjbB0gVlqn-q5LMJbGIsqOrzru4yowQz67dz2yc"", ""'GPE'!AM3:AM139""),MATCH(D103,IMPORTRANGE(""1y0FWgjbB0gVlqn-q5LMJbGIsqOrzru4yowQz67dz2yc"", ""'GPE'!D3:D139""),0))"),"")</f>
        <v/>
      </c>
      <c r="Z103" s="1"/>
      <c r="AA103" s="1"/>
      <c r="AB103" s="1"/>
      <c r="AC103" s="1"/>
    </row>
    <row r="104" spans="1:29">
      <c r="A104" s="155" t="s">
        <v>275</v>
      </c>
      <c r="B104" s="155" t="s">
        <v>276</v>
      </c>
      <c r="C104" s="1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158"/>
      <c r="K104" s="155" t="s">
        <v>216</v>
      </c>
      <c r="L104" s="158"/>
      <c r="M104" s="155" t="s">
        <v>217</v>
      </c>
      <c r="N104" s="156" t="s">
        <v>218</v>
      </c>
      <c r="O104" s="156" t="s">
        <v>218</v>
      </c>
      <c r="P104" s="36"/>
      <c r="Q104" s="36"/>
      <c r="R104" s="1"/>
      <c r="S104" s="1"/>
      <c r="T104" s="1"/>
      <c r="U104" s="1"/>
      <c r="V104" s="1"/>
      <c r="W104" s="1"/>
      <c r="X104" s="36"/>
      <c r="Y104" s="178" t="str">
        <f ca="1">IFERROR(__xludf.DUMMYFUNCTION("INDEX(IMPORTRANGE(""1y0FWgjbB0gVlqn-q5LMJbGIsqOrzru4yowQz67dz2yc"", ""'GPE'!AM3:AM139""),MATCH(D104,IMPORTRANGE(""1y0FWgjbB0gVlqn-q5LMJbGIsqOrzru4yowQz67dz2yc"", ""'GPE'!D3:D139""),0))"),"")</f>
        <v/>
      </c>
      <c r="Z104" s="1"/>
      <c r="AA104" s="1"/>
      <c r="AB104" s="1"/>
      <c r="AC104" s="1"/>
    </row>
    <row r="105" spans="1:29">
      <c r="A105" s="155" t="s">
        <v>275</v>
      </c>
      <c r="B105" s="155" t="s">
        <v>276</v>
      </c>
      <c r="C105" s="1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158"/>
      <c r="K105" s="155" t="s">
        <v>216</v>
      </c>
      <c r="L105" s="158"/>
      <c r="M105" s="155" t="s">
        <v>217</v>
      </c>
      <c r="N105" s="156" t="s">
        <v>218</v>
      </c>
      <c r="O105" s="156" t="s">
        <v>218</v>
      </c>
      <c r="P105" s="36">
        <v>203360688.65000004</v>
      </c>
      <c r="Q105" s="36">
        <v>203360688.65000004</v>
      </c>
      <c r="R105" s="1"/>
      <c r="S105" s="1"/>
      <c r="T105" s="1"/>
      <c r="U105" s="1"/>
      <c r="V105" s="1"/>
      <c r="W105" s="1"/>
      <c r="X105" s="36">
        <v>203360688.65000004</v>
      </c>
      <c r="Y105" s="178" t="str">
        <f ca="1">IFERROR(__xludf.DUMMYFUNCTION("INDEX(IMPORTRANGE(""1y0FWgjbB0gVlqn-q5LMJbGIsqOrzru4yowQz67dz2yc"", ""'GPE'!AM3:AM139""),MATCH(D105,IMPORTRANGE(""1y0FWgjbB0gVlqn-q5LMJbGIsqOrzru4yowQz67dz2yc"", ""'GPE'!D3:D139""),0))"),"")</f>
        <v/>
      </c>
      <c r="Z105" s="1"/>
      <c r="AA105" s="1"/>
      <c r="AB105" s="1"/>
      <c r="AC105" s="1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55" t="s">
        <v>213</v>
      </c>
      <c r="H106" s="156" t="s">
        <v>214</v>
      </c>
      <c r="I106" s="7" t="s">
        <v>215</v>
      </c>
      <c r="J106" s="181"/>
      <c r="K106" s="7" t="s">
        <v>216</v>
      </c>
      <c r="L106" s="181"/>
      <c r="M106" s="7" t="s">
        <v>217</v>
      </c>
      <c r="N106" s="1" t="s">
        <v>218</v>
      </c>
      <c r="O106" s="1" t="s">
        <v>218</v>
      </c>
      <c r="P106" s="349">
        <v>2219811649</v>
      </c>
      <c r="Q106" s="349">
        <v>2219811649</v>
      </c>
      <c r="R106" s="13"/>
      <c r="S106" s="13"/>
      <c r="T106" s="13"/>
      <c r="U106" s="13"/>
      <c r="V106" s="13"/>
      <c r="W106" s="13"/>
      <c r="X106" s="36">
        <v>2219811649</v>
      </c>
      <c r="Y106" s="178" t="str">
        <f ca="1">IFERROR(__xludf.DUMMYFUNCTION("INDEX(IMPORTRANGE(""1y0FWgjbB0gVlqn-q5LMJbGIsqOrzru4yowQz67dz2yc"", ""'GPE'!AM3:AM139""),MATCH(D106,IMPORTRANGE(""1y0FWgjbB0gVlqn-q5LMJbGIsqOrzru4yowQz67dz2yc"", ""'GPE'!D3:D139""),0))"),"")</f>
        <v/>
      </c>
      <c r="Z106" s="1"/>
      <c r="AA106" s="1"/>
      <c r="AB106" s="1"/>
      <c r="AC106" s="1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0" t="s">
        <v>307</v>
      </c>
      <c r="H107" s="158"/>
      <c r="I107" s="1" t="s">
        <v>254</v>
      </c>
      <c r="J107" s="181"/>
      <c r="K107" s="1" t="s">
        <v>255</v>
      </c>
      <c r="L107" s="181"/>
      <c r="M107" s="1" t="s">
        <v>256</v>
      </c>
      <c r="N107" s="49">
        <v>45473</v>
      </c>
      <c r="O107" s="1"/>
      <c r="P107" s="15">
        <f t="shared" ref="P107:Q107" si="26">P99/P106</f>
        <v>0.75913892998946053</v>
      </c>
      <c r="Q107" s="15">
        <f t="shared" si="26"/>
        <v>0.75913892998946053</v>
      </c>
      <c r="R107" s="1"/>
      <c r="S107" s="1"/>
      <c r="T107" s="1"/>
      <c r="U107" s="1"/>
      <c r="V107" s="1"/>
      <c r="W107" s="1"/>
      <c r="X107" s="15">
        <f>X99/X106</f>
        <v>0.75913892998946053</v>
      </c>
      <c r="Y107" s="179" t="str">
        <f ca="1">IFERROR(__xludf.DUMMYFUNCTION("INDEX(IMPORTRANGE(""1y0FWgjbB0gVlqn-q5LMJbGIsqOrzru4yowQz67dz2yc"", ""'GPE'!AM3:AM139""),MATCH(D107,IMPORTRANGE(""1y0FWgjbB0gVlqn-q5LMJbGIsqOrzru4yowQz67dz2yc"", ""'GPE'!D3:D139""),0))"),"")</f>
        <v/>
      </c>
      <c r="Z107" s="1"/>
      <c r="AA107" s="1"/>
      <c r="AB107" s="1"/>
      <c r="AC107" s="1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158"/>
      <c r="I108" s="1" t="s">
        <v>254</v>
      </c>
      <c r="J108" s="13"/>
      <c r="K108" s="1" t="s">
        <v>255</v>
      </c>
      <c r="L108" s="13"/>
      <c r="M108" s="1" t="s">
        <v>256</v>
      </c>
      <c r="N108" s="49">
        <v>45473</v>
      </c>
      <c r="O108" s="1"/>
      <c r="P108" s="30" t="s">
        <v>433</v>
      </c>
      <c r="Q108" s="30" t="s">
        <v>433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1" t="s">
        <v>308</v>
      </c>
      <c r="X108" s="2" t="s">
        <v>433</v>
      </c>
      <c r="Y108" s="4" t="str">
        <f ca="1">IFERROR(__xludf.DUMMYFUNCTION("INDEX(IMPORTRANGE(""1y0FWgjbB0gVlqn-q5LMJbGIsqOrzru4yowQz67dz2yc"", ""'GPE'!AM3:AM139""),MATCH(D108,IMPORTRANGE(""1y0FWgjbB0gVlqn-q5LMJbGIsqOrzru4yowQz67dz2yc"", ""'GPE'!D3:D139""),0))"),"")</f>
        <v/>
      </c>
      <c r="Z108" s="1"/>
      <c r="AA108" s="1"/>
      <c r="AB108" s="1"/>
      <c r="AC108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17D4F-8B52-E84A-9934-0E7BBC7DC2AB}">
  <dimension ref="A1:M30"/>
  <sheetViews>
    <sheetView workbookViewId="0">
      <selection activeCell="E2" sqref="E2"/>
    </sheetView>
  </sheetViews>
  <sheetFormatPr baseColWidth="10" defaultRowHeight="16"/>
  <cols>
    <col min="1" max="1" width="10.83203125" style="118"/>
    <col min="3" max="3" width="18.83203125" customWidth="1"/>
    <col min="4" max="4" width="11.6640625" customWidth="1"/>
    <col min="5" max="5" width="11.8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17" t="s">
        <v>34</v>
      </c>
      <c r="B2" s="92" t="s">
        <v>35</v>
      </c>
      <c r="C2" s="71" t="s">
        <v>37</v>
      </c>
      <c r="D2" s="75">
        <v>44469</v>
      </c>
      <c r="E2" s="93">
        <f>VLOOKUP(C2,'BD EVA 1 GPE'!$D$3:$Q$108,14,0)</f>
        <v>845</v>
      </c>
      <c r="F2" s="75">
        <v>44834</v>
      </c>
      <c r="G2" s="93">
        <f ca="1">VLOOKUP(C2,'BD EVA 1 GPE'!$D$3:$Y$108,22,0)</f>
        <v>847</v>
      </c>
      <c r="H2" s="93">
        <f>VLOOKUP(C2,'BD EVA 1 GPE'!$D$3:$R$108,15,0)</f>
        <v>846</v>
      </c>
      <c r="I2" s="110">
        <f ca="1">IF(G2&gt;=E2,G2/H2,0)</f>
        <v>1.0011820330969268</v>
      </c>
      <c r="J2" s="72" t="s">
        <v>316</v>
      </c>
      <c r="K2" s="95">
        <v>2.7</v>
      </c>
      <c r="L2" s="95">
        <f t="shared" ref="L2:L30" ca="1" si="0">IF(I2&lt;0,0,IF(I2&gt;1,K2,I2*K2))</f>
        <v>2.7</v>
      </c>
      <c r="M2" s="114">
        <f ca="1">SUM(L2:L4)</f>
        <v>9.9596221959858298</v>
      </c>
    </row>
    <row r="3" spans="1:13" ht="52">
      <c r="A3" s="117" t="s">
        <v>34</v>
      </c>
      <c r="B3" s="92" t="s">
        <v>40</v>
      </c>
      <c r="C3" s="71" t="s">
        <v>43</v>
      </c>
      <c r="D3" s="75">
        <v>44469</v>
      </c>
      <c r="E3" s="97">
        <f>VLOOKUP(C3,'BD EVA 1 GPE'!$D$3:$Q$108,14,0)</f>
        <v>0.99171597633136099</v>
      </c>
      <c r="F3" s="75">
        <v>44834</v>
      </c>
      <c r="G3" s="97">
        <f ca="1">VLOOKUP(C3,'BD EVA 1 GPE'!$D$3:$Y$108,22,0)</f>
        <v>0.98937426210153401</v>
      </c>
      <c r="H3" s="96">
        <f>VLOOKUP(C3,'BD EVA 1 GPE'!$D$3:$R$108,15,0)</f>
        <v>1</v>
      </c>
      <c r="I3" s="99">
        <f t="shared" ref="I3:I5" ca="1" si="1">G3/H3</f>
        <v>0.98937426210153401</v>
      </c>
      <c r="J3" s="75" t="s">
        <v>318</v>
      </c>
      <c r="K3" s="95">
        <v>3.8</v>
      </c>
      <c r="L3" s="95">
        <f t="shared" ca="1" si="0"/>
        <v>3.7596221959858291</v>
      </c>
      <c r="M3" s="115"/>
    </row>
    <row r="4" spans="1:13" ht="143">
      <c r="A4" s="117" t="s">
        <v>34</v>
      </c>
      <c r="B4" s="92" t="s">
        <v>45</v>
      </c>
      <c r="C4" s="71" t="s">
        <v>50</v>
      </c>
      <c r="D4" s="75">
        <v>44469</v>
      </c>
      <c r="E4" s="97">
        <f>VLOOKUP(C4,'BD EVA 1 GPE'!$D$3:$Q$108,14,0)</f>
        <v>0</v>
      </c>
      <c r="F4" s="75">
        <v>44834</v>
      </c>
      <c r="G4" s="97">
        <f ca="1">VLOOKUP(C4,'BD EVA 1 GPE'!$D$3:$Y$108,22,0)</f>
        <v>2.24321133412042E-2</v>
      </c>
      <c r="H4" s="98">
        <f>VLOOKUP(C4,'BD EVA 1 GPE'!$D$3:$R$108,15,0)</f>
        <v>4.1999999999999997E-3</v>
      </c>
      <c r="I4" s="99">
        <f t="shared" ca="1" si="1"/>
        <v>5.3409793669533814</v>
      </c>
      <c r="J4" s="75" t="s">
        <v>318</v>
      </c>
      <c r="K4" s="95">
        <v>3.5</v>
      </c>
      <c r="L4" s="95">
        <f t="shared" ca="1" si="0"/>
        <v>3.5</v>
      </c>
      <c r="M4" s="115"/>
    </row>
    <row r="5" spans="1:13" ht="143">
      <c r="A5" s="117" t="s">
        <v>52</v>
      </c>
      <c r="B5" s="92" t="s">
        <v>53</v>
      </c>
      <c r="C5" s="72" t="s">
        <v>66</v>
      </c>
      <c r="D5" s="72" t="s">
        <v>57</v>
      </c>
      <c r="E5" s="97">
        <f>VLOOKUP(C5,'BD EVA 1 GPE'!$D$3:$Q$108,14,0)</f>
        <v>0.10296550846379025</v>
      </c>
      <c r="F5" s="72" t="s">
        <v>59</v>
      </c>
      <c r="G5" s="97">
        <f ca="1">VLOOKUP(C5,'BD EVA 1 GPE'!$D$3:$Y$108,22,0)</f>
        <v>0.11088709677419301</v>
      </c>
      <c r="H5" s="97">
        <f>VLOOKUP(C5,'BD EVA 1 GPE'!$D$3:$R$108,15,0)</f>
        <v>0.1018</v>
      </c>
      <c r="I5" s="99">
        <f t="shared" ca="1" si="1"/>
        <v>1.0892642119272398</v>
      </c>
      <c r="J5" s="75" t="s">
        <v>318</v>
      </c>
      <c r="K5" s="100">
        <f>3.25*0.488</f>
        <v>1.5859999999999999</v>
      </c>
      <c r="L5" s="100">
        <f t="shared" ca="1" si="0"/>
        <v>1.5859999999999999</v>
      </c>
      <c r="M5" s="116">
        <f ca="1">SUM(L5:L10)</f>
        <v>6.5853333333333337</v>
      </c>
    </row>
    <row r="6" spans="1:13" ht="65">
      <c r="A6" s="117" t="s">
        <v>52</v>
      </c>
      <c r="B6" s="92" t="s">
        <v>68</v>
      </c>
      <c r="C6" s="72" t="s">
        <v>72</v>
      </c>
      <c r="D6" s="71" t="s">
        <v>57</v>
      </c>
      <c r="E6" s="351">
        <f>VLOOKUP(C6,'BD EVA 1 GPE'!$D$3:$Q$108,14,0)</f>
        <v>14.67624209928967</v>
      </c>
      <c r="F6" s="72" t="s">
        <v>59</v>
      </c>
      <c r="G6" s="102">
        <f ca="1">VLOOKUP(C6,'BD EVA 1 GPE'!$D$3:$Y$108,22,0)</f>
        <v>16.4945824306361</v>
      </c>
      <c r="H6" s="102">
        <f>VLOOKUP(C6,'BD EVA 1 GPE'!$D$3:$R$108,15,0)</f>
        <v>14.6616</v>
      </c>
      <c r="I6" s="94">
        <f t="shared" ref="I6:I10" ca="1" si="2">(G6-E6)/(H6-E6)</f>
        <v>-124.18576703883294</v>
      </c>
      <c r="J6" s="71" t="s">
        <v>319</v>
      </c>
      <c r="K6" s="100">
        <f>3.5*0.488</f>
        <v>1.708</v>
      </c>
      <c r="L6" s="100">
        <f t="shared" ca="1" si="0"/>
        <v>0</v>
      </c>
      <c r="M6" s="115"/>
    </row>
    <row r="7" spans="1:13" ht="91">
      <c r="A7" s="117" t="s">
        <v>52</v>
      </c>
      <c r="B7" s="92" t="s">
        <v>68</v>
      </c>
      <c r="C7" s="72" t="s">
        <v>84</v>
      </c>
      <c r="D7" s="71" t="s">
        <v>57</v>
      </c>
      <c r="E7" s="101">
        <f>VLOOKUP(C7,'BD EVA 1 GPE'!$D$3:$Q$108,14,0)</f>
        <v>282.90203818059325</v>
      </c>
      <c r="F7" s="72" t="s">
        <v>59</v>
      </c>
      <c r="G7" s="101">
        <f ca="1">VLOOKUP(C7,'BD EVA 1 GPE'!$D$3:$Y$108,22,0)</f>
        <v>266.40829774523201</v>
      </c>
      <c r="H7" s="100">
        <f>VLOOKUP(C7,'BD EVA 1 GPE'!$D$3:$R$108,15,0)</f>
        <v>282.61913614241269</v>
      </c>
      <c r="I7" s="94">
        <f t="shared" ca="1" si="2"/>
        <v>58.301949824885611</v>
      </c>
      <c r="J7" s="71" t="s">
        <v>319</v>
      </c>
      <c r="K7" s="100">
        <f>3.25*0.488</f>
        <v>1.5859999999999999</v>
      </c>
      <c r="L7" s="100">
        <f t="shared" ca="1" si="0"/>
        <v>1.5859999999999999</v>
      </c>
      <c r="M7" s="115"/>
    </row>
    <row r="8" spans="1:13" ht="104">
      <c r="A8" s="117" t="s">
        <v>52</v>
      </c>
      <c r="B8" s="92" t="s">
        <v>86</v>
      </c>
      <c r="C8" s="72" t="s">
        <v>89</v>
      </c>
      <c r="D8" s="71" t="s">
        <v>57</v>
      </c>
      <c r="E8" s="101">
        <f>VLOOKUP(C8,'BD EVA 1 GPE'!$D$3:$Q$108,14,0)</f>
        <v>534.63453361698089</v>
      </c>
      <c r="F8" s="72" t="s">
        <v>59</v>
      </c>
      <c r="G8" s="101">
        <f ca="1">VLOOKUP(C8,'BD EVA 1 GPE'!$D$3:$Y$108,22,0)</f>
        <v>527.68802784396405</v>
      </c>
      <c r="H8" s="100">
        <f>VLOOKUP(C8,'BD EVA 1 GPE'!$D$3:$R$108,15,0)</f>
        <v>534.09989908336388</v>
      </c>
      <c r="I8" s="94">
        <f t="shared" ca="1" si="2"/>
        <v>12.992998649041706</v>
      </c>
      <c r="J8" s="71" t="s">
        <v>319</v>
      </c>
      <c r="K8" s="100">
        <f t="shared" ref="K8:K10" si="3">10/3*0.512</f>
        <v>1.7066666666666668</v>
      </c>
      <c r="L8" s="100">
        <f t="shared" ca="1" si="0"/>
        <v>1.7066666666666668</v>
      </c>
      <c r="M8" s="115"/>
    </row>
    <row r="9" spans="1:13" ht="104">
      <c r="A9" s="117" t="s">
        <v>52</v>
      </c>
      <c r="B9" s="92" t="s">
        <v>86</v>
      </c>
      <c r="C9" s="72" t="s">
        <v>93</v>
      </c>
      <c r="D9" s="71" t="s">
        <v>57</v>
      </c>
      <c r="E9" s="101">
        <f>VLOOKUP(C9,'BD EVA 1 GPE'!$D$3:$Q$108,14,0)</f>
        <v>92.809759561222293</v>
      </c>
      <c r="F9" s="72" t="s">
        <v>59</v>
      </c>
      <c r="G9" s="101">
        <f ca="1">VLOOKUP(C9,'BD EVA 1 GPE'!$D$3:$Y$108,22,0)</f>
        <v>90.235068591127003</v>
      </c>
      <c r="H9" s="100">
        <f>VLOOKUP(C9,'BD EVA 1 GPE'!$D$3:$R$108,15,0)</f>
        <v>92.716949801661073</v>
      </c>
      <c r="I9" s="94">
        <f t="shared" ca="1" si="2"/>
        <v>27.741597244381907</v>
      </c>
      <c r="J9" s="71" t="s">
        <v>319</v>
      </c>
      <c r="K9" s="100">
        <f t="shared" si="3"/>
        <v>1.7066666666666668</v>
      </c>
      <c r="L9" s="100">
        <f t="shared" ca="1" si="0"/>
        <v>1.7066666666666668</v>
      </c>
      <c r="M9" s="115"/>
    </row>
    <row r="10" spans="1:13" ht="156">
      <c r="A10" s="117" t="s">
        <v>52</v>
      </c>
      <c r="B10" s="92" t="s">
        <v>86</v>
      </c>
      <c r="C10" s="72" t="s">
        <v>117</v>
      </c>
      <c r="D10" s="71" t="s">
        <v>57</v>
      </c>
      <c r="E10" s="101">
        <f>VLOOKUP(C10,'BD EVA 1 GPE'!$D$3:$Q$108,14,0)</f>
        <v>16.912621847752856</v>
      </c>
      <c r="F10" s="72" t="s">
        <v>59</v>
      </c>
      <c r="G10" s="101">
        <f ca="1">VLOOKUP(C10,'BD EVA 1 GPE'!$D$3:$Y$108,22,0)</f>
        <v>20.514270586001199</v>
      </c>
      <c r="H10" s="100">
        <f>VLOOKUP(C10,'BD EVA 1 GPE'!$D$3:$R$108,15,0)</f>
        <v>16.895709225905104</v>
      </c>
      <c r="I10" s="94">
        <f t="shared" ca="1" si="2"/>
        <v>-212.95626252810496</v>
      </c>
      <c r="J10" s="71" t="s">
        <v>319</v>
      </c>
      <c r="K10" s="100">
        <f t="shared" si="3"/>
        <v>1.7066666666666668</v>
      </c>
      <c r="L10" s="100">
        <f t="shared" ca="1" si="0"/>
        <v>0</v>
      </c>
      <c r="M10" s="115"/>
    </row>
    <row r="11" spans="1:13" ht="91">
      <c r="A11" s="117" t="s">
        <v>119</v>
      </c>
      <c r="B11" s="92" t="s">
        <v>120</v>
      </c>
      <c r="C11" s="71" t="s">
        <v>125</v>
      </c>
      <c r="D11" s="75">
        <v>44469</v>
      </c>
      <c r="E11" s="97">
        <f>VLOOKUP(C11,'BD EVA 1 GPE'!$D$3:$Q$108,14,0)</f>
        <v>5.4681292486978015E-3</v>
      </c>
      <c r="F11" s="75">
        <v>44834</v>
      </c>
      <c r="G11" s="97">
        <f ca="1">VLOOKUP(C11,'BD EVA 1 GPE'!$D$3:$Y$108,22,0)</f>
        <v>1.0503717291168099E-2</v>
      </c>
      <c r="H11" s="97">
        <f>VLOOKUP(C11,'BD EVA 1 GPE'!$D$3:$R$108,15,0)</f>
        <v>2E-3</v>
      </c>
      <c r="I11" s="99">
        <f t="shared" ref="I11:I14" ca="1" si="4">G11/H11</f>
        <v>5.2518586455840497</v>
      </c>
      <c r="J11" s="75" t="s">
        <v>318</v>
      </c>
      <c r="K11" s="104">
        <v>2.1</v>
      </c>
      <c r="L11" s="100">
        <f t="shared" ca="1" si="0"/>
        <v>2.1</v>
      </c>
      <c r="M11" s="116">
        <f ca="1">SUM(L11:L14)</f>
        <v>10</v>
      </c>
    </row>
    <row r="12" spans="1:13" ht="91">
      <c r="A12" s="117" t="s">
        <v>119</v>
      </c>
      <c r="B12" s="92" t="s">
        <v>127</v>
      </c>
      <c r="C12" s="72" t="s">
        <v>128</v>
      </c>
      <c r="D12" s="71" t="s">
        <v>57</v>
      </c>
      <c r="E12" s="93">
        <f>VLOOKUP(C12,'BD EVA 1 GPE'!$D$3:$Q$108,14,0)</f>
        <v>0</v>
      </c>
      <c r="F12" s="71" t="s">
        <v>59</v>
      </c>
      <c r="G12" s="93">
        <f ca="1">VLOOKUP(C12,'BD EVA 1 GPE'!$D$3:$Y$108,22,0)</f>
        <v>3</v>
      </c>
      <c r="H12" s="93">
        <f>VLOOKUP(C12,'BD EVA 1 GPE'!$D$3:$R$108,15,0)</f>
        <v>2</v>
      </c>
      <c r="I12" s="94">
        <f t="shared" ca="1" si="4"/>
        <v>1.5</v>
      </c>
      <c r="J12" s="75" t="s">
        <v>318</v>
      </c>
      <c r="K12" s="104">
        <v>2.4</v>
      </c>
      <c r="L12" s="100">
        <f t="shared" ca="1" si="0"/>
        <v>2.4</v>
      </c>
      <c r="M12" s="115"/>
    </row>
    <row r="13" spans="1:13" ht="78">
      <c r="A13" s="117" t="s">
        <v>119</v>
      </c>
      <c r="B13" s="92" t="s">
        <v>133</v>
      </c>
      <c r="C13" s="72" t="s">
        <v>134</v>
      </c>
      <c r="D13" s="71" t="s">
        <v>57</v>
      </c>
      <c r="E13" s="93">
        <f>VLOOKUP(C13,'BD EVA 1 GPE'!$D$3:$Q$108,14,0)</f>
        <v>897</v>
      </c>
      <c r="F13" s="71" t="s">
        <v>59</v>
      </c>
      <c r="G13" s="93">
        <f ca="1">VLOOKUP(C13,'BD EVA 1 GPE'!$D$3:$Y$108,22,0)</f>
        <v>1696</v>
      </c>
      <c r="H13" s="93">
        <f>VLOOKUP(C13,'BD EVA 1 GPE'!$D$3:$R$108,15,0)</f>
        <v>1000</v>
      </c>
      <c r="I13" s="94">
        <f t="shared" ca="1" si="4"/>
        <v>1.696</v>
      </c>
      <c r="J13" s="75" t="s">
        <v>318</v>
      </c>
      <c r="K13" s="104">
        <v>2.4</v>
      </c>
      <c r="L13" s="100">
        <f t="shared" ca="1" si="0"/>
        <v>2.4</v>
      </c>
      <c r="M13" s="115"/>
    </row>
    <row r="14" spans="1:13" ht="78">
      <c r="A14" s="117" t="s">
        <v>119</v>
      </c>
      <c r="B14" s="92" t="s">
        <v>136</v>
      </c>
      <c r="C14" s="72" t="s">
        <v>145</v>
      </c>
      <c r="D14" s="71" t="s">
        <v>57</v>
      </c>
      <c r="E14" s="105">
        <f>VLOOKUP(C14,'BD EVA 1 GPE'!$D$3:$Q$108,14,0)</f>
        <v>8</v>
      </c>
      <c r="F14" s="71" t="s">
        <v>59</v>
      </c>
      <c r="G14" s="105">
        <f ca="1">VLOOKUP(C14,'BD EVA 1 GPE'!$D$3:$Y$108,22,0)</f>
        <v>25</v>
      </c>
      <c r="H14" s="93">
        <f>VLOOKUP(C14,'BD EVA 1 GPE'!$D$3:$R$108,15,0)</f>
        <v>8</v>
      </c>
      <c r="I14" s="94">
        <f t="shared" ca="1" si="4"/>
        <v>3.125</v>
      </c>
      <c r="J14" s="75" t="s">
        <v>318</v>
      </c>
      <c r="K14" s="104">
        <v>3.1</v>
      </c>
      <c r="L14" s="100">
        <f t="shared" ca="1" si="0"/>
        <v>3.1</v>
      </c>
      <c r="M14" s="115"/>
    </row>
    <row r="15" spans="1:13" ht="234">
      <c r="A15" s="117" t="s">
        <v>147</v>
      </c>
      <c r="B15" s="92" t="s">
        <v>148</v>
      </c>
      <c r="C15" s="72" t="s">
        <v>156</v>
      </c>
      <c r="D15" s="75">
        <v>44469</v>
      </c>
      <c r="E15" s="105">
        <f>VLOOKUP(C15,'BD EVA 1 GPE'!$D$3:$Q$108,14,0)</f>
        <v>1</v>
      </c>
      <c r="F15" s="75">
        <v>44834</v>
      </c>
      <c r="G15" s="105">
        <f ca="1">VLOOKUP(C15,'BD EVA 1 GPE'!$D$3:$Y$108,22,0)</f>
        <v>1</v>
      </c>
      <c r="H15" s="93" t="str">
        <f>VLOOKUP(C15,'BD EVA 1 GPE'!$D$3:$R$108,15,0)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99">
        <f t="shared" ref="I15:I16" ca="1" si="5">G15/1</f>
        <v>1</v>
      </c>
      <c r="J15" s="75" t="s">
        <v>318</v>
      </c>
      <c r="K15" s="104">
        <v>1.5</v>
      </c>
      <c r="L15" s="100">
        <f t="shared" ca="1" si="0"/>
        <v>1.5</v>
      </c>
      <c r="M15" s="116">
        <f ca="1">SUM(L15:L22)</f>
        <v>8.2375000000000007</v>
      </c>
    </row>
    <row r="16" spans="1:13" ht="52">
      <c r="A16" s="117" t="s">
        <v>147</v>
      </c>
      <c r="B16" s="92" t="s">
        <v>148</v>
      </c>
      <c r="C16" s="72" t="s">
        <v>158</v>
      </c>
      <c r="D16" s="75">
        <v>44469</v>
      </c>
      <c r="E16" s="93">
        <f>VLOOKUP(C16,'BD EVA 1 GPE'!$D$3:$Q$108,14,0)</f>
        <v>0</v>
      </c>
      <c r="F16" s="75">
        <v>44834</v>
      </c>
      <c r="G16" s="93">
        <f ca="1">VLOOKUP(C16,'BD EVA 1 GPE'!$D$3:$Y$108,22,0)</f>
        <v>0</v>
      </c>
      <c r="H16" s="93" t="str">
        <f>VLOOKUP(C16,'BD EVA 1 GPE'!$D$3:$R$108,15,0)</f>
        <v>Actualizado al 2017</v>
      </c>
      <c r="I16" s="96">
        <f t="shared" ca="1" si="5"/>
        <v>0</v>
      </c>
      <c r="J16" s="75" t="s">
        <v>318</v>
      </c>
      <c r="K16" s="104">
        <v>1.5</v>
      </c>
      <c r="L16" s="100">
        <f t="shared" ca="1" si="0"/>
        <v>0</v>
      </c>
      <c r="M16" s="115"/>
    </row>
    <row r="17" spans="1:13" ht="104">
      <c r="A17" s="117" t="s">
        <v>147</v>
      </c>
      <c r="B17" s="92" t="s">
        <v>148</v>
      </c>
      <c r="C17" s="72" t="s">
        <v>166</v>
      </c>
      <c r="D17" s="75">
        <v>44469</v>
      </c>
      <c r="E17" s="97">
        <f>VLOOKUP(C17,'BD EVA 1 GPE'!$D$3:$Q$108,14,0)</f>
        <v>0</v>
      </c>
      <c r="F17" s="75">
        <v>44834</v>
      </c>
      <c r="G17" s="97">
        <f ca="1">VLOOKUP(C17,'BD EVA 1 GPE'!$D$3:$Y$108,22,0)</f>
        <v>0.125</v>
      </c>
      <c r="H17" s="96">
        <f>VLOOKUP(C17,'BD EVA 1 GPE'!$D$3:$R$108,15,0)</f>
        <v>1</v>
      </c>
      <c r="I17" s="96">
        <f t="shared" ref="I17:I25" ca="1" si="6">G17/H17</f>
        <v>0.125</v>
      </c>
      <c r="J17" s="75" t="s">
        <v>318</v>
      </c>
      <c r="K17" s="104">
        <v>0.3</v>
      </c>
      <c r="L17" s="100">
        <f t="shared" ca="1" si="0"/>
        <v>3.7499999999999999E-2</v>
      </c>
      <c r="M17" s="115"/>
    </row>
    <row r="18" spans="1:13" ht="91">
      <c r="A18" s="117" t="s">
        <v>147</v>
      </c>
      <c r="B18" s="92" t="s">
        <v>168</v>
      </c>
      <c r="C18" s="72" t="s">
        <v>173</v>
      </c>
      <c r="D18" s="75">
        <v>44469</v>
      </c>
      <c r="E18" s="97">
        <f>VLOOKUP(C18,'BD EVA 1 GPE'!$D$3:$Q$108,14,0)</f>
        <v>0.99175778888949939</v>
      </c>
      <c r="F18" s="75">
        <v>44834</v>
      </c>
      <c r="G18" s="97">
        <f ca="1">VLOOKUP(C18,'BD EVA 1 GPE'!$D$3:$Y$108,22,0)</f>
        <v>1</v>
      </c>
      <c r="H18" s="96">
        <f>VLOOKUP(C18,'BD EVA 1 GPE'!$D$3:$R$108,15,0)</f>
        <v>1</v>
      </c>
      <c r="I18" s="96">
        <f t="shared" ca="1" si="6"/>
        <v>1</v>
      </c>
      <c r="J18" s="75" t="s">
        <v>318</v>
      </c>
      <c r="K18" s="104">
        <v>1.5</v>
      </c>
      <c r="L18" s="100">
        <f t="shared" ca="1" si="0"/>
        <v>1.5</v>
      </c>
      <c r="M18" s="115"/>
    </row>
    <row r="19" spans="1:13" ht="117">
      <c r="A19" s="117" t="s">
        <v>147</v>
      </c>
      <c r="B19" s="92" t="s">
        <v>168</v>
      </c>
      <c r="C19" s="71" t="s">
        <v>177</v>
      </c>
      <c r="D19" s="75">
        <v>44469</v>
      </c>
      <c r="E19" s="97">
        <f>VLOOKUP(C19,'BD EVA 1 GPE'!$D$3:$Q$108,14,0)</f>
        <v>1</v>
      </c>
      <c r="F19" s="75">
        <v>44834</v>
      </c>
      <c r="G19" s="97">
        <f ca="1">VLOOKUP(C19,'BD EVA 1 GPE'!$D$3:$Y$108,22,0)</f>
        <v>1</v>
      </c>
      <c r="H19" s="96">
        <f>VLOOKUP(C19,'BD EVA 1 GPE'!$D$3:$R$108,15,0)</f>
        <v>1</v>
      </c>
      <c r="I19" s="96">
        <f t="shared" ca="1" si="6"/>
        <v>1</v>
      </c>
      <c r="J19" s="75" t="s">
        <v>318</v>
      </c>
      <c r="K19" s="104">
        <v>1.5</v>
      </c>
      <c r="L19" s="100">
        <f t="shared" ca="1" si="0"/>
        <v>1.5</v>
      </c>
      <c r="M19" s="115"/>
    </row>
    <row r="20" spans="1:13" ht="117">
      <c r="A20" s="117" t="s">
        <v>147</v>
      </c>
      <c r="B20" s="92" t="s">
        <v>168</v>
      </c>
      <c r="C20" s="72" t="s">
        <v>183</v>
      </c>
      <c r="D20" s="75">
        <v>44469</v>
      </c>
      <c r="E20" s="97">
        <f>VLOOKUP(C20,'BD EVA 1 GPE'!$D$3:$Q$108,14,0)</f>
        <v>0.99993255062075914</v>
      </c>
      <c r="F20" s="75">
        <v>44834</v>
      </c>
      <c r="G20" s="97">
        <f ca="1">VLOOKUP(C20,'BD EVA 1 GPE'!$D$3:$Y$108,22,0)</f>
        <v>1</v>
      </c>
      <c r="H20" s="96">
        <f>VLOOKUP(C20,'BD EVA 1 GPE'!$D$3:$R$108,15,0)</f>
        <v>1</v>
      </c>
      <c r="I20" s="96">
        <f t="shared" ca="1" si="6"/>
        <v>1</v>
      </c>
      <c r="J20" s="75" t="s">
        <v>318</v>
      </c>
      <c r="K20" s="104">
        <v>0.9</v>
      </c>
      <c r="L20" s="100">
        <f t="shared" ca="1" si="0"/>
        <v>0.9</v>
      </c>
      <c r="M20" s="115"/>
    </row>
    <row r="21" spans="1:13" ht="78">
      <c r="A21" s="117" t="s">
        <v>147</v>
      </c>
      <c r="B21" s="92" t="s">
        <v>168</v>
      </c>
      <c r="C21" s="72" t="s">
        <v>189</v>
      </c>
      <c r="D21" s="75">
        <v>44469</v>
      </c>
      <c r="E21" s="97">
        <f>VLOOKUP(C21,'BD EVA 1 GPE'!$D$3:$Q$108,14,0)</f>
        <v>0.90612668743509861</v>
      </c>
      <c r="F21" s="75">
        <v>44834</v>
      </c>
      <c r="G21" s="97">
        <f ca="1">VLOOKUP(C21,'BD EVA 1 GPE'!$D$3:$Y$108,22,0)</f>
        <v>1.00417101147028</v>
      </c>
      <c r="H21" s="96">
        <f>VLOOKUP(C21,'BD EVA 1 GPE'!$D$3:$R$108,15,0)</f>
        <v>1</v>
      </c>
      <c r="I21" s="96">
        <f t="shared" ca="1" si="6"/>
        <v>1.00417101147028</v>
      </c>
      <c r="J21" s="75" t="s">
        <v>318</v>
      </c>
      <c r="K21" s="104">
        <v>1.5</v>
      </c>
      <c r="L21" s="100">
        <f t="shared" ca="1" si="0"/>
        <v>1.5</v>
      </c>
      <c r="M21" s="115"/>
    </row>
    <row r="22" spans="1:13" ht="195">
      <c r="A22" s="117" t="s">
        <v>147</v>
      </c>
      <c r="B22" s="92" t="s">
        <v>168</v>
      </c>
      <c r="C22" s="72" t="s">
        <v>197</v>
      </c>
      <c r="D22" s="71" t="s">
        <v>57</v>
      </c>
      <c r="E22" s="101">
        <f>VLOOKUP(C22,'BD EVA 1 GPE'!$D$3:$Q$108,14,0)</f>
        <v>5.4640000000000004</v>
      </c>
      <c r="F22" s="71" t="s">
        <v>59</v>
      </c>
      <c r="G22" s="101">
        <f ca="1">VLOOKUP(C22,'BD EVA 1 GPE'!$D$3:$Y$108,22,0)</f>
        <v>51.887999999999899</v>
      </c>
      <c r="H22" s="93">
        <f>VLOOKUP(C22,'BD EVA 1 GPE'!$D$3:$R$108,15,0)</f>
        <v>10.1</v>
      </c>
      <c r="I22" s="96">
        <f t="shared" ca="1" si="6"/>
        <v>5.1374257425742478</v>
      </c>
      <c r="J22" s="75" t="s">
        <v>318</v>
      </c>
      <c r="K22" s="104">
        <v>1.3</v>
      </c>
      <c r="L22" s="100">
        <f t="shared" ca="1" si="0"/>
        <v>1.3</v>
      </c>
      <c r="M22" s="115"/>
    </row>
    <row r="23" spans="1:13" ht="156">
      <c r="A23" s="117" t="s">
        <v>199</v>
      </c>
      <c r="B23" s="72" t="s">
        <v>200</v>
      </c>
      <c r="C23" s="72" t="s">
        <v>201</v>
      </c>
      <c r="D23" s="75">
        <v>44469</v>
      </c>
      <c r="E23" s="101">
        <f>VLOOKUP(C23,'BD EVA 1 GPE'!$D$3:$Q$108,14,0)</f>
        <v>13.875</v>
      </c>
      <c r="F23" s="75">
        <v>44834</v>
      </c>
      <c r="G23" s="108">
        <f ca="1">VLOOKUP(C23,'BD EVA 1 GPE'!$D$3:$Y$108,22,0)</f>
        <v>1.86</v>
      </c>
      <c r="H23" s="93">
        <f>VLOOKUP(C23,'BD EVA 1 GPE'!$D$3:$R$108,15,0)</f>
        <v>1.5</v>
      </c>
      <c r="I23" s="96">
        <f t="shared" ca="1" si="6"/>
        <v>1.24</v>
      </c>
      <c r="J23" s="75" t="s">
        <v>318</v>
      </c>
      <c r="K23" s="109">
        <v>2.645</v>
      </c>
      <c r="L23" s="100">
        <f t="shared" ca="1" si="0"/>
        <v>2.645</v>
      </c>
      <c r="M23" s="116">
        <f ca="1">SUM(L23:L26)</f>
        <v>7.78</v>
      </c>
    </row>
    <row r="24" spans="1:13" ht="130">
      <c r="A24" s="117" t="s">
        <v>199</v>
      </c>
      <c r="B24" s="72" t="s">
        <v>200</v>
      </c>
      <c r="C24" s="72" t="s">
        <v>209</v>
      </c>
      <c r="D24" s="71" t="s">
        <v>57</v>
      </c>
      <c r="E24" s="107">
        <f>VLOOKUP(C24,'BD EVA 1 GPE'!$D$3:$Q$108,14,0)</f>
        <v>0</v>
      </c>
      <c r="F24" s="71" t="s">
        <v>59</v>
      </c>
      <c r="G24" s="105">
        <f ca="1">VLOOKUP(C24,'BD EVA 1 GPE'!$D$3:$Y$108,22,0)</f>
        <v>18976</v>
      </c>
      <c r="H24" s="105">
        <f>VLOOKUP(C24,'BD EVA 1 GPE'!$D$3:$R$108,15,0)</f>
        <v>16667</v>
      </c>
      <c r="I24" s="96">
        <f t="shared" ca="1" si="6"/>
        <v>1.1385372292554148</v>
      </c>
      <c r="J24" s="75" t="s">
        <v>318</v>
      </c>
      <c r="K24" s="109">
        <v>2.3340000000000001</v>
      </c>
      <c r="L24" s="100">
        <f t="shared" ca="1" si="0"/>
        <v>2.3340000000000001</v>
      </c>
      <c r="M24" s="115"/>
    </row>
    <row r="25" spans="1:13" ht="104">
      <c r="A25" s="117" t="s">
        <v>199</v>
      </c>
      <c r="B25" s="72" t="s">
        <v>200</v>
      </c>
      <c r="C25" s="72" t="s">
        <v>226</v>
      </c>
      <c r="D25" s="71" t="s">
        <v>57</v>
      </c>
      <c r="E25" s="93">
        <f>VLOOKUP(C25,'BD EVA 1 GPE'!$D$3:$Q$108,14,0)</f>
        <v>0</v>
      </c>
      <c r="F25" s="71" t="s">
        <v>59</v>
      </c>
      <c r="G25" s="93">
        <f ca="1">VLOOKUP(C25,'BD EVA 1 GPE'!$D$3:$Y$108,22,0)</f>
        <v>45</v>
      </c>
      <c r="H25" s="93">
        <f>VLOOKUP(C25,'BD EVA 1 GPE'!$D$3:$R$108,15,0)</f>
        <v>8</v>
      </c>
      <c r="I25" s="96">
        <f t="shared" ca="1" si="6"/>
        <v>5.625</v>
      </c>
      <c r="J25" s="75" t="s">
        <v>318</v>
      </c>
      <c r="K25" s="109">
        <v>2.8010000000000002</v>
      </c>
      <c r="L25" s="100">
        <f t="shared" ca="1" si="0"/>
        <v>2.8010000000000002</v>
      </c>
      <c r="M25" s="115"/>
    </row>
    <row r="26" spans="1:13" ht="52">
      <c r="A26" s="117" t="s">
        <v>199</v>
      </c>
      <c r="B26" s="72" t="s">
        <v>228</v>
      </c>
      <c r="C26" s="72" t="s">
        <v>241</v>
      </c>
      <c r="D26" s="71" t="s">
        <v>232</v>
      </c>
      <c r="E26" s="93">
        <f>VLOOKUP(C26,'BD EVA 1 GPE'!$D$3:$Q$108,14,0)</f>
        <v>5238</v>
      </c>
      <c r="F26" s="71" t="s">
        <v>59</v>
      </c>
      <c r="G26" s="105">
        <f ca="1">VLOOKUP(C26,'BD EVA 1 GPE'!$D$3:$Y$108,22,0)</f>
        <v>5894</v>
      </c>
      <c r="H26" s="106">
        <f>VLOOKUP(C26,'BD EVA 1 GPE'!$D$3:$R$108,15,0)</f>
        <v>5232.7619999999997</v>
      </c>
      <c r="I26" s="94">
        <f ca="1">(G26-E26)/(H26-E26)</f>
        <v>-125.23864070255145</v>
      </c>
      <c r="J26" s="71" t="s">
        <v>319</v>
      </c>
      <c r="K26" s="109">
        <v>2.2200000000000002</v>
      </c>
      <c r="L26" s="100">
        <f t="shared" ca="1" si="0"/>
        <v>0</v>
      </c>
      <c r="M26" s="115"/>
    </row>
    <row r="27" spans="1:13" ht="208">
      <c r="A27" s="117" t="s">
        <v>243</v>
      </c>
      <c r="B27" s="92" t="s">
        <v>244</v>
      </c>
      <c r="C27" s="72" t="s">
        <v>245</v>
      </c>
      <c r="D27" s="71" t="s">
        <v>57</v>
      </c>
      <c r="E27" s="93">
        <f>VLOOKUP(C27,'BD EVA 1 GPE'!$D$3:$Q$108,14,0)</f>
        <v>0</v>
      </c>
      <c r="F27" s="71" t="s">
        <v>59</v>
      </c>
      <c r="G27" s="93">
        <f ca="1">VLOOKUP(C27,'BD EVA 1 GPE'!$D$3:$Y$108,22,0)</f>
        <v>17</v>
      </c>
      <c r="H27" s="93">
        <f>VLOOKUP(C27,'BD EVA 1 GPE'!$D$3:$R$108,15,0)</f>
        <v>10</v>
      </c>
      <c r="I27" s="104">
        <f t="shared" ref="I27:I30" ca="1" si="7">G27/H27</f>
        <v>1.7</v>
      </c>
      <c r="J27" s="75" t="s">
        <v>318</v>
      </c>
      <c r="K27" s="104">
        <v>2.5</v>
      </c>
      <c r="L27" s="100">
        <f t="shared" ca="1" si="0"/>
        <v>2.5</v>
      </c>
      <c r="M27" s="116">
        <f ca="1">SUM(L27:L30)</f>
        <v>10</v>
      </c>
    </row>
    <row r="28" spans="1:13" ht="65">
      <c r="A28" s="117" t="s">
        <v>243</v>
      </c>
      <c r="B28" s="92" t="s">
        <v>247</v>
      </c>
      <c r="C28" s="72" t="s">
        <v>248</v>
      </c>
      <c r="D28" s="75">
        <v>44469</v>
      </c>
      <c r="E28" s="93">
        <f>VLOOKUP(C28,'BD EVA 1 GPE'!$D$3:$Q$108,14,0)</f>
        <v>6</v>
      </c>
      <c r="F28" s="75">
        <v>44834</v>
      </c>
      <c r="G28" s="93">
        <f ca="1">VLOOKUP(C28,'BD EVA 1 GPE'!$D$3:$Y$108,22,0)</f>
        <v>8</v>
      </c>
      <c r="H28" s="93">
        <f>VLOOKUP(C28,'BD EVA 1 GPE'!$D$3:$R$108,15,0)</f>
        <v>8</v>
      </c>
      <c r="I28" s="104">
        <f t="shared" ca="1" si="7"/>
        <v>1</v>
      </c>
      <c r="J28" s="75" t="s">
        <v>318</v>
      </c>
      <c r="K28" s="104">
        <v>2.5</v>
      </c>
      <c r="L28" s="100">
        <f t="shared" ca="1" si="0"/>
        <v>2.5</v>
      </c>
      <c r="M28" s="115"/>
    </row>
    <row r="29" spans="1:13" ht="91">
      <c r="A29" s="117" t="s">
        <v>243</v>
      </c>
      <c r="B29" s="92" t="s">
        <v>250</v>
      </c>
      <c r="C29" s="72" t="s">
        <v>251</v>
      </c>
      <c r="D29" s="75">
        <v>44469</v>
      </c>
      <c r="E29" s="93">
        <f>VLOOKUP(C29,'BD EVA 1 GPE'!$D$3:$Q$108,14,0)</f>
        <v>100</v>
      </c>
      <c r="F29" s="75">
        <v>44713</v>
      </c>
      <c r="G29" s="93">
        <f ca="1">VLOOKUP(C29,'BD EVA 1 GPE'!$D$3:$Y$108,22,0)</f>
        <v>100</v>
      </c>
      <c r="H29" s="93">
        <f>VLOOKUP(C29,'BD EVA 1 GPE'!$D$3:$R$108,15,0)</f>
        <v>100</v>
      </c>
      <c r="I29" s="104">
        <f t="shared" ca="1" si="7"/>
        <v>1</v>
      </c>
      <c r="J29" s="75" t="s">
        <v>318</v>
      </c>
      <c r="K29" s="104">
        <v>2.5</v>
      </c>
      <c r="L29" s="100">
        <f t="shared" ca="1" si="0"/>
        <v>2.5</v>
      </c>
      <c r="M29" s="115"/>
    </row>
    <row r="30" spans="1:13" ht="260">
      <c r="A30" s="117" t="s">
        <v>243</v>
      </c>
      <c r="B30" s="92" t="s">
        <v>257</v>
      </c>
      <c r="C30" s="72" t="s">
        <v>258</v>
      </c>
      <c r="D30" s="75">
        <v>44469</v>
      </c>
      <c r="E30" s="93">
        <f>VLOOKUP(C30,'BD EVA 1 GPE'!$D$3:$Q$108,14,0)</f>
        <v>0</v>
      </c>
      <c r="F30" s="75">
        <v>44834</v>
      </c>
      <c r="G30" s="100">
        <f ca="1">VLOOKUP(C30,'BD EVA 1 GPE'!$D$3:$Y$108,22,0)</f>
        <v>4</v>
      </c>
      <c r="H30" s="93">
        <f>VLOOKUP(C30,'BD EVA 1 GPE'!$D$3:$R$108,15,0)</f>
        <v>4</v>
      </c>
      <c r="I30" s="109">
        <f t="shared" ca="1" si="7"/>
        <v>1</v>
      </c>
      <c r="J30" s="75" t="s">
        <v>318</v>
      </c>
      <c r="K30" s="104">
        <v>2.5</v>
      </c>
      <c r="L30" s="100">
        <f t="shared" ca="1" si="0"/>
        <v>2.5</v>
      </c>
      <c r="M30" s="115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D54F-9E4C-4B43-A991-C176DC8A5698}">
  <dimension ref="A1:AC111"/>
  <sheetViews>
    <sheetView workbookViewId="0">
      <selection activeCell="F11" sqref="F1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715442</v>
      </c>
      <c r="Q2" s="5">
        <v>715442</v>
      </c>
      <c r="R2" s="4"/>
      <c r="S2" s="6"/>
      <c r="T2" s="6"/>
      <c r="U2" s="6"/>
      <c r="V2" s="6"/>
      <c r="W2" s="6"/>
      <c r="X2" s="5">
        <v>721449</v>
      </c>
      <c r="Y2" s="5">
        <v>721449</v>
      </c>
      <c r="Z2" s="5">
        <v>728541</v>
      </c>
      <c r="AA2" s="5">
        <v>728541</v>
      </c>
      <c r="AB2" s="5">
        <v>736824</v>
      </c>
      <c r="AC2" s="5">
        <v>736824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845</v>
      </c>
      <c r="Q3" s="2">
        <v>845</v>
      </c>
      <c r="R3" s="4">
        <v>846</v>
      </c>
      <c r="S3" s="4">
        <v>847</v>
      </c>
      <c r="T3" s="4">
        <v>848</v>
      </c>
      <c r="U3" s="4">
        <v>849</v>
      </c>
      <c r="V3" s="4">
        <v>853</v>
      </c>
      <c r="W3" s="4">
        <v>853</v>
      </c>
      <c r="X3" s="2">
        <v>832</v>
      </c>
      <c r="Y3" s="2">
        <f ca="1">IFERROR(__xludf.DUMMYFUNCTION("INDEX(IMPORTRANGE(""1y0FWgjbB0gVlqn-q5LMJbGIsqOrzru4yowQz67dz2yc"", ""'GPE'!BH3:BH139""),MATCH(D3,IMPORTRANGE(""1y0FWgjbB0gVlqn-q5LMJbGIsqOrzru4yowQz67dz2yc"", ""'GPE'!D3:D139""),0))"),847)</f>
        <v>847</v>
      </c>
      <c r="Z3" s="2">
        <f ca="1">IFERROR(__xludf.DUMMYFUNCTION("INDEX(IMPORTRANGE(""1y0FWgjbB0gVlqn-q5LMJbGIsqOrzru4yowQz67dz2yc"", ""'GPE'!BI3:BI139""),MATCH(D3,IMPORTRANGE(""1y0FWgjbB0gVlqn-q5LMJbGIsqOrzru4yowQz67dz2yc"", ""'GPE'!D3:D139""),0))"),847)</f>
        <v>847</v>
      </c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838</v>
      </c>
      <c r="Q4" s="2">
        <v>838</v>
      </c>
      <c r="R4" s="4"/>
      <c r="S4" s="4"/>
      <c r="T4" s="4"/>
      <c r="U4" s="4"/>
      <c r="V4" s="4"/>
      <c r="W4" s="4"/>
      <c r="X4" s="2">
        <v>815</v>
      </c>
      <c r="Y4" s="2">
        <f ca="1">IFERROR(__xludf.DUMMYFUNCTION("INDEX(IMPORTRANGE(""1y0FWgjbB0gVlqn-q5LMJbGIsqOrzru4yowQz67dz2yc"", ""'GPE'!BH3:BH139""),MATCH(D4,IMPORTRANGE(""1y0FWgjbB0gVlqn-q5LMJbGIsqOrzru4yowQz67dz2yc"", ""'GPE'!D3:D139""),0))"),838)</f>
        <v>838</v>
      </c>
      <c r="Z4" s="2">
        <f ca="1">IFERROR(__xludf.DUMMYFUNCTION("INDEX(IMPORTRANGE(""1y0FWgjbB0gVlqn-q5LMJbGIsqOrzru4yowQz67dz2yc"", ""'GPE'!BI3:BI139""),MATCH(D4,IMPORTRANGE(""1y0FWgjbB0gVlqn-q5LMJbGIsqOrzru4yowQz67dz2yc"", ""'GPE'!D3:D139""),0))"),822)</f>
        <v>822</v>
      </c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0.99171597633136099</v>
      </c>
      <c r="Q5" s="15">
        <f t="shared" si="0"/>
        <v>0.99171597633136099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0.97956730769230771</v>
      </c>
      <c r="Y5" s="15">
        <f ca="1">IFERROR(__xludf.DUMMYFUNCTION("INDEX(IMPORTRANGE(""1y0FWgjbB0gVlqn-q5LMJbGIsqOrzru4yowQz67dz2yc"", ""'GPE'!BH3:BH139""),MATCH(D5,IMPORTRANGE(""1y0FWgjbB0gVlqn-q5LMJbGIsqOrzru4yowQz67dz2yc"", ""'GPE'!D3:D139""),0))"),0.989374262101534)</f>
        <v>0.98937426210153401</v>
      </c>
      <c r="Z5" s="15">
        <f ca="1">IFERROR(__xludf.DUMMYFUNCTION("INDEX(IMPORTRANGE(""1y0FWgjbB0gVlqn-q5LMJbGIsqOrzru4yowQz67dz2yc"", ""'GPE'!BI3:BI139""),MATCH(D5,IMPORTRANGE(""1y0FWgjbB0gVlqn-q5LMJbGIsqOrzru4yowQz67dz2yc"", ""'GPE'!D3:D139""),0))"),0.970484061393152)</f>
        <v>0.97048406139315202</v>
      </c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2"/>
      <c r="R6" s="2"/>
      <c r="S6" s="2"/>
      <c r="T6" s="2"/>
      <c r="U6" s="2"/>
      <c r="V6" s="2"/>
      <c r="W6" s="2"/>
      <c r="X6" s="18"/>
      <c r="Y6" s="2">
        <f ca="1">IFERROR(__xludf.DUMMYFUNCTION("INDEX(IMPORTRANGE(""1y0FWgjbB0gVlqn-q5LMJbGIsqOrzru4yowQz67dz2yc"", ""'GPE'!BH3:BH139""),MATCH(D6,IMPORTRANGE(""1y0FWgjbB0gVlqn-q5LMJbGIsqOrzru4yowQz67dz2yc"", ""'GPE'!D3:D139""),0))"),19)</f>
        <v>19</v>
      </c>
      <c r="Z6" s="2">
        <f ca="1">IFERROR(__xludf.DUMMYFUNCTION("INDEX(IMPORTRANGE(""1y0FWgjbB0gVlqn-q5LMJbGIsqOrzru4yowQz67dz2yc"", ""'GPE'!BI3:BI139""),MATCH(D6,IMPORTRANGE(""1y0FWgjbB0gVlqn-q5LMJbGIsqOrzru4yowQz67dz2yc"", ""'GPE'!D3:D139""),0))"),22)</f>
        <v>22</v>
      </c>
      <c r="AA6" s="1"/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7"/>
      <c r="Q7" s="2"/>
      <c r="R7" s="2"/>
      <c r="S7" s="2"/>
      <c r="T7" s="2"/>
      <c r="U7" s="2"/>
      <c r="V7" s="2"/>
      <c r="W7" s="2"/>
      <c r="X7" s="18"/>
      <c r="Y7" s="2">
        <f ca="1">IFERROR(__xludf.DUMMYFUNCTION("INDEX(IMPORTRANGE(""1y0FWgjbB0gVlqn-q5LMJbGIsqOrzru4yowQz67dz2yc"", ""'GPE'!BH3:BH139""),MATCH(D7,IMPORTRANGE(""1y0FWgjbB0gVlqn-q5LMJbGIsqOrzru4yowQz67dz2yc"", ""'GPE'!D3:D139""),0))"),0)</f>
        <v>0</v>
      </c>
      <c r="Z7" s="2">
        <f ca="1">IFERROR(__xludf.DUMMYFUNCTION("INDEX(IMPORTRANGE(""1y0FWgjbB0gVlqn-q5LMJbGIsqOrzru4yowQz67dz2yc"", ""'GPE'!BI3:BI139""),MATCH(D7,IMPORTRANGE(""1y0FWgjbB0gVlqn-q5LMJbGIsqOrzru4yowQz67dz2yc"", ""'GPE'!D3:D139""),0))"),0)</f>
        <v>0</v>
      </c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5">
        <f t="shared" si="1"/>
        <v>0</v>
      </c>
      <c r="R8" s="26">
        <v>4.1999999999999997E-3</v>
      </c>
      <c r="S8" s="26">
        <v>8.3999999999999995E-3</v>
      </c>
      <c r="T8" s="26">
        <v>1.26E-2</v>
      </c>
      <c r="U8" s="26">
        <v>2.1000000000000001E-2</v>
      </c>
      <c r="V8" s="14">
        <v>0.03</v>
      </c>
      <c r="W8" s="14">
        <v>0.03</v>
      </c>
      <c r="X8" s="19">
        <f>X6/X3</f>
        <v>0</v>
      </c>
      <c r="Y8" s="15">
        <f ca="1">IFERROR(__xludf.DUMMYFUNCTION("INDEX(IMPORTRANGE(""1y0FWgjbB0gVlqn-q5LMJbGIsqOrzru4yowQz67dz2yc"", ""'GPE'!BH3:BH139""),MATCH(D8,IMPORTRANGE(""1y0FWgjbB0gVlqn-q5LMJbGIsqOrzru4yowQz67dz2yc"", ""'GPE'!D3:D139""),0))"),0.0224321133412042)</f>
        <v>2.24321133412042E-2</v>
      </c>
      <c r="Z8" s="15">
        <f ca="1">IFERROR(__xludf.DUMMYFUNCTION("INDEX(IMPORTRANGE(""1y0FWgjbB0gVlqn-q5LMJbGIsqOrzru4yowQz67dz2yc"", ""'GPE'!BI3:BI139""),MATCH(D8,IMPORTRANGE(""1y0FWgjbB0gVlqn-q5LMJbGIsqOrzru4yowQz67dz2yc"", ""'GPE'!D3:D139""),0))"),0.0259740259740259)</f>
        <v>2.5974025974025899E-2</v>
      </c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553</v>
      </c>
      <c r="Q9" s="2">
        <v>809</v>
      </c>
      <c r="R9" s="4"/>
      <c r="S9" s="4"/>
      <c r="T9" s="4"/>
      <c r="U9" s="4"/>
      <c r="V9" s="4"/>
      <c r="W9" s="4"/>
      <c r="X9" s="12">
        <v>73</v>
      </c>
      <c r="Y9" s="2">
        <f ca="1">IFERROR(__xludf.DUMMYFUNCTION("INDEX(IMPORTRANGE(""1y0FWgjbB0gVlqn-q5LMJbGIsqOrzru4yowQz67dz2yc"", ""'GPE'!BH3:BH139""),MATCH(D9,IMPORTRANGE(""1y0FWgjbB0gVlqn-q5LMJbGIsqOrzru4yowQz67dz2yc"", ""'GPE'!D3:D139""),0))"),550)</f>
        <v>550</v>
      </c>
      <c r="Z9" s="12">
        <f ca="1">IFERROR(__xludf.DUMMYFUNCTION("INDEX(IMPORTRANGE(""1y0FWgjbB0gVlqn-q5LMJbGIsqOrzru4yowQz67dz2yc"", ""'GPE'!BI3:BI139""),MATCH(D9,IMPORTRANGE(""1y0FWgjbB0gVlqn-q5LMJbGIsqOrzru4yowQz67dz2yc"", ""'GPE'!D3:D139""),0))"),402)</f>
        <v>402</v>
      </c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4793</v>
      </c>
      <c r="Q10" s="2">
        <v>7857</v>
      </c>
      <c r="R10" s="4"/>
      <c r="S10" s="4"/>
      <c r="T10" s="4"/>
      <c r="U10" s="4"/>
      <c r="V10" s="4"/>
      <c r="W10" s="4"/>
      <c r="X10" s="12">
        <v>2050</v>
      </c>
      <c r="Y10" s="12">
        <f ca="1">IFERROR(__xludf.DUMMYFUNCTION("INDEX(IMPORTRANGE(""1y0FWgjbB0gVlqn-q5LMJbGIsqOrzru4yowQz67dz2yc"", ""'GPE'!BH3:BH139""),MATCH(D10,IMPORTRANGE(""1y0FWgjbB0gVlqn-q5LMJbGIsqOrzru4yowQz67dz2yc"", ""'GPE'!D3:D139""),0))"),4960)</f>
        <v>4960</v>
      </c>
      <c r="Z10" s="12">
        <f ca="1">IFERROR(__xludf.DUMMYFUNCTION("INDEX(IMPORTRANGE(""1y0FWgjbB0gVlqn-q5LMJbGIsqOrzru4yowQz67dz2yc"", ""'GPE'!BI3:BI139""),MATCH(D10,IMPORTRANGE(""1y0FWgjbB0gVlqn-q5LMJbGIsqOrzru4yowQz67dz2yc"", ""'GPE'!D3:D139""),0))"),2934)</f>
        <v>2934</v>
      </c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0.11537659086167328</v>
      </c>
      <c r="Q11" s="15">
        <f t="shared" si="2"/>
        <v>0.10296550846379025</v>
      </c>
      <c r="R11" s="15">
        <v>0.1018</v>
      </c>
      <c r="S11" s="15">
        <v>0.1273</v>
      </c>
      <c r="T11" s="15">
        <v>0.1336</v>
      </c>
      <c r="U11" s="15">
        <v>0.14000000000000001</v>
      </c>
      <c r="V11" s="15">
        <v>0.16300000000000001</v>
      </c>
      <c r="W11" s="15">
        <v>0.16300000000000001</v>
      </c>
      <c r="X11" s="15">
        <f>X9/X10</f>
        <v>3.5609756097560973E-2</v>
      </c>
      <c r="Y11" s="15">
        <f ca="1">IFERROR(__xludf.DUMMYFUNCTION("INDEX(IMPORTRANGE(""1y0FWgjbB0gVlqn-q5LMJbGIsqOrzru4yowQz67dz2yc"", ""'GPE'!BH3:BH139""),MATCH(D11,IMPORTRANGE(""1y0FWgjbB0gVlqn-q5LMJbGIsqOrzru4yowQz67dz2yc"", ""'GPE'!D3:D139""),0))"),0.110887096774193)</f>
        <v>0.11088709677419301</v>
      </c>
      <c r="Z11" s="15">
        <f ca="1">IFERROR(__xludf.DUMMYFUNCTION("INDEX(IMPORTRANGE(""1y0FWgjbB0gVlqn-q5LMJbGIsqOrzru4yowQz67dz2yc"", ""'GPE'!BI3:BI139""),MATCH(D11,IMPORTRANGE(""1y0FWgjbB0gVlqn-q5LMJbGIsqOrzru4yowQz67dz2yc"", ""'GPE'!D3:D139""),0))"),0.137014314928425)</f>
        <v>0.137014314928425</v>
      </c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46</v>
      </c>
      <c r="Q12" s="12">
        <v>105</v>
      </c>
      <c r="R12" s="4"/>
      <c r="S12" s="4"/>
      <c r="T12" s="4"/>
      <c r="U12" s="4"/>
      <c r="V12" s="4"/>
      <c r="W12" s="4"/>
      <c r="X12" s="12">
        <v>33</v>
      </c>
      <c r="Y12" s="12">
        <f ca="1">IFERROR(__xludf.DUMMYFUNCTION("INDEX(IMPORTRANGE(""1y0FWgjbB0gVlqn-q5LMJbGIsqOrzru4yowQz67dz2yc"", ""'GPE'!BH3:BH139""),MATCH(D12,IMPORTRANGE(""1y0FWgjbB0gVlqn-q5LMJbGIsqOrzru4yowQz67dz2yc"", ""'GPE'!D3:D139""),0))"),119)</f>
        <v>119</v>
      </c>
      <c r="Z12" s="12">
        <f ca="1">IFERROR(__xludf.DUMMYFUNCTION("INDEX(IMPORTRANGE(""1y0FWgjbB0gVlqn-q5LMJbGIsqOrzru4yowQz67dz2yc"", ""'GPE'!BI3:BI139""),MATCH(D12,IMPORTRANGE(""1y0FWgjbB0gVlqn-q5LMJbGIsqOrzru4yowQz67dz2yc"", ""'GPE'!D3:D139""),0))"),65)</f>
        <v>65</v>
      </c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6.4295917768316642</v>
      </c>
      <c r="Q13" s="23">
        <f t="shared" si="3"/>
        <v>14.67624209928967</v>
      </c>
      <c r="R13" s="2">
        <v>14.6616</v>
      </c>
      <c r="S13" s="2">
        <v>6.4135</v>
      </c>
      <c r="T13" s="2">
        <v>14.6175</v>
      </c>
      <c r="U13" s="2">
        <v>6.391</v>
      </c>
      <c r="V13" s="2">
        <v>14.529500000000001</v>
      </c>
      <c r="W13" s="2">
        <v>14.515000000000001</v>
      </c>
      <c r="X13" s="23">
        <f>(X12/X$2)*100000</f>
        <v>4.574127900932706</v>
      </c>
      <c r="Y13" s="23">
        <f ca="1">IFERROR(__xludf.DUMMYFUNCTION("INDEX(IMPORTRANGE(""1y0FWgjbB0gVlqn-q5LMJbGIsqOrzru4yowQz67dz2yc"", ""'GPE'!BH3:BH139""),MATCH(D13,IMPORTRANGE(""1y0FWgjbB0gVlqn-q5LMJbGIsqOrzru4yowQz67dz2yc"", ""'GPE'!D3:D139""),0))"),16.4945824306361)</f>
        <v>16.4945824306361</v>
      </c>
      <c r="Z13" s="23">
        <f ca="1">IFERROR(__xludf.DUMMYFUNCTION("INDEX(IMPORTRANGE(""1y0FWgjbB0gVlqn-q5LMJbGIsqOrzru4yowQz67dz2yc"", ""'GPE'!BI3:BI139""),MATCH(D13,IMPORTRANGE(""1y0FWgjbB0gVlqn-q5LMJbGIsqOrzru4yowQz67dz2yc"", ""'GPE'!D3:D139""),0))"),8.92194124970317)</f>
        <v>8.9219412497031705</v>
      </c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214</v>
      </c>
      <c r="Q14" s="12">
        <v>454</v>
      </c>
      <c r="R14" s="4"/>
      <c r="S14" s="4"/>
      <c r="T14" s="4"/>
      <c r="U14" s="4"/>
      <c r="V14" s="4"/>
      <c r="W14" s="4"/>
      <c r="X14" s="12">
        <v>186</v>
      </c>
      <c r="Y14" s="12">
        <f ca="1">IFERROR(__xludf.DUMMYFUNCTION("INDEX(IMPORTRANGE(""1y0FWgjbB0gVlqn-q5LMJbGIsqOrzru4yowQz67dz2yc"", ""'GPE'!BH3:BH139""),MATCH(D14,IMPORTRANGE(""1y0FWgjbB0gVlqn-q5LMJbGIsqOrzru4yowQz67dz2yc"", ""'GPE'!D3:D139""),0))"),324)</f>
        <v>324</v>
      </c>
      <c r="Z14" s="12">
        <f ca="1">IFERROR(__xludf.DUMMYFUNCTION("INDEX(IMPORTRANGE(""1y0FWgjbB0gVlqn-q5LMJbGIsqOrzru4yowQz67dz2yc"", ""'GPE'!BI3:BI139""),MATCH(D14,IMPORTRANGE(""1y0FWgjbB0gVlqn-q5LMJbGIsqOrzru4yowQz67dz2yc"", ""'GPE'!D3:D139""),0))"),96)</f>
        <v>96</v>
      </c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416</v>
      </c>
      <c r="Q15" s="12">
        <v>883</v>
      </c>
      <c r="R15" s="4"/>
      <c r="S15" s="4"/>
      <c r="T15" s="4"/>
      <c r="U15" s="4"/>
      <c r="V15" s="4"/>
      <c r="W15" s="4"/>
      <c r="X15" s="12">
        <v>642</v>
      </c>
      <c r="Y15" s="12">
        <f ca="1">IFERROR(__xludf.DUMMYFUNCTION("INDEX(IMPORTRANGE(""1y0FWgjbB0gVlqn-q5LMJbGIsqOrzru4yowQz67dz2yc"", ""'GPE'!BH3:BH139""),MATCH(D15,IMPORTRANGE(""1y0FWgjbB0gVlqn-q5LMJbGIsqOrzru4yowQz67dz2yc"", ""'GPE'!D3:D139""),0))"),1110)</f>
        <v>1110</v>
      </c>
      <c r="Z15" s="12">
        <f ca="1">IFERROR(__xludf.DUMMYFUNCTION("INDEX(IMPORTRANGE(""1y0FWgjbB0gVlqn-q5LMJbGIsqOrzru4yowQz67dz2yc"", ""'GPE'!BI3:BI139""),MATCH(D15,IMPORTRANGE(""1y0FWgjbB0gVlqn-q5LMJbGIsqOrzru4yowQz67dz2yc"", ""'GPE'!D3:D139""),0))"),385)</f>
        <v>385</v>
      </c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226</v>
      </c>
      <c r="Q16" s="12">
        <v>471</v>
      </c>
      <c r="R16" s="4"/>
      <c r="S16" s="4"/>
      <c r="T16" s="4"/>
      <c r="U16" s="4"/>
      <c r="V16" s="4"/>
      <c r="W16" s="4"/>
      <c r="X16" s="12">
        <v>189</v>
      </c>
      <c r="Y16" s="12">
        <f ca="1">IFERROR(__xludf.DUMMYFUNCTION("INDEX(IMPORTRANGE(""1y0FWgjbB0gVlqn-q5LMJbGIsqOrzru4yowQz67dz2yc"", ""'GPE'!BH3:BH139""),MATCH(D16,IMPORTRANGE(""1y0FWgjbB0gVlqn-q5LMJbGIsqOrzru4yowQz67dz2yc"", ""'GPE'!D3:D139""),0))"),359)</f>
        <v>359</v>
      </c>
      <c r="Z16" s="12">
        <f ca="1">IFERROR(__xludf.DUMMYFUNCTION("INDEX(IMPORTRANGE(""1y0FWgjbB0gVlqn-q5LMJbGIsqOrzru4yowQz67dz2yc"", ""'GPE'!BI3:BI139""),MATCH(D16,IMPORTRANGE(""1y0FWgjbB0gVlqn-q5LMJbGIsqOrzru4yowQz67dz2yc"", ""'GPE'!D3:D139""),0))"),123)</f>
        <v>123</v>
      </c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108</v>
      </c>
      <c r="Q17" s="12">
        <v>216</v>
      </c>
      <c r="R17" s="4"/>
      <c r="S17" s="4"/>
      <c r="T17" s="4"/>
      <c r="U17" s="4"/>
      <c r="V17" s="4"/>
      <c r="W17" s="4"/>
      <c r="X17" s="12">
        <v>75</v>
      </c>
      <c r="Y17" s="12">
        <f ca="1">IFERROR(__xludf.DUMMYFUNCTION("INDEX(IMPORTRANGE(""1y0FWgjbB0gVlqn-q5LMJbGIsqOrzru4yowQz67dz2yc"", ""'GPE'!BH3:BH139""),MATCH(D17,IMPORTRANGE(""1y0FWgjbB0gVlqn-q5LMJbGIsqOrzru4yowQz67dz2yc"", ""'GPE'!D3:D139""),0))"),129)</f>
        <v>129</v>
      </c>
      <c r="Z17" s="12">
        <f ca="1">IFERROR(__xludf.DUMMYFUNCTION("INDEX(IMPORTRANGE(""1y0FWgjbB0gVlqn-q5LMJbGIsqOrzru4yowQz67dz2yc"", ""'GPE'!BI3:BI139""),MATCH(D17,IMPORTRANGE(""1y0FWgjbB0gVlqn-q5LMJbGIsqOrzru4yowQz67dz2yc"", ""'GPE'!D3:D139""),0))"),49)</f>
        <v>49</v>
      </c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134.74187984490706</v>
      </c>
      <c r="Q18" s="23">
        <f t="shared" si="4"/>
        <v>282.90203818059325</v>
      </c>
      <c r="R18" s="24">
        <f>(1-0.1%)*Q18</f>
        <v>282.61913614241269</v>
      </c>
      <c r="S18" s="24">
        <f>(1-0.25%)*P18</f>
        <v>134.40502514529479</v>
      </c>
      <c r="T18" s="24">
        <f>(1-0.4%)*Q18</f>
        <v>281.77043002787087</v>
      </c>
      <c r="U18" s="24">
        <f>(1-0.6%)*P18</f>
        <v>133.93342856583763</v>
      </c>
      <c r="V18" s="24">
        <f t="shared" ref="V18:W18" si="5">(1-1%)*Q18</f>
        <v>280.0730177987873</v>
      </c>
      <c r="W18" s="24">
        <f t="shared" si="5"/>
        <v>279.79294478098853</v>
      </c>
      <c r="X18" s="23">
        <f>(SUM(X14:X17)/X2)*100000</f>
        <v>151.36205053995502</v>
      </c>
      <c r="Y18" s="23">
        <f ca="1">IFERROR(__xludf.DUMMYFUNCTION("INDEX(IMPORTRANGE(""1y0FWgjbB0gVlqn-q5LMJbGIsqOrzru4yowQz67dz2yc"", ""'GPE'!BH3:BH139""),MATCH(D18,IMPORTRANGE(""1y0FWgjbB0gVlqn-q5LMJbGIsqOrzru4yowQz67dz2yc"", ""'GPE'!D3:D139""),0))"),266.408297745232)</f>
        <v>266.40829774523201</v>
      </c>
      <c r="Z18" s="23">
        <f ca="1">IFERROR(__xludf.DUMMYFUNCTION("INDEX(IMPORTRANGE(""1y0FWgjbB0gVlqn-q5LMJbGIsqOrzru4yowQz67dz2yc"", ""'GPE'!BI3:BI139""),MATCH(D18,IMPORTRANGE(""1y0FWgjbB0gVlqn-q5LMJbGIsqOrzru4yowQz67dz2yc"", ""'GPE'!D3:D139""),0))"),89.6311944008641)</f>
        <v>89.631194400864103</v>
      </c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1839</v>
      </c>
      <c r="Q19" s="12">
        <v>3825</v>
      </c>
      <c r="R19" s="4"/>
      <c r="S19" s="4"/>
      <c r="T19" s="4"/>
      <c r="U19" s="4"/>
      <c r="V19" s="4"/>
      <c r="W19" s="4"/>
      <c r="X19" s="12">
        <v>1720</v>
      </c>
      <c r="Y19" s="12">
        <f ca="1">IFERROR(__xludf.DUMMYFUNCTION("INDEX(IMPORTRANGE(""1y0FWgjbB0gVlqn-q5LMJbGIsqOrzru4yowQz67dz2yc"", ""'GPE'!BH3:BH139""),MATCH(D19,IMPORTRANGE(""1y0FWgjbB0gVlqn-q5LMJbGIsqOrzru4yowQz67dz2yc"", ""'GPE'!D3:D139""),0))"),3807)</f>
        <v>3807</v>
      </c>
      <c r="Z19" s="12">
        <f ca="1">IFERROR(__xludf.DUMMYFUNCTION("INDEX(IMPORTRANGE(""1y0FWgjbB0gVlqn-q5LMJbGIsqOrzru4yowQz67dz2yc"", ""'GPE'!BI3:BI139""),MATCH(D19,IMPORTRANGE(""1y0FWgjbB0gVlqn-q5LMJbGIsqOrzru4yowQz67dz2yc"", ""'GPE'!D3:D139""),0))"),1454)</f>
        <v>1454</v>
      </c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(P19/P$2)*100000</f>
        <v>257.04389733898768</v>
      </c>
      <c r="Q20" s="23">
        <f t="shared" si="6"/>
        <v>534.63453361698089</v>
      </c>
      <c r="R20" s="24">
        <f>(1-0.1%)*Q20</f>
        <v>534.09989908336388</v>
      </c>
      <c r="S20" s="24">
        <f>(1-0.25%)*P20</f>
        <v>256.40128759564021</v>
      </c>
      <c r="T20" s="24">
        <f>(1-0.4%)*Q20</f>
        <v>532.49599548251297</v>
      </c>
      <c r="U20" s="24">
        <f>(1-0.6%)*P20</f>
        <v>255.50163395495375</v>
      </c>
      <c r="V20" s="24">
        <f t="shared" ref="V20:W20" si="7">(1-1%)*Q20</f>
        <v>529.28818828081103</v>
      </c>
      <c r="W20" s="24">
        <f t="shared" si="7"/>
        <v>528.75890009253021</v>
      </c>
      <c r="X20" s="23">
        <f>(X19/X$2)*100000</f>
        <v>238.40909059406835</v>
      </c>
      <c r="Y20" s="23">
        <f ca="1">IFERROR(__xludf.DUMMYFUNCTION("INDEX(IMPORTRANGE(""1y0FWgjbB0gVlqn-q5LMJbGIsqOrzru4yowQz67dz2yc"", ""'GPE'!BH3:BH139""),MATCH(D20,IMPORTRANGE(""1y0FWgjbB0gVlqn-q5LMJbGIsqOrzru4yowQz67dz2yc"", ""'GPE'!D3:D139""),0))"),527.688027843964)</f>
        <v>527.68802784396405</v>
      </c>
      <c r="Z20" s="23">
        <f ca="1">IFERROR(__xludf.DUMMYFUNCTION("INDEX(IMPORTRANGE(""1y0FWgjbB0gVlqn-q5LMJbGIsqOrzru4yowQz67dz2yc"", ""'GPE'!BI3:BI139""),MATCH(D20,IMPORTRANGE(""1y0FWgjbB0gVlqn-q5LMJbGIsqOrzru4yowQz67dz2yc"", ""'GPE'!D3:D139""),0))"),199.576962724129)</f>
        <v>199.576962724129</v>
      </c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326</v>
      </c>
      <c r="Q21" s="12">
        <v>664</v>
      </c>
      <c r="R21" s="4"/>
      <c r="S21" s="4"/>
      <c r="T21" s="4"/>
      <c r="U21" s="4"/>
      <c r="V21" s="4"/>
      <c r="W21" s="4"/>
      <c r="X21" s="12">
        <v>260</v>
      </c>
      <c r="Y21" s="12">
        <f ca="1">IFERROR(__xludf.DUMMYFUNCTION("INDEX(IMPORTRANGE(""1y0FWgjbB0gVlqn-q5LMJbGIsqOrzru4yowQz67dz2yc"", ""'GPE'!BH3:BH139""),MATCH(D21,IMPORTRANGE(""1y0FWgjbB0gVlqn-q5LMJbGIsqOrzru4yowQz67dz2yc"", ""'GPE'!D3:D139""),0))"),651)</f>
        <v>651</v>
      </c>
      <c r="Z21" s="12">
        <f ca="1">IFERROR(__xludf.DUMMYFUNCTION("INDEX(IMPORTRANGE(""1y0FWgjbB0gVlqn-q5LMJbGIsqOrzru4yowQz67dz2yc"", ""'GPE'!BI3:BI139""),MATCH(D21,IMPORTRANGE(""1y0FWgjbB0gVlqn-q5LMJbGIsqOrzru4yowQz67dz2yc"", ""'GPE'!D3:D139""),0))"),225)</f>
        <v>225</v>
      </c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8">(P21/P$2)*100000</f>
        <v>45.566237374937451</v>
      </c>
      <c r="Q22" s="23">
        <f t="shared" si="8"/>
        <v>92.809759561222293</v>
      </c>
      <c r="R22" s="24">
        <f>(1-0.1%)*Q22</f>
        <v>92.716949801661073</v>
      </c>
      <c r="S22" s="24">
        <f>(1-0.25%)*P22</f>
        <v>45.45232178150011</v>
      </c>
      <c r="T22" s="24">
        <f>(1-0.4%)*Q22</f>
        <v>92.438520522977399</v>
      </c>
      <c r="U22" s="24">
        <f>(1-0.6%)*P22</f>
        <v>45.292839950687828</v>
      </c>
      <c r="V22" s="24">
        <f t="shared" ref="V22:W22" si="9">(1-1%)*Q22</f>
        <v>91.881661965610064</v>
      </c>
      <c r="W22" s="24">
        <f t="shared" si="9"/>
        <v>91.789780303644463</v>
      </c>
      <c r="X22" s="23">
        <f>(X21/X$2)*100000</f>
        <v>36.038583461894049</v>
      </c>
      <c r="Y22" s="23">
        <f ca="1">IFERROR(__xludf.DUMMYFUNCTION("INDEX(IMPORTRANGE(""1y0FWgjbB0gVlqn-q5LMJbGIsqOrzru4yowQz67dz2yc"", ""'GPE'!BH3:BH139""),MATCH(D22,IMPORTRANGE(""1y0FWgjbB0gVlqn-q5LMJbGIsqOrzru4yowQz67dz2yc"", ""'GPE'!D3:D139""),0))"),90.235068591127)</f>
        <v>90.235068591127003</v>
      </c>
      <c r="Z22" s="23">
        <f ca="1">IFERROR(__xludf.DUMMYFUNCTION("INDEX(IMPORTRANGE(""1y0FWgjbB0gVlqn-q5LMJbGIsqOrzru4yowQz67dz2yc"", ""'GPE'!BI3:BI139""),MATCH(D22,IMPORTRANGE(""1y0FWgjbB0gVlqn-q5LMJbGIsqOrzru4yowQz67dz2yc"", ""'GPE'!D3:D139""),0))"),30.883642787434)</f>
        <v>30.883642787433999</v>
      </c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">
        <v>12</v>
      </c>
      <c r="Q23" s="2">
        <v>41</v>
      </c>
      <c r="R23" s="4"/>
      <c r="S23" s="4"/>
      <c r="T23" s="4"/>
      <c r="U23" s="4"/>
      <c r="V23" s="4"/>
      <c r="W23" s="4"/>
      <c r="X23" s="2">
        <v>22</v>
      </c>
      <c r="Y23" s="2">
        <f ca="1">IFERROR(__xludf.DUMMYFUNCTION("INDEX(IMPORTRANGE(""1y0FWgjbB0gVlqn-q5LMJbGIsqOrzru4yowQz67dz2yc"", ""'GPE'!BH3:BH139""),MATCH(D23,IMPORTRANGE(""1y0FWgjbB0gVlqn-q5LMJbGIsqOrzru4yowQz67dz2yc"", ""'GPE'!D3:D139""),0))"),41)</f>
        <v>41</v>
      </c>
      <c r="Z23" s="2">
        <f ca="1">IFERROR(__xludf.DUMMYFUNCTION("INDEX(IMPORTRANGE(""1y0FWgjbB0gVlqn-q5LMJbGIsqOrzru4yowQz67dz2yc"", ""'GPE'!BI3:BI139""),MATCH(D23,IMPORTRANGE(""1y0FWgjbB0gVlqn-q5LMJbGIsqOrzru4yowQz67dz2yc"", ""'GPE'!D3:D139""),0))"),23)</f>
        <v>23</v>
      </c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">
        <v>12</v>
      </c>
      <c r="Q24" s="2">
        <v>36</v>
      </c>
      <c r="R24" s="4"/>
      <c r="S24" s="4"/>
      <c r="T24" s="4"/>
      <c r="U24" s="4"/>
      <c r="V24" s="4"/>
      <c r="W24" s="4"/>
      <c r="X24" s="2">
        <v>24</v>
      </c>
      <c r="Y24" s="2">
        <f ca="1">IFERROR(__xludf.DUMMYFUNCTION("INDEX(IMPORTRANGE(""1y0FWgjbB0gVlqn-q5LMJbGIsqOrzru4yowQz67dz2yc"", ""'GPE'!BH3:BH139""),MATCH(D24,IMPORTRANGE(""1y0FWgjbB0gVlqn-q5LMJbGIsqOrzru4yowQz67dz2yc"", ""'GPE'!D3:D139""),0))"),54)</f>
        <v>54</v>
      </c>
      <c r="Z24" s="2">
        <f ca="1">IFERROR(__xludf.DUMMYFUNCTION("INDEX(IMPORTRANGE(""1y0FWgjbB0gVlqn-q5LMJbGIsqOrzru4yowQz67dz2yc"", ""'GPE'!BI3:BI139""),MATCH(D24,IMPORTRANGE(""1y0FWgjbB0gVlqn-q5LMJbGIsqOrzru4yowQz67dz2yc"", ""'GPE'!D3:D139""),0))"),27)</f>
        <v>27</v>
      </c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">
        <v>3</v>
      </c>
      <c r="Q25" s="2">
        <v>8</v>
      </c>
      <c r="R25" s="4"/>
      <c r="S25" s="4"/>
      <c r="T25" s="4"/>
      <c r="U25" s="4"/>
      <c r="V25" s="4"/>
      <c r="W25" s="4"/>
      <c r="X25" s="2">
        <v>4</v>
      </c>
      <c r="Y25" s="2">
        <f ca="1">IFERROR(__xludf.DUMMYFUNCTION("INDEX(IMPORTRANGE(""1y0FWgjbB0gVlqn-q5LMJbGIsqOrzru4yowQz67dz2yc"", ""'GPE'!BH3:BH139""),MATCH(D25,IMPORTRANGE(""1y0FWgjbB0gVlqn-q5LMJbGIsqOrzru4yowQz67dz2yc"", ""'GPE'!D3:D139""),0))"),11)</f>
        <v>11</v>
      </c>
      <c r="Z25" s="2">
        <f ca="1">IFERROR(__xludf.DUMMYFUNCTION("INDEX(IMPORTRANGE(""1y0FWgjbB0gVlqn-q5LMJbGIsqOrzru4yowQz67dz2yc"", ""'GPE'!BI3:BI139""),MATCH(D25,IMPORTRANGE(""1y0FWgjbB0gVlqn-q5LMJbGIsqOrzru4yowQz67dz2yc"", ""'GPE'!D3:D139""),0))"),5)</f>
        <v>5</v>
      </c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101</v>
      </c>
      <c r="E26" s="7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">
        <v>1</v>
      </c>
      <c r="Q26" s="2">
        <v>2</v>
      </c>
      <c r="R26" s="4"/>
      <c r="S26" s="4"/>
      <c r="T26" s="4"/>
      <c r="U26" s="4"/>
      <c r="V26" s="4"/>
      <c r="W26" s="4"/>
      <c r="X26" s="2">
        <v>0</v>
      </c>
      <c r="Y26" s="2">
        <f ca="1">IFERROR(__xludf.DUMMYFUNCTION("INDEX(IMPORTRANGE(""1y0FWgjbB0gVlqn-q5LMJbGIsqOrzru4yowQz67dz2yc"", ""'GPE'!BH3:BH139""),MATCH(D26,IMPORTRANGE(""1y0FWgjbB0gVlqn-q5LMJbGIsqOrzru4yowQz67dz2yc"", ""'GPE'!D3:D139""),0))"),0)</f>
        <v>0</v>
      </c>
      <c r="Z26" s="2">
        <f ca="1">IFERROR(__xludf.DUMMYFUNCTION("INDEX(IMPORTRANGE(""1y0FWgjbB0gVlqn-q5LMJbGIsqOrzru4yowQz67dz2yc"", ""'GPE'!BI3:BI139""),MATCH(D26,IMPORTRANGE(""1y0FWgjbB0gVlqn-q5LMJbGIsqOrzru4yowQz67dz2yc"", ""'GPE'!D3:D139""),0))"),0)</f>
        <v>0</v>
      </c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103</v>
      </c>
      <c r="E27" s="7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5</v>
      </c>
      <c r="Q27" s="12">
        <v>5</v>
      </c>
      <c r="R27" s="4"/>
      <c r="S27" s="4"/>
      <c r="T27" s="4"/>
      <c r="U27" s="4"/>
      <c r="V27" s="4"/>
      <c r="W27" s="4"/>
      <c r="X27" s="12">
        <v>0</v>
      </c>
      <c r="Y27" s="12">
        <f ca="1">IFERROR(__xludf.DUMMYFUNCTION("INDEX(IMPORTRANGE(""1y0FWgjbB0gVlqn-q5LMJbGIsqOrzru4yowQz67dz2yc"", ""'GPE'!BH3:BH139""),MATCH(D27,IMPORTRANGE(""1y0FWgjbB0gVlqn-q5LMJbGIsqOrzru4yowQz67dz2yc"", ""'GPE'!D3:D139""),0))"),1)</f>
        <v>1</v>
      </c>
      <c r="Z27" s="12">
        <f ca="1">IFERROR(__xludf.DUMMYFUNCTION("INDEX(IMPORTRANGE(""1y0FWgjbB0gVlqn-q5LMJbGIsqOrzru4yowQz67dz2yc"", ""'GPE'!BI3:BI139""),MATCH(D27,IMPORTRANGE(""1y0FWgjbB0gVlqn-q5LMJbGIsqOrzru4yowQz67dz2yc"", ""'GPE'!D3:D139""),0))"),2)</f>
        <v>2</v>
      </c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105</v>
      </c>
      <c r="E28" s="7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4"/>
      <c r="S28" s="4"/>
      <c r="T28" s="4"/>
      <c r="U28" s="4"/>
      <c r="V28" s="4"/>
      <c r="W28" s="4"/>
      <c r="X28" s="12">
        <v>0</v>
      </c>
      <c r="Y28" s="12">
        <f ca="1">IFERROR(__xludf.DUMMYFUNCTION("INDEX(IMPORTRANGE(""1y0FWgjbB0gVlqn-q5LMJbGIsqOrzru4yowQz67dz2yc"", ""'GPE'!BH3:BH139""),MATCH(D28,IMPORTRANGE(""1y0FWgjbB0gVlqn-q5LMJbGIsqOrzru4yowQz67dz2yc"", ""'GPE'!D3:D139""),0))"),0)</f>
        <v>0</v>
      </c>
      <c r="Z28" s="12">
        <f ca="1">IFERROR(__xludf.DUMMYFUNCTION("INDEX(IMPORTRANGE(""1y0FWgjbB0gVlqn-q5LMJbGIsqOrzru4yowQz67dz2yc"", ""'GPE'!BI3:BI139""),MATCH(D28,IMPORTRANGE(""1y0FWgjbB0gVlqn-q5LMJbGIsqOrzru4yowQz67dz2yc"", ""'GPE'!D3:D139""),0))"),0)</f>
        <v>0</v>
      </c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9</v>
      </c>
      <c r="Q29" s="12">
        <v>21</v>
      </c>
      <c r="R29" s="4"/>
      <c r="S29" s="4"/>
      <c r="T29" s="4"/>
      <c r="U29" s="4"/>
      <c r="V29" s="4"/>
      <c r="W29" s="4"/>
      <c r="X29" s="12">
        <v>19</v>
      </c>
      <c r="Y29" s="12">
        <f ca="1">IFERROR(__xludf.DUMMYFUNCTION("INDEX(IMPORTRANGE(""1y0FWgjbB0gVlqn-q5LMJbGIsqOrzru4yowQz67dz2yc"", ""'GPE'!BH3:BH139""),MATCH(D29,IMPORTRANGE(""1y0FWgjbB0gVlqn-q5LMJbGIsqOrzru4yowQz67dz2yc"", ""'GPE'!D3:D139""),0))"),28)</f>
        <v>28</v>
      </c>
      <c r="Z29" s="12">
        <f ca="1">IFERROR(__xludf.DUMMYFUNCTION("INDEX(IMPORTRANGE(""1y0FWgjbB0gVlqn-q5LMJbGIsqOrzru4yowQz67dz2yc"", ""'GPE'!BI3:BI139""),MATCH(D29,IMPORTRANGE(""1y0FWgjbB0gVlqn-q5LMJbGIsqOrzru4yowQz67dz2yc"", ""'GPE'!D3:D139""),0))"),8)</f>
        <v>8</v>
      </c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4</v>
      </c>
      <c r="Q30" s="12">
        <v>6</v>
      </c>
      <c r="R30" s="4"/>
      <c r="S30" s="4"/>
      <c r="T30" s="4"/>
      <c r="U30" s="4"/>
      <c r="V30" s="4"/>
      <c r="W30" s="4"/>
      <c r="X30" s="12">
        <v>5</v>
      </c>
      <c r="Y30" s="12">
        <f ca="1">IFERROR(__xludf.DUMMYFUNCTION("INDEX(IMPORTRANGE(""1y0FWgjbB0gVlqn-q5LMJbGIsqOrzru4yowQz67dz2yc"", ""'GPE'!BH3:BH139""),MATCH(D30,IMPORTRANGE(""1y0FWgjbB0gVlqn-q5LMJbGIsqOrzru4yowQz67dz2yc"", ""'GPE'!D3:D139""),0))"),7)</f>
        <v>7</v>
      </c>
      <c r="Z30" s="12">
        <f ca="1">IFERROR(__xludf.DUMMYFUNCTION("INDEX(IMPORTRANGE(""1y0FWgjbB0gVlqn-q5LMJbGIsqOrzru4yowQz67dz2yc"", ""'GPE'!BI3:BI139""),MATCH(D30,IMPORTRANGE(""1y0FWgjbB0gVlqn-q5LMJbGIsqOrzru4yowQz67dz2yc"", ""'GPE'!D3:D139""),0))"),1)</f>
        <v>1</v>
      </c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4"/>
      <c r="S31" s="4"/>
      <c r="T31" s="4"/>
      <c r="U31" s="4"/>
      <c r="V31" s="4"/>
      <c r="W31" s="4"/>
      <c r="X31" s="12">
        <v>0</v>
      </c>
      <c r="Y31" s="12">
        <f ca="1">IFERROR(__xludf.DUMMYFUNCTION("INDEX(IMPORTRANGE(""1y0FWgjbB0gVlqn-q5LMJbGIsqOrzru4yowQz67dz2yc"", ""'GPE'!BH3:BH139""),MATCH(D31,IMPORTRANGE(""1y0FWgjbB0gVlqn-q5LMJbGIsqOrzru4yowQz67dz2yc"", ""'GPE'!D3:D139""),0))"),0)</f>
        <v>0</v>
      </c>
      <c r="Z31" s="12">
        <f ca="1">IFERROR(__xludf.DUMMYFUNCTION("INDEX(IMPORTRANGE(""1y0FWgjbB0gVlqn-q5LMJbGIsqOrzru4yowQz67dz2yc"", ""'GPE'!BI3:BI139""),MATCH(D31,IMPORTRANGE(""1y0FWgjbB0gVlqn-q5LMJbGIsqOrzru4yowQz67dz2yc"", ""'GPE'!D3:D139""),0))"),0)</f>
        <v>0</v>
      </c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4"/>
      <c r="S32" s="4"/>
      <c r="T32" s="4"/>
      <c r="U32" s="4"/>
      <c r="V32" s="4"/>
      <c r="W32" s="4"/>
      <c r="X32" s="12">
        <v>0</v>
      </c>
      <c r="Y32" s="12">
        <f ca="1">IFERROR(__xludf.DUMMYFUNCTION("INDEX(IMPORTRANGE(""1y0FWgjbB0gVlqn-q5LMJbGIsqOrzru4yowQz67dz2yc"", ""'GPE'!BH3:BH139""),MATCH(D32,IMPORTRANGE(""1y0FWgjbB0gVlqn-q5LMJbGIsqOrzru4yowQz67dz2yc"", ""'GPE'!D3:D139""),0))"),1)</f>
        <v>1</v>
      </c>
      <c r="Z32" s="12">
        <f ca="1">IFERROR(__xludf.DUMMYFUNCTION("INDEX(IMPORTRANGE(""1y0FWgjbB0gVlqn-q5LMJbGIsqOrzru4yowQz67dz2yc"", ""'GPE'!BI3:BI139""),MATCH(D32,IMPORTRANGE(""1y0FWgjbB0gVlqn-q5LMJbGIsqOrzru4yowQz67dz2yc"", ""'GPE'!D3:D139""),0))"),0)</f>
        <v>0</v>
      </c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2</v>
      </c>
      <c r="R33" s="4"/>
      <c r="S33" s="4"/>
      <c r="T33" s="4"/>
      <c r="U33" s="4"/>
      <c r="V33" s="4"/>
      <c r="W33" s="4"/>
      <c r="X33" s="12">
        <v>3</v>
      </c>
      <c r="Y33" s="12">
        <f ca="1">IFERROR(__xludf.DUMMYFUNCTION("INDEX(IMPORTRANGE(""1y0FWgjbB0gVlqn-q5LMJbGIsqOrzru4yowQz67dz2yc"", ""'GPE'!BH3:BH139""),MATCH(D33,IMPORTRANGE(""1y0FWgjbB0gVlqn-q5LMJbGIsqOrzru4yowQz67dz2yc"", ""'GPE'!D3:D139""),0))"),5)</f>
        <v>5</v>
      </c>
      <c r="Z33" s="12">
        <f ca="1">IFERROR(__xludf.DUMMYFUNCTION("INDEX(IMPORTRANGE(""1y0FWgjbB0gVlqn-q5LMJbGIsqOrzru4yowQz67dz2yc"", ""'GPE'!BI3:BI139""),MATCH(D33,IMPORTRANGE(""1y0FWgjbB0gVlqn-q5LMJbGIsqOrzru4yowQz67dz2yc"", ""'GPE'!D3:D139""),0))"),1)</f>
        <v>1</v>
      </c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10">(SUM(P23:P33)/P$2)*100000</f>
        <v>6.4295917768316642</v>
      </c>
      <c r="Q34" s="23">
        <f t="shared" si="10"/>
        <v>16.912621847752856</v>
      </c>
      <c r="R34" s="24">
        <f>(1-0.1%)*Q34</f>
        <v>16.895709225905104</v>
      </c>
      <c r="S34" s="24">
        <f>(1-0.25%)*P34</f>
        <v>6.4135177973895852</v>
      </c>
      <c r="T34" s="24">
        <f>(1-0.4%)*Q34</f>
        <v>16.844971360361846</v>
      </c>
      <c r="U34" s="24">
        <f>(1-0.6%)*P34</f>
        <v>6.3910142261706744</v>
      </c>
      <c r="V34" s="24">
        <f t="shared" ref="V34:W34" si="11">(1-1%)*Q34</f>
        <v>16.743495629275326</v>
      </c>
      <c r="W34" s="24">
        <f t="shared" si="11"/>
        <v>16.726752133646052</v>
      </c>
      <c r="X34" s="23">
        <f>(SUM(X23:X33)/X$2)*100000</f>
        <v>10.672965102176315</v>
      </c>
      <c r="Y34" s="23">
        <f ca="1">IFERROR(__xludf.DUMMYFUNCTION("INDEX(IMPORTRANGE(""1y0FWgjbB0gVlqn-q5LMJbGIsqOrzru4yowQz67dz2yc"", ""'GPE'!BH3:BH139""),MATCH(D34,IMPORTRANGE(""1y0FWgjbB0gVlqn-q5LMJbGIsqOrzru4yowQz67dz2yc"", ""'GPE'!D3:D139""),0))"),20.5142705860012)</f>
        <v>20.514270586001199</v>
      </c>
      <c r="Z34" s="23">
        <f ca="1">IFERROR(__xludf.DUMMYFUNCTION("INDEX(IMPORTRANGE(""1y0FWgjbB0gVlqn-q5LMJbGIsqOrzru4yowQz67dz2yc"", ""'GPE'!BI3:BI139""),MATCH(D34,IMPORTRANGE(""1y0FWgjbB0gVlqn-q5LMJbGIsqOrzru4yowQz67dz2yc"", ""'GPE'!D3:D139""),0))"),9.19646251892481)</f>
        <v>9.1964625189248093</v>
      </c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1">
        <v>44469</v>
      </c>
      <c r="H35" s="11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181232</v>
      </c>
      <c r="Q35" s="12">
        <v>181232</v>
      </c>
      <c r="R35" s="4"/>
      <c r="S35" s="4"/>
      <c r="T35" s="4"/>
      <c r="U35" s="4"/>
      <c r="V35" s="4"/>
      <c r="W35" s="4"/>
      <c r="X35" s="12">
        <v>181232</v>
      </c>
      <c r="Y35" s="12">
        <f ca="1">IFERROR(__xludf.DUMMYFUNCTION("INDEX(IMPORTRANGE(""1y0FWgjbB0gVlqn-q5LMJbGIsqOrzru4yowQz67dz2yc"", ""'GPE'!BH3:BH139""),MATCH(D35,IMPORTRANGE(""1y0FWgjbB0gVlqn-q5LMJbGIsqOrzru4yowQz67dz2yc"", ""'GPE'!D3:D139""),0))"),195169)</f>
        <v>195169</v>
      </c>
      <c r="Z35" s="12">
        <f ca="1">IFERROR(__xludf.DUMMYFUNCTION("INDEX(IMPORTRANGE(""1y0FWgjbB0gVlqn-q5LMJbGIsqOrzru4yowQz67dz2yc"", ""'GPE'!BI3:BI139""),MATCH(D35,IMPORTRANGE(""1y0FWgjbB0gVlqn-q5LMJbGIsqOrzru4yowQz67dz2yc"", ""'GPE'!D3:D139""),0))"),195169)</f>
        <v>195169</v>
      </c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7" t="s">
        <v>38</v>
      </c>
      <c r="F36" s="2" t="s">
        <v>124</v>
      </c>
      <c r="G36" s="11">
        <v>44469</v>
      </c>
      <c r="H36" s="11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991</v>
      </c>
      <c r="Q36" s="2">
        <v>991</v>
      </c>
      <c r="R36" s="2"/>
      <c r="S36" s="2"/>
      <c r="T36" s="2"/>
      <c r="U36" s="2"/>
      <c r="V36" s="2"/>
      <c r="W36" s="2"/>
      <c r="X36" s="2">
        <v>805</v>
      </c>
      <c r="Y36" s="2">
        <f ca="1">IFERROR(__xludf.DUMMYFUNCTION("INDEX(IMPORTRANGE(""1y0FWgjbB0gVlqn-q5LMJbGIsqOrzru4yowQz67dz2yc"", ""'GPE'!BH3:BH139""),MATCH(D36,IMPORTRANGE(""1y0FWgjbB0gVlqn-q5LMJbGIsqOrzru4yowQz67dz2yc"", ""'GPE'!D3:D139""),0))"),2050)</f>
        <v>2050</v>
      </c>
      <c r="Z36" s="2">
        <f ca="1">IFERROR(__xludf.DUMMYFUNCTION("INDEX(IMPORTRANGE(""1y0FWgjbB0gVlqn-q5LMJbGIsqOrzru4yowQz67dz2yc"", ""'GPE'!BI3:BI139""),MATCH(D36,IMPORTRANGE(""1y0FWgjbB0gVlqn-q5LMJbGIsqOrzru4yowQz67dz2yc"", ""'GPE'!D3:D139""),0))"),2355)</f>
        <v>2355</v>
      </c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7" t="s">
        <v>38</v>
      </c>
      <c r="F37" s="2" t="s">
        <v>126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9">
        <f t="shared" ref="P37:Q37" si="12">P36/P35</f>
        <v>5.4681292486978015E-3</v>
      </c>
      <c r="Q37" s="19">
        <f t="shared" si="12"/>
        <v>5.4681292486978015E-3</v>
      </c>
      <c r="R37" s="15">
        <v>2E-3</v>
      </c>
      <c r="S37" s="15">
        <v>6.0000000000000001E-3</v>
      </c>
      <c r="T37" s="15">
        <v>0.01</v>
      </c>
      <c r="U37" s="15">
        <v>1.4E-2</v>
      </c>
      <c r="V37" s="15">
        <v>0.02</v>
      </c>
      <c r="W37" s="15">
        <v>0.02</v>
      </c>
      <c r="X37" s="15">
        <f>X36/X35</f>
        <v>4.4418204290633005E-3</v>
      </c>
      <c r="Y37" s="15">
        <f ca="1">IFERROR(__xludf.DUMMYFUNCTION("INDEX(IMPORTRANGE(""1y0FWgjbB0gVlqn-q5LMJbGIsqOrzru4yowQz67dz2yc"", ""'GPE'!BH3:BH139""),MATCH(D37,IMPORTRANGE(""1y0FWgjbB0gVlqn-q5LMJbGIsqOrzru4yowQz67dz2yc"", ""'GPE'!D3:D139""),0))"),0.0105037172911681)</f>
        <v>1.0503717291168099E-2</v>
      </c>
      <c r="Z37" s="15">
        <f ca="1">IFERROR(__xludf.DUMMYFUNCTION("INDEX(IMPORTRANGE(""1y0FWgjbB0gVlqn-q5LMJbGIsqOrzru4yowQz67dz2yc"", ""'GPE'!BI3:BI139""),MATCH(D37,IMPORTRANGE(""1y0FWgjbB0gVlqn-q5LMJbGIsqOrzru4yowQz67dz2yc"", ""'GPE'!D3:D139""),0))"),0.0120664654735127)</f>
        <v>1.20664654735127E-2</v>
      </c>
      <c r="AA37" s="1"/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7" t="s">
        <v>330</v>
      </c>
      <c r="E38" s="7" t="s">
        <v>38</v>
      </c>
      <c r="F38" s="2" t="s">
        <v>176</v>
      </c>
      <c r="G38" s="2" t="s">
        <v>56</v>
      </c>
      <c r="H38" s="2" t="s">
        <v>57</v>
      </c>
      <c r="I38" s="9" t="s">
        <v>58</v>
      </c>
      <c r="J38" s="9" t="s">
        <v>59</v>
      </c>
      <c r="K38" s="9" t="s">
        <v>60</v>
      </c>
      <c r="L38" s="9" t="s">
        <v>61</v>
      </c>
      <c r="M38" s="9" t="s">
        <v>62</v>
      </c>
      <c r="N38" s="9" t="s">
        <v>63</v>
      </c>
      <c r="O38" s="9" t="s">
        <v>63</v>
      </c>
      <c r="P38" s="12"/>
      <c r="Q38" s="2"/>
      <c r="R38" s="2"/>
      <c r="S38" s="2"/>
      <c r="T38" s="2"/>
      <c r="U38" s="2"/>
      <c r="V38" s="2"/>
      <c r="W38" s="2"/>
      <c r="X38" s="2"/>
      <c r="Y38" s="2"/>
      <c r="Z38" s="2">
        <f ca="1">IFERROR(__xludf.DUMMYFUNCTION("INDEX(IMPORTRANGE(""1y0FWgjbB0gVlqn-q5LMJbGIsqOrzru4yowQz67dz2yc"", ""'GPE'!BI3:BI139""),MATCH(D38,IMPORTRANGE(""1y0FWgjbB0gVlqn-q5LMJbGIsqOrzru4yowQz67dz2yc"", ""'GPE'!D3:D139""),0))"),38.2)</f>
        <v>38.200000000000003</v>
      </c>
      <c r="AA38" s="1"/>
      <c r="AB38" s="1"/>
      <c r="AC38" s="1"/>
    </row>
    <row r="39" spans="1:29">
      <c r="A39" s="7" t="s">
        <v>119</v>
      </c>
      <c r="B39" s="7" t="s">
        <v>120</v>
      </c>
      <c r="C39" s="1" t="s">
        <v>30</v>
      </c>
      <c r="D39" s="7" t="s">
        <v>331</v>
      </c>
      <c r="E39" s="7" t="s">
        <v>38</v>
      </c>
      <c r="F39" s="2" t="s">
        <v>332</v>
      </c>
      <c r="G39" s="2" t="s">
        <v>56</v>
      </c>
      <c r="H39" s="2" t="s">
        <v>57</v>
      </c>
      <c r="I39" s="9" t="s">
        <v>58</v>
      </c>
      <c r="J39" s="9" t="s">
        <v>59</v>
      </c>
      <c r="K39" s="9" t="s">
        <v>60</v>
      </c>
      <c r="L39" s="9" t="s">
        <v>61</v>
      </c>
      <c r="M39" s="9" t="s">
        <v>62</v>
      </c>
      <c r="N39" s="9" t="s">
        <v>63</v>
      </c>
      <c r="O39" s="9" t="s">
        <v>63</v>
      </c>
      <c r="P39" s="12"/>
      <c r="Q39" s="2"/>
      <c r="R39" s="2"/>
      <c r="S39" s="2"/>
      <c r="T39" s="2"/>
      <c r="U39" s="2"/>
      <c r="V39" s="2"/>
      <c r="W39" s="2"/>
      <c r="X39" s="2"/>
      <c r="Y39" s="2"/>
      <c r="Z39" s="2">
        <f ca="1">IFERROR(__xludf.DUMMYFUNCTION("INDEX(IMPORTRANGE(""1y0FWgjbB0gVlqn-q5LMJbGIsqOrzru4yowQz67dz2yc"", ""'GPE'!BI3:BI139""),MATCH(D39,IMPORTRANGE(""1y0FWgjbB0gVlqn-q5LMJbGIsqOrzru4yowQz67dz2yc"", ""'GPE'!D3:D139""),0))"),6054.16)</f>
        <v>6054.16</v>
      </c>
      <c r="AA39" s="1"/>
      <c r="AB39" s="1"/>
      <c r="AC39" s="1"/>
    </row>
    <row r="40" spans="1:29">
      <c r="A40" s="7" t="s">
        <v>119</v>
      </c>
      <c r="B40" s="7" t="s">
        <v>120</v>
      </c>
      <c r="C40" s="1" t="s">
        <v>36</v>
      </c>
      <c r="D40" s="7" t="s">
        <v>333</v>
      </c>
      <c r="E40" s="7" t="s">
        <v>38</v>
      </c>
      <c r="F40" s="2" t="s">
        <v>334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2"/>
      <c r="S40" s="26">
        <v>5.4999999999999997E-3</v>
      </c>
      <c r="T40" s="26">
        <v>6.4999999999999997E-3</v>
      </c>
      <c r="U40" s="26">
        <v>7.4999999999999997E-3</v>
      </c>
      <c r="V40" s="26">
        <v>8.5000000000000006E-3</v>
      </c>
      <c r="W40" s="26">
        <v>8.5000000000000006E-3</v>
      </c>
      <c r="X40" s="2"/>
      <c r="Y40" s="2"/>
      <c r="Z40" s="15">
        <f ca="1">IFERROR(__xludf.DUMMYFUNCTION("INDEX(IMPORTRANGE(""1y0FWgjbB0gVlqn-q5LMJbGIsqOrzru4yowQz67dz2yc"", ""'GPE'!BI3:BI139""),MATCH(D40,IMPORTRANGE(""1y0FWgjbB0gVlqn-q5LMJbGIsqOrzru4yowQz67dz2yc"", ""'GPE'!D3:D139""),0))"),0.00630971100862877)</f>
        <v>6.3097110086287704E-3</v>
      </c>
      <c r="AA40" s="1"/>
      <c r="AB40" s="1"/>
      <c r="AC40" s="1"/>
    </row>
    <row r="41" spans="1:29">
      <c r="A41" s="7" t="s">
        <v>119</v>
      </c>
      <c r="B41" s="7" t="s">
        <v>127</v>
      </c>
      <c r="C41" s="1" t="s">
        <v>36</v>
      </c>
      <c r="D41" s="7" t="s">
        <v>128</v>
      </c>
      <c r="E41" s="7" t="s">
        <v>38</v>
      </c>
      <c r="F41" s="2" t="s">
        <v>129</v>
      </c>
      <c r="G41" s="2" t="s">
        <v>56</v>
      </c>
      <c r="H41" s="2" t="s">
        <v>57</v>
      </c>
      <c r="I41" s="2" t="s">
        <v>58</v>
      </c>
      <c r="J41" s="2" t="s">
        <v>59</v>
      </c>
      <c r="K41" s="2" t="s">
        <v>335</v>
      </c>
      <c r="L41" s="2" t="s">
        <v>336</v>
      </c>
      <c r="M41" s="2" t="s">
        <v>337</v>
      </c>
      <c r="N41" s="12" t="s">
        <v>132</v>
      </c>
      <c r="O41" s="12" t="s">
        <v>132</v>
      </c>
      <c r="P41" s="12">
        <v>0</v>
      </c>
      <c r="Q41" s="2">
        <v>0</v>
      </c>
      <c r="R41" s="2">
        <v>2</v>
      </c>
      <c r="S41" s="2">
        <v>3</v>
      </c>
      <c r="T41" s="2">
        <v>3</v>
      </c>
      <c r="U41" s="2">
        <v>3</v>
      </c>
      <c r="V41" s="2">
        <v>5</v>
      </c>
      <c r="W41" s="2">
        <v>5</v>
      </c>
      <c r="X41" s="2">
        <v>1</v>
      </c>
      <c r="Y41" s="2">
        <f ca="1">IFERROR(__xludf.DUMMYFUNCTION("INDEX(IMPORTRANGE(""1y0FWgjbB0gVlqn-q5LMJbGIsqOrzru4yowQz67dz2yc"", ""'GPE'!BH3:BH139""),MATCH(D41,IMPORTRANGE(""1y0FWgjbB0gVlqn-q5LMJbGIsqOrzru4yowQz67dz2yc"", ""'GPE'!D3:D139""),0))"),3)</f>
        <v>3</v>
      </c>
      <c r="Z41" s="2">
        <f ca="1">IFERROR(__xludf.DUMMYFUNCTION("INDEX(IMPORTRANGE(""1y0FWgjbB0gVlqn-q5LMJbGIsqOrzru4yowQz67dz2yc"", ""'GPE'!BI3:BI139""),MATCH(D41,IMPORTRANGE(""1y0FWgjbB0gVlqn-q5LMJbGIsqOrzru4yowQz67dz2yc"", ""'GPE'!D3:D139""),0))"),5)</f>
        <v>5</v>
      </c>
      <c r="AA41" s="1"/>
      <c r="AB41" s="1"/>
      <c r="AC41" s="1"/>
    </row>
    <row r="42" spans="1:29">
      <c r="A42" s="7" t="s">
        <v>119</v>
      </c>
      <c r="B42" s="7" t="s">
        <v>133</v>
      </c>
      <c r="C42" s="1" t="s">
        <v>36</v>
      </c>
      <c r="D42" s="7" t="s">
        <v>134</v>
      </c>
      <c r="E42" s="7" t="s">
        <v>38</v>
      </c>
      <c r="F42" s="2" t="s">
        <v>135</v>
      </c>
      <c r="G42" s="2" t="s">
        <v>56</v>
      </c>
      <c r="H42" s="2" t="s">
        <v>57</v>
      </c>
      <c r="I42" s="2" t="s">
        <v>58</v>
      </c>
      <c r="J42" s="2" t="s">
        <v>59</v>
      </c>
      <c r="K42" s="2" t="s">
        <v>335</v>
      </c>
      <c r="L42" s="2" t="s">
        <v>336</v>
      </c>
      <c r="M42" s="2" t="s">
        <v>337</v>
      </c>
      <c r="N42" s="12" t="s">
        <v>132</v>
      </c>
      <c r="O42" s="12" t="s">
        <v>132</v>
      </c>
      <c r="P42" s="12">
        <v>419</v>
      </c>
      <c r="Q42" s="2">
        <v>897</v>
      </c>
      <c r="R42" s="2">
        <v>1000</v>
      </c>
      <c r="S42" s="2">
        <v>1500</v>
      </c>
      <c r="T42" s="12">
        <v>2000</v>
      </c>
      <c r="U42" s="12">
        <v>2500</v>
      </c>
      <c r="V42" s="12">
        <v>3000</v>
      </c>
      <c r="W42" s="2">
        <v>3000</v>
      </c>
      <c r="X42" s="2">
        <v>1211</v>
      </c>
      <c r="Y42" s="12">
        <f ca="1">IFERROR(__xludf.DUMMYFUNCTION("INDEX(IMPORTRANGE(""1y0FWgjbB0gVlqn-q5LMJbGIsqOrzru4yowQz67dz2yc"", ""'GPE'!BH3:BH139""),MATCH(D42,IMPORTRANGE(""1y0FWgjbB0gVlqn-q5LMJbGIsqOrzru4yowQz67dz2yc"", ""'GPE'!D3:D139""),0))"),1696)</f>
        <v>1696</v>
      </c>
      <c r="Z42" s="2">
        <f ca="1">IFERROR(__xludf.DUMMYFUNCTION("INDEX(IMPORTRANGE(""1y0FWgjbB0gVlqn-q5LMJbGIsqOrzru4yowQz67dz2yc"", ""'GPE'!BI3:BI139""),MATCH(D42,IMPORTRANGE(""1y0FWgjbB0gVlqn-q5LMJbGIsqOrzru4yowQz67dz2yc"", ""'GPE'!D3:D139""),0))"),2619)</f>
        <v>2619</v>
      </c>
      <c r="AA42" s="1"/>
      <c r="AB42" s="1"/>
      <c r="AC42" s="1"/>
    </row>
    <row r="43" spans="1:29">
      <c r="A43" s="7" t="s">
        <v>119</v>
      </c>
      <c r="B43" s="7" t="s">
        <v>136</v>
      </c>
      <c r="C43" s="1" t="s">
        <v>30</v>
      </c>
      <c r="D43" s="7" t="s">
        <v>137</v>
      </c>
      <c r="E43" s="7" t="s">
        <v>38</v>
      </c>
      <c r="F43" s="2" t="s">
        <v>138</v>
      </c>
      <c r="G43" s="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1</v>
      </c>
      <c r="Q43" s="2">
        <v>1</v>
      </c>
      <c r="R43" s="2"/>
      <c r="S43" s="2"/>
      <c r="T43" s="2"/>
      <c r="U43" s="2"/>
      <c r="V43" s="2"/>
      <c r="W43" s="2"/>
      <c r="X43" s="2">
        <v>0</v>
      </c>
      <c r="Y43" s="2">
        <f ca="1">IFERROR(__xludf.DUMMYFUNCTION("INDEX(IMPORTRANGE(""1y0FWgjbB0gVlqn-q5LMJbGIsqOrzru4yowQz67dz2yc"", ""'GPE'!BH3:BH139""),MATCH(D43,IMPORTRANGE(""1y0FWgjbB0gVlqn-q5LMJbGIsqOrzru4yowQz67dz2yc"", ""'GPE'!D3:D139""),0))"),2)</f>
        <v>2</v>
      </c>
      <c r="Z43" s="2">
        <f ca="1">IFERROR(__xludf.DUMMYFUNCTION("INDEX(IMPORTRANGE(""1y0FWgjbB0gVlqn-q5LMJbGIsqOrzru4yowQz67dz2yc"", ""'GPE'!BI3:BI139""),MATCH(D43,IMPORTRANGE(""1y0FWgjbB0gVlqn-q5LMJbGIsqOrzru4yowQz67dz2yc"", ""'GPE'!D3:D139""),0))"),2)</f>
        <v>2</v>
      </c>
      <c r="AA43" s="1"/>
      <c r="AB43" s="1"/>
      <c r="AC43" s="1"/>
    </row>
    <row r="44" spans="1:29">
      <c r="A44" s="7" t="s">
        <v>119</v>
      </c>
      <c r="B44" s="7" t="s">
        <v>136</v>
      </c>
      <c r="C44" s="1" t="s">
        <v>30</v>
      </c>
      <c r="D44" s="7" t="s">
        <v>139</v>
      </c>
      <c r="E44" s="7" t="s">
        <v>38</v>
      </c>
      <c r="F44" s="2" t="s">
        <v>140</v>
      </c>
      <c r="G44" s="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/>
      <c r="Q44" s="2"/>
      <c r="R44" s="2"/>
      <c r="S44" s="2"/>
      <c r="T44" s="2"/>
      <c r="U44" s="2"/>
      <c r="V44" s="2"/>
      <c r="W44" s="2"/>
      <c r="X44" s="2"/>
      <c r="Y44" s="2">
        <f ca="1">IFERROR(__xludf.DUMMYFUNCTION("INDEX(IMPORTRANGE(""1y0FWgjbB0gVlqn-q5LMJbGIsqOrzru4yowQz67dz2yc"", ""'GPE'!BH3:BH139""),MATCH(D44,IMPORTRANGE(""1y0FWgjbB0gVlqn-q5LMJbGIsqOrzru4yowQz67dz2yc"", ""'GPE'!D3:D139""),0))"),0)</f>
        <v>0</v>
      </c>
      <c r="Z44" s="2">
        <f ca="1">IFERROR(__xludf.DUMMYFUNCTION("INDEX(IMPORTRANGE(""1y0FWgjbB0gVlqn-q5LMJbGIsqOrzru4yowQz67dz2yc"", ""'GPE'!BI3:BI139""),MATCH(D44,IMPORTRANGE(""1y0FWgjbB0gVlqn-q5LMJbGIsqOrzru4yowQz67dz2yc"", ""'GPE'!D3:D139""),0))"),0)</f>
        <v>0</v>
      </c>
      <c r="AA44" s="1"/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141</v>
      </c>
      <c r="E45" s="7" t="s">
        <v>38</v>
      </c>
      <c r="F45" s="2" t="s">
        <v>142</v>
      </c>
      <c r="G45" s="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0</v>
      </c>
      <c r="Q45" s="2">
        <v>7</v>
      </c>
      <c r="R45" s="2"/>
      <c r="S45" s="2"/>
      <c r="T45" s="2"/>
      <c r="U45" s="2"/>
      <c r="V45" s="2"/>
      <c r="W45" s="2"/>
      <c r="X45" s="2">
        <v>5</v>
      </c>
      <c r="Y45" s="2">
        <f ca="1">IFERROR(__xludf.DUMMYFUNCTION("INDEX(IMPORTRANGE(""1y0FWgjbB0gVlqn-q5LMJbGIsqOrzru4yowQz67dz2yc"", ""'GPE'!BH3:BH139""),MATCH(D45,IMPORTRANGE(""1y0FWgjbB0gVlqn-q5LMJbGIsqOrzru4yowQz67dz2yc"", ""'GPE'!D3:D139""),0))"),23)</f>
        <v>23</v>
      </c>
      <c r="Z45" s="2">
        <f ca="1">IFERROR(__xludf.DUMMYFUNCTION("INDEX(IMPORTRANGE(""1y0FWgjbB0gVlqn-q5LMJbGIsqOrzru4yowQz67dz2yc"", ""'GPE'!BI3:BI139""),MATCH(D45,IMPORTRANGE(""1y0FWgjbB0gVlqn-q5LMJbGIsqOrzru4yowQz67dz2yc"", ""'GPE'!D3:D139""),0))"),32)</f>
        <v>32</v>
      </c>
      <c r="AA45" s="1"/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143</v>
      </c>
      <c r="E46" s="7" t="s">
        <v>38</v>
      </c>
      <c r="F46" s="2" t="s">
        <v>144</v>
      </c>
      <c r="G46" s="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2">
        <f ca="1">IFERROR(__xludf.DUMMYFUNCTION("INDEX(IMPORTRANGE(""1y0FWgjbB0gVlqn-q5LMJbGIsqOrzru4yowQz67dz2yc"", ""'GPE'!BH3:BH139""),MATCH(D46,IMPORTRANGE(""1y0FWgjbB0gVlqn-q5LMJbGIsqOrzru4yowQz67dz2yc"", ""'GPE'!D3:D139""),0))"),0)</f>
        <v>0</v>
      </c>
      <c r="Z46" s="2">
        <f ca="1">IFERROR(__xludf.DUMMYFUNCTION("INDEX(IMPORTRANGE(""1y0FWgjbB0gVlqn-q5LMJbGIsqOrzru4yowQz67dz2yc"", ""'GPE'!BI3:BI139""),MATCH(D46,IMPORTRANGE(""1y0FWgjbB0gVlqn-q5LMJbGIsqOrzru4yowQz67dz2yc"", ""'GPE'!D3:D139""),0))"),1)</f>
        <v>1</v>
      </c>
      <c r="AA46" s="1"/>
      <c r="AB46" s="1"/>
      <c r="AC46" s="1"/>
    </row>
    <row r="47" spans="1:29">
      <c r="A47" s="7" t="s">
        <v>119</v>
      </c>
      <c r="B47" s="7" t="s">
        <v>136</v>
      </c>
      <c r="C47" s="1" t="s">
        <v>36</v>
      </c>
      <c r="D47" s="7" t="s">
        <v>145</v>
      </c>
      <c r="E47" s="7" t="s">
        <v>38</v>
      </c>
      <c r="F47" s="2" t="s">
        <v>146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f t="shared" ref="P47:Q47" si="13">SUM(P43:P45)</f>
        <v>1</v>
      </c>
      <c r="Q47" s="12">
        <f t="shared" si="13"/>
        <v>8</v>
      </c>
      <c r="R47" s="4">
        <v>8</v>
      </c>
      <c r="S47" s="4">
        <v>16</v>
      </c>
      <c r="T47" s="4">
        <f t="shared" ref="T47:V47" si="14">S47+8</f>
        <v>24</v>
      </c>
      <c r="U47" s="4">
        <f t="shared" si="14"/>
        <v>32</v>
      </c>
      <c r="V47" s="4">
        <f t="shared" si="14"/>
        <v>40</v>
      </c>
      <c r="W47" s="4">
        <v>40</v>
      </c>
      <c r="X47" s="12">
        <f>SUM(X43:X45)</f>
        <v>5</v>
      </c>
      <c r="Y47" s="12">
        <f ca="1">IFERROR(__xludf.DUMMYFUNCTION("INDEX(IMPORTRANGE(""1y0FWgjbB0gVlqn-q5LMJbGIsqOrzru4yowQz67dz2yc"", ""'GPE'!BH3:BH139""),MATCH(D47,IMPORTRANGE(""1y0FWgjbB0gVlqn-q5LMJbGIsqOrzru4yowQz67dz2yc"", ""'GPE'!D3:D139""),0))"),25)</f>
        <v>25</v>
      </c>
      <c r="Z47" s="12">
        <f ca="1">IFERROR(__xludf.DUMMYFUNCTION("INDEX(IMPORTRANGE(""1y0FWgjbB0gVlqn-q5LMJbGIsqOrzru4yowQz67dz2yc"", ""'GPE'!BI3:BI139""),MATCH(D47,IMPORTRANGE(""1y0FWgjbB0gVlqn-q5LMJbGIsqOrzru4yowQz67dz2yc"", ""'GPE'!D3:D139""),0))"),35)</f>
        <v>35</v>
      </c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30</v>
      </c>
      <c r="D48" s="7" t="s">
        <v>149</v>
      </c>
      <c r="E48" s="7" t="s">
        <v>38</v>
      </c>
      <c r="F48" s="2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153</v>
      </c>
      <c r="Q48" s="30" t="s">
        <v>153</v>
      </c>
      <c r="R48" s="2" t="s">
        <v>151</v>
      </c>
      <c r="S48" s="2" t="s">
        <v>151</v>
      </c>
      <c r="T48" s="2" t="s">
        <v>151</v>
      </c>
      <c r="U48" s="2" t="s">
        <v>151</v>
      </c>
      <c r="V48" s="2" t="s">
        <v>151</v>
      </c>
      <c r="W48" s="2" t="s">
        <v>151</v>
      </c>
      <c r="X48" s="2" t="s">
        <v>153</v>
      </c>
      <c r="Y48" s="2" t="str">
        <f ca="1">IFERROR(__xludf.DUMMYFUNCTION("INDEX(IMPORTRANGE(""1y0FWgjbB0gVlqn-q5LMJbGIsqOrzru4yowQz67dz2yc"", ""'GPE'!BH3:BH139""),MATCH(D48,IMPORTRANGE(""1y0FWgjbB0gVlqn-q5LMJbGIsqOrzru4yowQz67dz2yc"", ""'GPE'!D3:D139""),0))"),"Sí")</f>
        <v>Sí</v>
      </c>
      <c r="Z48" s="2" t="str">
        <f ca="1">IFERROR(__xludf.DUMMYFUNCTION("INDEX(IMPORTRANGE(""1y0FWgjbB0gVlqn-q5LMJbGIsqOrzru4yowQz67dz2yc"", ""'GPE'!BI3:BI139""),MATCH(D48,IMPORTRANGE(""1y0FWgjbB0gVlqn-q5LMJbGIsqOrzru4yowQz67dz2yc"", ""'GPE'!D3:D139""),0))"),"Sí")</f>
        <v>Sí</v>
      </c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30</v>
      </c>
      <c r="D49" s="7" t="s">
        <v>152</v>
      </c>
      <c r="E49" s="7" t="s">
        <v>38</v>
      </c>
      <c r="F49" s="2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153</v>
      </c>
      <c r="Q49" s="30" t="s">
        <v>153</v>
      </c>
      <c r="R49" s="2" t="s">
        <v>151</v>
      </c>
      <c r="S49" s="2" t="s">
        <v>151</v>
      </c>
      <c r="T49" s="2" t="s">
        <v>151</v>
      </c>
      <c r="U49" s="2" t="s">
        <v>151</v>
      </c>
      <c r="V49" s="2" t="s">
        <v>151</v>
      </c>
      <c r="W49" s="2" t="s">
        <v>151</v>
      </c>
      <c r="X49" s="2" t="s">
        <v>153</v>
      </c>
      <c r="Y49" s="2" t="str">
        <f ca="1">IFERROR(__xludf.DUMMYFUNCTION("INDEX(IMPORTRANGE(""1y0FWgjbB0gVlqn-q5LMJbGIsqOrzru4yowQz67dz2yc"", ""'GPE'!BH3:BH139""),MATCH(D49,IMPORTRANGE(""1y0FWgjbB0gVlqn-q5LMJbGIsqOrzru4yowQz67dz2yc"", ""'GPE'!D3:D139""),0))"),"Sí")</f>
        <v>Sí</v>
      </c>
      <c r="Z49" s="2" t="str">
        <f ca="1">IFERROR(__xludf.DUMMYFUNCTION("INDEX(IMPORTRANGE(""1y0FWgjbB0gVlqn-q5LMJbGIsqOrzru4yowQz67dz2yc"", ""'GPE'!BI3:BI139""),MATCH(D49,IMPORTRANGE(""1y0FWgjbB0gVlqn-q5LMJbGIsqOrzru4yowQz67dz2yc"", ""'GPE'!D3:D139""),0))"),"Sí")</f>
        <v>Sí</v>
      </c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154</v>
      </c>
      <c r="E50" s="7" t="s">
        <v>38</v>
      </c>
      <c r="F50" s="2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153</v>
      </c>
      <c r="Q50" s="30" t="s">
        <v>153</v>
      </c>
      <c r="R50" s="2" t="s">
        <v>155</v>
      </c>
      <c r="S50" s="2" t="s">
        <v>155</v>
      </c>
      <c r="T50" s="2" t="s">
        <v>155</v>
      </c>
      <c r="U50" s="2" t="s">
        <v>155</v>
      </c>
      <c r="V50" s="2" t="s">
        <v>155</v>
      </c>
      <c r="W50" s="2" t="s">
        <v>155</v>
      </c>
      <c r="X50" s="2" t="s">
        <v>153</v>
      </c>
      <c r="Y50" s="2" t="str">
        <f ca="1">IFERROR(__xludf.DUMMYFUNCTION("INDEX(IMPORTRANGE(""1y0FWgjbB0gVlqn-q5LMJbGIsqOrzru4yowQz67dz2yc"", ""'GPE'!BH3:BH139""),MATCH(D50,IMPORTRANGE(""1y0FWgjbB0gVlqn-q5LMJbGIsqOrzru4yowQz67dz2yc"", ""'GPE'!D3:D139""),0))"),"Sí")</f>
        <v>Sí</v>
      </c>
      <c r="Z50" s="2" t="str">
        <f ca="1">IFERROR(__xludf.DUMMYFUNCTION("INDEX(IMPORTRANGE(""1y0FWgjbB0gVlqn-q5LMJbGIsqOrzru4yowQz67dz2yc"", ""'GPE'!BI3:BI139""),MATCH(D50,IMPORTRANGE(""1y0FWgjbB0gVlqn-q5LMJbGIsqOrzru4yowQz67dz2yc"", ""'GPE'!D3:D139""),0))"),"Sí")</f>
        <v>Sí</v>
      </c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36</v>
      </c>
      <c r="D51" s="7" t="s">
        <v>156</v>
      </c>
      <c r="E51" s="7" t="s">
        <v>38</v>
      </c>
      <c r="F51" s="2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f t="shared" ref="P51:Q51" si="15">COUNTIF(P48:P50,"Sí")*(1/3)</f>
        <v>1</v>
      </c>
      <c r="Q51" s="12">
        <f t="shared" si="15"/>
        <v>1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12">
        <f>COUNTIF(X48:X50,"Sí")*(1/3)</f>
        <v>1</v>
      </c>
      <c r="Y51" s="12">
        <f ca="1">IFERROR(__xludf.DUMMYFUNCTION("INDEX(IMPORTRANGE(""1y0FWgjbB0gVlqn-q5LMJbGIsqOrzru4yowQz67dz2yc"", ""'GPE'!BH3:BH139""),MATCH(D51,IMPORTRANGE(""1y0FWgjbB0gVlqn-q5LMJbGIsqOrzru4yowQz67dz2yc"", ""'GPE'!D3:D139""),0))"),1)</f>
        <v>1</v>
      </c>
      <c r="Z51" s="12">
        <f ca="1">IFERROR(__xludf.DUMMYFUNCTION("INDEX(IMPORTRANGE(""1y0FWgjbB0gVlqn-q5LMJbGIsqOrzru4yowQz67dz2yc"", ""'GPE'!BI3:BI139""),MATCH(D51,IMPORTRANGE(""1y0FWgjbB0gVlqn-q5LMJbGIsqOrzru4yowQz67dz2yc"", ""'GPE'!D3:D139""),0))"),1)</f>
        <v>1</v>
      </c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158</v>
      </c>
      <c r="E52" s="7" t="s">
        <v>38</v>
      </c>
      <c r="F52" s="2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2">
        <v>0</v>
      </c>
      <c r="Q52" s="2">
        <v>0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2">
        <v>0</v>
      </c>
      <c r="Y52" s="2">
        <f ca="1">IFERROR(__xludf.DUMMYFUNCTION("INDEX(IMPORTRANGE(""1y0FWgjbB0gVlqn-q5LMJbGIsqOrzru4yowQz67dz2yc"", ""'GPE'!BH3:BH139""),MATCH(D52,IMPORTRANGE(""1y0FWgjbB0gVlqn-q5LMJbGIsqOrzru4yowQz67dz2yc"", ""'GPE'!D3:D139""),0))"),0)</f>
        <v>0</v>
      </c>
      <c r="Z52" s="2">
        <f ca="1">IFERROR(__xludf.DUMMYFUNCTION("INDEX(IMPORTRANGE(""1y0FWgjbB0gVlqn-q5LMJbGIsqOrzru4yowQz67dz2yc"", ""'GPE'!BI3:BI139""),MATCH(D52,IMPORTRANGE(""1y0FWgjbB0gVlqn-q5LMJbGIsqOrzru4yowQz67dz2yc"", ""'GPE'!D3:D139""),0))"),0)</f>
        <v>0</v>
      </c>
      <c r="AA52" s="1"/>
      <c r="AB52" s="1"/>
      <c r="AC52" s="1"/>
    </row>
    <row r="53" spans="1:29">
      <c r="A53" s="7" t="s">
        <v>147</v>
      </c>
      <c r="B53" s="7" t="s">
        <v>148</v>
      </c>
      <c r="C53" s="1" t="s">
        <v>30</v>
      </c>
      <c r="D53" s="7" t="s">
        <v>162</v>
      </c>
      <c r="E53" s="7" t="s">
        <v>38</v>
      </c>
      <c r="F53" s="2" t="s">
        <v>163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8</v>
      </c>
      <c r="Q53" s="12">
        <v>8</v>
      </c>
      <c r="R53" s="4"/>
      <c r="S53" s="4"/>
      <c r="T53" s="4"/>
      <c r="U53" s="4"/>
      <c r="V53" s="4"/>
      <c r="W53" s="4"/>
      <c r="X53" s="2">
        <v>8</v>
      </c>
      <c r="Y53" s="2">
        <f ca="1">IFERROR(__xludf.DUMMYFUNCTION("INDEX(IMPORTRANGE(""1y0FWgjbB0gVlqn-q5LMJbGIsqOrzru4yowQz67dz2yc"", ""'GPE'!BH3:BH139""),MATCH(D53,IMPORTRANGE(""1y0FWgjbB0gVlqn-q5LMJbGIsqOrzru4yowQz67dz2yc"", ""'GPE'!D3:D139""),0))"),8)</f>
        <v>8</v>
      </c>
      <c r="Z53" s="2">
        <f ca="1">IFERROR(__xludf.DUMMYFUNCTION("INDEX(IMPORTRANGE(""1y0FWgjbB0gVlqn-q5LMJbGIsqOrzru4yowQz67dz2yc"", ""'GPE'!BI3:BI139""),MATCH(D53,IMPORTRANGE(""1y0FWgjbB0gVlqn-q5LMJbGIsqOrzru4yowQz67dz2yc"", ""'GPE'!D3:D139""),0))"),8)</f>
        <v>8</v>
      </c>
      <c r="AA53" s="1"/>
      <c r="AB53" s="1"/>
      <c r="AC53" s="1"/>
    </row>
    <row r="54" spans="1:29">
      <c r="A54" s="7" t="s">
        <v>147</v>
      </c>
      <c r="B54" s="7" t="s">
        <v>148</v>
      </c>
      <c r="C54" s="1" t="s">
        <v>30</v>
      </c>
      <c r="D54" s="7" t="s">
        <v>164</v>
      </c>
      <c r="E54" s="7" t="s">
        <v>38</v>
      </c>
      <c r="F54" s="2" t="s">
        <v>165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4"/>
      <c r="S54" s="4"/>
      <c r="T54" s="4"/>
      <c r="U54" s="4"/>
      <c r="V54" s="4"/>
      <c r="W54" s="4"/>
      <c r="X54" s="2">
        <v>0</v>
      </c>
      <c r="Y54" s="2">
        <f ca="1">IFERROR(__xludf.DUMMYFUNCTION("INDEX(IMPORTRANGE(""1y0FWgjbB0gVlqn-q5LMJbGIsqOrzru4yowQz67dz2yc"", ""'GPE'!BH3:BH139""),MATCH(D54,IMPORTRANGE(""1y0FWgjbB0gVlqn-q5LMJbGIsqOrzru4yowQz67dz2yc"", ""'GPE'!D3:D139""),0))"),1)</f>
        <v>1</v>
      </c>
      <c r="Z54" s="2">
        <f ca="1">IFERROR(__xludf.DUMMYFUNCTION("INDEX(IMPORTRANGE(""1y0FWgjbB0gVlqn-q5LMJbGIsqOrzru4yowQz67dz2yc"", ""'GPE'!BI3:BI139""),MATCH(D54,IMPORTRANGE(""1y0FWgjbB0gVlqn-q5LMJbGIsqOrzru4yowQz67dz2yc"", ""'GPE'!D3:D139""),0))"),1)</f>
        <v>1</v>
      </c>
      <c r="AA54" s="1"/>
      <c r="AB54" s="1"/>
      <c r="AC54" s="1"/>
    </row>
    <row r="55" spans="1:29">
      <c r="A55" s="7" t="s">
        <v>147</v>
      </c>
      <c r="B55" s="7" t="s">
        <v>148</v>
      </c>
      <c r="C55" s="1" t="s">
        <v>36</v>
      </c>
      <c r="D55" s="7" t="s">
        <v>166</v>
      </c>
      <c r="E55" s="7" t="s">
        <v>38</v>
      </c>
      <c r="F55" s="2" t="s">
        <v>167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16">P54/P53</f>
        <v>0</v>
      </c>
      <c r="Q55" s="15">
        <f t="shared" si="16"/>
        <v>0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X54/X53</f>
        <v>0</v>
      </c>
      <c r="Y55" s="15">
        <f ca="1">IFERROR(__xludf.DUMMYFUNCTION("INDEX(IMPORTRANGE(""1y0FWgjbB0gVlqn-q5LMJbGIsqOrzru4yowQz67dz2yc"", ""'GPE'!BH3:BH139""),MATCH(D55,IMPORTRANGE(""1y0FWgjbB0gVlqn-q5LMJbGIsqOrzru4yowQz67dz2yc"", ""'GPE'!D3:D139""),0))"),0.125)</f>
        <v>0.125</v>
      </c>
      <c r="Z55" s="15">
        <f ca="1">IFERROR(__xludf.DUMMYFUNCTION("INDEX(IMPORTRANGE(""1y0FWgjbB0gVlqn-q5LMJbGIsqOrzru4yowQz67dz2yc"", ""'GPE'!BI3:BI139""),MATCH(D55,IMPORTRANGE(""1y0FWgjbB0gVlqn-q5LMJbGIsqOrzru4yowQz67dz2yc"", ""'GPE'!D3:D139""),0))"),0.125)</f>
        <v>0.125</v>
      </c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169</v>
      </c>
      <c r="E56" s="7" t="s">
        <v>38</v>
      </c>
      <c r="F56" s="2" t="s">
        <v>170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54147</v>
      </c>
      <c r="Q56" s="12">
        <v>54147</v>
      </c>
      <c r="R56" s="4"/>
      <c r="S56" s="4"/>
      <c r="T56" s="4"/>
      <c r="U56" s="4"/>
      <c r="V56" s="4"/>
      <c r="W56" s="4"/>
      <c r="X56" s="12">
        <v>54150</v>
      </c>
      <c r="Y56" s="12">
        <f ca="1">IFERROR(__xludf.DUMMYFUNCTION("INDEX(IMPORTRANGE(""1y0FWgjbB0gVlqn-q5LMJbGIsqOrzru4yowQz67dz2yc"", ""'GPE'!BH3:BH139""),MATCH(D56,IMPORTRANGE(""1y0FWgjbB0gVlqn-q5LMJbGIsqOrzru4yowQz67dz2yc"", ""'GPE'!D3:D139""),0))"),54600)</f>
        <v>54600</v>
      </c>
      <c r="Z56" s="12">
        <f ca="1">IFERROR(__xludf.DUMMYFUNCTION("INDEX(IMPORTRANGE(""1y0FWgjbB0gVlqn-q5LMJbGIsqOrzru4yowQz67dz2yc"", ""'GPE'!BI3:BI139""),MATCH(D56,IMPORTRANGE(""1y0FWgjbB0gVlqn-q5LMJbGIsqOrzru4yowQz67dz2yc"", ""'GPE'!D3:D139""),0))"),54600)</f>
        <v>54600</v>
      </c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30</v>
      </c>
      <c r="D57" s="7" t="s">
        <v>171</v>
      </c>
      <c r="E57" s="7" t="s">
        <v>38</v>
      </c>
      <c r="F57" s="2" t="s">
        <v>172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54597</v>
      </c>
      <c r="Q57" s="12">
        <v>54597</v>
      </c>
      <c r="R57" s="4"/>
      <c r="S57" s="4"/>
      <c r="T57" s="4"/>
      <c r="U57" s="4"/>
      <c r="V57" s="4"/>
      <c r="W57" s="4"/>
      <c r="X57" s="12">
        <v>54600</v>
      </c>
      <c r="Y57" s="12">
        <f ca="1">IFERROR(__xludf.DUMMYFUNCTION("INDEX(IMPORTRANGE(""1y0FWgjbB0gVlqn-q5LMJbGIsqOrzru4yowQz67dz2yc"", ""'GPE'!BH3:BH139""),MATCH(D57,IMPORTRANGE(""1y0FWgjbB0gVlqn-q5LMJbGIsqOrzru4yowQz67dz2yc"", ""'GPE'!D3:D139""),0))"),54600)</f>
        <v>54600</v>
      </c>
      <c r="Z57" s="12">
        <f ca="1">IFERROR(__xludf.DUMMYFUNCTION("INDEX(IMPORTRANGE(""1y0FWgjbB0gVlqn-q5LMJbGIsqOrzru4yowQz67dz2yc"", ""'GPE'!BI3:BI139""),MATCH(D57,IMPORTRANGE(""1y0FWgjbB0gVlqn-q5LMJbGIsqOrzru4yowQz67dz2yc"", ""'GPE'!D3:D139""),0))"),54600)</f>
        <v>54600</v>
      </c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36</v>
      </c>
      <c r="D58" s="7" t="s">
        <v>173</v>
      </c>
      <c r="E58" s="7" t="s">
        <v>38</v>
      </c>
      <c r="F58" s="2" t="s">
        <v>174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5">
        <f t="shared" ref="P58:Q58" si="17">P56/P57</f>
        <v>0.99175778888949939</v>
      </c>
      <c r="Q58" s="15">
        <f t="shared" si="17"/>
        <v>0.99175778888949939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5">
        <f>X56/X57</f>
        <v>0.99175824175824179</v>
      </c>
      <c r="Y58" s="15">
        <f ca="1">IFERROR(__xludf.DUMMYFUNCTION("INDEX(IMPORTRANGE(""1y0FWgjbB0gVlqn-q5LMJbGIsqOrzru4yowQz67dz2yc"", ""'GPE'!BH3:BH139""),MATCH(D58,IMPORTRANGE(""1y0FWgjbB0gVlqn-q5LMJbGIsqOrzru4yowQz67dz2yc"", ""'GPE'!D3:D139""),0))"),1)</f>
        <v>1</v>
      </c>
      <c r="Z58" s="15">
        <f ca="1">IFERROR(__xludf.DUMMYFUNCTION("INDEX(IMPORTRANGE(""1y0FWgjbB0gVlqn-q5LMJbGIsqOrzru4yowQz67dz2yc"", ""'GPE'!BI3:BI139""),MATCH(D58,IMPORTRANGE(""1y0FWgjbB0gVlqn-q5LMJbGIsqOrzru4yowQz67dz2yc"", ""'GPE'!D3:D139""),0))"),1)</f>
        <v>1</v>
      </c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175</v>
      </c>
      <c r="E59" s="7" t="s">
        <v>38</v>
      </c>
      <c r="F59" s="2" t="s">
        <v>176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181232</v>
      </c>
      <c r="Q59" s="12">
        <v>181232</v>
      </c>
      <c r="R59" s="4"/>
      <c r="S59" s="4"/>
      <c r="T59" s="4"/>
      <c r="U59" s="4"/>
      <c r="V59" s="4"/>
      <c r="W59" s="4"/>
      <c r="X59" s="12">
        <v>181232</v>
      </c>
      <c r="Y59" s="12">
        <f ca="1">IFERROR(__xludf.DUMMYFUNCTION("INDEX(IMPORTRANGE(""1y0FWgjbB0gVlqn-q5LMJbGIsqOrzru4yowQz67dz2yc"", ""'GPE'!BH3:BH139""),MATCH(D59,IMPORTRANGE(""1y0FWgjbB0gVlqn-q5LMJbGIsqOrzru4yowQz67dz2yc"", ""'GPE'!D3:D139""),0))"),195169)</f>
        <v>195169</v>
      </c>
      <c r="Z59" s="12">
        <f ca="1">IFERROR(__xludf.DUMMYFUNCTION("INDEX(IMPORTRANGE(""1y0FWgjbB0gVlqn-q5LMJbGIsqOrzru4yowQz67dz2yc"", ""'GPE'!BI3:BI139""),MATCH(D59,IMPORTRANGE(""1y0FWgjbB0gVlqn-q5LMJbGIsqOrzru4yowQz67dz2yc"", ""'GPE'!D3:D139""),0))"),195169)</f>
        <v>195169</v>
      </c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1" t="s">
        <v>177</v>
      </c>
      <c r="E60" s="7" t="s">
        <v>38</v>
      </c>
      <c r="F60" s="2" t="s">
        <v>178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8">P59/P35</f>
        <v>1</v>
      </c>
      <c r="Q60" s="15">
        <f t="shared" si="18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X59/X35</f>
        <v>1</v>
      </c>
      <c r="Y60" s="14">
        <f ca="1">IFERROR(__xludf.DUMMYFUNCTION("INDEX(IMPORTRANGE(""1y0FWgjbB0gVlqn-q5LMJbGIsqOrzru4yowQz67dz2yc"", ""'GPE'!BH3:BH139""),MATCH(D60,IMPORTRANGE(""1y0FWgjbB0gVlqn-q5LMJbGIsqOrzru4yowQz67dz2yc"", ""'GPE'!D3:D139""),0))"),1)</f>
        <v>1</v>
      </c>
      <c r="Z60" s="15">
        <f ca="1">IFERROR(__xludf.DUMMYFUNCTION("INDEX(IMPORTRANGE(""1y0FWgjbB0gVlqn-q5LMJbGIsqOrzru4yowQz67dz2yc"", ""'GPE'!BI3:BI139""),MATCH(D60,IMPORTRANGE(""1y0FWgjbB0gVlqn-q5LMJbGIsqOrzru4yowQz67dz2yc"", ""'GPE'!D3:D139""),0))"),1)</f>
        <v>1</v>
      </c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179</v>
      </c>
      <c r="E61" s="7" t="s">
        <v>38</v>
      </c>
      <c r="F61" s="2" t="s">
        <v>180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22237400</v>
      </c>
      <c r="Q61" s="12">
        <v>22237400</v>
      </c>
      <c r="R61" s="4"/>
      <c r="S61" s="4"/>
      <c r="T61" s="4"/>
      <c r="U61" s="4"/>
      <c r="V61" s="4"/>
      <c r="W61" s="4"/>
      <c r="X61" s="12">
        <v>22237400</v>
      </c>
      <c r="Y61" s="12">
        <f ca="1">IFERROR(__xludf.DUMMYFUNCTION("INDEX(IMPORTRANGE(""1y0FWgjbB0gVlqn-q5LMJbGIsqOrzru4yowQz67dz2yc"", ""'GPE'!BH3:BH139""),MATCH(D61,IMPORTRANGE(""1y0FWgjbB0gVlqn-q5LMJbGIsqOrzru4yowQz67dz2yc"", ""'GPE'!D3:D139""),0))"),22238900)</f>
        <v>22238900</v>
      </c>
      <c r="Z61" s="12">
        <f ca="1">IFERROR(__xludf.DUMMYFUNCTION("INDEX(IMPORTRANGE(""1y0FWgjbB0gVlqn-q5LMJbGIsqOrzru4yowQz67dz2yc"", ""'GPE'!BI3:BI139""),MATCH(D61,IMPORTRANGE(""1y0FWgjbB0gVlqn-q5LMJbGIsqOrzru4yowQz67dz2yc"", ""'GPE'!D3:D139""),0))"),22238900)</f>
        <v>22238900</v>
      </c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181</v>
      </c>
      <c r="E62" s="7" t="s">
        <v>38</v>
      </c>
      <c r="F62" s="2" t="s">
        <v>182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22238900</v>
      </c>
      <c r="Q62" s="12">
        <v>22238900</v>
      </c>
      <c r="R62" s="4"/>
      <c r="S62" s="4"/>
      <c r="T62" s="4"/>
      <c r="U62" s="4"/>
      <c r="V62" s="4"/>
      <c r="W62" s="4"/>
      <c r="X62" s="12">
        <v>22238900</v>
      </c>
      <c r="Y62" s="12">
        <f ca="1">IFERROR(__xludf.DUMMYFUNCTION("INDEX(IMPORTRANGE(""1y0FWgjbB0gVlqn-q5LMJbGIsqOrzru4yowQz67dz2yc"", ""'GPE'!BH3:BH139""),MATCH(D62,IMPORTRANGE(""1y0FWgjbB0gVlqn-q5LMJbGIsqOrzru4yowQz67dz2yc"", ""'GPE'!D3:D139""),0))"),22238900)</f>
        <v>22238900</v>
      </c>
      <c r="Z62" s="12">
        <f ca="1">IFERROR(__xludf.DUMMYFUNCTION("INDEX(IMPORTRANGE(""1y0FWgjbB0gVlqn-q5LMJbGIsqOrzru4yowQz67dz2yc"", ""'GPE'!BI3:BI139""),MATCH(D62,IMPORTRANGE(""1y0FWgjbB0gVlqn-q5LMJbGIsqOrzru4yowQz67dz2yc"", ""'GPE'!D3:D139""),0))"),22238900)</f>
        <v>22238900</v>
      </c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183</v>
      </c>
      <c r="E63" s="7" t="s">
        <v>38</v>
      </c>
      <c r="F63" s="2" t="s">
        <v>184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9">P61/P62</f>
        <v>0.99993255062075914</v>
      </c>
      <c r="Q63" s="15">
        <f t="shared" si="19"/>
        <v>0.99993255062075914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0.99993255062075914</v>
      </c>
      <c r="Y63" s="15">
        <f ca="1">IFERROR(__xludf.DUMMYFUNCTION("INDEX(IMPORTRANGE(""1y0FWgjbB0gVlqn-q5LMJbGIsqOrzru4yowQz67dz2yc"", ""'GPE'!BH3:BH139""),MATCH(D63,IMPORTRANGE(""1y0FWgjbB0gVlqn-q5LMJbGIsqOrzru4yowQz67dz2yc"", ""'GPE'!D3:D139""),0))"),1)</f>
        <v>1</v>
      </c>
      <c r="Z63" s="15">
        <f ca="1">IFERROR(__xludf.DUMMYFUNCTION("INDEX(IMPORTRANGE(""1y0FWgjbB0gVlqn-q5LMJbGIsqOrzru4yowQz67dz2yc"", ""'GPE'!BI3:BI139""),MATCH(D63,IMPORTRANGE(""1y0FWgjbB0gVlqn-q5LMJbGIsqOrzru4yowQz67dz2yc"", ""'GPE'!D3:D139""),0))"),1)</f>
        <v>1</v>
      </c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185</v>
      </c>
      <c r="E64" s="7" t="s">
        <v>38</v>
      </c>
      <c r="F64" s="2" t="s">
        <v>186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21815</v>
      </c>
      <c r="Q64" s="12">
        <v>21815</v>
      </c>
      <c r="R64" s="4"/>
      <c r="S64" s="4"/>
      <c r="T64" s="4"/>
      <c r="U64" s="4"/>
      <c r="V64" s="4"/>
      <c r="W64" s="4"/>
      <c r="X64" s="12">
        <v>21815</v>
      </c>
      <c r="Y64" s="12">
        <f ca="1">IFERROR(__xludf.DUMMYFUNCTION("INDEX(IMPORTRANGE(""1y0FWgjbB0gVlqn-q5LMJbGIsqOrzru4yowQz67dz2yc"", ""'GPE'!BH3:BH139""),MATCH(D64,IMPORTRANGE(""1y0FWgjbB0gVlqn-q5LMJbGIsqOrzru4yowQz67dz2yc"", ""'GPE'!D3:D139""),0))"),24075)</f>
        <v>24075</v>
      </c>
      <c r="Z64" s="12">
        <f ca="1">IFERROR(__xludf.DUMMYFUNCTION("INDEX(IMPORTRANGE(""1y0FWgjbB0gVlqn-q5LMJbGIsqOrzru4yowQz67dz2yc"", ""'GPE'!BI3:BI139""),MATCH(D64,IMPORTRANGE(""1y0FWgjbB0gVlqn-q5LMJbGIsqOrzru4yowQz67dz2yc"", ""'GPE'!D3:D139""),0))"),24075)</f>
        <v>24075</v>
      </c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187</v>
      </c>
      <c r="E65" s="7" t="s">
        <v>38</v>
      </c>
      <c r="F65" s="2" t="s">
        <v>188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2">
        <v>24075</v>
      </c>
      <c r="Q65" s="12">
        <v>24075</v>
      </c>
      <c r="R65" s="4"/>
      <c r="S65" s="4"/>
      <c r="T65" s="4"/>
      <c r="U65" s="4"/>
      <c r="V65" s="4"/>
      <c r="W65" s="4"/>
      <c r="X65" s="12">
        <v>24075</v>
      </c>
      <c r="Y65" s="12">
        <f ca="1">IFERROR(__xludf.DUMMYFUNCTION("INDEX(IMPORTRANGE(""1y0FWgjbB0gVlqn-q5LMJbGIsqOrzru4yowQz67dz2yc"", ""'GPE'!BH3:BH139""),MATCH(D65,IMPORTRANGE(""1y0FWgjbB0gVlqn-q5LMJbGIsqOrzru4yowQz67dz2yc"", ""'GPE'!D3:D139""),0))"),23975)</f>
        <v>23975</v>
      </c>
      <c r="Z65" s="12">
        <f ca="1">IFERROR(__xludf.DUMMYFUNCTION("INDEX(IMPORTRANGE(""1y0FWgjbB0gVlqn-q5LMJbGIsqOrzru4yowQz67dz2yc"", ""'GPE'!BI3:BI139""),MATCH(D65,IMPORTRANGE(""1y0FWgjbB0gVlqn-q5LMJbGIsqOrzru4yowQz67dz2yc"", ""'GPE'!D3:D139""),0))"),24075)</f>
        <v>24075</v>
      </c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36</v>
      </c>
      <c r="D66" s="7" t="s">
        <v>189</v>
      </c>
      <c r="E66" s="7" t="s">
        <v>38</v>
      </c>
      <c r="F66" s="2" t="s">
        <v>190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20">P64/P65</f>
        <v>0.90612668743509861</v>
      </c>
      <c r="Q66" s="15">
        <f t="shared" si="20"/>
        <v>0.90612668743509861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0.90612668743509861</v>
      </c>
      <c r="Y66" s="19">
        <f ca="1">IFERROR(__xludf.DUMMYFUNCTION("INDEX(IMPORTRANGE(""1y0FWgjbB0gVlqn-q5LMJbGIsqOrzru4yowQz67dz2yc"", ""'GPE'!BH3:BH139""),MATCH(D66,IMPORTRANGE(""1y0FWgjbB0gVlqn-q5LMJbGIsqOrzru4yowQz67dz2yc"", ""'GPE'!D3:D139""),0))"),1.00417101147028)</f>
        <v>1.00417101147028</v>
      </c>
      <c r="Z66" s="15">
        <f ca="1">IFERROR(__xludf.DUMMYFUNCTION("INDEX(IMPORTRANGE(""1y0FWgjbB0gVlqn-q5LMJbGIsqOrzru4yowQz67dz2yc"", ""'GPE'!BI3:BI139""),MATCH(D66,IMPORTRANGE(""1y0FWgjbB0gVlqn-q5LMJbGIsqOrzru4yowQz67dz2yc"", ""'GPE'!D3:D139""),0))"),1)</f>
        <v>1</v>
      </c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191</v>
      </c>
      <c r="E67" s="7" t="s">
        <v>38</v>
      </c>
      <c r="F67" s="2" t="s">
        <v>192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4">
        <v>0</v>
      </c>
      <c r="Q67" s="24">
        <v>5.4640000000000004</v>
      </c>
      <c r="R67" s="2"/>
      <c r="S67" s="2"/>
      <c r="T67" s="2"/>
      <c r="U67" s="2"/>
      <c r="V67" s="2"/>
      <c r="W67" s="2"/>
      <c r="X67" s="24">
        <v>25.54</v>
      </c>
      <c r="Y67" s="24">
        <f ca="1">IFERROR(__xludf.DUMMYFUNCTION("INDEX(IMPORTRANGE(""1y0FWgjbB0gVlqn-q5LMJbGIsqOrzru4yowQz67dz2yc"", ""'GPE'!BH3:BH139""),MATCH(D67,IMPORTRANGE(""1y0FWgjbB0gVlqn-q5LMJbGIsqOrzru4yowQz67dz2yc"", ""'GPE'!D3:D139""),0))"),51.6009999999999)</f>
        <v>51.6009999999999</v>
      </c>
      <c r="Z67" s="24">
        <f ca="1">IFERROR(__xludf.DUMMYFUNCTION("INDEX(IMPORTRANGE(""1y0FWgjbB0gVlqn-q5LMJbGIsqOrzru4yowQz67dz2yc"", ""'GPE'!BI3:BI139""),MATCH(D67,IMPORTRANGE(""1y0FWgjbB0gVlqn-q5LMJbGIsqOrzru4yowQz67dz2yc"", ""'GPE'!D3:D139""),0))"),41.851)</f>
        <v>41.850999999999999</v>
      </c>
      <c r="AA67" s="1"/>
      <c r="AB67" s="1"/>
      <c r="AC67" s="1"/>
    </row>
    <row r="68" spans="1:29">
      <c r="A68" s="7" t="s">
        <v>147</v>
      </c>
      <c r="B68" s="7" t="s">
        <v>168</v>
      </c>
      <c r="C68" s="1" t="s">
        <v>30</v>
      </c>
      <c r="D68" s="7" t="s">
        <v>193</v>
      </c>
      <c r="E68" s="7" t="s">
        <v>38</v>
      </c>
      <c r="F68" s="2" t="s">
        <v>194</v>
      </c>
      <c r="G68" s="2" t="s">
        <v>56</v>
      </c>
      <c r="H68" s="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23">
        <v>0</v>
      </c>
      <c r="Q68" s="23">
        <v>0</v>
      </c>
      <c r="R68" s="2"/>
      <c r="S68" s="2"/>
      <c r="T68" s="2"/>
      <c r="U68" s="2"/>
      <c r="V68" s="2"/>
      <c r="W68" s="2"/>
      <c r="X68" s="23">
        <v>0</v>
      </c>
      <c r="Y68" s="12">
        <f ca="1">IFERROR(__xludf.DUMMYFUNCTION("INDEX(IMPORTRANGE(""1y0FWgjbB0gVlqn-q5LMJbGIsqOrzru4yowQz67dz2yc"", ""'GPE'!BH3:BH139""),MATCH(D68,IMPORTRANGE(""1y0FWgjbB0gVlqn-q5LMJbGIsqOrzru4yowQz67dz2yc"", ""'GPE'!D3:D139""),0))"),0.287)</f>
        <v>0.28699999999999998</v>
      </c>
      <c r="Z68" s="23">
        <f ca="1">IFERROR(__xludf.DUMMYFUNCTION("INDEX(IMPORTRANGE(""1y0FWgjbB0gVlqn-q5LMJbGIsqOrzru4yowQz67dz2yc"", ""'GPE'!BI3:BI139""),MATCH(D68,IMPORTRANGE(""1y0FWgjbB0gVlqn-q5LMJbGIsqOrzru4yowQz67dz2yc"", ""'GPE'!D3:D139""),0))"),0)</f>
        <v>0</v>
      </c>
      <c r="AA68" s="1"/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195</v>
      </c>
      <c r="E69" s="7" t="s">
        <v>38</v>
      </c>
      <c r="F69" s="2" t="s">
        <v>196</v>
      </c>
      <c r="G69" s="11">
        <v>44469</v>
      </c>
      <c r="H69" s="11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12">
        <v>0</v>
      </c>
      <c r="Q69" s="12">
        <v>0</v>
      </c>
      <c r="R69" s="4"/>
      <c r="S69" s="4"/>
      <c r="T69" s="4"/>
      <c r="U69" s="4"/>
      <c r="V69" s="4"/>
      <c r="W69" s="4"/>
      <c r="X69" s="12">
        <v>0</v>
      </c>
      <c r="Y69" s="12" t="str">
        <f ca="1">IFERROR(__xludf.DUMMYFUNCTION("INDEX(IMPORTRANGE(""1y0FWgjbB0gVlqn-q5LMJbGIsqOrzru4yowQz67dz2yc"", ""'GPE'!BH3:BH139""),MATCH(D69,IMPORTRANGE(""1y0FWgjbB0gVlqn-q5LMJbGIsqOrzru4yowQz67dz2yc"", ""'GPE'!D3:D139""),0))"),"")</f>
        <v/>
      </c>
      <c r="Z69" s="153" t="str">
        <f ca="1">IFERROR(__xludf.DUMMYFUNCTION("INDEX(IMPORTRANGE(""1y0FWgjbB0gVlqn-q5LMJbGIsqOrzru4yowQz67dz2yc"", ""'GPE'!BI3:BI139""),MATCH(D69,IMPORTRANGE(""1y0FWgjbB0gVlqn-q5LMJbGIsqOrzru4yowQz67dz2yc"", ""'GPE'!D3:D139""),0))"),"https://drive.google.com/file/d/1SEXk5kaupXSsvPprnP5YKifuESSxYTUq/view?usp=sharing")</f>
        <v>https://drive.google.com/file/d/1SEXk5kaupXSsvPprnP5YKifuESSxYTUq/view?usp=sharing</v>
      </c>
      <c r="AA69" s="1"/>
      <c r="AB69" s="1"/>
      <c r="AC69" s="1"/>
    </row>
    <row r="70" spans="1:29">
      <c r="A70" s="7" t="s">
        <v>147</v>
      </c>
      <c r="B70" s="7" t="s">
        <v>168</v>
      </c>
      <c r="C70" s="1" t="s">
        <v>36</v>
      </c>
      <c r="D70" s="7" t="s">
        <v>197</v>
      </c>
      <c r="E70" s="7" t="s">
        <v>38</v>
      </c>
      <c r="F70" s="2" t="s">
        <v>198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5.4640000000000004</v>
      </c>
      <c r="R70" s="2">
        <v>10.1</v>
      </c>
      <c r="S70" s="2">
        <v>10</v>
      </c>
      <c r="T70" s="2">
        <v>10.1</v>
      </c>
      <c r="U70" s="2">
        <v>10</v>
      </c>
      <c r="V70" s="2">
        <v>10.1</v>
      </c>
      <c r="W70" s="2">
        <v>60.3</v>
      </c>
      <c r="X70" s="23">
        <v>25.54</v>
      </c>
      <c r="Y70" s="12">
        <f ca="1">IFERROR(__xludf.DUMMYFUNCTION("INDEX(IMPORTRANGE(""1y0FWgjbB0gVlqn-q5LMJbGIsqOrzru4yowQz67dz2yc"", ""'GPE'!BH3:BH139""),MATCH(D70,IMPORTRANGE(""1y0FWgjbB0gVlqn-q5LMJbGIsqOrzru4yowQz67dz2yc"", ""'GPE'!D3:D139""),0))"),51.8879999999999)</f>
        <v>51.887999999999899</v>
      </c>
      <c r="Z70" s="23">
        <f ca="1">IFERROR(__xludf.DUMMYFUNCTION("INDEX(IMPORTRANGE(""1y0FWgjbB0gVlqn-q5LMJbGIsqOrzru4yowQz67dz2yc"", ""'GPE'!BI3:BI139""),MATCH(D70,IMPORTRANGE(""1y0FWgjbB0gVlqn-q5LMJbGIsqOrzru4yowQz67dz2yc"", ""'GPE'!D3:D139""),0))"),41.851)</f>
        <v>41.850999999999999</v>
      </c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36</v>
      </c>
      <c r="D71" s="7" t="s">
        <v>201</v>
      </c>
      <c r="E71" s="7" t="s">
        <v>38</v>
      </c>
      <c r="F71" s="2" t="s">
        <v>202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3">
        <v>13.875</v>
      </c>
      <c r="Q71" s="23">
        <v>13.875</v>
      </c>
      <c r="R71" s="2">
        <v>1.5</v>
      </c>
      <c r="S71" s="2">
        <v>1.73</v>
      </c>
      <c r="T71" s="2">
        <v>2.5299999999999998</v>
      </c>
      <c r="U71" s="2">
        <v>3.03</v>
      </c>
      <c r="V71" s="2">
        <v>7.66</v>
      </c>
      <c r="W71" s="2">
        <v>7.66</v>
      </c>
      <c r="X71" s="23">
        <v>13.875</v>
      </c>
      <c r="Y71" s="32">
        <f ca="1">IFERROR(__xludf.DUMMYFUNCTION("INDEX(IMPORTRANGE(""1y0FWgjbB0gVlqn-q5LMJbGIsqOrzru4yowQz67dz2yc"", ""'GPE'!BH3:BH139""),MATCH(D71,IMPORTRANGE(""1y0FWgjbB0gVlqn-q5LMJbGIsqOrzru4yowQz67dz2yc"", ""'GPE'!D3:D139""),0))"),1.86)</f>
        <v>1.86</v>
      </c>
      <c r="Z71" s="23">
        <f ca="1">IFERROR(__xludf.DUMMYFUNCTION("INDEX(IMPORTRANGE(""1y0FWgjbB0gVlqn-q5LMJbGIsqOrzru4yowQz67dz2yc"", ""'GPE'!BI3:BI139""),MATCH(D71,IMPORTRANGE(""1y0FWgjbB0gVlqn-q5LMJbGIsqOrzru4yowQz67dz2yc"", ""'GPE'!D3:D139""),0))"),3.82)</f>
        <v>3.82</v>
      </c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30</v>
      </c>
      <c r="D72" s="7" t="s">
        <v>203</v>
      </c>
      <c r="E72" s="7" t="s">
        <v>38</v>
      </c>
      <c r="F72" s="2" t="s">
        <v>204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2"/>
      <c r="S72" s="2"/>
      <c r="T72" s="2"/>
      <c r="U72" s="2"/>
      <c r="V72" s="2"/>
      <c r="W72" s="2"/>
      <c r="X72" s="2">
        <v>10</v>
      </c>
      <c r="Y72" s="12">
        <f ca="1">IFERROR(__xludf.DUMMYFUNCTION("INDEX(IMPORTRANGE(""1y0FWgjbB0gVlqn-q5LMJbGIsqOrzru4yowQz67dz2yc"", ""'GPE'!BH3:BH139""),MATCH(D72,IMPORTRANGE(""1y0FWgjbB0gVlqn-q5LMJbGIsqOrzru4yowQz67dz2yc"", ""'GPE'!D3:D139""),0))"),18703)</f>
        <v>18703</v>
      </c>
      <c r="Z72" s="2">
        <f ca="1">IFERROR(__xludf.DUMMYFUNCTION("INDEX(IMPORTRANGE(""1y0FWgjbB0gVlqn-q5LMJbGIsqOrzru4yowQz67dz2yc"", ""'GPE'!BI3:BI139""),MATCH(D72,IMPORTRANGE(""1y0FWgjbB0gVlqn-q5LMJbGIsqOrzru4yowQz67dz2yc"", ""'GPE'!D3:D139""),0))"),0)</f>
        <v>0</v>
      </c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7" t="s">
        <v>205</v>
      </c>
      <c r="E73" s="7" t="s">
        <v>38</v>
      </c>
      <c r="F73" s="2" t="s">
        <v>206</v>
      </c>
      <c r="G73" s="2" t="s">
        <v>56</v>
      </c>
      <c r="H73" s="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2"/>
      <c r="S73" s="2"/>
      <c r="T73" s="2"/>
      <c r="U73" s="2"/>
      <c r="V73" s="2"/>
      <c r="W73" s="2"/>
      <c r="X73" s="2">
        <v>80</v>
      </c>
      <c r="Y73" s="12">
        <f ca="1">IFERROR(__xludf.DUMMYFUNCTION("INDEX(IMPORTRANGE(""1y0FWgjbB0gVlqn-q5LMJbGIsqOrzru4yowQz67dz2yc"", ""'GPE'!BH3:BH139""),MATCH(D73,IMPORTRANGE(""1y0FWgjbB0gVlqn-q5LMJbGIsqOrzru4yowQz67dz2yc"", ""'GPE'!D3:D139""),0))"),80)</f>
        <v>80</v>
      </c>
      <c r="Z73" s="2">
        <f ca="1">IFERROR(__xludf.DUMMYFUNCTION("INDEX(IMPORTRANGE(""1y0FWgjbB0gVlqn-q5LMJbGIsqOrzru4yowQz67dz2yc"", ""'GPE'!BI3:BI139""),MATCH(D73,IMPORTRANGE(""1y0FWgjbB0gVlqn-q5LMJbGIsqOrzru4yowQz67dz2yc"", ""'GPE'!D3:D139""),0))"),9295)</f>
        <v>9295</v>
      </c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207</v>
      </c>
      <c r="E74" s="7" t="s">
        <v>38</v>
      </c>
      <c r="F74" s="9" t="s">
        <v>208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193</v>
      </c>
      <c r="Y74" s="12">
        <f ca="1">IFERROR(__xludf.DUMMYFUNCTION("INDEX(IMPORTRANGE(""1y0FWgjbB0gVlqn-q5LMJbGIsqOrzru4yowQz67dz2yc"", ""'GPE'!BH3:BH139""),MATCH(D74,IMPORTRANGE(""1y0FWgjbB0gVlqn-q5LMJbGIsqOrzru4yowQz67dz2yc"", ""'GPE'!D3:D139""),0))"),193)</f>
        <v>193</v>
      </c>
      <c r="Z74" s="2">
        <f ca="1">IFERROR(__xludf.DUMMYFUNCTION("INDEX(IMPORTRANGE(""1y0FWgjbB0gVlqn-q5LMJbGIsqOrzru4yowQz67dz2yc"", ""'GPE'!BI3:BI139""),MATCH(D74,IMPORTRANGE(""1y0FWgjbB0gVlqn-q5LMJbGIsqOrzru4yowQz67dz2yc"", ""'GPE'!D3:D139""),0))"),0)</f>
        <v>0</v>
      </c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209</v>
      </c>
      <c r="E75" s="7" t="s">
        <v>38</v>
      </c>
      <c r="F75" s="9" t="s">
        <v>210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6">
        <v>16667</v>
      </c>
      <c r="S75" s="6">
        <v>8333</v>
      </c>
      <c r="T75" s="6">
        <v>16667</v>
      </c>
      <c r="U75" s="6">
        <v>8333</v>
      </c>
      <c r="V75" s="6">
        <v>16667</v>
      </c>
      <c r="W75" s="4">
        <v>50000</v>
      </c>
      <c r="X75" s="2">
        <v>283</v>
      </c>
      <c r="Y75" s="12">
        <f ca="1">IFERROR(__xludf.DUMMYFUNCTION("INDEX(IMPORTRANGE(""1y0FWgjbB0gVlqn-q5LMJbGIsqOrzru4yowQz67dz2yc"", ""'GPE'!BH3:BH139""),MATCH(D75,IMPORTRANGE(""1y0FWgjbB0gVlqn-q5LMJbGIsqOrzru4yowQz67dz2yc"", ""'GPE'!D3:D139""),0))"),18976)</f>
        <v>18976</v>
      </c>
      <c r="Z75" s="2">
        <f ca="1">IFERROR(__xludf.DUMMYFUNCTION("INDEX(IMPORTRANGE(""1y0FWgjbB0gVlqn-q5LMJbGIsqOrzru4yowQz67dz2yc"", ""'GPE'!BI3:BI139""),MATCH(D75,IMPORTRANGE(""1y0FWgjbB0gVlqn-q5LMJbGIsqOrzru4yowQz67dz2yc"", ""'GPE'!D3:D139""),0))"),9295)</f>
        <v>9295</v>
      </c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211</v>
      </c>
      <c r="E76" s="7" t="s">
        <v>38</v>
      </c>
      <c r="F76" s="9" t="s">
        <v>212</v>
      </c>
      <c r="G76" s="7" t="s">
        <v>213</v>
      </c>
      <c r="H76" s="1" t="s">
        <v>214</v>
      </c>
      <c r="I76" s="7" t="s">
        <v>215</v>
      </c>
      <c r="J76" s="181"/>
      <c r="K76" s="7" t="s">
        <v>216</v>
      </c>
      <c r="L76" s="181"/>
      <c r="M76" s="7" t="s">
        <v>217</v>
      </c>
      <c r="N76" s="1" t="s">
        <v>218</v>
      </c>
      <c r="O76" s="1" t="s">
        <v>218</v>
      </c>
      <c r="P76" s="36">
        <v>74396545.189999998</v>
      </c>
      <c r="Q76" s="36">
        <v>74396545.189999998</v>
      </c>
      <c r="R76" s="4"/>
      <c r="S76" s="4"/>
      <c r="T76" s="4"/>
      <c r="U76" s="4"/>
      <c r="V76" s="4"/>
      <c r="W76" s="4"/>
      <c r="X76" s="36">
        <v>74396545.189999998</v>
      </c>
      <c r="Y76" s="336" t="str">
        <f ca="1">IFERROR(__xludf.DUMMYFUNCTION("INDEX(IMPORTRANGE(""1y0FWgjbB0gVlqn-q5LMJbGIsqOrzru4yowQz67dz2yc"", ""'GPE'!BH3:BH139""),MATCH(D76,IMPORTRANGE(""1y0FWgjbB0gVlqn-q5LMJbGIsqOrzru4yowQz67dz2yc"", ""'GPE'!D3:D139""),0))"),"")</f>
        <v/>
      </c>
      <c r="Z76" s="36">
        <f ca="1">IFERROR(__xludf.DUMMYFUNCTION("INDEX(IMPORTRANGE(""1y0FWgjbB0gVlqn-q5LMJbGIsqOrzru4yowQz67dz2yc"", ""'GPE'!BI3:BI139""),MATCH(D76,IMPORTRANGE(""1y0FWgjbB0gVlqn-q5LMJbGIsqOrzru4yowQz67dz2yc"", ""'GPE'!D3:D139""),0))"),120965911.7552)</f>
        <v>120965911.7552</v>
      </c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7" t="s">
        <v>219</v>
      </c>
      <c r="E77" s="7" t="s">
        <v>38</v>
      </c>
      <c r="F77" s="9" t="s">
        <v>220</v>
      </c>
      <c r="G77" s="7" t="s">
        <v>213</v>
      </c>
      <c r="H77" s="1" t="s">
        <v>214</v>
      </c>
      <c r="I77" s="7" t="s">
        <v>215</v>
      </c>
      <c r="J77" s="181"/>
      <c r="K77" s="7" t="s">
        <v>216</v>
      </c>
      <c r="L77" s="181"/>
      <c r="M77" s="7" t="s">
        <v>217</v>
      </c>
      <c r="N77" s="1" t="s">
        <v>218</v>
      </c>
      <c r="O77" s="1" t="s">
        <v>218</v>
      </c>
      <c r="P77" s="36">
        <v>10029809.779999999</v>
      </c>
      <c r="Q77" s="36">
        <v>10029809.779999999</v>
      </c>
      <c r="R77" s="4"/>
      <c r="S77" s="4"/>
      <c r="T77" s="4"/>
      <c r="U77" s="4"/>
      <c r="V77" s="4"/>
      <c r="W77" s="4"/>
      <c r="X77" s="36">
        <v>10029809.779999999</v>
      </c>
      <c r="Y77" s="336" t="str">
        <f ca="1">IFERROR(__xludf.DUMMYFUNCTION("INDEX(IMPORTRANGE(""1y0FWgjbB0gVlqn-q5LMJbGIsqOrzru4yowQz67dz2yc"", ""'GPE'!BH3:BH139""),MATCH(D77,IMPORTRANGE(""1y0FWgjbB0gVlqn-q5LMJbGIsqOrzru4yowQz67dz2yc"", ""'GPE'!D3:D139""),0))"),"")</f>
        <v/>
      </c>
      <c r="Z77" s="36">
        <f ca="1">IFERROR(__xludf.DUMMYFUNCTION("INDEX(IMPORTRANGE(""1y0FWgjbB0gVlqn-q5LMJbGIsqOrzru4yowQz67dz2yc"", ""'GPE'!BI3:BI139""),MATCH(D77,IMPORTRANGE(""1y0FWgjbB0gVlqn-q5LMJbGIsqOrzru4yowQz67dz2yc"", ""'GPE'!D3:D139""),0))"),82531626.058)</f>
        <v>82531626.057999998</v>
      </c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7" t="s">
        <v>221</v>
      </c>
      <c r="E78" s="7" t="s">
        <v>38</v>
      </c>
      <c r="F78" s="9" t="s">
        <v>222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15">
        <f t="shared" ref="P78:Q78" si="21">P77/P76</f>
        <v>0.13481553147911707</v>
      </c>
      <c r="Q78" s="15">
        <f t="shared" si="21"/>
        <v>0.13481553147911707</v>
      </c>
      <c r="R78" s="2"/>
      <c r="S78" s="15">
        <v>0.13500000000000001</v>
      </c>
      <c r="T78" s="2"/>
      <c r="U78" s="15">
        <v>0.27</v>
      </c>
      <c r="V78" s="14">
        <v>0.4</v>
      </c>
      <c r="W78" s="14">
        <v>0.4</v>
      </c>
      <c r="X78" s="15">
        <f>X77/X76</f>
        <v>0.13481553147911707</v>
      </c>
      <c r="Y78" s="352" t="str">
        <f ca="1">IFERROR(__xludf.DUMMYFUNCTION("INDEX(IMPORTRANGE(""1y0FWgjbB0gVlqn-q5LMJbGIsqOrzru4yowQz67dz2yc"", ""'GPE'!BH3:BH139""),MATCH(D78,IMPORTRANGE(""1y0FWgjbB0gVlqn-q5LMJbGIsqOrzru4yowQz67dz2yc"", ""'GPE'!D3:D139""),0))"),"")</f>
        <v/>
      </c>
      <c r="Z78" s="15">
        <f ca="1">IFERROR(__xludf.DUMMYFUNCTION("INDEX(IMPORTRANGE(""1y0FWgjbB0gVlqn-q5LMJbGIsqOrzru4yowQz67dz2yc"", ""'GPE'!BI3:BI139""),MATCH(D78,IMPORTRANGE(""1y0FWgjbB0gVlqn-q5LMJbGIsqOrzru4yowQz67dz2yc"", ""'GPE'!D3:D139""),0))"),0.682271764503541)</f>
        <v>0.68227176450354099</v>
      </c>
      <c r="AA78" s="1"/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223</v>
      </c>
      <c r="E79" s="7" t="s">
        <v>38</v>
      </c>
      <c r="F79" s="9" t="s">
        <v>224</v>
      </c>
      <c r="G79" s="2" t="s">
        <v>56</v>
      </c>
      <c r="H79" s="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2">
        <v>0</v>
      </c>
      <c r="Q79" s="2">
        <v>0</v>
      </c>
      <c r="R79" s="2"/>
      <c r="S79" s="2"/>
      <c r="T79" s="2"/>
      <c r="U79" s="2"/>
      <c r="V79" s="2"/>
      <c r="W79" s="2"/>
      <c r="X79" s="2">
        <v>0</v>
      </c>
      <c r="Y79" s="12">
        <f ca="1">IFERROR(__xludf.DUMMYFUNCTION("INDEX(IMPORTRANGE(""1y0FWgjbB0gVlqn-q5LMJbGIsqOrzru4yowQz67dz2yc"", ""'GPE'!BH3:BH139""),MATCH(D79,IMPORTRANGE(""1y0FWgjbB0gVlqn-q5LMJbGIsqOrzru4yowQz67dz2yc"", ""'GPE'!D3:D139""),0))"),5)</f>
        <v>5</v>
      </c>
      <c r="Z79" s="2">
        <f ca="1">IFERROR(__xludf.DUMMYFUNCTION("INDEX(IMPORTRANGE(""1y0FWgjbB0gVlqn-q5LMJbGIsqOrzru4yowQz67dz2yc"", ""'GPE'!BI3:BI139""),MATCH(D79,IMPORTRANGE(""1y0FWgjbB0gVlqn-q5LMJbGIsqOrzru4yowQz67dz2yc"", ""'GPE'!D3:D139""),0))"),0)</f>
        <v>0</v>
      </c>
      <c r="AA79" s="1"/>
      <c r="AB79" s="1"/>
      <c r="AC79" s="1"/>
    </row>
    <row r="80" spans="1:29">
      <c r="A80" s="7" t="s">
        <v>199</v>
      </c>
      <c r="B80" s="7" t="s">
        <v>200</v>
      </c>
      <c r="C80" s="1" t="s">
        <v>30</v>
      </c>
      <c r="D80" s="7" t="s">
        <v>225</v>
      </c>
      <c r="E80" s="7" t="s">
        <v>38</v>
      </c>
      <c r="F80" s="9" t="s">
        <v>182</v>
      </c>
      <c r="G80" s="2" t="s">
        <v>56</v>
      </c>
      <c r="H80" s="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2">
        <v>0</v>
      </c>
      <c r="Q80" s="2">
        <v>0</v>
      </c>
      <c r="R80" s="2"/>
      <c r="S80" s="2"/>
      <c r="T80" s="2"/>
      <c r="U80" s="2"/>
      <c r="V80" s="2"/>
      <c r="W80" s="2"/>
      <c r="X80" s="2">
        <v>22</v>
      </c>
      <c r="Y80" s="12">
        <f ca="1">IFERROR(__xludf.DUMMYFUNCTION("INDEX(IMPORTRANGE(""1y0FWgjbB0gVlqn-q5LMJbGIsqOrzru4yowQz67dz2yc"", ""'GPE'!BH3:BH139""),MATCH(D80,IMPORTRANGE(""1y0FWgjbB0gVlqn-q5LMJbGIsqOrzru4yowQz67dz2yc"", ""'GPE'!D3:D139""),0))"),40)</f>
        <v>40</v>
      </c>
      <c r="Z80" s="2">
        <f ca="1">IFERROR(__xludf.DUMMYFUNCTION("INDEX(IMPORTRANGE(""1y0FWgjbB0gVlqn-q5LMJbGIsqOrzru4yowQz67dz2yc"", ""'GPE'!BI3:BI139""),MATCH(D80,IMPORTRANGE(""1y0FWgjbB0gVlqn-q5LMJbGIsqOrzru4yowQz67dz2yc"", ""'GPE'!D3:D139""),0))"),17)</f>
        <v>17</v>
      </c>
      <c r="AA80" s="1"/>
      <c r="AB80" s="1"/>
      <c r="AC80" s="1"/>
    </row>
    <row r="81" spans="1:29">
      <c r="A81" s="7" t="s">
        <v>199</v>
      </c>
      <c r="B81" s="7" t="s">
        <v>200</v>
      </c>
      <c r="C81" s="1" t="s">
        <v>36</v>
      </c>
      <c r="D81" s="7" t="s">
        <v>226</v>
      </c>
      <c r="E81" s="7" t="s">
        <v>38</v>
      </c>
      <c r="F81" s="9" t="s">
        <v>227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2">
        <f t="shared" ref="P81:Q81" si="22">P79+P80</f>
        <v>0</v>
      </c>
      <c r="Q81" s="2">
        <f t="shared" si="22"/>
        <v>0</v>
      </c>
      <c r="R81" s="4">
        <v>8</v>
      </c>
      <c r="S81" s="4">
        <v>8</v>
      </c>
      <c r="T81" s="4">
        <v>8</v>
      </c>
      <c r="U81" s="4">
        <v>8</v>
      </c>
      <c r="V81" s="4">
        <v>8</v>
      </c>
      <c r="W81" s="4">
        <v>40</v>
      </c>
      <c r="X81" s="2">
        <f>X79+X80</f>
        <v>22</v>
      </c>
      <c r="Y81" s="12">
        <f ca="1">IFERROR(__xludf.DUMMYFUNCTION("INDEX(IMPORTRANGE(""1y0FWgjbB0gVlqn-q5LMJbGIsqOrzru4yowQz67dz2yc"", ""'GPE'!BH3:BH139""),MATCH(D81,IMPORTRANGE(""1y0FWgjbB0gVlqn-q5LMJbGIsqOrzru4yowQz67dz2yc"", ""'GPE'!D3:D139""),0))"),45)</f>
        <v>45</v>
      </c>
      <c r="Z81" s="2">
        <f ca="1">IFERROR(__xludf.DUMMYFUNCTION("INDEX(IMPORTRANGE(""1y0FWgjbB0gVlqn-q5LMJbGIsqOrzru4yowQz67dz2yc"", ""'GPE'!BI3:BI139""),MATCH(D81,IMPORTRANGE(""1y0FWgjbB0gVlqn-q5LMJbGIsqOrzru4yowQz67dz2yc"", ""'GPE'!D3:D139""),0))"),17)</f>
        <v>17</v>
      </c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229</v>
      </c>
      <c r="E82" s="7" t="s">
        <v>38</v>
      </c>
      <c r="F82" s="9" t="s">
        <v>230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99</v>
      </c>
      <c r="Q82" s="2">
        <v>212</v>
      </c>
      <c r="R82" s="4"/>
      <c r="S82" s="4"/>
      <c r="T82" s="4"/>
      <c r="U82" s="4"/>
      <c r="V82" s="4"/>
      <c r="W82" s="4"/>
      <c r="X82" s="2">
        <v>133</v>
      </c>
      <c r="Y82" s="12">
        <f ca="1">IFERROR(__xludf.DUMMYFUNCTION("INDEX(IMPORTRANGE(""1y0FWgjbB0gVlqn-q5LMJbGIsqOrzru4yowQz67dz2yc"", ""'GPE'!BH3:BH139""),MATCH(D82,IMPORTRANGE(""1y0FWgjbB0gVlqn-q5LMJbGIsqOrzru4yowQz67dz2yc"", ""'GPE'!D3:D139""),0))"),238)</f>
        <v>238</v>
      </c>
      <c r="Z82" s="2">
        <f ca="1">IFERROR(__xludf.DUMMYFUNCTION("INDEX(IMPORTRANGE(""1y0FWgjbB0gVlqn-q5LMJbGIsqOrzru4yowQz67dz2yc"", ""'GPE'!BI3:BI139""),MATCH(D82,IMPORTRANGE(""1y0FWgjbB0gVlqn-q5LMJbGIsqOrzru4yowQz67dz2yc"", ""'GPE'!D3:D139""),0))"),124)</f>
        <v>124</v>
      </c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233</v>
      </c>
      <c r="E83" s="7" t="s">
        <v>38</v>
      </c>
      <c r="F83" s="9" t="s">
        <v>234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9</v>
      </c>
      <c r="Q83" s="2">
        <v>31</v>
      </c>
      <c r="R83" s="4"/>
      <c r="S83" s="4"/>
      <c r="T83" s="4"/>
      <c r="U83" s="4"/>
      <c r="V83" s="4"/>
      <c r="W83" s="4"/>
      <c r="X83" s="2">
        <v>20</v>
      </c>
      <c r="Y83" s="12">
        <f ca="1">IFERROR(__xludf.DUMMYFUNCTION("INDEX(IMPORTRANGE(""1y0FWgjbB0gVlqn-q5LMJbGIsqOrzru4yowQz67dz2yc"", ""'GPE'!BH3:BH139""),MATCH(D83,IMPORTRANGE(""1y0FWgjbB0gVlqn-q5LMJbGIsqOrzru4yowQz67dz2yc"", ""'GPE'!D3:D139""),0))"),37)</f>
        <v>37</v>
      </c>
      <c r="Z83" s="2">
        <f ca="1">IFERROR(__xludf.DUMMYFUNCTION("INDEX(IMPORTRANGE(""1y0FWgjbB0gVlqn-q5LMJbGIsqOrzru4yowQz67dz2yc"", ""'GPE'!BI3:BI139""),MATCH(D83,IMPORTRANGE(""1y0FWgjbB0gVlqn-q5LMJbGIsqOrzru4yowQz67dz2yc"", ""'GPE'!D3:D139""),0))"),13)</f>
        <v>13</v>
      </c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235</v>
      </c>
      <c r="E84" s="7" t="s">
        <v>38</v>
      </c>
      <c r="F84" s="9" t="s">
        <v>236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1298</v>
      </c>
      <c r="Q84" s="12">
        <v>2765</v>
      </c>
      <c r="R84" s="4"/>
      <c r="S84" s="4"/>
      <c r="T84" s="4"/>
      <c r="U84" s="4"/>
      <c r="V84" s="4"/>
      <c r="W84" s="4"/>
      <c r="X84" s="2">
        <v>2591</v>
      </c>
      <c r="Y84" s="12">
        <f ca="1">IFERROR(__xludf.DUMMYFUNCTION("INDEX(IMPORTRANGE(""1y0FWgjbB0gVlqn-q5LMJbGIsqOrzru4yowQz67dz2yc"", ""'GPE'!BH3:BH139""),MATCH(D84,IMPORTRANGE(""1y0FWgjbB0gVlqn-q5LMJbGIsqOrzru4yowQz67dz2yc"", ""'GPE'!D3:D139""),0))"),4640)</f>
        <v>4640</v>
      </c>
      <c r="Z84" s="2">
        <f ca="1">IFERROR(__xludf.DUMMYFUNCTION("INDEX(IMPORTRANGE(""1y0FWgjbB0gVlqn-q5LMJbGIsqOrzru4yowQz67dz2yc"", ""'GPE'!BI3:BI139""),MATCH(D84,IMPORTRANGE(""1y0FWgjbB0gVlqn-q5LMJbGIsqOrzru4yowQz67dz2yc"", ""'GPE'!D3:D139""),0))"),1268)</f>
        <v>1268</v>
      </c>
      <c r="AA84" s="1"/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237</v>
      </c>
      <c r="E85" s="7" t="s">
        <v>38</v>
      </c>
      <c r="F85" s="9" t="s">
        <v>238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167</v>
      </c>
      <c r="Q85" s="2">
        <v>368</v>
      </c>
      <c r="R85" s="4"/>
      <c r="S85" s="4"/>
      <c r="T85" s="4"/>
      <c r="U85" s="4"/>
      <c r="V85" s="4"/>
      <c r="W85" s="4"/>
      <c r="X85" s="2">
        <v>351</v>
      </c>
      <c r="Y85" s="12">
        <f ca="1">IFERROR(__xludf.DUMMYFUNCTION("INDEX(IMPORTRANGE(""1y0FWgjbB0gVlqn-q5LMJbGIsqOrzru4yowQz67dz2yc"", ""'GPE'!BH3:BH139""),MATCH(D85,IMPORTRANGE(""1y0FWgjbB0gVlqn-q5LMJbGIsqOrzru4yowQz67dz2yc"", ""'GPE'!D3:D139""),0))"),663)</f>
        <v>663</v>
      </c>
      <c r="Z85" s="2">
        <f ca="1">IFERROR(__xludf.DUMMYFUNCTION("INDEX(IMPORTRANGE(""1y0FWgjbB0gVlqn-q5LMJbGIsqOrzru4yowQz67dz2yc"", ""'GPE'!BI3:BI139""),MATCH(D85,IMPORTRANGE(""1y0FWgjbB0gVlqn-q5LMJbGIsqOrzru4yowQz67dz2yc"", ""'GPE'!D3:D139""),0))"),242)</f>
        <v>242</v>
      </c>
      <c r="AA85" s="1"/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239</v>
      </c>
      <c r="E86" s="7" t="s">
        <v>38</v>
      </c>
      <c r="F86" s="9" t="s">
        <v>240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920</v>
      </c>
      <c r="Q86" s="12">
        <v>1862</v>
      </c>
      <c r="R86" s="4"/>
      <c r="S86" s="4"/>
      <c r="T86" s="4"/>
      <c r="U86" s="4"/>
      <c r="V86" s="4"/>
      <c r="W86" s="4"/>
      <c r="X86" s="2">
        <v>177</v>
      </c>
      <c r="Y86" s="12">
        <f ca="1">IFERROR(__xludf.DUMMYFUNCTION("INDEX(IMPORTRANGE(""1y0FWgjbB0gVlqn-q5LMJbGIsqOrzru4yowQz67dz2yc"", ""'GPE'!BH3:BH139""),MATCH(D86,IMPORTRANGE(""1y0FWgjbB0gVlqn-q5LMJbGIsqOrzru4yowQz67dz2yc"", ""'GPE'!D3:D139""),0))"),316)</f>
        <v>316</v>
      </c>
      <c r="Z86" s="2">
        <f ca="1">IFERROR(__xludf.DUMMYFUNCTION("INDEX(IMPORTRANGE(""1y0FWgjbB0gVlqn-q5LMJbGIsqOrzru4yowQz67dz2yc"", ""'GPE'!BI3:BI139""),MATCH(D86,IMPORTRANGE(""1y0FWgjbB0gVlqn-q5LMJbGIsqOrzru4yowQz67dz2yc"", ""'GPE'!D3:D139""),0))"),68)</f>
        <v>68</v>
      </c>
      <c r="AA86" s="1"/>
      <c r="AB86" s="1"/>
      <c r="AC86" s="1"/>
    </row>
    <row r="87" spans="1:29">
      <c r="A87" s="7" t="s">
        <v>199</v>
      </c>
      <c r="B87" s="7" t="s">
        <v>228</v>
      </c>
      <c r="C87" s="1" t="s">
        <v>36</v>
      </c>
      <c r="D87" s="7" t="s">
        <v>241</v>
      </c>
      <c r="E87" s="7" t="s">
        <v>38</v>
      </c>
      <c r="F87" s="2" t="s">
        <v>242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2493</v>
      </c>
      <c r="Q87" s="2">
        <v>5238</v>
      </c>
      <c r="R87" s="29">
        <f>(1-0.1%)*Q87</f>
        <v>5232.7619999999997</v>
      </c>
      <c r="S87" s="29">
        <f>(1-0.25%)*P87</f>
        <v>2486.7674999999999</v>
      </c>
      <c r="T87" s="29">
        <f>(1-0.4%)*Q87</f>
        <v>5217.0479999999998</v>
      </c>
      <c r="U87" s="29">
        <f>(1-0.6%)*P87</f>
        <v>2478.0419999999999</v>
      </c>
      <c r="V87" s="29">
        <f t="shared" ref="V87:W87" si="23">(1-1%)*Q87</f>
        <v>5185.62</v>
      </c>
      <c r="W87" s="29">
        <f t="shared" si="23"/>
        <v>5180.4343799999997</v>
      </c>
      <c r="X87" s="2">
        <v>3272</v>
      </c>
      <c r="Y87" s="12">
        <f ca="1">IFERROR(__xludf.DUMMYFUNCTION("INDEX(IMPORTRANGE(""1y0FWgjbB0gVlqn-q5LMJbGIsqOrzru4yowQz67dz2yc"", ""'GPE'!BH3:BH139""),MATCH(D87,IMPORTRANGE(""1y0FWgjbB0gVlqn-q5LMJbGIsqOrzru4yowQz67dz2yc"", ""'GPE'!D3:D139""),0))"),5894)</f>
        <v>5894</v>
      </c>
      <c r="Z87" s="2">
        <f ca="1">IFERROR(__xludf.DUMMYFUNCTION("INDEX(IMPORTRANGE(""1y0FWgjbB0gVlqn-q5LMJbGIsqOrzru4yowQz67dz2yc"", ""'GPE'!BI3:BI139""),MATCH(D87,IMPORTRANGE(""1y0FWgjbB0gVlqn-q5LMJbGIsqOrzru4yowQz67dz2yc"", ""'GPE'!D3:D139""),0))"),1715)</f>
        <v>1715</v>
      </c>
      <c r="AA87" s="1"/>
      <c r="AB87" s="1"/>
      <c r="AC87" s="1"/>
    </row>
    <row r="88" spans="1:29">
      <c r="A88" s="7" t="s">
        <v>243</v>
      </c>
      <c r="B88" s="7" t="s">
        <v>244</v>
      </c>
      <c r="C88" s="1" t="s">
        <v>36</v>
      </c>
      <c r="D88" s="7" t="s">
        <v>338</v>
      </c>
      <c r="E88" s="7" t="s">
        <v>38</v>
      </c>
      <c r="F88" s="9" t="s">
        <v>246</v>
      </c>
      <c r="G88" s="2" t="s">
        <v>56</v>
      </c>
      <c r="H88" s="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0</v>
      </c>
      <c r="Q88" s="2">
        <v>0</v>
      </c>
      <c r="R88" s="2">
        <v>10</v>
      </c>
      <c r="S88" s="2">
        <v>10</v>
      </c>
      <c r="T88" s="2">
        <v>10</v>
      </c>
      <c r="U88" s="2">
        <v>10</v>
      </c>
      <c r="V88" s="2">
        <v>10</v>
      </c>
      <c r="W88" s="2">
        <v>10</v>
      </c>
      <c r="X88" s="2">
        <v>3</v>
      </c>
      <c r="Y88" s="2">
        <f ca="1">IFERROR(__xludf.DUMMYFUNCTION("INDEX(IMPORTRANGE(""1y0FWgjbB0gVlqn-q5LMJbGIsqOrzru4yowQz67dz2yc"", ""'GPE'!BH3:BH139""),MATCH(D88,IMPORTRANGE(""1y0FWgjbB0gVlqn-q5LMJbGIsqOrzru4yowQz67dz2yc"", ""'GPE'!D3:D139""),0))"),17)</f>
        <v>17</v>
      </c>
      <c r="Z88" s="2">
        <f ca="1">IFERROR(__xludf.DUMMYFUNCTION("INDEX(IMPORTRANGE(""1y0FWgjbB0gVlqn-q5LMJbGIsqOrzru4yowQz67dz2yc"", ""'GPE'!BI3:BI139""),MATCH(D88,IMPORTRANGE(""1y0FWgjbB0gVlqn-q5LMJbGIsqOrzru4yowQz67dz2yc"", ""'GPE'!D3:D139""),0))"),15)</f>
        <v>15</v>
      </c>
      <c r="AA88" s="1"/>
      <c r="AB88" s="1"/>
      <c r="AC88" s="1"/>
    </row>
    <row r="89" spans="1:29">
      <c r="A89" s="7" t="s">
        <v>243</v>
      </c>
      <c r="B89" s="7" t="s">
        <v>247</v>
      </c>
      <c r="C89" s="1" t="s">
        <v>36</v>
      </c>
      <c r="D89" s="7" t="s">
        <v>248</v>
      </c>
      <c r="E89" s="7" t="s">
        <v>38</v>
      </c>
      <c r="F89" s="9" t="s">
        <v>249</v>
      </c>
      <c r="G89" s="11">
        <v>44469</v>
      </c>
      <c r="H89" s="11">
        <v>44469</v>
      </c>
      <c r="I89" s="11" t="s">
        <v>254</v>
      </c>
      <c r="J89" s="11">
        <v>44713</v>
      </c>
      <c r="K89" s="11" t="s">
        <v>255</v>
      </c>
      <c r="L89" s="11">
        <v>45078</v>
      </c>
      <c r="M89" s="11" t="s">
        <v>256</v>
      </c>
      <c r="N89" s="11">
        <v>45444</v>
      </c>
      <c r="O89" s="11">
        <v>45444</v>
      </c>
      <c r="P89" s="2">
        <v>6</v>
      </c>
      <c r="Q89" s="2">
        <v>6</v>
      </c>
      <c r="R89" s="2">
        <v>8</v>
      </c>
      <c r="S89" s="2">
        <v>10</v>
      </c>
      <c r="T89" s="2">
        <v>12</v>
      </c>
      <c r="U89" s="2">
        <v>14</v>
      </c>
      <c r="V89" s="2">
        <v>16</v>
      </c>
      <c r="W89" s="2">
        <v>16</v>
      </c>
      <c r="X89" s="2">
        <v>6</v>
      </c>
      <c r="Y89" s="2">
        <f ca="1">IFERROR(__xludf.DUMMYFUNCTION("INDEX(IMPORTRANGE(""1y0FWgjbB0gVlqn-q5LMJbGIsqOrzru4yowQz67dz2yc"", ""'GPE'!BH3:BH139""),MATCH(D89,IMPORTRANGE(""1y0FWgjbB0gVlqn-q5LMJbGIsqOrzru4yowQz67dz2yc"", ""'GPE'!D3:D139""),0))"),8)</f>
        <v>8</v>
      </c>
      <c r="Z89" s="2">
        <f ca="1">IFERROR(__xludf.DUMMYFUNCTION("INDEX(IMPORTRANGE(""1y0FWgjbB0gVlqn-q5LMJbGIsqOrzru4yowQz67dz2yc"", ""'GPE'!BI3:BI139""),MATCH(D89,IMPORTRANGE(""1y0FWgjbB0gVlqn-q5LMJbGIsqOrzru4yowQz67dz2yc"", ""'GPE'!D3:D139""),0))"),10)</f>
        <v>10</v>
      </c>
      <c r="AA89" s="1"/>
      <c r="AB89" s="1"/>
      <c r="AC89" s="1"/>
    </row>
    <row r="90" spans="1:29">
      <c r="A90" s="7" t="s">
        <v>243</v>
      </c>
      <c r="B90" s="7" t="s">
        <v>250</v>
      </c>
      <c r="C90" s="1" t="s">
        <v>36</v>
      </c>
      <c r="D90" s="7" t="s">
        <v>251</v>
      </c>
      <c r="E90" s="7" t="s">
        <v>252</v>
      </c>
      <c r="F90" s="9" t="s">
        <v>253</v>
      </c>
      <c r="G90" s="11">
        <v>44469</v>
      </c>
      <c r="H90" s="11">
        <v>44469</v>
      </c>
      <c r="I90" s="11">
        <v>44651</v>
      </c>
      <c r="J90" s="11">
        <v>44834</v>
      </c>
      <c r="K90" s="11">
        <v>45016</v>
      </c>
      <c r="L90" s="11">
        <v>45199</v>
      </c>
      <c r="M90" s="11">
        <v>45382</v>
      </c>
      <c r="N90" s="11">
        <v>45565</v>
      </c>
      <c r="O90" s="11">
        <v>45565</v>
      </c>
      <c r="P90" s="2">
        <v>100</v>
      </c>
      <c r="Q90" s="2">
        <v>100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2">
        <v>100</v>
      </c>
      <c r="Y90" s="24">
        <f ca="1">IFERROR(__xludf.DUMMYFUNCTION("INDEX(IMPORTRANGE(""1y0FWgjbB0gVlqn-q5LMJbGIsqOrzru4yowQz67dz2yc"", ""'GPE'!BH3:BH139""),MATCH(D90,IMPORTRANGE(""1y0FWgjbB0gVlqn-q5LMJbGIsqOrzru4yowQz67dz2yc"", ""'GPE'!D3:D139""),0))"),100)</f>
        <v>100</v>
      </c>
      <c r="Z90" s="2">
        <f ca="1">IFERROR(__xludf.DUMMYFUNCTION("INDEX(IMPORTRANGE(""1y0FWgjbB0gVlqn-q5LMJbGIsqOrzru4yowQz67dz2yc"", ""'GPE'!BI3:BI139""),MATCH(D90,IMPORTRANGE(""1y0FWgjbB0gVlqn-q5LMJbGIsqOrzru4yowQz67dz2yc"", ""'GPE'!D3:D139""),0))"),100)</f>
        <v>100</v>
      </c>
      <c r="AA90" s="1"/>
      <c r="AB90" s="1"/>
      <c r="AC90" s="1"/>
    </row>
    <row r="91" spans="1:29">
      <c r="A91" s="7" t="s">
        <v>243</v>
      </c>
      <c r="B91" s="7" t="s">
        <v>257</v>
      </c>
      <c r="C91" s="1" t="s">
        <v>36</v>
      </c>
      <c r="D91" s="7" t="s">
        <v>258</v>
      </c>
      <c r="E91" s="7" t="s">
        <v>38</v>
      </c>
      <c r="F91" s="9" t="s">
        <v>259</v>
      </c>
      <c r="G91" s="11">
        <v>44469</v>
      </c>
      <c r="H91" s="287"/>
      <c r="I91" s="11">
        <v>44651</v>
      </c>
      <c r="J91" s="287"/>
      <c r="K91" s="11">
        <v>45016</v>
      </c>
      <c r="L91" s="287"/>
      <c r="M91" s="11">
        <v>45382</v>
      </c>
      <c r="N91" s="287"/>
      <c r="O91" s="11">
        <v>45565</v>
      </c>
      <c r="P91" s="12">
        <v>0</v>
      </c>
      <c r="Q91" s="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23">
        <v>3</v>
      </c>
      <c r="Y91" s="23">
        <f ca="1">IFERROR(__xludf.DUMMYFUNCTION("INDEX(IMPORTRANGE(""1y0FWgjbB0gVlqn-q5LMJbGIsqOrzru4yowQz67dz2yc"", ""'GPE'!BH3:BH139""),MATCH(D91,IMPORTRANGE(""1y0FWgjbB0gVlqn-q5LMJbGIsqOrzru4yowQz67dz2yc"", ""'GPE'!D3:D139""),0))"),4)</f>
        <v>4</v>
      </c>
      <c r="Z91" s="24">
        <f ca="1">IFERROR(__xludf.DUMMYFUNCTION("INDEX(IMPORTRANGE(""1y0FWgjbB0gVlqn-q5LMJbGIsqOrzru4yowQz67dz2yc"", ""'GPE'!BI3:BI139""),MATCH(D91,IMPORTRANGE(""1y0FWgjbB0gVlqn-q5LMJbGIsqOrzru4yowQz67dz2yc"", ""'GPE'!D3:D139""),0))"),3.69117647058823)</f>
        <v>3.6911764705882302</v>
      </c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261</v>
      </c>
      <c r="E92" s="7" t="s">
        <v>38</v>
      </c>
      <c r="F92" s="9" t="s">
        <v>262</v>
      </c>
      <c r="G92" s="11">
        <v>44469</v>
      </c>
      <c r="H92" s="181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254"/>
      <c r="Q92" s="254"/>
      <c r="R92" s="4"/>
      <c r="S92" s="4"/>
      <c r="T92" s="4"/>
      <c r="U92" s="4"/>
      <c r="V92" s="4"/>
      <c r="W92" s="4"/>
      <c r="X92" s="2">
        <v>4</v>
      </c>
      <c r="Y92" s="2">
        <f ca="1">IFERROR(__xludf.DUMMYFUNCTION("INDEX(IMPORTRANGE(""1y0FWgjbB0gVlqn-q5LMJbGIsqOrzru4yowQz67dz2yc"", ""'GPE'!BH3:BH139""),MATCH(D92,IMPORTRANGE(""1y0FWgjbB0gVlqn-q5LMJbGIsqOrzru4yowQz67dz2yc"", ""'GPE'!D3:D139""),0))"),3)</f>
        <v>3</v>
      </c>
      <c r="Z92" s="2">
        <f ca="1">IFERROR(__xludf.DUMMYFUNCTION("INDEX(IMPORTRANGE(""1y0FWgjbB0gVlqn-q5LMJbGIsqOrzru4yowQz67dz2yc"", ""'GPE'!BI3:BI139""),MATCH(D92,IMPORTRANGE(""1y0FWgjbB0gVlqn-q5LMJbGIsqOrzru4yowQz67dz2yc"", ""'GPE'!D3:D139""),0))"),3)</f>
        <v>3</v>
      </c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263</v>
      </c>
      <c r="E93" s="7" t="s">
        <v>38</v>
      </c>
      <c r="F93" s="9" t="s">
        <v>264</v>
      </c>
      <c r="G93" s="11">
        <v>44469</v>
      </c>
      <c r="H93" s="181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254"/>
      <c r="Q93" s="254"/>
      <c r="R93" s="4"/>
      <c r="S93" s="4"/>
      <c r="T93" s="4"/>
      <c r="U93" s="4"/>
      <c r="V93" s="4"/>
      <c r="W93" s="4"/>
      <c r="X93" s="2">
        <v>11</v>
      </c>
      <c r="Y93" s="2">
        <f ca="1">IFERROR(__xludf.DUMMYFUNCTION("INDEX(IMPORTRANGE(""1y0FWgjbB0gVlqn-q5LMJbGIsqOrzru4yowQz67dz2yc"", ""'GPE'!BH3:BH139""),MATCH(D93,IMPORTRANGE(""1y0FWgjbB0gVlqn-q5LMJbGIsqOrzru4yowQz67dz2yc"", ""'GPE'!D3:D139""),0))"),10)</f>
        <v>10</v>
      </c>
      <c r="Z93" s="2">
        <f ca="1">IFERROR(__xludf.DUMMYFUNCTION("INDEX(IMPORTRANGE(""1y0FWgjbB0gVlqn-q5LMJbGIsqOrzru4yowQz67dz2yc"", ""'GPE'!BI3:BI139""),MATCH(D93,IMPORTRANGE(""1y0FWgjbB0gVlqn-q5LMJbGIsqOrzru4yowQz67dz2yc"", ""'GPE'!D3:D139""),0))"),10)</f>
        <v>10</v>
      </c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265</v>
      </c>
      <c r="E94" s="7" t="s">
        <v>38</v>
      </c>
      <c r="F94" s="9" t="s">
        <v>266</v>
      </c>
      <c r="G94" s="11">
        <v>44469</v>
      </c>
      <c r="H94" s="181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0</v>
      </c>
      <c r="Y94" s="2">
        <f ca="1">IFERROR(__xludf.DUMMYFUNCTION("INDEX(IMPORTRANGE(""1y0FWgjbB0gVlqn-q5LMJbGIsqOrzru4yowQz67dz2yc"", ""'GPE'!BH3:BH139""),MATCH(D94,IMPORTRANGE(""1y0FWgjbB0gVlqn-q5LMJbGIsqOrzru4yowQz67dz2yc"", ""'GPE'!D3:D139""),0))"),0)</f>
        <v>0</v>
      </c>
      <c r="Z94" s="2">
        <f ca="1">IFERROR(__xludf.DUMMYFUNCTION("INDEX(IMPORTRANGE(""1y0FWgjbB0gVlqn-q5LMJbGIsqOrzru4yowQz67dz2yc"", ""'GPE'!BI3:BI139""),MATCH(D94,IMPORTRANGE(""1y0FWgjbB0gVlqn-q5LMJbGIsqOrzru4yowQz67dz2yc"", ""'GPE'!D3:D139""),0))"),0)</f>
        <v>0</v>
      </c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267</v>
      </c>
      <c r="E95" s="7" t="s">
        <v>38</v>
      </c>
      <c r="F95" s="9" t="s">
        <v>268</v>
      </c>
      <c r="G95" s="11">
        <v>44469</v>
      </c>
      <c r="H95" s="181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0</v>
      </c>
      <c r="Y95" s="2">
        <f ca="1">IFERROR(__xludf.DUMMYFUNCTION("INDEX(IMPORTRANGE(""1y0FWgjbB0gVlqn-q5LMJbGIsqOrzru4yowQz67dz2yc"", ""'GPE'!BH3:BH139""),MATCH(D95,IMPORTRANGE(""1y0FWgjbB0gVlqn-q5LMJbGIsqOrzru4yowQz67dz2yc"", ""'GPE'!D3:D139""),0))"),0)</f>
        <v>0</v>
      </c>
      <c r="Z95" s="2">
        <f ca="1">IFERROR(__xludf.DUMMYFUNCTION("INDEX(IMPORTRANGE(""1y0FWgjbB0gVlqn-q5LMJbGIsqOrzru4yowQz67dz2yc"", ""'GPE'!BI3:BI139""),MATCH(D95,IMPORTRANGE(""1y0FWgjbB0gVlqn-q5LMJbGIsqOrzru4yowQz67dz2yc"", ""'GPE'!D3:D139""),0))"),0)</f>
        <v>0</v>
      </c>
      <c r="AA95" s="1"/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269</v>
      </c>
      <c r="E96" s="7" t="s">
        <v>38</v>
      </c>
      <c r="F96" s="9" t="s">
        <v>270</v>
      </c>
      <c r="G96" s="11">
        <v>44469</v>
      </c>
      <c r="H96" s="181"/>
      <c r="I96" s="11">
        <v>44651</v>
      </c>
      <c r="J96" s="181"/>
      <c r="K96" s="11">
        <v>45016</v>
      </c>
      <c r="L96" s="181"/>
      <c r="M96" s="11">
        <v>45382</v>
      </c>
      <c r="N96" s="181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9</v>
      </c>
      <c r="Y96" s="2">
        <f ca="1">IFERROR(__xludf.DUMMYFUNCTION("INDEX(IMPORTRANGE(""1y0FWgjbB0gVlqn-q5LMJbGIsqOrzru4yowQz67dz2yc"", ""'GPE'!BH3:BH139""),MATCH(D96,IMPORTRANGE(""1y0FWgjbB0gVlqn-q5LMJbGIsqOrzru4yowQz67dz2yc"", ""'GPE'!D3:D139""),0))"),10)</f>
        <v>10</v>
      </c>
      <c r="Z96" s="2">
        <f ca="1">IFERROR(__xludf.DUMMYFUNCTION("INDEX(IMPORTRANGE(""1y0FWgjbB0gVlqn-q5LMJbGIsqOrzru4yowQz67dz2yc"", ""'GPE'!BI3:BI139""),MATCH(D96,IMPORTRANGE(""1y0FWgjbB0gVlqn-q5LMJbGIsqOrzru4yowQz67dz2yc"", ""'GPE'!D3:D139""),0))"),18)</f>
        <v>18</v>
      </c>
      <c r="AA96" s="1"/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271</v>
      </c>
      <c r="E97" s="7" t="s">
        <v>38</v>
      </c>
      <c r="F97" s="9" t="s">
        <v>272</v>
      </c>
      <c r="G97" s="11">
        <v>44469</v>
      </c>
      <c r="H97" s="181"/>
      <c r="I97" s="11">
        <v>44651</v>
      </c>
      <c r="J97" s="181"/>
      <c r="K97" s="11">
        <v>45016</v>
      </c>
      <c r="L97" s="181"/>
      <c r="M97" s="11">
        <v>45382</v>
      </c>
      <c r="N97" s="181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49</v>
      </c>
      <c r="Y97" s="2">
        <f ca="1">IFERROR(__xludf.DUMMYFUNCTION("INDEX(IMPORTRANGE(""1y0FWgjbB0gVlqn-q5LMJbGIsqOrzru4yowQz67dz2yc"", ""'GPE'!BH3:BH139""),MATCH(D97,IMPORTRANGE(""1y0FWgjbB0gVlqn-q5LMJbGIsqOrzru4yowQz67dz2yc"", ""'GPE'!D3:D139""),0))"),51)</f>
        <v>51</v>
      </c>
      <c r="Z97" s="2">
        <f ca="1">IFERROR(__xludf.DUMMYFUNCTION("INDEX(IMPORTRANGE(""1y0FWgjbB0gVlqn-q5LMJbGIsqOrzru4yowQz67dz2yc"", ""'GPE'!BI3:BI139""),MATCH(D97,IMPORTRANGE(""1y0FWgjbB0gVlqn-q5LMJbGIsqOrzru4yowQz67dz2yc"", ""'GPE'!D3:D139""),0))"),65)</f>
        <v>65</v>
      </c>
      <c r="AA97" s="1"/>
      <c r="AB97" s="1"/>
      <c r="AC97" s="1"/>
    </row>
    <row r="98" spans="1:29">
      <c r="A98" s="7" t="s">
        <v>243</v>
      </c>
      <c r="B98" s="7" t="s">
        <v>260</v>
      </c>
      <c r="C98" s="1" t="s">
        <v>36</v>
      </c>
      <c r="D98" s="7" t="s">
        <v>273</v>
      </c>
      <c r="E98" s="7" t="s">
        <v>38</v>
      </c>
      <c r="F98" s="9" t="s">
        <v>274</v>
      </c>
      <c r="G98" s="183" t="s">
        <v>213</v>
      </c>
      <c r="H98" s="1" t="s">
        <v>214</v>
      </c>
      <c r="I98" s="183" t="s">
        <v>215</v>
      </c>
      <c r="J98" s="13"/>
      <c r="K98" s="183" t="s">
        <v>216</v>
      </c>
      <c r="L98" s="13"/>
      <c r="M98" s="183" t="s">
        <v>217</v>
      </c>
      <c r="N98" s="1" t="s">
        <v>218</v>
      </c>
      <c r="O98" s="348" t="s">
        <v>218</v>
      </c>
      <c r="P98" s="254"/>
      <c r="Q98" s="254"/>
      <c r="R98" s="60">
        <v>0.5</v>
      </c>
      <c r="S98" s="60">
        <v>0.5</v>
      </c>
      <c r="T98" s="60">
        <v>0.5</v>
      </c>
      <c r="U98" s="60">
        <v>0.5</v>
      </c>
      <c r="V98" s="60">
        <v>0.5</v>
      </c>
      <c r="W98" s="60">
        <v>0.5</v>
      </c>
      <c r="X98" s="15">
        <f>SUM(X92,X94,X96)/SUM(X93,X95,X97)</f>
        <v>0.21666666666666667</v>
      </c>
      <c r="Y98" s="15">
        <f ca="1">IFERROR(__xludf.DUMMYFUNCTION("INDEX(IMPORTRANGE(""1y0FWgjbB0gVlqn-q5LMJbGIsqOrzru4yowQz67dz2yc"", ""'GPE'!BH3:BH139""),MATCH(D98,IMPORTRANGE(""1y0FWgjbB0gVlqn-q5LMJbGIsqOrzru4yowQz67dz2yc"", ""'GPE'!D3:D139""),0))"),0.21311475409836)</f>
        <v>0.21311475409836</v>
      </c>
      <c r="Z98" s="15">
        <f ca="1">IFERROR(__xludf.DUMMYFUNCTION("INDEX(IMPORTRANGE(""1y0FWgjbB0gVlqn-q5LMJbGIsqOrzru4yowQz67dz2yc"", ""'GPE'!BI3:BI139""),MATCH(D98,IMPORTRANGE(""1y0FWgjbB0gVlqn-q5LMJbGIsqOrzru4yowQz67dz2yc"", ""'GPE'!D3:D139""),0))"),0.28)</f>
        <v>0.28000000000000003</v>
      </c>
      <c r="AA98" s="1"/>
      <c r="AB98" s="1"/>
      <c r="AC98" s="1"/>
    </row>
    <row r="99" spans="1:29">
      <c r="A99" s="7" t="s">
        <v>275</v>
      </c>
      <c r="B99" s="7" t="s">
        <v>276</v>
      </c>
      <c r="C99" s="1" t="s">
        <v>30</v>
      </c>
      <c r="D99" s="7" t="s">
        <v>277</v>
      </c>
      <c r="E99" s="7" t="s">
        <v>278</v>
      </c>
      <c r="F99" s="9" t="s">
        <v>279</v>
      </c>
      <c r="G99" s="7" t="s">
        <v>213</v>
      </c>
      <c r="H99" s="1" t="s">
        <v>214</v>
      </c>
      <c r="I99" s="7" t="s">
        <v>215</v>
      </c>
      <c r="J99" s="181"/>
      <c r="K99" s="7" t="s">
        <v>216</v>
      </c>
      <c r="L99" s="181"/>
      <c r="M99" s="7" t="s">
        <v>217</v>
      </c>
      <c r="N99" s="1" t="s">
        <v>218</v>
      </c>
      <c r="O99" s="1" t="s">
        <v>218</v>
      </c>
      <c r="P99" s="349">
        <v>596817816</v>
      </c>
      <c r="Q99" s="36">
        <v>596817816</v>
      </c>
      <c r="R99" s="4"/>
      <c r="S99" s="4"/>
      <c r="T99" s="4"/>
      <c r="U99" s="4"/>
      <c r="V99" s="4"/>
      <c r="W99" s="4"/>
      <c r="X99" s="349">
        <v>596817816</v>
      </c>
      <c r="Y99" s="353" t="str">
        <f ca="1">IFERROR(__xludf.DUMMYFUNCTION("INDEX(IMPORTRANGE(""1y0FWgjbB0gVlqn-q5LMJbGIsqOrzru4yowQz67dz2yc"", ""'GPE'!BH3:BH139""),MATCH(D99,IMPORTRANGE(""1y0FWgjbB0gVlqn-q5LMJbGIsqOrzru4yowQz67dz2yc"", ""'GPE'!D3:D139""),0))"),"")</f>
        <v/>
      </c>
      <c r="Z99" s="349">
        <f ca="1">IFERROR(__xludf.DUMMYFUNCTION("INDEX(IMPORTRANGE(""1y0FWgjbB0gVlqn-q5LMJbGIsqOrzru4yowQz67dz2yc"", ""'GPE'!BI3:BI139""),MATCH(D99,IMPORTRANGE(""1y0FWgjbB0gVlqn-q5LMJbGIsqOrzru4yowQz67dz2yc"", ""'GPE'!D3:D139""),0))"),840544065)</f>
        <v>840544065</v>
      </c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30</v>
      </c>
      <c r="D100" s="7" t="s">
        <v>280</v>
      </c>
      <c r="E100" s="7" t="s">
        <v>278</v>
      </c>
      <c r="F100" s="9" t="s">
        <v>281</v>
      </c>
      <c r="G100" s="7" t="s">
        <v>213</v>
      </c>
      <c r="H100" s="1" t="s">
        <v>214</v>
      </c>
      <c r="I100" s="7" t="s">
        <v>215</v>
      </c>
      <c r="J100" s="181"/>
      <c r="K100" s="7" t="s">
        <v>216</v>
      </c>
      <c r="L100" s="181"/>
      <c r="M100" s="7" t="s">
        <v>217</v>
      </c>
      <c r="N100" s="1" t="s">
        <v>218</v>
      </c>
      <c r="O100" s="1" t="s">
        <v>218</v>
      </c>
      <c r="P100" s="349">
        <v>2180414073</v>
      </c>
      <c r="Q100" s="36">
        <v>2180414073</v>
      </c>
      <c r="R100" s="4"/>
      <c r="S100" s="4"/>
      <c r="T100" s="4"/>
      <c r="U100" s="4"/>
      <c r="V100" s="4"/>
      <c r="W100" s="4"/>
      <c r="X100" s="349">
        <v>2180414073</v>
      </c>
      <c r="Y100" s="353" t="str">
        <f ca="1">IFERROR(__xludf.DUMMYFUNCTION("INDEX(IMPORTRANGE(""1y0FWgjbB0gVlqn-q5LMJbGIsqOrzru4yowQz67dz2yc"", ""'GPE'!BH3:BH139""),MATCH(D100,IMPORTRANGE(""1y0FWgjbB0gVlqn-q5LMJbGIsqOrzru4yowQz67dz2yc"", ""'GPE'!D3:D139""),0))"),"")</f>
        <v/>
      </c>
      <c r="Z100" s="349">
        <f ca="1">IFERROR(__xludf.DUMMYFUNCTION("INDEX(IMPORTRANGE(""1y0FWgjbB0gVlqn-q5LMJbGIsqOrzru4yowQz67dz2yc"", ""'GPE'!BI3:BI139""),MATCH(D100,IMPORTRANGE(""1y0FWgjbB0gVlqn-q5LMJbGIsqOrzru4yowQz67dz2yc"", ""'GPE'!D3:D139""),0))"),2968376016)</f>
        <v>2968376016</v>
      </c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36</v>
      </c>
      <c r="D101" s="7" t="s">
        <v>282</v>
      </c>
      <c r="E101" s="7" t="s">
        <v>278</v>
      </c>
      <c r="F101" s="9" t="s">
        <v>283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15">
        <f t="shared" ref="P101:Q101" si="24">P99/P100</f>
        <v>0.27371764995941666</v>
      </c>
      <c r="Q101" s="15">
        <f t="shared" si="24"/>
        <v>0.27371764995941666</v>
      </c>
      <c r="R101" s="2"/>
      <c r="S101" s="26">
        <v>0.32400000000000001</v>
      </c>
      <c r="T101" s="2"/>
      <c r="U101" s="26">
        <v>0.34399999999999997</v>
      </c>
      <c r="V101" s="26">
        <v>0.36399999999999999</v>
      </c>
      <c r="W101" s="26">
        <v>0.36399999999999999</v>
      </c>
      <c r="X101" s="15">
        <f>X99/X100</f>
        <v>0.27371764995941666</v>
      </c>
      <c r="Y101" s="354" t="str">
        <f ca="1">IFERROR(__xludf.DUMMYFUNCTION("INDEX(IMPORTRANGE(""1y0FWgjbB0gVlqn-q5LMJbGIsqOrzru4yowQz67dz2yc"", ""'GPE'!BH3:BH139""),MATCH(D101,IMPORTRANGE(""1y0FWgjbB0gVlqn-q5LMJbGIsqOrzru4yowQz67dz2yc"", ""'GPE'!D3:D139""),0))"),"")</f>
        <v/>
      </c>
      <c r="Z101" s="15">
        <f ca="1">IFERROR(__xludf.DUMMYFUNCTION("INDEX(IMPORTRANGE(""1y0FWgjbB0gVlqn-q5LMJbGIsqOrzru4yowQz67dz2yc"", ""'GPE'!BI3:BI139""),MATCH(D101,IMPORTRANGE(""1y0FWgjbB0gVlqn-q5LMJbGIsqOrzru4yowQz67dz2yc"", ""'GPE'!D3:D139""),0))"),0.283166303887829)</f>
        <v>0.28316630388782899</v>
      </c>
      <c r="AA101" s="1"/>
      <c r="AB101" s="1"/>
      <c r="AC101" s="1"/>
    </row>
    <row r="102" spans="1:29">
      <c r="A102" s="7" t="s">
        <v>275</v>
      </c>
      <c r="B102" s="7" t="s">
        <v>284</v>
      </c>
      <c r="C102" s="1" t="s">
        <v>30</v>
      </c>
      <c r="D102" s="7" t="s">
        <v>285</v>
      </c>
      <c r="E102" s="7" t="s">
        <v>278</v>
      </c>
      <c r="F102" s="9" t="s">
        <v>286</v>
      </c>
      <c r="G102" s="7" t="s">
        <v>213</v>
      </c>
      <c r="H102" s="1" t="s">
        <v>214</v>
      </c>
      <c r="I102" s="7" t="s">
        <v>215</v>
      </c>
      <c r="J102" s="181"/>
      <c r="K102" s="7" t="s">
        <v>216</v>
      </c>
      <c r="L102" s="181"/>
      <c r="M102" s="7" t="s">
        <v>217</v>
      </c>
      <c r="N102" s="1" t="s">
        <v>218</v>
      </c>
      <c r="O102" s="1" t="s">
        <v>218</v>
      </c>
      <c r="P102" s="349">
        <v>1685145440</v>
      </c>
      <c r="Q102" s="36">
        <v>1685145440</v>
      </c>
      <c r="R102" s="4"/>
      <c r="S102" s="4"/>
      <c r="T102" s="4"/>
      <c r="U102" s="4"/>
      <c r="V102" s="4"/>
      <c r="W102" s="4"/>
      <c r="X102" s="349">
        <v>1685145440</v>
      </c>
      <c r="Y102" s="353" t="str">
        <f ca="1">IFERROR(__xludf.DUMMYFUNCTION("INDEX(IMPORTRANGE(""1y0FWgjbB0gVlqn-q5LMJbGIsqOrzru4yowQz67dz2yc"", ""'GPE'!BH3:BH139""),MATCH(D102,IMPORTRANGE(""1y0FWgjbB0gVlqn-q5LMJbGIsqOrzru4yowQz67dz2yc"", ""'GPE'!D3:D139""),0))"),"")</f>
        <v/>
      </c>
      <c r="Z102" s="349">
        <f ca="1">IFERROR(__xludf.DUMMYFUNCTION("INDEX(IMPORTRANGE(""1y0FWgjbB0gVlqn-q5LMJbGIsqOrzru4yowQz67dz2yc"", ""'GPE'!BI3:BI139""),MATCH(D102,IMPORTRANGE(""1y0FWgjbB0gVlqn-q5LMJbGIsqOrzru4yowQz67dz2yc"", ""'GPE'!D3:D139""),0))"),1983992071.27)</f>
        <v>1983992071.27</v>
      </c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287</v>
      </c>
      <c r="E103" s="7" t="s">
        <v>278</v>
      </c>
      <c r="F103" s="9" t="s">
        <v>288</v>
      </c>
      <c r="G103" s="7" t="s">
        <v>254</v>
      </c>
      <c r="H103" s="7" t="s">
        <v>254</v>
      </c>
      <c r="I103" s="7" t="s">
        <v>254</v>
      </c>
      <c r="J103" s="13"/>
      <c r="K103" s="7" t="s">
        <v>255</v>
      </c>
      <c r="L103" s="13"/>
      <c r="M103" s="7" t="s">
        <v>256</v>
      </c>
      <c r="N103" s="260">
        <v>45536</v>
      </c>
      <c r="O103" s="1" t="s">
        <v>218</v>
      </c>
      <c r="P103" s="15">
        <f t="shared" ref="P103:Q103" si="25">P99/P102</f>
        <v>0.35416398005385219</v>
      </c>
      <c r="Q103" s="15">
        <f t="shared" si="25"/>
        <v>0.35416398005385219</v>
      </c>
      <c r="R103" s="2"/>
      <c r="S103" s="26">
        <v>0.40400000000000003</v>
      </c>
      <c r="T103" s="2"/>
      <c r="U103" s="26">
        <v>0.42399999999999999</v>
      </c>
      <c r="V103" s="26">
        <v>0.44400000000000001</v>
      </c>
      <c r="W103" s="26">
        <v>0.44400000000000001</v>
      </c>
      <c r="X103" s="15">
        <f>X99/X102</f>
        <v>0.35416398005385219</v>
      </c>
      <c r="Y103" s="354" t="str">
        <f ca="1">IFERROR(__xludf.DUMMYFUNCTION("INDEX(IMPORTRANGE(""1y0FWgjbB0gVlqn-q5LMJbGIsqOrzru4yowQz67dz2yc"", ""'GPE'!BH3:BH139""),MATCH(D103,IMPORTRANGE(""1y0FWgjbB0gVlqn-q5LMJbGIsqOrzru4yowQz67dz2yc"", ""'GPE'!D3:D139""),0))"),"")</f>
        <v/>
      </c>
      <c r="Z103" s="15">
        <f ca="1">IFERROR(__xludf.DUMMYFUNCTION("INDEX(IMPORTRANGE(""1y0FWgjbB0gVlqn-q5LMJbGIsqOrzru4yowQz67dz2yc"", ""'GPE'!BI3:BI139""),MATCH(D103,IMPORTRANGE(""1y0FWgjbB0gVlqn-q5LMJbGIsqOrzru4yowQz67dz2yc"", ""'GPE'!D3:D139""),0))"),0.423663016184307)</f>
        <v>0.42366301618430702</v>
      </c>
      <c r="AA103" s="1"/>
      <c r="AB103" s="1"/>
      <c r="AC103" s="1"/>
    </row>
    <row r="104" spans="1:29">
      <c r="A104" s="7" t="s">
        <v>275</v>
      </c>
      <c r="B104" s="7" t="s">
        <v>276</v>
      </c>
      <c r="C104" s="1" t="s">
        <v>30</v>
      </c>
      <c r="D104" s="7" t="s">
        <v>289</v>
      </c>
      <c r="E104" s="7" t="s">
        <v>38</v>
      </c>
      <c r="F104" s="9" t="s">
        <v>112</v>
      </c>
      <c r="G104" s="7" t="s">
        <v>213</v>
      </c>
      <c r="H104" s="1" t="s">
        <v>214</v>
      </c>
      <c r="I104" s="7" t="s">
        <v>215</v>
      </c>
      <c r="J104" s="181"/>
      <c r="K104" s="7" t="s">
        <v>216</v>
      </c>
      <c r="L104" s="181"/>
      <c r="M104" s="7" t="s">
        <v>217</v>
      </c>
      <c r="N104" s="1" t="s">
        <v>218</v>
      </c>
      <c r="O104" s="1" t="s">
        <v>218</v>
      </c>
      <c r="P104" s="12">
        <v>226973</v>
      </c>
      <c r="Q104" s="12">
        <v>226973</v>
      </c>
      <c r="R104" s="4"/>
      <c r="S104" s="4"/>
      <c r="T104" s="4"/>
      <c r="U104" s="4"/>
      <c r="V104" s="4"/>
      <c r="W104" s="4"/>
      <c r="X104" s="12">
        <v>226973</v>
      </c>
      <c r="Y104" s="306" t="str">
        <f ca="1">IFERROR(__xludf.DUMMYFUNCTION("INDEX(IMPORTRANGE(""1y0FWgjbB0gVlqn-q5LMJbGIsqOrzru4yowQz67dz2yc"", ""'GPE'!BH3:BH139""),MATCH(D104,IMPORTRANGE(""1y0FWgjbB0gVlqn-q5LMJbGIsqOrzru4yowQz67dz2yc"", ""'GPE'!D3:D139""),0))"),"")</f>
        <v/>
      </c>
      <c r="Z104" s="12">
        <f ca="1">IFERROR(__xludf.DUMMYFUNCTION("INDEX(IMPORTRANGE(""1y0FWgjbB0gVlqn-q5LMJbGIsqOrzru4yowQz67dz2yc"", ""'GPE'!BI3:BI139""),MATCH(D104,IMPORTRANGE(""1y0FWgjbB0gVlqn-q5LMJbGIsqOrzru4yowQz67dz2yc"", ""'GPE'!D3:D139""),0))"),227442)</f>
        <v>227442</v>
      </c>
      <c r="AA104" s="1"/>
      <c r="AB104" s="1"/>
      <c r="AC104" s="1"/>
    </row>
    <row r="105" spans="1:29">
      <c r="A105" s="7" t="s">
        <v>275</v>
      </c>
      <c r="B105" s="7" t="s">
        <v>276</v>
      </c>
      <c r="C105" s="1" t="s">
        <v>30</v>
      </c>
      <c r="D105" s="7" t="s">
        <v>290</v>
      </c>
      <c r="E105" s="7" t="s">
        <v>38</v>
      </c>
      <c r="F105" s="9" t="s">
        <v>291</v>
      </c>
      <c r="G105" s="7" t="s">
        <v>213</v>
      </c>
      <c r="H105" s="1" t="s">
        <v>214</v>
      </c>
      <c r="I105" s="7" t="s">
        <v>215</v>
      </c>
      <c r="J105" s="181"/>
      <c r="K105" s="7" t="s">
        <v>216</v>
      </c>
      <c r="L105" s="181"/>
      <c r="M105" s="7" t="s">
        <v>217</v>
      </c>
      <c r="N105" s="1" t="s">
        <v>218</v>
      </c>
      <c r="O105" s="1" t="s">
        <v>218</v>
      </c>
      <c r="P105" s="12">
        <v>142986</v>
      </c>
      <c r="Q105" s="12">
        <v>142986</v>
      </c>
      <c r="R105" s="2"/>
      <c r="S105" s="2"/>
      <c r="T105" s="2"/>
      <c r="U105" s="2"/>
      <c r="V105" s="2"/>
      <c r="W105" s="2"/>
      <c r="X105" s="12">
        <v>142986</v>
      </c>
      <c r="Y105" s="306" t="str">
        <f ca="1">IFERROR(__xludf.DUMMYFUNCTION("INDEX(IMPORTRANGE(""1y0FWgjbB0gVlqn-q5LMJbGIsqOrzru4yowQz67dz2yc"", ""'GPE'!BH3:BH139""),MATCH(D105,IMPORTRANGE(""1y0FWgjbB0gVlqn-q5LMJbGIsqOrzru4yowQz67dz2yc"", ""'GPE'!D3:D139""),0))"),"")</f>
        <v/>
      </c>
      <c r="Z105" s="12">
        <f ca="1">IFERROR(__xludf.DUMMYFUNCTION("INDEX(IMPORTRANGE(""1y0FWgjbB0gVlqn-q5LMJbGIsqOrzru4yowQz67dz2yc"", ""'GPE'!BI3:BI139""),MATCH(D105,IMPORTRANGE(""1y0FWgjbB0gVlqn-q5LMJbGIsqOrzru4yowQz67dz2yc"", ""'GPE'!D3:D139""),0))"),146410)</f>
        <v>146410</v>
      </c>
      <c r="AA105" s="1"/>
      <c r="AB105" s="1"/>
      <c r="AC105" s="1"/>
    </row>
    <row r="106" spans="1:29">
      <c r="A106" s="7" t="s">
        <v>275</v>
      </c>
      <c r="B106" s="7" t="s">
        <v>276</v>
      </c>
      <c r="C106" s="1" t="s">
        <v>36</v>
      </c>
      <c r="D106" s="7" t="s">
        <v>292</v>
      </c>
      <c r="E106" s="7" t="s">
        <v>38</v>
      </c>
      <c r="F106" s="9" t="s">
        <v>293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5">
        <f t="shared" ref="P106:Q106" si="26">P105/P104</f>
        <v>0.62996920338542473</v>
      </c>
      <c r="Q106" s="15">
        <f t="shared" si="26"/>
        <v>0.62996920338542473</v>
      </c>
      <c r="R106" s="2"/>
      <c r="S106" s="26">
        <v>0.65</v>
      </c>
      <c r="T106" s="2"/>
      <c r="U106" s="14">
        <v>0.66</v>
      </c>
      <c r="V106" s="14">
        <v>0.67</v>
      </c>
      <c r="W106" s="14">
        <v>0.67</v>
      </c>
      <c r="X106" s="15">
        <f>X105/X104</f>
        <v>0.62996920338542473</v>
      </c>
      <c r="Y106" s="354" t="str">
        <f ca="1">IFERROR(__xludf.DUMMYFUNCTION("INDEX(IMPORTRANGE(""1y0FWgjbB0gVlqn-q5LMJbGIsqOrzru4yowQz67dz2yc"", ""'GPE'!BH3:BH139""),MATCH(D106,IMPORTRANGE(""1y0FWgjbB0gVlqn-q5LMJbGIsqOrzru4yowQz67dz2yc"", ""'GPE'!D3:D139""),0))"),"")</f>
        <v/>
      </c>
      <c r="Z106" s="15">
        <f ca="1">IFERROR(__xludf.DUMMYFUNCTION("INDEX(IMPORTRANGE(""1y0FWgjbB0gVlqn-q5LMJbGIsqOrzru4yowQz67dz2yc"", ""'GPE'!BI3:BI139""),MATCH(D106,IMPORTRANGE(""1y0FWgjbB0gVlqn-q5LMJbGIsqOrzru4yowQz67dz2yc"", ""'GPE'!D3:D139""),0))"),0.643724553952216)</f>
        <v>0.64372455395221595</v>
      </c>
      <c r="AA106" s="1"/>
      <c r="AB106" s="1"/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294</v>
      </c>
      <c r="E107" s="7" t="s">
        <v>38</v>
      </c>
      <c r="F107" s="9" t="s">
        <v>295</v>
      </c>
      <c r="G107" s="7" t="s">
        <v>213</v>
      </c>
      <c r="H107" s="1" t="s">
        <v>214</v>
      </c>
      <c r="I107" s="7" t="s">
        <v>215</v>
      </c>
      <c r="J107" s="181"/>
      <c r="K107" s="7" t="s">
        <v>216</v>
      </c>
      <c r="L107" s="181"/>
      <c r="M107" s="7" t="s">
        <v>217</v>
      </c>
      <c r="N107" s="1" t="s">
        <v>218</v>
      </c>
      <c r="O107" s="1" t="s">
        <v>218</v>
      </c>
      <c r="P107" s="36"/>
      <c r="Q107" s="36"/>
      <c r="R107" s="2"/>
      <c r="S107" s="2"/>
      <c r="T107" s="2"/>
      <c r="U107" s="2"/>
      <c r="V107" s="2"/>
      <c r="W107" s="2"/>
      <c r="X107" s="36"/>
      <c r="Y107" s="303" t="str">
        <f ca="1">IFERROR(__xludf.DUMMYFUNCTION("INDEX(IMPORTRANGE(""1y0FWgjbB0gVlqn-q5LMJbGIsqOrzru4yowQz67dz2yc"", ""'GPE'!BH3:BH139""),MATCH(D107,IMPORTRANGE(""1y0FWgjbB0gVlqn-q5LMJbGIsqOrzru4yowQz67dz2yc"", ""'GPE'!D3:D139""),0))"),"")</f>
        <v/>
      </c>
      <c r="Z107" s="36">
        <f ca="1">IFERROR(__xludf.DUMMYFUNCTION("INDEX(IMPORTRANGE(""1y0FWgjbB0gVlqn-q5LMJbGIsqOrzru4yowQz67dz2yc"", ""'GPE'!BI3:BI139""),MATCH(D107,IMPORTRANGE(""1y0FWgjbB0gVlqn-q5LMJbGIsqOrzru4yowQz67dz2yc"", ""'GPE'!D3:D139""),0))"),334941885.95)</f>
        <v>334941885.94999999</v>
      </c>
      <c r="AA107" s="1"/>
      <c r="AB107" s="1"/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296</v>
      </c>
      <c r="E108" s="7" t="s">
        <v>38</v>
      </c>
      <c r="F108" s="9" t="s">
        <v>297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36">
        <v>203360688.65000004</v>
      </c>
      <c r="Q108" s="36">
        <v>203360688.65000004</v>
      </c>
      <c r="R108" s="2"/>
      <c r="S108" s="36">
        <v>213528723.08000001</v>
      </c>
      <c r="T108" s="2"/>
      <c r="U108" s="36">
        <v>217799297.53999999</v>
      </c>
      <c r="V108" s="36">
        <v>221663150.63</v>
      </c>
      <c r="W108" s="36">
        <v>221663150.59999999</v>
      </c>
      <c r="X108" s="36">
        <v>203360688.65000004</v>
      </c>
      <c r="Y108" s="355" t="str">
        <f ca="1">IFERROR(__xludf.DUMMYFUNCTION("INDEX(IMPORTRANGE(""1y0FWgjbB0gVlqn-q5LMJbGIsqOrzru4yowQz67dz2yc"", ""'GPE'!BH3:BH139""),MATCH(D108,IMPORTRANGE(""1y0FWgjbB0gVlqn-q5LMJbGIsqOrzru4yowQz67dz2yc"", ""'GPE'!D3:D139""),0))"),"")</f>
        <v/>
      </c>
      <c r="Z108" s="36">
        <f ca="1">IFERROR(__xludf.DUMMYFUNCTION("INDEX(IMPORTRANGE(""1y0FWgjbB0gVlqn-q5LMJbGIsqOrzru4yowQz67dz2yc"", ""'GPE'!BI3:BI139""),MATCH(D108,IMPORTRANGE(""1y0FWgjbB0gVlqn-q5LMJbGIsqOrzru4yowQz67dz2yc"", ""'GPE'!D3:D139""),0))"),337716623.799999)</f>
        <v>337716623.799999</v>
      </c>
      <c r="AA108" s="1"/>
      <c r="AB108" s="1"/>
      <c r="AC108" s="1"/>
    </row>
    <row r="109" spans="1:29">
      <c r="A109" s="7" t="s">
        <v>275</v>
      </c>
      <c r="B109" s="7" t="s">
        <v>298</v>
      </c>
      <c r="C109" s="1" t="s">
        <v>30</v>
      </c>
      <c r="D109" s="7" t="s">
        <v>299</v>
      </c>
      <c r="E109" s="7" t="s">
        <v>278</v>
      </c>
      <c r="F109" s="9" t="s">
        <v>300</v>
      </c>
      <c r="G109" s="7" t="s">
        <v>213</v>
      </c>
      <c r="H109" s="1" t="s">
        <v>214</v>
      </c>
      <c r="I109" s="7" t="s">
        <v>215</v>
      </c>
      <c r="J109" s="181"/>
      <c r="K109" s="7" t="s">
        <v>216</v>
      </c>
      <c r="L109" s="181"/>
      <c r="M109" s="7" t="s">
        <v>217</v>
      </c>
      <c r="N109" s="1" t="s">
        <v>218</v>
      </c>
      <c r="O109" s="1" t="s">
        <v>218</v>
      </c>
      <c r="P109" s="349">
        <v>2219811649</v>
      </c>
      <c r="Q109" s="349">
        <v>2219811649</v>
      </c>
      <c r="R109" s="4"/>
      <c r="S109" s="4"/>
      <c r="T109" s="4"/>
      <c r="U109" s="4"/>
      <c r="V109" s="4"/>
      <c r="W109" s="4"/>
      <c r="X109" s="36">
        <v>2219811649</v>
      </c>
      <c r="Y109" s="303" t="str">
        <f ca="1">IFERROR(__xludf.DUMMYFUNCTION("INDEX(IMPORTRANGE(""1y0FWgjbB0gVlqn-q5LMJbGIsqOrzru4yowQz67dz2yc"", ""'GPE'!BH3:BH139""),MATCH(D109,IMPORTRANGE(""1y0FWgjbB0gVlqn-q5LMJbGIsqOrzru4yowQz67dz2yc"", ""'GPE'!D3:D139""),0))"),"")</f>
        <v/>
      </c>
      <c r="Z109" s="36">
        <f ca="1">IFERROR(__xludf.DUMMYFUNCTION("INDEX(IMPORTRANGE(""1y0FWgjbB0gVlqn-q5LMJbGIsqOrzru4yowQz67dz2yc"", ""'GPE'!BI3:BI139""),MATCH(D109,IMPORTRANGE(""1y0FWgjbB0gVlqn-q5LMJbGIsqOrzru4yowQz67dz2yc"", ""'GPE'!D3:D139""),0))"),2753750457.9)</f>
        <v>2753750457.9000001</v>
      </c>
      <c r="AA109" s="1"/>
      <c r="AB109" s="1"/>
      <c r="AC109" s="1"/>
    </row>
    <row r="110" spans="1:29">
      <c r="A110" s="7" t="s">
        <v>275</v>
      </c>
      <c r="B110" s="7" t="s">
        <v>298</v>
      </c>
      <c r="C110" s="1" t="s">
        <v>36</v>
      </c>
      <c r="D110" s="7" t="s">
        <v>301</v>
      </c>
      <c r="E110" s="7" t="s">
        <v>278</v>
      </c>
      <c r="F110" s="9" t="s">
        <v>302</v>
      </c>
      <c r="G110" s="11" t="s">
        <v>307</v>
      </c>
      <c r="H110" s="13"/>
      <c r="I110" s="1" t="s">
        <v>254</v>
      </c>
      <c r="J110" s="13"/>
      <c r="K110" s="1" t="s">
        <v>255</v>
      </c>
      <c r="L110" s="13"/>
      <c r="M110" s="1" t="s">
        <v>256</v>
      </c>
      <c r="N110" s="49">
        <v>45473</v>
      </c>
      <c r="O110" s="1"/>
      <c r="P110" s="15">
        <f t="shared" ref="P110:Q110" si="27">P102/P109</f>
        <v>0.75913892998946053</v>
      </c>
      <c r="Q110" s="15">
        <f t="shared" si="27"/>
        <v>0.75913892998946053</v>
      </c>
      <c r="R110" s="2"/>
      <c r="S110" s="26">
        <v>0.749</v>
      </c>
      <c r="T110" s="2"/>
      <c r="U110" s="26">
        <v>0.73899999999999999</v>
      </c>
      <c r="V110" s="26">
        <v>0.72899999999999998</v>
      </c>
      <c r="W110" s="26">
        <v>0.72899999999999998</v>
      </c>
      <c r="X110" s="15">
        <f>X102/X109</f>
        <v>0.75913892998946053</v>
      </c>
      <c r="Y110" s="354" t="str">
        <f ca="1">IFERROR(__xludf.DUMMYFUNCTION("INDEX(IMPORTRANGE(""1y0FWgjbB0gVlqn-q5LMJbGIsqOrzru4yowQz67dz2yc"", ""'GPE'!BH3:BH139""),MATCH(D110,IMPORTRANGE(""1y0FWgjbB0gVlqn-q5LMJbGIsqOrzru4yowQz67dz2yc"", ""'GPE'!D3:D139""),0))"),"")</f>
        <v/>
      </c>
      <c r="Z110" s="15">
        <f ca="1">IFERROR(__xludf.DUMMYFUNCTION("INDEX(IMPORTRANGE(""1y0FWgjbB0gVlqn-q5LMJbGIsqOrzru4yowQz67dz2yc"", ""'GPE'!BI3:BI139""),MATCH(D110,IMPORTRANGE(""1y0FWgjbB0gVlqn-q5LMJbGIsqOrzru4yowQz67dz2yc"", ""'GPE'!D3:D139""),0))"),0.720469084472884)</f>
        <v>0.72046908447288405</v>
      </c>
      <c r="AA110" s="1"/>
      <c r="AB110" s="1"/>
      <c r="AC110" s="1"/>
    </row>
    <row r="111" spans="1:29">
      <c r="A111" s="7" t="s">
        <v>275</v>
      </c>
      <c r="B111" s="7" t="s">
        <v>303</v>
      </c>
      <c r="C111" s="1" t="s">
        <v>36</v>
      </c>
      <c r="D111" s="7" t="s">
        <v>304</v>
      </c>
      <c r="E111" s="7" t="s">
        <v>305</v>
      </c>
      <c r="F111" s="9" t="s">
        <v>306</v>
      </c>
      <c r="G111" s="11" t="s">
        <v>307</v>
      </c>
      <c r="H111" s="13"/>
      <c r="I111" s="1" t="s">
        <v>254</v>
      </c>
      <c r="J111" s="13"/>
      <c r="K111" s="1" t="s">
        <v>255</v>
      </c>
      <c r="L111" s="13"/>
      <c r="M111" s="1" t="s">
        <v>256</v>
      </c>
      <c r="N111" s="49">
        <v>45473</v>
      </c>
      <c r="O111" s="1"/>
      <c r="P111" s="30" t="s">
        <v>433</v>
      </c>
      <c r="Q111" s="30" t="s">
        <v>433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2" t="s">
        <v>433</v>
      </c>
      <c r="Y111" s="331" t="str">
        <f ca="1">IFERROR(__xludf.DUMMYFUNCTION("INDEX(IMPORTRANGE(""1y0FWgjbB0gVlqn-q5LMJbGIsqOrzru4yowQz67dz2yc"", ""'GPE'!BH3:BH139""),MATCH(D111,IMPORTRANGE(""1y0FWgjbB0gVlqn-q5LMJbGIsqOrzru4yowQz67dz2yc"", ""'GPE'!D3:D139""),0))"),"")</f>
        <v/>
      </c>
      <c r="Z111" s="2" t="str">
        <f ca="1">IFERROR(__xludf.DUMMYFUNCTION("INDEX(IMPORTRANGE(""1y0FWgjbB0gVlqn-q5LMJbGIsqOrzru4yowQz67dz2yc"", ""'GPE'!BI3:BI139""),MATCH(D111,IMPORTRANGE(""1y0FWgjbB0gVlqn-q5LMJbGIsqOrzru4yowQz67dz2yc"", ""'GPE'!D3:D139""),0))"),"Verde")</f>
        <v>Verde</v>
      </c>
      <c r="AA111" s="1"/>
      <c r="AB111" s="1"/>
      <c r="AC111" s="1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DC2C-96C9-CA49-B6DB-D77685F5628C}">
  <dimension ref="A1:M39"/>
  <sheetViews>
    <sheetView topLeftCell="A2" workbookViewId="0">
      <selection activeCell="H37" sqref="H37"/>
    </sheetView>
  </sheetViews>
  <sheetFormatPr baseColWidth="10" defaultRowHeight="16"/>
  <cols>
    <col min="1" max="1" width="10.83203125" style="118"/>
    <col min="3" max="3" width="19.83203125" customWidth="1"/>
    <col min="4" max="4" width="11.83203125" customWidth="1"/>
    <col min="5" max="5" width="13.6640625" customWidth="1"/>
    <col min="7" max="7" width="12.83203125" customWidth="1"/>
    <col min="8" max="8" width="13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GPE'!$D$3:$Y$114,4,0)</f>
        <v>44469</v>
      </c>
      <c r="E2" s="212">
        <f>VLOOKUP(C2,'BD EVA 2 GPE'!$D$3:$Q$114,13,0)</f>
        <v>845</v>
      </c>
      <c r="F2" s="75">
        <f>VLOOKUP(C2,'BD EVA 2 GPE'!$D$3:$Y$114,8,0)</f>
        <v>45016</v>
      </c>
      <c r="G2" s="72">
        <f ca="1">VLOOKUP(C2,'BD EVA 2 GPE'!$D$3:$AC$114,23,0)</f>
        <v>847</v>
      </c>
      <c r="H2" s="72">
        <f>VLOOKUP(C2,'BD EVA 2 GPE'!$D$3:$AC$114,16,0)</f>
        <v>847</v>
      </c>
      <c r="I2" s="78">
        <f ca="1">IF(G2&gt;=E2,G2/H2,0)</f>
        <v>1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10</v>
      </c>
    </row>
    <row r="3" spans="1:13" ht="26">
      <c r="A3" s="121" t="s">
        <v>34</v>
      </c>
      <c r="B3" s="72" t="s">
        <v>40</v>
      </c>
      <c r="C3" s="71" t="s">
        <v>43</v>
      </c>
      <c r="D3" s="75">
        <f>VLOOKUP(C3,'BD EVA 2 GPE'!$D$3:$Y$114,4,0)</f>
        <v>44469</v>
      </c>
      <c r="E3" s="207">
        <f>VLOOKUP(C3,'BD EVA 2 GPE'!$D$3:$Q$114,13,0)</f>
        <v>0.99171597633136099</v>
      </c>
      <c r="F3" s="75">
        <f>VLOOKUP(C3,'BD EVA 2 GPE'!$D$3:$Y$114,8,0)</f>
        <v>45016</v>
      </c>
      <c r="G3" s="207">
        <f ca="1">VLOOKUP(C3,'BD EVA 2 GPE'!$D$3:$AC$114,23,0)</f>
        <v>0.97048406139315202</v>
      </c>
      <c r="H3" s="207" t="str">
        <f>VLOOKUP(C3,'BD EVA 2 GPE'!$D$3:$AC$114,16,0)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65">
      <c r="A4" s="121" t="s">
        <v>34</v>
      </c>
      <c r="B4" s="72" t="s">
        <v>45</v>
      </c>
      <c r="C4" s="71" t="s">
        <v>50</v>
      </c>
      <c r="D4" s="75">
        <f>VLOOKUP(C4,'BD EVA 2 GPE'!$D$3:$Y$114,4,0)</f>
        <v>44469</v>
      </c>
      <c r="E4" s="207">
        <f>VLOOKUP(C4,'BD EVA 2 GPE'!$D$3:$Q$114,13,0)</f>
        <v>0</v>
      </c>
      <c r="F4" s="75">
        <f>VLOOKUP(C4,'BD EVA 2 GPE'!$D$3:$Y$114,8,0)</f>
        <v>45016</v>
      </c>
      <c r="G4" s="207">
        <f ca="1">VLOOKUP(C4,'BD EVA 2 GPE'!$D$3:$AC$114,23,0)</f>
        <v>2.5974025974025899E-2</v>
      </c>
      <c r="H4" s="207">
        <f>VLOOKUP(C4,'BD EVA 2 GPE'!$D$3:$AC$114,16,0)</f>
        <v>8.3999999999999995E-3</v>
      </c>
      <c r="I4" s="77">
        <f t="shared" ref="I4:I5" ca="1" si="1">G4/H4</f>
        <v>3.0921459492887977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65">
      <c r="A5" s="121" t="s">
        <v>52</v>
      </c>
      <c r="B5" s="72" t="s">
        <v>53</v>
      </c>
      <c r="C5" s="72" t="s">
        <v>66</v>
      </c>
      <c r="D5" s="72" t="str">
        <f>VLOOKUP(C5,'BD EVA 2 GPE'!$D$3:$Y$114,4,0)</f>
        <v>octubre 20 - mar 21</v>
      </c>
      <c r="E5" s="207">
        <f>VLOOKUP(C5,'BD EVA 2 GPE'!$D$3:$Q$114,13,0)</f>
        <v>0.11537659086167328</v>
      </c>
      <c r="F5" s="72" t="str">
        <f>VLOOKUP(C5,'BD EVA 2 GPE'!$D$3:$Y$114,8,0)</f>
        <v>octubre 22- mar 23</v>
      </c>
      <c r="G5" s="207">
        <f ca="1">VLOOKUP(C5,'BD EVA 2 GPE'!$D$3:$AC$114,23,0)</f>
        <v>0.137014314928425</v>
      </c>
      <c r="H5" s="207">
        <f>VLOOKUP(C5,'BD EVA 2 GPE'!$D$3:$AC$114,16,0)</f>
        <v>0.1273</v>
      </c>
      <c r="I5" s="77">
        <f t="shared" ca="1" si="1"/>
        <v>1.0763104079216419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6.6000000000000005</v>
      </c>
    </row>
    <row r="6" spans="1:13" ht="52">
      <c r="A6" s="121" t="s">
        <v>52</v>
      </c>
      <c r="B6" s="72" t="s">
        <v>68</v>
      </c>
      <c r="C6" s="72" t="s">
        <v>72</v>
      </c>
      <c r="D6" s="72" t="str">
        <f>VLOOKUP(C6,'BD EVA 2 GPE'!$D$3:$Y$114,4,0)</f>
        <v>octubre 20 - mar 21</v>
      </c>
      <c r="E6" s="211">
        <f>VLOOKUP(C6,'BD EVA 2 GPE'!$D$3:$Q$114,13,0)</f>
        <v>6.4295917768316642</v>
      </c>
      <c r="F6" s="72" t="str">
        <f>VLOOKUP(C6,'BD EVA 2 GPE'!$D$3:$Y$114,8,0)</f>
        <v>octubre 22- mar 23</v>
      </c>
      <c r="G6" s="209">
        <f ca="1">VLOOKUP(C6,'BD EVA 2 GPE'!$D$3:$AC$114,23,0)</f>
        <v>8.9219412497031705</v>
      </c>
      <c r="H6" s="209">
        <f>VLOOKUP(C6,'BD EVA 2 GPE'!$D$3:$AC$114,16,0)</f>
        <v>6.4135</v>
      </c>
      <c r="I6" s="78">
        <f t="shared" ref="I6:I10" ca="1" si="2">(G6-E6)/(H6-E6)</f>
        <v>-154.88342269122506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52">
      <c r="A7" s="121" t="s">
        <v>52</v>
      </c>
      <c r="B7" s="72" t="s">
        <v>68</v>
      </c>
      <c r="C7" s="72" t="s">
        <v>84</v>
      </c>
      <c r="D7" s="72" t="str">
        <f>VLOOKUP(C7,'BD EVA 2 GPE'!$D$3:$Y$114,4,0)</f>
        <v>octubre 20 - mar 21</v>
      </c>
      <c r="E7" s="208">
        <f>VLOOKUP(C7,'BD EVA 2 GPE'!$D$3:$Q$114,13,0)</f>
        <v>134.74187984490706</v>
      </c>
      <c r="F7" s="72" t="str">
        <f>VLOOKUP(C7,'BD EVA 2 GPE'!$D$3:$Y$114,8,0)</f>
        <v>octubre 22- mar 23</v>
      </c>
      <c r="G7" s="208">
        <f ca="1">VLOOKUP(C7,'BD EVA 2 GPE'!$D$3:$AC$114,23,0)</f>
        <v>89.631194400864103</v>
      </c>
      <c r="H7" s="208">
        <f>VLOOKUP(C7,'BD EVA 2 GPE'!$D$3:$AC$114,16,0)</f>
        <v>134.40502514529479</v>
      </c>
      <c r="I7" s="78">
        <f t="shared" ca="1" si="2"/>
        <v>133.91734031309676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52">
      <c r="A8" s="121" t="s">
        <v>52</v>
      </c>
      <c r="B8" s="72" t="s">
        <v>86</v>
      </c>
      <c r="C8" s="72" t="s">
        <v>89</v>
      </c>
      <c r="D8" s="72" t="str">
        <f>VLOOKUP(C8,'BD EVA 2 GPE'!$D$3:$Y$114,4,0)</f>
        <v>octubre 20 - mar 21</v>
      </c>
      <c r="E8" s="208">
        <f>VLOOKUP(C8,'BD EVA 2 GPE'!$D$3:$Q$114,13,0)</f>
        <v>257.04389733898768</v>
      </c>
      <c r="F8" s="72" t="str">
        <f>VLOOKUP(C8,'BD EVA 2 GPE'!$D$3:$Y$114,8,0)</f>
        <v>octubre 22- mar 23</v>
      </c>
      <c r="G8" s="208">
        <f ca="1">VLOOKUP(C8,'BD EVA 2 GPE'!$D$3:$AC$114,23,0)</f>
        <v>199.576962724129</v>
      </c>
      <c r="H8" s="208">
        <f>VLOOKUP(C8,'BD EVA 2 GPE'!$D$3:$AC$114,16,0)</f>
        <v>256.40128759564021</v>
      </c>
      <c r="I8" s="78">
        <f t="shared" ca="1" si="2"/>
        <v>89.427424980367718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52">
      <c r="A9" s="121" t="s">
        <v>52</v>
      </c>
      <c r="B9" s="72" t="s">
        <v>86</v>
      </c>
      <c r="C9" s="72" t="s">
        <v>93</v>
      </c>
      <c r="D9" s="72" t="str">
        <f>VLOOKUP(C9,'BD EVA 2 GPE'!$D$3:$Y$114,4,0)</f>
        <v>octubre 20 - mar 21</v>
      </c>
      <c r="E9" s="208">
        <f>VLOOKUP(C9,'BD EVA 2 GPE'!$D$3:$Q$114,13,0)</f>
        <v>45.566237374937451</v>
      </c>
      <c r="F9" s="72" t="str">
        <f>VLOOKUP(C9,'BD EVA 2 GPE'!$D$3:$Y$114,8,0)</f>
        <v>octubre 22- mar 23</v>
      </c>
      <c r="G9" s="208">
        <f ca="1">VLOOKUP(C9,'BD EVA 2 GPE'!$D$3:$AC$114,23,0)</f>
        <v>30.883642787433999</v>
      </c>
      <c r="H9" s="208">
        <f>VLOOKUP(C9,'BD EVA 2 GPE'!$D$3:$AC$114,16,0)</f>
        <v>45.45232178150011</v>
      </c>
      <c r="I9" s="78">
        <f t="shared" ca="1" si="2"/>
        <v>128.89012069782729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78">
      <c r="A10" s="121" t="s">
        <v>52</v>
      </c>
      <c r="B10" s="72" t="s">
        <v>86</v>
      </c>
      <c r="C10" s="72" t="s">
        <v>117</v>
      </c>
      <c r="D10" s="72" t="str">
        <f>VLOOKUP(C10,'BD EVA 2 GPE'!$D$3:$Y$114,4,0)</f>
        <v>octubre 20 - mar 21</v>
      </c>
      <c r="E10" s="208">
        <f>VLOOKUP(C10,'BD EVA 2 GPE'!$D$3:$Q$114,13,0)</f>
        <v>6.4295917768316642</v>
      </c>
      <c r="F10" s="72" t="str">
        <f>VLOOKUP(C10,'BD EVA 2 GPE'!$D$3:$Y$114,8,0)</f>
        <v>octubre 22- mar 23</v>
      </c>
      <c r="G10" s="208">
        <f ca="1">VLOOKUP(C10,'BD EVA 2 GPE'!$D$3:$AC$114,23,0)</f>
        <v>9.1964625189248093</v>
      </c>
      <c r="H10" s="208">
        <f>VLOOKUP(C10,'BD EVA 2 GPE'!$D$3:$AC$114,16,0)</f>
        <v>6.4135177973895852</v>
      </c>
      <c r="I10" s="78">
        <f t="shared" ca="1" si="2"/>
        <v>-172.13352499692382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52">
      <c r="A11" s="121" t="s">
        <v>119</v>
      </c>
      <c r="B11" s="72" t="s">
        <v>120</v>
      </c>
      <c r="C11" s="72" t="s">
        <v>125</v>
      </c>
      <c r="D11" s="75">
        <f>VLOOKUP(C11,'BD EVA 2 GPE'!$D$3:$Y$114,4,0)</f>
        <v>44469</v>
      </c>
      <c r="E11" s="78">
        <f>VLOOKUP(C11,'BD EVA 2 GPE'!$D$3:$Q$114,13,0)</f>
        <v>5.4681292486978015E-3</v>
      </c>
      <c r="F11" s="89">
        <f>VLOOKUP(C11,'BD EVA 2 GPE'!$D$3:$Y$114,8,0)</f>
        <v>45016</v>
      </c>
      <c r="G11" s="78">
        <f ca="1">VLOOKUP(C11,'BD EVA 2 GPE'!$D$3:$AC$114,23,0)</f>
        <v>1.20664654735127E-2</v>
      </c>
      <c r="H11" s="78">
        <f>VLOOKUP(C11,'BD EVA 2 GPE'!$D$3:$AC$114,16,0)</f>
        <v>6.0000000000000001E-3</v>
      </c>
      <c r="I11" s="77">
        <f t="shared" ref="I11:I15" ca="1" si="3">G11/H11</f>
        <v>2.0110775789187834</v>
      </c>
      <c r="J11" s="89" t="s">
        <v>318</v>
      </c>
      <c r="K11" s="71">
        <v>1.1000000000000001</v>
      </c>
      <c r="L11" s="209">
        <f t="shared" ca="1" si="0"/>
        <v>1.1000000000000001</v>
      </c>
      <c r="M11" s="130">
        <f ca="1">SUM(L11:L15)</f>
        <v>10</v>
      </c>
    </row>
    <row r="12" spans="1:13" ht="39">
      <c r="A12" s="121" t="s">
        <v>119</v>
      </c>
      <c r="B12" s="72" t="s">
        <v>120</v>
      </c>
      <c r="C12" s="72" t="s">
        <v>333</v>
      </c>
      <c r="D12" s="71" t="str">
        <f>VLOOKUP(C12,'BD EVA 2 GPE'!$D$3:$Y$114,4,0)</f>
        <v>octubre 20 - mar 21</v>
      </c>
      <c r="E12" s="212">
        <f>VLOOKUP(C12,'BD EVA 2 GPE'!$D$3:$Q$114,13,0)</f>
        <v>0</v>
      </c>
      <c r="F12" s="71" t="str">
        <f>VLOOKUP(C12,'BD EVA 2 GPE'!$D$3:$Y$114,8,0)</f>
        <v>octubre 22- mar 23</v>
      </c>
      <c r="G12" s="210">
        <f ca="1">VLOOKUP(C12,'BD EVA 2 GPE'!$D$3:$AC$114,23,0)</f>
        <v>6.3097110086287704E-3</v>
      </c>
      <c r="H12" s="210">
        <f>VLOOKUP(C12,'BD EVA 2 GPE'!$D$3:$AC$114,16,0)</f>
        <v>5.4999999999999997E-3</v>
      </c>
      <c r="I12" s="78">
        <f t="shared" ca="1" si="3"/>
        <v>1.1472201833870492</v>
      </c>
      <c r="J12" s="75" t="s">
        <v>318</v>
      </c>
      <c r="K12" s="71">
        <v>1.1000000000000001</v>
      </c>
      <c r="L12" s="209">
        <f t="shared" ca="1" si="0"/>
        <v>1.1000000000000001</v>
      </c>
      <c r="M12" s="127"/>
    </row>
    <row r="13" spans="1:13" ht="52">
      <c r="A13" s="121" t="s">
        <v>119</v>
      </c>
      <c r="B13" s="72" t="s">
        <v>127</v>
      </c>
      <c r="C13" s="72" t="s">
        <v>128</v>
      </c>
      <c r="D13" s="71" t="str">
        <f>VLOOKUP(C13,'BD EVA 2 GPE'!$D$3:$Y$114,4,0)</f>
        <v>octubre 20 - mar 21</v>
      </c>
      <c r="E13" s="212">
        <f>VLOOKUP(C13,'BD EVA 2 GPE'!$D$3:$Q$114,13,0)</f>
        <v>0</v>
      </c>
      <c r="F13" s="71" t="str">
        <f>VLOOKUP(C13,'BD EVA 2 GPE'!$D$3:$Y$114,8,0)</f>
        <v>octubre 21 - mar 23</v>
      </c>
      <c r="G13" s="212">
        <f ca="1">VLOOKUP(C13,'BD EVA 2 GPE'!$D$3:$AC$114,23,0)</f>
        <v>5</v>
      </c>
      <c r="H13" s="212">
        <f>VLOOKUP(C13,'BD EVA 2 GPE'!$D$3:$AC$114,16,0)</f>
        <v>3</v>
      </c>
      <c r="I13" s="78">
        <f t="shared" ca="1" si="3"/>
        <v>1.6666666666666667</v>
      </c>
      <c r="J13" s="75" t="s">
        <v>318</v>
      </c>
      <c r="K13" s="82">
        <v>2.35</v>
      </c>
      <c r="L13" s="209">
        <f t="shared" ca="1" si="0"/>
        <v>2.35</v>
      </c>
      <c r="M13" s="127"/>
    </row>
    <row r="14" spans="1:13" ht="39">
      <c r="A14" s="121" t="s">
        <v>119</v>
      </c>
      <c r="B14" s="72" t="s">
        <v>133</v>
      </c>
      <c r="C14" s="72" t="s">
        <v>134</v>
      </c>
      <c r="D14" s="71" t="str">
        <f>VLOOKUP(C14,'BD EVA 2 GPE'!$D$3:$Y$114,4,0)</f>
        <v>octubre 20 - mar 21</v>
      </c>
      <c r="E14" s="212">
        <f>VLOOKUP(C14,'BD EVA 2 GPE'!$D$3:$Q$114,13,0)</f>
        <v>419</v>
      </c>
      <c r="F14" s="71" t="str">
        <f>VLOOKUP(C14,'BD EVA 2 GPE'!$D$3:$Y$114,8,0)</f>
        <v>octubre 21 - mar 23</v>
      </c>
      <c r="G14" s="212">
        <f ca="1">VLOOKUP(C14,'BD EVA 2 GPE'!$D$3:$AC$114,23,0)</f>
        <v>2619</v>
      </c>
      <c r="H14" s="212">
        <f>VLOOKUP(C14,'BD EVA 2 GPE'!$D$3:$AC$114,16,0)</f>
        <v>1500</v>
      </c>
      <c r="I14" s="78">
        <f t="shared" ca="1" si="3"/>
        <v>1.746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39">
      <c r="A15" s="121" t="s">
        <v>119</v>
      </c>
      <c r="B15" s="72" t="s">
        <v>136</v>
      </c>
      <c r="C15" s="72" t="s">
        <v>145</v>
      </c>
      <c r="D15" s="89" t="str">
        <f>VLOOKUP(C15,'BD EVA 2 GPE'!$D$3:$Y$114,4,0)</f>
        <v>octubre 20 - mar 21</v>
      </c>
      <c r="E15" s="212">
        <f>VLOOKUP(C15,'BD EVA 2 GPE'!$D$3:$Q$114,13,0)</f>
        <v>1</v>
      </c>
      <c r="F15" s="89" t="str">
        <f>VLOOKUP(C15,'BD EVA 2 GPE'!$D$3:$Y$114,8,0)</f>
        <v>octubre 21 - mar 23</v>
      </c>
      <c r="G15" s="212">
        <f ca="1">VLOOKUP(C15,'BD EVA 2 GPE'!$D$3:$AC$114,23,0)</f>
        <v>35</v>
      </c>
      <c r="H15" s="212">
        <f>VLOOKUP(C15,'BD EVA 2 GPE'!$D$3:$AC$114,16,0)</f>
        <v>16</v>
      </c>
      <c r="I15" s="78">
        <f t="shared" ca="1" si="3"/>
        <v>2.1875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GPE'!$D$3:$Y$114,4,0)</f>
        <v>44469</v>
      </c>
      <c r="E16" s="208">
        <f>VLOOKUP(C16,'BD EVA 2 GPE'!$D$3:$Q$114,13,0)</f>
        <v>1</v>
      </c>
      <c r="F16" s="75">
        <f>VLOOKUP(C16,'BD EVA 2 GPE'!$D$3:$Y$114,8,0)</f>
        <v>45016</v>
      </c>
      <c r="G16" s="208">
        <f ca="1">VLOOKUP(C16,'BD EVA 2 GPE'!$D$3:$AC$114,23,0)</f>
        <v>1</v>
      </c>
      <c r="H16" s="213" t="str">
        <f>VLOOKUP(C16,'BD EVA 2 GPE'!$D$3:$AC$114,16,0)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71">
        <v>1.5</v>
      </c>
      <c r="L16" s="209">
        <f t="shared" ca="1" si="0"/>
        <v>1.5</v>
      </c>
      <c r="M16" s="130">
        <f ca="1">SUM(L16:L23)</f>
        <v>8.2375000000000007</v>
      </c>
    </row>
    <row r="17" spans="1:13" ht="26">
      <c r="A17" s="121" t="s">
        <v>147</v>
      </c>
      <c r="B17" s="72" t="s">
        <v>148</v>
      </c>
      <c r="C17" s="72" t="s">
        <v>158</v>
      </c>
      <c r="D17" s="75">
        <f>VLOOKUP(C17,'BD EVA 2 GPE'!$D$3:$Y$114,4,0)</f>
        <v>44469</v>
      </c>
      <c r="E17" s="212">
        <f>VLOOKUP(C17,'BD EVA 2 GPE'!$D$3:$Q$114,13,0)</f>
        <v>0</v>
      </c>
      <c r="F17" s="75">
        <f>VLOOKUP(C17,'BD EVA 2 GPE'!$D$3:$Y$114,8,0)</f>
        <v>45016</v>
      </c>
      <c r="G17" s="212">
        <f ca="1">VLOOKUP(C17,'BD EVA 2 GPE'!$D$3:$AC$114,23,0)</f>
        <v>0</v>
      </c>
      <c r="H17" s="212" t="str">
        <f>VLOOKUP(C17,'BD EVA 2 GPE'!$D$3:$AC$114,16,0)</f>
        <v>Actualizado al 2018</v>
      </c>
      <c r="I17" s="214">
        <f t="shared" ca="1" si="4"/>
        <v>0</v>
      </c>
      <c r="J17" s="75" t="s">
        <v>318</v>
      </c>
      <c r="K17" s="71">
        <v>1.5</v>
      </c>
      <c r="L17" s="209">
        <f t="shared" ca="1" si="0"/>
        <v>0</v>
      </c>
      <c r="M17" s="127"/>
    </row>
    <row r="18" spans="1:13" ht="52">
      <c r="A18" s="121" t="s">
        <v>147</v>
      </c>
      <c r="B18" s="72" t="s">
        <v>148</v>
      </c>
      <c r="C18" s="72" t="s">
        <v>166</v>
      </c>
      <c r="D18" s="75">
        <f>VLOOKUP(C18,'BD EVA 2 GPE'!$D$3:$Y$114,4,0)</f>
        <v>44469</v>
      </c>
      <c r="E18" s="207">
        <f>VLOOKUP(C18,'BD EVA 2 GPE'!$D$3:$Q$114,13,0)</f>
        <v>0</v>
      </c>
      <c r="F18" s="75">
        <f>VLOOKUP(C18,'BD EVA 2 GPE'!$D$3:$Y$114,8,0)</f>
        <v>45016</v>
      </c>
      <c r="G18" s="207">
        <f ca="1">VLOOKUP(C18,'BD EVA 2 GPE'!$D$3:$AC$114,23,0)</f>
        <v>0.125</v>
      </c>
      <c r="H18" s="207">
        <f>VLOOKUP(C18,'BD EVA 2 GPE'!$D$3:$AC$114,16,0)</f>
        <v>1</v>
      </c>
      <c r="I18" s="214">
        <f t="shared" ref="I18:I27" ca="1" si="5">G18/H18</f>
        <v>0.125</v>
      </c>
      <c r="J18" s="75" t="s">
        <v>318</v>
      </c>
      <c r="K18" s="71">
        <v>0.3</v>
      </c>
      <c r="L18" s="211">
        <f t="shared" ca="1" si="0"/>
        <v>3.7499999999999999E-2</v>
      </c>
      <c r="M18" s="127"/>
    </row>
    <row r="19" spans="1:13" ht="39">
      <c r="A19" s="121" t="s">
        <v>147</v>
      </c>
      <c r="B19" s="72" t="s">
        <v>168</v>
      </c>
      <c r="C19" s="72" t="s">
        <v>173</v>
      </c>
      <c r="D19" s="75">
        <f>VLOOKUP(C19,'BD EVA 2 GPE'!$D$3:$Y$114,4,0)</f>
        <v>44469</v>
      </c>
      <c r="E19" s="207">
        <f>VLOOKUP(C19,'BD EVA 2 GPE'!$D$3:$Q$114,13,0)</f>
        <v>0.99175778888949939</v>
      </c>
      <c r="F19" s="75">
        <f>VLOOKUP(C19,'BD EVA 2 GPE'!$D$3:$Y$114,8,0)</f>
        <v>45016</v>
      </c>
      <c r="G19" s="214">
        <f ca="1">VLOOKUP(C19,'BD EVA 2 GPE'!$D$3:$AC$114,23,0)</f>
        <v>1</v>
      </c>
      <c r="H19" s="214">
        <f>VLOOKUP(C19,'BD EVA 2 GPE'!$D$3:$AC$114,16,0)</f>
        <v>1</v>
      </c>
      <c r="I19" s="214">
        <f t="shared" ca="1" si="5"/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65">
      <c r="A20" s="121" t="s">
        <v>147</v>
      </c>
      <c r="B20" s="72" t="s">
        <v>168</v>
      </c>
      <c r="C20" s="71" t="s">
        <v>177</v>
      </c>
      <c r="D20" s="75">
        <f>VLOOKUP(C20,'BD EVA 2 GPE'!$D$3:$Y$114,4,0)</f>
        <v>44469</v>
      </c>
      <c r="E20" s="214">
        <f>VLOOKUP(C20,'BD EVA 2 GPE'!$D$3:$Q$114,13,0)</f>
        <v>1</v>
      </c>
      <c r="F20" s="75">
        <f>VLOOKUP(C20,'BD EVA 2 GPE'!$D$3:$Y$114,8,0)</f>
        <v>45016</v>
      </c>
      <c r="G20" s="214">
        <f ca="1">VLOOKUP(C20,'BD EVA 2 GPE'!$D$3:$AC$114,23,0)</f>
        <v>1</v>
      </c>
      <c r="H20" s="214">
        <f>VLOOKUP(C20,'BD EVA 2 GPE'!$D$3:$AC$114,16,0)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52">
      <c r="A21" s="121" t="s">
        <v>147</v>
      </c>
      <c r="B21" s="72" t="s">
        <v>168</v>
      </c>
      <c r="C21" s="72" t="s">
        <v>183</v>
      </c>
      <c r="D21" s="75">
        <f>VLOOKUP(C21,'BD EVA 2 GPE'!$D$3:$Y$114,4,0)</f>
        <v>44469</v>
      </c>
      <c r="E21" s="207">
        <f>VLOOKUP(C21,'BD EVA 2 GPE'!$D$3:$Q$114,13,0)</f>
        <v>0.99993255062075914</v>
      </c>
      <c r="F21" s="75">
        <f>VLOOKUP(C21,'BD EVA 2 GPE'!$D$3:$Y$114,8,0)</f>
        <v>45016</v>
      </c>
      <c r="G21" s="214">
        <f ca="1">VLOOKUP(C21,'BD EVA 2 GPE'!$D$3:$AC$114,23,0)</f>
        <v>1</v>
      </c>
      <c r="H21" s="214">
        <f>VLOOKUP(C21,'BD EVA 2 GPE'!$D$3:$AC$114,16,0)</f>
        <v>1</v>
      </c>
      <c r="I21" s="214">
        <f t="shared" ca="1" si="5"/>
        <v>1</v>
      </c>
      <c r="J21" s="75" t="s">
        <v>318</v>
      </c>
      <c r="K21" s="71">
        <v>0.9</v>
      </c>
      <c r="L21" s="209">
        <f t="shared" ca="1" si="0"/>
        <v>0.9</v>
      </c>
      <c r="M21" s="127"/>
    </row>
    <row r="22" spans="1:13" ht="39">
      <c r="A22" s="121" t="s">
        <v>147</v>
      </c>
      <c r="B22" s="72" t="s">
        <v>168</v>
      </c>
      <c r="C22" s="72" t="s">
        <v>189</v>
      </c>
      <c r="D22" s="75">
        <f>VLOOKUP(C22,'BD EVA 2 GPE'!$D$3:$Y$114,4,0)</f>
        <v>44469</v>
      </c>
      <c r="E22" s="207">
        <f>VLOOKUP(C22,'BD EVA 2 GPE'!$D$3:$Q$114,13,0)</f>
        <v>0.90612668743509861</v>
      </c>
      <c r="F22" s="75">
        <f>VLOOKUP(C22,'BD EVA 2 GPE'!$D$3:$Y$114,8,0)</f>
        <v>45016</v>
      </c>
      <c r="G22" s="214">
        <f ca="1">VLOOKUP(C22,'BD EVA 2 GPE'!$D$3:$AC$114,23,0)</f>
        <v>1</v>
      </c>
      <c r="H22" s="214">
        <f>VLOOKUP(C22,'BD EVA 2 GPE'!$D$3:$AC$114,16,0)</f>
        <v>1</v>
      </c>
      <c r="I22" s="214">
        <f t="shared" ca="1" si="5"/>
        <v>1</v>
      </c>
      <c r="J22" s="75" t="s">
        <v>318</v>
      </c>
      <c r="K22" s="71">
        <v>1.5</v>
      </c>
      <c r="L22" s="209">
        <f t="shared" ca="1" si="0"/>
        <v>1.5</v>
      </c>
      <c r="M22" s="127"/>
    </row>
    <row r="23" spans="1:13" ht="104">
      <c r="A23" s="121" t="s">
        <v>147</v>
      </c>
      <c r="B23" s="72" t="s">
        <v>168</v>
      </c>
      <c r="C23" s="72" t="s">
        <v>197</v>
      </c>
      <c r="D23" s="89" t="str">
        <f>VLOOKUP(C23,'BD EVA 2 GPE'!$D$3:$Y$114,4,0)</f>
        <v>octubre 20 - mar 21</v>
      </c>
      <c r="E23" s="208">
        <f>VLOOKUP(C23,'BD EVA 2 GPE'!$D$3:$Q$114,13,0)</f>
        <v>0</v>
      </c>
      <c r="F23" s="89" t="str">
        <f>VLOOKUP(C23,'BD EVA 2 GPE'!$D$3:$Y$114,8,0)</f>
        <v>octubre 22 - mar 23</v>
      </c>
      <c r="G23" s="208">
        <f ca="1">VLOOKUP(C23,'BD EVA 2 GPE'!$D$3:$AC$114,23,0)</f>
        <v>41.850999999999999</v>
      </c>
      <c r="H23" s="208">
        <f>VLOOKUP(C23,'BD EVA 2 GPE'!$D$3:$AC$114,16,0)</f>
        <v>10</v>
      </c>
      <c r="I23" s="214">
        <f t="shared" ca="1" si="5"/>
        <v>4.1851000000000003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78">
      <c r="A24" s="121" t="s">
        <v>199</v>
      </c>
      <c r="B24" s="72" t="s">
        <v>200</v>
      </c>
      <c r="C24" s="72" t="s">
        <v>201</v>
      </c>
      <c r="D24" s="75">
        <f>VLOOKUP(C24,'BD EVA 2 GPE'!$D$3:$Y$114,4,0)</f>
        <v>44469</v>
      </c>
      <c r="E24" s="171">
        <f>VLOOKUP(C24,'BD EVA 2 GPE'!$D$3:$Q$114,13,0)</f>
        <v>13.875</v>
      </c>
      <c r="F24" s="75">
        <f>VLOOKUP(C24,'BD EVA 2 GPE'!$D$3:$Y$114,8,0)</f>
        <v>45016</v>
      </c>
      <c r="G24" s="82">
        <f ca="1">VLOOKUP(C24,'BD EVA 2 GPE'!$D$3:$AC$114,23,0)</f>
        <v>3.82</v>
      </c>
      <c r="H24" s="171">
        <f>VLOOKUP(C24,'BD EVA 2 GPE'!$D$3:$AC$114,16,0)</f>
        <v>1.73</v>
      </c>
      <c r="I24" s="214">
        <f t="shared" ca="1" si="5"/>
        <v>2.2080924855491331</v>
      </c>
      <c r="J24" s="75" t="s">
        <v>318</v>
      </c>
      <c r="K24" s="82">
        <v>1.9450000000000001</v>
      </c>
      <c r="L24" s="209">
        <f t="shared" ca="1" si="0"/>
        <v>1.9450000000000001</v>
      </c>
      <c r="M24" s="130">
        <f ca="1">SUM(L24:L28)</f>
        <v>10</v>
      </c>
    </row>
    <row r="25" spans="1:13" ht="52">
      <c r="A25" s="121" t="s">
        <v>199</v>
      </c>
      <c r="B25" s="72" t="s">
        <v>200</v>
      </c>
      <c r="C25" s="72" t="s">
        <v>209</v>
      </c>
      <c r="D25" s="71" t="str">
        <f>VLOOKUP(C25,'BD EVA 2 GPE'!$D$3:$Y$114,4,0)</f>
        <v>octubre 20 - mar 21</v>
      </c>
      <c r="E25" s="212">
        <f>VLOOKUP(C25,'BD EVA 2 GPE'!$D$3:$Q$114,13,0)</f>
        <v>0</v>
      </c>
      <c r="F25" s="71" t="str">
        <f>VLOOKUP(C25,'BD EVA 2 GPE'!$D$3:$Y$114,8,0)</f>
        <v>octubre 22 - mar 23</v>
      </c>
      <c r="G25" s="212">
        <f ca="1">VLOOKUP(C25,'BD EVA 2 GPE'!$D$3:$AC$114,23,0)</f>
        <v>9295</v>
      </c>
      <c r="H25" s="212">
        <f>VLOOKUP(C25,'BD EVA 2 GPE'!$D$3:$AC$114,16,0)</f>
        <v>8333</v>
      </c>
      <c r="I25" s="214">
        <f t="shared" ca="1" si="5"/>
        <v>1.1154446177847115</v>
      </c>
      <c r="J25" s="75" t="s">
        <v>318</v>
      </c>
      <c r="K25" s="82">
        <v>1.6337999999999999</v>
      </c>
      <c r="L25" s="209">
        <f t="shared" ca="1" si="0"/>
        <v>1.6337999999999999</v>
      </c>
      <c r="M25" s="127"/>
    </row>
    <row r="26" spans="1:13" ht="52">
      <c r="A26" s="121" t="s">
        <v>199</v>
      </c>
      <c r="B26" s="72" t="s">
        <v>200</v>
      </c>
      <c r="C26" s="72" t="s">
        <v>221</v>
      </c>
      <c r="D26" s="71" t="str">
        <f>VLOOKUP(C26,'BD EVA 2 GPE'!$D$3:$Y$114,4,0)</f>
        <v>enero - diciembre 2021</v>
      </c>
      <c r="E26" s="212">
        <f>VLOOKUP(C26,'BD EVA 2 GPE'!$D$3:$Q$114,13,0)</f>
        <v>0.13481553147911707</v>
      </c>
      <c r="F26" s="71" t="str">
        <f>VLOOKUP(C26,'BD EVA 2 GPE'!$D$3:$Y$114,8,0)</f>
        <v>enero- diciembre 2022</v>
      </c>
      <c r="G26" s="78">
        <f ca="1">VLOOKUP(C26,'BD EVA 2 GPE'!$D$3:$AC$114,23,0)</f>
        <v>0.68227176450354099</v>
      </c>
      <c r="H26" s="210">
        <f>VLOOKUP(C26,'BD EVA 2 GPE'!$D$3:$AC$114,16,0)</f>
        <v>0.13500000000000001</v>
      </c>
      <c r="I26" s="214">
        <f t="shared" ca="1" si="5"/>
        <v>5.0538649222484517</v>
      </c>
      <c r="J26" s="75" t="s">
        <v>318</v>
      </c>
      <c r="K26" s="82">
        <v>2.1006</v>
      </c>
      <c r="L26" s="209">
        <f t="shared" ca="1" si="0"/>
        <v>2.1006</v>
      </c>
      <c r="M26" s="127"/>
    </row>
    <row r="27" spans="1:13" ht="52">
      <c r="A27" s="121" t="s">
        <v>199</v>
      </c>
      <c r="B27" s="72" t="s">
        <v>200</v>
      </c>
      <c r="C27" s="72" t="s">
        <v>226</v>
      </c>
      <c r="D27" s="71" t="str">
        <f>VLOOKUP(C27,'BD EVA 2 GPE'!$D$3:$Y$114,4,0)</f>
        <v>octubre 20 - mar 21</v>
      </c>
      <c r="E27" s="212">
        <f>VLOOKUP(C27,'BD EVA 2 GPE'!$D$3:$Q$114,13,0)</f>
        <v>0</v>
      </c>
      <c r="F27" s="71" t="str">
        <f>VLOOKUP(C27,'BD EVA 2 GPE'!$D$3:$Y$114,8,0)</f>
        <v>octubre 22 - mar 23</v>
      </c>
      <c r="G27" s="212">
        <f ca="1">VLOOKUP(C27,'BD EVA 2 GPE'!$D$3:$AC$114,23,0)</f>
        <v>17</v>
      </c>
      <c r="H27" s="212">
        <f>VLOOKUP(C27,'BD EVA 2 GPE'!$D$3:$AC$114,16,0)</f>
        <v>8</v>
      </c>
      <c r="I27" s="214">
        <f t="shared" ca="1" si="5"/>
        <v>2.125</v>
      </c>
      <c r="J27" s="75" t="s">
        <v>318</v>
      </c>
      <c r="K27" s="82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GPE'!$D$3:$Y$114,4,0)</f>
        <v>octubre 2018 - marzo 2019</v>
      </c>
      <c r="E28" s="212">
        <f>VLOOKUP(C28,'BD EVA 2 GPE'!$D$3:$Q$114,13,0)</f>
        <v>2493</v>
      </c>
      <c r="F28" s="89" t="str">
        <f>VLOOKUP(C28,'BD EVA 2 GPE'!$D$3:$Y$114,8,0)</f>
        <v>octubre 22 - mar 23</v>
      </c>
      <c r="G28" s="212">
        <f ca="1">VLOOKUP(C28,'BD EVA 2 GPE'!$D$3:$AC$114,23,0)</f>
        <v>1715</v>
      </c>
      <c r="H28" s="212">
        <f>VLOOKUP(C28,'BD EVA 2 GPE'!$D$3:$AC$114,16,0)</f>
        <v>2486.7674999999999</v>
      </c>
      <c r="I28" s="78">
        <f ca="1">(G28-E28)/(H28-E28)</f>
        <v>124.82952266345623</v>
      </c>
      <c r="J28" s="89" t="s">
        <v>319</v>
      </c>
      <c r="K28" s="82">
        <v>2.2200000000000002</v>
      </c>
      <c r="L28" s="209">
        <f t="shared" ca="1" si="0"/>
        <v>2.2200000000000002</v>
      </c>
      <c r="M28" s="127"/>
    </row>
    <row r="29" spans="1:13" ht="104">
      <c r="A29" s="121" t="s">
        <v>243</v>
      </c>
      <c r="B29" s="72" t="s">
        <v>244</v>
      </c>
      <c r="C29" s="72" t="s">
        <v>338</v>
      </c>
      <c r="D29" s="89" t="str">
        <f>VLOOKUP(C29,'BD EVA 2 GPE'!$D$3:$Y$114,4,0)</f>
        <v>octubre 20 - mar 21</v>
      </c>
      <c r="E29" s="212">
        <f>VLOOKUP(C29,'BD EVA 2 GPE'!$D$3:$Q$114,13,0)</f>
        <v>0</v>
      </c>
      <c r="F29" s="89" t="str">
        <f>VLOOKUP(C29,'BD EVA 2 GPE'!$D$3:$Y$114,8,0)</f>
        <v>octubre 22 - mar 23</v>
      </c>
      <c r="G29" s="212">
        <f ca="1">VLOOKUP(C29,'BD EVA 2 GPE'!$D$3:$AC$114,23,0)</f>
        <v>15</v>
      </c>
      <c r="H29" s="212">
        <f>VLOOKUP(C29,'BD EVA 2 GPE'!$D$3:$AC$114,16,0)</f>
        <v>10</v>
      </c>
      <c r="I29" s="80">
        <f t="shared" ref="I29:I33" ca="1" si="6">G29/H29</f>
        <v>1.5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8.9655882352941152</v>
      </c>
    </row>
    <row r="30" spans="1:13" ht="39">
      <c r="A30" s="121" t="s">
        <v>243</v>
      </c>
      <c r="B30" s="72" t="s">
        <v>247</v>
      </c>
      <c r="C30" s="72" t="s">
        <v>248</v>
      </c>
      <c r="D30" s="75">
        <f>VLOOKUP(C30,'BD EVA 2 GPE'!$D$3:$Y$114,4,0)</f>
        <v>44469</v>
      </c>
      <c r="E30" s="212">
        <f>VLOOKUP(C30,'BD EVA 2 GPE'!$D$3:$Q$114,13,0)</f>
        <v>6</v>
      </c>
      <c r="F30" s="75" t="str">
        <f>VLOOKUP(C30,'BD EVA 2 GPE'!$D$3:$Y$114,8,0)</f>
        <v>Dic 2022</v>
      </c>
      <c r="G30" s="212">
        <f ca="1">VLOOKUP(C30,'BD EVA 2 GPE'!$D$3:$AC$114,23,0)</f>
        <v>10</v>
      </c>
      <c r="H30" s="212">
        <f>VLOOKUP(C30,'BD EVA 2 GPE'!$D$3:$AC$114,16,0)</f>
        <v>10</v>
      </c>
      <c r="I30" s="80">
        <f t="shared" ca="1" si="6"/>
        <v>1</v>
      </c>
      <c r="J30" s="75" t="s">
        <v>318</v>
      </c>
      <c r="K30" s="71">
        <v>2</v>
      </c>
      <c r="L30" s="209">
        <f t="shared" ca="1" si="0"/>
        <v>2</v>
      </c>
      <c r="M30" s="127"/>
    </row>
    <row r="31" spans="1:13" ht="39">
      <c r="A31" s="121" t="s">
        <v>243</v>
      </c>
      <c r="B31" s="72" t="s">
        <v>250</v>
      </c>
      <c r="C31" s="72" t="s">
        <v>251</v>
      </c>
      <c r="D31" s="75">
        <f>VLOOKUP(C31,'BD EVA 2 GPE'!$D$3:$Y$114,4,0)</f>
        <v>44469</v>
      </c>
      <c r="E31" s="212">
        <f>VLOOKUP(C31,'BD EVA 2 GPE'!$D$3:$Q$114,13,0)</f>
        <v>100</v>
      </c>
      <c r="F31" s="75">
        <f>VLOOKUP(C31,'BD EVA 2 GPE'!$D$3:$Y$114,8,0)</f>
        <v>45016</v>
      </c>
      <c r="G31" s="212">
        <f ca="1">VLOOKUP(C31,'BD EVA 2 GPE'!$D$3:$AC$114,23,0)</f>
        <v>100</v>
      </c>
      <c r="H31" s="212">
        <f>VLOOKUP(C31,'BD EVA 2 GPE'!$D$3:$AC$114,16,0)</f>
        <v>100</v>
      </c>
      <c r="I31" s="80">
        <f t="shared" ca="1" si="6"/>
        <v>1</v>
      </c>
      <c r="J31" s="75" t="s">
        <v>318</v>
      </c>
      <c r="K31" s="71">
        <v>2</v>
      </c>
      <c r="L31" s="209">
        <f t="shared" ca="1" si="0"/>
        <v>2</v>
      </c>
      <c r="M31" s="127"/>
    </row>
    <row r="32" spans="1:13" ht="156">
      <c r="A32" s="121" t="s">
        <v>243</v>
      </c>
      <c r="B32" s="72" t="s">
        <v>257</v>
      </c>
      <c r="C32" s="72" t="s">
        <v>258</v>
      </c>
      <c r="D32" s="75">
        <f>VLOOKUP(C32,'BD EVA 2 GPE'!$D$3:$Y$114,4,0)</f>
        <v>44469</v>
      </c>
      <c r="E32" s="209">
        <f>VLOOKUP(C32,'BD EVA 2 GPE'!$D$3:$Q$114,13,0)</f>
        <v>0</v>
      </c>
      <c r="F32" s="75">
        <f>VLOOKUP(C32,'BD EVA 2 GPE'!$D$3:$Y$114,8,0)</f>
        <v>45016</v>
      </c>
      <c r="G32" s="209">
        <f ca="1">VLOOKUP(C32,'BD EVA 2 GPE'!$D$3:$AC$114,23,0)</f>
        <v>3.6911764705882302</v>
      </c>
      <c r="H32" s="209">
        <f>VLOOKUP(C32,'BD EVA 2 GPE'!$D$3:$AC$114,16,0)</f>
        <v>4</v>
      </c>
      <c r="I32" s="80">
        <f t="shared" ca="1" si="6"/>
        <v>0.92279411764705754</v>
      </c>
      <c r="J32" s="75" t="s">
        <v>318</v>
      </c>
      <c r="K32" s="71">
        <v>2</v>
      </c>
      <c r="L32" s="209">
        <f t="shared" ca="1" si="0"/>
        <v>1.8455882352941151</v>
      </c>
      <c r="M32" s="127"/>
    </row>
    <row r="33" spans="1:13" ht="52">
      <c r="A33" s="121" t="s">
        <v>243</v>
      </c>
      <c r="B33" s="72" t="s">
        <v>260</v>
      </c>
      <c r="C33" s="72" t="s">
        <v>273</v>
      </c>
      <c r="D33" s="75" t="str">
        <f>VLOOKUP(C33,'BD EVA 2 GPE'!$D$3:$Y$114,4,0)</f>
        <v>enero - diciembre 2021</v>
      </c>
      <c r="E33" s="209">
        <f>VLOOKUP(C33,'BD EVA 2 GPE'!$D$3:$Q$114,13,0)</f>
        <v>0</v>
      </c>
      <c r="F33" s="75" t="str">
        <f>VLOOKUP(C33,'BD EVA 2 GPE'!$D$3:$Y$114,8,0)</f>
        <v>enero- diciembre 2022</v>
      </c>
      <c r="G33" s="207">
        <f ca="1">VLOOKUP(C33,'BD EVA 2 GPE'!$D$3:$AC$114,23,0)</f>
        <v>0.28000000000000003</v>
      </c>
      <c r="H33" s="207">
        <f>VLOOKUP(C33,'BD EVA 2 GPE'!$D$3:$AC$114,16,0)</f>
        <v>0.5</v>
      </c>
      <c r="I33" s="80">
        <f t="shared" ca="1" si="6"/>
        <v>0.56000000000000005</v>
      </c>
      <c r="J33" s="75" t="s">
        <v>318</v>
      </c>
      <c r="K33" s="71">
        <v>2</v>
      </c>
      <c r="L33" s="209">
        <f t="shared" ca="1" si="0"/>
        <v>1.1200000000000001</v>
      </c>
      <c r="M33" s="127"/>
    </row>
    <row r="34" spans="1:13" ht="39">
      <c r="A34" s="121" t="s">
        <v>275</v>
      </c>
      <c r="B34" s="72" t="s">
        <v>276</v>
      </c>
      <c r="C34" s="72" t="s">
        <v>282</v>
      </c>
      <c r="D34" s="71" t="str">
        <f>VLOOKUP(C34,'BD EVA 2 GPE'!$D$3:$Y$114,4,0)</f>
        <v>enero - diciembre 2021</v>
      </c>
      <c r="E34" s="78">
        <f>VLOOKUP(C34,'BD EVA 2 GPE'!$D$3:$Q$114,13,0)</f>
        <v>0.27371764995941666</v>
      </c>
      <c r="F34" s="71" t="str">
        <f>VLOOKUP(C34,'BD EVA 2 GPE'!$D$3:$Y$114,8,0)</f>
        <v>enero- diciembre 2022</v>
      </c>
      <c r="G34" s="78">
        <f ca="1">VLOOKUP(C34,'BD EVA 2 GPE'!$D$3:$AC$114,23,0)</f>
        <v>0.28316630388782899</v>
      </c>
      <c r="H34" s="78">
        <f>VLOOKUP(C34,'BD EVA 2 GPE'!$D$3:$AC$114,16,0)</f>
        <v>0.32400000000000001</v>
      </c>
      <c r="I34" s="78">
        <f ca="1">(G34/H34)</f>
        <v>0.87397007372786717</v>
      </c>
      <c r="J34" s="75" t="s">
        <v>318</v>
      </c>
      <c r="K34" s="82">
        <v>2.2000000000000002</v>
      </c>
      <c r="L34" s="209">
        <f t="shared" ca="1" si="0"/>
        <v>1.9227341622013079</v>
      </c>
      <c r="M34" s="130">
        <f ca="1">SUM(L34:L39)</f>
        <v>9.8014941909626536</v>
      </c>
    </row>
    <row r="35" spans="1:13" ht="52">
      <c r="A35" s="121" t="s">
        <v>275</v>
      </c>
      <c r="B35" s="72" t="s">
        <v>276</v>
      </c>
      <c r="C35" s="72" t="s">
        <v>287</v>
      </c>
      <c r="D35" s="75" t="str">
        <f>VLOOKUP(C35,'BD EVA 2 GPE'!$D$3:$Y$114,4,0)</f>
        <v>Dic 2021</v>
      </c>
      <c r="E35" s="78">
        <f>VLOOKUP(C35,'BD EVA 2 GPE'!$D$3:$Q$114,13,0)</f>
        <v>0.35416398005385219</v>
      </c>
      <c r="F35" s="71" t="str">
        <f>VLOOKUP(C35,'BD EVA 2 GPE'!$D$3:$Y$114,8,0)</f>
        <v>Dic 2022</v>
      </c>
      <c r="G35" s="78">
        <f ca="1">VLOOKUP(C35,'BD EVA 2 GPE'!$D$3:$AC$114,23,0)</f>
        <v>0.42366301618430702</v>
      </c>
      <c r="H35" s="78">
        <f>VLOOKUP(C35,'BD EVA 2 GPE'!$D$3:$AC$114,16,0)</f>
        <v>0.40400000000000003</v>
      </c>
      <c r="I35" s="78">
        <f ca="1">G35/H35</f>
        <v>1.0486708321393738</v>
      </c>
      <c r="J35" s="75" t="s">
        <v>318</v>
      </c>
      <c r="K35" s="82">
        <v>1.4</v>
      </c>
      <c r="L35" s="209">
        <f t="shared" ca="1" si="0"/>
        <v>1.4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2 GPE'!$D$3:$Y$114,4,0)</f>
        <v>enero - diciembre 2021</v>
      </c>
      <c r="E36" s="78">
        <f>VLOOKUP(C36,'BD EVA 2 GPE'!$D$3:$Q$114,13,0)</f>
        <v>0.62996920338542473</v>
      </c>
      <c r="F36" s="71" t="str">
        <f>VLOOKUP(C36,'BD EVA 2 GPE'!$D$3:$Y$114,8,0)</f>
        <v>enero- diciembre 2022</v>
      </c>
      <c r="G36" s="78">
        <f ca="1">VLOOKUP(C36,'BD EVA 2 GPE'!$D$3:$AC$114,23,0)</f>
        <v>0.64372455395221595</v>
      </c>
      <c r="H36" s="78">
        <f>VLOOKUP(C36,'BD EVA 2 GPE'!$D$3:$AC$114,16,0)</f>
        <v>0.65</v>
      </c>
      <c r="I36" s="78">
        <f ca="1">IF(G36&lt;E36,0,G36/H36)</f>
        <v>0.99034546761879372</v>
      </c>
      <c r="J36" s="72" t="s">
        <v>316</v>
      </c>
      <c r="K36" s="82">
        <v>2.2000000000000002</v>
      </c>
      <c r="L36" s="209">
        <f t="shared" ca="1" si="0"/>
        <v>2.1787600287613462</v>
      </c>
      <c r="M36" s="127"/>
    </row>
    <row r="37" spans="1:13" ht="39">
      <c r="A37" s="121" t="s">
        <v>275</v>
      </c>
      <c r="B37" s="72" t="s">
        <v>276</v>
      </c>
      <c r="C37" s="72" t="s">
        <v>296</v>
      </c>
      <c r="D37" s="75" t="str">
        <f>VLOOKUP(C37,'BD EVA 2 GPE'!$D$3:$Y$114,4,0)</f>
        <v>enero - diciembre 2021</v>
      </c>
      <c r="E37" s="90">
        <f>VLOOKUP(C37,'BD EVA 2 GPE'!$D$3:$Q$114,13,0)</f>
        <v>203360688.65000004</v>
      </c>
      <c r="F37" s="89" t="str">
        <f>VLOOKUP(C37,'BD EVA 2 GPE'!$D$3:$Y$114,8,0)</f>
        <v>enero- diciembre 2022</v>
      </c>
      <c r="G37" s="90">
        <f ca="1">VLOOKUP(C37,'BD EVA 2 GPE'!$D$3:$AC$114,23,0)</f>
        <v>337716623.799999</v>
      </c>
      <c r="H37" s="90">
        <f>VLOOKUP(C37,'BD EVA 2 GPE'!$D$3:$AC$114,16,0)</f>
        <v>213528723.08000001</v>
      </c>
      <c r="I37" s="80">
        <f ca="1">G37/H37</f>
        <v>1.5815981050636974</v>
      </c>
      <c r="J37" s="75" t="s">
        <v>318</v>
      </c>
      <c r="K37" s="82">
        <v>1.1000000000000001</v>
      </c>
      <c r="L37" s="209">
        <f t="shared" ca="1" si="0"/>
        <v>1.1000000000000001</v>
      </c>
      <c r="M37" s="127"/>
    </row>
    <row r="38" spans="1:13" ht="39">
      <c r="A38" s="121" t="s">
        <v>275</v>
      </c>
      <c r="B38" s="72" t="s">
        <v>298</v>
      </c>
      <c r="C38" s="72" t="s">
        <v>301</v>
      </c>
      <c r="D38" s="75" t="str">
        <f>VLOOKUP(C38,'BD EVA 2 GPE'!$D$3:$Y$114,4,0)</f>
        <v>Dic 2020</v>
      </c>
      <c r="E38" s="78">
        <f>VLOOKUP(C38,'BD EVA 2 GPE'!$D$3:$Q$114,13,0)</f>
        <v>0.75913892998946053</v>
      </c>
      <c r="F38" s="89" t="str">
        <f>VLOOKUP(C38,'BD EVA 2 GPE'!$D$3:$Y$114,8,0)</f>
        <v>Dic 2022</v>
      </c>
      <c r="G38" s="78">
        <f ca="1">VLOOKUP(C38,'BD EVA 2 GPE'!$D$3:$AC$114,23,0)</f>
        <v>0.72046908447288405</v>
      </c>
      <c r="H38" s="78">
        <f>VLOOKUP(C38,'BD EVA 2 GPE'!$D$3:$AC$114,16,0)</f>
        <v>0.749</v>
      </c>
      <c r="I38" s="78">
        <f ca="1">(H38/G38)</f>
        <v>1.0396004716121718</v>
      </c>
      <c r="J38" s="89" t="s">
        <v>341</v>
      </c>
      <c r="K38" s="82">
        <v>1.6</v>
      </c>
      <c r="L38" s="209">
        <f t="shared" ca="1" si="0"/>
        <v>1.6</v>
      </c>
      <c r="M38" s="127"/>
    </row>
    <row r="39" spans="1:13" ht="52">
      <c r="A39" s="121" t="s">
        <v>275</v>
      </c>
      <c r="B39" s="72" t="s">
        <v>303</v>
      </c>
      <c r="C39" s="72" t="s">
        <v>304</v>
      </c>
      <c r="D39" s="89" t="str">
        <f>VLOOKUP(C39,'BD EVA 2 GPE'!$D$3:$Y$114,4,0)</f>
        <v>Dic 2020</v>
      </c>
      <c r="E39" s="76" t="str">
        <f>VLOOKUP(C39,'BD EVA 2 GPE'!$D$3:$Q$114,13,0)</f>
        <v>Amarillo</v>
      </c>
      <c r="F39" s="89" t="str">
        <f>VLOOKUP(C39,'BD EVA 2 GPE'!$D$3:$Y$114,8,0)</f>
        <v>Dic 2022</v>
      </c>
      <c r="G39" s="76" t="str">
        <f ca="1">VLOOKUP(C39,'BD EVA 2 GPE'!$D$3:$AC$114,23,0)</f>
        <v>Verde</v>
      </c>
      <c r="H39" s="76" t="str">
        <f>VLOOKUP(C39,'BD EVA 2 GPE'!$D$3:$AC$114,16,0)</f>
        <v>Verde</v>
      </c>
      <c r="I39" s="76">
        <f ca="1">IF(G39="Verde",1,0)</f>
        <v>1</v>
      </c>
      <c r="J39" s="75" t="s">
        <v>318</v>
      </c>
      <c r="K39" s="82">
        <v>1.6</v>
      </c>
      <c r="L39" s="209">
        <f t="shared" ca="1" si="0"/>
        <v>1.6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EDBC6-3651-374A-BF58-B11EC6193C18}">
  <dimension ref="A1:AC113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715442</v>
      </c>
      <c r="Q2" s="5">
        <v>715442</v>
      </c>
      <c r="R2" s="4"/>
      <c r="S2" s="6"/>
      <c r="T2" s="6"/>
      <c r="U2" s="6"/>
      <c r="V2" s="6"/>
      <c r="W2" s="6"/>
      <c r="X2" s="5">
        <v>721449</v>
      </c>
      <c r="Y2" s="5">
        <v>721449</v>
      </c>
      <c r="Z2" s="5">
        <v>728541</v>
      </c>
      <c r="AA2" s="5">
        <v>728541</v>
      </c>
      <c r="AB2" s="5">
        <v>736824</v>
      </c>
      <c r="AC2" s="5">
        <v>736824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845</v>
      </c>
      <c r="Q3" s="2">
        <v>845</v>
      </c>
      <c r="R3" s="4">
        <v>846</v>
      </c>
      <c r="S3" s="4">
        <v>847</v>
      </c>
      <c r="T3" s="4">
        <v>848</v>
      </c>
      <c r="U3" s="4">
        <v>849</v>
      </c>
      <c r="V3" s="4">
        <v>853</v>
      </c>
      <c r="W3" s="4">
        <v>853</v>
      </c>
      <c r="X3" s="2">
        <v>832</v>
      </c>
      <c r="Y3" s="2">
        <f ca="1">IFERROR(__xludf.DUMMYFUNCTION("INDEX(IMPORTRANGE(""1y0FWgjbB0gVlqn-q5LMJbGIsqOrzru4yowQz67dz2yc"", ""'GPE'!BG3:BG139""),MATCH(D3,IMPORTRANGE(""1y0FWgjbB0gVlqn-q5LMJbGIsqOrzru4yowQz67dz2yc"", ""'GPE'!D3:D139""),0))"),847)</f>
        <v>847</v>
      </c>
      <c r="Z3" s="2">
        <f ca="1">IFERROR(__xludf.DUMMYFUNCTION("INDEX(IMPORTRANGE(""1y0FWgjbB0gVlqn-q5LMJbGIsqOrzru4yowQz67dz2yc"", ""'GPE'!BH3:BH139""),MATCH(D3,IMPORTRANGE(""1y0FWgjbB0gVlqn-q5LMJbGIsqOrzru4yowQz67dz2yc"", ""'GPE'!D3:D139""),0))"),847)</f>
        <v>847</v>
      </c>
      <c r="AA3" s="2">
        <f ca="1">IFERROR(__xludf.DUMMYFUNCTION("INDEX(IMPORTRANGE(""1y0FWgjbB0gVlqn-q5LMJbGIsqOrzru4yowQz67dz2yc"", ""'GPE'!BI3:BI139""),MATCH($D3,IMPORTRANGE(""1y0FWgjbB0gVlqn-q5LMJbGIsqOrzru4yowQz67dz2yc"", ""'GPE'!D3:D139""),0))"),848)</f>
        <v>848</v>
      </c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838</v>
      </c>
      <c r="Q4" s="2">
        <v>838</v>
      </c>
      <c r="R4" s="4"/>
      <c r="S4" s="4"/>
      <c r="T4" s="4"/>
      <c r="U4" s="4"/>
      <c r="V4" s="4"/>
      <c r="W4" s="4"/>
      <c r="X4" s="2">
        <v>815</v>
      </c>
      <c r="Y4" s="2">
        <f ca="1">IFERROR(__xludf.DUMMYFUNCTION("INDEX(IMPORTRANGE(""1y0FWgjbB0gVlqn-q5LMJbGIsqOrzru4yowQz67dz2yc"", ""'GPE'!BG3:BG139""),MATCH(D4,IMPORTRANGE(""1y0FWgjbB0gVlqn-q5LMJbGIsqOrzru4yowQz67dz2yc"", ""'GPE'!D3:D139""),0))"),838)</f>
        <v>838</v>
      </c>
      <c r="Z4" s="2">
        <f ca="1">IFERROR(__xludf.DUMMYFUNCTION("INDEX(IMPORTRANGE(""1y0FWgjbB0gVlqn-q5LMJbGIsqOrzru4yowQz67dz2yc"", ""'GPE'!BH3:BH139""),MATCH(D4,IMPORTRANGE(""1y0FWgjbB0gVlqn-q5LMJbGIsqOrzru4yowQz67dz2yc"", ""'GPE'!D3:D139""),0))"),822)</f>
        <v>822</v>
      </c>
      <c r="AA4" s="2">
        <f ca="1">IFERROR(__xludf.DUMMYFUNCTION("INDEX(IMPORTRANGE(""1y0FWgjbB0gVlqn-q5LMJbGIsqOrzru4yowQz67dz2yc"", ""'GPE'!BI3:BI139""),MATCH($D4,IMPORTRANGE(""1y0FWgjbB0gVlqn-q5LMJbGIsqOrzru4yowQz67dz2yc"", ""'GPE'!D3:D139""),0))"),824)</f>
        <v>824</v>
      </c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0.99171597633136099</v>
      </c>
      <c r="Q5" s="15">
        <f t="shared" si="0"/>
        <v>0.99171597633136099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0.97956730769230771</v>
      </c>
      <c r="Y5" s="15">
        <f ca="1">IFERROR(__xludf.DUMMYFUNCTION("INDEX(IMPORTRANGE(""1y0FWgjbB0gVlqn-q5LMJbGIsqOrzru4yowQz67dz2yc"", ""'GPE'!BG3:BG139""),MATCH(D5,IMPORTRANGE(""1y0FWgjbB0gVlqn-q5LMJbGIsqOrzru4yowQz67dz2yc"", ""'GPE'!D3:D139""),0))"),0.989374262101534)</f>
        <v>0.98937426210153401</v>
      </c>
      <c r="Z5" s="15">
        <f ca="1">IFERROR(__xludf.DUMMYFUNCTION("INDEX(IMPORTRANGE(""1y0FWgjbB0gVlqn-q5LMJbGIsqOrzru4yowQz67dz2yc"", ""'GPE'!BH3:BH139""),MATCH(D5,IMPORTRANGE(""1y0FWgjbB0gVlqn-q5LMJbGIsqOrzru4yowQz67dz2yc"", ""'GPE'!D3:D139""),0))"),0.970484061393152)</f>
        <v>0.97048406139315202</v>
      </c>
      <c r="AA5" s="15">
        <f ca="1">IFERROR(__xludf.DUMMYFUNCTION("INDEX(IMPORTRANGE(""1y0FWgjbB0gVlqn-q5LMJbGIsqOrzru4yowQz67dz2yc"", ""'GPE'!BI3:BI139""),MATCH($D5,IMPORTRANGE(""1y0FWgjbB0gVlqn-q5LMJbGIsqOrzru4yowQz67dz2yc"", ""'GPE'!D3:D139""),0))"),0.971698113207547)</f>
        <v>0.97169811320754695</v>
      </c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2"/>
      <c r="R6" s="2"/>
      <c r="S6" s="2"/>
      <c r="T6" s="2"/>
      <c r="U6" s="2"/>
      <c r="V6" s="2"/>
      <c r="W6" s="2"/>
      <c r="X6" s="18"/>
      <c r="Y6" s="2">
        <f ca="1">IFERROR(__xludf.DUMMYFUNCTION("INDEX(IMPORTRANGE(""1y0FWgjbB0gVlqn-q5LMJbGIsqOrzru4yowQz67dz2yc"", ""'GPE'!BG3:BG139""),MATCH(D6,IMPORTRANGE(""1y0FWgjbB0gVlqn-q5LMJbGIsqOrzru4yowQz67dz2yc"", ""'GPE'!D3:D139""),0))"),19)</f>
        <v>19</v>
      </c>
      <c r="Z6" s="2">
        <f ca="1">IFERROR(__xludf.DUMMYFUNCTION("INDEX(IMPORTRANGE(""1y0FWgjbB0gVlqn-q5LMJbGIsqOrzru4yowQz67dz2yc"", ""'GPE'!BH3:BH139""),MATCH(D6,IMPORTRANGE(""1y0FWgjbB0gVlqn-q5LMJbGIsqOrzru4yowQz67dz2yc"", ""'GPE'!D3:D139""),0))"),22)</f>
        <v>22</v>
      </c>
      <c r="AA6" s="2">
        <f ca="1">IFERROR(__xludf.DUMMYFUNCTION("INDEX(IMPORTRANGE(""1y0FWgjbB0gVlqn-q5LMJbGIsqOrzru4yowQz67dz2yc"", ""'GPE'!BI3:BI139""),MATCH($D6,IMPORTRANGE(""1y0FWgjbB0gVlqn-q5LMJbGIsqOrzru4yowQz67dz2yc"", ""'GPE'!D3:D139""),0))"),23)</f>
        <v>23</v>
      </c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7"/>
      <c r="Q7" s="2"/>
      <c r="R7" s="2"/>
      <c r="S7" s="2"/>
      <c r="T7" s="2"/>
      <c r="U7" s="2"/>
      <c r="V7" s="2"/>
      <c r="W7" s="2"/>
      <c r="X7" s="18"/>
      <c r="Y7" s="2">
        <f ca="1">IFERROR(__xludf.DUMMYFUNCTION("INDEX(IMPORTRANGE(""1y0FWgjbB0gVlqn-q5LMJbGIsqOrzru4yowQz67dz2yc"", ""'GPE'!BG3:BG139""),MATCH(D7,IMPORTRANGE(""1y0FWgjbB0gVlqn-q5LMJbGIsqOrzru4yowQz67dz2yc"", ""'GPE'!D3:D139""),0))"),0)</f>
        <v>0</v>
      </c>
      <c r="Z7" s="2">
        <f ca="1">IFERROR(__xludf.DUMMYFUNCTION("INDEX(IMPORTRANGE(""1y0FWgjbB0gVlqn-q5LMJbGIsqOrzru4yowQz67dz2yc"", ""'GPE'!BH3:BH139""),MATCH(D7,IMPORTRANGE(""1y0FWgjbB0gVlqn-q5LMJbGIsqOrzru4yowQz67dz2yc"", ""'GPE'!D3:D139""),0))"),0)</f>
        <v>0</v>
      </c>
      <c r="AA7" s="2">
        <f ca="1">IFERROR(__xludf.DUMMYFUNCTION("INDEX(IMPORTRANGE(""1y0FWgjbB0gVlqn-q5LMJbGIsqOrzru4yowQz67dz2yc"", ""'GPE'!BI3:BI139""),MATCH($D7,IMPORTRANGE(""1y0FWgjbB0gVlqn-q5LMJbGIsqOrzru4yowQz67dz2yc"", ""'GPE'!D3:D139""),0))"),0)</f>
        <v>0</v>
      </c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5">
        <f t="shared" si="1"/>
        <v>0</v>
      </c>
      <c r="R8" s="26">
        <v>4.1999999999999997E-3</v>
      </c>
      <c r="S8" s="26">
        <v>8.3999999999999995E-3</v>
      </c>
      <c r="T8" s="26">
        <v>1.26E-2</v>
      </c>
      <c r="U8" s="26">
        <v>2.1000000000000001E-2</v>
      </c>
      <c r="V8" s="14">
        <v>0.03</v>
      </c>
      <c r="W8" s="14">
        <v>0.03</v>
      </c>
      <c r="X8" s="19">
        <f>X6/X3</f>
        <v>0</v>
      </c>
      <c r="Y8" s="15">
        <f ca="1">IFERROR(__xludf.DUMMYFUNCTION("INDEX(IMPORTRANGE(""1y0FWgjbB0gVlqn-q5LMJbGIsqOrzru4yowQz67dz2yc"", ""'GPE'!BG3:BG139""),MATCH(D8,IMPORTRANGE(""1y0FWgjbB0gVlqn-q5LMJbGIsqOrzru4yowQz67dz2yc"", ""'GPE'!D3:D139""),0))"),0.0224321133412042)</f>
        <v>2.24321133412042E-2</v>
      </c>
      <c r="Z8" s="15">
        <f ca="1">IFERROR(__xludf.DUMMYFUNCTION("INDEX(IMPORTRANGE(""1y0FWgjbB0gVlqn-q5LMJbGIsqOrzru4yowQz67dz2yc"", ""'GPE'!BH3:BH139""),MATCH(D8,IMPORTRANGE(""1y0FWgjbB0gVlqn-q5LMJbGIsqOrzru4yowQz67dz2yc"", ""'GPE'!D3:D139""),0))"),0.0259740259740259)</f>
        <v>2.5974025974025899E-2</v>
      </c>
      <c r="AA8" s="15">
        <f ca="1">IFERROR(__xludf.DUMMYFUNCTION("INDEX(IMPORTRANGE(""1y0FWgjbB0gVlqn-q5LMJbGIsqOrzru4yowQz67dz2yc"", ""'GPE'!BI3:BI139""),MATCH($D8,IMPORTRANGE(""1y0FWgjbB0gVlqn-q5LMJbGIsqOrzru4yowQz67dz2yc"", ""'GPE'!D3:D139""),0))"),0.0271226415094339)</f>
        <v>2.7122641509433901E-2</v>
      </c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553</v>
      </c>
      <c r="Q9" s="2">
        <v>809</v>
      </c>
      <c r="R9" s="4"/>
      <c r="S9" s="4"/>
      <c r="T9" s="4"/>
      <c r="U9" s="4"/>
      <c r="V9" s="4"/>
      <c r="W9" s="4"/>
      <c r="X9" s="12">
        <v>73</v>
      </c>
      <c r="Y9" s="2">
        <f ca="1">IFERROR(__xludf.DUMMYFUNCTION("INDEX(IMPORTRANGE(""1y0FWgjbB0gVlqn-q5LMJbGIsqOrzru4yowQz67dz2yc"", ""'GPE'!BG3:BG139""),MATCH(D9,IMPORTRANGE(""1y0FWgjbB0gVlqn-q5LMJbGIsqOrzru4yowQz67dz2yc"", ""'GPE'!D3:D139""),0))"),550)</f>
        <v>550</v>
      </c>
      <c r="Z9" s="12">
        <f ca="1">IFERROR(__xludf.DUMMYFUNCTION("INDEX(IMPORTRANGE(""1y0FWgjbB0gVlqn-q5LMJbGIsqOrzru4yowQz67dz2yc"", ""'GPE'!BH3:BH139""),MATCH(D9,IMPORTRANGE(""1y0FWgjbB0gVlqn-q5LMJbGIsqOrzru4yowQz67dz2yc"", ""'GPE'!D3:D139""),0))"),402)</f>
        <v>402</v>
      </c>
      <c r="AA9" s="2">
        <f ca="1">IFERROR(__xludf.DUMMYFUNCTION("INDEX(IMPORTRANGE(""1y0FWgjbB0gVlqn-q5LMJbGIsqOrzru4yowQz67dz2yc"", ""'GPE'!BI3:BI139""),MATCH($D9,IMPORTRANGE(""1y0FWgjbB0gVlqn-q5LMJbGIsqOrzru4yowQz67dz2yc"", ""'GPE'!D3:D139""),0))"),720)</f>
        <v>720</v>
      </c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4793</v>
      </c>
      <c r="Q10" s="2">
        <v>7857</v>
      </c>
      <c r="R10" s="4"/>
      <c r="S10" s="4"/>
      <c r="T10" s="4"/>
      <c r="U10" s="4"/>
      <c r="V10" s="4"/>
      <c r="W10" s="4"/>
      <c r="X10" s="12">
        <v>2050</v>
      </c>
      <c r="Y10" s="12">
        <f ca="1">IFERROR(__xludf.DUMMYFUNCTION("INDEX(IMPORTRANGE(""1y0FWgjbB0gVlqn-q5LMJbGIsqOrzru4yowQz67dz2yc"", ""'GPE'!BG3:BG139""),MATCH(D10,IMPORTRANGE(""1y0FWgjbB0gVlqn-q5LMJbGIsqOrzru4yowQz67dz2yc"", ""'GPE'!D3:D139""),0))"),4960)</f>
        <v>4960</v>
      </c>
      <c r="Z10" s="12">
        <f ca="1">IFERROR(__xludf.DUMMYFUNCTION("INDEX(IMPORTRANGE(""1y0FWgjbB0gVlqn-q5LMJbGIsqOrzru4yowQz67dz2yc"", ""'GPE'!BH3:BH139""),MATCH(D10,IMPORTRANGE(""1y0FWgjbB0gVlqn-q5LMJbGIsqOrzru4yowQz67dz2yc"", ""'GPE'!D3:D139""),0))"),2934)</f>
        <v>2934</v>
      </c>
      <c r="AA10" s="12">
        <f ca="1">IFERROR(__xludf.DUMMYFUNCTION("INDEX(IMPORTRANGE(""1y0FWgjbB0gVlqn-q5LMJbGIsqOrzru4yowQz67dz2yc"", ""'GPE'!BI3:BI139""),MATCH($D10,IMPORTRANGE(""1y0FWgjbB0gVlqn-q5LMJbGIsqOrzru4yowQz67dz2yc"", ""'GPE'!D3:D139""),0))"),5245)</f>
        <v>5245</v>
      </c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0.11537659086167328</v>
      </c>
      <c r="Q11" s="15">
        <f t="shared" si="2"/>
        <v>0.10296550846379025</v>
      </c>
      <c r="R11" s="15">
        <v>0.1018</v>
      </c>
      <c r="S11" s="15">
        <v>0.1273</v>
      </c>
      <c r="T11" s="15">
        <v>0.1336</v>
      </c>
      <c r="U11" s="15">
        <v>0.14000000000000001</v>
      </c>
      <c r="V11" s="15">
        <v>0.16300000000000001</v>
      </c>
      <c r="W11" s="15">
        <v>0.16300000000000001</v>
      </c>
      <c r="X11" s="15">
        <f>X9/X10</f>
        <v>3.5609756097560973E-2</v>
      </c>
      <c r="Y11" s="15">
        <f ca="1">IFERROR(__xludf.DUMMYFUNCTION("INDEX(IMPORTRANGE(""1y0FWgjbB0gVlqn-q5LMJbGIsqOrzru4yowQz67dz2yc"", ""'GPE'!BG3:BG139""),MATCH(D11,IMPORTRANGE(""1y0FWgjbB0gVlqn-q5LMJbGIsqOrzru4yowQz67dz2yc"", ""'GPE'!D3:D139""),0))"),0.110887096774193)</f>
        <v>0.11088709677419301</v>
      </c>
      <c r="Z11" s="15">
        <f ca="1">IFERROR(__xludf.DUMMYFUNCTION("INDEX(IMPORTRANGE(""1y0FWgjbB0gVlqn-q5LMJbGIsqOrzru4yowQz67dz2yc"", ""'GPE'!BH3:BH139""),MATCH(D11,IMPORTRANGE(""1y0FWgjbB0gVlqn-q5LMJbGIsqOrzru4yowQz67dz2yc"", ""'GPE'!D3:D139""),0))"),0.137014314928425)</f>
        <v>0.137014314928425</v>
      </c>
      <c r="AA11" s="15">
        <f ca="1">IFERROR(__xludf.DUMMYFUNCTION("INDEX(IMPORTRANGE(""1y0FWgjbB0gVlqn-q5LMJbGIsqOrzru4yowQz67dz2yc"", ""'GPE'!BI3:BI139""),MATCH($D11,IMPORTRANGE(""1y0FWgjbB0gVlqn-q5LMJbGIsqOrzru4yowQz67dz2yc"", ""'GPE'!D3:D139""),0))"),0.137273593898951)</f>
        <v>0.137273593898951</v>
      </c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46</v>
      </c>
      <c r="Q12" s="12">
        <v>105</v>
      </c>
      <c r="R12" s="4"/>
      <c r="S12" s="4"/>
      <c r="T12" s="4"/>
      <c r="U12" s="4"/>
      <c r="V12" s="4"/>
      <c r="W12" s="4"/>
      <c r="X12" s="12">
        <v>33</v>
      </c>
      <c r="Y12" s="12">
        <f ca="1">IFERROR(__xludf.DUMMYFUNCTION("INDEX(IMPORTRANGE(""1y0FWgjbB0gVlqn-q5LMJbGIsqOrzru4yowQz67dz2yc"", ""'GPE'!BG3:BG139""),MATCH(D12,IMPORTRANGE(""1y0FWgjbB0gVlqn-q5LMJbGIsqOrzru4yowQz67dz2yc"", ""'GPE'!D3:D139""),0))"),119)</f>
        <v>119</v>
      </c>
      <c r="Z12" s="12">
        <f ca="1">IFERROR(__xludf.DUMMYFUNCTION("INDEX(IMPORTRANGE(""1y0FWgjbB0gVlqn-q5LMJbGIsqOrzru4yowQz67dz2yc"", ""'GPE'!BH3:BH139""),MATCH(D12,IMPORTRANGE(""1y0FWgjbB0gVlqn-q5LMJbGIsqOrzru4yowQz67dz2yc"", ""'GPE'!D3:D139""),0))"),65)</f>
        <v>65</v>
      </c>
      <c r="AA12" s="12">
        <f ca="1">IFERROR(__xludf.DUMMYFUNCTION("INDEX(IMPORTRANGE(""1y0FWgjbB0gVlqn-q5LMJbGIsqOrzru4yowQz67dz2yc"", ""'GPE'!BI3:BI139""),MATCH($D12,IMPORTRANGE(""1y0FWgjbB0gVlqn-q5LMJbGIsqOrzru4yowQz67dz2yc"", ""'GPE'!D3:D139""),0))"),138)</f>
        <v>138</v>
      </c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6.4295917768316642</v>
      </c>
      <c r="Q13" s="23">
        <f t="shared" si="3"/>
        <v>14.67624209928967</v>
      </c>
      <c r="R13" s="2">
        <v>14.6616</v>
      </c>
      <c r="S13" s="2">
        <v>6.4135</v>
      </c>
      <c r="T13" s="2">
        <v>14.6175</v>
      </c>
      <c r="U13" s="2">
        <v>6.391</v>
      </c>
      <c r="V13" s="2">
        <v>14.529500000000001</v>
      </c>
      <c r="W13" s="2">
        <v>14.515000000000001</v>
      </c>
      <c r="X13" s="23">
        <f>(X12/X$2)*100000</f>
        <v>4.574127900932706</v>
      </c>
      <c r="Y13" s="23">
        <f ca="1">IFERROR(__xludf.DUMMYFUNCTION("INDEX(IMPORTRANGE(""1y0FWgjbB0gVlqn-q5LMJbGIsqOrzru4yowQz67dz2yc"", ""'GPE'!BG3:BG139""),MATCH(D13,IMPORTRANGE(""1y0FWgjbB0gVlqn-q5LMJbGIsqOrzru4yowQz67dz2yc"", ""'GPE'!D3:D139""),0))"),16.4945824306361)</f>
        <v>16.4945824306361</v>
      </c>
      <c r="Z13" s="23">
        <f ca="1">IFERROR(__xludf.DUMMYFUNCTION("INDEX(IMPORTRANGE(""1y0FWgjbB0gVlqn-q5LMJbGIsqOrzru4yowQz67dz2yc"", ""'GPE'!BH3:BH139""),MATCH(D13,IMPORTRANGE(""1y0FWgjbB0gVlqn-q5LMJbGIsqOrzru4yowQz67dz2yc"", ""'GPE'!D3:D139""),0))"),8.92194124970317)</f>
        <v>8.9219412497031705</v>
      </c>
      <c r="AA13" s="23">
        <f ca="1">IFERROR(__xludf.DUMMYFUNCTION("INDEX(IMPORTRANGE(""1y0FWgjbB0gVlqn-q5LMJbGIsqOrzru4yowQz67dz2yc"", ""'GPE'!BI3:BI139""),MATCH($D13,IMPORTRANGE(""1y0FWgjbB0gVlqn-q5LMJbGIsqOrzru4yowQz67dz2yc"", ""'GPE'!D3:D139""),0))"),18.9419675762928)</f>
        <v>18.9419675762928</v>
      </c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214</v>
      </c>
      <c r="Q14" s="12">
        <v>454</v>
      </c>
      <c r="R14" s="4"/>
      <c r="S14" s="4"/>
      <c r="T14" s="4"/>
      <c r="U14" s="4"/>
      <c r="V14" s="4"/>
      <c r="W14" s="4"/>
      <c r="X14" s="12">
        <v>186</v>
      </c>
      <c r="Y14" s="12">
        <f ca="1">IFERROR(__xludf.DUMMYFUNCTION("INDEX(IMPORTRANGE(""1y0FWgjbB0gVlqn-q5LMJbGIsqOrzru4yowQz67dz2yc"", ""'GPE'!BG3:BG139""),MATCH(D14,IMPORTRANGE(""1y0FWgjbB0gVlqn-q5LMJbGIsqOrzru4yowQz67dz2yc"", ""'GPE'!D3:D139""),0))"),324)</f>
        <v>324</v>
      </c>
      <c r="Z14" s="12">
        <f ca="1">IFERROR(__xludf.DUMMYFUNCTION("INDEX(IMPORTRANGE(""1y0FWgjbB0gVlqn-q5LMJbGIsqOrzru4yowQz67dz2yc"", ""'GPE'!BH3:BH139""),MATCH(D14,IMPORTRANGE(""1y0FWgjbB0gVlqn-q5LMJbGIsqOrzru4yowQz67dz2yc"", ""'GPE'!D3:D139""),0))"),96)</f>
        <v>96</v>
      </c>
      <c r="AA14" s="12">
        <f ca="1">IFERROR(__xludf.DUMMYFUNCTION("INDEX(IMPORTRANGE(""1y0FWgjbB0gVlqn-q5LMJbGIsqOrzru4yowQz67dz2yc"", ""'GPE'!BI3:BI139""),MATCH($D14,IMPORTRANGE(""1y0FWgjbB0gVlqn-q5LMJbGIsqOrzru4yowQz67dz2yc"", ""'GPE'!D3:D139""),0))"),202)</f>
        <v>202</v>
      </c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416</v>
      </c>
      <c r="Q15" s="12">
        <v>883</v>
      </c>
      <c r="R15" s="4"/>
      <c r="S15" s="4"/>
      <c r="T15" s="4"/>
      <c r="U15" s="4"/>
      <c r="V15" s="4"/>
      <c r="W15" s="4"/>
      <c r="X15" s="12">
        <v>642</v>
      </c>
      <c r="Y15" s="12">
        <f ca="1">IFERROR(__xludf.DUMMYFUNCTION("INDEX(IMPORTRANGE(""1y0FWgjbB0gVlqn-q5LMJbGIsqOrzru4yowQz67dz2yc"", ""'GPE'!BG3:BG139""),MATCH(D15,IMPORTRANGE(""1y0FWgjbB0gVlqn-q5LMJbGIsqOrzru4yowQz67dz2yc"", ""'GPE'!D3:D139""),0))"),1110)</f>
        <v>1110</v>
      </c>
      <c r="Z15" s="12">
        <f ca="1">IFERROR(__xludf.DUMMYFUNCTION("INDEX(IMPORTRANGE(""1y0FWgjbB0gVlqn-q5LMJbGIsqOrzru4yowQz67dz2yc"", ""'GPE'!BH3:BH139""),MATCH(D15,IMPORTRANGE(""1y0FWgjbB0gVlqn-q5LMJbGIsqOrzru4yowQz67dz2yc"", ""'GPE'!D3:D139""),0))"),385)</f>
        <v>385</v>
      </c>
      <c r="AA15" s="12">
        <f ca="1">IFERROR(__xludf.DUMMYFUNCTION("INDEX(IMPORTRANGE(""1y0FWgjbB0gVlqn-q5LMJbGIsqOrzru4yowQz67dz2yc"", ""'GPE'!BI3:BI139""),MATCH($D15,IMPORTRANGE(""1y0FWgjbB0gVlqn-q5LMJbGIsqOrzru4yowQz67dz2yc"", ""'GPE'!D3:D139""),0))"),875)</f>
        <v>875</v>
      </c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226</v>
      </c>
      <c r="Q16" s="12">
        <v>471</v>
      </c>
      <c r="R16" s="4"/>
      <c r="S16" s="4"/>
      <c r="T16" s="4"/>
      <c r="U16" s="4"/>
      <c r="V16" s="4"/>
      <c r="W16" s="4"/>
      <c r="X16" s="12">
        <v>189</v>
      </c>
      <c r="Y16" s="12">
        <f ca="1">IFERROR(__xludf.DUMMYFUNCTION("INDEX(IMPORTRANGE(""1y0FWgjbB0gVlqn-q5LMJbGIsqOrzru4yowQz67dz2yc"", ""'GPE'!BG3:BG139""),MATCH(D16,IMPORTRANGE(""1y0FWgjbB0gVlqn-q5LMJbGIsqOrzru4yowQz67dz2yc"", ""'GPE'!D3:D139""),0))"),359)</f>
        <v>359</v>
      </c>
      <c r="Z16" s="12">
        <f ca="1">IFERROR(__xludf.DUMMYFUNCTION("INDEX(IMPORTRANGE(""1y0FWgjbB0gVlqn-q5LMJbGIsqOrzru4yowQz67dz2yc"", ""'GPE'!BH3:BH139""),MATCH(D16,IMPORTRANGE(""1y0FWgjbB0gVlqn-q5LMJbGIsqOrzru4yowQz67dz2yc"", ""'GPE'!D3:D139""),0))"),123)</f>
        <v>123</v>
      </c>
      <c r="AA16" s="12">
        <f ca="1">IFERROR(__xludf.DUMMYFUNCTION("INDEX(IMPORTRANGE(""1y0FWgjbB0gVlqn-q5LMJbGIsqOrzru4yowQz67dz2yc"", ""'GPE'!BI3:BI139""),MATCH($D16,IMPORTRANGE(""1y0FWgjbB0gVlqn-q5LMJbGIsqOrzru4yowQz67dz2yc"", ""'GPE'!D3:D139""),0))"),259)</f>
        <v>259</v>
      </c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108</v>
      </c>
      <c r="Q17" s="12">
        <v>216</v>
      </c>
      <c r="R17" s="4"/>
      <c r="S17" s="4"/>
      <c r="T17" s="4"/>
      <c r="U17" s="4"/>
      <c r="V17" s="4"/>
      <c r="W17" s="4"/>
      <c r="X17" s="12">
        <v>75</v>
      </c>
      <c r="Y17" s="12">
        <f ca="1">IFERROR(__xludf.DUMMYFUNCTION("INDEX(IMPORTRANGE(""1y0FWgjbB0gVlqn-q5LMJbGIsqOrzru4yowQz67dz2yc"", ""'GPE'!BG3:BG139""),MATCH(D17,IMPORTRANGE(""1y0FWgjbB0gVlqn-q5LMJbGIsqOrzru4yowQz67dz2yc"", ""'GPE'!D3:D139""),0))"),129)</f>
        <v>129</v>
      </c>
      <c r="Z17" s="12">
        <f ca="1">IFERROR(__xludf.DUMMYFUNCTION("INDEX(IMPORTRANGE(""1y0FWgjbB0gVlqn-q5LMJbGIsqOrzru4yowQz67dz2yc"", ""'GPE'!BH3:BH139""),MATCH(D17,IMPORTRANGE(""1y0FWgjbB0gVlqn-q5LMJbGIsqOrzru4yowQz67dz2yc"", ""'GPE'!D3:D139""),0))"),49)</f>
        <v>49</v>
      </c>
      <c r="AA17" s="12">
        <f ca="1">IFERROR(__xludf.DUMMYFUNCTION("INDEX(IMPORTRANGE(""1y0FWgjbB0gVlqn-q5LMJbGIsqOrzru4yowQz67dz2yc"", ""'GPE'!BI3:BI139""),MATCH($D17,IMPORTRANGE(""1y0FWgjbB0gVlqn-q5LMJbGIsqOrzru4yowQz67dz2yc"", ""'GPE'!D3:D139""),0))"),82)</f>
        <v>82</v>
      </c>
      <c r="AB17" s="1"/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155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964</v>
      </c>
      <c r="Q18" s="262">
        <f t="shared" si="4"/>
        <v>2024</v>
      </c>
      <c r="R18" s="357"/>
      <c r="S18" s="357"/>
      <c r="T18" s="357"/>
      <c r="U18" s="357"/>
      <c r="V18" s="357"/>
      <c r="W18" s="357"/>
      <c r="X18" s="262">
        <f t="shared" ref="X18:AA18" si="5">SUM(X14:X17)</f>
        <v>1092</v>
      </c>
      <c r="Y18" s="262">
        <f t="shared" ca="1" si="5"/>
        <v>1922</v>
      </c>
      <c r="Z18" s="262">
        <f t="shared" ca="1" si="5"/>
        <v>653</v>
      </c>
      <c r="AA18" s="262">
        <f t="shared" ca="1" si="5"/>
        <v>1418</v>
      </c>
      <c r="AB18" s="358"/>
      <c r="AC18" s="358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134.74187984490706</v>
      </c>
      <c r="Q19" s="23">
        <f t="shared" si="6"/>
        <v>282.90203818059325</v>
      </c>
      <c r="R19" s="24">
        <f>(1-0.1%)*Q19</f>
        <v>282.61913614241269</v>
      </c>
      <c r="S19" s="24">
        <f>(1-0.25%)*P19</f>
        <v>134.40502514529479</v>
      </c>
      <c r="T19" s="24">
        <f>(1-0.4%)*Q19</f>
        <v>281.77043002787087</v>
      </c>
      <c r="U19" s="24">
        <f>(1-0.6%)*P19</f>
        <v>133.93342856583763</v>
      </c>
      <c r="V19" s="24">
        <f t="shared" ref="V19:W19" si="7">(1-1%)*Q19</f>
        <v>280.0730177987873</v>
      </c>
      <c r="W19" s="24">
        <f t="shared" si="7"/>
        <v>279.79294478098853</v>
      </c>
      <c r="X19" s="23">
        <f>(SUM(X14:X17)/X2)*100000</f>
        <v>151.36205053995502</v>
      </c>
      <c r="Y19" s="23">
        <f ca="1">IFERROR(__xludf.DUMMYFUNCTION("INDEX(IMPORTRANGE(""1y0FWgjbB0gVlqn-q5LMJbGIsqOrzru4yowQz67dz2yc"", ""'GPE'!BG3:BG139""),MATCH(D19,IMPORTRANGE(""1y0FWgjbB0gVlqn-q5LMJbGIsqOrzru4yowQz67dz2yc"", ""'GPE'!D3:D139""),0))"),266.408297745232)</f>
        <v>266.40829774523201</v>
      </c>
      <c r="Z19" s="23">
        <f ca="1">IFERROR(__xludf.DUMMYFUNCTION("INDEX(IMPORTRANGE(""1y0FWgjbB0gVlqn-q5LMJbGIsqOrzru4yowQz67dz2yc"", ""'GPE'!BH3:BH139""),MATCH(D19,IMPORTRANGE(""1y0FWgjbB0gVlqn-q5LMJbGIsqOrzru4yowQz67dz2yc"", ""'GPE'!D3:D139""),0))"),89.6311944008641)</f>
        <v>89.631194400864103</v>
      </c>
      <c r="AA19" s="23">
        <f ca="1">IFERROR(__xludf.DUMMYFUNCTION("INDEX(IMPORTRANGE(""1y0FWgjbB0gVlqn-q5LMJbGIsqOrzru4yowQz67dz2yc"", ""'GPE'!BI3:BI139""),MATCH($D19,IMPORTRANGE(""1y0FWgjbB0gVlqn-q5LMJbGIsqOrzru4yowQz67dz2yc"", ""'GPE'!D3:D139""),0))"),194.63557987814)</f>
        <v>194.63557987813999</v>
      </c>
      <c r="AB19" s="1"/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1839</v>
      </c>
      <c r="Q20" s="12">
        <v>3825</v>
      </c>
      <c r="R20" s="4"/>
      <c r="S20" s="4"/>
      <c r="T20" s="4"/>
      <c r="U20" s="4"/>
      <c r="V20" s="4"/>
      <c r="W20" s="4"/>
      <c r="X20" s="12">
        <v>1720</v>
      </c>
      <c r="Y20" s="12">
        <f ca="1">IFERROR(__xludf.DUMMYFUNCTION("INDEX(IMPORTRANGE(""1y0FWgjbB0gVlqn-q5LMJbGIsqOrzru4yowQz67dz2yc"", ""'GPE'!BG3:BG139""),MATCH(D20,IMPORTRANGE(""1y0FWgjbB0gVlqn-q5LMJbGIsqOrzru4yowQz67dz2yc"", ""'GPE'!D3:D139""),0))"),3807)</f>
        <v>3807</v>
      </c>
      <c r="Z20" s="12">
        <f ca="1">IFERROR(__xludf.DUMMYFUNCTION("INDEX(IMPORTRANGE(""1y0FWgjbB0gVlqn-q5LMJbGIsqOrzru4yowQz67dz2yc"", ""'GPE'!BH3:BH139""),MATCH(D20,IMPORTRANGE(""1y0FWgjbB0gVlqn-q5LMJbGIsqOrzru4yowQz67dz2yc"", ""'GPE'!D3:D139""),0))"),1454)</f>
        <v>1454</v>
      </c>
      <c r="AA20" s="12">
        <f ca="1">IFERROR(__xludf.DUMMYFUNCTION("INDEX(IMPORTRANGE(""1y0FWgjbB0gVlqn-q5LMJbGIsqOrzru4yowQz67dz2yc"", ""'GPE'!BI3:BI139""),MATCH($D20,IMPORTRANGE(""1y0FWgjbB0gVlqn-q5LMJbGIsqOrzru4yowQz67dz2yc"", ""'GPE'!D3:D139""),0))"),2867)</f>
        <v>2867</v>
      </c>
      <c r="AB20" s="1"/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8">(P20/P$2)*100000</f>
        <v>257.04389733898768</v>
      </c>
      <c r="Q21" s="23">
        <f t="shared" si="8"/>
        <v>534.63453361698089</v>
      </c>
      <c r="R21" s="24">
        <f>(1-0.1%)*Q21</f>
        <v>534.09989908336388</v>
      </c>
      <c r="S21" s="24">
        <f>(1-0.25%)*P21</f>
        <v>256.40128759564021</v>
      </c>
      <c r="T21" s="24">
        <f>(1-0.4%)*Q21</f>
        <v>532.49599548251297</v>
      </c>
      <c r="U21" s="24">
        <f>(1-0.6%)*P21</f>
        <v>255.50163395495375</v>
      </c>
      <c r="V21" s="24">
        <f t="shared" ref="V21:W21" si="9">(1-1%)*Q21</f>
        <v>529.28818828081103</v>
      </c>
      <c r="W21" s="24">
        <f t="shared" si="9"/>
        <v>528.75890009253021</v>
      </c>
      <c r="X21" s="23">
        <f>(X20/X$2)*100000</f>
        <v>238.40909059406835</v>
      </c>
      <c r="Y21" s="23">
        <f ca="1">IFERROR(__xludf.DUMMYFUNCTION("INDEX(IMPORTRANGE(""1y0FWgjbB0gVlqn-q5LMJbGIsqOrzru4yowQz67dz2yc"", ""'GPE'!BG3:BG139""),MATCH(D21,IMPORTRANGE(""1y0FWgjbB0gVlqn-q5LMJbGIsqOrzru4yowQz67dz2yc"", ""'GPE'!D3:D139""),0))"),527.688027843964)</f>
        <v>527.68802784396405</v>
      </c>
      <c r="Z21" s="23">
        <f ca="1">IFERROR(__xludf.DUMMYFUNCTION("INDEX(IMPORTRANGE(""1y0FWgjbB0gVlqn-q5LMJbGIsqOrzru4yowQz67dz2yc"", ""'GPE'!BH3:BH139""),MATCH(D21,IMPORTRANGE(""1y0FWgjbB0gVlqn-q5LMJbGIsqOrzru4yowQz67dz2yc"", ""'GPE'!D3:D139""),0))"),199.576962724129)</f>
        <v>199.576962724129</v>
      </c>
      <c r="AA21" s="23">
        <f ca="1">IFERROR(__xludf.DUMMYFUNCTION("INDEX(IMPORTRANGE(""1y0FWgjbB0gVlqn-q5LMJbGIsqOrzru4yowQz67dz2yc"", ""'GPE'!BI3:BI139""),MATCH($D21,IMPORTRANGE(""1y0FWgjbB0gVlqn-q5LMJbGIsqOrzru4yowQz67dz2yc"", ""'GPE'!D3:D139""),0))"),393.526239429215)</f>
        <v>393.52623942921502</v>
      </c>
      <c r="AB21" s="1"/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326</v>
      </c>
      <c r="Q22" s="12">
        <v>664</v>
      </c>
      <c r="R22" s="4"/>
      <c r="S22" s="4"/>
      <c r="T22" s="4"/>
      <c r="U22" s="4"/>
      <c r="V22" s="4"/>
      <c r="W22" s="4"/>
      <c r="X22" s="12">
        <v>260</v>
      </c>
      <c r="Y22" s="12">
        <f ca="1">IFERROR(__xludf.DUMMYFUNCTION("INDEX(IMPORTRANGE(""1y0FWgjbB0gVlqn-q5LMJbGIsqOrzru4yowQz67dz2yc"", ""'GPE'!BG3:BG139""),MATCH(D22,IMPORTRANGE(""1y0FWgjbB0gVlqn-q5LMJbGIsqOrzru4yowQz67dz2yc"", ""'GPE'!D3:D139""),0))"),651)</f>
        <v>651</v>
      </c>
      <c r="Z22" s="12">
        <f ca="1">IFERROR(__xludf.DUMMYFUNCTION("INDEX(IMPORTRANGE(""1y0FWgjbB0gVlqn-q5LMJbGIsqOrzru4yowQz67dz2yc"", ""'GPE'!BH3:BH139""),MATCH(D22,IMPORTRANGE(""1y0FWgjbB0gVlqn-q5LMJbGIsqOrzru4yowQz67dz2yc"", ""'GPE'!D3:D139""),0))"),225)</f>
        <v>225</v>
      </c>
      <c r="AA22" s="12">
        <f ca="1">IFERROR(__xludf.DUMMYFUNCTION("INDEX(IMPORTRANGE(""1y0FWgjbB0gVlqn-q5LMJbGIsqOrzru4yowQz67dz2yc"", ""'GPE'!BI3:BI139""),MATCH($D22,IMPORTRANGE(""1y0FWgjbB0gVlqn-q5LMJbGIsqOrzru4yowQz67dz2yc"", ""'GPE'!D3:D139""),0))"),398)</f>
        <v>398</v>
      </c>
      <c r="AB22" s="1"/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10">(P22/P$2)*100000</f>
        <v>45.566237374937451</v>
      </c>
      <c r="Q23" s="23">
        <f t="shared" si="10"/>
        <v>92.809759561222293</v>
      </c>
      <c r="R23" s="24">
        <f>(1-0.1%)*Q23</f>
        <v>92.716949801661073</v>
      </c>
      <c r="S23" s="24">
        <f>(1-0.25%)*P23</f>
        <v>45.45232178150011</v>
      </c>
      <c r="T23" s="24">
        <f>(1-0.4%)*Q23</f>
        <v>92.438520522977399</v>
      </c>
      <c r="U23" s="24">
        <f>(1-0.6%)*P23</f>
        <v>45.292839950687828</v>
      </c>
      <c r="V23" s="24">
        <f t="shared" ref="V23:W23" si="11">(1-1%)*Q23</f>
        <v>91.881661965610064</v>
      </c>
      <c r="W23" s="24">
        <f t="shared" si="11"/>
        <v>91.789780303644463</v>
      </c>
      <c r="X23" s="23">
        <f>(X22/X$2)*100000</f>
        <v>36.038583461894049</v>
      </c>
      <c r="Y23" s="23">
        <f ca="1">IFERROR(__xludf.DUMMYFUNCTION("INDEX(IMPORTRANGE(""1y0FWgjbB0gVlqn-q5LMJbGIsqOrzru4yowQz67dz2yc"", ""'GPE'!BG3:BG139""),MATCH(D23,IMPORTRANGE(""1y0FWgjbB0gVlqn-q5LMJbGIsqOrzru4yowQz67dz2yc"", ""'GPE'!D3:D139""),0))"),90.235068591127)</f>
        <v>90.235068591127003</v>
      </c>
      <c r="Z23" s="23">
        <f ca="1">IFERROR(__xludf.DUMMYFUNCTION("INDEX(IMPORTRANGE(""1y0FWgjbB0gVlqn-q5LMJbGIsqOrzru4yowQz67dz2yc"", ""'GPE'!BH3:BH139""),MATCH(D23,IMPORTRANGE(""1y0FWgjbB0gVlqn-q5LMJbGIsqOrzru4yowQz67dz2yc"", ""'GPE'!D3:D139""),0))"),30.883642787434)</f>
        <v>30.883642787433999</v>
      </c>
      <c r="AA23" s="23">
        <f ca="1">IFERROR(__xludf.DUMMYFUNCTION("INDEX(IMPORTRANGE(""1y0FWgjbB0gVlqn-q5LMJbGIsqOrzru4yowQz67dz2yc"", ""'GPE'!BI3:BI139""),MATCH($D23,IMPORTRANGE(""1y0FWgjbB0gVlqn-q5LMJbGIsqOrzru4yowQz67dz2yc"", ""'GPE'!D3:D139""),0))"),54.6297325751055)</f>
        <v>54.6297325751055</v>
      </c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2">
        <v>12</v>
      </c>
      <c r="Q24" s="2">
        <v>41</v>
      </c>
      <c r="R24" s="4"/>
      <c r="S24" s="4"/>
      <c r="T24" s="4"/>
      <c r="U24" s="4"/>
      <c r="V24" s="4"/>
      <c r="W24" s="4"/>
      <c r="X24" s="2">
        <v>22</v>
      </c>
      <c r="Y24" s="2">
        <f ca="1">IFERROR(__xludf.DUMMYFUNCTION("INDEX(IMPORTRANGE(""1y0FWgjbB0gVlqn-q5LMJbGIsqOrzru4yowQz67dz2yc"", ""'GPE'!BG3:BG139""),MATCH(D24,IMPORTRANGE(""1y0FWgjbB0gVlqn-q5LMJbGIsqOrzru4yowQz67dz2yc"", ""'GPE'!D3:D139""),0))"),41)</f>
        <v>41</v>
      </c>
      <c r="Z24" s="2">
        <f ca="1">IFERROR(__xludf.DUMMYFUNCTION("INDEX(IMPORTRANGE(""1y0FWgjbB0gVlqn-q5LMJbGIsqOrzru4yowQz67dz2yc"", ""'GPE'!BH3:BH139""),MATCH(D24,IMPORTRANGE(""1y0FWgjbB0gVlqn-q5LMJbGIsqOrzru4yowQz67dz2yc"", ""'GPE'!D3:D139""),0))"),23)</f>
        <v>23</v>
      </c>
      <c r="AA24" s="2">
        <f ca="1">IFERROR(__xludf.DUMMYFUNCTION("INDEX(IMPORTRANGE(""1y0FWgjbB0gVlqn-q5LMJbGIsqOrzru4yowQz67dz2yc"", ""'GPE'!BI3:BI139""),MATCH($D24,IMPORTRANGE(""1y0FWgjbB0gVlqn-q5LMJbGIsqOrzru4yowQz67dz2yc"", ""'GPE'!D3:D139""),0))"),43)</f>
        <v>43</v>
      </c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2">
        <v>12</v>
      </c>
      <c r="Q25" s="2">
        <v>36</v>
      </c>
      <c r="R25" s="4"/>
      <c r="S25" s="4"/>
      <c r="T25" s="4"/>
      <c r="U25" s="4"/>
      <c r="V25" s="4"/>
      <c r="W25" s="4"/>
      <c r="X25" s="2">
        <v>24</v>
      </c>
      <c r="Y25" s="2">
        <f ca="1">IFERROR(__xludf.DUMMYFUNCTION("INDEX(IMPORTRANGE(""1y0FWgjbB0gVlqn-q5LMJbGIsqOrzru4yowQz67dz2yc"", ""'GPE'!BG3:BG139""),MATCH(D25,IMPORTRANGE(""1y0FWgjbB0gVlqn-q5LMJbGIsqOrzru4yowQz67dz2yc"", ""'GPE'!D3:D139""),0))"),54)</f>
        <v>54</v>
      </c>
      <c r="Z25" s="2">
        <f ca="1">IFERROR(__xludf.DUMMYFUNCTION("INDEX(IMPORTRANGE(""1y0FWgjbB0gVlqn-q5LMJbGIsqOrzru4yowQz67dz2yc"", ""'GPE'!BH3:BH139""),MATCH(D25,IMPORTRANGE(""1y0FWgjbB0gVlqn-q5LMJbGIsqOrzru4yowQz67dz2yc"", ""'GPE'!D3:D139""),0))"),27)</f>
        <v>27</v>
      </c>
      <c r="AA25" s="2">
        <f ca="1">IFERROR(__xludf.DUMMYFUNCTION("INDEX(IMPORTRANGE(""1y0FWgjbB0gVlqn-q5LMJbGIsqOrzru4yowQz67dz2yc"", ""'GPE'!BI3:BI139""),MATCH($D25,IMPORTRANGE(""1y0FWgjbB0gVlqn-q5LMJbGIsqOrzru4yowQz67dz2yc"", ""'GPE'!D3:D139""),0))"),39)</f>
        <v>39</v>
      </c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2">
        <v>3</v>
      </c>
      <c r="Q26" s="2">
        <v>8</v>
      </c>
      <c r="R26" s="4"/>
      <c r="S26" s="4"/>
      <c r="T26" s="4"/>
      <c r="U26" s="4"/>
      <c r="V26" s="4"/>
      <c r="W26" s="4"/>
      <c r="X26" s="2">
        <v>4</v>
      </c>
      <c r="Y26" s="2">
        <f ca="1">IFERROR(__xludf.DUMMYFUNCTION("INDEX(IMPORTRANGE(""1y0FWgjbB0gVlqn-q5LMJbGIsqOrzru4yowQz67dz2yc"", ""'GPE'!BG3:BG139""),MATCH(D26,IMPORTRANGE(""1y0FWgjbB0gVlqn-q5LMJbGIsqOrzru4yowQz67dz2yc"", ""'GPE'!D3:D139""),0))"),11)</f>
        <v>11</v>
      </c>
      <c r="Z26" s="2">
        <f ca="1">IFERROR(__xludf.DUMMYFUNCTION("INDEX(IMPORTRANGE(""1y0FWgjbB0gVlqn-q5LMJbGIsqOrzru4yowQz67dz2yc"", ""'GPE'!BH3:BH139""),MATCH(D26,IMPORTRANGE(""1y0FWgjbB0gVlqn-q5LMJbGIsqOrzru4yowQz67dz2yc"", ""'GPE'!D3:D139""),0))"),5)</f>
        <v>5</v>
      </c>
      <c r="AA26" s="2">
        <f ca="1">IFERROR(__xludf.DUMMYFUNCTION("INDEX(IMPORTRANGE(""1y0FWgjbB0gVlqn-q5LMJbGIsqOrzru4yowQz67dz2yc"", ""'GPE'!BI3:BI139""),MATCH($D26,IMPORTRANGE(""1y0FWgjbB0gVlqn-q5LMJbGIsqOrzru4yowQz67dz2yc"", ""'GPE'!D3:D139""),0))"),9)</f>
        <v>9</v>
      </c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2">
        <v>1</v>
      </c>
      <c r="Q27" s="2">
        <v>2</v>
      </c>
      <c r="R27" s="4"/>
      <c r="S27" s="4"/>
      <c r="T27" s="4"/>
      <c r="U27" s="4"/>
      <c r="V27" s="4"/>
      <c r="W27" s="4"/>
      <c r="X27" s="2">
        <v>0</v>
      </c>
      <c r="Y27" s="2">
        <f ca="1">IFERROR(__xludf.DUMMYFUNCTION("INDEX(IMPORTRANGE(""1y0FWgjbB0gVlqn-q5LMJbGIsqOrzru4yowQz67dz2yc"", ""'GPE'!BG3:BG139""),MATCH(D27,IMPORTRANGE(""1y0FWgjbB0gVlqn-q5LMJbGIsqOrzru4yowQz67dz2yc"", ""'GPE'!D3:D139""),0))"),0)</f>
        <v>0</v>
      </c>
      <c r="Z27" s="2">
        <f ca="1">IFERROR(__xludf.DUMMYFUNCTION("INDEX(IMPORTRANGE(""1y0FWgjbB0gVlqn-q5LMJbGIsqOrzru4yowQz67dz2yc"", ""'GPE'!BH3:BH139""),MATCH(D27,IMPORTRANGE(""1y0FWgjbB0gVlqn-q5LMJbGIsqOrzru4yowQz67dz2yc"", ""'GPE'!D3:D139""),0))"),0)</f>
        <v>0</v>
      </c>
      <c r="AA27" s="2">
        <f ca="1">IFERROR(__xludf.DUMMYFUNCTION("INDEX(IMPORTRANGE(""1y0FWgjbB0gVlqn-q5LMJbGIsqOrzru4yowQz67dz2yc"", ""'GPE'!BI3:BI139""),MATCH($D27,IMPORTRANGE(""1y0FWgjbB0gVlqn-q5LMJbGIsqOrzru4yowQz67dz2yc"", ""'GPE'!D3:D139""),0))"),0)</f>
        <v>0</v>
      </c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5</v>
      </c>
      <c r="Q28" s="12">
        <v>5</v>
      </c>
      <c r="R28" s="4"/>
      <c r="S28" s="4"/>
      <c r="T28" s="4"/>
      <c r="U28" s="4"/>
      <c r="V28" s="4"/>
      <c r="W28" s="4"/>
      <c r="X28" s="12">
        <v>0</v>
      </c>
      <c r="Y28" s="12">
        <f ca="1">IFERROR(__xludf.DUMMYFUNCTION("INDEX(IMPORTRANGE(""1y0FWgjbB0gVlqn-q5LMJbGIsqOrzru4yowQz67dz2yc"", ""'GPE'!BG3:BG139""),MATCH(D28,IMPORTRANGE(""1y0FWgjbB0gVlqn-q5LMJbGIsqOrzru4yowQz67dz2yc"", ""'GPE'!D3:D139""),0))"),1)</f>
        <v>1</v>
      </c>
      <c r="Z28" s="12">
        <f ca="1">IFERROR(__xludf.DUMMYFUNCTION("INDEX(IMPORTRANGE(""1y0FWgjbB0gVlqn-q5LMJbGIsqOrzru4yowQz67dz2yc"", ""'GPE'!BH3:BH139""),MATCH(D28,IMPORTRANGE(""1y0FWgjbB0gVlqn-q5LMJbGIsqOrzru4yowQz67dz2yc"", ""'GPE'!D3:D139""),0))"),2)</f>
        <v>2</v>
      </c>
      <c r="AA28" s="12">
        <f ca="1">IFERROR(__xludf.DUMMYFUNCTION("INDEX(IMPORTRANGE(""1y0FWgjbB0gVlqn-q5LMJbGIsqOrzru4yowQz67dz2yc"", ""'GPE'!BI3:BI139""),MATCH($D28,IMPORTRANGE(""1y0FWgjbB0gVlqn-q5LMJbGIsqOrzru4yowQz67dz2yc"", ""'GPE'!D3:D139""),0))"),2)</f>
        <v>2</v>
      </c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4"/>
      <c r="S29" s="4"/>
      <c r="T29" s="4"/>
      <c r="U29" s="4"/>
      <c r="V29" s="4"/>
      <c r="W29" s="4"/>
      <c r="X29" s="12">
        <v>0</v>
      </c>
      <c r="Y29" s="12">
        <f ca="1">IFERROR(__xludf.DUMMYFUNCTION("INDEX(IMPORTRANGE(""1y0FWgjbB0gVlqn-q5LMJbGIsqOrzru4yowQz67dz2yc"", ""'GPE'!BG3:BG139""),MATCH(D29,IMPORTRANGE(""1y0FWgjbB0gVlqn-q5LMJbGIsqOrzru4yowQz67dz2yc"", ""'GPE'!D3:D139""),0))"),0)</f>
        <v>0</v>
      </c>
      <c r="Z29" s="12">
        <f ca="1">IFERROR(__xludf.DUMMYFUNCTION("INDEX(IMPORTRANGE(""1y0FWgjbB0gVlqn-q5LMJbGIsqOrzru4yowQz67dz2yc"", ""'GPE'!BH3:BH139""),MATCH(D29,IMPORTRANGE(""1y0FWgjbB0gVlqn-q5LMJbGIsqOrzru4yowQz67dz2yc"", ""'GPE'!D3:D139""),0))"),0)</f>
        <v>0</v>
      </c>
      <c r="AA29" s="12">
        <f ca="1">IFERROR(__xludf.DUMMYFUNCTION("INDEX(IMPORTRANGE(""1y0FWgjbB0gVlqn-q5LMJbGIsqOrzru4yowQz67dz2yc"", ""'GPE'!BI3:BI139""),MATCH($D29,IMPORTRANGE(""1y0FWgjbB0gVlqn-q5LMJbGIsqOrzru4yowQz67dz2yc"", ""'GPE'!D3:D139""),0))"),0)</f>
        <v>0</v>
      </c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9</v>
      </c>
      <c r="Q30" s="12">
        <v>21</v>
      </c>
      <c r="R30" s="4"/>
      <c r="S30" s="4"/>
      <c r="T30" s="4"/>
      <c r="U30" s="4"/>
      <c r="V30" s="4"/>
      <c r="W30" s="4"/>
      <c r="X30" s="12">
        <v>19</v>
      </c>
      <c r="Y30" s="12">
        <f ca="1">IFERROR(__xludf.DUMMYFUNCTION("INDEX(IMPORTRANGE(""1y0FWgjbB0gVlqn-q5LMJbGIsqOrzru4yowQz67dz2yc"", ""'GPE'!BG3:BG139""),MATCH(D30,IMPORTRANGE(""1y0FWgjbB0gVlqn-q5LMJbGIsqOrzru4yowQz67dz2yc"", ""'GPE'!D3:D139""),0))"),28)</f>
        <v>28</v>
      </c>
      <c r="Z30" s="12">
        <f ca="1">IFERROR(__xludf.DUMMYFUNCTION("INDEX(IMPORTRANGE(""1y0FWgjbB0gVlqn-q5LMJbGIsqOrzru4yowQz67dz2yc"", ""'GPE'!BH3:BH139""),MATCH(D30,IMPORTRANGE(""1y0FWgjbB0gVlqn-q5LMJbGIsqOrzru4yowQz67dz2yc"", ""'GPE'!D3:D139""),0))"),8)</f>
        <v>8</v>
      </c>
      <c r="AA30" s="12">
        <f ca="1">IFERROR(__xludf.DUMMYFUNCTION("INDEX(IMPORTRANGE(""1y0FWgjbB0gVlqn-q5LMJbGIsqOrzru4yowQz67dz2yc"", ""'GPE'!BI3:BI139""),MATCH($D30,IMPORTRANGE(""1y0FWgjbB0gVlqn-q5LMJbGIsqOrzru4yowQz67dz2yc"", ""'GPE'!D3:D139""),0))"),16)</f>
        <v>16</v>
      </c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4</v>
      </c>
      <c r="Q31" s="12">
        <v>6</v>
      </c>
      <c r="R31" s="4"/>
      <c r="S31" s="4"/>
      <c r="T31" s="4"/>
      <c r="U31" s="4"/>
      <c r="V31" s="4"/>
      <c r="W31" s="4"/>
      <c r="X31" s="12">
        <v>5</v>
      </c>
      <c r="Y31" s="12">
        <f ca="1">IFERROR(__xludf.DUMMYFUNCTION("INDEX(IMPORTRANGE(""1y0FWgjbB0gVlqn-q5LMJbGIsqOrzru4yowQz67dz2yc"", ""'GPE'!BG3:BG139""),MATCH(D31,IMPORTRANGE(""1y0FWgjbB0gVlqn-q5LMJbGIsqOrzru4yowQz67dz2yc"", ""'GPE'!D3:D139""),0))"),7)</f>
        <v>7</v>
      </c>
      <c r="Z31" s="12">
        <f ca="1">IFERROR(__xludf.DUMMYFUNCTION("INDEX(IMPORTRANGE(""1y0FWgjbB0gVlqn-q5LMJbGIsqOrzru4yowQz67dz2yc"", ""'GPE'!BH3:BH139""),MATCH(D31,IMPORTRANGE(""1y0FWgjbB0gVlqn-q5LMJbGIsqOrzru4yowQz67dz2yc"", ""'GPE'!D3:D139""),0))"),1)</f>
        <v>1</v>
      </c>
      <c r="AA31" s="12">
        <f ca="1">IFERROR(__xludf.DUMMYFUNCTION("INDEX(IMPORTRANGE(""1y0FWgjbB0gVlqn-q5LMJbGIsqOrzru4yowQz67dz2yc"", ""'GPE'!BI3:BI139""),MATCH($D31,IMPORTRANGE(""1y0FWgjbB0gVlqn-q5LMJbGIsqOrzru4yowQz67dz2yc"", ""'GPE'!D3:D139""),0))"),1)</f>
        <v>1</v>
      </c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4"/>
      <c r="S32" s="4"/>
      <c r="T32" s="4"/>
      <c r="U32" s="4"/>
      <c r="V32" s="4"/>
      <c r="W32" s="4"/>
      <c r="X32" s="12">
        <v>0</v>
      </c>
      <c r="Y32" s="12">
        <f ca="1">IFERROR(__xludf.DUMMYFUNCTION("INDEX(IMPORTRANGE(""1y0FWgjbB0gVlqn-q5LMJbGIsqOrzru4yowQz67dz2yc"", ""'GPE'!BG3:BG139""),MATCH(D32,IMPORTRANGE(""1y0FWgjbB0gVlqn-q5LMJbGIsqOrzru4yowQz67dz2yc"", ""'GPE'!D3:D139""),0))"),0)</f>
        <v>0</v>
      </c>
      <c r="Z32" s="12">
        <f ca="1">IFERROR(__xludf.DUMMYFUNCTION("INDEX(IMPORTRANGE(""1y0FWgjbB0gVlqn-q5LMJbGIsqOrzru4yowQz67dz2yc"", ""'GPE'!BH3:BH139""),MATCH(D32,IMPORTRANGE(""1y0FWgjbB0gVlqn-q5LMJbGIsqOrzru4yowQz67dz2yc"", ""'GPE'!D3:D139""),0))"),0)</f>
        <v>0</v>
      </c>
      <c r="AA32" s="12">
        <f ca="1">IFERROR(__xludf.DUMMYFUNCTION("INDEX(IMPORTRANGE(""1y0FWgjbB0gVlqn-q5LMJbGIsqOrzru4yowQz67dz2yc"", ""'GPE'!BI3:BI139""),MATCH($D32,IMPORTRANGE(""1y0FWgjbB0gVlqn-q5LMJbGIsqOrzru4yowQz67dz2yc"", ""'GPE'!D3:D139""),0))"),0)</f>
        <v>0</v>
      </c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4"/>
      <c r="S33" s="4"/>
      <c r="T33" s="4"/>
      <c r="U33" s="4"/>
      <c r="V33" s="4"/>
      <c r="W33" s="4"/>
      <c r="X33" s="12">
        <v>0</v>
      </c>
      <c r="Y33" s="12">
        <f ca="1">IFERROR(__xludf.DUMMYFUNCTION("INDEX(IMPORTRANGE(""1y0FWgjbB0gVlqn-q5LMJbGIsqOrzru4yowQz67dz2yc"", ""'GPE'!BG3:BG139""),MATCH(D33,IMPORTRANGE(""1y0FWgjbB0gVlqn-q5LMJbGIsqOrzru4yowQz67dz2yc"", ""'GPE'!D3:D139""),0))"),1)</f>
        <v>1</v>
      </c>
      <c r="Z33" s="12">
        <f ca="1">IFERROR(__xludf.DUMMYFUNCTION("INDEX(IMPORTRANGE(""1y0FWgjbB0gVlqn-q5LMJbGIsqOrzru4yowQz67dz2yc"", ""'GPE'!BH3:BH139""),MATCH(D33,IMPORTRANGE(""1y0FWgjbB0gVlqn-q5LMJbGIsqOrzru4yowQz67dz2yc"", ""'GPE'!D3:D139""),0))"),0)</f>
        <v>0</v>
      </c>
      <c r="AA33" s="12">
        <f ca="1">IFERROR(__xludf.DUMMYFUNCTION("INDEX(IMPORTRANGE(""1y0FWgjbB0gVlqn-q5LMJbGIsqOrzru4yowQz67dz2yc"", ""'GPE'!BI3:BI139""),MATCH($D33,IMPORTRANGE(""1y0FWgjbB0gVlqn-q5LMJbGIsqOrzru4yowQz67dz2yc"", ""'GPE'!D3:D139""),0))"),1)</f>
        <v>1</v>
      </c>
      <c r="AB33" s="1"/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2</v>
      </c>
      <c r="R34" s="4"/>
      <c r="S34" s="4"/>
      <c r="T34" s="4"/>
      <c r="U34" s="4"/>
      <c r="V34" s="4"/>
      <c r="W34" s="4"/>
      <c r="X34" s="12">
        <v>3</v>
      </c>
      <c r="Y34" s="12">
        <f ca="1">IFERROR(__xludf.DUMMYFUNCTION("INDEX(IMPORTRANGE(""1y0FWgjbB0gVlqn-q5LMJbGIsqOrzru4yowQz67dz2yc"", ""'GPE'!BG3:BG139""),MATCH(D34,IMPORTRANGE(""1y0FWgjbB0gVlqn-q5LMJbGIsqOrzru4yowQz67dz2yc"", ""'GPE'!D3:D139""),0))"),5)</f>
        <v>5</v>
      </c>
      <c r="Z34" s="12">
        <f ca="1">IFERROR(__xludf.DUMMYFUNCTION("INDEX(IMPORTRANGE(""1y0FWgjbB0gVlqn-q5LMJbGIsqOrzru4yowQz67dz2yc"", ""'GPE'!BH3:BH139""),MATCH(D34,IMPORTRANGE(""1y0FWgjbB0gVlqn-q5LMJbGIsqOrzru4yowQz67dz2yc"", ""'GPE'!D3:D139""),0))"),1)</f>
        <v>1</v>
      </c>
      <c r="AA34" s="12">
        <f ca="1">IFERROR(__xludf.DUMMYFUNCTION("INDEX(IMPORTRANGE(""1y0FWgjbB0gVlqn-q5LMJbGIsqOrzru4yowQz67dz2yc"", ""'GPE'!BI3:BI139""),MATCH($D34,IMPORTRANGE(""1y0FWgjbB0gVlqn-q5LMJbGIsqOrzru4yowQz67dz2yc"", ""'GPE'!D3:D139""),0))"),2)</f>
        <v>2</v>
      </c>
      <c r="AB34" s="1"/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156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12">SUM(P24:P34)</f>
        <v>46</v>
      </c>
      <c r="Q35" s="262">
        <f t="shared" si="12"/>
        <v>121</v>
      </c>
      <c r="R35" s="357"/>
      <c r="S35" s="357"/>
      <c r="T35" s="357"/>
      <c r="U35" s="357"/>
      <c r="V35" s="357"/>
      <c r="W35" s="357"/>
      <c r="X35" s="262">
        <f t="shared" ref="X35:AA35" si="13">SUM(X24:X34)</f>
        <v>77</v>
      </c>
      <c r="Y35" s="262">
        <f t="shared" ca="1" si="13"/>
        <v>148</v>
      </c>
      <c r="Z35" s="262">
        <f t="shared" ca="1" si="13"/>
        <v>67</v>
      </c>
      <c r="AA35" s="262">
        <f t="shared" ca="1" si="13"/>
        <v>113</v>
      </c>
      <c r="AB35" s="359"/>
      <c r="AC35" s="359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4">(SUM(P24:P34)/P$2)*100000</f>
        <v>6.4295917768316642</v>
      </c>
      <c r="Q36" s="23">
        <f t="shared" si="14"/>
        <v>16.912621847752856</v>
      </c>
      <c r="R36" s="24">
        <f>(1-0.1%)*Q36</f>
        <v>16.895709225905104</v>
      </c>
      <c r="S36" s="24">
        <f>(1-0.25%)*P36</f>
        <v>6.4135177973895852</v>
      </c>
      <c r="T36" s="24">
        <f>(1-0.4%)*Q36</f>
        <v>16.844971360361846</v>
      </c>
      <c r="U36" s="24">
        <f>(1-0.6%)*P36</f>
        <v>6.3910142261706744</v>
      </c>
      <c r="V36" s="24">
        <f t="shared" ref="V36:W36" si="15">(1-1%)*Q36</f>
        <v>16.743495629275326</v>
      </c>
      <c r="W36" s="24">
        <f t="shared" si="15"/>
        <v>16.726752133646052</v>
      </c>
      <c r="X36" s="23">
        <f>(SUM(X24:X34)/X$2)*100000</f>
        <v>10.672965102176315</v>
      </c>
      <c r="Y36" s="23">
        <f ca="1">IFERROR(__xludf.DUMMYFUNCTION("INDEX(IMPORTRANGE(""1y0FWgjbB0gVlqn-q5LMJbGIsqOrzru4yowQz67dz2yc"", ""'GPE'!BG3:BG139""),MATCH(D36,IMPORTRANGE(""1y0FWgjbB0gVlqn-q5LMJbGIsqOrzru4yowQz67dz2yc"", ""'GPE'!D3:D139""),0))"),20.5142705860012)</f>
        <v>20.514270586001199</v>
      </c>
      <c r="Z36" s="23">
        <f ca="1">IFERROR(__xludf.DUMMYFUNCTION("INDEX(IMPORTRANGE(""1y0FWgjbB0gVlqn-q5LMJbGIsqOrzru4yowQz67dz2yc"", ""'GPE'!BH3:BH139""),MATCH(D36,IMPORTRANGE(""1y0FWgjbB0gVlqn-q5LMJbGIsqOrzru4yowQz67dz2yc"", ""'GPE'!D3:D139""),0))"),9.19646251892481)</f>
        <v>9.1964625189248093</v>
      </c>
      <c r="AA36" s="23">
        <f ca="1">IFERROR(__xludf.DUMMYFUNCTION("INDEX(IMPORTRANGE(""1y0FWgjbB0gVlqn-q5LMJbGIsqOrzru4yowQz67dz2yc"", ""'GPE'!BI3:BI139""),MATCH($D36,IMPORTRANGE(""1y0FWgjbB0gVlqn-q5LMJbGIsqOrzru4yowQz67dz2yc"", ""'GPE'!D3:D139""),0))"),15.5104517110224)</f>
        <v>15.5104517110224</v>
      </c>
      <c r="AB36" s="1"/>
      <c r="AC36" s="1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181232</v>
      </c>
      <c r="Q37" s="12">
        <v>181232</v>
      </c>
      <c r="R37" s="4"/>
      <c r="S37" s="4"/>
      <c r="T37" s="4"/>
      <c r="U37" s="4"/>
      <c r="V37" s="4"/>
      <c r="W37" s="4"/>
      <c r="X37" s="12">
        <v>181232</v>
      </c>
      <c r="Y37" s="12">
        <f ca="1">IFERROR(__xludf.DUMMYFUNCTION("INDEX(IMPORTRANGE(""1y0FWgjbB0gVlqn-q5LMJbGIsqOrzru4yowQz67dz2yc"", ""'GPE'!BG3:BG139""),MATCH(D37,IMPORTRANGE(""1y0FWgjbB0gVlqn-q5LMJbGIsqOrzru4yowQz67dz2yc"", ""'GPE'!D3:D139""),0))"),195169)</f>
        <v>195169</v>
      </c>
      <c r="Z37" s="12">
        <f ca="1">IFERROR(__xludf.DUMMYFUNCTION("INDEX(IMPORTRANGE(""1y0FWgjbB0gVlqn-q5LMJbGIsqOrzru4yowQz67dz2yc"", ""'GPE'!BH3:BH139""),MATCH(D37,IMPORTRANGE(""1y0FWgjbB0gVlqn-q5LMJbGIsqOrzru4yowQz67dz2yc"", ""'GPE'!D3:D139""),0))"),195169)</f>
        <v>195169</v>
      </c>
      <c r="AA37" s="12">
        <f ca="1">IFERROR(__xludf.DUMMYFUNCTION("INDEX(IMPORTRANGE(""1y0FWgjbB0gVlqn-q5LMJbGIsqOrzru4yowQz67dz2yc"", ""'GPE'!BI3:BI139""),MATCH($D37,IMPORTRANGE(""1y0FWgjbB0gVlqn-q5LMJbGIsqOrzru4yowQz67dz2yc"", ""'GPE'!D3:D139""),0))"),195169)</f>
        <v>195169</v>
      </c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991</v>
      </c>
      <c r="Q38" s="2">
        <v>991</v>
      </c>
      <c r="R38" s="2"/>
      <c r="S38" s="2"/>
      <c r="T38" s="2"/>
      <c r="U38" s="2"/>
      <c r="V38" s="2"/>
      <c r="W38" s="2"/>
      <c r="X38" s="2">
        <v>805</v>
      </c>
      <c r="Y38" s="2">
        <f ca="1">IFERROR(__xludf.DUMMYFUNCTION("INDEX(IMPORTRANGE(""1y0FWgjbB0gVlqn-q5LMJbGIsqOrzru4yowQz67dz2yc"", ""'GPE'!BG3:BG139""),MATCH(D38,IMPORTRANGE(""1y0FWgjbB0gVlqn-q5LMJbGIsqOrzru4yowQz67dz2yc"", ""'GPE'!D3:D139""),0))"),2050)</f>
        <v>2050</v>
      </c>
      <c r="Z38" s="2">
        <f ca="1">IFERROR(__xludf.DUMMYFUNCTION("INDEX(IMPORTRANGE(""1y0FWgjbB0gVlqn-q5LMJbGIsqOrzru4yowQz67dz2yc"", ""'GPE'!BH3:BH139""),MATCH(D38,IMPORTRANGE(""1y0FWgjbB0gVlqn-q5LMJbGIsqOrzru4yowQz67dz2yc"", ""'GPE'!D3:D139""),0))"),2355)</f>
        <v>2355</v>
      </c>
      <c r="AA38" s="2">
        <f ca="1">IFERROR(__xludf.DUMMYFUNCTION("INDEX(IMPORTRANGE(""1y0FWgjbB0gVlqn-q5LMJbGIsqOrzru4yowQz67dz2yc"", ""'GPE'!BI3:BI139""),MATCH($D38,IMPORTRANGE(""1y0FWgjbB0gVlqn-q5LMJbGIsqOrzru4yowQz67dz2yc"", ""'GPE'!D3:D139""),0))"),2387)</f>
        <v>2387</v>
      </c>
      <c r="AB38" s="1"/>
      <c r="AC38" s="1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9">
        <f t="shared" ref="P39:Q39" si="16">P38/P37</f>
        <v>5.4681292486978015E-3</v>
      </c>
      <c r="Q39" s="19">
        <f t="shared" si="16"/>
        <v>5.4681292486978015E-3</v>
      </c>
      <c r="R39" s="15">
        <v>2E-3</v>
      </c>
      <c r="S39" s="15">
        <v>6.0000000000000001E-3</v>
      </c>
      <c r="T39" s="15">
        <v>0.01</v>
      </c>
      <c r="U39" s="15">
        <v>1.4E-2</v>
      </c>
      <c r="V39" s="15">
        <v>0.02</v>
      </c>
      <c r="W39" s="15">
        <v>0.02</v>
      </c>
      <c r="X39" s="15">
        <f>X38/X37</f>
        <v>4.4418204290633005E-3</v>
      </c>
      <c r="Y39" s="15">
        <f ca="1">IFERROR(__xludf.DUMMYFUNCTION("INDEX(IMPORTRANGE(""1y0FWgjbB0gVlqn-q5LMJbGIsqOrzru4yowQz67dz2yc"", ""'GPE'!BG3:BG139""),MATCH(D39,IMPORTRANGE(""1y0FWgjbB0gVlqn-q5LMJbGIsqOrzru4yowQz67dz2yc"", ""'GPE'!D3:D139""),0))"),0.0105037172911681)</f>
        <v>1.0503717291168099E-2</v>
      </c>
      <c r="Z39" s="15">
        <f ca="1">IFERROR(__xludf.DUMMYFUNCTION("INDEX(IMPORTRANGE(""1y0FWgjbB0gVlqn-q5LMJbGIsqOrzru4yowQz67dz2yc"", ""'GPE'!BH3:BH139""),MATCH(D39,IMPORTRANGE(""1y0FWgjbB0gVlqn-q5LMJbGIsqOrzru4yowQz67dz2yc"", ""'GPE'!D3:D139""),0))"),0.0120664654735127)</f>
        <v>1.20664654735127E-2</v>
      </c>
      <c r="AA39" s="15">
        <f ca="1">IFERROR(__xludf.DUMMYFUNCTION("INDEX(IMPORTRANGE(""1y0FWgjbB0gVlqn-q5LMJbGIsqOrzru4yowQz67dz2yc"", ""'GPE'!BI3:BI139""),MATCH($D39,IMPORTRANGE(""1y0FWgjbB0gVlqn-q5LMJbGIsqOrzru4yowQz67dz2yc"", ""'GPE'!D3:D139""),0))"),0.0122304259385455)</f>
        <v>1.22304259385455E-2</v>
      </c>
      <c r="AB39" s="1"/>
      <c r="AC39" s="1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2"/>
      <c r="S40" s="2"/>
      <c r="T40" s="2"/>
      <c r="U40" s="2"/>
      <c r="V40" s="2"/>
      <c r="W40" s="2"/>
      <c r="X40" s="2"/>
      <c r="Y40" s="2" t="str">
        <f ca="1">IFERROR(__xludf.DUMMYFUNCTION("INDEX(IMPORTRANGE(""1y0FWgjbB0gVlqn-q5LMJbGIsqOrzru4yowQz67dz2yc"", ""'GPE'!BG3:BG139""),MATCH(D40,IMPORTRANGE(""1y0FWgjbB0gVlqn-q5LMJbGIsqOrzru4yowQz67dz2yc"", ""'GPE'!D3:D139""),0))"),"")</f>
        <v/>
      </c>
      <c r="Z40" s="2">
        <f ca="1">IFERROR(__xludf.DUMMYFUNCTION("INDEX(IMPORTRANGE(""1y0FWgjbB0gVlqn-q5LMJbGIsqOrzru4yowQz67dz2yc"", ""'GPE'!BH3:BH139""),MATCH(D40,IMPORTRANGE(""1y0FWgjbB0gVlqn-q5LMJbGIsqOrzru4yowQz67dz2yc"", ""'GPE'!D3:D139""),0))"),38.2)</f>
        <v>38.200000000000003</v>
      </c>
      <c r="AA40" s="2">
        <f ca="1">IFERROR(__xludf.DUMMYFUNCTION("INDEX(IMPORTRANGE(""1y0FWgjbB0gVlqn-q5LMJbGIsqOrzru4yowQz67dz2yc"", ""'GPE'!BI3:BI139""),MATCH($D40,IMPORTRANGE(""1y0FWgjbB0gVlqn-q5LMJbGIsqOrzru4yowQz67dz2yc"", ""'GPE'!D3:D139""),0))"),76.2)</f>
        <v>76.2</v>
      </c>
      <c r="AB40" s="1"/>
      <c r="AC40" s="1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2"/>
      <c r="R41" s="2"/>
      <c r="S41" s="2"/>
      <c r="T41" s="2"/>
      <c r="U41" s="2"/>
      <c r="V41" s="2"/>
      <c r="W41" s="2"/>
      <c r="X41" s="2"/>
      <c r="Y41" s="2" t="str">
        <f ca="1">IFERROR(__xludf.DUMMYFUNCTION("INDEX(IMPORTRANGE(""1y0FWgjbB0gVlqn-q5LMJbGIsqOrzru4yowQz67dz2yc"", ""'GPE'!BG3:BG139""),MATCH(D41,IMPORTRANGE(""1y0FWgjbB0gVlqn-q5LMJbGIsqOrzru4yowQz67dz2yc"", ""'GPE'!D3:D139""),0))"),"")</f>
        <v/>
      </c>
      <c r="Z41" s="2">
        <f ca="1">IFERROR(__xludf.DUMMYFUNCTION("INDEX(IMPORTRANGE(""1y0FWgjbB0gVlqn-q5LMJbGIsqOrzru4yowQz67dz2yc"", ""'GPE'!BH3:BH139""),MATCH(D41,IMPORTRANGE(""1y0FWgjbB0gVlqn-q5LMJbGIsqOrzru4yowQz67dz2yc"", ""'GPE'!D3:D139""),0))"),6054.16)</f>
        <v>6054.16</v>
      </c>
      <c r="AA41" s="2">
        <f ca="1">IFERROR(__xludf.DUMMYFUNCTION("INDEX(IMPORTRANGE(""1y0FWgjbB0gVlqn-q5LMJbGIsqOrzru4yowQz67dz2yc"", ""'GPE'!BI3:BI139""),MATCH($D41,IMPORTRANGE(""1y0FWgjbB0gVlqn-q5LMJbGIsqOrzru4yowQz67dz2yc"", ""'GPE'!D3:D139""),0))"),11352.68)</f>
        <v>11352.68</v>
      </c>
      <c r="AB41" s="1"/>
      <c r="AC41" s="1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2"/>
      <c r="R42" s="2"/>
      <c r="S42" s="26">
        <v>5.4999999999999997E-3</v>
      </c>
      <c r="T42" s="26">
        <v>6.4999999999999997E-3</v>
      </c>
      <c r="U42" s="26">
        <v>7.4999999999999997E-3</v>
      </c>
      <c r="V42" s="26">
        <v>8.5000000000000006E-3</v>
      </c>
      <c r="W42" s="26">
        <v>8.5000000000000006E-3</v>
      </c>
      <c r="X42" s="2"/>
      <c r="Y42" s="2" t="str">
        <f ca="1">IFERROR(__xludf.DUMMYFUNCTION("INDEX(IMPORTRANGE(""1y0FWgjbB0gVlqn-q5LMJbGIsqOrzru4yowQz67dz2yc"", ""'GPE'!BG3:BG139""),MATCH(D42,IMPORTRANGE(""1y0FWgjbB0gVlqn-q5LMJbGIsqOrzru4yowQz67dz2yc"", ""'GPE'!D3:D139""),0))"),"")</f>
        <v/>
      </c>
      <c r="Z42" s="15">
        <f ca="1">IFERROR(__xludf.DUMMYFUNCTION("INDEX(IMPORTRANGE(""1y0FWgjbB0gVlqn-q5LMJbGIsqOrzru4yowQz67dz2yc"", ""'GPE'!BH3:BH139""),MATCH(D42,IMPORTRANGE(""1y0FWgjbB0gVlqn-q5LMJbGIsqOrzru4yowQz67dz2yc"", ""'GPE'!D3:D139""),0))"),0.00630971100862877)</f>
        <v>6.3097110086287704E-3</v>
      </c>
      <c r="AA42" s="15">
        <f ca="1">IFERROR(__xludf.DUMMYFUNCTION("INDEX(IMPORTRANGE(""1y0FWgjbB0gVlqn-q5LMJbGIsqOrzru4yowQz67dz2yc"", ""'GPE'!BI3:BI139""),MATCH($D42,IMPORTRANGE(""1y0FWgjbB0gVlqn-q5LMJbGIsqOrzru4yowQz67dz2yc"", ""'GPE'!D3:D139""),0))"),0.00671207151086791)</f>
        <v>6.7120715108679096E-3</v>
      </c>
      <c r="AB42" s="1"/>
      <c r="AC42" s="1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2">
        <v>0</v>
      </c>
      <c r="R43" s="2">
        <v>2</v>
      </c>
      <c r="S43" s="2">
        <v>3</v>
      </c>
      <c r="T43" s="2">
        <v>3</v>
      </c>
      <c r="U43" s="2">
        <v>3</v>
      </c>
      <c r="V43" s="2">
        <v>5</v>
      </c>
      <c r="W43" s="2">
        <v>5</v>
      </c>
      <c r="X43" s="2">
        <v>1</v>
      </c>
      <c r="Y43" s="2">
        <f ca="1">IFERROR(__xludf.DUMMYFUNCTION("INDEX(IMPORTRANGE(""1y0FWgjbB0gVlqn-q5LMJbGIsqOrzru4yowQz67dz2yc"", ""'GPE'!BG3:BG139""),MATCH(D43,IMPORTRANGE(""1y0FWgjbB0gVlqn-q5LMJbGIsqOrzru4yowQz67dz2yc"", ""'GPE'!D3:D139""),0))"),3)</f>
        <v>3</v>
      </c>
      <c r="Z43" s="2">
        <f ca="1">IFERROR(__xludf.DUMMYFUNCTION("INDEX(IMPORTRANGE(""1y0FWgjbB0gVlqn-q5LMJbGIsqOrzru4yowQz67dz2yc"", ""'GPE'!BH3:BH139""),MATCH(D43,IMPORTRANGE(""1y0FWgjbB0gVlqn-q5LMJbGIsqOrzru4yowQz67dz2yc"", ""'GPE'!D3:D139""),0))"),5)</f>
        <v>5</v>
      </c>
      <c r="AA43" s="2">
        <f ca="1">IFERROR(__xludf.DUMMYFUNCTION("INDEX(IMPORTRANGE(""1y0FWgjbB0gVlqn-q5LMJbGIsqOrzru4yowQz67dz2yc"", ""'GPE'!BI3:BI139""),MATCH($D43,IMPORTRANGE(""1y0FWgjbB0gVlqn-q5LMJbGIsqOrzru4yowQz67dz2yc"", ""'GPE'!D3:D139""),0))"),7)</f>
        <v>7</v>
      </c>
      <c r="AB43" s="1"/>
      <c r="AC43" s="1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419</v>
      </c>
      <c r="Q44" s="2">
        <v>897</v>
      </c>
      <c r="R44" s="2">
        <v>1000</v>
      </c>
      <c r="S44" s="2">
        <v>1500</v>
      </c>
      <c r="T44" s="12">
        <v>2000</v>
      </c>
      <c r="U44" s="12">
        <v>2500</v>
      </c>
      <c r="V44" s="12">
        <v>3000</v>
      </c>
      <c r="W44" s="2">
        <v>3000</v>
      </c>
      <c r="X44" s="2">
        <v>1211</v>
      </c>
      <c r="Y44" s="12">
        <f ca="1">IFERROR(__xludf.DUMMYFUNCTION("INDEX(IMPORTRANGE(""1y0FWgjbB0gVlqn-q5LMJbGIsqOrzru4yowQz67dz2yc"", ""'GPE'!BG3:BG139""),MATCH(D44,IMPORTRANGE(""1y0FWgjbB0gVlqn-q5LMJbGIsqOrzru4yowQz67dz2yc"", ""'GPE'!D3:D139""),0))"),1696)</f>
        <v>1696</v>
      </c>
      <c r="Z44" s="2">
        <f ca="1">IFERROR(__xludf.DUMMYFUNCTION("INDEX(IMPORTRANGE(""1y0FWgjbB0gVlqn-q5LMJbGIsqOrzru4yowQz67dz2yc"", ""'GPE'!BH3:BH139""),MATCH(D44,IMPORTRANGE(""1y0FWgjbB0gVlqn-q5LMJbGIsqOrzru4yowQz67dz2yc"", ""'GPE'!D3:D139""),0))"),2619)</f>
        <v>2619</v>
      </c>
      <c r="AA44" s="12">
        <f ca="1">IFERROR(__xludf.DUMMYFUNCTION("INDEX(IMPORTRANGE(""1y0FWgjbB0gVlqn-q5LMJbGIsqOrzru4yowQz67dz2yc"", ""'GPE'!BI3:BI139""),MATCH($D44,IMPORTRANGE(""1y0FWgjbB0gVlqn-q5LMJbGIsqOrzru4yowQz67dz2yc"", ""'GPE'!D3:D139""),0))"),3509)</f>
        <v>3509</v>
      </c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1</v>
      </c>
      <c r="Q45" s="2">
        <v>1</v>
      </c>
      <c r="R45" s="2"/>
      <c r="S45" s="2"/>
      <c r="T45" s="2"/>
      <c r="U45" s="2"/>
      <c r="V45" s="2"/>
      <c r="W45" s="2"/>
      <c r="X45" s="2">
        <v>0</v>
      </c>
      <c r="Y45" s="2">
        <f ca="1">IFERROR(__xludf.DUMMYFUNCTION("INDEX(IMPORTRANGE(""1y0FWgjbB0gVlqn-q5LMJbGIsqOrzru4yowQz67dz2yc"", ""'GPE'!BG3:BG139""),MATCH(D45,IMPORTRANGE(""1y0FWgjbB0gVlqn-q5LMJbGIsqOrzru4yowQz67dz2yc"", ""'GPE'!D3:D139""),0))"),2)</f>
        <v>2</v>
      </c>
      <c r="Z45" s="2">
        <f ca="1">IFERROR(__xludf.DUMMYFUNCTION("INDEX(IMPORTRANGE(""1y0FWgjbB0gVlqn-q5LMJbGIsqOrzru4yowQz67dz2yc"", ""'GPE'!BH3:BH139""),MATCH(D45,IMPORTRANGE(""1y0FWgjbB0gVlqn-q5LMJbGIsqOrzru4yowQz67dz2yc"", ""'GPE'!D3:D139""),0))"),2)</f>
        <v>2</v>
      </c>
      <c r="AA45" s="2">
        <f ca="1">IFERROR(__xludf.DUMMYFUNCTION("INDEX(IMPORTRANGE(""1y0FWgjbB0gVlqn-q5LMJbGIsqOrzru4yowQz67dz2yc"", ""'GPE'!BI3:BI139""),MATCH($D45,IMPORTRANGE(""1y0FWgjbB0gVlqn-q5LMJbGIsqOrzru4yowQz67dz2yc"", ""'GPE'!D3:D139""),0))"),2)</f>
        <v>2</v>
      </c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2">
        <f ca="1">IFERROR(__xludf.DUMMYFUNCTION("INDEX(IMPORTRANGE(""1y0FWgjbB0gVlqn-q5LMJbGIsqOrzru4yowQz67dz2yc"", ""'GPE'!BG3:BG139""),MATCH(D46,IMPORTRANGE(""1y0FWgjbB0gVlqn-q5LMJbGIsqOrzru4yowQz67dz2yc"", ""'GPE'!D3:D139""),0))"),0)</f>
        <v>0</v>
      </c>
      <c r="Z46" s="2">
        <f ca="1">IFERROR(__xludf.DUMMYFUNCTION("INDEX(IMPORTRANGE(""1y0FWgjbB0gVlqn-q5LMJbGIsqOrzru4yowQz67dz2yc"", ""'GPE'!BH3:BH139""),MATCH(D46,IMPORTRANGE(""1y0FWgjbB0gVlqn-q5LMJbGIsqOrzru4yowQz67dz2yc"", ""'GPE'!D3:D139""),0))"),0)</f>
        <v>0</v>
      </c>
      <c r="AA46" s="2">
        <f ca="1">IFERROR(__xludf.DUMMYFUNCTION("INDEX(IMPORTRANGE(""1y0FWgjbB0gVlqn-q5LMJbGIsqOrzru4yowQz67dz2yc"", ""'GPE'!BI3:BI139""),MATCH($D46,IMPORTRANGE(""1y0FWgjbB0gVlqn-q5LMJbGIsqOrzru4yowQz67dz2yc"", ""'GPE'!D3:D139""),0))"),0)</f>
        <v>0</v>
      </c>
      <c r="AB46" s="1"/>
      <c r="AC46" s="1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0</v>
      </c>
      <c r="Q47" s="2">
        <v>7</v>
      </c>
      <c r="R47" s="2"/>
      <c r="S47" s="2"/>
      <c r="T47" s="2"/>
      <c r="U47" s="2"/>
      <c r="V47" s="2"/>
      <c r="W47" s="2"/>
      <c r="X47" s="2">
        <v>5</v>
      </c>
      <c r="Y47" s="2">
        <f ca="1">IFERROR(__xludf.DUMMYFUNCTION("INDEX(IMPORTRANGE(""1y0FWgjbB0gVlqn-q5LMJbGIsqOrzru4yowQz67dz2yc"", ""'GPE'!BG3:BG139""),MATCH(D47,IMPORTRANGE(""1y0FWgjbB0gVlqn-q5LMJbGIsqOrzru4yowQz67dz2yc"", ""'GPE'!D3:D139""),0))"),23)</f>
        <v>23</v>
      </c>
      <c r="Z47" s="2">
        <f ca="1">IFERROR(__xludf.DUMMYFUNCTION("INDEX(IMPORTRANGE(""1y0FWgjbB0gVlqn-q5LMJbGIsqOrzru4yowQz67dz2yc"", ""'GPE'!BH3:BH139""),MATCH(D47,IMPORTRANGE(""1y0FWgjbB0gVlqn-q5LMJbGIsqOrzru4yowQz67dz2yc"", ""'GPE'!D3:D139""),0))"),32)</f>
        <v>32</v>
      </c>
      <c r="AA47" s="2">
        <f ca="1">IFERROR(__xludf.DUMMYFUNCTION("INDEX(IMPORTRANGE(""1y0FWgjbB0gVlqn-q5LMJbGIsqOrzru4yowQz67dz2yc"", ""'GPE'!BI3:BI139""),MATCH($D47,IMPORTRANGE(""1y0FWgjbB0gVlqn-q5LMJbGIsqOrzru4yowQz67dz2yc"", ""'GPE'!D3:D139""),0))"),37)</f>
        <v>37</v>
      </c>
      <c r="AB47" s="1"/>
      <c r="AC47" s="1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2"/>
      <c r="R48" s="2"/>
      <c r="S48" s="2"/>
      <c r="T48" s="2"/>
      <c r="U48" s="2"/>
      <c r="V48" s="2"/>
      <c r="W48" s="2"/>
      <c r="X48" s="2"/>
      <c r="Y48" s="2">
        <f ca="1">IFERROR(__xludf.DUMMYFUNCTION("INDEX(IMPORTRANGE(""1y0FWgjbB0gVlqn-q5LMJbGIsqOrzru4yowQz67dz2yc"", ""'GPE'!BG3:BG139""),MATCH(D48,IMPORTRANGE(""1y0FWgjbB0gVlqn-q5LMJbGIsqOrzru4yowQz67dz2yc"", ""'GPE'!D3:D139""),0))"),0)</f>
        <v>0</v>
      </c>
      <c r="Z48" s="2">
        <f ca="1">IFERROR(__xludf.DUMMYFUNCTION("INDEX(IMPORTRANGE(""1y0FWgjbB0gVlqn-q5LMJbGIsqOrzru4yowQz67dz2yc"", ""'GPE'!BH3:BH139""),MATCH(D48,IMPORTRANGE(""1y0FWgjbB0gVlqn-q5LMJbGIsqOrzru4yowQz67dz2yc"", ""'GPE'!D3:D139""),0))"),1)</f>
        <v>1</v>
      </c>
      <c r="AA48" s="2">
        <f ca="1">IFERROR(__xludf.DUMMYFUNCTION("INDEX(IMPORTRANGE(""1y0FWgjbB0gVlqn-q5LMJbGIsqOrzru4yowQz67dz2yc"", ""'GPE'!BI3:BI139""),MATCH($D48,IMPORTRANGE(""1y0FWgjbB0gVlqn-q5LMJbGIsqOrzru4yowQz67dz2yc"", ""'GPE'!D3:D139""),0))"),1)</f>
        <v>1</v>
      </c>
      <c r="AB48" s="1"/>
      <c r="AC48" s="1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7">SUM(P45:P47)</f>
        <v>1</v>
      </c>
      <c r="Q49" s="12">
        <f t="shared" si="17"/>
        <v>8</v>
      </c>
      <c r="R49" s="4">
        <v>8</v>
      </c>
      <c r="S49" s="4">
        <v>16</v>
      </c>
      <c r="T49" s="4">
        <f t="shared" ref="T49:V49" si="18">S49+8</f>
        <v>24</v>
      </c>
      <c r="U49" s="4">
        <f t="shared" si="18"/>
        <v>32</v>
      </c>
      <c r="V49" s="4">
        <f t="shared" si="18"/>
        <v>40</v>
      </c>
      <c r="W49" s="4">
        <v>40</v>
      </c>
      <c r="X49" s="12">
        <f>SUM(X45:X47)</f>
        <v>5</v>
      </c>
      <c r="Y49" s="12">
        <f ca="1">IFERROR(__xludf.DUMMYFUNCTION("INDEX(IMPORTRANGE(""1y0FWgjbB0gVlqn-q5LMJbGIsqOrzru4yowQz67dz2yc"", ""'GPE'!BG3:BG139""),MATCH(D49,IMPORTRANGE(""1y0FWgjbB0gVlqn-q5LMJbGIsqOrzru4yowQz67dz2yc"", ""'GPE'!D3:D139""),0))"),25)</f>
        <v>25</v>
      </c>
      <c r="Z49" s="12">
        <f ca="1">IFERROR(__xludf.DUMMYFUNCTION("INDEX(IMPORTRANGE(""1y0FWgjbB0gVlqn-q5LMJbGIsqOrzru4yowQz67dz2yc"", ""'GPE'!BH3:BH139""),MATCH(D49,IMPORTRANGE(""1y0FWgjbB0gVlqn-q5LMJbGIsqOrzru4yowQz67dz2yc"", ""'GPE'!D3:D139""),0))"),35)</f>
        <v>35</v>
      </c>
      <c r="AA49" s="12">
        <f ca="1">IFERROR(__xludf.DUMMYFUNCTION("INDEX(IMPORTRANGE(""1y0FWgjbB0gVlqn-q5LMJbGIsqOrzru4yowQz67dz2yc"", ""'GPE'!BI3:BI139""),MATCH($D49,IMPORTRANGE(""1y0FWgjbB0gVlqn-q5LMJbGIsqOrzru4yowQz67dz2yc"", ""'GPE'!D3:D139""),0))"),40)</f>
        <v>40</v>
      </c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153</v>
      </c>
      <c r="Q50" s="30" t="s">
        <v>153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153</v>
      </c>
      <c r="Y50" s="2" t="str">
        <f ca="1">IFERROR(__xludf.DUMMYFUNCTION("INDEX(IMPORTRANGE(""1y0FWgjbB0gVlqn-q5LMJbGIsqOrzru4yowQz67dz2yc"", ""'GPE'!BG3:BG139""),MATCH(D50,IMPORTRANGE(""1y0FWgjbB0gVlqn-q5LMJbGIsqOrzru4yowQz67dz2yc"", ""'GPE'!D3:D139""),0))"),"Sí")</f>
        <v>Sí</v>
      </c>
      <c r="Z50" s="2" t="str">
        <f ca="1">IFERROR(__xludf.DUMMYFUNCTION("INDEX(IMPORTRANGE(""1y0FWgjbB0gVlqn-q5LMJbGIsqOrzru4yowQz67dz2yc"", ""'GPE'!BH3:BH139""),MATCH(D50,IMPORTRANGE(""1y0FWgjbB0gVlqn-q5LMJbGIsqOrzru4yowQz67dz2yc"", ""'GPE'!D3:D139""),0))"),"Sí")</f>
        <v>Sí</v>
      </c>
      <c r="AA50" s="2" t="str">
        <f ca="1">IFERROR(__xludf.DUMMYFUNCTION("INDEX(IMPORTRANGE(""1y0FWgjbB0gVlqn-q5LMJbGIsqOrzru4yowQz67dz2yc"", ""'GPE'!BI3:BI139""),MATCH($D50,IMPORTRANGE(""1y0FWgjbB0gVlqn-q5LMJbGIsqOrzru4yowQz67dz2yc"", ""'GPE'!D3:D139""),0))"),"Sí")</f>
        <v>Sí</v>
      </c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153</v>
      </c>
      <c r="Q51" s="30" t="s">
        <v>153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153</v>
      </c>
      <c r="Y51" s="2" t="str">
        <f ca="1">IFERROR(__xludf.DUMMYFUNCTION("INDEX(IMPORTRANGE(""1y0FWgjbB0gVlqn-q5LMJbGIsqOrzru4yowQz67dz2yc"", ""'GPE'!BG3:BG139""),MATCH(D51,IMPORTRANGE(""1y0FWgjbB0gVlqn-q5LMJbGIsqOrzru4yowQz67dz2yc"", ""'GPE'!D3:D139""),0))"),"Sí")</f>
        <v>Sí</v>
      </c>
      <c r="Z51" s="2" t="str">
        <f ca="1">IFERROR(__xludf.DUMMYFUNCTION("INDEX(IMPORTRANGE(""1y0FWgjbB0gVlqn-q5LMJbGIsqOrzru4yowQz67dz2yc"", ""'GPE'!BH3:BH139""),MATCH(D51,IMPORTRANGE(""1y0FWgjbB0gVlqn-q5LMJbGIsqOrzru4yowQz67dz2yc"", ""'GPE'!D3:D139""),0))"),"Sí")</f>
        <v>Sí</v>
      </c>
      <c r="AA51" s="2" t="str">
        <f ca="1">IFERROR(__xludf.DUMMYFUNCTION("INDEX(IMPORTRANGE(""1y0FWgjbB0gVlqn-q5LMJbGIsqOrzru4yowQz67dz2yc"", ""'GPE'!BI3:BI139""),MATCH($D51,IMPORTRANGE(""1y0FWgjbB0gVlqn-q5LMJbGIsqOrzru4yowQz67dz2yc"", ""'GPE'!D3:D139""),0))"),"Sí")</f>
        <v>Sí</v>
      </c>
      <c r="AB51" s="1"/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30" t="s">
        <v>153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153</v>
      </c>
      <c r="Y52" s="2" t="str">
        <f ca="1">IFERROR(__xludf.DUMMYFUNCTION("INDEX(IMPORTRANGE(""1y0FWgjbB0gVlqn-q5LMJbGIsqOrzru4yowQz67dz2yc"", ""'GPE'!BG3:BG139""),MATCH(D52,IMPORTRANGE(""1y0FWgjbB0gVlqn-q5LMJbGIsqOrzru4yowQz67dz2yc"", ""'GPE'!D3:D139""),0))"),"Sí")</f>
        <v>Sí</v>
      </c>
      <c r="Z52" s="2" t="str">
        <f ca="1">IFERROR(__xludf.DUMMYFUNCTION("INDEX(IMPORTRANGE(""1y0FWgjbB0gVlqn-q5LMJbGIsqOrzru4yowQz67dz2yc"", ""'GPE'!BH3:BH139""),MATCH(D52,IMPORTRANGE(""1y0FWgjbB0gVlqn-q5LMJbGIsqOrzru4yowQz67dz2yc"", ""'GPE'!D3:D139""),0))"),"Sí")</f>
        <v>Sí</v>
      </c>
      <c r="AA52" s="2" t="str">
        <f ca="1">IFERROR(__xludf.DUMMYFUNCTION("INDEX(IMPORTRANGE(""1y0FWgjbB0gVlqn-q5LMJbGIsqOrzru4yowQz67dz2yc"", ""'GPE'!BI3:BI139""),MATCH($D52,IMPORTRANGE(""1y0FWgjbB0gVlqn-q5LMJbGIsqOrzru4yowQz67dz2yc"", ""'GPE'!D3:D139""),0))"),"Sí")</f>
        <v>Sí</v>
      </c>
      <c r="AB52" s="1"/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f t="shared" ref="P53:Q53" si="19">COUNTIF(P50:P52,"Sí")*(1/3)</f>
        <v>1</v>
      </c>
      <c r="Q53" s="12">
        <f t="shared" si="19"/>
        <v>1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12">
        <f>COUNTIF(X50:X52,"Sí")*(1/3)</f>
        <v>1</v>
      </c>
      <c r="Y53" s="12">
        <f ca="1">IFERROR(__xludf.DUMMYFUNCTION("INDEX(IMPORTRANGE(""1y0FWgjbB0gVlqn-q5LMJbGIsqOrzru4yowQz67dz2yc"", ""'GPE'!BG3:BG139""),MATCH(D53,IMPORTRANGE(""1y0FWgjbB0gVlqn-q5LMJbGIsqOrzru4yowQz67dz2yc"", ""'GPE'!D3:D139""),0))"),1)</f>
        <v>1</v>
      </c>
      <c r="Z53" s="2">
        <f ca="1">IFERROR(__xludf.DUMMYFUNCTION("INDEX(IMPORTRANGE(""1y0FWgjbB0gVlqn-q5LMJbGIsqOrzru4yowQz67dz2yc"", ""'GPE'!BH3:BH139""),MATCH(D53,IMPORTRANGE(""1y0FWgjbB0gVlqn-q5LMJbGIsqOrzru4yowQz67dz2yc"", ""'GPE'!D3:D139""),0))"),1)</f>
        <v>1</v>
      </c>
      <c r="AA53" s="12">
        <f ca="1">IFERROR(__xludf.DUMMYFUNCTION("INDEX(IMPORTRANGE(""1y0FWgjbB0gVlqn-q5LMJbGIsqOrzru4yowQz67dz2yc"", ""'GPE'!BI3:BI139""),MATCH($D53,IMPORTRANGE(""1y0FWgjbB0gVlqn-q5LMJbGIsqOrzru4yowQz67dz2yc"", ""'GPE'!D3:D139""),0))"),1)</f>
        <v>1</v>
      </c>
      <c r="AB53" s="1"/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2">
        <v>0</v>
      </c>
      <c r="Q54" s="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0</v>
      </c>
      <c r="Y54" s="2">
        <f ca="1">IFERROR(__xludf.DUMMYFUNCTION("INDEX(IMPORTRANGE(""1y0FWgjbB0gVlqn-q5LMJbGIsqOrzru4yowQz67dz2yc"", ""'GPE'!BG3:BG139""),MATCH(D54,IMPORTRANGE(""1y0FWgjbB0gVlqn-q5LMJbGIsqOrzru4yowQz67dz2yc"", ""'GPE'!D3:D139""),0))"),0)</f>
        <v>0</v>
      </c>
      <c r="Z54" s="2">
        <f ca="1">IFERROR(__xludf.DUMMYFUNCTION("INDEX(IMPORTRANGE(""1y0FWgjbB0gVlqn-q5LMJbGIsqOrzru4yowQz67dz2yc"", ""'GPE'!BH3:BH139""),MATCH(D54,IMPORTRANGE(""1y0FWgjbB0gVlqn-q5LMJbGIsqOrzru4yowQz67dz2yc"", ""'GPE'!D3:D139""),0))"),0)</f>
        <v>0</v>
      </c>
      <c r="AA54" s="2">
        <f ca="1">IFERROR(__xludf.DUMMYFUNCTION("INDEX(IMPORTRANGE(""1y0FWgjbB0gVlqn-q5LMJbGIsqOrzru4yowQz67dz2yc"", ""'GPE'!BI3:BI139""),MATCH($D54,IMPORTRANGE(""1y0FWgjbB0gVlqn-q5LMJbGIsqOrzru4yowQz67dz2yc"", ""'GPE'!D3:D139""),0))"),0)</f>
        <v>0</v>
      </c>
      <c r="AB54" s="1"/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8</v>
      </c>
      <c r="Q55" s="12">
        <v>8</v>
      </c>
      <c r="R55" s="4"/>
      <c r="S55" s="4"/>
      <c r="T55" s="4"/>
      <c r="U55" s="4"/>
      <c r="V55" s="4"/>
      <c r="W55" s="4"/>
      <c r="X55" s="2">
        <v>8</v>
      </c>
      <c r="Y55" s="2">
        <f ca="1">IFERROR(__xludf.DUMMYFUNCTION("INDEX(IMPORTRANGE(""1y0FWgjbB0gVlqn-q5LMJbGIsqOrzru4yowQz67dz2yc"", ""'GPE'!BG3:BG139""),MATCH(D55,IMPORTRANGE(""1y0FWgjbB0gVlqn-q5LMJbGIsqOrzru4yowQz67dz2yc"", ""'GPE'!D3:D139""),0))"),8)</f>
        <v>8</v>
      </c>
      <c r="Z55" s="2">
        <f ca="1">IFERROR(__xludf.DUMMYFUNCTION("INDEX(IMPORTRANGE(""1y0FWgjbB0gVlqn-q5LMJbGIsqOrzru4yowQz67dz2yc"", ""'GPE'!BH3:BH139""),MATCH(D55,IMPORTRANGE(""1y0FWgjbB0gVlqn-q5LMJbGIsqOrzru4yowQz67dz2yc"", ""'GPE'!D3:D139""),0))"),8)</f>
        <v>8</v>
      </c>
      <c r="AA55" s="2">
        <f ca="1">IFERROR(__xludf.DUMMYFUNCTION("INDEX(IMPORTRANGE(""1y0FWgjbB0gVlqn-q5LMJbGIsqOrzru4yowQz67dz2yc"", ""'GPE'!BI3:BI139""),MATCH($D55,IMPORTRANGE(""1y0FWgjbB0gVlqn-q5LMJbGIsqOrzru4yowQz67dz2yc"", ""'GPE'!D3:D139""),0))"),8)</f>
        <v>8</v>
      </c>
      <c r="AB55" s="1"/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4"/>
      <c r="S56" s="4"/>
      <c r="T56" s="4"/>
      <c r="U56" s="4"/>
      <c r="V56" s="4"/>
      <c r="W56" s="4"/>
      <c r="X56" s="2">
        <v>0</v>
      </c>
      <c r="Y56" s="2">
        <f ca="1">IFERROR(__xludf.DUMMYFUNCTION("INDEX(IMPORTRANGE(""1y0FWgjbB0gVlqn-q5LMJbGIsqOrzru4yowQz67dz2yc"", ""'GPE'!BG3:BG139""),MATCH(D56,IMPORTRANGE(""1y0FWgjbB0gVlqn-q5LMJbGIsqOrzru4yowQz67dz2yc"", ""'GPE'!D3:D139""),0))"),1)</f>
        <v>1</v>
      </c>
      <c r="Z56" s="2">
        <f ca="1">IFERROR(__xludf.DUMMYFUNCTION("INDEX(IMPORTRANGE(""1y0FWgjbB0gVlqn-q5LMJbGIsqOrzru4yowQz67dz2yc"", ""'GPE'!BH3:BH139""),MATCH(D56,IMPORTRANGE(""1y0FWgjbB0gVlqn-q5LMJbGIsqOrzru4yowQz67dz2yc"", ""'GPE'!D3:D139""),0))"),1)</f>
        <v>1</v>
      </c>
      <c r="AA56" s="2">
        <f ca="1">IFERROR(__xludf.DUMMYFUNCTION("INDEX(IMPORTRANGE(""1y0FWgjbB0gVlqn-q5LMJbGIsqOrzru4yowQz67dz2yc"", ""'GPE'!BI3:BI139""),MATCH($D56,IMPORTRANGE(""1y0FWgjbB0gVlqn-q5LMJbGIsqOrzru4yowQz67dz2yc"", ""'GPE'!D3:D139""),0))"),1)</f>
        <v>1</v>
      </c>
      <c r="AB56" s="1"/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20">P56/P55</f>
        <v>0</v>
      </c>
      <c r="Q57" s="15">
        <f t="shared" si="20"/>
        <v>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</v>
      </c>
      <c r="Y57" s="15">
        <f ca="1">IFERROR(__xludf.DUMMYFUNCTION("INDEX(IMPORTRANGE(""1y0FWgjbB0gVlqn-q5LMJbGIsqOrzru4yowQz67dz2yc"", ""'GPE'!BG3:BG139""),MATCH(D57,IMPORTRANGE(""1y0FWgjbB0gVlqn-q5LMJbGIsqOrzru4yowQz67dz2yc"", ""'GPE'!D3:D139""),0))"),0.125)</f>
        <v>0.125</v>
      </c>
      <c r="Z57" s="15">
        <f ca="1">IFERROR(__xludf.DUMMYFUNCTION("INDEX(IMPORTRANGE(""1y0FWgjbB0gVlqn-q5LMJbGIsqOrzru4yowQz67dz2yc"", ""'GPE'!BH3:BH139""),MATCH(D57,IMPORTRANGE(""1y0FWgjbB0gVlqn-q5LMJbGIsqOrzru4yowQz67dz2yc"", ""'GPE'!D3:D139""),0))"),0.125)</f>
        <v>0.125</v>
      </c>
      <c r="AA57" s="15">
        <f ca="1">IFERROR(__xludf.DUMMYFUNCTION("INDEX(IMPORTRANGE(""1y0FWgjbB0gVlqn-q5LMJbGIsqOrzru4yowQz67dz2yc"", ""'GPE'!BI3:BI139""),MATCH($D57,IMPORTRANGE(""1y0FWgjbB0gVlqn-q5LMJbGIsqOrzru4yowQz67dz2yc"", ""'GPE'!D3:D139""),0))"),0.125)</f>
        <v>0.125</v>
      </c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54147</v>
      </c>
      <c r="Q58" s="12">
        <v>54147</v>
      </c>
      <c r="R58" s="4"/>
      <c r="S58" s="4"/>
      <c r="T58" s="4"/>
      <c r="U58" s="4"/>
      <c r="V58" s="4"/>
      <c r="W58" s="4"/>
      <c r="X58" s="12">
        <v>54150</v>
      </c>
      <c r="Y58" s="12">
        <f ca="1">IFERROR(__xludf.DUMMYFUNCTION("INDEX(IMPORTRANGE(""1y0FWgjbB0gVlqn-q5LMJbGIsqOrzru4yowQz67dz2yc"", ""'GPE'!BG3:BG139""),MATCH(D58,IMPORTRANGE(""1y0FWgjbB0gVlqn-q5LMJbGIsqOrzru4yowQz67dz2yc"", ""'GPE'!D3:D139""),0))"),54600)</f>
        <v>54600</v>
      </c>
      <c r="Z58" s="12">
        <f ca="1">IFERROR(__xludf.DUMMYFUNCTION("INDEX(IMPORTRANGE(""1y0FWgjbB0gVlqn-q5LMJbGIsqOrzru4yowQz67dz2yc"", ""'GPE'!BH3:BH139""),MATCH(D58,IMPORTRANGE(""1y0FWgjbB0gVlqn-q5LMJbGIsqOrzru4yowQz67dz2yc"", ""'GPE'!D3:D139""),0))"),54600)</f>
        <v>54600</v>
      </c>
      <c r="AA58" s="12">
        <f ca="1">IFERROR(__xludf.DUMMYFUNCTION("INDEX(IMPORTRANGE(""1y0FWgjbB0gVlqn-q5LMJbGIsqOrzru4yowQz67dz2yc"", ""'GPE'!BI3:BI139""),MATCH($D58,IMPORTRANGE(""1y0FWgjbB0gVlqn-q5LMJbGIsqOrzru4yowQz67dz2yc"", ""'GPE'!D3:D139""),0))"),54833)</f>
        <v>54833</v>
      </c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54597</v>
      </c>
      <c r="Q59" s="12">
        <v>54597</v>
      </c>
      <c r="R59" s="4"/>
      <c r="S59" s="4"/>
      <c r="T59" s="4"/>
      <c r="U59" s="4"/>
      <c r="V59" s="4"/>
      <c r="W59" s="4"/>
      <c r="X59" s="12">
        <v>54600</v>
      </c>
      <c r="Y59" s="12">
        <f ca="1">IFERROR(__xludf.DUMMYFUNCTION("INDEX(IMPORTRANGE(""1y0FWgjbB0gVlqn-q5LMJbGIsqOrzru4yowQz67dz2yc"", ""'GPE'!BG3:BG139""),MATCH(D59,IMPORTRANGE(""1y0FWgjbB0gVlqn-q5LMJbGIsqOrzru4yowQz67dz2yc"", ""'GPE'!D3:D139""),0))"),54600)</f>
        <v>54600</v>
      </c>
      <c r="Z59" s="12">
        <f ca="1">IFERROR(__xludf.DUMMYFUNCTION("INDEX(IMPORTRANGE(""1y0FWgjbB0gVlqn-q5LMJbGIsqOrzru4yowQz67dz2yc"", ""'GPE'!BH3:BH139""),MATCH(D59,IMPORTRANGE(""1y0FWgjbB0gVlqn-q5LMJbGIsqOrzru4yowQz67dz2yc"", ""'GPE'!D3:D139""),0))"),54600)</f>
        <v>54600</v>
      </c>
      <c r="AA59" s="12">
        <f ca="1">IFERROR(__xludf.DUMMYFUNCTION("INDEX(IMPORTRANGE(""1y0FWgjbB0gVlqn-q5LMJbGIsqOrzru4yowQz67dz2yc"", ""'GPE'!BI3:BI139""),MATCH($D59,IMPORTRANGE(""1y0FWgjbB0gVlqn-q5LMJbGIsqOrzru4yowQz67dz2yc"", ""'GPE'!D3:D139""),0))"),54833)</f>
        <v>54833</v>
      </c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21">P58/P59</f>
        <v>0.99175778888949939</v>
      </c>
      <c r="Q60" s="15">
        <f t="shared" si="21"/>
        <v>0.99175778888949939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0.99175824175824179</v>
      </c>
      <c r="Y60" s="15">
        <f ca="1">IFERROR(__xludf.DUMMYFUNCTION("INDEX(IMPORTRANGE(""1y0FWgjbB0gVlqn-q5LMJbGIsqOrzru4yowQz67dz2yc"", ""'GPE'!BG3:BG139""),MATCH(D60,IMPORTRANGE(""1y0FWgjbB0gVlqn-q5LMJbGIsqOrzru4yowQz67dz2yc"", ""'GPE'!D3:D139""),0))"),1)</f>
        <v>1</v>
      </c>
      <c r="Z60" s="15">
        <f ca="1">IFERROR(__xludf.DUMMYFUNCTION("INDEX(IMPORTRANGE(""1y0FWgjbB0gVlqn-q5LMJbGIsqOrzru4yowQz67dz2yc"", ""'GPE'!BH3:BH139""),MATCH(D60,IMPORTRANGE(""1y0FWgjbB0gVlqn-q5LMJbGIsqOrzru4yowQz67dz2yc"", ""'GPE'!D3:D139""),0))"),1)</f>
        <v>1</v>
      </c>
      <c r="AA60" s="15">
        <f ca="1">IFERROR(__xludf.DUMMYFUNCTION("INDEX(IMPORTRANGE(""1y0FWgjbB0gVlqn-q5LMJbGIsqOrzru4yowQz67dz2yc"", ""'GPE'!BI3:BI139""),MATCH($D60,IMPORTRANGE(""1y0FWgjbB0gVlqn-q5LMJbGIsqOrzru4yowQz67dz2yc"", ""'GPE'!D3:D139""),0))"),1)</f>
        <v>1</v>
      </c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181232</v>
      </c>
      <c r="Q61" s="12">
        <v>181232</v>
      </c>
      <c r="R61" s="4"/>
      <c r="S61" s="4"/>
      <c r="T61" s="4"/>
      <c r="U61" s="4"/>
      <c r="V61" s="4"/>
      <c r="W61" s="4"/>
      <c r="X61" s="12">
        <v>181232</v>
      </c>
      <c r="Y61" s="12">
        <f ca="1">IFERROR(__xludf.DUMMYFUNCTION("INDEX(IMPORTRANGE(""1y0FWgjbB0gVlqn-q5LMJbGIsqOrzru4yowQz67dz2yc"", ""'GPE'!BG3:BG139""),MATCH(D61,IMPORTRANGE(""1y0FWgjbB0gVlqn-q5LMJbGIsqOrzru4yowQz67dz2yc"", ""'GPE'!D3:D139""),0))"),195169)</f>
        <v>195169</v>
      </c>
      <c r="Z61" s="12">
        <f ca="1">IFERROR(__xludf.DUMMYFUNCTION("INDEX(IMPORTRANGE(""1y0FWgjbB0gVlqn-q5LMJbGIsqOrzru4yowQz67dz2yc"", ""'GPE'!BH3:BH139""),MATCH(D61,IMPORTRANGE(""1y0FWgjbB0gVlqn-q5LMJbGIsqOrzru4yowQz67dz2yc"", ""'GPE'!D3:D139""),0))"),195169)</f>
        <v>195169</v>
      </c>
      <c r="AA61" s="12">
        <f ca="1">IFERROR(__xludf.DUMMYFUNCTION("INDEX(IMPORTRANGE(""1y0FWgjbB0gVlqn-q5LMJbGIsqOrzru4yowQz67dz2yc"", ""'GPE'!BI3:BI139""),MATCH($D61,IMPORTRANGE(""1y0FWgjbB0gVlqn-q5LMJbGIsqOrzru4yowQz67dz2yc"", ""'GPE'!D3:D139""),0))"),195169)</f>
        <v>195169</v>
      </c>
      <c r="AB61" s="1"/>
      <c r="AC61" s="1"/>
    </row>
    <row r="62" spans="1:29">
      <c r="A62" s="7" t="s">
        <v>147</v>
      </c>
      <c r="B62" s="7" t="s">
        <v>168</v>
      </c>
      <c r="C62" s="1" t="s">
        <v>36</v>
      </c>
      <c r="D62" s="1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22">P61/P37</f>
        <v>1</v>
      </c>
      <c r="Q62" s="15">
        <f t="shared" si="22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14">
        <f ca="1">IFERROR(__xludf.DUMMYFUNCTION("INDEX(IMPORTRANGE(""1y0FWgjbB0gVlqn-q5LMJbGIsqOrzru4yowQz67dz2yc"", ""'GPE'!BG3:BG139""),MATCH(D62,IMPORTRANGE(""1y0FWgjbB0gVlqn-q5LMJbGIsqOrzru4yowQz67dz2yc"", ""'GPE'!D3:D139""),0))"),1)</f>
        <v>1</v>
      </c>
      <c r="Z62" s="15">
        <f ca="1">IFERROR(__xludf.DUMMYFUNCTION("INDEX(IMPORTRANGE(""1y0FWgjbB0gVlqn-q5LMJbGIsqOrzru4yowQz67dz2yc"", ""'GPE'!BH3:BH139""),MATCH(D62,IMPORTRANGE(""1y0FWgjbB0gVlqn-q5LMJbGIsqOrzru4yowQz67dz2yc"", ""'GPE'!D3:D139""),0))"),1)</f>
        <v>1</v>
      </c>
      <c r="AA62" s="14">
        <f ca="1">IFERROR(__xludf.DUMMYFUNCTION("INDEX(IMPORTRANGE(""1y0FWgjbB0gVlqn-q5LMJbGIsqOrzru4yowQz67dz2yc"", ""'GPE'!BI3:BI139""),MATCH($D62,IMPORTRANGE(""1y0FWgjbB0gVlqn-q5LMJbGIsqOrzru4yowQz67dz2yc"", ""'GPE'!D3:D139""),0))"),1)</f>
        <v>1</v>
      </c>
      <c r="AB62" s="1"/>
      <c r="AC62" s="1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22237400</v>
      </c>
      <c r="Q63" s="12">
        <v>22237400</v>
      </c>
      <c r="R63" s="4"/>
      <c r="S63" s="4"/>
      <c r="T63" s="4"/>
      <c r="U63" s="4"/>
      <c r="V63" s="4"/>
      <c r="W63" s="4"/>
      <c r="X63" s="12">
        <v>22237400</v>
      </c>
      <c r="Y63" s="12">
        <f ca="1">IFERROR(__xludf.DUMMYFUNCTION("INDEX(IMPORTRANGE(""1y0FWgjbB0gVlqn-q5LMJbGIsqOrzru4yowQz67dz2yc"", ""'GPE'!BG3:BG139""),MATCH(D63,IMPORTRANGE(""1y0FWgjbB0gVlqn-q5LMJbGIsqOrzru4yowQz67dz2yc"", ""'GPE'!D3:D139""),0))"),22238900)</f>
        <v>22238900</v>
      </c>
      <c r="Z63" s="12">
        <f ca="1">IFERROR(__xludf.DUMMYFUNCTION("INDEX(IMPORTRANGE(""1y0FWgjbB0gVlqn-q5LMJbGIsqOrzru4yowQz67dz2yc"", ""'GPE'!BH3:BH139""),MATCH(D63,IMPORTRANGE(""1y0FWgjbB0gVlqn-q5LMJbGIsqOrzru4yowQz67dz2yc"", ""'GPE'!D3:D139""),0))"),22238900)</f>
        <v>22238900</v>
      </c>
      <c r="AA63" s="12">
        <f ca="1">IFERROR(__xludf.DUMMYFUNCTION("INDEX(IMPORTRANGE(""1y0FWgjbB0gVlqn-q5LMJbGIsqOrzru4yowQz67dz2yc"", ""'GPE'!BI3:BI139""),MATCH($D63,IMPORTRANGE(""1y0FWgjbB0gVlqn-q5LMJbGIsqOrzru4yowQz67dz2yc"", ""'GPE'!D3:D139""),0))"),22238900)</f>
        <v>22238900</v>
      </c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7" t="s">
        <v>38</v>
      </c>
      <c r="F64" s="2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22238900</v>
      </c>
      <c r="Q64" s="12">
        <v>22238900</v>
      </c>
      <c r="R64" s="4"/>
      <c r="S64" s="4"/>
      <c r="T64" s="4"/>
      <c r="U64" s="4"/>
      <c r="V64" s="4"/>
      <c r="W64" s="4"/>
      <c r="X64" s="12">
        <v>22238900</v>
      </c>
      <c r="Y64" s="12">
        <f ca="1">IFERROR(__xludf.DUMMYFUNCTION("INDEX(IMPORTRANGE(""1y0FWgjbB0gVlqn-q5LMJbGIsqOrzru4yowQz67dz2yc"", ""'GPE'!BG3:BG139""),MATCH(D64,IMPORTRANGE(""1y0FWgjbB0gVlqn-q5LMJbGIsqOrzru4yowQz67dz2yc"", ""'GPE'!D3:D139""),0))"),22238900)</f>
        <v>22238900</v>
      </c>
      <c r="Z64" s="12">
        <f ca="1">IFERROR(__xludf.DUMMYFUNCTION("INDEX(IMPORTRANGE(""1y0FWgjbB0gVlqn-q5LMJbGIsqOrzru4yowQz67dz2yc"", ""'GPE'!BH3:BH139""),MATCH(D64,IMPORTRANGE(""1y0FWgjbB0gVlqn-q5LMJbGIsqOrzru4yowQz67dz2yc"", ""'GPE'!D3:D139""),0))"),22238900)</f>
        <v>22238900</v>
      </c>
      <c r="AA64" s="12">
        <f ca="1">IFERROR(__xludf.DUMMYFUNCTION("INDEX(IMPORTRANGE(""1y0FWgjbB0gVlqn-q5LMJbGIsqOrzru4yowQz67dz2yc"", ""'GPE'!BI3:BI139""),MATCH($D64,IMPORTRANGE(""1y0FWgjbB0gVlqn-q5LMJbGIsqOrzru4yowQz67dz2yc"", ""'GPE'!D3:D139""),0))"),22238900)</f>
        <v>22238900</v>
      </c>
      <c r="AB64" s="1"/>
      <c r="AC64" s="1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7" t="s">
        <v>38</v>
      </c>
      <c r="F65" s="2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23">P63/P64</f>
        <v>0.99993255062075914</v>
      </c>
      <c r="Q65" s="15">
        <f t="shared" si="23"/>
        <v>0.99993255062075914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0.99993255062075914</v>
      </c>
      <c r="Y65" s="15">
        <f ca="1">IFERROR(__xludf.DUMMYFUNCTION("INDEX(IMPORTRANGE(""1y0FWgjbB0gVlqn-q5LMJbGIsqOrzru4yowQz67dz2yc"", ""'GPE'!BG3:BG139""),MATCH(D65,IMPORTRANGE(""1y0FWgjbB0gVlqn-q5LMJbGIsqOrzru4yowQz67dz2yc"", ""'GPE'!D3:D139""),0))"),1)</f>
        <v>1</v>
      </c>
      <c r="Z65" s="15">
        <f ca="1">IFERROR(__xludf.DUMMYFUNCTION("INDEX(IMPORTRANGE(""1y0FWgjbB0gVlqn-q5LMJbGIsqOrzru4yowQz67dz2yc"", ""'GPE'!BH3:BH139""),MATCH(D65,IMPORTRANGE(""1y0FWgjbB0gVlqn-q5LMJbGIsqOrzru4yowQz67dz2yc"", ""'GPE'!D3:D139""),0))"),1)</f>
        <v>1</v>
      </c>
      <c r="AA65" s="15">
        <f ca="1">IFERROR(__xludf.DUMMYFUNCTION("INDEX(IMPORTRANGE(""1y0FWgjbB0gVlqn-q5LMJbGIsqOrzru4yowQz67dz2yc"", ""'GPE'!BI3:BI139""),MATCH($D65,IMPORTRANGE(""1y0FWgjbB0gVlqn-q5LMJbGIsqOrzru4yowQz67dz2yc"", ""'GPE'!D3:D139""),0))"),1)</f>
        <v>1</v>
      </c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7" t="s">
        <v>38</v>
      </c>
      <c r="F66" s="2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21815</v>
      </c>
      <c r="Q66" s="12">
        <v>21815</v>
      </c>
      <c r="R66" s="4"/>
      <c r="S66" s="4"/>
      <c r="T66" s="4"/>
      <c r="U66" s="4"/>
      <c r="V66" s="4"/>
      <c r="W66" s="4"/>
      <c r="X66" s="12">
        <v>21815</v>
      </c>
      <c r="Y66" s="12">
        <f ca="1">IFERROR(__xludf.DUMMYFUNCTION("INDEX(IMPORTRANGE(""1y0FWgjbB0gVlqn-q5LMJbGIsqOrzru4yowQz67dz2yc"", ""'GPE'!BG3:BG139""),MATCH(D66,IMPORTRANGE(""1y0FWgjbB0gVlqn-q5LMJbGIsqOrzru4yowQz67dz2yc"", ""'GPE'!D3:D139""),0))"),24075)</f>
        <v>24075</v>
      </c>
      <c r="Z66" s="12">
        <f ca="1">IFERROR(__xludf.DUMMYFUNCTION("INDEX(IMPORTRANGE(""1y0FWgjbB0gVlqn-q5LMJbGIsqOrzru4yowQz67dz2yc"", ""'GPE'!BH3:BH139""),MATCH(D66,IMPORTRANGE(""1y0FWgjbB0gVlqn-q5LMJbGIsqOrzru4yowQz67dz2yc"", ""'GPE'!D3:D139""),0))"),24075)</f>
        <v>24075</v>
      </c>
      <c r="AA66" s="12">
        <f ca="1">IFERROR(__xludf.DUMMYFUNCTION("INDEX(IMPORTRANGE(""1y0FWgjbB0gVlqn-q5LMJbGIsqOrzru4yowQz67dz2yc"", ""'GPE'!BI3:BI139""),MATCH($D66,IMPORTRANGE(""1y0FWgjbB0gVlqn-q5LMJbGIsqOrzru4yowQz67dz2yc"", ""'GPE'!D3:D139""),0))"),24075)</f>
        <v>24075</v>
      </c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7" t="s">
        <v>38</v>
      </c>
      <c r="F67" s="2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24075</v>
      </c>
      <c r="Q67" s="12">
        <v>24075</v>
      </c>
      <c r="R67" s="4"/>
      <c r="S67" s="4"/>
      <c r="T67" s="4"/>
      <c r="U67" s="4"/>
      <c r="V67" s="4"/>
      <c r="W67" s="4"/>
      <c r="X67" s="12">
        <v>24075</v>
      </c>
      <c r="Y67" s="12">
        <f ca="1">IFERROR(__xludf.DUMMYFUNCTION("INDEX(IMPORTRANGE(""1y0FWgjbB0gVlqn-q5LMJbGIsqOrzru4yowQz67dz2yc"", ""'GPE'!BG3:BG139""),MATCH(D67,IMPORTRANGE(""1y0FWgjbB0gVlqn-q5LMJbGIsqOrzru4yowQz67dz2yc"", ""'GPE'!D3:D139""),0))"),23975)</f>
        <v>23975</v>
      </c>
      <c r="Z67" s="12">
        <f ca="1">IFERROR(__xludf.DUMMYFUNCTION("INDEX(IMPORTRANGE(""1y0FWgjbB0gVlqn-q5LMJbGIsqOrzru4yowQz67dz2yc"", ""'GPE'!BH3:BH139""),MATCH(D67,IMPORTRANGE(""1y0FWgjbB0gVlqn-q5LMJbGIsqOrzru4yowQz67dz2yc"", ""'GPE'!D3:D139""),0))"),24075)</f>
        <v>24075</v>
      </c>
      <c r="AA67" s="12">
        <f ca="1">IFERROR(__xludf.DUMMYFUNCTION("INDEX(IMPORTRANGE(""1y0FWgjbB0gVlqn-q5LMJbGIsqOrzru4yowQz67dz2yc"", ""'GPE'!BI3:BI139""),MATCH($D67,IMPORTRANGE(""1y0FWgjbB0gVlqn-q5LMJbGIsqOrzru4yowQz67dz2yc"", ""'GPE'!D3:D139""),0))"),24075)</f>
        <v>24075</v>
      </c>
      <c r="AB67" s="1"/>
      <c r="AC67" s="1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7" t="s">
        <v>38</v>
      </c>
      <c r="F68" s="2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24">P66/P67</f>
        <v>0.90612668743509861</v>
      </c>
      <c r="Q68" s="15">
        <f t="shared" si="24"/>
        <v>0.90612668743509861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0.90612668743509861</v>
      </c>
      <c r="Y68" s="19">
        <f ca="1">IFERROR(__xludf.DUMMYFUNCTION("INDEX(IMPORTRANGE(""1y0FWgjbB0gVlqn-q5LMJbGIsqOrzru4yowQz67dz2yc"", ""'GPE'!BG3:BG139""),MATCH(D68,IMPORTRANGE(""1y0FWgjbB0gVlqn-q5LMJbGIsqOrzru4yowQz67dz2yc"", ""'GPE'!D3:D139""),0))"),1.00417101147028)</f>
        <v>1.00417101147028</v>
      </c>
      <c r="Z68" s="15">
        <f ca="1">IFERROR(__xludf.DUMMYFUNCTION("INDEX(IMPORTRANGE(""1y0FWgjbB0gVlqn-q5LMJbGIsqOrzru4yowQz67dz2yc"", ""'GPE'!BH3:BH139""),MATCH(D68,IMPORTRANGE(""1y0FWgjbB0gVlqn-q5LMJbGIsqOrzru4yowQz67dz2yc"", ""'GPE'!D3:D139""),0))"),1)</f>
        <v>1</v>
      </c>
      <c r="AA68" s="15">
        <f ca="1">IFERROR(__xludf.DUMMYFUNCTION("INDEX(IMPORTRANGE(""1y0FWgjbB0gVlqn-q5LMJbGIsqOrzru4yowQz67dz2yc"", ""'GPE'!BI3:BI139""),MATCH($D68,IMPORTRANGE(""1y0FWgjbB0gVlqn-q5LMJbGIsqOrzru4yowQz67dz2yc"", ""'GPE'!D3:D139""),0))"),1)</f>
        <v>1</v>
      </c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2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4">
        <v>0</v>
      </c>
      <c r="Q69" s="24">
        <v>5.4640000000000004</v>
      </c>
      <c r="R69" s="2"/>
      <c r="S69" s="2"/>
      <c r="T69" s="2"/>
      <c r="U69" s="2"/>
      <c r="V69" s="2"/>
      <c r="W69" s="2"/>
      <c r="X69" s="24">
        <v>25.54</v>
      </c>
      <c r="Y69" s="24">
        <f ca="1">IFERROR(__xludf.DUMMYFUNCTION("INDEX(IMPORTRANGE(""1y0FWgjbB0gVlqn-q5LMJbGIsqOrzru4yowQz67dz2yc"", ""'GPE'!BG3:BG139""),MATCH(D69,IMPORTRANGE(""1y0FWgjbB0gVlqn-q5LMJbGIsqOrzru4yowQz67dz2yc"", ""'GPE'!D3:D139""),0))"),51.6009999999999)</f>
        <v>51.6009999999999</v>
      </c>
      <c r="Z69" s="24">
        <f ca="1">IFERROR(__xludf.DUMMYFUNCTION("INDEX(IMPORTRANGE(""1y0FWgjbB0gVlqn-q5LMJbGIsqOrzru4yowQz67dz2yc"", ""'GPE'!BH3:BH139""),MATCH(D69,IMPORTRANGE(""1y0FWgjbB0gVlqn-q5LMJbGIsqOrzru4yowQz67dz2yc"", ""'GPE'!D3:D139""),0))"),41.851)</f>
        <v>41.850999999999999</v>
      </c>
      <c r="AA69" s="24">
        <f ca="1">IFERROR(__xludf.DUMMYFUNCTION("INDEX(IMPORTRANGE(""1y0FWgjbB0gVlqn-q5LMJbGIsqOrzru4yowQz67dz2yc"", ""'GPE'!BI3:BI139""),MATCH($D69,IMPORTRANGE(""1y0FWgjbB0gVlqn-q5LMJbGIsqOrzru4yowQz67dz2yc"", ""'GPE'!D3:D139""),0))"),74.303)</f>
        <v>74.302999999999997</v>
      </c>
      <c r="AB69" s="1"/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2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0</v>
      </c>
      <c r="R70" s="2"/>
      <c r="S70" s="2"/>
      <c r="T70" s="2"/>
      <c r="U70" s="2"/>
      <c r="V70" s="2"/>
      <c r="W70" s="2"/>
      <c r="X70" s="23">
        <v>0</v>
      </c>
      <c r="Y70" s="12">
        <f ca="1">IFERROR(__xludf.DUMMYFUNCTION("INDEX(IMPORTRANGE(""1y0FWgjbB0gVlqn-q5LMJbGIsqOrzru4yowQz67dz2yc"", ""'GPE'!BG3:BG139""),MATCH(D70,IMPORTRANGE(""1y0FWgjbB0gVlqn-q5LMJbGIsqOrzru4yowQz67dz2yc"", ""'GPE'!D3:D139""),0))"),0.287)</f>
        <v>0.28699999999999998</v>
      </c>
      <c r="Z70" s="23">
        <f ca="1">IFERROR(__xludf.DUMMYFUNCTION("INDEX(IMPORTRANGE(""1y0FWgjbB0gVlqn-q5LMJbGIsqOrzru4yowQz67dz2yc"", ""'GPE'!BH3:BH139""),MATCH(D70,IMPORTRANGE(""1y0FWgjbB0gVlqn-q5LMJbGIsqOrzru4yowQz67dz2yc"", ""'GPE'!D3:D139""),0))"),0)</f>
        <v>0</v>
      </c>
      <c r="AA70" s="12">
        <f ca="1">IFERROR(__xludf.DUMMYFUNCTION("INDEX(IMPORTRANGE(""1y0FWgjbB0gVlqn-q5LMJbGIsqOrzru4yowQz67dz2yc"", ""'GPE'!BI3:BI139""),MATCH($D70,IMPORTRANGE(""1y0FWgjbB0gVlqn-q5LMJbGIsqOrzru4yowQz67dz2yc"", ""'GPE'!D3:D139""),0))"),0)</f>
        <v>0</v>
      </c>
      <c r="AB70" s="1"/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2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4"/>
      <c r="S71" s="4"/>
      <c r="T71" s="4"/>
      <c r="U71" s="4"/>
      <c r="V71" s="4"/>
      <c r="W71" s="4"/>
      <c r="X71" s="12">
        <v>0</v>
      </c>
      <c r="Y71" s="12" t="str">
        <f ca="1">IFERROR(__xludf.DUMMYFUNCTION("INDEX(IMPORTRANGE(""1y0FWgjbB0gVlqn-q5LMJbGIsqOrzru4yowQz67dz2yc"", ""'GPE'!BG3:BG139""),MATCH(D71,IMPORTRANGE(""1y0FWgjbB0gVlqn-q5LMJbGIsqOrzru4yowQz67dz2yc"", ""'GPE'!D3:D139""),0))"),"")</f>
        <v/>
      </c>
      <c r="Z71" s="356" t="str">
        <f ca="1">IFERROR(__xludf.DUMMYFUNCTION("INDEX(IMPORTRANGE(""1y0FWgjbB0gVlqn-q5LMJbGIsqOrzru4yowQz67dz2yc"", ""'GPE'!BH3:BH139""),MATCH(D71,IMPORTRANGE(""1y0FWgjbB0gVlqn-q5LMJbGIsqOrzru4yowQz67dz2yc"", ""'GPE'!D3:D139""),0))"),"https://drive.google.com/file/d/1SEXk5kaupXSsvPprnP5YKifuESSxYTUq/view?usp=sharing")</f>
        <v>https://drive.google.com/file/d/1SEXk5kaupXSsvPprnP5YKifuESSxYTUq/view?usp=sharing</v>
      </c>
      <c r="AA71" s="12" t="str">
        <f ca="1">IFERROR(__xludf.DUMMYFUNCTION("INDEX(IMPORTRANGE(""1y0FWgjbB0gVlqn-q5LMJbGIsqOrzru4yowQz67dz2yc"", ""'GPE'!BI3:BI139""),MATCH($D71,IMPORTRANGE(""1y0FWgjbB0gVlqn-q5LMJbGIsqOrzru4yowQz67dz2yc"", ""'GPE'!D3:D139""),0))"),"")</f>
        <v/>
      </c>
      <c r="AB71" s="1"/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2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v>0</v>
      </c>
      <c r="Q72" s="23">
        <v>5.4640000000000004</v>
      </c>
      <c r="R72" s="2">
        <v>10.1</v>
      </c>
      <c r="S72" s="2">
        <v>10</v>
      </c>
      <c r="T72" s="2">
        <v>10.1</v>
      </c>
      <c r="U72" s="2">
        <v>10</v>
      </c>
      <c r="V72" s="2">
        <v>10.1</v>
      </c>
      <c r="W72" s="2">
        <v>60.3</v>
      </c>
      <c r="X72" s="23">
        <v>25.54</v>
      </c>
      <c r="Y72" s="12">
        <f ca="1">IFERROR(__xludf.DUMMYFUNCTION("INDEX(IMPORTRANGE(""1y0FWgjbB0gVlqn-q5LMJbGIsqOrzru4yowQz67dz2yc"", ""'GPE'!BG3:BG139""),MATCH(D72,IMPORTRANGE(""1y0FWgjbB0gVlqn-q5LMJbGIsqOrzru4yowQz67dz2yc"", ""'GPE'!D3:D139""),0))"),51.8879999999999)</f>
        <v>51.887999999999899</v>
      </c>
      <c r="Z72" s="23">
        <f ca="1">IFERROR(__xludf.DUMMYFUNCTION("INDEX(IMPORTRANGE(""1y0FWgjbB0gVlqn-q5LMJbGIsqOrzru4yowQz67dz2yc"", ""'GPE'!BH3:BH139""),MATCH(D72,IMPORTRANGE(""1y0FWgjbB0gVlqn-q5LMJbGIsqOrzru4yowQz67dz2yc"", ""'GPE'!D3:D139""),0))"),41.851)</f>
        <v>41.850999999999999</v>
      </c>
      <c r="AA72" s="12">
        <f ca="1">IFERROR(__xludf.DUMMYFUNCTION("INDEX(IMPORTRANGE(""1y0FWgjbB0gVlqn-q5LMJbGIsqOrzru4yowQz67dz2yc"", ""'GPE'!BI3:BI139""),MATCH($D72,IMPORTRANGE(""1y0FWgjbB0gVlqn-q5LMJbGIsqOrzru4yowQz67dz2yc"", ""'GPE'!D3:D139""),0))"),74.303)</f>
        <v>74.302999999999997</v>
      </c>
      <c r="AB72" s="1"/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2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13.875</v>
      </c>
      <c r="Q73" s="23">
        <v>13.875</v>
      </c>
      <c r="R73" s="2">
        <v>1.5</v>
      </c>
      <c r="S73" s="2">
        <v>1.73</v>
      </c>
      <c r="T73" s="2">
        <v>2.5299999999999998</v>
      </c>
      <c r="U73" s="2">
        <v>3.03</v>
      </c>
      <c r="V73" s="2">
        <v>7.66</v>
      </c>
      <c r="W73" s="2">
        <v>7.66</v>
      </c>
      <c r="X73" s="23">
        <v>13.875</v>
      </c>
      <c r="Y73" s="32">
        <f ca="1">IFERROR(__xludf.DUMMYFUNCTION("INDEX(IMPORTRANGE(""1y0FWgjbB0gVlqn-q5LMJbGIsqOrzru4yowQz67dz2yc"", ""'GPE'!BG3:BG139""),MATCH(D73,IMPORTRANGE(""1y0FWgjbB0gVlqn-q5LMJbGIsqOrzru4yowQz67dz2yc"", ""'GPE'!D3:D139""),0))"),1.86)</f>
        <v>1.86</v>
      </c>
      <c r="Z73" s="23">
        <f ca="1">IFERROR(__xludf.DUMMYFUNCTION("INDEX(IMPORTRANGE(""1y0FWgjbB0gVlqn-q5LMJbGIsqOrzru4yowQz67dz2yc"", ""'GPE'!BH3:BH139""),MATCH(D73,IMPORTRANGE(""1y0FWgjbB0gVlqn-q5LMJbGIsqOrzru4yowQz67dz2yc"", ""'GPE'!D3:D139""),0))"),3.82)</f>
        <v>3.82</v>
      </c>
      <c r="AA73" s="32">
        <f ca="1">IFERROR(__xludf.DUMMYFUNCTION("INDEX(IMPORTRANGE(""1y0FWgjbB0gVlqn-q5LMJbGIsqOrzru4yowQz67dz2yc"", ""'GPE'!BI3:BI139""),MATCH($D73,IMPORTRANGE(""1y0FWgjbB0gVlqn-q5LMJbGIsqOrzru4yowQz67dz2yc"", ""'GPE'!D3:D139""),0))"),2.72)</f>
        <v>2.72</v>
      </c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2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10</v>
      </c>
      <c r="Y74" s="12">
        <f ca="1">IFERROR(__xludf.DUMMYFUNCTION("INDEX(IMPORTRANGE(""1y0FWgjbB0gVlqn-q5LMJbGIsqOrzru4yowQz67dz2yc"", ""'GPE'!BG3:BG139""),MATCH(D74,IMPORTRANGE(""1y0FWgjbB0gVlqn-q5LMJbGIsqOrzru4yowQz67dz2yc"", ""'GPE'!D3:D139""),0))"),18703)</f>
        <v>18703</v>
      </c>
      <c r="Z74" s="2">
        <f ca="1">IFERROR(__xludf.DUMMYFUNCTION("INDEX(IMPORTRANGE(""1y0FWgjbB0gVlqn-q5LMJbGIsqOrzru4yowQz67dz2yc"", ""'GPE'!BH3:BH139""),MATCH(D74,IMPORTRANGE(""1y0FWgjbB0gVlqn-q5LMJbGIsqOrzru4yowQz67dz2yc"", ""'GPE'!D3:D139""),0))"),0)</f>
        <v>0</v>
      </c>
      <c r="AA74" s="12">
        <f ca="1">IFERROR(__xludf.DUMMYFUNCTION("INDEX(IMPORTRANGE(""1y0FWgjbB0gVlqn-q5LMJbGIsqOrzru4yowQz67dz2yc"", ""'GPE'!BI3:BI139""),MATCH($D74,IMPORTRANGE(""1y0FWgjbB0gVlqn-q5LMJbGIsqOrzru4yowQz67dz2yc"", ""'GPE'!D3:D139""),0))"),280)</f>
        <v>280</v>
      </c>
      <c r="AB74" s="1"/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2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2"/>
      <c r="S75" s="2"/>
      <c r="T75" s="2"/>
      <c r="U75" s="2"/>
      <c r="V75" s="2"/>
      <c r="W75" s="2"/>
      <c r="X75" s="2">
        <v>80</v>
      </c>
      <c r="Y75" s="12">
        <f ca="1">IFERROR(__xludf.DUMMYFUNCTION("INDEX(IMPORTRANGE(""1y0FWgjbB0gVlqn-q5LMJbGIsqOrzru4yowQz67dz2yc"", ""'GPE'!BG3:BG139""),MATCH(D75,IMPORTRANGE(""1y0FWgjbB0gVlqn-q5LMJbGIsqOrzru4yowQz67dz2yc"", ""'GPE'!D3:D139""),0))"),80)</f>
        <v>80</v>
      </c>
      <c r="Z75" s="2">
        <f ca="1">IFERROR(__xludf.DUMMYFUNCTION("INDEX(IMPORTRANGE(""1y0FWgjbB0gVlqn-q5LMJbGIsqOrzru4yowQz67dz2yc"", ""'GPE'!BH3:BH139""),MATCH(D75,IMPORTRANGE(""1y0FWgjbB0gVlqn-q5LMJbGIsqOrzru4yowQz67dz2yc"", ""'GPE'!D3:D139""),0))"),9295)</f>
        <v>9295</v>
      </c>
      <c r="AA75" s="12">
        <f ca="1">IFERROR(__xludf.DUMMYFUNCTION("INDEX(IMPORTRANGE(""1y0FWgjbB0gVlqn-q5LMJbGIsqOrzru4yowQz67dz2yc"", ""'GPE'!BI3:BI139""),MATCH($D75,IMPORTRANGE(""1y0FWgjbB0gVlqn-q5LMJbGIsqOrzru4yowQz67dz2yc"", ""'GPE'!D3:D139""),0))"),26680)</f>
        <v>26680</v>
      </c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2"/>
      <c r="S76" s="2"/>
      <c r="T76" s="2"/>
      <c r="U76" s="2"/>
      <c r="V76" s="2"/>
      <c r="W76" s="2"/>
      <c r="X76" s="2">
        <v>193</v>
      </c>
      <c r="Y76" s="12">
        <f ca="1">IFERROR(__xludf.DUMMYFUNCTION("INDEX(IMPORTRANGE(""1y0FWgjbB0gVlqn-q5LMJbGIsqOrzru4yowQz67dz2yc"", ""'GPE'!BG3:BG139""),MATCH(D76,IMPORTRANGE(""1y0FWgjbB0gVlqn-q5LMJbGIsqOrzru4yowQz67dz2yc"", ""'GPE'!D3:D139""),0))"),193)</f>
        <v>193</v>
      </c>
      <c r="Z76" s="2">
        <f ca="1">IFERROR(__xludf.DUMMYFUNCTION("INDEX(IMPORTRANGE(""1y0FWgjbB0gVlqn-q5LMJbGIsqOrzru4yowQz67dz2yc"", ""'GPE'!BH3:BH139""),MATCH(D76,IMPORTRANGE(""1y0FWgjbB0gVlqn-q5LMJbGIsqOrzru4yowQz67dz2yc"", ""'GPE'!D3:D139""),0))"),0)</f>
        <v>0</v>
      </c>
      <c r="AA76" s="12">
        <f ca="1">IFERROR(__xludf.DUMMYFUNCTION("INDEX(IMPORTRANGE(""1y0FWgjbB0gVlqn-q5LMJbGIsqOrzru4yowQz67dz2yc"", ""'GPE'!BI3:BI139""),MATCH($D76,IMPORTRANGE(""1y0FWgjbB0gVlqn-q5LMJbGIsqOrzru4yowQz67dz2yc"", ""'GPE'!D3:D139""),0))"),0)</f>
        <v>0</v>
      </c>
      <c r="AB76" s="1"/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6">
        <v>16667</v>
      </c>
      <c r="S77" s="6">
        <v>8333</v>
      </c>
      <c r="T77" s="6">
        <v>16667</v>
      </c>
      <c r="U77" s="6">
        <v>8333</v>
      </c>
      <c r="V77" s="6">
        <v>16667</v>
      </c>
      <c r="W77" s="4">
        <v>50000</v>
      </c>
      <c r="X77" s="2">
        <v>283</v>
      </c>
      <c r="Y77" s="12">
        <f ca="1">IFERROR(__xludf.DUMMYFUNCTION("INDEX(IMPORTRANGE(""1y0FWgjbB0gVlqn-q5LMJbGIsqOrzru4yowQz67dz2yc"", ""'GPE'!BG3:BG139""),MATCH(D77,IMPORTRANGE(""1y0FWgjbB0gVlqn-q5LMJbGIsqOrzru4yowQz67dz2yc"", ""'GPE'!D3:D139""),0))"),18976)</f>
        <v>18976</v>
      </c>
      <c r="Z77" s="2">
        <f ca="1">IFERROR(__xludf.DUMMYFUNCTION("INDEX(IMPORTRANGE(""1y0FWgjbB0gVlqn-q5LMJbGIsqOrzru4yowQz67dz2yc"", ""'GPE'!BH3:BH139""),MATCH(D77,IMPORTRANGE(""1y0FWgjbB0gVlqn-q5LMJbGIsqOrzru4yowQz67dz2yc"", ""'GPE'!D3:D139""),0))"),9295)</f>
        <v>9295</v>
      </c>
      <c r="AA77" s="12">
        <f ca="1">IFERROR(__xludf.DUMMYFUNCTION("INDEX(IMPORTRANGE(""1y0FWgjbB0gVlqn-q5LMJbGIsqOrzru4yowQz67dz2yc"", ""'GPE'!BI3:BI139""),MATCH($D77,IMPORTRANGE(""1y0FWgjbB0gVlqn-q5LMJbGIsqOrzru4yowQz67dz2yc"", ""'GPE'!D3:D139""),0))"),26960)</f>
        <v>26960</v>
      </c>
      <c r="AB77" s="1"/>
      <c r="AC77" s="1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36">
        <v>74396545.189999998</v>
      </c>
      <c r="Q78" s="36">
        <v>74396545.189999998</v>
      </c>
      <c r="R78" s="4"/>
      <c r="S78" s="4"/>
      <c r="T78" s="4"/>
      <c r="U78" s="4"/>
      <c r="V78" s="4"/>
      <c r="W78" s="4"/>
      <c r="X78" s="36">
        <v>74396545.189999998</v>
      </c>
      <c r="Y78" s="178" t="str">
        <f ca="1">IFERROR(__xludf.DUMMYFUNCTION("INDEX(IMPORTRANGE(""1y0FWgjbB0gVlqn-q5LMJbGIsqOrzru4yowQz67dz2yc"", ""'GPE'!BG3:BG139""),MATCH(D78,IMPORTRANGE(""1y0FWgjbB0gVlqn-q5LMJbGIsqOrzru4yowQz67dz2yc"", ""'GPE'!D3:D139""),0))"),"")</f>
        <v/>
      </c>
      <c r="Z78" s="36">
        <f ca="1">IFERROR(__xludf.DUMMYFUNCTION("INDEX(IMPORTRANGE(""1y0FWgjbB0gVlqn-q5LMJbGIsqOrzru4yowQz67dz2yc"", ""'GPE'!BH3:BH139""),MATCH(D78,IMPORTRANGE(""1y0FWgjbB0gVlqn-q5LMJbGIsqOrzru4yowQz67dz2yc"", ""'GPE'!D3:D139""),0))"),120965911.7552)</f>
        <v>120965911.7552</v>
      </c>
      <c r="AA78" s="178" t="str">
        <f ca="1">IFERROR(__xludf.DUMMYFUNCTION("INDEX(IMPORTRANGE(""1y0FWgjbB0gVlqn-q5LMJbGIsqOrzru4yowQz67dz2yc"", ""'GPE'!BI3:BI139""),MATCH($D78,IMPORTRANGE(""1y0FWgjbB0gVlqn-q5LMJbGIsqOrzru4yowQz67dz2yc"", ""'GPE'!D3:D139""),0))"),"")</f>
        <v/>
      </c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36">
        <v>10029809.779999999</v>
      </c>
      <c r="Q79" s="36">
        <v>10029809.779999999</v>
      </c>
      <c r="R79" s="4"/>
      <c r="S79" s="4"/>
      <c r="T79" s="4"/>
      <c r="U79" s="4"/>
      <c r="V79" s="4"/>
      <c r="W79" s="4"/>
      <c r="X79" s="36">
        <v>10029809.779999999</v>
      </c>
      <c r="Y79" s="178" t="str">
        <f ca="1">IFERROR(__xludf.DUMMYFUNCTION("INDEX(IMPORTRANGE(""1y0FWgjbB0gVlqn-q5LMJbGIsqOrzru4yowQz67dz2yc"", ""'GPE'!BG3:BG139""),MATCH(D79,IMPORTRANGE(""1y0FWgjbB0gVlqn-q5LMJbGIsqOrzru4yowQz67dz2yc"", ""'GPE'!D3:D139""),0))"),"")</f>
        <v/>
      </c>
      <c r="Z79" s="36">
        <f ca="1">IFERROR(__xludf.DUMMYFUNCTION("INDEX(IMPORTRANGE(""1y0FWgjbB0gVlqn-q5LMJbGIsqOrzru4yowQz67dz2yc"", ""'GPE'!BH3:BH139""),MATCH(D79,IMPORTRANGE(""1y0FWgjbB0gVlqn-q5LMJbGIsqOrzru4yowQz67dz2yc"", ""'GPE'!D3:D139""),0))"),82531626.058)</f>
        <v>82531626.057999998</v>
      </c>
      <c r="AA79" s="178" t="str">
        <f ca="1">IFERROR(__xludf.DUMMYFUNCTION("INDEX(IMPORTRANGE(""1y0FWgjbB0gVlqn-q5LMJbGIsqOrzru4yowQz67dz2yc"", ""'GPE'!BI3:BI139""),MATCH($D79,IMPORTRANGE(""1y0FWgjbB0gVlqn-q5LMJbGIsqOrzru4yowQz67dz2yc"", ""'GPE'!D3:D139""),0))"),"")</f>
        <v/>
      </c>
      <c r="AB79" s="1"/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15">
        <f t="shared" ref="P80:Q80" si="25">P79/P78</f>
        <v>0.13481553147911707</v>
      </c>
      <c r="Q80" s="15">
        <f t="shared" si="25"/>
        <v>0.13481553147911707</v>
      </c>
      <c r="R80" s="2"/>
      <c r="S80" s="15">
        <v>0.13500000000000001</v>
      </c>
      <c r="T80" s="2"/>
      <c r="U80" s="15">
        <v>0.27</v>
      </c>
      <c r="V80" s="14">
        <v>0.4</v>
      </c>
      <c r="W80" s="14">
        <v>0.4</v>
      </c>
      <c r="X80" s="15">
        <f>X79/X78</f>
        <v>0.13481553147911707</v>
      </c>
      <c r="Y80" s="38" t="str">
        <f ca="1">IFERROR(__xludf.DUMMYFUNCTION("INDEX(IMPORTRANGE(""1y0FWgjbB0gVlqn-q5LMJbGIsqOrzru4yowQz67dz2yc"", ""'GPE'!BG3:BG139""),MATCH(D80,IMPORTRANGE(""1y0FWgjbB0gVlqn-q5LMJbGIsqOrzru4yowQz67dz2yc"", ""'GPE'!D3:D139""),0))"),"")</f>
        <v/>
      </c>
      <c r="Z80" s="15">
        <f ca="1">IFERROR(__xludf.DUMMYFUNCTION("INDEX(IMPORTRANGE(""1y0FWgjbB0gVlqn-q5LMJbGIsqOrzru4yowQz67dz2yc"", ""'GPE'!BH3:BH139""),MATCH(D80,IMPORTRANGE(""1y0FWgjbB0gVlqn-q5LMJbGIsqOrzru4yowQz67dz2yc"", ""'GPE'!D3:D139""),0))"),0.682271764503541)</f>
        <v>0.68227176450354099</v>
      </c>
      <c r="AA80" s="38" t="str">
        <f ca="1">IFERROR(__xludf.DUMMYFUNCTION("INDEX(IMPORTRANGE(""1y0FWgjbB0gVlqn-q5LMJbGIsqOrzru4yowQz67dz2yc"", ""'GPE'!BI3:BI139""),MATCH($D80,IMPORTRANGE(""1y0FWgjbB0gVlqn-q5LMJbGIsqOrzru4yowQz67dz2yc"", ""'GPE'!D3:D139""),0))"),"")</f>
        <v/>
      </c>
      <c r="AB80" s="1"/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2">
        <v>0</v>
      </c>
      <c r="Q81" s="2">
        <v>0</v>
      </c>
      <c r="R81" s="2"/>
      <c r="S81" s="2"/>
      <c r="T81" s="2"/>
      <c r="U81" s="2"/>
      <c r="V81" s="2"/>
      <c r="W81" s="2"/>
      <c r="X81" s="2">
        <v>0</v>
      </c>
      <c r="Y81" s="12">
        <f ca="1">IFERROR(__xludf.DUMMYFUNCTION("INDEX(IMPORTRANGE(""1y0FWgjbB0gVlqn-q5LMJbGIsqOrzru4yowQz67dz2yc"", ""'GPE'!BG3:BG139""),MATCH(D81,IMPORTRANGE(""1y0FWgjbB0gVlqn-q5LMJbGIsqOrzru4yowQz67dz2yc"", ""'GPE'!D3:D139""),0))"),5)</f>
        <v>5</v>
      </c>
      <c r="Z81" s="2">
        <f ca="1">IFERROR(__xludf.DUMMYFUNCTION("INDEX(IMPORTRANGE(""1y0FWgjbB0gVlqn-q5LMJbGIsqOrzru4yowQz67dz2yc"", ""'GPE'!BH3:BH139""),MATCH(D81,IMPORTRANGE(""1y0FWgjbB0gVlqn-q5LMJbGIsqOrzru4yowQz67dz2yc"", ""'GPE'!D3:D139""),0))"),0)</f>
        <v>0</v>
      </c>
      <c r="AA81" s="12">
        <f ca="1">IFERROR(__xludf.DUMMYFUNCTION("INDEX(IMPORTRANGE(""1y0FWgjbB0gVlqn-q5LMJbGIsqOrzru4yowQz67dz2yc"", ""'GPE'!BI3:BI139""),MATCH($D81,IMPORTRANGE(""1y0FWgjbB0gVlqn-q5LMJbGIsqOrzru4yowQz67dz2yc"", ""'GPE'!D3:D139""),0))"),0)</f>
        <v>0</v>
      </c>
      <c r="AB81" s="1"/>
      <c r="AC81" s="1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2">
        <v>0</v>
      </c>
      <c r="Q82" s="2">
        <v>0</v>
      </c>
      <c r="R82" s="2"/>
      <c r="S82" s="2"/>
      <c r="T82" s="2"/>
      <c r="U82" s="2"/>
      <c r="V82" s="2"/>
      <c r="W82" s="2"/>
      <c r="X82" s="2">
        <v>22</v>
      </c>
      <c r="Y82" s="12">
        <f ca="1">IFERROR(__xludf.DUMMYFUNCTION("INDEX(IMPORTRANGE(""1y0FWgjbB0gVlqn-q5LMJbGIsqOrzru4yowQz67dz2yc"", ""'GPE'!BG3:BG139""),MATCH(D82,IMPORTRANGE(""1y0FWgjbB0gVlqn-q5LMJbGIsqOrzru4yowQz67dz2yc"", ""'GPE'!D3:D139""),0))"),40)</f>
        <v>40</v>
      </c>
      <c r="Z82" s="2">
        <f ca="1">IFERROR(__xludf.DUMMYFUNCTION("INDEX(IMPORTRANGE(""1y0FWgjbB0gVlqn-q5LMJbGIsqOrzru4yowQz67dz2yc"", ""'GPE'!BH3:BH139""),MATCH(D82,IMPORTRANGE(""1y0FWgjbB0gVlqn-q5LMJbGIsqOrzru4yowQz67dz2yc"", ""'GPE'!D3:D139""),0))"),17)</f>
        <v>17</v>
      </c>
      <c r="AA82" s="12">
        <f ca="1">IFERROR(__xludf.DUMMYFUNCTION("INDEX(IMPORTRANGE(""1y0FWgjbB0gVlqn-q5LMJbGIsqOrzru4yowQz67dz2yc"", ""'GPE'!BI3:BI139""),MATCH($D82,IMPORTRANGE(""1y0FWgjbB0gVlqn-q5LMJbGIsqOrzru4yowQz67dz2yc"", ""'GPE'!D3:D139""),0))"),50)</f>
        <v>50</v>
      </c>
      <c r="AB82" s="1"/>
      <c r="AC82" s="1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2">
        <f t="shared" ref="P83:Q83" si="26">P81+P82</f>
        <v>0</v>
      </c>
      <c r="Q83" s="2">
        <f t="shared" si="26"/>
        <v>0</v>
      </c>
      <c r="R83" s="4">
        <v>8</v>
      </c>
      <c r="S83" s="4">
        <v>8</v>
      </c>
      <c r="T83" s="4">
        <v>8</v>
      </c>
      <c r="U83" s="4">
        <v>8</v>
      </c>
      <c r="V83" s="4">
        <v>8</v>
      </c>
      <c r="W83" s="4">
        <v>40</v>
      </c>
      <c r="X83" s="2">
        <f>X81+X82</f>
        <v>22</v>
      </c>
      <c r="Y83" s="12">
        <f ca="1">IFERROR(__xludf.DUMMYFUNCTION("INDEX(IMPORTRANGE(""1y0FWgjbB0gVlqn-q5LMJbGIsqOrzru4yowQz67dz2yc"", ""'GPE'!BG3:BG139""),MATCH(D83,IMPORTRANGE(""1y0FWgjbB0gVlqn-q5LMJbGIsqOrzru4yowQz67dz2yc"", ""'GPE'!D3:D139""),0))"),45)</f>
        <v>45</v>
      </c>
      <c r="Z83" s="2">
        <f ca="1">IFERROR(__xludf.DUMMYFUNCTION("INDEX(IMPORTRANGE(""1y0FWgjbB0gVlqn-q5LMJbGIsqOrzru4yowQz67dz2yc"", ""'GPE'!BH3:BH139""),MATCH(D83,IMPORTRANGE(""1y0FWgjbB0gVlqn-q5LMJbGIsqOrzru4yowQz67dz2yc"", ""'GPE'!D3:D139""),0))"),17)</f>
        <v>17</v>
      </c>
      <c r="AA83" s="12">
        <f ca="1">IFERROR(__xludf.DUMMYFUNCTION("INDEX(IMPORTRANGE(""1y0FWgjbB0gVlqn-q5LMJbGIsqOrzru4yowQz67dz2yc"", ""'GPE'!BI3:BI139""),MATCH($D83,IMPORTRANGE(""1y0FWgjbB0gVlqn-q5LMJbGIsqOrzru4yowQz67dz2yc"", ""'GPE'!D3:D139""),0))"),50)</f>
        <v>50</v>
      </c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99</v>
      </c>
      <c r="Q84" s="2">
        <v>212</v>
      </c>
      <c r="R84" s="4"/>
      <c r="S84" s="4"/>
      <c r="T84" s="4"/>
      <c r="U84" s="4"/>
      <c r="V84" s="4"/>
      <c r="W84" s="4"/>
      <c r="X84" s="2">
        <v>133</v>
      </c>
      <c r="Y84" s="12">
        <f ca="1">IFERROR(__xludf.DUMMYFUNCTION("INDEX(IMPORTRANGE(""1y0FWgjbB0gVlqn-q5LMJbGIsqOrzru4yowQz67dz2yc"", ""'GPE'!BG3:BG139""),MATCH(D84,IMPORTRANGE(""1y0FWgjbB0gVlqn-q5LMJbGIsqOrzru4yowQz67dz2yc"", ""'GPE'!D3:D139""),0))"),238)</f>
        <v>238</v>
      </c>
      <c r="Z84" s="2">
        <f ca="1">IFERROR(__xludf.DUMMYFUNCTION("INDEX(IMPORTRANGE(""1y0FWgjbB0gVlqn-q5LMJbGIsqOrzru4yowQz67dz2yc"", ""'GPE'!BH3:BH139""),MATCH(D84,IMPORTRANGE(""1y0FWgjbB0gVlqn-q5LMJbGIsqOrzru4yowQz67dz2yc"", ""'GPE'!D3:D139""),0))"),124)</f>
        <v>124</v>
      </c>
      <c r="AA84" s="12">
        <f ca="1">IFERROR(__xludf.DUMMYFUNCTION("INDEX(IMPORTRANGE(""1y0FWgjbB0gVlqn-q5LMJbGIsqOrzru4yowQz67dz2yc"", ""'GPE'!BI3:BI139""),MATCH($D84,IMPORTRANGE(""1y0FWgjbB0gVlqn-q5LMJbGIsqOrzru4yowQz67dz2yc"", ""'GPE'!D3:D139""),0))"),216)</f>
        <v>216</v>
      </c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9</v>
      </c>
      <c r="Q85" s="2">
        <v>31</v>
      </c>
      <c r="R85" s="4"/>
      <c r="S85" s="4"/>
      <c r="T85" s="4"/>
      <c r="U85" s="4"/>
      <c r="V85" s="4"/>
      <c r="W85" s="4"/>
      <c r="X85" s="2">
        <v>20</v>
      </c>
      <c r="Y85" s="12">
        <f ca="1">IFERROR(__xludf.DUMMYFUNCTION("INDEX(IMPORTRANGE(""1y0FWgjbB0gVlqn-q5LMJbGIsqOrzru4yowQz67dz2yc"", ""'GPE'!BG3:BG139""),MATCH(D85,IMPORTRANGE(""1y0FWgjbB0gVlqn-q5LMJbGIsqOrzru4yowQz67dz2yc"", ""'GPE'!D3:D139""),0))"),37)</f>
        <v>37</v>
      </c>
      <c r="Z85" s="2">
        <f ca="1">IFERROR(__xludf.DUMMYFUNCTION("INDEX(IMPORTRANGE(""1y0FWgjbB0gVlqn-q5LMJbGIsqOrzru4yowQz67dz2yc"", ""'GPE'!BH3:BH139""),MATCH(D85,IMPORTRANGE(""1y0FWgjbB0gVlqn-q5LMJbGIsqOrzru4yowQz67dz2yc"", ""'GPE'!D3:D139""),0))"),13)</f>
        <v>13</v>
      </c>
      <c r="AA85" s="12">
        <f ca="1">IFERROR(__xludf.DUMMYFUNCTION("INDEX(IMPORTRANGE(""1y0FWgjbB0gVlqn-q5LMJbGIsqOrzru4yowQz67dz2yc"", ""'GPE'!BI3:BI139""),MATCH($D85,IMPORTRANGE(""1y0FWgjbB0gVlqn-q5LMJbGIsqOrzru4yowQz67dz2yc"", ""'GPE'!D3:D139""),0))"),31)</f>
        <v>31</v>
      </c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1298</v>
      </c>
      <c r="Q86" s="12">
        <v>2765</v>
      </c>
      <c r="R86" s="4"/>
      <c r="S86" s="4"/>
      <c r="T86" s="4"/>
      <c r="U86" s="4"/>
      <c r="V86" s="4"/>
      <c r="W86" s="4"/>
      <c r="X86" s="2">
        <v>2591</v>
      </c>
      <c r="Y86" s="12">
        <f ca="1">IFERROR(__xludf.DUMMYFUNCTION("INDEX(IMPORTRANGE(""1y0FWgjbB0gVlqn-q5LMJbGIsqOrzru4yowQz67dz2yc"", ""'GPE'!BG3:BG139""),MATCH(D86,IMPORTRANGE(""1y0FWgjbB0gVlqn-q5LMJbGIsqOrzru4yowQz67dz2yc"", ""'GPE'!D3:D139""),0))"),4640)</f>
        <v>4640</v>
      </c>
      <c r="Z86" s="2">
        <f ca="1">IFERROR(__xludf.DUMMYFUNCTION("INDEX(IMPORTRANGE(""1y0FWgjbB0gVlqn-q5LMJbGIsqOrzru4yowQz67dz2yc"", ""'GPE'!BH3:BH139""),MATCH(D86,IMPORTRANGE(""1y0FWgjbB0gVlqn-q5LMJbGIsqOrzru4yowQz67dz2yc"", ""'GPE'!D3:D139""),0))"),1268)</f>
        <v>1268</v>
      </c>
      <c r="AA86" s="12">
        <f ca="1">IFERROR(__xludf.DUMMYFUNCTION("INDEX(IMPORTRANGE(""1y0FWgjbB0gVlqn-q5LMJbGIsqOrzru4yowQz67dz2yc"", ""'GPE'!BI3:BI139""),MATCH($D86,IMPORTRANGE(""1y0FWgjbB0gVlqn-q5LMJbGIsqOrzru4yowQz67dz2yc"", ""'GPE'!D3:D139""),0))"),2946)</f>
        <v>2946</v>
      </c>
      <c r="AB86" s="1"/>
      <c r="AC86" s="1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167</v>
      </c>
      <c r="Q87" s="2">
        <v>368</v>
      </c>
      <c r="R87" s="4"/>
      <c r="S87" s="4"/>
      <c r="T87" s="4"/>
      <c r="U87" s="4"/>
      <c r="V87" s="4"/>
      <c r="W87" s="4"/>
      <c r="X87" s="2">
        <v>351</v>
      </c>
      <c r="Y87" s="12">
        <f ca="1">IFERROR(__xludf.DUMMYFUNCTION("INDEX(IMPORTRANGE(""1y0FWgjbB0gVlqn-q5LMJbGIsqOrzru4yowQz67dz2yc"", ""'GPE'!BG3:BG139""),MATCH(D87,IMPORTRANGE(""1y0FWgjbB0gVlqn-q5LMJbGIsqOrzru4yowQz67dz2yc"", ""'GPE'!D3:D139""),0))"),663)</f>
        <v>663</v>
      </c>
      <c r="Z87" s="2">
        <f ca="1">IFERROR(__xludf.DUMMYFUNCTION("INDEX(IMPORTRANGE(""1y0FWgjbB0gVlqn-q5LMJbGIsqOrzru4yowQz67dz2yc"", ""'GPE'!BH3:BH139""),MATCH(D87,IMPORTRANGE(""1y0FWgjbB0gVlqn-q5LMJbGIsqOrzru4yowQz67dz2yc"", ""'GPE'!D3:D139""),0))"),242)</f>
        <v>242</v>
      </c>
      <c r="AA87" s="12">
        <f ca="1">IFERROR(__xludf.DUMMYFUNCTION("INDEX(IMPORTRANGE(""1y0FWgjbB0gVlqn-q5LMJbGIsqOrzru4yowQz67dz2yc"", ""'GPE'!BI3:BI139""),MATCH($D87,IMPORTRANGE(""1y0FWgjbB0gVlqn-q5LMJbGIsqOrzru4yowQz67dz2yc"", ""'GPE'!D3:D139""),0))"),532)</f>
        <v>532</v>
      </c>
      <c r="AB87" s="1"/>
      <c r="AC87" s="1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920</v>
      </c>
      <c r="Q88" s="12">
        <v>1862</v>
      </c>
      <c r="R88" s="4"/>
      <c r="S88" s="4"/>
      <c r="T88" s="4"/>
      <c r="U88" s="4"/>
      <c r="V88" s="4"/>
      <c r="W88" s="4"/>
      <c r="X88" s="2">
        <v>177</v>
      </c>
      <c r="Y88" s="12">
        <f ca="1">IFERROR(__xludf.DUMMYFUNCTION("INDEX(IMPORTRANGE(""1y0FWgjbB0gVlqn-q5LMJbGIsqOrzru4yowQz67dz2yc"", ""'GPE'!BG3:BG139""),MATCH(D88,IMPORTRANGE(""1y0FWgjbB0gVlqn-q5LMJbGIsqOrzru4yowQz67dz2yc"", ""'GPE'!D3:D139""),0))"),316)</f>
        <v>316</v>
      </c>
      <c r="Z88" s="2">
        <f ca="1">IFERROR(__xludf.DUMMYFUNCTION("INDEX(IMPORTRANGE(""1y0FWgjbB0gVlqn-q5LMJbGIsqOrzru4yowQz67dz2yc"", ""'GPE'!BH3:BH139""),MATCH(D88,IMPORTRANGE(""1y0FWgjbB0gVlqn-q5LMJbGIsqOrzru4yowQz67dz2yc"", ""'GPE'!D3:D139""),0))"),68)</f>
        <v>68</v>
      </c>
      <c r="AA88" s="12">
        <f ca="1">IFERROR(__xludf.DUMMYFUNCTION("INDEX(IMPORTRANGE(""1y0FWgjbB0gVlqn-q5LMJbGIsqOrzru4yowQz67dz2yc"", ""'GPE'!BI3:BI139""),MATCH($D88,IMPORTRANGE(""1y0FWgjbB0gVlqn-q5LMJbGIsqOrzru4yowQz67dz2yc"", ""'GPE'!D3:D139""),0))"),147)</f>
        <v>147</v>
      </c>
      <c r="AB88" s="1"/>
      <c r="AC88" s="1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v>2493</v>
      </c>
      <c r="Q89" s="2">
        <v>5238</v>
      </c>
      <c r="R89" s="29">
        <f>(1-0.1%)*Q89</f>
        <v>5232.7619999999997</v>
      </c>
      <c r="S89" s="29">
        <f>(1-0.25%)*P89</f>
        <v>2486.7674999999999</v>
      </c>
      <c r="T89" s="29">
        <f>(1-0.4%)*Q89</f>
        <v>5217.0479999999998</v>
      </c>
      <c r="U89" s="29">
        <f>(1-0.6%)*P89</f>
        <v>2478.0419999999999</v>
      </c>
      <c r="V89" s="29">
        <f t="shared" ref="V89:W89" si="27">(1-1%)*Q89</f>
        <v>5185.62</v>
      </c>
      <c r="W89" s="29">
        <f t="shared" si="27"/>
        <v>5180.4343799999997</v>
      </c>
      <c r="X89" s="2">
        <v>3272</v>
      </c>
      <c r="Y89" s="12">
        <f ca="1">IFERROR(__xludf.DUMMYFUNCTION("INDEX(IMPORTRANGE(""1y0FWgjbB0gVlqn-q5LMJbGIsqOrzru4yowQz67dz2yc"", ""'GPE'!BG3:BG139""),MATCH(D89,IMPORTRANGE(""1y0FWgjbB0gVlqn-q5LMJbGIsqOrzru4yowQz67dz2yc"", ""'GPE'!D3:D139""),0))"),5894)</f>
        <v>5894</v>
      </c>
      <c r="Z89" s="2">
        <f ca="1">IFERROR(__xludf.DUMMYFUNCTION("INDEX(IMPORTRANGE(""1y0FWgjbB0gVlqn-q5LMJbGIsqOrzru4yowQz67dz2yc"", ""'GPE'!BH3:BH139""),MATCH(D89,IMPORTRANGE(""1y0FWgjbB0gVlqn-q5LMJbGIsqOrzru4yowQz67dz2yc"", ""'GPE'!D3:D139""),0))"),1715)</f>
        <v>1715</v>
      </c>
      <c r="AA89" s="12">
        <f ca="1">IFERROR(__xludf.DUMMYFUNCTION("INDEX(IMPORTRANGE(""1y0FWgjbB0gVlqn-q5LMJbGIsqOrzru4yowQz67dz2yc"", ""'GPE'!BI3:BI139""),MATCH($D89,IMPORTRANGE(""1y0FWgjbB0gVlqn-q5LMJbGIsqOrzru4yowQz67dz2yc"", ""'GPE'!D3:D139""),0))"),3872)</f>
        <v>3872</v>
      </c>
      <c r="AB89" s="1"/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0</v>
      </c>
      <c r="Q90" s="2">
        <v>0</v>
      </c>
      <c r="R90" s="2">
        <v>10</v>
      </c>
      <c r="S90" s="2">
        <v>10</v>
      </c>
      <c r="T90" s="2">
        <v>10</v>
      </c>
      <c r="U90" s="2">
        <v>10</v>
      </c>
      <c r="V90" s="2">
        <v>10</v>
      </c>
      <c r="W90" s="2">
        <v>10</v>
      </c>
      <c r="X90" s="2">
        <v>3</v>
      </c>
      <c r="Y90" s="2">
        <f ca="1">IFERROR(__xludf.DUMMYFUNCTION("INDEX(IMPORTRANGE(""1y0FWgjbB0gVlqn-q5LMJbGIsqOrzru4yowQz67dz2yc"", ""'GPE'!BG3:BG139""),MATCH(D90,IMPORTRANGE(""1y0FWgjbB0gVlqn-q5LMJbGIsqOrzru4yowQz67dz2yc"", ""'GPE'!D3:D139""),0))"),17)</f>
        <v>17</v>
      </c>
      <c r="Z90" s="2">
        <f ca="1">IFERROR(__xludf.DUMMYFUNCTION("INDEX(IMPORTRANGE(""1y0FWgjbB0gVlqn-q5LMJbGIsqOrzru4yowQz67dz2yc"", ""'GPE'!BH3:BH139""),MATCH(D90,IMPORTRANGE(""1y0FWgjbB0gVlqn-q5LMJbGIsqOrzru4yowQz67dz2yc"", ""'GPE'!D3:D139""),0))"),15)</f>
        <v>15</v>
      </c>
      <c r="AA90" s="2">
        <f ca="1">IFERROR(__xludf.DUMMYFUNCTION("INDEX(IMPORTRANGE(""1y0FWgjbB0gVlqn-q5LMJbGIsqOrzru4yowQz67dz2yc"", ""'GPE'!BI3:BI139""),MATCH($D90,IMPORTRANGE(""1y0FWgjbB0gVlqn-q5LMJbGIsqOrzru4yowQz67dz2yc"", ""'GPE'!D3:D139""),0))"),33)</f>
        <v>33</v>
      </c>
      <c r="AB90" s="1"/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 t="s">
        <v>254</v>
      </c>
      <c r="J91" s="11">
        <v>44713</v>
      </c>
      <c r="K91" s="11" t="s">
        <v>255</v>
      </c>
      <c r="L91" s="11">
        <v>45078</v>
      </c>
      <c r="M91" s="11" t="s">
        <v>256</v>
      </c>
      <c r="N91" s="11">
        <v>45444</v>
      </c>
      <c r="O91" s="11">
        <v>45444</v>
      </c>
      <c r="P91" s="2">
        <v>6</v>
      </c>
      <c r="Q91" s="2">
        <v>6</v>
      </c>
      <c r="R91" s="2">
        <v>8</v>
      </c>
      <c r="S91" s="2">
        <v>10</v>
      </c>
      <c r="T91" s="2">
        <v>12</v>
      </c>
      <c r="U91" s="2">
        <v>14</v>
      </c>
      <c r="V91" s="2">
        <v>16</v>
      </c>
      <c r="W91" s="2">
        <v>16</v>
      </c>
      <c r="X91" s="2">
        <v>6</v>
      </c>
      <c r="Y91" s="2">
        <f ca="1">IFERROR(__xludf.DUMMYFUNCTION("INDEX(IMPORTRANGE(""1y0FWgjbB0gVlqn-q5LMJbGIsqOrzru4yowQz67dz2yc"", ""'GPE'!BG3:BG139""),MATCH(D91,IMPORTRANGE(""1y0FWgjbB0gVlqn-q5LMJbGIsqOrzru4yowQz67dz2yc"", ""'GPE'!D3:D139""),0))"),8)</f>
        <v>8</v>
      </c>
      <c r="Z91" s="2">
        <f ca="1">IFERROR(__xludf.DUMMYFUNCTION("INDEX(IMPORTRANGE(""1y0FWgjbB0gVlqn-q5LMJbGIsqOrzru4yowQz67dz2yc"", ""'GPE'!BH3:BH139""),MATCH(D91,IMPORTRANGE(""1y0FWgjbB0gVlqn-q5LMJbGIsqOrzru4yowQz67dz2yc"", ""'GPE'!D3:D139""),0))"),10)</f>
        <v>10</v>
      </c>
      <c r="AA91" s="2">
        <f ca="1">IFERROR(__xludf.DUMMYFUNCTION("INDEX(IMPORTRANGE(""1y0FWgjbB0gVlqn-q5LMJbGIsqOrzru4yowQz67dz2yc"", ""'GPE'!BI3:BI139""),MATCH($D91,IMPORTRANGE(""1y0FWgjbB0gVlqn-q5LMJbGIsqOrzru4yowQz67dz2yc"", ""'GPE'!D3:D139""),0))"),14)</f>
        <v>14</v>
      </c>
      <c r="AB91" s="1"/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11">
        <v>44651</v>
      </c>
      <c r="J92" s="11">
        <v>44834</v>
      </c>
      <c r="K92" s="11">
        <v>45016</v>
      </c>
      <c r="L92" s="11">
        <v>45199</v>
      </c>
      <c r="M92" s="11">
        <v>45382</v>
      </c>
      <c r="N92" s="11">
        <v>45565</v>
      </c>
      <c r="O92" s="11">
        <v>45565</v>
      </c>
      <c r="P92" s="2">
        <v>100</v>
      </c>
      <c r="Q92" s="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4">
        <f ca="1">IFERROR(__xludf.DUMMYFUNCTION("INDEX(IMPORTRANGE(""1y0FWgjbB0gVlqn-q5LMJbGIsqOrzru4yowQz67dz2yc"", ""'GPE'!BG3:BG139""),MATCH(D92,IMPORTRANGE(""1y0FWgjbB0gVlqn-q5LMJbGIsqOrzru4yowQz67dz2yc"", ""'GPE'!D3:D139""),0))"),100)</f>
        <v>100</v>
      </c>
      <c r="Z92" s="2">
        <f ca="1">IFERROR(__xludf.DUMMYFUNCTION("INDEX(IMPORTRANGE(""1y0FWgjbB0gVlqn-q5LMJbGIsqOrzru4yowQz67dz2yc"", ""'GPE'!BH3:BH139""),MATCH(D92,IMPORTRANGE(""1y0FWgjbB0gVlqn-q5LMJbGIsqOrzru4yowQz67dz2yc"", ""'GPE'!D3:D139""),0))"),100)</f>
        <v>100</v>
      </c>
      <c r="AA92" s="24">
        <f ca="1">IFERROR(__xludf.DUMMYFUNCTION("INDEX(IMPORTRANGE(""1y0FWgjbB0gVlqn-q5LMJbGIsqOrzru4yowQz67dz2yc"", ""'GPE'!BI3:BI139""),MATCH($D92,IMPORTRANGE(""1y0FWgjbB0gVlqn-q5LMJbGIsqOrzru4yowQz67dz2yc"", ""'GPE'!D3:D139""),0))"),100)</f>
        <v>100</v>
      </c>
      <c r="AB92" s="1"/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287"/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2">
        <v>0</v>
      </c>
      <c r="R93" s="29">
        <v>4</v>
      </c>
      <c r="S93" s="29">
        <v>4</v>
      </c>
      <c r="T93" s="29">
        <v>4</v>
      </c>
      <c r="U93" s="29">
        <v>4</v>
      </c>
      <c r="V93" s="29">
        <v>4</v>
      </c>
      <c r="W93" s="29">
        <v>4</v>
      </c>
      <c r="X93" s="23">
        <v>3</v>
      </c>
      <c r="Y93" s="23">
        <f ca="1">IFERROR(__xludf.DUMMYFUNCTION("INDEX(IMPORTRANGE(""1y0FWgjbB0gVlqn-q5LMJbGIsqOrzru4yowQz67dz2yc"", ""'GPE'!BG3:BG139""),MATCH(D93,IMPORTRANGE(""1y0FWgjbB0gVlqn-q5LMJbGIsqOrzru4yowQz67dz2yc"", ""'GPE'!D3:D139""),0))"),4)</f>
        <v>4</v>
      </c>
      <c r="Z93" s="23">
        <f ca="1">IFERROR(__xludf.DUMMYFUNCTION("INDEX(IMPORTRANGE(""1y0FWgjbB0gVlqn-q5LMJbGIsqOrzru4yowQz67dz2yc"", ""'GPE'!BH3:BH139""),MATCH(D93,IMPORTRANGE(""1y0FWgjbB0gVlqn-q5LMJbGIsqOrzru4yowQz67dz2yc"", ""'GPE'!D3:D139""),0))"),3.69117647058823)</f>
        <v>3.6911764705882302</v>
      </c>
      <c r="AA93" s="23">
        <f ca="1">IFERROR(__xludf.DUMMYFUNCTION("INDEX(IMPORTRANGE(""1y0FWgjbB0gVlqn-q5LMJbGIsqOrzru4yowQz67dz2yc"", ""'GPE'!BI3:BI139""),MATCH($D93,IMPORTRANGE(""1y0FWgjbB0gVlqn-q5LMJbGIsqOrzru4yowQz67dz2yc"", ""'GPE'!D3:D139""),0))"),3.710407239819)</f>
        <v>3.7104072398189998</v>
      </c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13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4</v>
      </c>
      <c r="Y94" s="2">
        <f ca="1">IFERROR(__xludf.DUMMYFUNCTION("INDEX(IMPORTRANGE(""1y0FWgjbB0gVlqn-q5LMJbGIsqOrzru4yowQz67dz2yc"", ""'GPE'!BG3:BG139""),MATCH(D94,IMPORTRANGE(""1y0FWgjbB0gVlqn-q5LMJbGIsqOrzru4yowQz67dz2yc"", ""'GPE'!D3:D139""),0))"),3)</f>
        <v>3</v>
      </c>
      <c r="Z94" s="2">
        <f ca="1">IFERROR(__xludf.DUMMYFUNCTION("INDEX(IMPORTRANGE(""1y0FWgjbB0gVlqn-q5LMJbGIsqOrzru4yowQz67dz2yc"", ""'GPE'!BH3:BH139""),MATCH(D94,IMPORTRANGE(""1y0FWgjbB0gVlqn-q5LMJbGIsqOrzru4yowQz67dz2yc"", ""'GPE'!D3:D139""),0))"),3)</f>
        <v>3</v>
      </c>
      <c r="AA94" s="2" t="str">
        <f ca="1">IFERROR(__xludf.DUMMYFUNCTION("INDEX(IMPORTRANGE(""1y0FWgjbB0gVlqn-q5LMJbGIsqOrzru4yowQz67dz2yc"", ""'GPE'!BI3:BI139""),MATCH($D94,IMPORTRANGE(""1y0FWgjbB0gVlqn-q5LMJbGIsqOrzru4yowQz67dz2yc"", ""'GPE'!D3:D139""),0))"),"")</f>
        <v/>
      </c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11</v>
      </c>
      <c r="Y95" s="2">
        <f ca="1">IFERROR(__xludf.DUMMYFUNCTION("INDEX(IMPORTRANGE(""1y0FWgjbB0gVlqn-q5LMJbGIsqOrzru4yowQz67dz2yc"", ""'GPE'!BG3:BG139""),MATCH(D95,IMPORTRANGE(""1y0FWgjbB0gVlqn-q5LMJbGIsqOrzru4yowQz67dz2yc"", ""'GPE'!D3:D139""),0))"),10)</f>
        <v>10</v>
      </c>
      <c r="Z95" s="2">
        <f ca="1">IFERROR(__xludf.DUMMYFUNCTION("INDEX(IMPORTRANGE(""1y0FWgjbB0gVlqn-q5LMJbGIsqOrzru4yowQz67dz2yc"", ""'GPE'!BH3:BH139""),MATCH(D95,IMPORTRANGE(""1y0FWgjbB0gVlqn-q5LMJbGIsqOrzru4yowQz67dz2yc"", ""'GPE'!D3:D139""),0))"),10)</f>
        <v>10</v>
      </c>
      <c r="AA95" s="2">
        <f ca="1">IFERROR(__xludf.DUMMYFUNCTION("INDEX(IMPORTRANGE(""1y0FWgjbB0gVlqn-q5LMJbGIsqOrzru4yowQz67dz2yc"", ""'GPE'!BI3:BI139""),MATCH($D95,IMPORTRANGE(""1y0FWgjbB0gVlqn-q5LMJbGIsqOrzru4yowQz67dz2yc"", ""'GPE'!D3:D139""),0))"),0)</f>
        <v>0</v>
      </c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0</v>
      </c>
      <c r="Y96" s="2">
        <f ca="1">IFERROR(__xludf.DUMMYFUNCTION("INDEX(IMPORTRANGE(""1y0FWgjbB0gVlqn-q5LMJbGIsqOrzru4yowQz67dz2yc"", ""'GPE'!BG3:BG139""),MATCH(D96,IMPORTRANGE(""1y0FWgjbB0gVlqn-q5LMJbGIsqOrzru4yowQz67dz2yc"", ""'GPE'!D3:D139""),0))"),0)</f>
        <v>0</v>
      </c>
      <c r="Z96" s="2">
        <f ca="1">IFERROR(__xludf.DUMMYFUNCTION("INDEX(IMPORTRANGE(""1y0FWgjbB0gVlqn-q5LMJbGIsqOrzru4yowQz67dz2yc"", ""'GPE'!BH3:BH139""),MATCH(D96,IMPORTRANGE(""1y0FWgjbB0gVlqn-q5LMJbGIsqOrzru4yowQz67dz2yc"", ""'GPE'!D3:D139""),0))"),0)</f>
        <v>0</v>
      </c>
      <c r="AA96" s="2" t="str">
        <f ca="1">IFERROR(__xludf.DUMMYFUNCTION("INDEX(IMPORTRANGE(""1y0FWgjbB0gVlqn-q5LMJbGIsqOrzru4yowQz67dz2yc"", ""'GPE'!BI3:BI139""),MATCH($D96,IMPORTRANGE(""1y0FWgjbB0gVlqn-q5LMJbGIsqOrzru4yowQz67dz2yc"", ""'GPE'!D3:D139""),0))"),"")</f>
        <v/>
      </c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0</v>
      </c>
      <c r="Y97" s="2">
        <f ca="1">IFERROR(__xludf.DUMMYFUNCTION("INDEX(IMPORTRANGE(""1y0FWgjbB0gVlqn-q5LMJbGIsqOrzru4yowQz67dz2yc"", ""'GPE'!BG3:BG139""),MATCH(D97,IMPORTRANGE(""1y0FWgjbB0gVlqn-q5LMJbGIsqOrzru4yowQz67dz2yc"", ""'GPE'!D3:D139""),0))"),0)</f>
        <v>0</v>
      </c>
      <c r="Z97" s="2">
        <f ca="1">IFERROR(__xludf.DUMMYFUNCTION("INDEX(IMPORTRANGE(""1y0FWgjbB0gVlqn-q5LMJbGIsqOrzru4yowQz67dz2yc"", ""'GPE'!BH3:BH139""),MATCH(D97,IMPORTRANGE(""1y0FWgjbB0gVlqn-q5LMJbGIsqOrzru4yowQz67dz2yc"", ""'GPE'!D3:D139""),0))"),0)</f>
        <v>0</v>
      </c>
      <c r="AA97" s="2">
        <f ca="1">IFERROR(__xludf.DUMMYFUNCTION("INDEX(IMPORTRANGE(""1y0FWgjbB0gVlqn-q5LMJbGIsqOrzru4yowQz67dz2yc"", ""'GPE'!BI3:BI139""),MATCH($D97,IMPORTRANGE(""1y0FWgjbB0gVlqn-q5LMJbGIsqOrzru4yowQz67dz2yc"", ""'GPE'!D3:D139""),0))"),0)</f>
        <v>0</v>
      </c>
      <c r="AB97" s="1"/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4"/>
      <c r="S98" s="4"/>
      <c r="T98" s="4"/>
      <c r="U98" s="4"/>
      <c r="V98" s="4"/>
      <c r="W98" s="4"/>
      <c r="X98" s="2">
        <v>9</v>
      </c>
      <c r="Y98" s="2">
        <f ca="1">IFERROR(__xludf.DUMMYFUNCTION("INDEX(IMPORTRANGE(""1y0FWgjbB0gVlqn-q5LMJbGIsqOrzru4yowQz67dz2yc"", ""'GPE'!BG3:BG139""),MATCH(D98,IMPORTRANGE(""1y0FWgjbB0gVlqn-q5LMJbGIsqOrzru4yowQz67dz2yc"", ""'GPE'!D3:D139""),0))"),10)</f>
        <v>10</v>
      </c>
      <c r="Z98" s="2">
        <f ca="1">IFERROR(__xludf.DUMMYFUNCTION("INDEX(IMPORTRANGE(""1y0FWgjbB0gVlqn-q5LMJbGIsqOrzru4yowQz67dz2yc"", ""'GPE'!BH3:BH139""),MATCH(D98,IMPORTRANGE(""1y0FWgjbB0gVlqn-q5LMJbGIsqOrzru4yowQz67dz2yc"", ""'GPE'!D3:D139""),0))"),18)</f>
        <v>18</v>
      </c>
      <c r="AA98" s="2" t="str">
        <f ca="1">IFERROR(__xludf.DUMMYFUNCTION("INDEX(IMPORTRANGE(""1y0FWgjbB0gVlqn-q5LMJbGIsqOrzru4yowQz67dz2yc"", ""'GPE'!BI3:BI139""),MATCH($D98,IMPORTRANGE(""1y0FWgjbB0gVlqn-q5LMJbGIsqOrzru4yowQz67dz2yc"", ""'GPE'!D3:D139""),0))"),"")</f>
        <v/>
      </c>
      <c r="AB98" s="1"/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254"/>
      <c r="Q99" s="254"/>
      <c r="R99" s="4"/>
      <c r="S99" s="4"/>
      <c r="T99" s="4"/>
      <c r="U99" s="4"/>
      <c r="V99" s="4"/>
      <c r="W99" s="4"/>
      <c r="X99" s="2">
        <v>49</v>
      </c>
      <c r="Y99" s="2">
        <f ca="1">IFERROR(__xludf.DUMMYFUNCTION("INDEX(IMPORTRANGE(""1y0FWgjbB0gVlqn-q5LMJbGIsqOrzru4yowQz67dz2yc"", ""'GPE'!BG3:BG139""),MATCH(D99,IMPORTRANGE(""1y0FWgjbB0gVlqn-q5LMJbGIsqOrzru4yowQz67dz2yc"", ""'GPE'!D3:D139""),0))"),51)</f>
        <v>51</v>
      </c>
      <c r="Z99" s="2">
        <f ca="1">IFERROR(__xludf.DUMMYFUNCTION("INDEX(IMPORTRANGE(""1y0FWgjbB0gVlqn-q5LMJbGIsqOrzru4yowQz67dz2yc"", ""'GPE'!BH3:BH139""),MATCH(D99,IMPORTRANGE(""1y0FWgjbB0gVlqn-q5LMJbGIsqOrzru4yowQz67dz2yc"", ""'GPE'!D3:D139""),0))"),65)</f>
        <v>65</v>
      </c>
      <c r="AA99" s="2">
        <f ca="1">IFERROR(__xludf.DUMMYFUNCTION("INDEX(IMPORTRANGE(""1y0FWgjbB0gVlqn-q5LMJbGIsqOrzru4yowQz67dz2yc"", ""'GPE'!BI3:BI139""),MATCH($D99,IMPORTRANGE(""1y0FWgjbB0gVlqn-q5LMJbGIsqOrzru4yowQz67dz2yc"", ""'GPE'!D3:D139""),0))"),0)</f>
        <v>0</v>
      </c>
      <c r="AB99" s="1"/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83" t="s">
        <v>213</v>
      </c>
      <c r="H100" s="1" t="s">
        <v>214</v>
      </c>
      <c r="I100" s="183" t="s">
        <v>215</v>
      </c>
      <c r="J100" s="13"/>
      <c r="K100" s="183" t="s">
        <v>216</v>
      </c>
      <c r="L100" s="13"/>
      <c r="M100" s="183" t="s">
        <v>217</v>
      </c>
      <c r="N100" s="1" t="s">
        <v>218</v>
      </c>
      <c r="O100" s="348" t="s">
        <v>218</v>
      </c>
      <c r="P100" s="254"/>
      <c r="Q100" s="25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0.21666666666666667</v>
      </c>
      <c r="Y100" s="15">
        <f ca="1">IFERROR(__xludf.DUMMYFUNCTION("INDEX(IMPORTRANGE(""1y0FWgjbB0gVlqn-q5LMJbGIsqOrzru4yowQz67dz2yc"", ""'GPE'!BG3:BG139""),MATCH(D100,IMPORTRANGE(""1y0FWgjbB0gVlqn-q5LMJbGIsqOrzru4yowQz67dz2yc"", ""'GPE'!D3:D139""),0))"),0.21311475409836)</f>
        <v>0.21311475409836</v>
      </c>
      <c r="Z100" s="15">
        <f ca="1">IFERROR(__xludf.DUMMYFUNCTION("INDEX(IMPORTRANGE(""1y0FWgjbB0gVlqn-q5LMJbGIsqOrzru4yowQz67dz2yc"", ""'GPE'!BH3:BH139""),MATCH(D100,IMPORTRANGE(""1y0FWgjbB0gVlqn-q5LMJbGIsqOrzru4yowQz67dz2yc"", ""'GPE'!D3:D139""),0))"),0.28)</f>
        <v>0.28000000000000003</v>
      </c>
      <c r="AA100" s="15" t="str">
        <f ca="1">IFERROR(__xludf.DUMMYFUNCTION("INDEX(IMPORTRANGE(""1y0FWgjbB0gVlqn-q5LMJbGIsqOrzru4yowQz67dz2yc"", ""'GPE'!BI3:BI139""),MATCH($D100,IMPORTRANGE(""1y0FWgjbB0gVlqn-q5LMJbGIsqOrzru4yowQz67dz2yc"", ""'GPE'!D3:D139""),0))"),"")</f>
        <v/>
      </c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49">
        <v>596817816</v>
      </c>
      <c r="Q101" s="36">
        <v>596817816</v>
      </c>
      <c r="R101" s="4"/>
      <c r="S101" s="4"/>
      <c r="T101" s="4"/>
      <c r="U101" s="4"/>
      <c r="V101" s="4"/>
      <c r="W101" s="4"/>
      <c r="X101" s="349">
        <v>596817816</v>
      </c>
      <c r="Y101" s="350" t="str">
        <f ca="1">IFERROR(__xludf.DUMMYFUNCTION("INDEX(IMPORTRANGE(""1y0FWgjbB0gVlqn-q5LMJbGIsqOrzru4yowQz67dz2yc"", ""'GPE'!BG3:BG139""),MATCH(D101,IMPORTRANGE(""1y0FWgjbB0gVlqn-q5LMJbGIsqOrzru4yowQz67dz2yc"", ""'GPE'!D3:D139""),0))"),"")</f>
        <v/>
      </c>
      <c r="Z101" s="349">
        <f ca="1">IFERROR(__xludf.DUMMYFUNCTION("INDEX(IMPORTRANGE(""1y0FWgjbB0gVlqn-q5LMJbGIsqOrzru4yowQz67dz2yc"", ""'GPE'!BH3:BH139""),MATCH(D101,IMPORTRANGE(""1y0FWgjbB0gVlqn-q5LMJbGIsqOrzru4yowQz67dz2yc"", ""'GPE'!D3:D139""),0))"),840544065)</f>
        <v>840544065</v>
      </c>
      <c r="AA101" s="350" t="str">
        <f ca="1">IFERROR(__xludf.DUMMYFUNCTION("INDEX(IMPORTRANGE(""1y0FWgjbB0gVlqn-q5LMJbGIsqOrzru4yowQz67dz2yc"", ""'GPE'!BI3:BI139""),MATCH($D101,IMPORTRANGE(""1y0FWgjbB0gVlqn-q5LMJbGIsqOrzru4yowQz67dz2yc"", ""'GPE'!D3:D139""),0))"),"")</f>
        <v/>
      </c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49">
        <v>2180414073</v>
      </c>
      <c r="Q102" s="36">
        <v>2180414073</v>
      </c>
      <c r="R102" s="4"/>
      <c r="S102" s="4"/>
      <c r="T102" s="4"/>
      <c r="U102" s="4"/>
      <c r="V102" s="4"/>
      <c r="W102" s="4"/>
      <c r="X102" s="349">
        <v>2180414073</v>
      </c>
      <c r="Y102" s="350" t="str">
        <f ca="1">IFERROR(__xludf.DUMMYFUNCTION("INDEX(IMPORTRANGE(""1y0FWgjbB0gVlqn-q5LMJbGIsqOrzru4yowQz67dz2yc"", ""'GPE'!BG3:BG139""),MATCH(D102,IMPORTRANGE(""1y0FWgjbB0gVlqn-q5LMJbGIsqOrzru4yowQz67dz2yc"", ""'GPE'!D3:D139""),0))"),"")</f>
        <v/>
      </c>
      <c r="Z102" s="349">
        <f ca="1">IFERROR(__xludf.DUMMYFUNCTION("INDEX(IMPORTRANGE(""1y0FWgjbB0gVlqn-q5LMJbGIsqOrzru4yowQz67dz2yc"", ""'GPE'!BH3:BH139""),MATCH(D102,IMPORTRANGE(""1y0FWgjbB0gVlqn-q5LMJbGIsqOrzru4yowQz67dz2yc"", ""'GPE'!D3:D139""),0))"),2968376016)</f>
        <v>2968376016</v>
      </c>
      <c r="AA102" s="350" t="str">
        <f ca="1">IFERROR(__xludf.DUMMYFUNCTION("INDEX(IMPORTRANGE(""1y0FWgjbB0gVlqn-q5LMJbGIsqOrzru4yowQz67dz2yc"", ""'GPE'!BI3:BI139""),MATCH($D102,IMPORTRANGE(""1y0FWgjbB0gVlqn-q5LMJbGIsqOrzru4yowQz67dz2yc"", ""'GPE'!D3:D139""),0))"),"")</f>
        <v/>
      </c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8">P101/P102</f>
        <v>0.27371764995941666</v>
      </c>
      <c r="Q103" s="15">
        <f t="shared" si="28"/>
        <v>0.27371764995941666</v>
      </c>
      <c r="R103" s="2"/>
      <c r="S103" s="26">
        <v>0.32400000000000001</v>
      </c>
      <c r="T103" s="2"/>
      <c r="U103" s="26">
        <v>0.34399999999999997</v>
      </c>
      <c r="V103" s="26">
        <v>0.36399999999999999</v>
      </c>
      <c r="W103" s="26">
        <v>0.36399999999999999</v>
      </c>
      <c r="X103" s="15">
        <f>X101/X102</f>
        <v>0.27371764995941666</v>
      </c>
      <c r="Y103" s="38" t="str">
        <f ca="1">IFERROR(__xludf.DUMMYFUNCTION("INDEX(IMPORTRANGE(""1y0FWgjbB0gVlqn-q5LMJbGIsqOrzru4yowQz67dz2yc"", ""'GPE'!BG3:BG139""),MATCH(D103,IMPORTRANGE(""1y0FWgjbB0gVlqn-q5LMJbGIsqOrzru4yowQz67dz2yc"", ""'GPE'!D3:D139""),0))"),"")</f>
        <v/>
      </c>
      <c r="Z103" s="15">
        <f ca="1">IFERROR(__xludf.DUMMYFUNCTION("INDEX(IMPORTRANGE(""1y0FWgjbB0gVlqn-q5LMJbGIsqOrzru4yowQz67dz2yc"", ""'GPE'!BH3:BH139""),MATCH(D103,IMPORTRANGE(""1y0FWgjbB0gVlqn-q5LMJbGIsqOrzru4yowQz67dz2yc"", ""'GPE'!D3:D139""),0))"),0.283166303887829)</f>
        <v>0.28316630388782899</v>
      </c>
      <c r="AA103" s="38" t="str">
        <f ca="1">IFERROR(__xludf.DUMMYFUNCTION("INDEX(IMPORTRANGE(""1y0FWgjbB0gVlqn-q5LMJbGIsqOrzru4yowQz67dz2yc"", ""'GPE'!BI3:BI139""),MATCH($D103,IMPORTRANGE(""1y0FWgjbB0gVlqn-q5LMJbGIsqOrzru4yowQz67dz2yc"", ""'GPE'!D3:D139""),0))"),"")</f>
        <v/>
      </c>
      <c r="AB103" s="1"/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49">
        <v>1685145440</v>
      </c>
      <c r="Q104" s="36">
        <v>1685145440</v>
      </c>
      <c r="R104" s="4"/>
      <c r="S104" s="4"/>
      <c r="T104" s="4"/>
      <c r="U104" s="4"/>
      <c r="V104" s="4"/>
      <c r="W104" s="4"/>
      <c r="X104" s="349">
        <v>1685145440</v>
      </c>
      <c r="Y104" s="350" t="str">
        <f ca="1">IFERROR(__xludf.DUMMYFUNCTION("INDEX(IMPORTRANGE(""1y0FWgjbB0gVlqn-q5LMJbGIsqOrzru4yowQz67dz2yc"", ""'GPE'!BG3:BG139""),MATCH(D104,IMPORTRANGE(""1y0FWgjbB0gVlqn-q5LMJbGIsqOrzru4yowQz67dz2yc"", ""'GPE'!D3:D139""),0))"),"")</f>
        <v/>
      </c>
      <c r="Z104" s="349">
        <f ca="1">IFERROR(__xludf.DUMMYFUNCTION("INDEX(IMPORTRANGE(""1y0FWgjbB0gVlqn-q5LMJbGIsqOrzru4yowQz67dz2yc"", ""'GPE'!BH3:BH139""),MATCH(D104,IMPORTRANGE(""1y0FWgjbB0gVlqn-q5LMJbGIsqOrzru4yowQz67dz2yc"", ""'GPE'!D3:D139""),0))"),1983992071.27)</f>
        <v>1983992071.27</v>
      </c>
      <c r="AA104" s="350" t="str">
        <f ca="1">IFERROR(__xludf.DUMMYFUNCTION("INDEX(IMPORTRANGE(""1y0FWgjbB0gVlqn-q5LMJbGIsqOrzru4yowQz67dz2yc"", ""'GPE'!BI3:BI139""),MATCH($D104,IMPORTRANGE(""1y0FWgjbB0gVlqn-q5LMJbGIsqOrzru4yowQz67dz2yc"", ""'GPE'!D3:D139""),0))"),"")</f>
        <v/>
      </c>
      <c r="AB104" s="1"/>
      <c r="AC104" s="1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254</v>
      </c>
      <c r="H105" s="7" t="s">
        <v>254</v>
      </c>
      <c r="I105" s="7" t="s">
        <v>254</v>
      </c>
      <c r="J105" s="13"/>
      <c r="K105" s="7" t="s">
        <v>255</v>
      </c>
      <c r="L105" s="13"/>
      <c r="M105" s="7" t="s">
        <v>256</v>
      </c>
      <c r="N105" s="260">
        <v>45536</v>
      </c>
      <c r="O105" s="1" t="s">
        <v>218</v>
      </c>
      <c r="P105" s="15">
        <f t="shared" ref="P105:Q105" si="29">P101/P104</f>
        <v>0.35416398005385219</v>
      </c>
      <c r="Q105" s="15">
        <f t="shared" si="29"/>
        <v>0.35416398005385219</v>
      </c>
      <c r="R105" s="2"/>
      <c r="S105" s="26">
        <v>0.40400000000000003</v>
      </c>
      <c r="T105" s="2"/>
      <c r="U105" s="26">
        <v>0.42399999999999999</v>
      </c>
      <c r="V105" s="26">
        <v>0.44400000000000001</v>
      </c>
      <c r="W105" s="26">
        <v>0.44400000000000001</v>
      </c>
      <c r="X105" s="15">
        <f>X101/X104</f>
        <v>0.35416398005385219</v>
      </c>
      <c r="Y105" s="38" t="str">
        <f ca="1">IFERROR(__xludf.DUMMYFUNCTION("INDEX(IMPORTRANGE(""1y0FWgjbB0gVlqn-q5LMJbGIsqOrzru4yowQz67dz2yc"", ""'GPE'!BG3:BG139""),MATCH(D105,IMPORTRANGE(""1y0FWgjbB0gVlqn-q5LMJbGIsqOrzru4yowQz67dz2yc"", ""'GPE'!D3:D139""),0))"),"")</f>
        <v/>
      </c>
      <c r="Z105" s="15">
        <f ca="1">IFERROR(__xludf.DUMMYFUNCTION("INDEX(IMPORTRANGE(""1y0FWgjbB0gVlqn-q5LMJbGIsqOrzru4yowQz67dz2yc"", ""'GPE'!BH3:BH139""),MATCH(D105,IMPORTRANGE(""1y0FWgjbB0gVlqn-q5LMJbGIsqOrzru4yowQz67dz2yc"", ""'GPE'!D3:D139""),0))"),0.423663016184307)</f>
        <v>0.42366301618430702</v>
      </c>
      <c r="AA105" s="38" t="str">
        <f ca="1">IFERROR(__xludf.DUMMYFUNCTION("INDEX(IMPORTRANGE(""1y0FWgjbB0gVlqn-q5LMJbGIsqOrzru4yowQz67dz2yc"", ""'GPE'!BI3:BI139""),MATCH($D105,IMPORTRANGE(""1y0FWgjbB0gVlqn-q5LMJbGIsqOrzru4yowQz67dz2yc"", ""'GPE'!D3:D139""),0))"),"")</f>
        <v/>
      </c>
      <c r="AB105" s="1"/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2">
        <v>226973</v>
      </c>
      <c r="Q106" s="12">
        <v>226973</v>
      </c>
      <c r="R106" s="4"/>
      <c r="S106" s="4"/>
      <c r="T106" s="4"/>
      <c r="U106" s="4"/>
      <c r="V106" s="4"/>
      <c r="W106" s="4"/>
      <c r="X106" s="12">
        <v>226973</v>
      </c>
      <c r="Y106" s="6" t="str">
        <f ca="1">IFERROR(__xludf.DUMMYFUNCTION("INDEX(IMPORTRANGE(""1y0FWgjbB0gVlqn-q5LMJbGIsqOrzru4yowQz67dz2yc"", ""'GPE'!BG3:BG139""),MATCH(D106,IMPORTRANGE(""1y0FWgjbB0gVlqn-q5LMJbGIsqOrzru4yowQz67dz2yc"", ""'GPE'!D3:D139""),0))"),"")</f>
        <v/>
      </c>
      <c r="Z106" s="12">
        <f ca="1">IFERROR(__xludf.DUMMYFUNCTION("INDEX(IMPORTRANGE(""1y0FWgjbB0gVlqn-q5LMJbGIsqOrzru4yowQz67dz2yc"", ""'GPE'!BH3:BH139""),MATCH(D106,IMPORTRANGE(""1y0FWgjbB0gVlqn-q5LMJbGIsqOrzru4yowQz67dz2yc"", ""'GPE'!D3:D139""),0))"),227442)</f>
        <v>227442</v>
      </c>
      <c r="AA106" s="6" t="str">
        <f ca="1">IFERROR(__xludf.DUMMYFUNCTION("INDEX(IMPORTRANGE(""1y0FWgjbB0gVlqn-q5LMJbGIsqOrzru4yowQz67dz2yc"", ""'GPE'!BI3:BI139""),MATCH($D106,IMPORTRANGE(""1y0FWgjbB0gVlqn-q5LMJbGIsqOrzru4yowQz67dz2yc"", ""'GPE'!D3:D139""),0))"),"")</f>
        <v/>
      </c>
      <c r="AB106" s="1"/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142986</v>
      </c>
      <c r="Q107" s="12">
        <v>142986</v>
      </c>
      <c r="R107" s="2"/>
      <c r="S107" s="2"/>
      <c r="T107" s="2"/>
      <c r="U107" s="2"/>
      <c r="V107" s="2"/>
      <c r="W107" s="2"/>
      <c r="X107" s="12">
        <v>142986</v>
      </c>
      <c r="Y107" s="6" t="str">
        <f ca="1">IFERROR(__xludf.DUMMYFUNCTION("INDEX(IMPORTRANGE(""1y0FWgjbB0gVlqn-q5LMJbGIsqOrzru4yowQz67dz2yc"", ""'GPE'!BG3:BG139""),MATCH(D107,IMPORTRANGE(""1y0FWgjbB0gVlqn-q5LMJbGIsqOrzru4yowQz67dz2yc"", ""'GPE'!D3:D139""),0))"),"")</f>
        <v/>
      </c>
      <c r="Z107" s="12">
        <f ca="1">IFERROR(__xludf.DUMMYFUNCTION("INDEX(IMPORTRANGE(""1y0FWgjbB0gVlqn-q5LMJbGIsqOrzru4yowQz67dz2yc"", ""'GPE'!BH3:BH139""),MATCH(D107,IMPORTRANGE(""1y0FWgjbB0gVlqn-q5LMJbGIsqOrzru4yowQz67dz2yc"", ""'GPE'!D3:D139""),0))"),146410)</f>
        <v>146410</v>
      </c>
      <c r="AA107" s="6" t="str">
        <f ca="1">IFERROR(__xludf.DUMMYFUNCTION("INDEX(IMPORTRANGE(""1y0FWgjbB0gVlqn-q5LMJbGIsqOrzru4yowQz67dz2yc"", ""'GPE'!BI3:BI139""),MATCH($D107,IMPORTRANGE(""1y0FWgjbB0gVlqn-q5LMJbGIsqOrzru4yowQz67dz2yc"", ""'GPE'!D3:D139""),0))"),"")</f>
        <v/>
      </c>
      <c r="AB107" s="1"/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30">P107/P106</f>
        <v>0.62996920338542473</v>
      </c>
      <c r="Q108" s="15">
        <f t="shared" si="30"/>
        <v>0.62996920338542473</v>
      </c>
      <c r="R108" s="2"/>
      <c r="S108" s="26">
        <v>0.65</v>
      </c>
      <c r="T108" s="2"/>
      <c r="U108" s="14">
        <v>0.66</v>
      </c>
      <c r="V108" s="14">
        <v>0.67</v>
      </c>
      <c r="W108" s="14">
        <v>0.67</v>
      </c>
      <c r="X108" s="15">
        <f>X107/X106</f>
        <v>0.62996920338542473</v>
      </c>
      <c r="Y108" s="38" t="str">
        <f ca="1">IFERROR(__xludf.DUMMYFUNCTION("INDEX(IMPORTRANGE(""1y0FWgjbB0gVlqn-q5LMJbGIsqOrzru4yowQz67dz2yc"", ""'GPE'!BG3:BG139""),MATCH(D108,IMPORTRANGE(""1y0FWgjbB0gVlqn-q5LMJbGIsqOrzru4yowQz67dz2yc"", ""'GPE'!D3:D139""),0))"),"")</f>
        <v/>
      </c>
      <c r="Z108" s="15">
        <f ca="1">IFERROR(__xludf.DUMMYFUNCTION("INDEX(IMPORTRANGE(""1y0FWgjbB0gVlqn-q5LMJbGIsqOrzru4yowQz67dz2yc"", ""'GPE'!BH3:BH139""),MATCH(D108,IMPORTRANGE(""1y0FWgjbB0gVlqn-q5LMJbGIsqOrzru4yowQz67dz2yc"", ""'GPE'!D3:D139""),0))"),0.643724553952216)</f>
        <v>0.64372455395221595</v>
      </c>
      <c r="AA108" s="38" t="str">
        <f ca="1">IFERROR(__xludf.DUMMYFUNCTION("INDEX(IMPORTRANGE(""1y0FWgjbB0gVlqn-q5LMJbGIsqOrzru4yowQz67dz2yc"", ""'GPE'!BI3:BI139""),MATCH($D108,IMPORTRANGE(""1y0FWgjbB0gVlqn-q5LMJbGIsqOrzru4yowQz67dz2yc"", ""'GPE'!D3:D139""),0))"),"")</f>
        <v/>
      </c>
      <c r="AB108" s="1"/>
      <c r="AC108" s="1"/>
    </row>
    <row r="109" spans="1:29">
      <c r="A109" s="7" t="s">
        <v>275</v>
      </c>
      <c r="B109" s="7" t="s">
        <v>276</v>
      </c>
      <c r="C109" s="1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2"/>
      <c r="S109" s="2"/>
      <c r="T109" s="2"/>
      <c r="U109" s="2"/>
      <c r="V109" s="2"/>
      <c r="W109" s="2"/>
      <c r="X109" s="36"/>
      <c r="Y109" s="178" t="str">
        <f ca="1">IFERROR(__xludf.DUMMYFUNCTION("INDEX(IMPORTRANGE(""1y0FWgjbB0gVlqn-q5LMJbGIsqOrzru4yowQz67dz2yc"", ""'GPE'!BG3:BG139""),MATCH(D109,IMPORTRANGE(""1y0FWgjbB0gVlqn-q5LMJbGIsqOrzru4yowQz67dz2yc"", ""'GPE'!D3:D139""),0))"),"")</f>
        <v/>
      </c>
      <c r="Z109" s="36">
        <f ca="1">IFERROR(__xludf.DUMMYFUNCTION("INDEX(IMPORTRANGE(""1y0FWgjbB0gVlqn-q5LMJbGIsqOrzru4yowQz67dz2yc"", ""'GPE'!BH3:BH139""),MATCH(D109,IMPORTRANGE(""1y0FWgjbB0gVlqn-q5LMJbGIsqOrzru4yowQz67dz2yc"", ""'GPE'!D3:D139""),0))"),334941885.95)</f>
        <v>334941885.94999999</v>
      </c>
      <c r="AA109" s="178" t="str">
        <f ca="1">IFERROR(__xludf.DUMMYFUNCTION("INDEX(IMPORTRANGE(""1y0FWgjbB0gVlqn-q5LMJbGIsqOrzru4yowQz67dz2yc"", ""'GPE'!BI3:BI139""),MATCH($D109,IMPORTRANGE(""1y0FWgjbB0gVlqn-q5LMJbGIsqOrzru4yowQz67dz2yc"", ""'GPE'!D3:D139""),0))"),"")</f>
        <v/>
      </c>
      <c r="AB109" s="1"/>
      <c r="AC109" s="1"/>
    </row>
    <row r="110" spans="1:29">
      <c r="A110" s="7" t="s">
        <v>275</v>
      </c>
      <c r="B110" s="7" t="s">
        <v>276</v>
      </c>
      <c r="C110" s="1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36">
        <v>203360688.65000004</v>
      </c>
      <c r="Q110" s="36">
        <v>203360688.65000004</v>
      </c>
      <c r="R110" s="2"/>
      <c r="S110" s="36">
        <v>213528723.08000001</v>
      </c>
      <c r="T110" s="2"/>
      <c r="U110" s="36">
        <v>217799297.53999999</v>
      </c>
      <c r="V110" s="36">
        <v>221663150.63</v>
      </c>
      <c r="W110" s="36">
        <v>221663150.59999999</v>
      </c>
      <c r="X110" s="36">
        <v>203360688.65000004</v>
      </c>
      <c r="Y110" s="178" t="str">
        <f ca="1">IFERROR(__xludf.DUMMYFUNCTION("INDEX(IMPORTRANGE(""1y0FWgjbB0gVlqn-q5LMJbGIsqOrzru4yowQz67dz2yc"", ""'GPE'!BG3:BG139""),MATCH(D110,IMPORTRANGE(""1y0FWgjbB0gVlqn-q5LMJbGIsqOrzru4yowQz67dz2yc"", ""'GPE'!D3:D139""),0))"),"")</f>
        <v/>
      </c>
      <c r="Z110" s="36">
        <f ca="1">IFERROR(__xludf.DUMMYFUNCTION("INDEX(IMPORTRANGE(""1y0FWgjbB0gVlqn-q5LMJbGIsqOrzru4yowQz67dz2yc"", ""'GPE'!BH3:BH139""),MATCH(D110,IMPORTRANGE(""1y0FWgjbB0gVlqn-q5LMJbGIsqOrzru4yowQz67dz2yc"", ""'GPE'!D3:D139""),0))"),337716623.799999)</f>
        <v>337716623.799999</v>
      </c>
      <c r="AA110" s="178" t="str">
        <f ca="1">IFERROR(__xludf.DUMMYFUNCTION("INDEX(IMPORTRANGE(""1y0FWgjbB0gVlqn-q5LMJbGIsqOrzru4yowQz67dz2yc"", ""'GPE'!BI3:BI139""),MATCH($D110,IMPORTRANGE(""1y0FWgjbB0gVlqn-q5LMJbGIsqOrzru4yowQz67dz2yc"", ""'GPE'!D3:D139""),0))"),"")</f>
        <v/>
      </c>
      <c r="AB110" s="1"/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49">
        <v>2219811649</v>
      </c>
      <c r="Q111" s="349">
        <v>2219811649</v>
      </c>
      <c r="R111" s="4"/>
      <c r="S111" s="4"/>
      <c r="T111" s="4"/>
      <c r="U111" s="4"/>
      <c r="V111" s="4"/>
      <c r="W111" s="4"/>
      <c r="X111" s="36">
        <v>2219811649</v>
      </c>
      <c r="Y111" s="178" t="str">
        <f ca="1">IFERROR(__xludf.DUMMYFUNCTION("INDEX(IMPORTRANGE(""1y0FWgjbB0gVlqn-q5LMJbGIsqOrzru4yowQz67dz2yc"", ""'GPE'!BG3:BG139""),MATCH(D111,IMPORTRANGE(""1y0FWgjbB0gVlqn-q5LMJbGIsqOrzru4yowQz67dz2yc"", ""'GPE'!D3:D139""),0))"),"")</f>
        <v/>
      </c>
      <c r="Z111" s="36">
        <f ca="1">IFERROR(__xludf.DUMMYFUNCTION("INDEX(IMPORTRANGE(""1y0FWgjbB0gVlqn-q5LMJbGIsqOrzru4yowQz67dz2yc"", ""'GPE'!BH3:BH139""),MATCH(D111,IMPORTRANGE(""1y0FWgjbB0gVlqn-q5LMJbGIsqOrzru4yowQz67dz2yc"", ""'GPE'!D3:D139""),0))"),2753750457.9)</f>
        <v>2753750457.9000001</v>
      </c>
      <c r="AA111" s="178" t="str">
        <f ca="1">IFERROR(__xludf.DUMMYFUNCTION("INDEX(IMPORTRANGE(""1y0FWgjbB0gVlqn-q5LMJbGIsqOrzru4yowQz67dz2yc"", ""'GPE'!BI3:BI139""),MATCH($D111,IMPORTRANGE(""1y0FWgjbB0gVlqn-q5LMJbGIsqOrzru4yowQz67dz2yc"", ""'GPE'!D3:D139""),0))"),"")</f>
        <v/>
      </c>
      <c r="AB111" s="1"/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11" t="s">
        <v>307</v>
      </c>
      <c r="H112" s="13"/>
      <c r="I112" s="1" t="s">
        <v>254</v>
      </c>
      <c r="J112" s="13"/>
      <c r="K112" s="1" t="s">
        <v>255</v>
      </c>
      <c r="L112" s="13"/>
      <c r="M112" s="1" t="s">
        <v>256</v>
      </c>
      <c r="N112" s="49">
        <v>45473</v>
      </c>
      <c r="O112" s="1"/>
      <c r="P112" s="15">
        <f t="shared" ref="P112:Q112" si="31">P104/P111</f>
        <v>0.75913892998946053</v>
      </c>
      <c r="Q112" s="15">
        <f t="shared" si="31"/>
        <v>0.75913892998946053</v>
      </c>
      <c r="R112" s="2"/>
      <c r="S112" s="26">
        <v>0.749</v>
      </c>
      <c r="T112" s="2"/>
      <c r="U112" s="26">
        <v>0.73899999999999999</v>
      </c>
      <c r="V112" s="26">
        <v>0.72899999999999998</v>
      </c>
      <c r="W112" s="26">
        <v>0.72899999999999998</v>
      </c>
      <c r="X112" s="15">
        <f>X104/X111</f>
        <v>0.75913892998946053</v>
      </c>
      <c r="Y112" s="38" t="str">
        <f ca="1">IFERROR(__xludf.DUMMYFUNCTION("INDEX(IMPORTRANGE(""1y0FWgjbB0gVlqn-q5LMJbGIsqOrzru4yowQz67dz2yc"", ""'GPE'!BG3:BG139""),MATCH(D112,IMPORTRANGE(""1y0FWgjbB0gVlqn-q5LMJbGIsqOrzru4yowQz67dz2yc"", ""'GPE'!D3:D139""),0))"),"")</f>
        <v/>
      </c>
      <c r="Z112" s="15">
        <f ca="1">IFERROR(__xludf.DUMMYFUNCTION("INDEX(IMPORTRANGE(""1y0FWgjbB0gVlqn-q5LMJbGIsqOrzru4yowQz67dz2yc"", ""'GPE'!BH3:BH139""),MATCH(D112,IMPORTRANGE(""1y0FWgjbB0gVlqn-q5LMJbGIsqOrzru4yowQz67dz2yc"", ""'GPE'!D3:D139""),0))"),0.720469084472884)</f>
        <v>0.72046908447288405</v>
      </c>
      <c r="AA112" s="38" t="str">
        <f ca="1">IFERROR(__xludf.DUMMYFUNCTION("INDEX(IMPORTRANGE(""1y0FWgjbB0gVlqn-q5LMJbGIsqOrzru4yowQz67dz2yc"", ""'GPE'!BI3:BI139""),MATCH($D112,IMPORTRANGE(""1y0FWgjbB0gVlqn-q5LMJbGIsqOrzru4yowQz67dz2yc"", ""'GPE'!D3:D139""),0))"),"")</f>
        <v/>
      </c>
      <c r="AB112" s="1"/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30" t="s">
        <v>433</v>
      </c>
      <c r="Q113" s="30" t="s">
        <v>433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433</v>
      </c>
      <c r="Y113" s="4" t="str">
        <f ca="1">IFERROR(__xludf.DUMMYFUNCTION("INDEX(IMPORTRANGE(""1y0FWgjbB0gVlqn-q5LMJbGIsqOrzru4yowQz67dz2yc"", ""'GPE'!BG3:BG139""),MATCH(D113,IMPORTRANGE(""1y0FWgjbB0gVlqn-q5LMJbGIsqOrzru4yowQz67dz2yc"", ""'GPE'!D3:D139""),0))"),"")</f>
        <v/>
      </c>
      <c r="Z113" s="2" t="str">
        <f ca="1">IFERROR(__xludf.DUMMYFUNCTION("INDEX(IMPORTRANGE(""1y0FWgjbB0gVlqn-q5LMJbGIsqOrzru4yowQz67dz2yc"", ""'GPE'!BH3:BH139""),MATCH(D113,IMPORTRANGE(""1y0FWgjbB0gVlqn-q5LMJbGIsqOrzru4yowQz67dz2yc"", ""'GPE'!D3:D139""),0))"),"Verde")</f>
        <v>Verde</v>
      </c>
      <c r="AA113" s="4" t="str">
        <f ca="1">IFERROR(__xludf.DUMMYFUNCTION("INDEX(IMPORTRANGE(""1y0FWgjbB0gVlqn-q5LMJbGIsqOrzru4yowQz67dz2yc"", ""'GPE'!BI3:BI139""),MATCH($D113,IMPORTRANGE(""1y0FWgjbB0gVlqn-q5LMJbGIsqOrzru4yowQz67dz2yc"", ""'GPE'!D3:D139""),0))"),"")</f>
        <v/>
      </c>
      <c r="AB113" s="1"/>
      <c r="AC113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1C89-02E5-3141-9127-5E19D71B9462}">
  <dimension ref="A1:AC111"/>
  <sheetViews>
    <sheetView workbookViewId="0"/>
  </sheetViews>
  <sheetFormatPr baseColWidth="10" defaultRowHeight="16"/>
  <sheetData>
    <row r="1" spans="1:29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2" t="s">
        <v>6</v>
      </c>
      <c r="H1" s="62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3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665734</v>
      </c>
      <c r="Q2" s="5">
        <v>665734</v>
      </c>
      <c r="R2" s="4"/>
      <c r="S2" s="6"/>
      <c r="T2" s="6"/>
      <c r="U2" s="6"/>
      <c r="V2" s="6"/>
      <c r="W2" s="6"/>
      <c r="X2" s="5">
        <v>685177</v>
      </c>
      <c r="Y2" s="5">
        <v>685177</v>
      </c>
      <c r="Z2" s="5">
        <v>693045</v>
      </c>
      <c r="AA2" s="5">
        <v>693045</v>
      </c>
      <c r="AB2" s="5">
        <v>699613</v>
      </c>
      <c r="AC2" s="5">
        <v>699613</v>
      </c>
    </row>
    <row r="3" spans="1:29">
      <c r="A3" s="149" t="s">
        <v>34</v>
      </c>
      <c r="B3" s="149" t="s">
        <v>35</v>
      </c>
      <c r="C3" s="148" t="s">
        <v>36</v>
      </c>
      <c r="D3" s="150" t="s">
        <v>37</v>
      </c>
      <c r="E3" s="14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835</v>
      </c>
      <c r="Q3" s="2">
        <v>835</v>
      </c>
      <c r="R3" s="4">
        <v>790</v>
      </c>
      <c r="S3" s="4">
        <v>840</v>
      </c>
      <c r="T3" s="4">
        <v>840</v>
      </c>
      <c r="U3" s="4">
        <v>890</v>
      </c>
      <c r="V3" s="4">
        <v>890</v>
      </c>
      <c r="W3" s="4">
        <v>890</v>
      </c>
      <c r="X3" s="2">
        <v>853</v>
      </c>
      <c r="Y3" s="2">
        <f ca="1">IFERROR(__xludf.DUMMYFUNCTION("INDEX(IMPORTRANGE(""1y0FWgjbB0gVlqn-q5LMJbGIsqOrzru4yowQz67dz2yc"", ""'APO'!BH3:BH139""),MATCH(D3,IMPORTRANGE(""1y0FWgjbB0gVlqn-q5LMJbGIsqOrzru4yowQz67dz2yc"", ""'APO'!D3:D139""),0))"),818)</f>
        <v>818</v>
      </c>
      <c r="Z3" s="2">
        <f ca="1">IFERROR(__xludf.DUMMYFUNCTION("INDEX(IMPORTRANGE(""1y0FWgjbB0gVlqn-q5LMJbGIsqOrzru4yowQz67dz2yc"", ""'APO'!BI3:BI139""),MATCH(D3,IMPORTRANGE(""1y0FWgjbB0gVlqn-q5LMJbGIsqOrzru4yowQz67dz2yc"", ""'APO'!D3:D139""),0))"),817)</f>
        <v>817</v>
      </c>
      <c r="AA3" s="2"/>
      <c r="AB3" s="2"/>
      <c r="AC3" s="2"/>
    </row>
    <row r="4" spans="1:29">
      <c r="A4" s="149" t="s">
        <v>34</v>
      </c>
      <c r="B4" s="149" t="s">
        <v>40</v>
      </c>
      <c r="C4" s="148" t="s">
        <v>30</v>
      </c>
      <c r="D4" s="150" t="s">
        <v>41</v>
      </c>
      <c r="E4" s="14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835</v>
      </c>
      <c r="Q4" s="2">
        <v>835</v>
      </c>
      <c r="R4" s="13"/>
      <c r="S4" s="13"/>
      <c r="T4" s="13"/>
      <c r="U4" s="13"/>
      <c r="V4" s="13"/>
      <c r="W4" s="13"/>
      <c r="X4" s="2">
        <v>853</v>
      </c>
      <c r="Y4" s="2">
        <f ca="1">IFERROR(__xludf.DUMMYFUNCTION("INDEX(IMPORTRANGE(""1y0FWgjbB0gVlqn-q5LMJbGIsqOrzru4yowQz67dz2yc"", ""'APO'!BH3:BH139""),MATCH(D4,IMPORTRANGE(""1y0FWgjbB0gVlqn-q5LMJbGIsqOrzru4yowQz67dz2yc"", ""'APO'!D3:D139""),0))"),787)</f>
        <v>787</v>
      </c>
      <c r="Z4" s="2">
        <f ca="1">IFERROR(__xludf.DUMMYFUNCTION("INDEX(IMPORTRANGE(""1y0FWgjbB0gVlqn-q5LMJbGIsqOrzru4yowQz67dz2yc"", ""'APO'!BI3:BI139""),MATCH(D4,IMPORTRANGE(""1y0FWgjbB0gVlqn-q5LMJbGIsqOrzru4yowQz67dz2yc"", ""'APO'!D3:D139""),0))"),817)</f>
        <v>817</v>
      </c>
      <c r="AA4" s="1"/>
      <c r="AB4" s="1"/>
      <c r="AC4" s="1"/>
    </row>
    <row r="5" spans="1:29">
      <c r="A5" s="149" t="s">
        <v>34</v>
      </c>
      <c r="B5" s="149" t="s">
        <v>40</v>
      </c>
      <c r="C5" s="148" t="s">
        <v>36</v>
      </c>
      <c r="D5" s="150" t="s">
        <v>43</v>
      </c>
      <c r="E5" s="149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4">
        <f t="shared" ref="P5:Q5" si="0">P4/P3</f>
        <v>1</v>
      </c>
      <c r="Q5" s="14">
        <f t="shared" si="0"/>
        <v>1</v>
      </c>
      <c r="R5" s="2" t="s">
        <v>327</v>
      </c>
      <c r="S5" s="2" t="s">
        <v>327</v>
      </c>
      <c r="T5" s="2" t="s">
        <v>327</v>
      </c>
      <c r="U5" s="2" t="s">
        <v>327</v>
      </c>
      <c r="V5" s="2" t="s">
        <v>327</v>
      </c>
      <c r="W5" s="2" t="s">
        <v>327</v>
      </c>
      <c r="X5" s="15">
        <f>X4/X3</f>
        <v>1</v>
      </c>
      <c r="Y5" s="15">
        <f ca="1">IFERROR(__xludf.DUMMYFUNCTION("INDEX(IMPORTRANGE(""1y0FWgjbB0gVlqn-q5LMJbGIsqOrzru4yowQz67dz2yc"", ""'APO'!BH3:BH139""),MATCH(D5,IMPORTRANGE(""1y0FWgjbB0gVlqn-q5LMJbGIsqOrzru4yowQz67dz2yc"", ""'APO'!D3:D139""),0))"),0.962102689486552)</f>
        <v>0.96210268948655198</v>
      </c>
      <c r="Z5" s="15">
        <f ca="1">IFERROR(__xludf.DUMMYFUNCTION("INDEX(IMPORTRANGE(""1y0FWgjbB0gVlqn-q5LMJbGIsqOrzru4yowQz67dz2yc"", ""'APO'!BI3:BI139""),MATCH(D5,IMPORTRANGE(""1y0FWgjbB0gVlqn-q5LMJbGIsqOrzru4yowQz67dz2yc"", ""'APO'!D3:D139""),0))"),1)</f>
        <v>1</v>
      </c>
      <c r="AA5" s="2"/>
      <c r="AB5" s="2"/>
      <c r="AC5" s="2"/>
    </row>
    <row r="6" spans="1:29">
      <c r="A6" s="149" t="s">
        <v>34</v>
      </c>
      <c r="B6" s="149" t="s">
        <v>45</v>
      </c>
      <c r="C6" s="148" t="s">
        <v>30</v>
      </c>
      <c r="D6" s="148" t="s">
        <v>328</v>
      </c>
      <c r="E6" s="151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""'APO'!BH3:BH139""),MATCH(D6,IMPORTRANGE(""1y0FWgjbB0gVlqn-q5LMJbGIsqOrzru4yowQz67dz2yc"", ""'APO'!D3:D139""),0))"),5)</f>
        <v>5</v>
      </c>
      <c r="Z6" s="2">
        <f ca="1">IFERROR(__xludf.DUMMYFUNCTION("INDEX(IMPORTRANGE(""1y0FWgjbB0gVlqn-q5LMJbGIsqOrzru4yowQz67dz2yc"", ""'APO'!BI3:BI139""),MATCH(D6,IMPORTRANGE(""1y0FWgjbB0gVlqn-q5LMJbGIsqOrzru4yowQz67dz2yc"", ""'APO'!D3:D139""),0))"),7)</f>
        <v>7</v>
      </c>
      <c r="AA6" s="1"/>
      <c r="AB6" s="1"/>
      <c r="AC6" s="1"/>
    </row>
    <row r="7" spans="1:29">
      <c r="A7" s="149" t="s">
        <v>34</v>
      </c>
      <c r="B7" s="149" t="s">
        <v>45</v>
      </c>
      <c r="C7" s="148" t="s">
        <v>30</v>
      </c>
      <c r="D7" s="148" t="s">
        <v>329</v>
      </c>
      <c r="E7" s="151" t="s">
        <v>38</v>
      </c>
      <c r="F7" s="9" t="s">
        <v>49</v>
      </c>
      <c r="G7" s="10">
        <v>44469</v>
      </c>
      <c r="H7" s="10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1"/>
      <c r="X7" s="19"/>
      <c r="Y7" s="2">
        <f ca="1">IFERROR(__xludf.DUMMYFUNCTION("INDEX(IMPORTRANGE(""1y0FWgjbB0gVlqn-q5LMJbGIsqOrzru4yowQz67dz2yc"", ""'APO'!BH3:BH139""),MATCH(D7,IMPORTRANGE(""1y0FWgjbB0gVlqn-q5LMJbGIsqOrzru4yowQz67dz2yc"", ""'APO'!D3:D139""),0))"),4)</f>
        <v>4</v>
      </c>
      <c r="Z7" s="2">
        <f ca="1">IFERROR(__xludf.DUMMYFUNCTION("INDEX(IMPORTRANGE(""1y0FWgjbB0gVlqn-q5LMJbGIsqOrzru4yowQz67dz2yc"", ""'APO'!BI3:BI139""),MATCH(D7,IMPORTRANGE(""1y0FWgjbB0gVlqn-q5LMJbGIsqOrzru4yowQz67dz2yc"", ""'APO'!D3:D139""),0))"),3)</f>
        <v>3</v>
      </c>
      <c r="AA7" s="1"/>
      <c r="AB7" s="1"/>
      <c r="AC7" s="1"/>
    </row>
    <row r="8" spans="1:29">
      <c r="A8" s="149" t="s">
        <v>34</v>
      </c>
      <c r="B8" s="149" t="s">
        <v>45</v>
      </c>
      <c r="C8" s="148" t="s">
        <v>36</v>
      </c>
      <c r="D8" s="148" t="s">
        <v>50</v>
      </c>
      <c r="E8" s="15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3.3E-3</v>
      </c>
      <c r="S8" s="26">
        <v>3.3E-3</v>
      </c>
      <c r="T8" s="26">
        <v>6.7000000000000002E-3</v>
      </c>
      <c r="U8" s="26">
        <v>6.7000000000000002E-3</v>
      </c>
      <c r="V8" s="26">
        <v>0.01</v>
      </c>
      <c r="W8" s="26">
        <v>0.01</v>
      </c>
      <c r="X8" s="19">
        <f>X6/X3</f>
        <v>0</v>
      </c>
      <c r="Y8" s="15">
        <f ca="1">IFERROR(__xludf.DUMMYFUNCTION("INDEX(IMPORTRANGE(""1y0FWgjbB0gVlqn-q5LMJbGIsqOrzru4yowQz67dz2yc"", ""'APO'!BH3:BH139""),MATCH(D8,IMPORTRANGE(""1y0FWgjbB0gVlqn-q5LMJbGIsqOrzru4yowQz67dz2yc"", ""'APO'!D3:D139""),0))"),0.011002444987775)</f>
        <v>1.1002444987775001E-2</v>
      </c>
      <c r="Z8" s="15">
        <f ca="1">IFERROR(__xludf.DUMMYFUNCTION("INDEX(IMPORTRANGE(""1y0FWgjbB0gVlqn-q5LMJbGIsqOrzru4yowQz67dz2yc"", ""'APO'!BI3:BI139""),MATCH(D8,IMPORTRANGE(""1y0FWgjbB0gVlqn-q5LMJbGIsqOrzru4yowQz67dz2yc"", ""'APO'!D3:D139""),0))"),0.0122399020807833)</f>
        <v>1.2239902080783301E-2</v>
      </c>
      <c r="AA8" s="2"/>
      <c r="AB8" s="2"/>
      <c r="AC8" s="2"/>
    </row>
    <row r="9" spans="1:29">
      <c r="A9" s="149" t="s">
        <v>52</v>
      </c>
      <c r="B9" s="149" t="s">
        <v>53</v>
      </c>
      <c r="C9" s="148" t="s">
        <v>30</v>
      </c>
      <c r="D9" s="149" t="s">
        <v>54</v>
      </c>
      <c r="E9" s="14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2">
        <f ca="1">IFERROR(__xludf.DUMMYFUNCTION("INDEX(IMPORTRANGE(""1y0FWgjbB0gVlqn-q5LMJbGIsqOrzru4yowQz67dz2yc"", ""'APO'!BH3:BH139""),MATCH(D9,IMPORTRANGE(""1y0FWgjbB0gVlqn-q5LMJbGIsqOrzru4yowQz67dz2yc"", ""'APO'!D3:D139""),0))"),23)</f>
        <v>23</v>
      </c>
      <c r="Z9" s="2">
        <f ca="1">IFERROR(__xludf.DUMMYFUNCTION("INDEX(IMPORTRANGE(""1y0FWgjbB0gVlqn-q5LMJbGIsqOrzru4yowQz67dz2yc"", ""'APO'!BI3:BI139""),MATCH(D9,IMPORTRANGE(""1y0FWgjbB0gVlqn-q5LMJbGIsqOrzru4yowQz67dz2yc"", ""'APO'!D3:D139""),0))"),48)</f>
        <v>48</v>
      </c>
      <c r="AA9" s="1"/>
      <c r="AB9" s="1"/>
      <c r="AC9" s="1"/>
    </row>
    <row r="10" spans="1:29">
      <c r="A10" s="149" t="s">
        <v>52</v>
      </c>
      <c r="B10" s="149" t="s">
        <v>53</v>
      </c>
      <c r="C10" s="148" t="s">
        <v>30</v>
      </c>
      <c r="D10" s="149" t="s">
        <v>64</v>
      </c>
      <c r="E10" s="14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3313</v>
      </c>
      <c r="Q10" s="12">
        <v>6449</v>
      </c>
      <c r="R10" s="13"/>
      <c r="S10" s="13"/>
      <c r="T10" s="13"/>
      <c r="U10" s="13"/>
      <c r="V10" s="13"/>
      <c r="W10" s="13"/>
      <c r="X10" s="2">
        <v>3629</v>
      </c>
      <c r="Y10" s="2">
        <f ca="1">IFERROR(__xludf.DUMMYFUNCTION("INDEX(IMPORTRANGE(""1y0FWgjbB0gVlqn-q5LMJbGIsqOrzru4yowQz67dz2yc"", ""'APO'!BH3:BH139""),MATCH(D10,IMPORTRANGE(""1y0FWgjbB0gVlqn-q5LMJbGIsqOrzru4yowQz67dz2yc"", ""'APO'!D3:D139""),0))"),225)</f>
        <v>225</v>
      </c>
      <c r="Z10" s="2">
        <f ca="1">IFERROR(__xludf.DUMMYFUNCTION("INDEX(IMPORTRANGE(""1y0FWgjbB0gVlqn-q5LMJbGIsqOrzru4yowQz67dz2yc"", ""'APO'!BI3:BI139""),MATCH(D10,IMPORTRANGE(""1y0FWgjbB0gVlqn-q5LMJbGIsqOrzru4yowQz67dz2yc"", ""'APO'!D3:D139""),0))"),328)</f>
        <v>328</v>
      </c>
      <c r="AA10" s="1"/>
      <c r="AB10" s="1"/>
      <c r="AC10" s="1"/>
    </row>
    <row r="11" spans="1:29">
      <c r="A11" s="149" t="s">
        <v>52</v>
      </c>
      <c r="B11" s="149" t="s">
        <v>53</v>
      </c>
      <c r="C11" s="148" t="s">
        <v>36</v>
      </c>
      <c r="D11" s="149" t="s">
        <v>66</v>
      </c>
      <c r="E11" s="14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v>6.7000000000000004E-2</v>
      </c>
      <c r="S11" s="15">
        <v>0.13300000000000001</v>
      </c>
      <c r="T11" s="15">
        <v>0.2</v>
      </c>
      <c r="U11" s="15">
        <v>0.26700000000000002</v>
      </c>
      <c r="V11" s="15">
        <v>0.33300000000000002</v>
      </c>
      <c r="W11" s="15">
        <v>0.33329999999999999</v>
      </c>
      <c r="X11" s="15">
        <f>X9/X10</f>
        <v>0</v>
      </c>
      <c r="Y11" s="15">
        <f ca="1">IFERROR(__xludf.DUMMYFUNCTION("INDEX(IMPORTRANGE(""1y0FWgjbB0gVlqn-q5LMJbGIsqOrzru4yowQz67dz2yc"", ""'APO'!BH3:BH139""),MATCH(D11,IMPORTRANGE(""1y0FWgjbB0gVlqn-q5LMJbGIsqOrzru4yowQz67dz2yc"", ""'APO'!D3:D139""),0))"),0.102222222222222)</f>
        <v>0.10222222222222201</v>
      </c>
      <c r="Z11" s="15">
        <f ca="1">IFERROR(__xludf.DUMMYFUNCTION("INDEX(IMPORTRANGE(""1y0FWgjbB0gVlqn-q5LMJbGIsqOrzru4yowQz67dz2yc"", ""'APO'!BI3:BI139""),MATCH(D11,IMPORTRANGE(""1y0FWgjbB0gVlqn-q5LMJbGIsqOrzru4yowQz67dz2yc"", ""'APO'!D3:D139""),0))"),0.146341463414634)</f>
        <v>0.146341463414634</v>
      </c>
      <c r="AA11" s="2"/>
      <c r="AB11" s="2"/>
      <c r="AC11" s="2"/>
    </row>
    <row r="12" spans="1:29">
      <c r="A12" s="149" t="s">
        <v>52</v>
      </c>
      <c r="B12" s="149" t="s">
        <v>68</v>
      </c>
      <c r="C12" s="148" t="s">
        <v>30</v>
      </c>
      <c r="D12" s="149" t="s">
        <v>69</v>
      </c>
      <c r="E12" s="149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2">
        <v>92</v>
      </c>
      <c r="R12" s="13"/>
      <c r="S12" s="13"/>
      <c r="T12" s="13"/>
      <c r="U12" s="13"/>
      <c r="V12" s="13"/>
      <c r="W12" s="13"/>
      <c r="X12" s="2">
        <v>27</v>
      </c>
      <c r="Y12" s="2">
        <f ca="1">IFERROR(__xludf.DUMMYFUNCTION("INDEX(IMPORTRANGE(""1y0FWgjbB0gVlqn-q5LMJbGIsqOrzru4yowQz67dz2yc"", ""'APO'!BH3:BH139""),MATCH(D12,IMPORTRANGE(""1y0FWgjbB0gVlqn-q5LMJbGIsqOrzru4yowQz67dz2yc"", ""'APO'!D3:D139""),0))"),70)</f>
        <v>70</v>
      </c>
      <c r="Z12" s="2">
        <f ca="1">IFERROR(__xludf.DUMMYFUNCTION("INDEX(IMPORTRANGE(""1y0FWgjbB0gVlqn-q5LMJbGIsqOrzru4yowQz67dz2yc"", ""'APO'!BI3:BI139""),MATCH(D12,IMPORTRANGE(""1y0FWgjbB0gVlqn-q5LMJbGIsqOrzru4yowQz67dz2yc"", ""'APO'!D3:D139""),0))"),38)</f>
        <v>38</v>
      </c>
      <c r="AA12" s="1"/>
      <c r="AB12" s="1"/>
      <c r="AC12" s="1"/>
    </row>
    <row r="13" spans="1:29">
      <c r="A13" s="149" t="s">
        <v>52</v>
      </c>
      <c r="B13" s="149" t="s">
        <v>68</v>
      </c>
      <c r="C13" s="148" t="s">
        <v>36</v>
      </c>
      <c r="D13" s="149" t="s">
        <v>72</v>
      </c>
      <c r="E13" s="14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4.5063043197433208</v>
      </c>
      <c r="Q13" s="23">
        <f t="shared" si="3"/>
        <v>13.819333247212851</v>
      </c>
      <c r="R13" s="2">
        <v>13.3</v>
      </c>
      <c r="S13" s="2">
        <v>3.7</v>
      </c>
      <c r="T13" s="2">
        <v>12.6</v>
      </c>
      <c r="U13" s="2">
        <v>3.5</v>
      </c>
      <c r="V13" s="2">
        <v>12</v>
      </c>
      <c r="W13" s="2">
        <v>12</v>
      </c>
      <c r="X13" s="23">
        <f>(X12/X$2)*100000</f>
        <v>3.9405876145871797</v>
      </c>
      <c r="Y13" s="23">
        <f ca="1">IFERROR(__xludf.DUMMYFUNCTION("INDEX(IMPORTRANGE(""1y0FWgjbB0gVlqn-q5LMJbGIsqOrzru4yowQz67dz2yc"", ""'APO'!BH3:BH139""),MATCH(D13,IMPORTRANGE(""1y0FWgjbB0gVlqn-q5LMJbGIsqOrzru4yowQz67dz2yc"", ""'APO'!D3:D139""),0))"),10.2163382600408)</f>
        <v>10.2163382600408</v>
      </c>
      <c r="Z13" s="23">
        <f ca="1">IFERROR(__xludf.DUMMYFUNCTION("INDEX(IMPORTRANGE(""1y0FWgjbB0gVlqn-q5LMJbGIsqOrzru4yowQz67dz2yc"", ""'APO'!BI3:BI139""),MATCH(D13,IMPORTRANGE(""1y0FWgjbB0gVlqn-q5LMJbGIsqOrzru4yowQz67dz2yc"", ""'APO'!D3:D139""),0))"),5.48304944123397)</f>
        <v>5.4830494412339696</v>
      </c>
      <c r="AA13" s="2"/>
      <c r="AB13" s="2"/>
      <c r="AC13" s="2"/>
    </row>
    <row r="14" spans="1:29">
      <c r="A14" s="149" t="s">
        <v>52</v>
      </c>
      <c r="B14" s="149" t="s">
        <v>68</v>
      </c>
      <c r="C14" s="148" t="s">
        <v>30</v>
      </c>
      <c r="D14" s="149" t="s">
        <v>75</v>
      </c>
      <c r="E14" s="14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197</v>
      </c>
      <c r="Q14" s="12">
        <v>334</v>
      </c>
      <c r="R14" s="13"/>
      <c r="S14" s="13"/>
      <c r="T14" s="13"/>
      <c r="U14" s="13"/>
      <c r="V14" s="13"/>
      <c r="W14" s="13"/>
      <c r="X14" s="12">
        <v>112</v>
      </c>
      <c r="Y14" s="2">
        <f ca="1">IFERROR(__xludf.DUMMYFUNCTION("INDEX(IMPORTRANGE(""1y0FWgjbB0gVlqn-q5LMJbGIsqOrzru4yowQz67dz2yc"", ""'APO'!BH3:BH139""),MATCH(D14,IMPORTRANGE(""1y0FWgjbB0gVlqn-q5LMJbGIsqOrzru4yowQz67dz2yc"", ""'APO'!D3:D139""),0))"),235)</f>
        <v>235</v>
      </c>
      <c r="Z14" s="2">
        <f ca="1">IFERROR(__xludf.DUMMYFUNCTION("INDEX(IMPORTRANGE(""1y0FWgjbB0gVlqn-q5LMJbGIsqOrzru4yowQz67dz2yc"", ""'APO'!BI3:BI139""),MATCH(D14,IMPORTRANGE(""1y0FWgjbB0gVlqn-q5LMJbGIsqOrzru4yowQz67dz2yc"", ""'APO'!D3:D139""),0))"),112)</f>
        <v>112</v>
      </c>
      <c r="AA14" s="1"/>
      <c r="AB14" s="1"/>
      <c r="AC14" s="1"/>
    </row>
    <row r="15" spans="1:29">
      <c r="A15" s="149" t="s">
        <v>52</v>
      </c>
      <c r="B15" s="149" t="s">
        <v>68</v>
      </c>
      <c r="C15" s="148" t="s">
        <v>30</v>
      </c>
      <c r="D15" s="149" t="s">
        <v>78</v>
      </c>
      <c r="E15" s="14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481</v>
      </c>
      <c r="Q15" s="12">
        <v>860</v>
      </c>
      <c r="R15" s="13"/>
      <c r="S15" s="13"/>
      <c r="T15" s="13"/>
      <c r="U15" s="13"/>
      <c r="V15" s="13"/>
      <c r="W15" s="13"/>
      <c r="X15" s="12">
        <v>389</v>
      </c>
      <c r="Y15" s="2">
        <f ca="1">IFERROR(__xludf.DUMMYFUNCTION("INDEX(IMPORTRANGE(""1y0FWgjbB0gVlqn-q5LMJbGIsqOrzru4yowQz67dz2yc"", ""'APO'!BH3:BH139""),MATCH(D15,IMPORTRANGE(""1y0FWgjbB0gVlqn-q5LMJbGIsqOrzru4yowQz67dz2yc"", ""'APO'!D3:D139""),0))"),747)</f>
        <v>747</v>
      </c>
      <c r="Z15" s="2">
        <f ca="1">IFERROR(__xludf.DUMMYFUNCTION("INDEX(IMPORTRANGE(""1y0FWgjbB0gVlqn-q5LMJbGIsqOrzru4yowQz67dz2yc"", ""'APO'!BI3:BI139""),MATCH(D15,IMPORTRANGE(""1y0FWgjbB0gVlqn-q5LMJbGIsqOrzru4yowQz67dz2yc"", ""'APO'!D3:D139""),0))"),292)</f>
        <v>292</v>
      </c>
      <c r="AA15" s="1"/>
      <c r="AB15" s="1"/>
      <c r="AC15" s="1"/>
    </row>
    <row r="16" spans="1:29">
      <c r="A16" s="149" t="s">
        <v>52</v>
      </c>
      <c r="B16" s="149" t="s">
        <v>68</v>
      </c>
      <c r="C16" s="148" t="s">
        <v>30</v>
      </c>
      <c r="D16" s="149" t="s">
        <v>80</v>
      </c>
      <c r="E16" s="14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227</v>
      </c>
      <c r="Q16" s="12">
        <v>481</v>
      </c>
      <c r="R16" s="13"/>
      <c r="S16" s="13"/>
      <c r="T16" s="13"/>
      <c r="U16" s="13"/>
      <c r="V16" s="13"/>
      <c r="W16" s="13"/>
      <c r="X16" s="12">
        <v>188</v>
      </c>
      <c r="Y16" s="2">
        <f ca="1">IFERROR(__xludf.DUMMYFUNCTION("INDEX(IMPORTRANGE(""1y0FWgjbB0gVlqn-q5LMJbGIsqOrzru4yowQz67dz2yc"", ""'APO'!BH3:BH139""),MATCH(D16,IMPORTRANGE(""1y0FWgjbB0gVlqn-q5LMJbGIsqOrzru4yowQz67dz2yc"", ""'APO'!D3:D139""),0))"),341)</f>
        <v>341</v>
      </c>
      <c r="Z16" s="2">
        <f ca="1">IFERROR(__xludf.DUMMYFUNCTION("INDEX(IMPORTRANGE(""1y0FWgjbB0gVlqn-q5LMJbGIsqOrzru4yowQz67dz2yc"", ""'APO'!BI3:BI139""),MATCH(D16,IMPORTRANGE(""1y0FWgjbB0gVlqn-q5LMJbGIsqOrzru4yowQz67dz2yc"", ""'APO'!D3:D139""),0))"),167)</f>
        <v>167</v>
      </c>
      <c r="AA16" s="1"/>
      <c r="AB16" s="1"/>
      <c r="AC16" s="1"/>
    </row>
    <row r="17" spans="1:29">
      <c r="A17" s="149" t="s">
        <v>52</v>
      </c>
      <c r="B17" s="149" t="s">
        <v>68</v>
      </c>
      <c r="C17" s="148" t="s">
        <v>30</v>
      </c>
      <c r="D17" s="149" t="s">
        <v>82</v>
      </c>
      <c r="E17" s="14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73</v>
      </c>
      <c r="Q17" s="12">
        <v>151</v>
      </c>
      <c r="R17" s="13"/>
      <c r="S17" s="13"/>
      <c r="T17" s="13"/>
      <c r="U17" s="13"/>
      <c r="V17" s="13"/>
      <c r="W17" s="13"/>
      <c r="X17" s="12">
        <v>45</v>
      </c>
      <c r="Y17" s="2">
        <f ca="1">IFERROR(__xludf.DUMMYFUNCTION("INDEX(IMPORTRANGE(""1y0FWgjbB0gVlqn-q5LMJbGIsqOrzru4yowQz67dz2yc"", ""'APO'!BH3:BH139""),MATCH(D17,IMPORTRANGE(""1y0FWgjbB0gVlqn-q5LMJbGIsqOrzru4yowQz67dz2yc"", ""'APO'!D3:D139""),0))"),86)</f>
        <v>86</v>
      </c>
      <c r="Z17" s="2">
        <f ca="1">IFERROR(__xludf.DUMMYFUNCTION("INDEX(IMPORTRANGE(""1y0FWgjbB0gVlqn-q5LMJbGIsqOrzru4yowQz67dz2yc"", ""'APO'!BI3:BI139""),MATCH(D17,IMPORTRANGE(""1y0FWgjbB0gVlqn-q5LMJbGIsqOrzru4yowQz67dz2yc"", ""'APO'!D3:D139""),0))"),52)</f>
        <v>52</v>
      </c>
      <c r="AA17" s="1"/>
      <c r="AB17" s="1"/>
      <c r="AC17" s="1"/>
    </row>
    <row r="18" spans="1:29">
      <c r="A18" s="149" t="s">
        <v>52</v>
      </c>
      <c r="B18" s="149" t="s">
        <v>68</v>
      </c>
      <c r="C18" s="148" t="s">
        <v>36</v>
      </c>
      <c r="D18" s="149" t="s">
        <v>84</v>
      </c>
      <c r="E18" s="149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146.90552082363226</v>
      </c>
      <c r="Q18" s="23">
        <f t="shared" si="4"/>
        <v>274.28372292837679</v>
      </c>
      <c r="R18" s="2">
        <v>261.2</v>
      </c>
      <c r="S18" s="2">
        <v>134.6</v>
      </c>
      <c r="T18" s="2">
        <v>252.5</v>
      </c>
      <c r="U18" s="2">
        <v>130</v>
      </c>
      <c r="V18" s="2">
        <v>244.27</v>
      </c>
      <c r="W18" s="2">
        <v>243.13</v>
      </c>
      <c r="X18" s="23">
        <f>(SUM(X14:X17)/X2)*100000</f>
        <v>107.12560404099963</v>
      </c>
      <c r="Y18" s="23">
        <f ca="1">IFERROR(__xludf.DUMMYFUNCTION("INDEX(IMPORTRANGE(""1y0FWgjbB0gVlqn-q5LMJbGIsqOrzru4yowQz67dz2yc"", ""'APO'!BH3:BH139""),MATCH(D18,IMPORTRANGE(""1y0FWgjbB0gVlqn-q5LMJbGIsqOrzru4yowQz67dz2yc"", ""'APO'!D3:D139""),0))"),205.640294405679)</f>
        <v>205.64029440567899</v>
      </c>
      <c r="Z18" s="23">
        <f ca="1">IFERROR(__xludf.DUMMYFUNCTION("INDEX(IMPORTRANGE(""1y0FWgjbB0gVlqn-q5LMJbGIsqOrzru4yowQz67dz2yc"", ""'APO'!BI3:BI139""),MATCH(D18,IMPORTRANGE(""1y0FWgjbB0gVlqn-q5LMJbGIsqOrzru4yowQz67dz2yc"", ""'APO'!D3:D139""),0))"),89.8931526812833)</f>
        <v>89.893152681283297</v>
      </c>
      <c r="AA18" s="2"/>
      <c r="AB18" s="2"/>
      <c r="AC18" s="2"/>
    </row>
    <row r="19" spans="1:29">
      <c r="A19" s="149" t="s">
        <v>52</v>
      </c>
      <c r="B19" s="149" t="s">
        <v>86</v>
      </c>
      <c r="C19" s="148" t="s">
        <v>30</v>
      </c>
      <c r="D19" s="149" t="s">
        <v>87</v>
      </c>
      <c r="E19" s="149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2213</v>
      </c>
      <c r="Q19" s="12">
        <v>5571</v>
      </c>
      <c r="R19" s="13"/>
      <c r="S19" s="13"/>
      <c r="T19" s="13"/>
      <c r="U19" s="13"/>
      <c r="V19" s="13"/>
      <c r="W19" s="13"/>
      <c r="X19" s="12">
        <v>2488</v>
      </c>
      <c r="Y19" s="2">
        <f ca="1">IFERROR(__xludf.DUMMYFUNCTION("INDEX(IMPORTRANGE(""1y0FWgjbB0gVlqn-q5LMJbGIsqOrzru4yowQz67dz2yc"", ""'APO'!BH3:BH139""),MATCH(D19,IMPORTRANGE(""1y0FWgjbB0gVlqn-q5LMJbGIsqOrzru4yowQz67dz2yc"", ""'APO'!D3:D139""),0))"),5401)</f>
        <v>5401</v>
      </c>
      <c r="Z19" s="2">
        <f ca="1">IFERROR(__xludf.DUMMYFUNCTION("INDEX(IMPORTRANGE(""1y0FWgjbB0gVlqn-q5LMJbGIsqOrzru4yowQz67dz2yc"", ""'APO'!BI3:BI139""),MATCH(D19,IMPORTRANGE(""1y0FWgjbB0gVlqn-q5LMJbGIsqOrzru4yowQz67dz2yc"", ""'APO'!D3:D139""),0))"),2134)</f>
        <v>2134</v>
      </c>
      <c r="AA19" s="1"/>
      <c r="AB19" s="1"/>
      <c r="AC19" s="1"/>
    </row>
    <row r="20" spans="1:29">
      <c r="A20" s="149" t="s">
        <v>52</v>
      </c>
      <c r="B20" s="149" t="s">
        <v>86</v>
      </c>
      <c r="C20" s="148" t="s">
        <v>36</v>
      </c>
      <c r="D20" s="149" t="s">
        <v>89</v>
      </c>
      <c r="E20" s="149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332.41504865306564</v>
      </c>
      <c r="Q20" s="23">
        <f t="shared" si="5"/>
        <v>836.82071217633472</v>
      </c>
      <c r="R20" s="2">
        <v>797.02</v>
      </c>
      <c r="S20" s="2">
        <v>309.79000000000002</v>
      </c>
      <c r="T20" s="2">
        <v>779.31</v>
      </c>
      <c r="U20" s="2">
        <v>298.02</v>
      </c>
      <c r="V20" s="2">
        <v>761.13</v>
      </c>
      <c r="W20" s="2">
        <v>757.56</v>
      </c>
      <c r="X20" s="23">
        <f>(X19/X$2)*100000</f>
        <v>363.11785129973714</v>
      </c>
      <c r="Y20" s="23">
        <f ca="1">IFERROR(__xludf.DUMMYFUNCTION("INDEX(IMPORTRANGE(""1y0FWgjbB0gVlqn-q5LMJbGIsqOrzru4yowQz67dz2yc"", ""'APO'!BH3:BH139""),MATCH(D20,IMPORTRANGE(""1y0FWgjbB0gVlqn-q5LMJbGIsqOrzru4yowQz67dz2yc"", ""'APO'!D3:D139""),0))"),788.263470606865)</f>
        <v>788.26347060686498</v>
      </c>
      <c r="Z20" s="23">
        <f ca="1">IFERROR(__xludf.DUMMYFUNCTION("INDEX(IMPORTRANGE(""1y0FWgjbB0gVlqn-q5LMJbGIsqOrzru4yowQz67dz2yc"", ""'APO'!BI3:BI139""),MATCH(D20,IMPORTRANGE(""1y0FWgjbB0gVlqn-q5LMJbGIsqOrzru4yowQz67dz2yc"", ""'APO'!D3:D139""),0))"),307.916513357718)</f>
        <v>307.91651335771797</v>
      </c>
      <c r="AA20" s="2"/>
      <c r="AB20" s="2"/>
      <c r="AC20" s="2"/>
    </row>
    <row r="21" spans="1:29">
      <c r="A21" s="149" t="s">
        <v>52</v>
      </c>
      <c r="B21" s="149" t="s">
        <v>86</v>
      </c>
      <c r="C21" s="148" t="s">
        <v>30</v>
      </c>
      <c r="D21" s="149" t="s">
        <v>91</v>
      </c>
      <c r="E21" s="149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367</v>
      </c>
      <c r="Q21" s="12">
        <v>810</v>
      </c>
      <c r="R21" s="13"/>
      <c r="S21" s="13"/>
      <c r="T21" s="13"/>
      <c r="U21" s="13"/>
      <c r="V21" s="13"/>
      <c r="W21" s="13"/>
      <c r="X21" s="12">
        <v>365</v>
      </c>
      <c r="Y21" s="2">
        <f ca="1">IFERROR(__xludf.DUMMYFUNCTION("INDEX(IMPORTRANGE(""1y0FWgjbB0gVlqn-q5LMJbGIsqOrzru4yowQz67dz2yc"", ""'APO'!BH3:BH139""),MATCH(D21,IMPORTRANGE(""1y0FWgjbB0gVlqn-q5LMJbGIsqOrzru4yowQz67dz2yc"", ""'APO'!D3:D139""),0))"),810)</f>
        <v>810</v>
      </c>
      <c r="Z21" s="2">
        <f ca="1">IFERROR(__xludf.DUMMYFUNCTION("INDEX(IMPORTRANGE(""1y0FWgjbB0gVlqn-q5LMJbGIsqOrzru4yowQz67dz2yc"", ""'APO'!BI3:BI139""),MATCH(D21,IMPORTRANGE(""1y0FWgjbB0gVlqn-q5LMJbGIsqOrzru4yowQz67dz2yc"", ""'APO'!D3:D139""),0))"),296)</f>
        <v>296</v>
      </c>
      <c r="AA21" s="1"/>
      <c r="AB21" s="1"/>
      <c r="AC21" s="1"/>
    </row>
    <row r="22" spans="1:29">
      <c r="A22" s="149" t="s">
        <v>52</v>
      </c>
      <c r="B22" s="149" t="s">
        <v>86</v>
      </c>
      <c r="C22" s="148" t="s">
        <v>36</v>
      </c>
      <c r="D22" s="149" t="s">
        <v>93</v>
      </c>
      <c r="E22" s="149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55.127122844859954</v>
      </c>
      <c r="Q22" s="23">
        <f t="shared" si="6"/>
        <v>121.67021663306967</v>
      </c>
      <c r="R22" s="2">
        <v>116.46</v>
      </c>
      <c r="S22" s="2">
        <v>51.36</v>
      </c>
      <c r="T22" s="2">
        <v>112.97</v>
      </c>
      <c r="U22" s="2">
        <v>50.17</v>
      </c>
      <c r="V22" s="2">
        <v>110.77</v>
      </c>
      <c r="W22" s="2">
        <v>110.34</v>
      </c>
      <c r="X22" s="23">
        <f>(X21/X$2)*100000</f>
        <v>53.270906641641503</v>
      </c>
      <c r="Y22" s="23">
        <f ca="1">IFERROR(__xludf.DUMMYFUNCTION("INDEX(IMPORTRANGE(""1y0FWgjbB0gVlqn-q5LMJbGIsqOrzru4yowQz67dz2yc"", ""'APO'!BH3:BH139""),MATCH(D22,IMPORTRANGE(""1y0FWgjbB0gVlqn-q5LMJbGIsqOrzru4yowQz67dz2yc"", ""'APO'!D3:D139""),0))"),118.217628437615)</f>
        <v>118.21762843761501</v>
      </c>
      <c r="Z22" s="23">
        <f ca="1">IFERROR(__xludf.DUMMYFUNCTION("INDEX(IMPORTRANGE(""1y0FWgjbB0gVlqn-q5LMJbGIsqOrzru4yowQz67dz2yc"", ""'APO'!BI3:BI139""),MATCH(D22,IMPORTRANGE(""1y0FWgjbB0gVlqn-q5LMJbGIsqOrzru4yowQz67dz2yc"", ""'APO'!D3:D139""),0))"),42.7100693317172)</f>
        <v>42.7100693317172</v>
      </c>
      <c r="AA22" s="2"/>
      <c r="AB22" s="2"/>
      <c r="AC22" s="2"/>
    </row>
    <row r="23" spans="1:29">
      <c r="A23" s="149" t="s">
        <v>52</v>
      </c>
      <c r="B23" s="149" t="s">
        <v>86</v>
      </c>
      <c r="C23" s="148" t="s">
        <v>30</v>
      </c>
      <c r="D23" s="149" t="s">
        <v>95</v>
      </c>
      <c r="E23" s="149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4</v>
      </c>
      <c r="Q23" s="12">
        <v>17</v>
      </c>
      <c r="R23" s="13"/>
      <c r="S23" s="13"/>
      <c r="T23" s="13"/>
      <c r="U23" s="13"/>
      <c r="V23" s="13"/>
      <c r="W23" s="13"/>
      <c r="X23" s="12">
        <v>7</v>
      </c>
      <c r="Y23" s="2">
        <f ca="1">IFERROR(__xludf.DUMMYFUNCTION("INDEX(IMPORTRANGE(""1y0FWgjbB0gVlqn-q5LMJbGIsqOrzru4yowQz67dz2yc"", ""'APO'!BH3:BH139""),MATCH(D23,IMPORTRANGE(""1y0FWgjbB0gVlqn-q5LMJbGIsqOrzru4yowQz67dz2yc"", ""'APO'!D3:D139""),0))"),23)</f>
        <v>23</v>
      </c>
      <c r="Z23" s="2">
        <f ca="1">IFERROR(__xludf.DUMMYFUNCTION("INDEX(IMPORTRANGE(""1y0FWgjbB0gVlqn-q5LMJbGIsqOrzru4yowQz67dz2yc"", ""'APO'!BI3:BI139""),MATCH(D23,IMPORTRANGE(""1y0FWgjbB0gVlqn-q5LMJbGIsqOrzru4yowQz67dz2yc"", ""'APO'!D3:D139""),0))"),10)</f>
        <v>10</v>
      </c>
      <c r="AA23" s="1"/>
      <c r="AB23" s="1"/>
      <c r="AC23" s="1"/>
    </row>
    <row r="24" spans="1:29">
      <c r="A24" s="149" t="s">
        <v>52</v>
      </c>
      <c r="B24" s="149" t="s">
        <v>86</v>
      </c>
      <c r="C24" s="148" t="s">
        <v>30</v>
      </c>
      <c r="D24" s="149" t="s">
        <v>97</v>
      </c>
      <c r="E24" s="149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17</v>
      </c>
      <c r="Q24" s="12">
        <v>31</v>
      </c>
      <c r="R24" s="13"/>
      <c r="S24" s="13"/>
      <c r="T24" s="13"/>
      <c r="U24" s="13"/>
      <c r="V24" s="13"/>
      <c r="W24" s="13"/>
      <c r="X24" s="12">
        <v>5</v>
      </c>
      <c r="Y24" s="2">
        <f ca="1">IFERROR(__xludf.DUMMYFUNCTION("INDEX(IMPORTRANGE(""1y0FWgjbB0gVlqn-q5LMJbGIsqOrzru4yowQz67dz2yc"", ""'APO'!BH3:BH139""),MATCH(D24,IMPORTRANGE(""1y0FWgjbB0gVlqn-q5LMJbGIsqOrzru4yowQz67dz2yc"", ""'APO'!D3:D139""),0))"),19)</f>
        <v>19</v>
      </c>
      <c r="Z24" s="2">
        <f ca="1">IFERROR(__xludf.DUMMYFUNCTION("INDEX(IMPORTRANGE(""1y0FWgjbB0gVlqn-q5LMJbGIsqOrzru4yowQz67dz2yc"", ""'APO'!BI3:BI139""),MATCH(D24,IMPORTRANGE(""1y0FWgjbB0gVlqn-q5LMJbGIsqOrzru4yowQz67dz2yc"", ""'APO'!D3:D139""),0))"),6)</f>
        <v>6</v>
      </c>
      <c r="AA24" s="1"/>
      <c r="AB24" s="1"/>
      <c r="AC24" s="1"/>
    </row>
    <row r="25" spans="1:29">
      <c r="A25" s="149" t="s">
        <v>52</v>
      </c>
      <c r="B25" s="149" t="s">
        <v>86</v>
      </c>
      <c r="C25" s="148" t="s">
        <v>30</v>
      </c>
      <c r="D25" s="149" t="s">
        <v>99</v>
      </c>
      <c r="E25" s="149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13</v>
      </c>
      <c r="Q25" s="12">
        <v>20</v>
      </c>
      <c r="R25" s="13"/>
      <c r="S25" s="13"/>
      <c r="T25" s="13"/>
      <c r="U25" s="13"/>
      <c r="V25" s="13"/>
      <c r="W25" s="13"/>
      <c r="X25" s="12">
        <v>2</v>
      </c>
      <c r="Y25" s="2">
        <f ca="1">IFERROR(__xludf.DUMMYFUNCTION("INDEX(IMPORTRANGE(""1y0FWgjbB0gVlqn-q5LMJbGIsqOrzru4yowQz67dz2yc"", ""'APO'!BH3:BH139""),MATCH(D25,IMPORTRANGE(""1y0FWgjbB0gVlqn-q5LMJbGIsqOrzru4yowQz67dz2yc"", ""'APO'!D3:D139""),0))"),7)</f>
        <v>7</v>
      </c>
      <c r="Z25" s="2">
        <f ca="1">IFERROR(__xludf.DUMMYFUNCTION("INDEX(IMPORTRANGE(""1y0FWgjbB0gVlqn-q5LMJbGIsqOrzru4yowQz67dz2yc"", ""'APO'!BI3:BI139""),MATCH(D25,IMPORTRANGE(""1y0FWgjbB0gVlqn-q5LMJbGIsqOrzru4yowQz67dz2yc"", ""'APO'!D3:D139""),0))"),7)</f>
        <v>7</v>
      </c>
      <c r="AA25" s="1"/>
      <c r="AB25" s="1"/>
      <c r="AC25" s="1"/>
    </row>
    <row r="26" spans="1:29">
      <c r="A26" s="149" t="s">
        <v>52</v>
      </c>
      <c r="B26" s="149" t="s">
        <v>86</v>
      </c>
      <c r="C26" s="148" t="s">
        <v>30</v>
      </c>
      <c r="D26" s="149" t="s">
        <v>101</v>
      </c>
      <c r="E26" s="149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</v>
      </c>
      <c r="Q26" s="12">
        <v>1</v>
      </c>
      <c r="R26" s="13"/>
      <c r="S26" s="13"/>
      <c r="T26" s="13"/>
      <c r="U26" s="13"/>
      <c r="V26" s="13"/>
      <c r="W26" s="13"/>
      <c r="X26" s="12">
        <v>0</v>
      </c>
      <c r="Y26" s="2">
        <f ca="1">IFERROR(__xludf.DUMMYFUNCTION("INDEX(IMPORTRANGE(""1y0FWgjbB0gVlqn-q5LMJbGIsqOrzru4yowQz67dz2yc"", ""'APO'!BH3:BH139""),MATCH(D26,IMPORTRANGE(""1y0FWgjbB0gVlqn-q5LMJbGIsqOrzru4yowQz67dz2yc"", ""'APO'!D3:D139""),0))"),1)</f>
        <v>1</v>
      </c>
      <c r="Z26" s="2">
        <f ca="1">IFERROR(__xludf.DUMMYFUNCTION("INDEX(IMPORTRANGE(""1y0FWgjbB0gVlqn-q5LMJbGIsqOrzru4yowQz67dz2yc"", ""'APO'!BI3:BI139""),MATCH(D26,IMPORTRANGE(""1y0FWgjbB0gVlqn-q5LMJbGIsqOrzru4yowQz67dz2yc"", ""'APO'!D3:D139""),0))"),0)</f>
        <v>0</v>
      </c>
      <c r="AA26" s="1"/>
      <c r="AB26" s="1"/>
      <c r="AC26" s="1"/>
    </row>
    <row r="27" spans="1:29">
      <c r="A27" s="149" t="s">
        <v>52</v>
      </c>
      <c r="B27" s="149" t="s">
        <v>86</v>
      </c>
      <c r="C27" s="148" t="s">
        <v>30</v>
      </c>
      <c r="D27" s="149" t="s">
        <v>103</v>
      </c>
      <c r="E27" s="149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2</v>
      </c>
      <c r="R27" s="13"/>
      <c r="S27" s="13"/>
      <c r="T27" s="13"/>
      <c r="U27" s="13"/>
      <c r="V27" s="13"/>
      <c r="W27" s="13"/>
      <c r="X27" s="12">
        <v>0</v>
      </c>
      <c r="Y27" s="2">
        <f ca="1">IFERROR(__xludf.DUMMYFUNCTION("INDEX(IMPORTRANGE(""1y0FWgjbB0gVlqn-q5LMJbGIsqOrzru4yowQz67dz2yc"", ""'APO'!BH3:BH139""),MATCH(D27,IMPORTRANGE(""1y0FWgjbB0gVlqn-q5LMJbGIsqOrzru4yowQz67dz2yc"", ""'APO'!D3:D139""),0))"),1)</f>
        <v>1</v>
      </c>
      <c r="Z27" s="2">
        <f ca="1">IFERROR(__xludf.DUMMYFUNCTION("INDEX(IMPORTRANGE(""1y0FWgjbB0gVlqn-q5LMJbGIsqOrzru4yowQz67dz2yc"", ""'APO'!BI3:BI139""),MATCH(D27,IMPORTRANGE(""1y0FWgjbB0gVlqn-q5LMJbGIsqOrzru4yowQz67dz2yc"", ""'APO'!D3:D139""),0))"),0)</f>
        <v>0</v>
      </c>
      <c r="AA27" s="1"/>
      <c r="AB27" s="1"/>
      <c r="AC27" s="1"/>
    </row>
    <row r="28" spans="1:29">
      <c r="A28" s="149" t="s">
        <v>52</v>
      </c>
      <c r="B28" s="149" t="s">
        <v>86</v>
      </c>
      <c r="C28" s="148" t="s">
        <v>30</v>
      </c>
      <c r="D28" s="149" t="s">
        <v>105</v>
      </c>
      <c r="E28" s="149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2">
        <f ca="1">IFERROR(__xludf.DUMMYFUNCTION("INDEX(IMPORTRANGE(""1y0FWgjbB0gVlqn-q5LMJbGIsqOrzru4yowQz67dz2yc"", ""'APO'!BH3:BH139""),MATCH(D28,IMPORTRANGE(""1y0FWgjbB0gVlqn-q5LMJbGIsqOrzru4yowQz67dz2yc"", ""'APO'!D3:D139""),0))"),0)</f>
        <v>0</v>
      </c>
      <c r="Z28" s="2">
        <f ca="1">IFERROR(__xludf.DUMMYFUNCTION("INDEX(IMPORTRANGE(""1y0FWgjbB0gVlqn-q5LMJbGIsqOrzru4yowQz67dz2yc"", ""'APO'!BI3:BI139""),MATCH(D28,IMPORTRANGE(""1y0FWgjbB0gVlqn-q5LMJbGIsqOrzru4yowQz67dz2yc"", ""'APO'!D3:D139""),0))"),0)</f>
        <v>0</v>
      </c>
      <c r="AA28" s="1"/>
      <c r="AB28" s="1"/>
      <c r="AC28" s="1"/>
    </row>
    <row r="29" spans="1:29">
      <c r="A29" s="149" t="s">
        <v>52</v>
      </c>
      <c r="B29" s="149" t="s">
        <v>86</v>
      </c>
      <c r="C29" s="148" t="s">
        <v>30</v>
      </c>
      <c r="D29" s="149" t="s">
        <v>107</v>
      </c>
      <c r="E29" s="149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3</v>
      </c>
      <c r="Q29" s="12">
        <v>10</v>
      </c>
      <c r="R29" s="13"/>
      <c r="S29" s="13"/>
      <c r="T29" s="13"/>
      <c r="U29" s="13"/>
      <c r="V29" s="13"/>
      <c r="W29" s="13"/>
      <c r="X29" s="12">
        <v>4</v>
      </c>
      <c r="Y29" s="2">
        <f ca="1">IFERROR(__xludf.DUMMYFUNCTION("INDEX(IMPORTRANGE(""1y0FWgjbB0gVlqn-q5LMJbGIsqOrzru4yowQz67dz2yc"", ""'APO'!BH3:BH139""),MATCH(D29,IMPORTRANGE(""1y0FWgjbB0gVlqn-q5LMJbGIsqOrzru4yowQz67dz2yc"", ""'APO'!D3:D139""),0))"),11)</f>
        <v>11</v>
      </c>
      <c r="Z29" s="2">
        <f ca="1">IFERROR(__xludf.DUMMYFUNCTION("INDEX(IMPORTRANGE(""1y0FWgjbB0gVlqn-q5LMJbGIsqOrzru4yowQz67dz2yc"", ""'APO'!BI3:BI139""),MATCH(D29,IMPORTRANGE(""1y0FWgjbB0gVlqn-q5LMJbGIsqOrzru4yowQz67dz2yc"", ""'APO'!D3:D139""),0))"),1)</f>
        <v>1</v>
      </c>
      <c r="AA29" s="1"/>
      <c r="AB29" s="1"/>
      <c r="AC29" s="1"/>
    </row>
    <row r="30" spans="1:29">
      <c r="A30" s="149" t="s">
        <v>52</v>
      </c>
      <c r="B30" s="149" t="s">
        <v>86</v>
      </c>
      <c r="C30" s="148" t="s">
        <v>30</v>
      </c>
      <c r="D30" s="149" t="s">
        <v>109</v>
      </c>
      <c r="E30" s="149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1</v>
      </c>
      <c r="Q30" s="12">
        <v>1</v>
      </c>
      <c r="R30" s="13"/>
      <c r="S30" s="13"/>
      <c r="T30" s="13"/>
      <c r="U30" s="13"/>
      <c r="V30" s="13"/>
      <c r="W30" s="13"/>
      <c r="X30" s="12">
        <v>2</v>
      </c>
      <c r="Y30" s="2">
        <f ca="1">IFERROR(__xludf.DUMMYFUNCTION("INDEX(IMPORTRANGE(""1y0FWgjbB0gVlqn-q5LMJbGIsqOrzru4yowQz67dz2yc"", ""'APO'!BH3:BH139""),MATCH(D30,IMPORTRANGE(""1y0FWgjbB0gVlqn-q5LMJbGIsqOrzru4yowQz67dz2yc"", ""'APO'!D3:D139""),0))"),3)</f>
        <v>3</v>
      </c>
      <c r="Z30" s="2">
        <f ca="1">IFERROR(__xludf.DUMMYFUNCTION("INDEX(IMPORTRANGE(""1y0FWgjbB0gVlqn-q5LMJbGIsqOrzru4yowQz67dz2yc"", ""'APO'!BI3:BI139""),MATCH(D30,IMPORTRANGE(""1y0FWgjbB0gVlqn-q5LMJbGIsqOrzru4yowQz67dz2yc"", ""'APO'!D3:D139""),0))"),0)</f>
        <v>0</v>
      </c>
      <c r="AA30" s="1"/>
      <c r="AB30" s="1"/>
      <c r="AC30" s="1"/>
    </row>
    <row r="31" spans="1:29">
      <c r="A31" s="149" t="s">
        <v>52</v>
      </c>
      <c r="B31" s="149" t="s">
        <v>86</v>
      </c>
      <c r="C31" s="148" t="s">
        <v>30</v>
      </c>
      <c r="D31" s="149" t="s">
        <v>111</v>
      </c>
      <c r="E31" s="149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2">
        <f ca="1">IFERROR(__xludf.DUMMYFUNCTION("INDEX(IMPORTRANGE(""1y0FWgjbB0gVlqn-q5LMJbGIsqOrzru4yowQz67dz2yc"", ""'APO'!BH3:BH139""),MATCH(D31,IMPORTRANGE(""1y0FWgjbB0gVlqn-q5LMJbGIsqOrzru4yowQz67dz2yc"", ""'APO'!D3:D139""),0))"),0)</f>
        <v>0</v>
      </c>
      <c r="Z31" s="2">
        <f ca="1">IFERROR(__xludf.DUMMYFUNCTION("INDEX(IMPORTRANGE(""1y0FWgjbB0gVlqn-q5LMJbGIsqOrzru4yowQz67dz2yc"", ""'APO'!BI3:BI139""),MATCH(D31,IMPORTRANGE(""1y0FWgjbB0gVlqn-q5LMJbGIsqOrzru4yowQz67dz2yc"", ""'APO'!D3:D139""),0))"),0)</f>
        <v>0</v>
      </c>
      <c r="AA31" s="1"/>
      <c r="AB31" s="1"/>
      <c r="AC31" s="1"/>
    </row>
    <row r="32" spans="1:29">
      <c r="A32" s="149" t="s">
        <v>52</v>
      </c>
      <c r="B32" s="149" t="s">
        <v>86</v>
      </c>
      <c r="C32" s="148" t="s">
        <v>30</v>
      </c>
      <c r="D32" s="149" t="s">
        <v>113</v>
      </c>
      <c r="E32" s="149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1</v>
      </c>
      <c r="Q32" s="12">
        <v>6</v>
      </c>
      <c r="R32" s="13"/>
      <c r="S32" s="13"/>
      <c r="T32" s="13"/>
      <c r="U32" s="13"/>
      <c r="V32" s="13"/>
      <c r="W32" s="13"/>
      <c r="X32" s="12">
        <v>2</v>
      </c>
      <c r="Y32" s="2">
        <f ca="1">IFERROR(__xludf.DUMMYFUNCTION("INDEX(IMPORTRANGE(""1y0FWgjbB0gVlqn-q5LMJbGIsqOrzru4yowQz67dz2yc"", ""'APO'!BH3:BH139""),MATCH(D32,IMPORTRANGE(""1y0FWgjbB0gVlqn-q5LMJbGIsqOrzru4yowQz67dz2yc"", ""'APO'!D3:D139""),0))"),2)</f>
        <v>2</v>
      </c>
      <c r="Z32" s="2">
        <f ca="1">IFERROR(__xludf.DUMMYFUNCTION("INDEX(IMPORTRANGE(""1y0FWgjbB0gVlqn-q5LMJbGIsqOrzru4yowQz67dz2yc"", ""'APO'!BI3:BI139""),MATCH(D32,IMPORTRANGE(""1y0FWgjbB0gVlqn-q5LMJbGIsqOrzru4yowQz67dz2yc"", ""'APO'!D3:D139""),0))"),4)</f>
        <v>4</v>
      </c>
      <c r="AA32" s="1"/>
      <c r="AB32" s="1"/>
      <c r="AC32" s="1"/>
    </row>
    <row r="33" spans="1:29">
      <c r="A33" s="149" t="s">
        <v>52</v>
      </c>
      <c r="B33" s="149" t="s">
        <v>86</v>
      </c>
      <c r="C33" s="148" t="s">
        <v>30</v>
      </c>
      <c r="D33" s="149" t="s">
        <v>115</v>
      </c>
      <c r="E33" s="149" t="s">
        <v>76</v>
      </c>
      <c r="F33" s="2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1</v>
      </c>
      <c r="Q33" s="12">
        <v>1</v>
      </c>
      <c r="R33" s="13"/>
      <c r="S33" s="13"/>
      <c r="T33" s="13"/>
      <c r="U33" s="13"/>
      <c r="V33" s="13"/>
      <c r="W33" s="13"/>
      <c r="X33" s="12">
        <v>0</v>
      </c>
      <c r="Y33" s="2">
        <f ca="1">IFERROR(__xludf.DUMMYFUNCTION("INDEX(IMPORTRANGE(""1y0FWgjbB0gVlqn-q5LMJbGIsqOrzru4yowQz67dz2yc"", ""'APO'!BH3:BH139""),MATCH(D33,IMPORTRANGE(""1y0FWgjbB0gVlqn-q5LMJbGIsqOrzru4yowQz67dz2yc"", ""'APO'!D3:D139""),0))"),1)</f>
        <v>1</v>
      </c>
      <c r="Z33" s="2">
        <f ca="1">IFERROR(__xludf.DUMMYFUNCTION("INDEX(IMPORTRANGE(""1y0FWgjbB0gVlqn-q5LMJbGIsqOrzru4yowQz67dz2yc"", ""'APO'!BI3:BI139""),MATCH(D33,IMPORTRANGE(""1y0FWgjbB0gVlqn-q5LMJbGIsqOrzru4yowQz67dz2yc"", ""'APO'!D3:D139""),0))"),1)</f>
        <v>1</v>
      </c>
      <c r="AA33" s="1"/>
      <c r="AB33" s="1"/>
      <c r="AC33" s="1"/>
    </row>
    <row r="34" spans="1:29">
      <c r="A34" s="149" t="s">
        <v>52</v>
      </c>
      <c r="B34" s="149" t="s">
        <v>86</v>
      </c>
      <c r="C34" s="148" t="s">
        <v>36</v>
      </c>
      <c r="D34" s="149" t="s">
        <v>117</v>
      </c>
      <c r="E34" s="149" t="s">
        <v>76</v>
      </c>
      <c r="F34" s="2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6.1586159036492054</v>
      </c>
      <c r="Q34" s="23">
        <f t="shared" si="7"/>
        <v>13.368702815238519</v>
      </c>
      <c r="R34" s="2">
        <v>12.55</v>
      </c>
      <c r="S34" s="2">
        <v>5.77</v>
      </c>
      <c r="T34" s="2">
        <v>12.26</v>
      </c>
      <c r="U34" s="2">
        <v>5.43</v>
      </c>
      <c r="V34" s="2">
        <v>11.86</v>
      </c>
      <c r="W34" s="2">
        <v>11.72</v>
      </c>
      <c r="X34" s="23">
        <f>(SUM(X23:X33)/X$2)*100000</f>
        <v>3.2108491674414057</v>
      </c>
      <c r="Y34" s="23">
        <f ca="1">IFERROR(__xludf.DUMMYFUNCTION("INDEX(IMPORTRANGE(""1y0FWgjbB0gVlqn-q5LMJbGIsqOrzru4yowQz67dz2yc"", ""'APO'!BH3:BH139""),MATCH(D34,IMPORTRANGE(""1y0FWgjbB0gVlqn-q5LMJbGIsqOrzru4yowQz67dz2yc"", ""'APO'!D3:D139""),0))"),9.92444288118252)</f>
        <v>9.9244428811825198</v>
      </c>
      <c r="Z34" s="23">
        <f ca="1">IFERROR(__xludf.DUMMYFUNCTION("INDEX(IMPORTRANGE(""1y0FWgjbB0gVlqn-q5LMJbGIsqOrzru4yowQz67dz2yc"", ""'APO'!BI3:BI139""),MATCH(D34,IMPORTRANGE(""1y0FWgjbB0gVlqn-q5LMJbGIsqOrzru4yowQz67dz2yc"", ""'APO'!D3:D139""),0))"),4.18443246831013)</f>
        <v>4.1844324683101304</v>
      </c>
      <c r="AA34" s="2"/>
      <c r="AB34" s="2"/>
      <c r="AC34" s="2"/>
    </row>
    <row r="35" spans="1:29">
      <c r="A35" s="149" t="s">
        <v>119</v>
      </c>
      <c r="B35" s="149" t="s">
        <v>120</v>
      </c>
      <c r="C35" s="148" t="s">
        <v>30</v>
      </c>
      <c r="D35" s="148" t="s">
        <v>121</v>
      </c>
      <c r="E35" s="149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208236</v>
      </c>
      <c r="Q35" s="12">
        <v>208236</v>
      </c>
      <c r="R35" s="13"/>
      <c r="S35" s="13"/>
      <c r="T35" s="13"/>
      <c r="U35" s="13"/>
      <c r="V35" s="13"/>
      <c r="W35" s="13"/>
      <c r="X35" s="12">
        <v>208236</v>
      </c>
      <c r="Y35" s="12">
        <f ca="1">IFERROR(__xludf.DUMMYFUNCTION("INDEX(IMPORTRANGE(""1y0FWgjbB0gVlqn-q5LMJbGIsqOrzru4yowQz67dz2yc"", ""'APO'!BH3:BH139""),MATCH(D35,IMPORTRANGE(""1y0FWgjbB0gVlqn-q5LMJbGIsqOrzru4yowQz67dz2yc"", ""'APO'!D3:D139""),0))"),211206)</f>
        <v>211206</v>
      </c>
      <c r="Z35" s="12">
        <f ca="1">IFERROR(__xludf.DUMMYFUNCTION("INDEX(IMPORTRANGE(""1y0FWgjbB0gVlqn-q5LMJbGIsqOrzru4yowQz67dz2yc"", ""'APO'!BI3:BI139""),MATCH(D35,IMPORTRANGE(""1y0FWgjbB0gVlqn-q5LMJbGIsqOrzru4yowQz67dz2yc"", ""'APO'!D3:D139""),0))"),212648)</f>
        <v>212648</v>
      </c>
      <c r="AA35" s="1"/>
      <c r="AB35" s="1"/>
      <c r="AC35" s="1"/>
    </row>
    <row r="36" spans="1:29">
      <c r="A36" s="149" t="s">
        <v>119</v>
      </c>
      <c r="B36" s="149" t="s">
        <v>120</v>
      </c>
      <c r="C36" s="148" t="s">
        <v>30</v>
      </c>
      <c r="D36" s="148" t="s">
        <v>123</v>
      </c>
      <c r="E36" s="149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2">
        <v>0</v>
      </c>
      <c r="R36" s="13"/>
      <c r="S36" s="13"/>
      <c r="T36" s="13"/>
      <c r="U36" s="13"/>
      <c r="V36" s="13"/>
      <c r="W36" s="13"/>
      <c r="X36" s="2">
        <v>0</v>
      </c>
      <c r="Y36" s="2">
        <f ca="1">IFERROR(__xludf.DUMMYFUNCTION("INDEX(IMPORTRANGE(""1y0FWgjbB0gVlqn-q5LMJbGIsqOrzru4yowQz67dz2yc"", ""'APO'!BH3:BH139""),MATCH(D36,IMPORTRANGE(""1y0FWgjbB0gVlqn-q5LMJbGIsqOrzru4yowQz67dz2yc"", ""'APO'!D3:D139""),0))"),0)</f>
        <v>0</v>
      </c>
      <c r="Z36" s="2">
        <f ca="1">IFERROR(__xludf.DUMMYFUNCTION("INDEX(IMPORTRANGE(""1y0FWgjbB0gVlqn-q5LMJbGIsqOrzru4yowQz67dz2yc"", ""'APO'!BI3:BI139""),MATCH(D36,IMPORTRANGE(""1y0FWgjbB0gVlqn-q5LMJbGIsqOrzru4yowQz67dz2yc"", ""'APO'!D3:D139""),0))"),0)</f>
        <v>0</v>
      </c>
      <c r="AA36" s="1"/>
      <c r="AB36" s="1"/>
      <c r="AC36" s="1"/>
    </row>
    <row r="37" spans="1:29">
      <c r="A37" s="149" t="s">
        <v>119</v>
      </c>
      <c r="B37" s="149" t="s">
        <v>120</v>
      </c>
      <c r="C37" s="148" t="s">
        <v>36</v>
      </c>
      <c r="D37" s="148" t="s">
        <v>125</v>
      </c>
      <c r="E37" s="149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26">
        <f t="shared" ref="P37:Q37" si="8">P36/P35</f>
        <v>0</v>
      </c>
      <c r="Q37" s="26">
        <f t="shared" si="8"/>
        <v>0</v>
      </c>
      <c r="R37" s="54">
        <v>1.9E-3</v>
      </c>
      <c r="S37" s="54">
        <v>3.7000000000000002E-3</v>
      </c>
      <c r="T37" s="54">
        <v>5.5999999999999999E-3</v>
      </c>
      <c r="U37" s="54">
        <v>7.4000000000000003E-3</v>
      </c>
      <c r="V37" s="54">
        <v>9.2999999999999992E-3</v>
      </c>
      <c r="W37" s="54">
        <v>9.2999999999999992E-3</v>
      </c>
      <c r="X37" s="15">
        <f>X36/X35</f>
        <v>0</v>
      </c>
      <c r="Y37" s="15">
        <f ca="1">IFERROR(__xludf.DUMMYFUNCTION("INDEX(IMPORTRANGE(""1y0FWgjbB0gVlqn-q5LMJbGIsqOrzru4yowQz67dz2yc"", ""'APO'!BH3:BH139""),MATCH(D37,IMPORTRANGE(""1y0FWgjbB0gVlqn-q5LMJbGIsqOrzru4yowQz67dz2yc"", ""'APO'!D3:D139""),0))"),0)</f>
        <v>0</v>
      </c>
      <c r="Z37" s="14">
        <f ca="1">IFERROR(__xludf.DUMMYFUNCTION("INDEX(IMPORTRANGE(""1y0FWgjbB0gVlqn-q5LMJbGIsqOrzru4yowQz67dz2yc"", ""'APO'!BI3:BI139""),MATCH(D37,IMPORTRANGE(""1y0FWgjbB0gVlqn-q5LMJbGIsqOrzru4yowQz67dz2yc"", ""'APO'!D3:D139""),0))"),0)</f>
        <v>0</v>
      </c>
      <c r="AA37" s="2"/>
      <c r="AB37" s="2"/>
      <c r="AC37" s="2"/>
    </row>
    <row r="38" spans="1:29">
      <c r="A38" s="149" t="s">
        <v>119</v>
      </c>
      <c r="B38" s="149" t="s">
        <v>120</v>
      </c>
      <c r="C38" s="148" t="s">
        <v>30</v>
      </c>
      <c r="D38" s="149" t="s">
        <v>330</v>
      </c>
      <c r="E38" s="149" t="s">
        <v>38</v>
      </c>
      <c r="F38" s="2" t="s">
        <v>176</v>
      </c>
      <c r="G38" s="22" t="s">
        <v>56</v>
      </c>
      <c r="H38" s="22" t="s">
        <v>57</v>
      </c>
      <c r="I38" s="9" t="s">
        <v>58</v>
      </c>
      <c r="J38" s="9" t="s">
        <v>59</v>
      </c>
      <c r="K38" s="9" t="s">
        <v>60</v>
      </c>
      <c r="L38" s="9" t="s">
        <v>61</v>
      </c>
      <c r="M38" s="9" t="s">
        <v>62</v>
      </c>
      <c r="N38" s="9" t="s">
        <v>63</v>
      </c>
      <c r="O38" s="9" t="s">
        <v>63</v>
      </c>
      <c r="P38" s="12"/>
      <c r="Q38" s="2"/>
      <c r="R38" s="1"/>
      <c r="S38" s="1"/>
      <c r="T38" s="1"/>
      <c r="U38" s="1"/>
      <c r="V38" s="1"/>
      <c r="W38" s="1"/>
      <c r="X38" s="2"/>
      <c r="Y38" s="2"/>
      <c r="Z38" s="12">
        <f ca="1">IFERROR(__xludf.DUMMYFUNCTION("INDEX(IMPORTRANGE(""1y0FWgjbB0gVlqn-q5LMJbGIsqOrzru4yowQz67dz2yc"", ""'APO'!BI3:BI139""),MATCH(D38,IMPORTRANGE(""1y0FWgjbB0gVlqn-q5LMJbGIsqOrzru4yowQz67dz2yc"", ""'APO'!D3:D139""),0))"),114.66)</f>
        <v>114.66</v>
      </c>
      <c r="AA38" s="1"/>
      <c r="AB38" s="1"/>
      <c r="AC38" s="1"/>
    </row>
    <row r="39" spans="1:29">
      <c r="A39" s="149" t="s">
        <v>119</v>
      </c>
      <c r="B39" s="149" t="s">
        <v>120</v>
      </c>
      <c r="C39" s="148" t="s">
        <v>30</v>
      </c>
      <c r="D39" s="149" t="s">
        <v>331</v>
      </c>
      <c r="E39" s="149" t="s">
        <v>38</v>
      </c>
      <c r="F39" s="2" t="s">
        <v>332</v>
      </c>
      <c r="G39" s="22" t="s">
        <v>56</v>
      </c>
      <c r="H39" s="22" t="s">
        <v>57</v>
      </c>
      <c r="I39" s="9" t="s">
        <v>58</v>
      </c>
      <c r="J39" s="9" t="s">
        <v>59</v>
      </c>
      <c r="K39" s="9" t="s">
        <v>60</v>
      </c>
      <c r="L39" s="9" t="s">
        <v>61</v>
      </c>
      <c r="M39" s="9" t="s">
        <v>62</v>
      </c>
      <c r="N39" s="9" t="s">
        <v>63</v>
      </c>
      <c r="O39" s="9" t="s">
        <v>63</v>
      </c>
      <c r="P39" s="12"/>
      <c r="Q39" s="2"/>
      <c r="R39" s="1"/>
      <c r="S39" s="1"/>
      <c r="T39" s="1"/>
      <c r="U39" s="1"/>
      <c r="V39" s="1"/>
      <c r="W39" s="1"/>
      <c r="X39" s="2"/>
      <c r="Y39" s="2"/>
      <c r="Z39" s="12">
        <f ca="1">IFERROR(__xludf.DUMMYFUNCTION("INDEX(IMPORTRANGE(""1y0FWgjbB0gVlqn-q5LMJbGIsqOrzru4yowQz67dz2yc"", ""'APO'!BI3:BI139""),MATCH(D39,IMPORTRANGE(""1y0FWgjbB0gVlqn-q5LMJbGIsqOrzru4yowQz67dz2yc"", ""'APO'!D3:D139""),0))"),209010.84)</f>
        <v>209010.84</v>
      </c>
      <c r="AA39" s="1"/>
      <c r="AB39" s="1"/>
      <c r="AC39" s="1"/>
    </row>
    <row r="40" spans="1:29">
      <c r="A40" s="149" t="s">
        <v>119</v>
      </c>
      <c r="B40" s="149" t="s">
        <v>120</v>
      </c>
      <c r="C40" s="148" t="s">
        <v>36</v>
      </c>
      <c r="D40" s="149" t="s">
        <v>333</v>
      </c>
      <c r="E40" s="149" t="s">
        <v>38</v>
      </c>
      <c r="F40" s="2" t="s">
        <v>334</v>
      </c>
      <c r="G40" s="22" t="s">
        <v>56</v>
      </c>
      <c r="H40" s="2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2"/>
      <c r="S40" s="152">
        <v>5.4858398731855249E-4</v>
      </c>
      <c r="T40" s="19"/>
      <c r="U40" s="19"/>
      <c r="V40" s="19"/>
      <c r="W40" s="19"/>
      <c r="X40" s="2"/>
      <c r="Y40" s="2"/>
      <c r="Z40" s="26">
        <f ca="1">IFERROR(__xludf.DUMMYFUNCTION("INDEX(IMPORTRANGE(""1y0FWgjbB0gVlqn-q5LMJbGIsqOrzru4yowQz67dz2yc"", ""'APO'!BI3:BI139""),MATCH(D40,IMPORTRANGE(""1y0FWgjbB0gVlqn-q5LMJbGIsqOrzru4yowQz67dz2yc"", ""'APO'!D3:D139""),0))"),0.000548583987318552)</f>
        <v>5.4858398731855195E-4</v>
      </c>
      <c r="AA40" s="2"/>
      <c r="AB40" s="2"/>
      <c r="AC40" s="2"/>
    </row>
    <row r="41" spans="1:29">
      <c r="A41" s="149" t="s">
        <v>119</v>
      </c>
      <c r="B41" s="149" t="s">
        <v>127</v>
      </c>
      <c r="C41" s="148" t="s">
        <v>36</v>
      </c>
      <c r="D41" s="149" t="s">
        <v>128</v>
      </c>
      <c r="E41" s="149" t="s">
        <v>38</v>
      </c>
      <c r="F41" s="2" t="s">
        <v>129</v>
      </c>
      <c r="G41" s="22" t="s">
        <v>56</v>
      </c>
      <c r="H41" s="22" t="s">
        <v>57</v>
      </c>
      <c r="I41" s="2" t="s">
        <v>58</v>
      </c>
      <c r="J41" s="2" t="s">
        <v>59</v>
      </c>
      <c r="K41" s="2" t="s">
        <v>335</v>
      </c>
      <c r="L41" s="2" t="s">
        <v>336</v>
      </c>
      <c r="M41" s="2" t="s">
        <v>337</v>
      </c>
      <c r="N41" s="2" t="s">
        <v>132</v>
      </c>
      <c r="O41" s="2" t="s">
        <v>132</v>
      </c>
      <c r="P41" s="12">
        <v>0</v>
      </c>
      <c r="Q41" s="2">
        <v>0</v>
      </c>
      <c r="R41" s="2">
        <v>1</v>
      </c>
      <c r="S41" s="2">
        <v>1</v>
      </c>
      <c r="T41" s="2">
        <v>1</v>
      </c>
      <c r="U41" s="2">
        <v>1</v>
      </c>
      <c r="V41" s="2">
        <v>1</v>
      </c>
      <c r="W41" s="2">
        <v>1</v>
      </c>
      <c r="X41" s="2">
        <v>1</v>
      </c>
      <c r="Y41" s="2">
        <f ca="1">IFERROR(__xludf.DUMMYFUNCTION("INDEX(IMPORTRANGE(""1y0FWgjbB0gVlqn-q5LMJbGIsqOrzru4yowQz67dz2yc"", ""'APO'!BH3:BH139""),MATCH(D41,IMPORTRANGE(""1y0FWgjbB0gVlqn-q5LMJbGIsqOrzru4yowQz67dz2yc"", ""'APO'!D3:D139""),0))"),2)</f>
        <v>2</v>
      </c>
      <c r="Z41" s="2">
        <f ca="1">IFERROR(__xludf.DUMMYFUNCTION("INDEX(IMPORTRANGE(""1y0FWgjbB0gVlqn-q5LMJbGIsqOrzru4yowQz67dz2yc"", ""'APO'!BI3:BI139""),MATCH(D41,IMPORTRANGE(""1y0FWgjbB0gVlqn-q5LMJbGIsqOrzru4yowQz67dz2yc"", ""'APO'!D3:D139""),0))"),2)</f>
        <v>2</v>
      </c>
      <c r="AA41" s="2"/>
      <c r="AB41" s="2"/>
      <c r="AC41" s="2"/>
    </row>
    <row r="42" spans="1:29">
      <c r="A42" s="149" t="s">
        <v>119</v>
      </c>
      <c r="B42" s="149" t="s">
        <v>133</v>
      </c>
      <c r="C42" s="148" t="s">
        <v>36</v>
      </c>
      <c r="D42" s="149" t="s">
        <v>134</v>
      </c>
      <c r="E42" s="149" t="s">
        <v>38</v>
      </c>
      <c r="F42" s="2" t="s">
        <v>135</v>
      </c>
      <c r="G42" s="22" t="s">
        <v>56</v>
      </c>
      <c r="H42" s="22" t="s">
        <v>57</v>
      </c>
      <c r="I42" s="2" t="s">
        <v>58</v>
      </c>
      <c r="J42" s="2" t="s">
        <v>59</v>
      </c>
      <c r="K42" s="2" t="s">
        <v>335</v>
      </c>
      <c r="L42" s="2" t="s">
        <v>336</v>
      </c>
      <c r="M42" s="2" t="s">
        <v>337</v>
      </c>
      <c r="N42" s="2" t="s">
        <v>132</v>
      </c>
      <c r="O42" s="2" t="s">
        <v>132</v>
      </c>
      <c r="P42" s="12">
        <v>348</v>
      </c>
      <c r="Q42" s="12">
        <v>1074</v>
      </c>
      <c r="R42" s="12">
        <v>1859</v>
      </c>
      <c r="S42" s="12">
        <v>2644</v>
      </c>
      <c r="T42" s="12">
        <v>3430</v>
      </c>
      <c r="U42" s="12">
        <v>4215</v>
      </c>
      <c r="V42" s="12">
        <v>5000</v>
      </c>
      <c r="W42" s="12">
        <v>5000</v>
      </c>
      <c r="X42" s="12">
        <v>599</v>
      </c>
      <c r="Y42" s="12">
        <f ca="1">IFERROR(__xludf.DUMMYFUNCTION("INDEX(IMPORTRANGE(""1y0FWgjbB0gVlqn-q5LMJbGIsqOrzru4yowQz67dz2yc"", ""'APO'!BH3:BH139""),MATCH(D42,IMPORTRANGE(""1y0FWgjbB0gVlqn-q5LMJbGIsqOrzru4yowQz67dz2yc"", ""'APO'!D3:D139""),0))"),2539)</f>
        <v>2539</v>
      </c>
      <c r="Z42" s="12">
        <f ca="1">IFERROR(__xludf.DUMMYFUNCTION("INDEX(IMPORTRANGE(""1y0FWgjbB0gVlqn-q5LMJbGIsqOrzru4yowQz67dz2yc"", ""'APO'!BI3:BI139""),MATCH(D42,IMPORTRANGE(""1y0FWgjbB0gVlqn-q5LMJbGIsqOrzru4yowQz67dz2yc"", ""'APO'!D3:D139""),0))"),8722)</f>
        <v>8722</v>
      </c>
      <c r="AA42" s="2"/>
      <c r="AB42" s="2"/>
      <c r="AC42" s="2"/>
    </row>
    <row r="43" spans="1:29">
      <c r="A43" s="151" t="s">
        <v>119</v>
      </c>
      <c r="B43" s="151" t="s">
        <v>136</v>
      </c>
      <c r="C43" s="150" t="s">
        <v>30</v>
      </c>
      <c r="D43" s="151" t="s">
        <v>137</v>
      </c>
      <c r="E43" s="151" t="s">
        <v>38</v>
      </c>
      <c r="F43" s="22" t="s">
        <v>138</v>
      </c>
      <c r="G43" s="22" t="s">
        <v>56</v>
      </c>
      <c r="H43" s="2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2" t="s">
        <v>132</v>
      </c>
      <c r="O43" s="2" t="s">
        <v>132</v>
      </c>
      <c r="P43" s="12">
        <v>0</v>
      </c>
      <c r="Q43" s="2">
        <v>0</v>
      </c>
      <c r="R43" s="13"/>
      <c r="S43" s="13"/>
      <c r="T43" s="13"/>
      <c r="U43" s="13"/>
      <c r="V43" s="13"/>
      <c r="W43" s="13"/>
      <c r="X43" s="2">
        <v>2</v>
      </c>
      <c r="Y43" s="2">
        <f ca="1">IFERROR(__xludf.DUMMYFUNCTION("INDEX(IMPORTRANGE(""1y0FWgjbB0gVlqn-q5LMJbGIsqOrzru4yowQz67dz2yc"", ""'APO'!BH3:BH139""),MATCH(D43,IMPORTRANGE(""1y0FWgjbB0gVlqn-q5LMJbGIsqOrzru4yowQz67dz2yc"", ""'APO'!D3:D139""),0))"),6)</f>
        <v>6</v>
      </c>
      <c r="Z43" s="2">
        <f ca="1">IFERROR(__xludf.DUMMYFUNCTION("INDEX(IMPORTRANGE(""1y0FWgjbB0gVlqn-q5LMJbGIsqOrzru4yowQz67dz2yc"", ""'APO'!BI3:BI139""),MATCH(D43,IMPORTRANGE(""1y0FWgjbB0gVlqn-q5LMJbGIsqOrzru4yowQz67dz2yc"", ""'APO'!D3:D139""),0))"),9)</f>
        <v>9</v>
      </c>
      <c r="AA43" s="1"/>
      <c r="AB43" s="1"/>
      <c r="AC43" s="1"/>
    </row>
    <row r="44" spans="1:29">
      <c r="A44" s="151" t="s">
        <v>119</v>
      </c>
      <c r="B44" s="151" t="s">
        <v>136</v>
      </c>
      <c r="C44" s="150" t="s">
        <v>30</v>
      </c>
      <c r="D44" s="151" t="s">
        <v>139</v>
      </c>
      <c r="E44" s="151" t="s">
        <v>38</v>
      </c>
      <c r="F44" s="22" t="s">
        <v>140</v>
      </c>
      <c r="G44" s="22" t="s">
        <v>56</v>
      </c>
      <c r="H44" s="2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2" t="s">
        <v>132</v>
      </c>
      <c r="O44" s="2" t="s">
        <v>132</v>
      </c>
      <c r="P44" s="12"/>
      <c r="Q44" s="2"/>
      <c r="R44" s="13"/>
      <c r="S44" s="13"/>
      <c r="T44" s="13"/>
      <c r="U44" s="13"/>
      <c r="V44" s="13"/>
      <c r="W44" s="13"/>
      <c r="X44" s="2"/>
      <c r="Y44" s="2">
        <f ca="1">IFERROR(__xludf.DUMMYFUNCTION("INDEX(IMPORTRANGE(""1y0FWgjbB0gVlqn-q5LMJbGIsqOrzru4yowQz67dz2yc"", ""'APO'!BH3:BH139""),MATCH(D44,IMPORTRANGE(""1y0FWgjbB0gVlqn-q5LMJbGIsqOrzru4yowQz67dz2yc"", ""'APO'!D3:D139""),0))"),0)</f>
        <v>0</v>
      </c>
      <c r="Z44" s="2">
        <f ca="1">IFERROR(__xludf.DUMMYFUNCTION("INDEX(IMPORTRANGE(""1y0FWgjbB0gVlqn-q5LMJbGIsqOrzru4yowQz67dz2yc"", ""'APO'!BI3:BI139""),MATCH(D44,IMPORTRANGE(""1y0FWgjbB0gVlqn-q5LMJbGIsqOrzru4yowQz67dz2yc"", ""'APO'!D3:D139""),0))"),0)</f>
        <v>0</v>
      </c>
      <c r="AA44" s="1"/>
      <c r="AB44" s="1"/>
      <c r="AC44" s="1"/>
    </row>
    <row r="45" spans="1:29">
      <c r="A45" s="151" t="s">
        <v>119</v>
      </c>
      <c r="B45" s="151" t="s">
        <v>136</v>
      </c>
      <c r="C45" s="150" t="s">
        <v>30</v>
      </c>
      <c r="D45" s="151" t="s">
        <v>141</v>
      </c>
      <c r="E45" s="151" t="s">
        <v>38</v>
      </c>
      <c r="F45" s="22" t="s">
        <v>142</v>
      </c>
      <c r="G45" s="22" t="s">
        <v>56</v>
      </c>
      <c r="H45" s="2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2" t="s">
        <v>132</v>
      </c>
      <c r="O45" s="2" t="s">
        <v>132</v>
      </c>
      <c r="P45" s="12">
        <v>1</v>
      </c>
      <c r="Q45" s="2">
        <v>1</v>
      </c>
      <c r="R45" s="13"/>
      <c r="S45" s="13"/>
      <c r="T45" s="13"/>
      <c r="U45" s="13"/>
      <c r="V45" s="13"/>
      <c r="W45" s="13"/>
      <c r="X45" s="2">
        <v>0</v>
      </c>
      <c r="Y45" s="2">
        <f ca="1">IFERROR(__xludf.DUMMYFUNCTION("INDEX(IMPORTRANGE(""1y0FWgjbB0gVlqn-q5LMJbGIsqOrzru4yowQz67dz2yc"", ""'APO'!BH3:BH139""),MATCH(D45,IMPORTRANGE(""1y0FWgjbB0gVlqn-q5LMJbGIsqOrzru4yowQz67dz2yc"", ""'APO'!D3:D139""),0))"),0)</f>
        <v>0</v>
      </c>
      <c r="Z45" s="2">
        <f ca="1">IFERROR(__xludf.DUMMYFUNCTION("INDEX(IMPORTRANGE(""1y0FWgjbB0gVlqn-q5LMJbGIsqOrzru4yowQz67dz2yc"", ""'APO'!BI3:BI139""),MATCH(D45,IMPORTRANGE(""1y0FWgjbB0gVlqn-q5LMJbGIsqOrzru4yowQz67dz2yc"", ""'APO'!D3:D139""),0))"),0)</f>
        <v>0</v>
      </c>
      <c r="AA45" s="1"/>
      <c r="AB45" s="1"/>
      <c r="AC45" s="1"/>
    </row>
    <row r="46" spans="1:29">
      <c r="A46" s="151" t="s">
        <v>119</v>
      </c>
      <c r="B46" s="151" t="s">
        <v>136</v>
      </c>
      <c r="C46" s="150" t="s">
        <v>30</v>
      </c>
      <c r="D46" s="151" t="s">
        <v>143</v>
      </c>
      <c r="E46" s="151" t="s">
        <v>38</v>
      </c>
      <c r="F46" s="22" t="s">
        <v>144</v>
      </c>
      <c r="G46" s="22" t="s">
        <v>56</v>
      </c>
      <c r="H46" s="2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2" t="s">
        <v>132</v>
      </c>
      <c r="O46" s="2" t="s">
        <v>132</v>
      </c>
      <c r="P46" s="12"/>
      <c r="Q46" s="12"/>
      <c r="R46" s="13"/>
      <c r="S46" s="13"/>
      <c r="T46" s="13"/>
      <c r="U46" s="13"/>
      <c r="V46" s="13"/>
      <c r="W46" s="13"/>
      <c r="X46" s="12"/>
      <c r="Y46" s="2">
        <f ca="1">IFERROR(__xludf.DUMMYFUNCTION("INDEX(IMPORTRANGE(""1y0FWgjbB0gVlqn-q5LMJbGIsqOrzru4yowQz67dz2yc"", ""'APO'!BH3:BH139""),MATCH(D46,IMPORTRANGE(""1y0FWgjbB0gVlqn-q5LMJbGIsqOrzru4yowQz67dz2yc"", ""'APO'!D3:D139""),0))"),0)</f>
        <v>0</v>
      </c>
      <c r="Z46" s="2">
        <f ca="1">IFERROR(__xludf.DUMMYFUNCTION("INDEX(IMPORTRANGE(""1y0FWgjbB0gVlqn-q5LMJbGIsqOrzru4yowQz67dz2yc"", ""'APO'!BI3:BI139""),MATCH(D46,IMPORTRANGE(""1y0FWgjbB0gVlqn-q5LMJbGIsqOrzru4yowQz67dz2yc"", ""'APO'!D3:D139""),0))"),0)</f>
        <v>0</v>
      </c>
      <c r="AA46" s="1"/>
      <c r="AB46" s="1"/>
      <c r="AC46" s="1"/>
    </row>
    <row r="47" spans="1:29">
      <c r="A47" s="151" t="s">
        <v>119</v>
      </c>
      <c r="B47" s="151" t="s">
        <v>136</v>
      </c>
      <c r="C47" s="150" t="s">
        <v>36</v>
      </c>
      <c r="D47" s="151" t="s">
        <v>145</v>
      </c>
      <c r="E47" s="151" t="s">
        <v>38</v>
      </c>
      <c r="F47" s="22" t="s">
        <v>146</v>
      </c>
      <c r="G47" s="22" t="s">
        <v>56</v>
      </c>
      <c r="H47" s="2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2" t="s">
        <v>132</v>
      </c>
      <c r="O47" s="2" t="s">
        <v>132</v>
      </c>
      <c r="P47" s="12">
        <f t="shared" ref="P47:Q47" si="9">P43+P45</f>
        <v>1</v>
      </c>
      <c r="Q47" s="12">
        <f t="shared" si="9"/>
        <v>1</v>
      </c>
      <c r="R47" s="29">
        <v>11</v>
      </c>
      <c r="S47" s="29">
        <f>5+R47</f>
        <v>16</v>
      </c>
      <c r="T47" s="29">
        <f>S47+5</f>
        <v>21</v>
      </c>
      <c r="U47" s="29">
        <f>5+T47</f>
        <v>26</v>
      </c>
      <c r="V47" s="29">
        <f>U47+6</f>
        <v>32</v>
      </c>
      <c r="W47" s="2">
        <v>32</v>
      </c>
      <c r="X47" s="12">
        <f>X43+X45</f>
        <v>2</v>
      </c>
      <c r="Y47" s="2">
        <f ca="1">IFERROR(__xludf.DUMMYFUNCTION("INDEX(IMPORTRANGE(""1y0FWgjbB0gVlqn-q5LMJbGIsqOrzru4yowQz67dz2yc"", ""'APO'!BH3:BH139""),MATCH(D47,IMPORTRANGE(""1y0FWgjbB0gVlqn-q5LMJbGIsqOrzru4yowQz67dz2yc"", ""'APO'!D3:D139""),0))"),6)</f>
        <v>6</v>
      </c>
      <c r="Z47" s="2">
        <f ca="1">IFERROR(__xludf.DUMMYFUNCTION("INDEX(IMPORTRANGE(""1y0FWgjbB0gVlqn-q5LMJbGIsqOrzru4yowQz67dz2yc"", ""'APO'!BI3:BI139""),MATCH(D47,IMPORTRANGE(""1y0FWgjbB0gVlqn-q5LMJbGIsqOrzru4yowQz67dz2yc"", ""'APO'!D3:D139""),0))"),9)</f>
        <v>9</v>
      </c>
      <c r="AA47" s="2"/>
      <c r="AB47" s="2"/>
      <c r="AC47" s="2"/>
    </row>
    <row r="48" spans="1:29">
      <c r="A48" s="149" t="s">
        <v>147</v>
      </c>
      <c r="B48" s="149" t="s">
        <v>148</v>
      </c>
      <c r="C48" s="148" t="s">
        <v>30</v>
      </c>
      <c r="D48" s="149" t="s">
        <v>149</v>
      </c>
      <c r="E48" s="149" t="s">
        <v>38</v>
      </c>
      <c r="F48" s="2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12" t="s">
        <v>150</v>
      </c>
      <c r="Q48" s="2" t="s">
        <v>150</v>
      </c>
      <c r="R48" s="2" t="s">
        <v>151</v>
      </c>
      <c r="S48" s="1" t="s">
        <v>151</v>
      </c>
      <c r="T48" s="1" t="s">
        <v>151</v>
      </c>
      <c r="U48" s="1" t="s">
        <v>151</v>
      </c>
      <c r="V48" s="1" t="s">
        <v>151</v>
      </c>
      <c r="W48" s="1" t="s">
        <v>151</v>
      </c>
      <c r="X48" s="2" t="s">
        <v>150</v>
      </c>
      <c r="Y48" s="2" t="str">
        <f ca="1">IFERROR(__xludf.DUMMYFUNCTION("INDEX(IMPORTRANGE(""1y0FWgjbB0gVlqn-q5LMJbGIsqOrzru4yowQz67dz2yc"", ""'APO'!BH3:BH139""),MATCH(D48,IMPORTRANGE(""1y0FWgjbB0gVlqn-q5LMJbGIsqOrzru4yowQz67dz2yc"", ""'APO'!D3:D139""),0))"),"Sí")</f>
        <v>Sí</v>
      </c>
      <c r="Z48" s="2" t="str">
        <f ca="1">IFERROR(__xludf.DUMMYFUNCTION("INDEX(IMPORTRANGE(""1y0FWgjbB0gVlqn-q5LMJbGIsqOrzru4yowQz67dz2yc"", ""'APO'!BI3:BI139""),MATCH(D48,IMPORTRANGE(""1y0FWgjbB0gVlqn-q5LMJbGIsqOrzru4yowQz67dz2yc"", ""'APO'!D3:D139""),0))"),"Sí")</f>
        <v>Sí</v>
      </c>
      <c r="AA48" s="1"/>
      <c r="AB48" s="1"/>
      <c r="AC48" s="1"/>
    </row>
    <row r="49" spans="1:29">
      <c r="A49" s="149" t="s">
        <v>147</v>
      </c>
      <c r="B49" s="149" t="s">
        <v>148</v>
      </c>
      <c r="C49" s="148" t="s">
        <v>30</v>
      </c>
      <c r="D49" s="149" t="s">
        <v>152</v>
      </c>
      <c r="E49" s="149" t="s">
        <v>38</v>
      </c>
      <c r="F49" s="2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 t="s">
        <v>153</v>
      </c>
      <c r="Q49" s="2" t="s">
        <v>153</v>
      </c>
      <c r="R49" s="2" t="s">
        <v>151</v>
      </c>
      <c r="S49" s="1" t="s">
        <v>151</v>
      </c>
      <c r="T49" s="1" t="s">
        <v>151</v>
      </c>
      <c r="U49" s="1" t="s">
        <v>151</v>
      </c>
      <c r="V49" s="1" t="s">
        <v>151</v>
      </c>
      <c r="W49" s="1" t="s">
        <v>151</v>
      </c>
      <c r="X49" s="2" t="s">
        <v>153</v>
      </c>
      <c r="Y49" s="2" t="str">
        <f ca="1">IFERROR(__xludf.DUMMYFUNCTION("INDEX(IMPORTRANGE(""1y0FWgjbB0gVlqn-q5LMJbGIsqOrzru4yowQz67dz2yc"", ""'APO'!BH3:BH139""),MATCH(D49,IMPORTRANGE(""1y0FWgjbB0gVlqn-q5LMJbGIsqOrzru4yowQz67dz2yc"", ""'APO'!D3:D139""),0))"),"Sí")</f>
        <v>Sí</v>
      </c>
      <c r="Z49" s="2" t="str">
        <f ca="1">IFERROR(__xludf.DUMMYFUNCTION("INDEX(IMPORTRANGE(""1y0FWgjbB0gVlqn-q5LMJbGIsqOrzru4yowQz67dz2yc"", ""'APO'!BI3:BI139""),MATCH(D49,IMPORTRANGE(""1y0FWgjbB0gVlqn-q5LMJbGIsqOrzru4yowQz67dz2yc"", ""'APO'!D3:D139""),0))"),"Sí")</f>
        <v>Sí</v>
      </c>
      <c r="AA49" s="1"/>
      <c r="AB49" s="1"/>
      <c r="AC49" s="1"/>
    </row>
    <row r="50" spans="1:29">
      <c r="A50" s="149" t="s">
        <v>147</v>
      </c>
      <c r="B50" s="149" t="s">
        <v>148</v>
      </c>
      <c r="C50" s="148" t="s">
        <v>30</v>
      </c>
      <c r="D50" s="149" t="s">
        <v>154</v>
      </c>
      <c r="E50" s="149" t="s">
        <v>38</v>
      </c>
      <c r="F50" s="2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153</v>
      </c>
      <c r="Q50" s="2" t="s">
        <v>153</v>
      </c>
      <c r="R50" s="2" t="s">
        <v>155</v>
      </c>
      <c r="S50" s="1" t="s">
        <v>155</v>
      </c>
      <c r="T50" s="1" t="s">
        <v>155</v>
      </c>
      <c r="U50" s="1" t="s">
        <v>155</v>
      </c>
      <c r="V50" s="1" t="s">
        <v>155</v>
      </c>
      <c r="W50" s="2" t="s">
        <v>155</v>
      </c>
      <c r="X50" s="2" t="s">
        <v>153</v>
      </c>
      <c r="Y50" s="2" t="str">
        <f ca="1">IFERROR(__xludf.DUMMYFUNCTION("INDEX(IMPORTRANGE(""1y0FWgjbB0gVlqn-q5LMJbGIsqOrzru4yowQz67dz2yc"", ""'APO'!BH3:BH139""),MATCH(D50,IMPORTRANGE(""1y0FWgjbB0gVlqn-q5LMJbGIsqOrzru4yowQz67dz2yc"", ""'APO'!D3:D139""),0))"),"Sí")</f>
        <v>Sí</v>
      </c>
      <c r="Z50" s="2" t="str">
        <f ca="1">IFERROR(__xludf.DUMMYFUNCTION("INDEX(IMPORTRANGE(""1y0FWgjbB0gVlqn-q5LMJbGIsqOrzru4yowQz67dz2yc"", ""'APO'!BI3:BI139""),MATCH(D50,IMPORTRANGE(""1y0FWgjbB0gVlqn-q5LMJbGIsqOrzru4yowQz67dz2yc"", ""'APO'!D3:D139""),0))"),"Sí")</f>
        <v>Sí</v>
      </c>
      <c r="AA50" s="1"/>
      <c r="AB50" s="1"/>
      <c r="AC50" s="1"/>
    </row>
    <row r="51" spans="1:29">
      <c r="A51" s="149" t="s">
        <v>147</v>
      </c>
      <c r="B51" s="149" t="s">
        <v>148</v>
      </c>
      <c r="C51" s="148" t="s">
        <v>36</v>
      </c>
      <c r="D51" s="149" t="s">
        <v>156</v>
      </c>
      <c r="E51" s="149" t="s">
        <v>38</v>
      </c>
      <c r="F51" s="2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>
        <f t="shared" ref="P51:Q51" si="10">COUNTIF(P48:P50,"Sí")*(1/3)</f>
        <v>0.66666666666666663</v>
      </c>
      <c r="Q51" s="30">
        <f t="shared" si="10"/>
        <v>0.66666666666666663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30">
        <f>COUNTIF(X48:X50,"Sí")*(1/3)</f>
        <v>0.66666666666666663</v>
      </c>
      <c r="Y51" s="2">
        <f ca="1">IFERROR(__xludf.DUMMYFUNCTION("INDEX(IMPORTRANGE(""1y0FWgjbB0gVlqn-q5LMJbGIsqOrzru4yowQz67dz2yc"", ""'APO'!BH3:BH139""),MATCH(D51,IMPORTRANGE(""1y0FWgjbB0gVlqn-q5LMJbGIsqOrzru4yowQz67dz2yc"", ""'APO'!D3:D139""),0))"),1)</f>
        <v>1</v>
      </c>
      <c r="Z51" s="2">
        <f ca="1">IFERROR(__xludf.DUMMYFUNCTION("INDEX(IMPORTRANGE(""1y0FWgjbB0gVlqn-q5LMJbGIsqOrzru4yowQz67dz2yc"", ""'APO'!BI3:BI139""),MATCH(D51,IMPORTRANGE(""1y0FWgjbB0gVlqn-q5LMJbGIsqOrzru4yowQz67dz2yc"", ""'APO'!D3:D139""),0))"),1)</f>
        <v>1</v>
      </c>
      <c r="AA51" s="2"/>
      <c r="AB51" s="2"/>
      <c r="AC51" s="2"/>
    </row>
    <row r="52" spans="1:29">
      <c r="A52" s="149" t="s">
        <v>147</v>
      </c>
      <c r="B52" s="149" t="s">
        <v>148</v>
      </c>
      <c r="C52" s="148" t="s">
        <v>36</v>
      </c>
      <c r="D52" s="149" t="s">
        <v>158</v>
      </c>
      <c r="E52" s="149" t="s">
        <v>38</v>
      </c>
      <c r="F52" s="2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1</v>
      </c>
      <c r="Q52" s="2">
        <v>1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2">
        <v>1</v>
      </c>
      <c r="Y52" s="2">
        <f ca="1">IFERROR(__xludf.DUMMYFUNCTION("INDEX(IMPORTRANGE(""1y0FWgjbB0gVlqn-q5LMJbGIsqOrzru4yowQz67dz2yc"", ""'APO'!BH3:BH139""),MATCH(D52,IMPORTRANGE(""1y0FWgjbB0gVlqn-q5LMJbGIsqOrzru4yowQz67dz2yc"", ""'APO'!D3:D139""),0))"),1)</f>
        <v>1</v>
      </c>
      <c r="Z52" s="2">
        <f ca="1">IFERROR(__xludf.DUMMYFUNCTION("INDEX(IMPORTRANGE(""1y0FWgjbB0gVlqn-q5LMJbGIsqOrzru4yowQz67dz2yc"", ""'APO'!BI3:BI139""),MATCH(D52,IMPORTRANGE(""1y0FWgjbB0gVlqn-q5LMJbGIsqOrzru4yowQz67dz2yc"", ""'APO'!D3:D139""),0))"),1)</f>
        <v>1</v>
      </c>
      <c r="AA52" s="2"/>
      <c r="AB52" s="2"/>
      <c r="AC52" s="2"/>
    </row>
    <row r="53" spans="1:29">
      <c r="A53" s="149" t="s">
        <v>147</v>
      </c>
      <c r="B53" s="149" t="s">
        <v>148</v>
      </c>
      <c r="C53" s="148" t="s">
        <v>30</v>
      </c>
      <c r="D53" s="149" t="s">
        <v>162</v>
      </c>
      <c r="E53" s="149" t="s">
        <v>38</v>
      </c>
      <c r="F53" s="2" t="s">
        <v>163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1</v>
      </c>
      <c r="Q53" s="12">
        <v>1</v>
      </c>
      <c r="R53" s="13"/>
      <c r="S53" s="13"/>
      <c r="T53" s="13"/>
      <c r="U53" s="13"/>
      <c r="V53" s="13"/>
      <c r="W53" s="13"/>
      <c r="X53" s="12">
        <v>2</v>
      </c>
      <c r="Y53" s="2">
        <f ca="1">IFERROR(__xludf.DUMMYFUNCTION("INDEX(IMPORTRANGE(""1y0FWgjbB0gVlqn-q5LMJbGIsqOrzru4yowQz67dz2yc"", ""'APO'!BH3:BH139""),MATCH(D53,IMPORTRANGE(""1y0FWgjbB0gVlqn-q5LMJbGIsqOrzru4yowQz67dz2yc"", ""'APO'!D3:D139""),0))"),2)</f>
        <v>2</v>
      </c>
      <c r="Z53" s="2">
        <f ca="1">IFERROR(__xludf.DUMMYFUNCTION("INDEX(IMPORTRANGE(""1y0FWgjbB0gVlqn-q5LMJbGIsqOrzru4yowQz67dz2yc"", ""'APO'!BI3:BI139""),MATCH(D53,IMPORTRANGE(""1y0FWgjbB0gVlqn-q5LMJbGIsqOrzru4yowQz67dz2yc"", ""'APO'!D3:D139""),0))"),2)</f>
        <v>2</v>
      </c>
      <c r="AA53" s="1"/>
      <c r="AB53" s="1"/>
      <c r="AC53" s="1"/>
    </row>
    <row r="54" spans="1:29">
      <c r="A54" s="149" t="s">
        <v>147</v>
      </c>
      <c r="B54" s="149" t="s">
        <v>148</v>
      </c>
      <c r="C54" s="148" t="s">
        <v>30</v>
      </c>
      <c r="D54" s="149" t="s">
        <v>164</v>
      </c>
      <c r="E54" s="149" t="s">
        <v>38</v>
      </c>
      <c r="F54" s="2" t="s">
        <v>165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13"/>
      <c r="S54" s="13"/>
      <c r="T54" s="13"/>
      <c r="U54" s="13"/>
      <c r="V54" s="13"/>
      <c r="W54" s="13"/>
      <c r="X54" s="12">
        <v>1</v>
      </c>
      <c r="Y54" s="2">
        <f ca="1">IFERROR(__xludf.DUMMYFUNCTION("INDEX(IMPORTRANGE(""1y0FWgjbB0gVlqn-q5LMJbGIsqOrzru4yowQz67dz2yc"", ""'APO'!BH3:BH139""),MATCH(D54,IMPORTRANGE(""1y0FWgjbB0gVlqn-q5LMJbGIsqOrzru4yowQz67dz2yc"", ""'APO'!D3:D139""),0))"),0)</f>
        <v>0</v>
      </c>
      <c r="Z54" s="2">
        <f ca="1">IFERROR(__xludf.DUMMYFUNCTION("INDEX(IMPORTRANGE(""1y0FWgjbB0gVlqn-q5LMJbGIsqOrzru4yowQz67dz2yc"", ""'APO'!BI3:BI139""),MATCH(D54,IMPORTRANGE(""1y0FWgjbB0gVlqn-q5LMJbGIsqOrzru4yowQz67dz2yc"", ""'APO'!D3:D139""),0))"),0)</f>
        <v>0</v>
      </c>
      <c r="AA54" s="1"/>
      <c r="AB54" s="1"/>
      <c r="AC54" s="1"/>
    </row>
    <row r="55" spans="1:29">
      <c r="A55" s="149" t="s">
        <v>147</v>
      </c>
      <c r="B55" s="149" t="s">
        <v>148</v>
      </c>
      <c r="C55" s="148" t="s">
        <v>36</v>
      </c>
      <c r="D55" s="149" t="s">
        <v>166</v>
      </c>
      <c r="E55" s="149" t="s">
        <v>38</v>
      </c>
      <c r="F55" s="2" t="s">
        <v>167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4">
        <f t="shared" ref="P55:Q55" si="11">P54/P53</f>
        <v>0</v>
      </c>
      <c r="Q55" s="14">
        <f t="shared" si="11"/>
        <v>0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X54/X53</f>
        <v>0.5</v>
      </c>
      <c r="Y55" s="15">
        <f ca="1">IFERROR(__xludf.DUMMYFUNCTION("INDEX(IMPORTRANGE(""1y0FWgjbB0gVlqn-q5LMJbGIsqOrzru4yowQz67dz2yc"", ""'APO'!BH3:BH139""),MATCH(D55,IMPORTRANGE(""1y0FWgjbB0gVlqn-q5LMJbGIsqOrzru4yowQz67dz2yc"", ""'APO'!D3:D139""),0))"),0)</f>
        <v>0</v>
      </c>
      <c r="Z55" s="15">
        <f ca="1">IFERROR(__xludf.DUMMYFUNCTION("INDEX(IMPORTRANGE(""1y0FWgjbB0gVlqn-q5LMJbGIsqOrzru4yowQz67dz2yc"", ""'APO'!BI3:BI139""),MATCH(D55,IMPORTRANGE(""1y0FWgjbB0gVlqn-q5LMJbGIsqOrzru4yowQz67dz2yc"", ""'APO'!D3:D139""),0))"),0)</f>
        <v>0</v>
      </c>
      <c r="AA55" s="2"/>
      <c r="AB55" s="2"/>
      <c r="AC55" s="2"/>
    </row>
    <row r="56" spans="1:29">
      <c r="A56" s="149" t="s">
        <v>147</v>
      </c>
      <c r="B56" s="149" t="s">
        <v>168</v>
      </c>
      <c r="C56" s="148" t="s">
        <v>30</v>
      </c>
      <c r="D56" s="149" t="s">
        <v>169</v>
      </c>
      <c r="E56" s="149" t="s">
        <v>38</v>
      </c>
      <c r="F56" s="2" t="s">
        <v>170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52390</v>
      </c>
      <c r="Q56" s="12">
        <v>52390</v>
      </c>
      <c r="R56" s="13"/>
      <c r="S56" s="13"/>
      <c r="T56" s="13"/>
      <c r="U56" s="13"/>
      <c r="V56" s="13"/>
      <c r="W56" s="13"/>
      <c r="X56" s="12">
        <v>52800</v>
      </c>
      <c r="Y56" s="12">
        <f ca="1">IFERROR(__xludf.DUMMYFUNCTION("INDEX(IMPORTRANGE(""1y0FWgjbB0gVlqn-q5LMJbGIsqOrzru4yowQz67dz2yc"", ""'APO'!BH3:BH139""),MATCH(D56,IMPORTRANGE(""1y0FWgjbB0gVlqn-q5LMJbGIsqOrzru4yowQz67dz2yc"", ""'APO'!D3:D139""),0))"),53950)</f>
        <v>53950</v>
      </c>
      <c r="Z56" s="12">
        <f ca="1">IFERROR(__xludf.DUMMYFUNCTION("INDEX(IMPORTRANGE(""1y0FWgjbB0gVlqn-q5LMJbGIsqOrzru4yowQz67dz2yc"", ""'APO'!BI3:BI139""),MATCH(D56,IMPORTRANGE(""1y0FWgjbB0gVlqn-q5LMJbGIsqOrzru4yowQz67dz2yc"", ""'APO'!D3:D139""),0))"),54080)</f>
        <v>54080</v>
      </c>
      <c r="AA56" s="1"/>
      <c r="AB56" s="1"/>
      <c r="AC56" s="1"/>
    </row>
    <row r="57" spans="1:29">
      <c r="A57" s="149" t="s">
        <v>147</v>
      </c>
      <c r="B57" s="149" t="s">
        <v>168</v>
      </c>
      <c r="C57" s="148" t="s">
        <v>30</v>
      </c>
      <c r="D57" s="149" t="s">
        <v>171</v>
      </c>
      <c r="E57" s="149" t="s">
        <v>38</v>
      </c>
      <c r="F57" s="2" t="s">
        <v>172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52500</v>
      </c>
      <c r="Q57" s="12">
        <v>52500</v>
      </c>
      <c r="R57" s="13"/>
      <c r="S57" s="13"/>
      <c r="T57" s="13"/>
      <c r="U57" s="13"/>
      <c r="V57" s="13"/>
      <c r="W57" s="13"/>
      <c r="X57" s="12">
        <v>53200</v>
      </c>
      <c r="Y57" s="12">
        <f ca="1">IFERROR(__xludf.DUMMYFUNCTION("INDEX(IMPORTRANGE(""1y0FWgjbB0gVlqn-q5LMJbGIsqOrzru4yowQz67dz2yc"", ""'APO'!BH3:BH139""),MATCH(D57,IMPORTRANGE(""1y0FWgjbB0gVlqn-q5LMJbGIsqOrzru4yowQz67dz2yc"", ""'APO'!D3:D139""),0))"),54800)</f>
        <v>54800</v>
      </c>
      <c r="Z57" s="12">
        <f ca="1">IFERROR(__xludf.DUMMYFUNCTION("INDEX(IMPORTRANGE(""1y0FWgjbB0gVlqn-q5LMJbGIsqOrzru4yowQz67dz2yc"", ""'APO'!BI3:BI139""),MATCH(D57,IMPORTRANGE(""1y0FWgjbB0gVlqn-q5LMJbGIsqOrzru4yowQz67dz2yc"", ""'APO'!D3:D139""),0))"),55100)</f>
        <v>55100</v>
      </c>
      <c r="AA57" s="1"/>
      <c r="AB57" s="1"/>
      <c r="AC57" s="1"/>
    </row>
    <row r="58" spans="1:29">
      <c r="A58" s="149" t="s">
        <v>147</v>
      </c>
      <c r="B58" s="149" t="s">
        <v>168</v>
      </c>
      <c r="C58" s="148" t="s">
        <v>36</v>
      </c>
      <c r="D58" s="149" t="s">
        <v>173</v>
      </c>
      <c r="E58" s="149" t="s">
        <v>38</v>
      </c>
      <c r="F58" s="2" t="s">
        <v>174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5">
        <f t="shared" ref="P58:Q58" si="12">P56/P57</f>
        <v>0.99790476190476185</v>
      </c>
      <c r="Q58" s="15">
        <f t="shared" si="12"/>
        <v>0.99790476190476185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5">
        <f>X56/X57</f>
        <v>0.99248120300751874</v>
      </c>
      <c r="Y58" s="15">
        <f ca="1">IFERROR(__xludf.DUMMYFUNCTION("INDEX(IMPORTRANGE(""1y0FWgjbB0gVlqn-q5LMJbGIsqOrzru4yowQz67dz2yc"", ""'APO'!BH3:BH139""),MATCH(D58,IMPORTRANGE(""1y0FWgjbB0gVlqn-q5LMJbGIsqOrzru4yowQz67dz2yc"", ""'APO'!D3:D139""),0))"),0.98448905109489)</f>
        <v>0.98448905109489004</v>
      </c>
      <c r="Z58" s="15">
        <f ca="1">IFERROR(__xludf.DUMMYFUNCTION("INDEX(IMPORTRANGE(""1y0FWgjbB0gVlqn-q5LMJbGIsqOrzru4yowQz67dz2yc"", ""'APO'!BI3:BI139""),MATCH(D58,IMPORTRANGE(""1y0FWgjbB0gVlqn-q5LMJbGIsqOrzru4yowQz67dz2yc"", ""'APO'!D3:D139""),0))"),0.981488203266787)</f>
        <v>0.98148820326678698</v>
      </c>
      <c r="AA58" s="2"/>
      <c r="AB58" s="2"/>
      <c r="AC58" s="2"/>
    </row>
    <row r="59" spans="1:29">
      <c r="A59" s="149" t="s">
        <v>147</v>
      </c>
      <c r="B59" s="149" t="s">
        <v>168</v>
      </c>
      <c r="C59" s="148" t="s">
        <v>30</v>
      </c>
      <c r="D59" s="148" t="s">
        <v>175</v>
      </c>
      <c r="E59" s="149" t="s">
        <v>38</v>
      </c>
      <c r="F59" s="2" t="s">
        <v>176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208236</v>
      </c>
      <c r="Q59" s="12">
        <v>208236</v>
      </c>
      <c r="R59" s="13"/>
      <c r="S59" s="13"/>
      <c r="T59" s="13"/>
      <c r="U59" s="13"/>
      <c r="V59" s="13"/>
      <c r="W59" s="13"/>
      <c r="X59" s="12">
        <v>208236</v>
      </c>
      <c r="Y59" s="12">
        <f ca="1">IFERROR(__xludf.DUMMYFUNCTION("INDEX(IMPORTRANGE(""1y0FWgjbB0gVlqn-q5LMJbGIsqOrzru4yowQz67dz2yc"", ""'APO'!BH3:BH139""),MATCH(D59,IMPORTRANGE(""1y0FWgjbB0gVlqn-q5LMJbGIsqOrzru4yowQz67dz2yc"", ""'APO'!D3:D139""),0))"),211206)</f>
        <v>211206</v>
      </c>
      <c r="Z59" s="12">
        <f ca="1">IFERROR(__xludf.DUMMYFUNCTION("INDEX(IMPORTRANGE(""1y0FWgjbB0gVlqn-q5LMJbGIsqOrzru4yowQz67dz2yc"", ""'APO'!BI3:BI139""),MATCH(D59,IMPORTRANGE(""1y0FWgjbB0gVlqn-q5LMJbGIsqOrzru4yowQz67dz2yc"", ""'APO'!D3:D139""),0))"),212648)</f>
        <v>212648</v>
      </c>
      <c r="AA59" s="1"/>
      <c r="AB59" s="1"/>
      <c r="AC59" s="1"/>
    </row>
    <row r="60" spans="1:29">
      <c r="A60" s="149" t="s">
        <v>147</v>
      </c>
      <c r="B60" s="149" t="s">
        <v>168</v>
      </c>
      <c r="C60" s="148" t="s">
        <v>36</v>
      </c>
      <c r="D60" s="148" t="s">
        <v>177</v>
      </c>
      <c r="E60" s="149" t="s">
        <v>38</v>
      </c>
      <c r="F60" s="2" t="s">
        <v>178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4">
        <f t="shared" ref="P60:Q60" si="13">P59/P35</f>
        <v>1</v>
      </c>
      <c r="Q60" s="14">
        <f t="shared" si="13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4">
        <f>X59/X35</f>
        <v>1</v>
      </c>
      <c r="Y60" s="14">
        <f ca="1">IFERROR(__xludf.DUMMYFUNCTION("INDEX(IMPORTRANGE(""1y0FWgjbB0gVlqn-q5LMJbGIsqOrzru4yowQz67dz2yc"", ""'APO'!BH3:BH139""),MATCH(D60,IMPORTRANGE(""1y0FWgjbB0gVlqn-q5LMJbGIsqOrzru4yowQz67dz2yc"", ""'APO'!D3:D139""),0))"),1)</f>
        <v>1</v>
      </c>
      <c r="Z60" s="14">
        <f ca="1">IFERROR(__xludf.DUMMYFUNCTION("INDEX(IMPORTRANGE(""1y0FWgjbB0gVlqn-q5LMJbGIsqOrzru4yowQz67dz2yc"", ""'APO'!BI3:BI139""),MATCH(D60,IMPORTRANGE(""1y0FWgjbB0gVlqn-q5LMJbGIsqOrzru4yowQz67dz2yc"", ""'APO'!D3:D139""),0))"),1)</f>
        <v>1</v>
      </c>
      <c r="AA60" s="2"/>
      <c r="AB60" s="2"/>
      <c r="AC60" s="2"/>
    </row>
    <row r="61" spans="1:29">
      <c r="A61" s="149" t="s">
        <v>147</v>
      </c>
      <c r="B61" s="149" t="s">
        <v>168</v>
      </c>
      <c r="C61" s="148" t="s">
        <v>30</v>
      </c>
      <c r="D61" s="149" t="s">
        <v>179</v>
      </c>
      <c r="E61" s="149" t="s">
        <v>38</v>
      </c>
      <c r="F61" s="2" t="s">
        <v>180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518511</v>
      </c>
      <c r="Q61" s="12">
        <v>518511</v>
      </c>
      <c r="R61" s="13"/>
      <c r="S61" s="13"/>
      <c r="T61" s="13"/>
      <c r="U61" s="13"/>
      <c r="V61" s="13"/>
      <c r="W61" s="13"/>
      <c r="X61" s="12">
        <v>559131</v>
      </c>
      <c r="Y61" s="12">
        <f ca="1">IFERROR(__xludf.DUMMYFUNCTION("INDEX(IMPORTRANGE(""1y0FWgjbB0gVlqn-q5LMJbGIsqOrzru4yowQz67dz2yc"", ""'APO'!BH3:BH139""),MATCH(D61,IMPORTRANGE(""1y0FWgjbB0gVlqn-q5LMJbGIsqOrzru4yowQz67dz2yc"", ""'APO'!D3:D139""),0))"),620815)</f>
        <v>620815</v>
      </c>
      <c r="Z61" s="12">
        <f ca="1">IFERROR(__xludf.DUMMYFUNCTION("INDEX(IMPORTRANGE(""1y0FWgjbB0gVlqn-q5LMJbGIsqOrzru4yowQz67dz2yc"", ""'APO'!BI3:BI139""),MATCH(D61,IMPORTRANGE(""1y0FWgjbB0gVlqn-q5LMJbGIsqOrzru4yowQz67dz2yc"", ""'APO'!D3:D139""),0))"),679920)</f>
        <v>679920</v>
      </c>
      <c r="AA61" s="1"/>
      <c r="AB61" s="1"/>
      <c r="AC61" s="1"/>
    </row>
    <row r="62" spans="1:29">
      <c r="A62" s="149" t="s">
        <v>147</v>
      </c>
      <c r="B62" s="149" t="s">
        <v>168</v>
      </c>
      <c r="C62" s="148" t="s">
        <v>30</v>
      </c>
      <c r="D62" s="149" t="s">
        <v>181</v>
      </c>
      <c r="E62" s="149" t="s">
        <v>38</v>
      </c>
      <c r="F62" s="2" t="s">
        <v>182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987831</v>
      </c>
      <c r="Q62" s="12">
        <v>987831</v>
      </c>
      <c r="R62" s="13"/>
      <c r="S62" s="13"/>
      <c r="T62" s="13"/>
      <c r="U62" s="13"/>
      <c r="V62" s="13"/>
      <c r="W62" s="13"/>
      <c r="X62" s="12">
        <v>987831</v>
      </c>
      <c r="Y62" s="12">
        <f ca="1">IFERROR(__xludf.DUMMYFUNCTION("INDEX(IMPORTRANGE(""1y0FWgjbB0gVlqn-q5LMJbGIsqOrzru4yowQz67dz2yc"", ""'APO'!BH3:BH139""),MATCH(D62,IMPORTRANGE(""1y0FWgjbB0gVlqn-q5LMJbGIsqOrzru4yowQz67dz2yc"", ""'APO'!D3:D139""),0))"),1028451)</f>
        <v>1028451</v>
      </c>
      <c r="Z62" s="12">
        <f ca="1">IFERROR(__xludf.DUMMYFUNCTION("INDEX(IMPORTRANGE(""1y0FWgjbB0gVlqn-q5LMJbGIsqOrzru4yowQz67dz2yc"", ""'APO'!BI3:BI139""),MATCH(D62,IMPORTRANGE(""1y0FWgjbB0gVlqn-q5LMJbGIsqOrzru4yowQz67dz2yc"", ""'APO'!D3:D139""),0))"),1028546)</f>
        <v>1028546</v>
      </c>
      <c r="AA62" s="1"/>
      <c r="AB62" s="1"/>
      <c r="AC62" s="1"/>
    </row>
    <row r="63" spans="1:29">
      <c r="A63" s="149" t="s">
        <v>147</v>
      </c>
      <c r="B63" s="149" t="s">
        <v>168</v>
      </c>
      <c r="C63" s="148" t="s">
        <v>36</v>
      </c>
      <c r="D63" s="149" t="s">
        <v>183</v>
      </c>
      <c r="E63" s="149" t="s">
        <v>38</v>
      </c>
      <c r="F63" s="2" t="s">
        <v>184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4">P61/P62</f>
        <v>0.52489848972141995</v>
      </c>
      <c r="Q63" s="15">
        <f t="shared" si="14"/>
        <v>0.52489848972141995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0.56601888379692478</v>
      </c>
      <c r="Y63" s="15">
        <f ca="1">IFERROR(__xludf.DUMMYFUNCTION("INDEX(IMPORTRANGE(""1y0FWgjbB0gVlqn-q5LMJbGIsqOrzru4yowQz67dz2yc"", ""'APO'!BH3:BH139""),MATCH(D63,IMPORTRANGE(""1y0FWgjbB0gVlqn-q5LMJbGIsqOrzru4yowQz67dz2yc"", ""'APO'!D3:D139""),0))"),0.603640815167664)</f>
        <v>0.60364081516766399</v>
      </c>
      <c r="Z63" s="15">
        <f ca="1">IFERROR(__xludf.DUMMYFUNCTION("INDEX(IMPORTRANGE(""1y0FWgjbB0gVlqn-q5LMJbGIsqOrzru4yowQz67dz2yc"", ""'APO'!BI3:BI139""),MATCH(D63,IMPORTRANGE(""1y0FWgjbB0gVlqn-q5LMJbGIsqOrzru4yowQz67dz2yc"", ""'APO'!D3:D139""),0))"),0.661049675950322)</f>
        <v>0.66104967595032205</v>
      </c>
      <c r="AA63" s="2"/>
      <c r="AB63" s="2"/>
      <c r="AC63" s="2"/>
    </row>
    <row r="64" spans="1:29">
      <c r="A64" s="149" t="s">
        <v>147</v>
      </c>
      <c r="B64" s="149" t="s">
        <v>168</v>
      </c>
      <c r="C64" s="148" t="s">
        <v>30</v>
      </c>
      <c r="D64" s="149" t="s">
        <v>185</v>
      </c>
      <c r="E64" s="149" t="s">
        <v>38</v>
      </c>
      <c r="F64" s="2" t="s">
        <v>186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22977</v>
      </c>
      <c r="Q64" s="12">
        <v>22977</v>
      </c>
      <c r="R64" s="13"/>
      <c r="S64" s="13"/>
      <c r="T64" s="13"/>
      <c r="U64" s="13"/>
      <c r="V64" s="13"/>
      <c r="W64" s="13"/>
      <c r="X64" s="12">
        <v>22977</v>
      </c>
      <c r="Y64" s="12">
        <f ca="1">IFERROR(__xludf.DUMMYFUNCTION("INDEX(IMPORTRANGE(""1y0FWgjbB0gVlqn-q5LMJbGIsqOrzru4yowQz67dz2yc"", ""'APO'!BH3:BH139""),MATCH(D64,IMPORTRANGE(""1y0FWgjbB0gVlqn-q5LMJbGIsqOrzru4yowQz67dz2yc"", ""'APO'!D3:D139""),0))"),23377)</f>
        <v>23377</v>
      </c>
      <c r="Z64" s="12">
        <f ca="1">IFERROR(__xludf.DUMMYFUNCTION("INDEX(IMPORTRANGE(""1y0FWgjbB0gVlqn-q5LMJbGIsqOrzru4yowQz67dz2yc"", ""'APO'!BI3:BI139""),MATCH(D64,IMPORTRANGE(""1y0FWgjbB0gVlqn-q5LMJbGIsqOrzru4yowQz67dz2yc"", ""'APO'!D3:D139""),0))"),23504.5)</f>
        <v>23504.5</v>
      </c>
      <c r="AA64" s="1"/>
      <c r="AB64" s="1"/>
      <c r="AC64" s="1"/>
    </row>
    <row r="65" spans="1:29">
      <c r="A65" s="149" t="s">
        <v>147</v>
      </c>
      <c r="B65" s="149" t="s">
        <v>168</v>
      </c>
      <c r="C65" s="148" t="s">
        <v>30</v>
      </c>
      <c r="D65" s="149" t="s">
        <v>187</v>
      </c>
      <c r="E65" s="149" t="s">
        <v>38</v>
      </c>
      <c r="F65" s="2" t="s">
        <v>188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2">
        <v>32977</v>
      </c>
      <c r="Q65" s="12">
        <v>32977</v>
      </c>
      <c r="R65" s="13"/>
      <c r="S65" s="13"/>
      <c r="T65" s="13"/>
      <c r="U65" s="13"/>
      <c r="V65" s="13"/>
      <c r="W65" s="13"/>
      <c r="X65" s="12">
        <v>32977</v>
      </c>
      <c r="Y65" s="12">
        <f ca="1">IFERROR(__xludf.DUMMYFUNCTION("INDEX(IMPORTRANGE(""1y0FWgjbB0gVlqn-q5LMJbGIsqOrzru4yowQz67dz2yc"", ""'APO'!BH3:BH139""),MATCH(D65,IMPORTRANGE(""1y0FWgjbB0gVlqn-q5LMJbGIsqOrzru4yowQz67dz2yc"", ""'APO'!D3:D139""),0))"),32977)</f>
        <v>32977</v>
      </c>
      <c r="Z65" s="12">
        <f ca="1">IFERROR(__xludf.DUMMYFUNCTION("INDEX(IMPORTRANGE(""1y0FWgjbB0gVlqn-q5LMJbGIsqOrzru4yowQz67dz2yc"", ""'APO'!BI3:BI139""),MATCH(D65,IMPORTRANGE(""1y0FWgjbB0gVlqn-q5LMJbGIsqOrzru4yowQz67dz2yc"", ""'APO'!D3:D139""),0))"),32977)</f>
        <v>32977</v>
      </c>
      <c r="AA65" s="1"/>
      <c r="AB65" s="1"/>
      <c r="AC65" s="1"/>
    </row>
    <row r="66" spans="1:29">
      <c r="A66" s="149" t="s">
        <v>147</v>
      </c>
      <c r="B66" s="149" t="s">
        <v>168</v>
      </c>
      <c r="C66" s="148" t="s">
        <v>36</v>
      </c>
      <c r="D66" s="149" t="s">
        <v>189</v>
      </c>
      <c r="E66" s="149" t="s">
        <v>38</v>
      </c>
      <c r="F66" s="2" t="s">
        <v>190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5">P64/P65</f>
        <v>0.69675834672650638</v>
      </c>
      <c r="Q66" s="15">
        <f t="shared" si="15"/>
        <v>0.69675834672650638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0.69675834672650638</v>
      </c>
      <c r="Y66" s="15">
        <f ca="1">IFERROR(__xludf.DUMMYFUNCTION("INDEX(IMPORTRANGE(""1y0FWgjbB0gVlqn-q5LMJbGIsqOrzru4yowQz67dz2yc"", ""'APO'!BH3:BH139""),MATCH(D66,IMPORTRANGE(""1y0FWgjbB0gVlqn-q5LMJbGIsqOrzru4yowQz67dz2yc"", ""'APO'!D3:D139""),0))"),0.708888012857446)</f>
        <v>0.70888801285744596</v>
      </c>
      <c r="Z66" s="15">
        <f ca="1">IFERROR(__xludf.DUMMYFUNCTION("INDEX(IMPORTRANGE(""1y0FWgjbB0gVlqn-q5LMJbGIsqOrzru4yowQz67dz2yc"", ""'APO'!BI3:BI139""),MATCH(D66,IMPORTRANGE(""1y0FWgjbB0gVlqn-q5LMJbGIsqOrzru4yowQz67dz2yc"", ""'APO'!D3:D139""),0))"),0.712754343936683)</f>
        <v>0.71275434393668302</v>
      </c>
      <c r="AA66" s="2"/>
      <c r="AB66" s="2"/>
      <c r="AC66" s="2"/>
    </row>
    <row r="67" spans="1:29">
      <c r="A67" s="149" t="s">
        <v>147</v>
      </c>
      <c r="B67" s="149" t="s">
        <v>168</v>
      </c>
      <c r="C67" s="148" t="s">
        <v>30</v>
      </c>
      <c r="D67" s="149" t="s">
        <v>191</v>
      </c>
      <c r="E67" s="149" t="s">
        <v>38</v>
      </c>
      <c r="F67" s="2" t="s">
        <v>192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12">
        <v>0</v>
      </c>
      <c r="Q67" s="24">
        <v>1.75</v>
      </c>
      <c r="R67" s="1"/>
      <c r="S67" s="1"/>
      <c r="T67" s="1"/>
      <c r="U67" s="1"/>
      <c r="V67" s="1"/>
      <c r="W67" s="1"/>
      <c r="X67" s="24">
        <v>10.209999999999999</v>
      </c>
      <c r="Y67" s="24">
        <f ca="1">IFERROR(__xludf.DUMMYFUNCTION("INDEX(IMPORTRANGE(""1y0FWgjbB0gVlqn-q5LMJbGIsqOrzru4yowQz67dz2yc"", ""'APO'!BH3:BH139""),MATCH(D67,IMPORTRANGE(""1y0FWgjbB0gVlqn-q5LMJbGIsqOrzru4yowQz67dz2yc"", ""'APO'!D3:D139""),0))"),19.81)</f>
        <v>19.809999999999999</v>
      </c>
      <c r="Z67" s="24">
        <f ca="1">IFERROR(__xludf.DUMMYFUNCTION("INDEX(IMPORTRANGE(""1y0FWgjbB0gVlqn-q5LMJbGIsqOrzru4yowQz67dz2yc"", ""'APO'!BI3:BI139""),MATCH(D67,IMPORTRANGE(""1y0FWgjbB0gVlqn-q5LMJbGIsqOrzru4yowQz67dz2yc"", ""'APO'!D3:D139""),0))"),7.1)</f>
        <v>7.1</v>
      </c>
      <c r="AA67" s="1"/>
      <c r="AB67" s="1"/>
      <c r="AC67" s="1"/>
    </row>
    <row r="68" spans="1:29">
      <c r="A68" s="149" t="s">
        <v>147</v>
      </c>
      <c r="B68" s="149" t="s">
        <v>168</v>
      </c>
      <c r="C68" s="148" t="s">
        <v>30</v>
      </c>
      <c r="D68" s="149" t="s">
        <v>193</v>
      </c>
      <c r="E68" s="149" t="s">
        <v>38</v>
      </c>
      <c r="F68" s="2" t="s">
        <v>194</v>
      </c>
      <c r="G68" s="22" t="s">
        <v>56</v>
      </c>
      <c r="H68" s="2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12">
        <v>0</v>
      </c>
      <c r="Q68" s="2">
        <v>1.4</v>
      </c>
      <c r="R68" s="1"/>
      <c r="S68" s="1"/>
      <c r="T68" s="1"/>
      <c r="U68" s="1"/>
      <c r="V68" s="1"/>
      <c r="W68" s="1"/>
      <c r="X68" s="2">
        <v>8.4</v>
      </c>
      <c r="Y68" s="2">
        <f ca="1">IFERROR(__xludf.DUMMYFUNCTION("INDEX(IMPORTRANGE(""1y0FWgjbB0gVlqn-q5LMJbGIsqOrzru4yowQz67dz2yc"", ""'APO'!BH3:BH139""),MATCH(D68,IMPORTRANGE(""1y0FWgjbB0gVlqn-q5LMJbGIsqOrzru4yowQz67dz2yc"", ""'APO'!D3:D139""),0))"),8.4)</f>
        <v>8.4</v>
      </c>
      <c r="Z68" s="2">
        <f ca="1">IFERROR(__xludf.DUMMYFUNCTION("INDEX(IMPORTRANGE(""1y0FWgjbB0gVlqn-q5LMJbGIsqOrzru4yowQz67dz2yc"", ""'APO'!BI3:BI139""),MATCH(D68,IMPORTRANGE(""1y0FWgjbB0gVlqn-q5LMJbGIsqOrzru4yowQz67dz2yc"", ""'APO'!D3:D139""),0))"),0)</f>
        <v>0</v>
      </c>
      <c r="AA68" s="1"/>
      <c r="AB68" s="1"/>
      <c r="AC68" s="1"/>
    </row>
    <row r="69" spans="1:29">
      <c r="A69" s="149" t="s">
        <v>147</v>
      </c>
      <c r="B69" s="149" t="s">
        <v>168</v>
      </c>
      <c r="C69" s="148" t="s">
        <v>30</v>
      </c>
      <c r="D69" s="149" t="s">
        <v>195</v>
      </c>
      <c r="E69" s="149" t="s">
        <v>38</v>
      </c>
      <c r="F69" s="2" t="s">
        <v>196</v>
      </c>
      <c r="G69" s="10">
        <v>44469</v>
      </c>
      <c r="H69" s="10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12">
        <v>0</v>
      </c>
      <c r="Q69" s="12">
        <v>0</v>
      </c>
      <c r="R69" s="13"/>
      <c r="S69" s="13"/>
      <c r="T69" s="13"/>
      <c r="U69" s="13"/>
      <c r="V69" s="13"/>
      <c r="W69" s="13"/>
      <c r="X69" s="12">
        <v>0</v>
      </c>
      <c r="Y69" s="12" t="str">
        <f ca="1">IFERROR(__xludf.DUMMYFUNCTION("INDEX(IMPORTRANGE(""1y0FWgjbB0gVlqn-q5LMJbGIsqOrzru4yowQz67dz2yc"", ""'APO'!BH3:BH139""),MATCH(D69,IMPORTRANGE(""1y0FWgjbB0gVlqn-q5LMJbGIsqOrzru4yowQz67dz2yc"", ""'APO'!D3:D139""),0))"),"")</f>
        <v/>
      </c>
      <c r="Z69" s="153" t="str">
        <f ca="1">IFERROR(__xludf.DUMMYFUNCTION("INDEX(IMPORTRANGE(""1y0FWgjbB0gVlqn-q5LMJbGIsqOrzru4yowQz67dz2yc"", ""'APO'!BI3:BI139""),MATCH(D69,IMPORTRANGE(""1y0FWgjbB0gVlqn-q5LMJbGIsqOrzru4yowQz67dz2yc"", ""'APO'!D3:D139""),0))"),"http://apodaca.gob.mx/dwfiles/_NuevaTransparencia_/informacion_interes/Alcalde%20Como%20Vamos/Servicios%20Publicos/PROGRAMA%20DE%20MANTENIMIENTO%20PREVENTIVO%20DRENAJES%20PLUVIALES%20DE%20APODACA%20NL.pdf")</f>
        <v>http://apodaca.gob.mx/dwfiles/_NuevaTransparencia_/informacion_interes/Alcalde%20Como%20Vamos/Servicios%20Publicos/PROGRAMA%20DE%20MANTENIMIENTO%20PREVENTIVO%20DRENAJES%20PLUVIALES%20DE%20APODACA%20NL.pdf</v>
      </c>
      <c r="AA69" s="1"/>
      <c r="AB69" s="1"/>
      <c r="AC69" s="1"/>
    </row>
    <row r="70" spans="1:29">
      <c r="A70" s="149" t="s">
        <v>147</v>
      </c>
      <c r="B70" s="149" t="s">
        <v>168</v>
      </c>
      <c r="C70" s="148" t="s">
        <v>36</v>
      </c>
      <c r="D70" s="149" t="s">
        <v>197</v>
      </c>
      <c r="E70" s="149" t="s">
        <v>38</v>
      </c>
      <c r="F70" s="2" t="s">
        <v>198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23">
        <v>3.15</v>
      </c>
      <c r="R70" s="4">
        <f>57/3</f>
        <v>19</v>
      </c>
      <c r="S70" s="4">
        <f>T70/2</f>
        <v>9.5</v>
      </c>
      <c r="T70" s="4">
        <f>57/3</f>
        <v>19</v>
      </c>
      <c r="U70" s="4">
        <f>V70/2</f>
        <v>9.5</v>
      </c>
      <c r="V70" s="4">
        <f>57/3</f>
        <v>19</v>
      </c>
      <c r="W70" s="4">
        <v>57</v>
      </c>
      <c r="X70" s="23">
        <v>18.61</v>
      </c>
      <c r="Y70" s="23">
        <f ca="1">IFERROR(__xludf.DUMMYFUNCTION("INDEX(IMPORTRANGE(""1y0FWgjbB0gVlqn-q5LMJbGIsqOrzru4yowQz67dz2yc"", ""'APO'!BH3:BH139""),MATCH(D70,IMPORTRANGE(""1y0FWgjbB0gVlqn-q5LMJbGIsqOrzru4yowQz67dz2yc"", ""'APO'!D3:D139""),0))"),28.21)</f>
        <v>28.21</v>
      </c>
      <c r="Z70" s="23">
        <f ca="1">IFERROR(__xludf.DUMMYFUNCTION("INDEX(IMPORTRANGE(""1y0FWgjbB0gVlqn-q5LMJbGIsqOrzru4yowQz67dz2yc"", ""'APO'!BI3:BI139""),MATCH(D70,IMPORTRANGE(""1y0FWgjbB0gVlqn-q5LMJbGIsqOrzru4yowQz67dz2yc"", ""'APO'!D3:D139""),0))"),7.1)</f>
        <v>7.1</v>
      </c>
      <c r="AA70" s="2"/>
      <c r="AB70" s="2"/>
      <c r="AC70" s="2"/>
    </row>
    <row r="71" spans="1:29">
      <c r="A71" s="149" t="s">
        <v>199</v>
      </c>
      <c r="B71" s="149" t="s">
        <v>200</v>
      </c>
      <c r="C71" s="148" t="s">
        <v>36</v>
      </c>
      <c r="D71" s="149" t="s">
        <v>201</v>
      </c>
      <c r="E71" s="149" t="s">
        <v>38</v>
      </c>
      <c r="F71" s="2" t="s">
        <v>202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6.0339999999999998</v>
      </c>
      <c r="Q71" s="12">
        <v>6.0339999999999998</v>
      </c>
      <c r="R71" s="12">
        <f t="shared" ref="R71:W71" si="16">+Q71+2/5</f>
        <v>6.4340000000000002</v>
      </c>
      <c r="S71" s="12">
        <f t="shared" si="16"/>
        <v>6.8340000000000005</v>
      </c>
      <c r="T71" s="12">
        <f t="shared" si="16"/>
        <v>7.2340000000000009</v>
      </c>
      <c r="U71" s="12">
        <f t="shared" si="16"/>
        <v>7.6340000000000012</v>
      </c>
      <c r="V71" s="12">
        <f t="shared" si="16"/>
        <v>8.0340000000000007</v>
      </c>
      <c r="W71" s="12">
        <f t="shared" si="16"/>
        <v>8.4340000000000011</v>
      </c>
      <c r="X71" s="32">
        <v>6.0339999999999998</v>
      </c>
      <c r="Y71" s="32">
        <f ca="1">IFERROR(__xludf.DUMMYFUNCTION("INDEX(IMPORTRANGE(""1y0FWgjbB0gVlqn-q5LMJbGIsqOrzru4yowQz67dz2yc"", ""'APO'!BH3:BH139""),MATCH(D71,IMPORTRANGE(""1y0FWgjbB0gVlqn-q5LMJbGIsqOrzru4yowQz67dz2yc"", ""'APO'!D3:D139""),0))"),9.53)</f>
        <v>9.5299999999999994</v>
      </c>
      <c r="Z71" s="32">
        <f ca="1">IFERROR(__xludf.DUMMYFUNCTION("INDEX(IMPORTRANGE(""1y0FWgjbB0gVlqn-q5LMJbGIsqOrzru4yowQz67dz2yc"", ""'APO'!BI3:BI139""),MATCH(D71,IMPORTRANGE(""1y0FWgjbB0gVlqn-q5LMJbGIsqOrzru4yowQz67dz2yc"", ""'APO'!D3:D139""),0))"),9.5)</f>
        <v>9.5</v>
      </c>
      <c r="AA71" s="2"/>
      <c r="AB71" s="2"/>
      <c r="AC71" s="2"/>
    </row>
    <row r="72" spans="1:29">
      <c r="A72" s="149" t="s">
        <v>199</v>
      </c>
      <c r="B72" s="149" t="s">
        <v>200</v>
      </c>
      <c r="C72" s="148" t="s">
        <v>30</v>
      </c>
      <c r="D72" s="149" t="s">
        <v>203</v>
      </c>
      <c r="E72" s="149" t="s">
        <v>38</v>
      </c>
      <c r="F72" s="2" t="s">
        <v>204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3"/>
      <c r="Q72" s="13"/>
      <c r="R72" s="1"/>
      <c r="S72" s="1"/>
      <c r="T72" s="1"/>
      <c r="U72" s="1"/>
      <c r="V72" s="1"/>
      <c r="W72" s="33"/>
      <c r="X72" s="12">
        <v>10081</v>
      </c>
      <c r="Y72" s="12">
        <f ca="1">IFERROR(__xludf.DUMMYFUNCTION("INDEX(IMPORTRANGE(""1y0FWgjbB0gVlqn-q5LMJbGIsqOrzru4yowQz67dz2yc"", ""'APO'!BH3:BH139""),MATCH(D72,IMPORTRANGE(""1y0FWgjbB0gVlqn-q5LMJbGIsqOrzru4yowQz67dz2yc"", ""'APO'!D3:D139""),0))"),12599)</f>
        <v>12599</v>
      </c>
      <c r="Z72" s="12">
        <f ca="1">IFERROR(__xludf.DUMMYFUNCTION("INDEX(IMPORTRANGE(""1y0FWgjbB0gVlqn-q5LMJbGIsqOrzru4yowQz67dz2yc"", ""'APO'!BI3:BI139""),MATCH(D72,IMPORTRANGE(""1y0FWgjbB0gVlqn-q5LMJbGIsqOrzru4yowQz67dz2yc"", ""'APO'!D3:D139""),0))"),2400)</f>
        <v>2400</v>
      </c>
      <c r="AA72" s="1"/>
      <c r="AB72" s="1"/>
      <c r="AC72" s="1"/>
    </row>
    <row r="73" spans="1:29">
      <c r="A73" s="149" t="s">
        <v>199</v>
      </c>
      <c r="B73" s="149" t="s">
        <v>200</v>
      </c>
      <c r="C73" s="148" t="s">
        <v>30</v>
      </c>
      <c r="D73" s="149" t="s">
        <v>205</v>
      </c>
      <c r="E73" s="149" t="s">
        <v>38</v>
      </c>
      <c r="F73" s="9" t="s">
        <v>206</v>
      </c>
      <c r="G73" s="22" t="s">
        <v>56</v>
      </c>
      <c r="H73" s="2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13"/>
      <c r="Q73" s="13"/>
      <c r="R73" s="1"/>
      <c r="S73" s="1"/>
      <c r="T73" s="1"/>
      <c r="U73" s="1"/>
      <c r="V73" s="1"/>
      <c r="W73" s="1"/>
      <c r="X73" s="12">
        <v>0</v>
      </c>
      <c r="Y73" s="12">
        <f ca="1">IFERROR(__xludf.DUMMYFUNCTION("INDEX(IMPORTRANGE(""1y0FWgjbB0gVlqn-q5LMJbGIsqOrzru4yowQz67dz2yc"", ""'APO'!BH3:BH139""),MATCH(D73,IMPORTRANGE(""1y0FWgjbB0gVlqn-q5LMJbGIsqOrzru4yowQz67dz2yc"", ""'APO'!D3:D139""),0))"),0)</f>
        <v>0</v>
      </c>
      <c r="Z73" s="12">
        <f ca="1">IFERROR(__xludf.DUMMYFUNCTION("INDEX(IMPORTRANGE(""1y0FWgjbB0gVlqn-q5LMJbGIsqOrzru4yowQz67dz2yc"", ""'APO'!BI3:BI139""),MATCH(D73,IMPORTRANGE(""1y0FWgjbB0gVlqn-q5LMJbGIsqOrzru4yowQz67dz2yc"", ""'APO'!D3:D139""),0))"),0)</f>
        <v>0</v>
      </c>
      <c r="AA73" s="1"/>
      <c r="AB73" s="1"/>
      <c r="AC73" s="1"/>
    </row>
    <row r="74" spans="1:29">
      <c r="A74" s="149" t="s">
        <v>199</v>
      </c>
      <c r="B74" s="149" t="s">
        <v>200</v>
      </c>
      <c r="C74" s="148" t="s">
        <v>30</v>
      </c>
      <c r="D74" s="149" t="s">
        <v>207</v>
      </c>
      <c r="E74" s="149" t="s">
        <v>38</v>
      </c>
      <c r="F74" s="9" t="s">
        <v>208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13"/>
      <c r="Q74" s="13"/>
      <c r="R74" s="1"/>
      <c r="S74" s="1"/>
      <c r="T74" s="1"/>
      <c r="U74" s="1"/>
      <c r="V74" s="1"/>
      <c r="W74" s="1"/>
      <c r="X74" s="12">
        <v>133</v>
      </c>
      <c r="Y74" s="12">
        <f ca="1">IFERROR(__xludf.DUMMYFUNCTION("INDEX(IMPORTRANGE(""1y0FWgjbB0gVlqn-q5LMJbGIsqOrzru4yowQz67dz2yc"", ""'APO'!BH3:BH139""),MATCH(D74,IMPORTRANGE(""1y0FWgjbB0gVlqn-q5LMJbGIsqOrzru4yowQz67dz2yc"", ""'APO'!D3:D139""),0))"),1907)</f>
        <v>1907</v>
      </c>
      <c r="Z74" s="12">
        <f ca="1">IFERROR(__xludf.DUMMYFUNCTION("INDEX(IMPORTRANGE(""1y0FWgjbB0gVlqn-q5LMJbGIsqOrzru4yowQz67dz2yc"", ""'APO'!BI3:BI139""),MATCH(D74,IMPORTRANGE(""1y0FWgjbB0gVlqn-q5LMJbGIsqOrzru4yowQz67dz2yc"", ""'APO'!D3:D139""),0))"),399)</f>
        <v>399</v>
      </c>
      <c r="AA74" s="1"/>
      <c r="AB74" s="1"/>
      <c r="AC74" s="1"/>
    </row>
    <row r="75" spans="1:29">
      <c r="A75" s="149" t="s">
        <v>199</v>
      </c>
      <c r="B75" s="149" t="s">
        <v>200</v>
      </c>
      <c r="C75" s="148" t="s">
        <v>36</v>
      </c>
      <c r="D75" s="149" t="s">
        <v>209</v>
      </c>
      <c r="E75" s="149" t="s">
        <v>38</v>
      </c>
      <c r="F75" s="9" t="s">
        <v>210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4"/>
      <c r="Q75" s="4"/>
      <c r="R75" s="2">
        <f>$W$75/3</f>
        <v>1350</v>
      </c>
      <c r="S75" s="2">
        <f>T75/2</f>
        <v>675</v>
      </c>
      <c r="T75" s="2">
        <f>$W$75/3</f>
        <v>1350</v>
      </c>
      <c r="U75" s="2">
        <f>V75/2</f>
        <v>675</v>
      </c>
      <c r="V75" s="2">
        <f>$W$75/3</f>
        <v>1350</v>
      </c>
      <c r="W75" s="2">
        <v>4050</v>
      </c>
      <c r="X75" s="12">
        <f>SUM(X72:X74)</f>
        <v>10214</v>
      </c>
      <c r="Y75" s="12">
        <f ca="1">IFERROR(__xludf.DUMMYFUNCTION("INDEX(IMPORTRANGE(""1y0FWgjbB0gVlqn-q5LMJbGIsqOrzru4yowQz67dz2yc"", ""'APO'!BH3:BH139""),MATCH(D75,IMPORTRANGE(""1y0FWgjbB0gVlqn-q5LMJbGIsqOrzru4yowQz67dz2yc"", ""'APO'!D3:D139""),0))"),14506)</f>
        <v>14506</v>
      </c>
      <c r="Z75" s="12">
        <f ca="1">IFERROR(__xludf.DUMMYFUNCTION("INDEX(IMPORTRANGE(""1y0FWgjbB0gVlqn-q5LMJbGIsqOrzru4yowQz67dz2yc"", ""'APO'!BI3:BI139""),MATCH(D75,IMPORTRANGE(""1y0FWgjbB0gVlqn-q5LMJbGIsqOrzru4yowQz67dz2yc"", ""'APO'!D3:D139""),0))"),2799)</f>
        <v>2799</v>
      </c>
      <c r="AA75" s="2"/>
      <c r="AB75" s="2"/>
      <c r="AC75" s="2"/>
    </row>
    <row r="76" spans="1:29">
      <c r="A76" s="149" t="s">
        <v>199</v>
      </c>
      <c r="B76" s="149" t="s">
        <v>200</v>
      </c>
      <c r="C76" s="148" t="s">
        <v>30</v>
      </c>
      <c r="D76" s="149" t="s">
        <v>211</v>
      </c>
      <c r="E76" s="149" t="s">
        <v>38</v>
      </c>
      <c r="F76" s="9" t="s">
        <v>212</v>
      </c>
      <c r="G76" s="16" t="s">
        <v>213</v>
      </c>
      <c r="H76" s="8" t="s">
        <v>214</v>
      </c>
      <c r="I76" s="7" t="s">
        <v>215</v>
      </c>
      <c r="J76" s="13"/>
      <c r="K76" s="7" t="s">
        <v>216</v>
      </c>
      <c r="L76" s="13"/>
      <c r="M76" s="7" t="s">
        <v>217</v>
      </c>
      <c r="N76" s="2" t="s">
        <v>218</v>
      </c>
      <c r="O76" s="2" t="s">
        <v>218</v>
      </c>
      <c r="P76" s="36">
        <v>155199137.53</v>
      </c>
      <c r="Q76" s="36">
        <v>155199137.53</v>
      </c>
      <c r="R76" s="13"/>
      <c r="S76" s="13"/>
      <c r="T76" s="13"/>
      <c r="U76" s="13"/>
      <c r="V76" s="13"/>
      <c r="W76" s="13"/>
      <c r="X76" s="36">
        <v>155199137.53</v>
      </c>
      <c r="Y76" s="4" t="str">
        <f ca="1">IFERROR(__xludf.DUMMYFUNCTION("INDEX(IMPORTRANGE(""1y0FWgjbB0gVlqn-q5LMJbGIsqOrzru4yowQz67dz2yc"", ""'APO'!BH3:BH139""),MATCH(D76,IMPORTRANGE(""1y0FWgjbB0gVlqn-q5LMJbGIsqOrzru4yowQz67dz2yc"", ""'APO'!D3:D139""),0))"),"")</f>
        <v/>
      </c>
      <c r="Z76" s="4">
        <f ca="1">IFERROR(__xludf.DUMMYFUNCTION("INDEX(IMPORTRANGE(""1y0FWgjbB0gVlqn-q5LMJbGIsqOrzru4yowQz67dz2yc"", ""'APO'!BI3:BI139""),MATCH(D76,IMPORTRANGE(""1y0FWgjbB0gVlqn-q5LMJbGIsqOrzru4yowQz67dz2yc"", ""'APO'!D3:D139""),0))"),158563355.41)</f>
        <v>158563355.41</v>
      </c>
      <c r="AA76" s="1"/>
      <c r="AB76" s="1"/>
      <c r="AC76" s="1"/>
    </row>
    <row r="77" spans="1:29">
      <c r="A77" s="149" t="s">
        <v>199</v>
      </c>
      <c r="B77" s="149" t="s">
        <v>200</v>
      </c>
      <c r="C77" s="148" t="s">
        <v>30</v>
      </c>
      <c r="D77" s="149" t="s">
        <v>219</v>
      </c>
      <c r="E77" s="149" t="s">
        <v>38</v>
      </c>
      <c r="F77" s="9" t="s">
        <v>220</v>
      </c>
      <c r="G77" s="16" t="s">
        <v>213</v>
      </c>
      <c r="H77" s="8" t="s">
        <v>214</v>
      </c>
      <c r="I77" s="7" t="s">
        <v>215</v>
      </c>
      <c r="J77" s="13"/>
      <c r="K77" s="7" t="s">
        <v>216</v>
      </c>
      <c r="L77" s="13"/>
      <c r="M77" s="7" t="s">
        <v>217</v>
      </c>
      <c r="N77" s="2" t="s">
        <v>218</v>
      </c>
      <c r="O77" s="2" t="s">
        <v>218</v>
      </c>
      <c r="P77" s="36">
        <v>23239909.559999999</v>
      </c>
      <c r="Q77" s="36">
        <v>23239909.559999999</v>
      </c>
      <c r="R77" s="13"/>
      <c r="S77" s="13"/>
      <c r="T77" s="13"/>
      <c r="U77" s="13"/>
      <c r="V77" s="13"/>
      <c r="W77" s="13"/>
      <c r="X77" s="36">
        <v>23239909.559999999</v>
      </c>
      <c r="Y77" s="4" t="str">
        <f ca="1">IFERROR(__xludf.DUMMYFUNCTION("INDEX(IMPORTRANGE(""1y0FWgjbB0gVlqn-q5LMJbGIsqOrzru4yowQz67dz2yc"", ""'APO'!BH3:BH139""),MATCH(D77,IMPORTRANGE(""1y0FWgjbB0gVlqn-q5LMJbGIsqOrzru4yowQz67dz2yc"", ""'APO'!D3:D139""),0))"),"")</f>
        <v/>
      </c>
      <c r="Z77" s="4">
        <f ca="1">IFERROR(__xludf.DUMMYFUNCTION("INDEX(IMPORTRANGE(""1y0FWgjbB0gVlqn-q5LMJbGIsqOrzru4yowQz67dz2yc"", ""'APO'!BI3:BI139""),MATCH(D77,IMPORTRANGE(""1y0FWgjbB0gVlqn-q5LMJbGIsqOrzru4yowQz67dz2yc"", ""'APO'!D3:D139""),0))"),83291575.22)</f>
        <v>83291575.219999999</v>
      </c>
      <c r="AA77" s="1"/>
      <c r="AB77" s="1"/>
      <c r="AC77" s="1"/>
    </row>
    <row r="78" spans="1:29">
      <c r="A78" s="149" t="s">
        <v>199</v>
      </c>
      <c r="B78" s="149" t="s">
        <v>200</v>
      </c>
      <c r="C78" s="148" t="s">
        <v>36</v>
      </c>
      <c r="D78" s="149" t="s">
        <v>221</v>
      </c>
      <c r="E78" s="149" t="s">
        <v>38</v>
      </c>
      <c r="F78" s="9" t="s">
        <v>222</v>
      </c>
      <c r="G78" s="21" t="s">
        <v>213</v>
      </c>
      <c r="H78" s="22" t="s">
        <v>214</v>
      </c>
      <c r="I78" s="9" t="s">
        <v>215</v>
      </c>
      <c r="J78" s="4"/>
      <c r="K78" s="9" t="s">
        <v>216</v>
      </c>
      <c r="L78" s="4"/>
      <c r="M78" s="9" t="s">
        <v>217</v>
      </c>
      <c r="N78" s="2" t="s">
        <v>218</v>
      </c>
      <c r="O78" s="2" t="s">
        <v>218</v>
      </c>
      <c r="P78" s="15">
        <f t="shared" ref="P78:Q78" si="17">P77/P76</f>
        <v>0.14974251745121794</v>
      </c>
      <c r="Q78" s="15">
        <f t="shared" si="17"/>
        <v>0.14974251745121794</v>
      </c>
      <c r="R78" s="2"/>
      <c r="S78" s="14">
        <v>0.16</v>
      </c>
      <c r="T78" s="2"/>
      <c r="U78" s="14">
        <v>0.17</v>
      </c>
      <c r="V78" s="14">
        <v>0.18</v>
      </c>
      <c r="W78" s="14">
        <v>0.18</v>
      </c>
      <c r="X78" s="15">
        <f>X77/X76</f>
        <v>0.14974251745121794</v>
      </c>
      <c r="Y78" s="38" t="str">
        <f ca="1">IFERROR(__xludf.DUMMYFUNCTION("INDEX(IMPORTRANGE(""1y0FWgjbB0gVlqn-q5LMJbGIsqOrzru4yowQz67dz2yc"", ""'APO'!BH3:BH139""),MATCH(D78,IMPORTRANGE(""1y0FWgjbB0gVlqn-q5LMJbGIsqOrzru4yowQz67dz2yc"", ""'APO'!D3:D139""),0))"),"")</f>
        <v/>
      </c>
      <c r="Z78" s="38">
        <f ca="1">IFERROR(__xludf.DUMMYFUNCTION("INDEX(IMPORTRANGE(""1y0FWgjbB0gVlqn-q5LMJbGIsqOrzru4yowQz67dz2yc"", ""'APO'!BI3:BI139""),MATCH(D78,IMPORTRANGE(""1y0FWgjbB0gVlqn-q5LMJbGIsqOrzru4yowQz67dz2yc"", ""'APO'!D3:D139""),0))"),0.525288929492136)</f>
        <v>0.52528892949213601</v>
      </c>
      <c r="AA78" s="2"/>
      <c r="AB78" s="2"/>
      <c r="AC78" s="2"/>
    </row>
    <row r="79" spans="1:29">
      <c r="A79" s="149" t="s">
        <v>199</v>
      </c>
      <c r="B79" s="149" t="s">
        <v>200</v>
      </c>
      <c r="C79" s="148" t="s">
        <v>30</v>
      </c>
      <c r="D79" s="149" t="s">
        <v>223</v>
      </c>
      <c r="E79" s="149" t="s">
        <v>38</v>
      </c>
      <c r="F79" s="9" t="s">
        <v>224</v>
      </c>
      <c r="G79" s="22" t="s">
        <v>56</v>
      </c>
      <c r="H79" s="2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3</v>
      </c>
      <c r="Q79" s="12">
        <v>6</v>
      </c>
      <c r="R79" s="1"/>
      <c r="S79" s="1"/>
      <c r="T79" s="1"/>
      <c r="U79" s="1"/>
      <c r="V79" s="1"/>
      <c r="W79" s="1"/>
      <c r="X79" s="12">
        <v>1</v>
      </c>
      <c r="Y79" s="12">
        <f ca="1">IFERROR(__xludf.DUMMYFUNCTION("INDEX(IMPORTRANGE(""1y0FWgjbB0gVlqn-q5LMJbGIsqOrzru4yowQz67dz2yc"", ""'APO'!BH3:BH139""),MATCH(D79,IMPORTRANGE(""1y0FWgjbB0gVlqn-q5LMJbGIsqOrzru4yowQz67dz2yc"", ""'APO'!D3:D139""),0))"),13)</f>
        <v>13</v>
      </c>
      <c r="Z79" s="12">
        <f ca="1">IFERROR(__xludf.DUMMYFUNCTION("INDEX(IMPORTRANGE(""1y0FWgjbB0gVlqn-q5LMJbGIsqOrzru4yowQz67dz2yc"", ""'APO'!BI3:BI139""),MATCH(D79,IMPORTRANGE(""1y0FWgjbB0gVlqn-q5LMJbGIsqOrzru4yowQz67dz2yc"", ""'APO'!D3:D139""),0))"),5)</f>
        <v>5</v>
      </c>
      <c r="AA79" s="1"/>
      <c r="AB79" s="1"/>
      <c r="AC79" s="1"/>
    </row>
    <row r="80" spans="1:29">
      <c r="A80" s="149" t="s">
        <v>199</v>
      </c>
      <c r="B80" s="149" t="s">
        <v>200</v>
      </c>
      <c r="C80" s="148" t="s">
        <v>30</v>
      </c>
      <c r="D80" s="149" t="s">
        <v>225</v>
      </c>
      <c r="E80" s="149" t="s">
        <v>38</v>
      </c>
      <c r="F80" s="9" t="s">
        <v>182</v>
      </c>
      <c r="G80" s="22" t="s">
        <v>56</v>
      </c>
      <c r="H80" s="2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1</v>
      </c>
      <c r="Q80" s="12">
        <v>4</v>
      </c>
      <c r="R80" s="1"/>
      <c r="S80" s="1"/>
      <c r="T80" s="1"/>
      <c r="U80" s="1"/>
      <c r="V80" s="1"/>
      <c r="W80" s="1"/>
      <c r="X80" s="12">
        <v>2</v>
      </c>
      <c r="Y80" s="12">
        <f ca="1">IFERROR(__xludf.DUMMYFUNCTION("INDEX(IMPORTRANGE(""1y0FWgjbB0gVlqn-q5LMJbGIsqOrzru4yowQz67dz2yc"", ""'APO'!BH3:BH139""),MATCH(D80,IMPORTRANGE(""1y0FWgjbB0gVlqn-q5LMJbGIsqOrzru4yowQz67dz2yc"", ""'APO'!D3:D139""),0))"),5)</f>
        <v>5</v>
      </c>
      <c r="Z80" s="12">
        <f ca="1">IFERROR(__xludf.DUMMYFUNCTION("INDEX(IMPORTRANGE(""1y0FWgjbB0gVlqn-q5LMJbGIsqOrzru4yowQz67dz2yc"", ""'APO'!BI3:BI139""),MATCH(D80,IMPORTRANGE(""1y0FWgjbB0gVlqn-q5LMJbGIsqOrzru4yowQz67dz2yc"", ""'APO'!D3:D139""),0))"),0)</f>
        <v>0</v>
      </c>
      <c r="AA80" s="1"/>
      <c r="AB80" s="1"/>
      <c r="AC80" s="1"/>
    </row>
    <row r="81" spans="1:29">
      <c r="A81" s="149" t="s">
        <v>199</v>
      </c>
      <c r="B81" s="149" t="s">
        <v>200</v>
      </c>
      <c r="C81" s="148" t="s">
        <v>36</v>
      </c>
      <c r="D81" s="149" t="s">
        <v>226</v>
      </c>
      <c r="E81" s="149" t="s">
        <v>38</v>
      </c>
      <c r="F81" s="9" t="s">
        <v>227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f t="shared" ref="P81:Q81" si="18">P79+P80</f>
        <v>4</v>
      </c>
      <c r="Q81" s="12">
        <f t="shared" si="18"/>
        <v>10</v>
      </c>
      <c r="R81" s="4">
        <v>8</v>
      </c>
      <c r="S81" s="4">
        <v>4</v>
      </c>
      <c r="T81" s="4">
        <v>8</v>
      </c>
      <c r="U81" s="4">
        <v>4</v>
      </c>
      <c r="V81" s="4">
        <v>9</v>
      </c>
      <c r="W81" s="4">
        <v>25</v>
      </c>
      <c r="X81" s="12">
        <f>X79+X80</f>
        <v>3</v>
      </c>
      <c r="Y81" s="12">
        <f ca="1">IFERROR(__xludf.DUMMYFUNCTION("INDEX(IMPORTRANGE(""1y0FWgjbB0gVlqn-q5LMJbGIsqOrzru4yowQz67dz2yc"", ""'APO'!BH3:BH139""),MATCH(D81,IMPORTRANGE(""1y0FWgjbB0gVlqn-q5LMJbGIsqOrzru4yowQz67dz2yc"", ""'APO'!D3:D139""),0))"),18)</f>
        <v>18</v>
      </c>
      <c r="Z81" s="12">
        <f ca="1">IFERROR(__xludf.DUMMYFUNCTION("INDEX(IMPORTRANGE(""1y0FWgjbB0gVlqn-q5LMJbGIsqOrzru4yowQz67dz2yc"", ""'APO'!BI3:BI139""),MATCH(D81,IMPORTRANGE(""1y0FWgjbB0gVlqn-q5LMJbGIsqOrzru4yowQz67dz2yc"", ""'APO'!D3:D139""),0))"),5)</f>
        <v>5</v>
      </c>
      <c r="AA81" s="2"/>
      <c r="AB81" s="2"/>
      <c r="AC81" s="2"/>
    </row>
    <row r="82" spans="1:29">
      <c r="A82" s="149" t="s">
        <v>199</v>
      </c>
      <c r="B82" s="149" t="s">
        <v>228</v>
      </c>
      <c r="C82" s="148" t="s">
        <v>30</v>
      </c>
      <c r="D82" s="149" t="s">
        <v>229</v>
      </c>
      <c r="E82" s="149" t="s">
        <v>38</v>
      </c>
      <c r="F82" s="9" t="s">
        <v>230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67</v>
      </c>
      <c r="Q82" s="12">
        <v>66</v>
      </c>
      <c r="R82" s="13"/>
      <c r="S82" s="13"/>
      <c r="T82" s="13"/>
      <c r="U82" s="13"/>
      <c r="V82" s="13"/>
      <c r="W82" s="13"/>
      <c r="X82" s="12">
        <v>37</v>
      </c>
      <c r="Y82" s="12">
        <f ca="1">IFERROR(__xludf.DUMMYFUNCTION("INDEX(IMPORTRANGE(""1y0FWgjbB0gVlqn-q5LMJbGIsqOrzru4yowQz67dz2yc"", ""'APO'!BH3:BH139""),MATCH(D82,IMPORTRANGE(""1y0FWgjbB0gVlqn-q5LMJbGIsqOrzru4yowQz67dz2yc"", ""'APO'!D3:D139""),0))"),68)</f>
        <v>68</v>
      </c>
      <c r="Z82" s="12">
        <f ca="1">IFERROR(__xludf.DUMMYFUNCTION("INDEX(IMPORTRANGE(""1y0FWgjbB0gVlqn-q5LMJbGIsqOrzru4yowQz67dz2yc"", ""'APO'!BI3:BI139""),MATCH(D82,IMPORTRANGE(""1y0FWgjbB0gVlqn-q5LMJbGIsqOrzru4yowQz67dz2yc"", ""'APO'!D3:D139""),0))"),53)</f>
        <v>53</v>
      </c>
      <c r="AA82" s="1"/>
      <c r="AB82" s="1"/>
      <c r="AC82" s="1"/>
    </row>
    <row r="83" spans="1:29">
      <c r="A83" s="149" t="s">
        <v>199</v>
      </c>
      <c r="B83" s="149" t="s">
        <v>228</v>
      </c>
      <c r="C83" s="148" t="s">
        <v>30</v>
      </c>
      <c r="D83" s="149" t="s">
        <v>233</v>
      </c>
      <c r="E83" s="149" t="s">
        <v>38</v>
      </c>
      <c r="F83" s="9" t="s">
        <v>234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18</v>
      </c>
      <c r="Q83" s="12">
        <v>25</v>
      </c>
      <c r="R83" s="13"/>
      <c r="S83" s="13"/>
      <c r="T83" s="13"/>
      <c r="U83" s="13"/>
      <c r="V83" s="13"/>
      <c r="W83" s="13"/>
      <c r="X83" s="12">
        <v>3</v>
      </c>
      <c r="Y83" s="12">
        <f ca="1">IFERROR(__xludf.DUMMYFUNCTION("INDEX(IMPORTRANGE(""1y0FWgjbB0gVlqn-q5LMJbGIsqOrzru4yowQz67dz2yc"", ""'APO'!BH3:BH139""),MATCH(D83,IMPORTRANGE(""1y0FWgjbB0gVlqn-q5LMJbGIsqOrzru4yowQz67dz2yc"", ""'APO'!D3:D139""),0))"),4)</f>
        <v>4</v>
      </c>
      <c r="Z83" s="12">
        <f ca="1">IFERROR(__xludf.DUMMYFUNCTION("INDEX(IMPORTRANGE(""1y0FWgjbB0gVlqn-q5LMJbGIsqOrzru4yowQz67dz2yc"", ""'APO'!BI3:BI139""),MATCH(D83,IMPORTRANGE(""1y0FWgjbB0gVlqn-q5LMJbGIsqOrzru4yowQz67dz2yc"", ""'APO'!D3:D139""),0))"),3)</f>
        <v>3</v>
      </c>
      <c r="AA83" s="1"/>
      <c r="AB83" s="1"/>
      <c r="AC83" s="1"/>
    </row>
    <row r="84" spans="1:29">
      <c r="A84" s="149" t="s">
        <v>199</v>
      </c>
      <c r="B84" s="149" t="s">
        <v>228</v>
      </c>
      <c r="C84" s="148" t="s">
        <v>30</v>
      </c>
      <c r="D84" s="149" t="s">
        <v>235</v>
      </c>
      <c r="E84" s="149" t="s">
        <v>38</v>
      </c>
      <c r="F84" s="9" t="s">
        <v>236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1583</v>
      </c>
      <c r="Q84" s="12">
        <v>2794</v>
      </c>
      <c r="R84" s="13"/>
      <c r="S84" s="13"/>
      <c r="T84" s="13"/>
      <c r="U84" s="13"/>
      <c r="V84" s="13"/>
      <c r="W84" s="13"/>
      <c r="X84" s="12">
        <v>880</v>
      </c>
      <c r="Y84" s="12">
        <f ca="1">IFERROR(__xludf.DUMMYFUNCTION("INDEX(IMPORTRANGE(""1y0FWgjbB0gVlqn-q5LMJbGIsqOrzru4yowQz67dz2yc"", ""'APO'!BH3:BH139""),MATCH(D84,IMPORTRANGE(""1y0FWgjbB0gVlqn-q5LMJbGIsqOrzru4yowQz67dz2yc"", ""'APO'!D3:D139""),0))"),1949)</f>
        <v>1949</v>
      </c>
      <c r="Z84" s="12">
        <f ca="1">IFERROR(__xludf.DUMMYFUNCTION("INDEX(IMPORTRANGE(""1y0FWgjbB0gVlqn-q5LMJbGIsqOrzru4yowQz67dz2yc"", ""'APO'!BI3:BI139""),MATCH(D84,IMPORTRANGE(""1y0FWgjbB0gVlqn-q5LMJbGIsqOrzru4yowQz67dz2yc"", ""'APO'!D3:D139""),0))"),1470)</f>
        <v>1470</v>
      </c>
      <c r="AA84" s="1"/>
      <c r="AB84" s="1"/>
      <c r="AC84" s="1"/>
    </row>
    <row r="85" spans="1:29">
      <c r="A85" s="149" t="s">
        <v>199</v>
      </c>
      <c r="B85" s="149" t="s">
        <v>228</v>
      </c>
      <c r="C85" s="148" t="s">
        <v>30</v>
      </c>
      <c r="D85" s="149" t="s">
        <v>237</v>
      </c>
      <c r="E85" s="149" t="s">
        <v>38</v>
      </c>
      <c r="F85" s="9" t="s">
        <v>238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70</v>
      </c>
      <c r="Q85" s="12">
        <v>123</v>
      </c>
      <c r="R85" s="13"/>
      <c r="S85" s="13"/>
      <c r="T85" s="13"/>
      <c r="U85" s="13"/>
      <c r="V85" s="13"/>
      <c r="W85" s="13"/>
      <c r="X85" s="12">
        <v>34</v>
      </c>
      <c r="Y85" s="12">
        <f ca="1">IFERROR(__xludf.DUMMYFUNCTION("INDEX(IMPORTRANGE(""1y0FWgjbB0gVlqn-q5LMJbGIsqOrzru4yowQz67dz2yc"", ""'APO'!BH3:BH139""),MATCH(D85,IMPORTRANGE(""1y0FWgjbB0gVlqn-q5LMJbGIsqOrzru4yowQz67dz2yc"", ""'APO'!D3:D139""),0))"),93)</f>
        <v>93</v>
      </c>
      <c r="Z85" s="12">
        <f ca="1">IFERROR(__xludf.DUMMYFUNCTION("INDEX(IMPORTRANGE(""1y0FWgjbB0gVlqn-q5LMJbGIsqOrzru4yowQz67dz2yc"", ""'APO'!BI3:BI139""),MATCH(D85,IMPORTRANGE(""1y0FWgjbB0gVlqn-q5LMJbGIsqOrzru4yowQz67dz2yc"", ""'APO'!D3:D139""),0))"),106)</f>
        <v>106</v>
      </c>
      <c r="AA85" s="1"/>
      <c r="AB85" s="1"/>
      <c r="AC85" s="1"/>
    </row>
    <row r="86" spans="1:29">
      <c r="A86" s="149" t="s">
        <v>199</v>
      </c>
      <c r="B86" s="149" t="s">
        <v>228</v>
      </c>
      <c r="C86" s="148" t="s">
        <v>30</v>
      </c>
      <c r="D86" s="149" t="s">
        <v>239</v>
      </c>
      <c r="E86" s="149" t="s">
        <v>38</v>
      </c>
      <c r="F86" s="9" t="s">
        <v>240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519</v>
      </c>
      <c r="Q86" s="12">
        <v>1150</v>
      </c>
      <c r="R86" s="13"/>
      <c r="S86" s="13"/>
      <c r="T86" s="13"/>
      <c r="U86" s="13"/>
      <c r="V86" s="13"/>
      <c r="W86" s="13"/>
      <c r="X86" s="12">
        <v>139</v>
      </c>
      <c r="Y86" s="12">
        <f ca="1">IFERROR(__xludf.DUMMYFUNCTION("INDEX(IMPORTRANGE(""1y0FWgjbB0gVlqn-q5LMJbGIsqOrzru4yowQz67dz2yc"", ""'APO'!BH3:BH139""),MATCH(D86,IMPORTRANGE(""1y0FWgjbB0gVlqn-q5LMJbGIsqOrzru4yowQz67dz2yc"", ""'APO'!D3:D139""),0))"),324)</f>
        <v>324</v>
      </c>
      <c r="Z86" s="12">
        <f ca="1">IFERROR(__xludf.DUMMYFUNCTION("INDEX(IMPORTRANGE(""1y0FWgjbB0gVlqn-q5LMJbGIsqOrzru4yowQz67dz2yc"", ""'APO'!BI3:BI139""),MATCH(D86,IMPORTRANGE(""1y0FWgjbB0gVlqn-q5LMJbGIsqOrzru4yowQz67dz2yc"", ""'APO'!D3:D139""),0))"),426)</f>
        <v>426</v>
      </c>
      <c r="AA86" s="1"/>
      <c r="AB86" s="1"/>
      <c r="AC86" s="1"/>
    </row>
    <row r="87" spans="1:29">
      <c r="A87" s="149" t="s">
        <v>199</v>
      </c>
      <c r="B87" s="149" t="s">
        <v>228</v>
      </c>
      <c r="C87" s="148" t="s">
        <v>36</v>
      </c>
      <c r="D87" s="149" t="s">
        <v>241</v>
      </c>
      <c r="E87" s="149" t="s">
        <v>38</v>
      </c>
      <c r="F87" s="2" t="s">
        <v>242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f t="shared" ref="P87:Q87" si="19">SUM(P82:P86)</f>
        <v>2257</v>
      </c>
      <c r="Q87" s="12">
        <f t="shared" si="19"/>
        <v>4158</v>
      </c>
      <c r="R87" s="22">
        <v>4038</v>
      </c>
      <c r="S87" s="22">
        <v>2212</v>
      </c>
      <c r="T87" s="22">
        <v>3928</v>
      </c>
      <c r="U87" s="22">
        <v>2167</v>
      </c>
      <c r="V87" s="22">
        <v>3806</v>
      </c>
      <c r="W87" s="2">
        <v>3798</v>
      </c>
      <c r="X87" s="12">
        <f>SUM(X82:X86)</f>
        <v>1093</v>
      </c>
      <c r="Y87" s="12">
        <f ca="1">IFERROR(__xludf.DUMMYFUNCTION("INDEX(IMPORTRANGE(""1y0FWgjbB0gVlqn-q5LMJbGIsqOrzru4yowQz67dz2yc"", ""'APO'!BH3:BH139""),MATCH(D87,IMPORTRANGE(""1y0FWgjbB0gVlqn-q5LMJbGIsqOrzru4yowQz67dz2yc"", ""'APO'!D3:D139""),0))"),2438)</f>
        <v>2438</v>
      </c>
      <c r="Z87" s="12">
        <f ca="1">IFERROR(__xludf.DUMMYFUNCTION("INDEX(IMPORTRANGE(""1y0FWgjbB0gVlqn-q5LMJbGIsqOrzru4yowQz67dz2yc"", ""'APO'!BI3:BI139""),MATCH(D87,IMPORTRANGE(""1y0FWgjbB0gVlqn-q5LMJbGIsqOrzru4yowQz67dz2yc"", ""'APO'!D3:D139""),0))"),2058)</f>
        <v>2058</v>
      </c>
      <c r="AA87" s="2"/>
      <c r="AB87" s="2"/>
      <c r="AC87" s="2"/>
    </row>
    <row r="88" spans="1:29">
      <c r="A88" s="149" t="s">
        <v>243</v>
      </c>
      <c r="B88" s="149" t="s">
        <v>244</v>
      </c>
      <c r="C88" s="148" t="s">
        <v>36</v>
      </c>
      <c r="D88" s="149" t="s">
        <v>338</v>
      </c>
      <c r="E88" s="149" t="s">
        <v>38</v>
      </c>
      <c r="F88" s="9" t="s">
        <v>246</v>
      </c>
      <c r="G88" s="22" t="s">
        <v>56</v>
      </c>
      <c r="H88" s="2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3</v>
      </c>
      <c r="Q88" s="2">
        <v>3</v>
      </c>
      <c r="R88" s="22">
        <v>5</v>
      </c>
      <c r="S88" s="57">
        <v>3</v>
      </c>
      <c r="T88" s="22">
        <v>7</v>
      </c>
      <c r="U88" s="22">
        <v>5</v>
      </c>
      <c r="V88" s="22">
        <v>10</v>
      </c>
      <c r="W88" s="22">
        <v>10</v>
      </c>
      <c r="X88" s="2">
        <v>3</v>
      </c>
      <c r="Y88" s="2">
        <f ca="1">IFERROR(__xludf.DUMMYFUNCTION("INDEX(IMPORTRANGE(""1y0FWgjbB0gVlqn-q5LMJbGIsqOrzru4yowQz67dz2yc"", ""'APO'!BH3:BH139""),MATCH(D88,IMPORTRANGE(""1y0FWgjbB0gVlqn-q5LMJbGIsqOrzru4yowQz67dz2yc"", ""'APO'!D3:D139""),0))"),6)</f>
        <v>6</v>
      </c>
      <c r="Z88" s="2">
        <f ca="1">IFERROR(__xludf.DUMMYFUNCTION("INDEX(IMPORTRANGE(""1y0FWgjbB0gVlqn-q5LMJbGIsqOrzru4yowQz67dz2yc"", ""'APO'!BI3:BI139""),MATCH(D88,IMPORTRANGE(""1y0FWgjbB0gVlqn-q5LMJbGIsqOrzru4yowQz67dz2yc"", ""'APO'!D3:D139""),0))"),7)</f>
        <v>7</v>
      </c>
      <c r="AA88" s="2"/>
      <c r="AB88" s="2"/>
      <c r="AC88" s="2"/>
    </row>
    <row r="89" spans="1:29">
      <c r="A89" s="149" t="s">
        <v>243</v>
      </c>
      <c r="B89" s="149" t="s">
        <v>247</v>
      </c>
      <c r="C89" s="148" t="s">
        <v>36</v>
      </c>
      <c r="D89" s="149" t="s">
        <v>248</v>
      </c>
      <c r="E89" s="149" t="s">
        <v>38</v>
      </c>
      <c r="F89" s="9" t="s">
        <v>249</v>
      </c>
      <c r="G89" s="10">
        <v>44469</v>
      </c>
      <c r="H89" s="10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12">
        <v>3</v>
      </c>
      <c r="Q89" s="2">
        <v>3</v>
      </c>
      <c r="R89" s="2">
        <v>4</v>
      </c>
      <c r="S89" s="2">
        <v>5</v>
      </c>
      <c r="T89" s="2">
        <v>5</v>
      </c>
      <c r="U89" s="2">
        <v>6</v>
      </c>
      <c r="V89" s="2">
        <v>6</v>
      </c>
      <c r="W89" s="2">
        <v>6</v>
      </c>
      <c r="X89" s="2">
        <v>5</v>
      </c>
      <c r="Y89" s="2">
        <f ca="1">IFERROR(__xludf.DUMMYFUNCTION("INDEX(IMPORTRANGE(""1y0FWgjbB0gVlqn-q5LMJbGIsqOrzru4yowQz67dz2yc"", ""'APO'!BH3:BH139""),MATCH(D89,IMPORTRANGE(""1y0FWgjbB0gVlqn-q5LMJbGIsqOrzru4yowQz67dz2yc"", ""'APO'!D3:D139""),0))"),5)</f>
        <v>5</v>
      </c>
      <c r="Z89" s="2">
        <f ca="1">IFERROR(__xludf.DUMMYFUNCTION("INDEX(IMPORTRANGE(""1y0FWgjbB0gVlqn-q5LMJbGIsqOrzru4yowQz67dz2yc"", ""'APO'!BI3:BI139""),MATCH(D89,IMPORTRANGE(""1y0FWgjbB0gVlqn-q5LMJbGIsqOrzru4yowQz67dz2yc"", ""'APO'!D3:D139""),0))"),5)</f>
        <v>5</v>
      </c>
      <c r="AA89" s="2"/>
      <c r="AB89" s="2"/>
      <c r="AC89" s="2"/>
    </row>
    <row r="90" spans="1:29">
      <c r="A90" s="149" t="s">
        <v>243</v>
      </c>
      <c r="B90" s="149" t="s">
        <v>250</v>
      </c>
      <c r="C90" s="148" t="s">
        <v>36</v>
      </c>
      <c r="D90" s="149" t="s">
        <v>251</v>
      </c>
      <c r="E90" s="149" t="s">
        <v>252</v>
      </c>
      <c r="F90" s="9" t="s">
        <v>253</v>
      </c>
      <c r="G90" s="10">
        <v>44469</v>
      </c>
      <c r="H90" s="10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100</v>
      </c>
      <c r="Q90" s="2">
        <v>100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2">
        <v>100</v>
      </c>
      <c r="Y90" s="2">
        <f ca="1">IFERROR(__xludf.DUMMYFUNCTION("INDEX(IMPORTRANGE(""1y0FWgjbB0gVlqn-q5LMJbGIsqOrzru4yowQz67dz2yc"", ""'APO'!BH3:BH139""),MATCH(D90,IMPORTRANGE(""1y0FWgjbB0gVlqn-q5LMJbGIsqOrzru4yowQz67dz2yc"", ""'APO'!D3:D139""),0))"),100)</f>
        <v>100</v>
      </c>
      <c r="Z90" s="2">
        <f ca="1">IFERROR(__xludf.DUMMYFUNCTION("INDEX(IMPORTRANGE(""1y0FWgjbB0gVlqn-q5LMJbGIsqOrzru4yowQz67dz2yc"", ""'APO'!BI3:BI139""),MATCH(D90,IMPORTRANGE(""1y0FWgjbB0gVlqn-q5LMJbGIsqOrzru4yowQz67dz2yc"", ""'APO'!D3:D139""),0))"),100)</f>
        <v>100</v>
      </c>
      <c r="AA90" s="2"/>
      <c r="AB90" s="2"/>
      <c r="AC90" s="2"/>
    </row>
    <row r="91" spans="1:29">
      <c r="A91" s="149" t="s">
        <v>243</v>
      </c>
      <c r="B91" s="149" t="s">
        <v>257</v>
      </c>
      <c r="C91" s="148" t="s">
        <v>36</v>
      </c>
      <c r="D91" s="149" t="s">
        <v>258</v>
      </c>
      <c r="E91" s="149" t="s">
        <v>38</v>
      </c>
      <c r="F91" s="9" t="s">
        <v>259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1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12">
        <v>0</v>
      </c>
      <c r="Y91" s="23">
        <f ca="1">IFERROR(__xludf.DUMMYFUNCTION("INDEX(IMPORTRANGE(""1y0FWgjbB0gVlqn-q5LMJbGIsqOrzru4yowQz67dz2yc"", ""'APO'!BH3:BH139""),MATCH(D91,IMPORTRANGE(""1y0FWgjbB0gVlqn-q5LMJbGIsqOrzru4yowQz67dz2yc"", ""'APO'!D3:D139""),0))"),3.17045454545454)</f>
        <v>3.1704545454545401</v>
      </c>
      <c r="Z91" s="23">
        <f ca="1">IFERROR(__xludf.DUMMYFUNCTION("INDEX(IMPORTRANGE(""1y0FWgjbB0gVlqn-q5LMJbGIsqOrzru4yowQz67dz2yc"", ""'APO'!BI3:BI139""),MATCH(D91,IMPORTRANGE(""1y0FWgjbB0gVlqn-q5LMJbGIsqOrzru4yowQz67dz2yc"", ""'APO'!D3:D139""),0))"),2.85849444672974)</f>
        <v>2.8584944467297402</v>
      </c>
      <c r="AA91" s="2"/>
      <c r="AB91" s="2"/>
      <c r="AC91" s="2"/>
    </row>
    <row r="92" spans="1:29">
      <c r="A92" s="149" t="s">
        <v>243</v>
      </c>
      <c r="B92" s="149" t="s">
        <v>260</v>
      </c>
      <c r="C92" s="148" t="s">
        <v>30</v>
      </c>
      <c r="D92" s="149" t="s">
        <v>261</v>
      </c>
      <c r="E92" s="149" t="s">
        <v>38</v>
      </c>
      <c r="F92" s="9" t="s">
        <v>262</v>
      </c>
      <c r="G92" s="10">
        <v>44469</v>
      </c>
      <c r="H92" s="42"/>
      <c r="I92" s="11">
        <v>44651</v>
      </c>
      <c r="J92" s="13"/>
      <c r="K92" s="11">
        <v>45016</v>
      </c>
      <c r="L92" s="13"/>
      <c r="M92" s="11">
        <v>45382</v>
      </c>
      <c r="N92" s="4"/>
      <c r="O92" s="11">
        <v>45565</v>
      </c>
      <c r="P92" s="13"/>
      <c r="Q92" s="13"/>
      <c r="R92" s="13"/>
      <c r="S92" s="13"/>
      <c r="T92" s="13"/>
      <c r="U92" s="13"/>
      <c r="V92" s="13"/>
      <c r="W92" s="13"/>
      <c r="X92" s="2">
        <v>5</v>
      </c>
      <c r="Y92" s="2">
        <f ca="1">IFERROR(__xludf.DUMMYFUNCTION("INDEX(IMPORTRANGE(""1y0FWgjbB0gVlqn-q5LMJbGIsqOrzru4yowQz67dz2yc"", ""'APO'!BH3:BH139""),MATCH(D92,IMPORTRANGE(""1y0FWgjbB0gVlqn-q5LMJbGIsqOrzru4yowQz67dz2yc"", ""'APO'!D3:D139""),0))"),5)</f>
        <v>5</v>
      </c>
      <c r="Z92" s="2">
        <f ca="1">IFERROR(__xludf.DUMMYFUNCTION("INDEX(IMPORTRANGE(""1y0FWgjbB0gVlqn-q5LMJbGIsqOrzru4yowQz67dz2yc"", ""'APO'!BI3:BI139""),MATCH(D92,IMPORTRANGE(""1y0FWgjbB0gVlqn-q5LMJbGIsqOrzru4yowQz67dz2yc"", ""'APO'!D3:D139""),0))"),6)</f>
        <v>6</v>
      </c>
      <c r="AA92" s="1"/>
      <c r="AB92" s="1"/>
      <c r="AC92" s="1"/>
    </row>
    <row r="93" spans="1:29">
      <c r="A93" s="149" t="s">
        <v>243</v>
      </c>
      <c r="B93" s="149" t="s">
        <v>260</v>
      </c>
      <c r="C93" s="148" t="s">
        <v>30</v>
      </c>
      <c r="D93" s="149" t="s">
        <v>263</v>
      </c>
      <c r="E93" s="149" t="s">
        <v>38</v>
      </c>
      <c r="F93" s="9" t="s">
        <v>264</v>
      </c>
      <c r="G93" s="10">
        <v>44469</v>
      </c>
      <c r="H93" s="43"/>
      <c r="I93" s="11">
        <v>44651</v>
      </c>
      <c r="J93" s="13"/>
      <c r="K93" s="11">
        <v>45016</v>
      </c>
      <c r="L93" s="13"/>
      <c r="M93" s="11">
        <v>45382</v>
      </c>
      <c r="N93" s="4"/>
      <c r="O93" s="11">
        <v>45565</v>
      </c>
      <c r="P93" s="13"/>
      <c r="Q93" s="13"/>
      <c r="R93" s="13"/>
      <c r="S93" s="13"/>
      <c r="T93" s="13"/>
      <c r="U93" s="13"/>
      <c r="V93" s="13"/>
      <c r="W93" s="13"/>
      <c r="X93" s="2">
        <v>17</v>
      </c>
      <c r="Y93" s="2">
        <f ca="1">IFERROR(__xludf.DUMMYFUNCTION("INDEX(IMPORTRANGE(""1y0FWgjbB0gVlqn-q5LMJbGIsqOrzru4yowQz67dz2yc"", ""'APO'!BH3:BH139""),MATCH(D93,IMPORTRANGE(""1y0FWgjbB0gVlqn-q5LMJbGIsqOrzru4yowQz67dz2yc"", ""'APO'!D3:D139""),0))"),17)</f>
        <v>17</v>
      </c>
      <c r="Z93" s="2">
        <f ca="1">IFERROR(__xludf.DUMMYFUNCTION("INDEX(IMPORTRANGE(""1y0FWgjbB0gVlqn-q5LMJbGIsqOrzru4yowQz67dz2yc"", ""'APO'!BI3:BI139""),MATCH(D93,IMPORTRANGE(""1y0FWgjbB0gVlqn-q5LMJbGIsqOrzru4yowQz67dz2yc"", ""'APO'!D3:D139""),0))"),17)</f>
        <v>17</v>
      </c>
      <c r="AA93" s="1"/>
      <c r="AB93" s="1"/>
      <c r="AC93" s="1"/>
    </row>
    <row r="94" spans="1:29">
      <c r="A94" s="149" t="s">
        <v>243</v>
      </c>
      <c r="B94" s="149" t="s">
        <v>260</v>
      </c>
      <c r="C94" s="148" t="s">
        <v>30</v>
      </c>
      <c r="D94" s="149" t="s">
        <v>265</v>
      </c>
      <c r="E94" s="149" t="s">
        <v>38</v>
      </c>
      <c r="F94" s="9" t="s">
        <v>266</v>
      </c>
      <c r="G94" s="10">
        <v>44469</v>
      </c>
      <c r="H94" s="43"/>
      <c r="I94" s="11">
        <v>44651</v>
      </c>
      <c r="J94" s="13"/>
      <c r="K94" s="11">
        <v>45016</v>
      </c>
      <c r="L94" s="13"/>
      <c r="M94" s="11">
        <v>45382</v>
      </c>
      <c r="N94" s="4"/>
      <c r="O94" s="11">
        <v>45565</v>
      </c>
      <c r="P94" s="13"/>
      <c r="Q94" s="13"/>
      <c r="R94" s="13"/>
      <c r="S94" s="13"/>
      <c r="T94" s="13"/>
      <c r="U94" s="13"/>
      <c r="V94" s="13"/>
      <c r="W94" s="13"/>
      <c r="X94" s="2">
        <v>4</v>
      </c>
      <c r="Y94" s="2">
        <f ca="1">IFERROR(__xludf.DUMMYFUNCTION("INDEX(IMPORTRANGE(""1y0FWgjbB0gVlqn-q5LMJbGIsqOrzru4yowQz67dz2yc"", ""'APO'!BH3:BH139""),MATCH(D94,IMPORTRANGE(""1y0FWgjbB0gVlqn-q5LMJbGIsqOrzru4yowQz67dz2yc"", ""'APO'!D3:D139""),0))"),4)</f>
        <v>4</v>
      </c>
      <c r="Z94" s="2">
        <f ca="1">IFERROR(__xludf.DUMMYFUNCTION("INDEX(IMPORTRANGE(""1y0FWgjbB0gVlqn-q5LMJbGIsqOrzru4yowQz67dz2yc"", ""'APO'!BI3:BI139""),MATCH(D94,IMPORTRANGE(""1y0FWgjbB0gVlqn-q5LMJbGIsqOrzru4yowQz67dz2yc"", ""'APO'!D3:D139""),0))"),4)</f>
        <v>4</v>
      </c>
      <c r="AA94" s="1"/>
      <c r="AB94" s="1"/>
      <c r="AC94" s="1"/>
    </row>
    <row r="95" spans="1:29">
      <c r="A95" s="149" t="s">
        <v>243</v>
      </c>
      <c r="B95" s="149" t="s">
        <v>260</v>
      </c>
      <c r="C95" s="148" t="s">
        <v>30</v>
      </c>
      <c r="D95" s="149" t="s">
        <v>267</v>
      </c>
      <c r="E95" s="149" t="s">
        <v>38</v>
      </c>
      <c r="F95" s="9" t="s">
        <v>268</v>
      </c>
      <c r="G95" s="10">
        <v>44469</v>
      </c>
      <c r="H95" s="43"/>
      <c r="I95" s="11">
        <v>44651</v>
      </c>
      <c r="J95" s="13"/>
      <c r="K95" s="11">
        <v>45016</v>
      </c>
      <c r="L95" s="13"/>
      <c r="M95" s="11">
        <v>45382</v>
      </c>
      <c r="N95" s="4"/>
      <c r="O95" s="11">
        <v>45565</v>
      </c>
      <c r="P95" s="13"/>
      <c r="Q95" s="13"/>
      <c r="R95" s="13"/>
      <c r="S95" s="13"/>
      <c r="T95" s="13"/>
      <c r="U95" s="13"/>
      <c r="V95" s="13"/>
      <c r="W95" s="13"/>
      <c r="X95" s="2">
        <v>9</v>
      </c>
      <c r="Y95" s="2">
        <f ca="1">IFERROR(__xludf.DUMMYFUNCTION("INDEX(IMPORTRANGE(""1y0FWgjbB0gVlqn-q5LMJbGIsqOrzru4yowQz67dz2yc"", ""'APO'!BH3:BH139""),MATCH(D95,IMPORTRANGE(""1y0FWgjbB0gVlqn-q5LMJbGIsqOrzru4yowQz67dz2yc"", ""'APO'!D3:D139""),0))"),11)</f>
        <v>11</v>
      </c>
      <c r="Z95" s="2">
        <f ca="1">IFERROR(__xludf.DUMMYFUNCTION("INDEX(IMPORTRANGE(""1y0FWgjbB0gVlqn-q5LMJbGIsqOrzru4yowQz67dz2yc"", ""'APO'!BI3:BI139""),MATCH(D95,IMPORTRANGE(""1y0FWgjbB0gVlqn-q5LMJbGIsqOrzru4yowQz67dz2yc"", ""'APO'!D3:D139""),0))"),11)</f>
        <v>11</v>
      </c>
      <c r="AA95" s="1"/>
      <c r="AB95" s="1"/>
      <c r="AC95" s="1"/>
    </row>
    <row r="96" spans="1:29">
      <c r="A96" s="149" t="s">
        <v>243</v>
      </c>
      <c r="B96" s="149" t="s">
        <v>260</v>
      </c>
      <c r="C96" s="148" t="s">
        <v>30</v>
      </c>
      <c r="D96" s="149" t="s">
        <v>269</v>
      </c>
      <c r="E96" s="149" t="s">
        <v>38</v>
      </c>
      <c r="F96" s="9" t="s">
        <v>270</v>
      </c>
      <c r="G96" s="10">
        <v>44469</v>
      </c>
      <c r="H96" s="43"/>
      <c r="I96" s="11">
        <v>44651</v>
      </c>
      <c r="J96" s="13"/>
      <c r="K96" s="11">
        <v>45016</v>
      </c>
      <c r="L96" s="13"/>
      <c r="M96" s="11">
        <v>45382</v>
      </c>
      <c r="N96" s="4"/>
      <c r="O96" s="11">
        <v>45565</v>
      </c>
      <c r="P96" s="13"/>
      <c r="Q96" s="13"/>
      <c r="R96" s="13"/>
      <c r="S96" s="13"/>
      <c r="T96" s="13"/>
      <c r="U96" s="13"/>
      <c r="V96" s="13"/>
      <c r="W96" s="13"/>
      <c r="X96" s="2">
        <v>22</v>
      </c>
      <c r="Y96" s="2">
        <f ca="1">IFERROR(__xludf.DUMMYFUNCTION("INDEX(IMPORTRANGE(""1y0FWgjbB0gVlqn-q5LMJbGIsqOrzru4yowQz67dz2yc"", ""'APO'!BH3:BH139""),MATCH(D96,IMPORTRANGE(""1y0FWgjbB0gVlqn-q5LMJbGIsqOrzru4yowQz67dz2yc"", ""'APO'!D3:D139""),0))"),27)</f>
        <v>27</v>
      </c>
      <c r="Z96" s="2">
        <f ca="1">IFERROR(__xludf.DUMMYFUNCTION("INDEX(IMPORTRANGE(""1y0FWgjbB0gVlqn-q5LMJbGIsqOrzru4yowQz67dz2yc"", ""'APO'!BI3:BI139""),MATCH(D96,IMPORTRANGE(""1y0FWgjbB0gVlqn-q5LMJbGIsqOrzru4yowQz67dz2yc"", ""'APO'!D3:D139""),0))"),28)</f>
        <v>28</v>
      </c>
      <c r="AA96" s="1"/>
      <c r="AB96" s="1"/>
      <c r="AC96" s="1"/>
    </row>
    <row r="97" spans="1:29">
      <c r="A97" s="149" t="s">
        <v>243</v>
      </c>
      <c r="B97" s="149" t="s">
        <v>260</v>
      </c>
      <c r="C97" s="148" t="s">
        <v>30</v>
      </c>
      <c r="D97" s="149" t="s">
        <v>271</v>
      </c>
      <c r="E97" s="149" t="s">
        <v>38</v>
      </c>
      <c r="F97" s="9" t="s">
        <v>272</v>
      </c>
      <c r="G97" s="10">
        <v>44469</v>
      </c>
      <c r="H97" s="43"/>
      <c r="I97" s="11">
        <v>44651</v>
      </c>
      <c r="J97" s="13"/>
      <c r="K97" s="11">
        <v>45016</v>
      </c>
      <c r="L97" s="13"/>
      <c r="M97" s="11">
        <v>45382</v>
      </c>
      <c r="N97" s="4"/>
      <c r="O97" s="11">
        <v>45565</v>
      </c>
      <c r="P97" s="13"/>
      <c r="Q97" s="13"/>
      <c r="R97" s="13"/>
      <c r="S97" s="13"/>
      <c r="T97" s="13"/>
      <c r="U97" s="13"/>
      <c r="V97" s="13"/>
      <c r="W97" s="13"/>
      <c r="X97" s="2">
        <v>67</v>
      </c>
      <c r="Y97" s="2">
        <f ca="1">IFERROR(__xludf.DUMMYFUNCTION("INDEX(IMPORTRANGE(""1y0FWgjbB0gVlqn-q5LMJbGIsqOrzru4yowQz67dz2yc"", ""'APO'!BH3:BH139""),MATCH(D97,IMPORTRANGE(""1y0FWgjbB0gVlqn-q5LMJbGIsqOrzru4yowQz67dz2yc"", ""'APO'!D3:D139""),0))"),73)</f>
        <v>73</v>
      </c>
      <c r="Z97" s="2">
        <f ca="1">IFERROR(__xludf.DUMMYFUNCTION("INDEX(IMPORTRANGE(""1y0FWgjbB0gVlqn-q5LMJbGIsqOrzru4yowQz67dz2yc"", ""'APO'!BI3:BI139""),MATCH(D97,IMPORTRANGE(""1y0FWgjbB0gVlqn-q5LMJbGIsqOrzru4yowQz67dz2yc"", ""'APO'!D3:D139""),0))"),73)</f>
        <v>73</v>
      </c>
      <c r="AA97" s="1"/>
      <c r="AB97" s="1"/>
      <c r="AC97" s="1"/>
    </row>
    <row r="98" spans="1:29">
      <c r="A98" s="149" t="s">
        <v>243</v>
      </c>
      <c r="B98" s="149" t="s">
        <v>260</v>
      </c>
      <c r="C98" s="148" t="s">
        <v>36</v>
      </c>
      <c r="D98" s="149" t="s">
        <v>273</v>
      </c>
      <c r="E98" s="149" t="s">
        <v>38</v>
      </c>
      <c r="F98" s="9" t="s">
        <v>274</v>
      </c>
      <c r="G98" s="10">
        <v>44469</v>
      </c>
      <c r="H98" s="59"/>
      <c r="I98" s="11">
        <v>44651</v>
      </c>
      <c r="J98" s="4"/>
      <c r="K98" s="11">
        <v>45016</v>
      </c>
      <c r="L98" s="4"/>
      <c r="M98" s="11">
        <v>45382</v>
      </c>
      <c r="N98" s="4"/>
      <c r="O98" s="11">
        <v>45565</v>
      </c>
      <c r="P98" s="4"/>
      <c r="Q98" s="4"/>
      <c r="R98" s="60">
        <v>0.5</v>
      </c>
      <c r="S98" s="60">
        <v>0.5</v>
      </c>
      <c r="T98" s="60">
        <v>0.5</v>
      </c>
      <c r="U98" s="60">
        <v>0.5</v>
      </c>
      <c r="V98" s="60">
        <v>0.5</v>
      </c>
      <c r="W98" s="60">
        <v>0.5</v>
      </c>
      <c r="X98" s="15">
        <f>SUM(X92,X94,X96)/SUM(X93,X95,X97)</f>
        <v>0.33333333333333331</v>
      </c>
      <c r="Y98" s="15">
        <f ca="1">IFERROR(__xludf.DUMMYFUNCTION("INDEX(IMPORTRANGE(""1y0FWgjbB0gVlqn-q5LMJbGIsqOrzru4yowQz67dz2yc"", ""'APO'!BH3:BH139""),MATCH(D98,IMPORTRANGE(""1y0FWgjbB0gVlqn-q5LMJbGIsqOrzru4yowQz67dz2yc"", ""'APO'!D3:D139""),0))"),0.356435643564356)</f>
        <v>0.35643564356435598</v>
      </c>
      <c r="Z98" s="15">
        <f ca="1">IFERROR(__xludf.DUMMYFUNCTION("INDEX(IMPORTRANGE(""1y0FWgjbB0gVlqn-q5LMJbGIsqOrzru4yowQz67dz2yc"", ""'APO'!BI3:BI139""),MATCH(D98,IMPORTRANGE(""1y0FWgjbB0gVlqn-q5LMJbGIsqOrzru4yowQz67dz2yc"", ""'APO'!D3:D139""),0))"),0.376237623762376)</f>
        <v>0.37623762376237602</v>
      </c>
      <c r="AA98" s="2"/>
      <c r="AB98" s="2"/>
      <c r="AC98" s="2"/>
    </row>
    <row r="99" spans="1:29">
      <c r="A99" s="149" t="s">
        <v>275</v>
      </c>
      <c r="B99" s="149" t="s">
        <v>276</v>
      </c>
      <c r="C99" s="148" t="s">
        <v>30</v>
      </c>
      <c r="D99" s="149" t="s">
        <v>277</v>
      </c>
      <c r="E99" s="149" t="s">
        <v>278</v>
      </c>
      <c r="F99" s="9" t="s">
        <v>279</v>
      </c>
      <c r="G99" s="45" t="s">
        <v>213</v>
      </c>
      <c r="H99" s="8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2" t="s">
        <v>218</v>
      </c>
      <c r="O99" s="2" t="s">
        <v>218</v>
      </c>
      <c r="P99" s="36">
        <v>1031576851.17</v>
      </c>
      <c r="Q99" s="36">
        <v>1031576851.17</v>
      </c>
      <c r="R99" s="13"/>
      <c r="S99" s="13"/>
      <c r="T99" s="13"/>
      <c r="U99" s="13"/>
      <c r="V99" s="13"/>
      <c r="W99" s="13"/>
      <c r="X99" s="36">
        <v>1031576851.17</v>
      </c>
      <c r="Y99" s="46" t="str">
        <f ca="1">IFERROR(__xludf.DUMMYFUNCTION("INDEX(IMPORTRANGE(""1y0FWgjbB0gVlqn-q5LMJbGIsqOrzru4yowQz67dz2yc"", ""'APO'!BH3:BH139""),MATCH(D99,IMPORTRANGE(""1y0FWgjbB0gVlqn-q5LMJbGIsqOrzru4yowQz67dz2yc"", ""'APO'!D3:D139""),0))"),"")</f>
        <v/>
      </c>
      <c r="Z99" s="36">
        <f ca="1">IFERROR(__xludf.DUMMYFUNCTION("INDEX(IMPORTRANGE(""1y0FWgjbB0gVlqn-q5LMJbGIsqOrzru4yowQz67dz2yc"", ""'APO'!BI3:BI139""),MATCH(D99,IMPORTRANGE(""1y0FWgjbB0gVlqn-q5LMJbGIsqOrzru4yowQz67dz2yc"", ""'APO'!D3:D139""),0))"),1176864063.45)</f>
        <v>1176864063.45</v>
      </c>
      <c r="AA99" s="1"/>
      <c r="AB99" s="1"/>
      <c r="AC99" s="1"/>
    </row>
    <row r="100" spans="1:29">
      <c r="A100" s="149" t="s">
        <v>275</v>
      </c>
      <c r="B100" s="149" t="s">
        <v>276</v>
      </c>
      <c r="C100" s="148" t="s">
        <v>30</v>
      </c>
      <c r="D100" s="149" t="s">
        <v>280</v>
      </c>
      <c r="E100" s="149" t="s">
        <v>278</v>
      </c>
      <c r="F100" s="9" t="s">
        <v>281</v>
      </c>
      <c r="G100" s="16" t="s">
        <v>213</v>
      </c>
      <c r="H100" s="8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2" t="s">
        <v>218</v>
      </c>
      <c r="O100" s="2" t="s">
        <v>218</v>
      </c>
      <c r="P100" s="36">
        <v>2318688211.6999998</v>
      </c>
      <c r="Q100" s="36">
        <v>2318688211.6999998</v>
      </c>
      <c r="R100" s="13"/>
      <c r="S100" s="13"/>
      <c r="T100" s="13"/>
      <c r="U100" s="13"/>
      <c r="V100" s="13"/>
      <c r="W100" s="13"/>
      <c r="X100" s="36">
        <v>2318688211.6999998</v>
      </c>
      <c r="Y100" s="46" t="str">
        <f ca="1">IFERROR(__xludf.DUMMYFUNCTION("INDEX(IMPORTRANGE(""1y0FWgjbB0gVlqn-q5LMJbGIsqOrzru4yowQz67dz2yc"", ""'APO'!BH3:BH139""),MATCH(D100,IMPORTRANGE(""1y0FWgjbB0gVlqn-q5LMJbGIsqOrzru4yowQz67dz2yc"", ""'APO'!D3:D139""),0))"),"")</f>
        <v/>
      </c>
      <c r="Z100" s="36">
        <f ca="1">IFERROR(__xludf.DUMMYFUNCTION("INDEX(IMPORTRANGE(""1y0FWgjbB0gVlqn-q5LMJbGIsqOrzru4yowQz67dz2yc"", ""'APO'!BI3:BI139""),MATCH(D100,IMPORTRANGE(""1y0FWgjbB0gVlqn-q5LMJbGIsqOrzru4yowQz67dz2yc"", ""'APO'!D3:D139""),0))"),2800159859.21)</f>
        <v>2800159859.21</v>
      </c>
      <c r="AA100" s="1"/>
      <c r="AB100" s="1"/>
      <c r="AC100" s="1"/>
    </row>
    <row r="101" spans="1:29">
      <c r="A101" s="149" t="s">
        <v>275</v>
      </c>
      <c r="B101" s="149" t="s">
        <v>276</v>
      </c>
      <c r="C101" s="148" t="s">
        <v>36</v>
      </c>
      <c r="D101" s="149" t="s">
        <v>282</v>
      </c>
      <c r="E101" s="149" t="s">
        <v>278</v>
      </c>
      <c r="F101" s="9" t="s">
        <v>283</v>
      </c>
      <c r="G101" s="21" t="s">
        <v>213</v>
      </c>
      <c r="H101" s="22" t="s">
        <v>214</v>
      </c>
      <c r="I101" s="9" t="s">
        <v>215</v>
      </c>
      <c r="J101" s="4"/>
      <c r="K101" s="9" t="s">
        <v>216</v>
      </c>
      <c r="L101" s="4"/>
      <c r="M101" s="9" t="s">
        <v>217</v>
      </c>
      <c r="N101" s="2" t="s">
        <v>218</v>
      </c>
      <c r="O101" s="2" t="s">
        <v>218</v>
      </c>
      <c r="P101" s="15">
        <f t="shared" ref="P101:Q101" si="20">P99/P100</f>
        <v>0.44489675065612877</v>
      </c>
      <c r="Q101" s="15">
        <f t="shared" si="20"/>
        <v>0.44489675065612877</v>
      </c>
      <c r="R101" s="2"/>
      <c r="S101" s="15">
        <f>P101+($W$101-$P$101)/3</f>
        <v>0.46326450043741918</v>
      </c>
      <c r="T101" s="2"/>
      <c r="U101" s="15">
        <f>S101+($W$101-$P$101)/3</f>
        <v>0.48163225021870959</v>
      </c>
      <c r="V101" s="14">
        <v>0.5</v>
      </c>
      <c r="W101" s="14">
        <v>0.5</v>
      </c>
      <c r="X101" s="15">
        <f>X99/X100</f>
        <v>0.44489675065612877</v>
      </c>
      <c r="Y101" s="48" t="str">
        <f ca="1">IFERROR(__xludf.DUMMYFUNCTION("INDEX(IMPORTRANGE(""1y0FWgjbB0gVlqn-q5LMJbGIsqOrzru4yowQz67dz2yc"", ""'APO'!BH3:BH139""),MATCH(D101,IMPORTRANGE(""1y0FWgjbB0gVlqn-q5LMJbGIsqOrzru4yowQz67dz2yc"", ""'APO'!D3:D139""),0))"),"")</f>
        <v/>
      </c>
      <c r="Z101" s="15">
        <f ca="1">IFERROR(__xludf.DUMMYFUNCTION("INDEX(IMPORTRANGE(""1y0FWgjbB0gVlqn-q5LMJbGIsqOrzru4yowQz67dz2yc"", ""'APO'!BI3:BI139""),MATCH(D101,IMPORTRANGE(""1y0FWgjbB0gVlqn-q5LMJbGIsqOrzru4yowQz67dz2yc"", ""'APO'!D3:D139""),0))"),0.420284598959298)</f>
        <v>0.42028459895929798</v>
      </c>
      <c r="AA101" s="2"/>
      <c r="AB101" s="2"/>
      <c r="AC101" s="2"/>
    </row>
    <row r="102" spans="1:29">
      <c r="A102" s="149" t="s">
        <v>275</v>
      </c>
      <c r="B102" s="149" t="s">
        <v>284</v>
      </c>
      <c r="C102" s="148" t="s">
        <v>30</v>
      </c>
      <c r="D102" s="149" t="s">
        <v>285</v>
      </c>
      <c r="E102" s="149" t="s">
        <v>278</v>
      </c>
      <c r="F102" s="9" t="s">
        <v>286</v>
      </c>
      <c r="G102" s="16" t="s">
        <v>213</v>
      </c>
      <c r="H102" s="8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2" t="s">
        <v>218</v>
      </c>
      <c r="O102" s="2" t="s">
        <v>218</v>
      </c>
      <c r="P102" s="36">
        <v>1903248572.6500001</v>
      </c>
      <c r="Q102" s="36">
        <v>1903248572.6500001</v>
      </c>
      <c r="R102" s="13"/>
      <c r="S102" s="13"/>
      <c r="T102" s="13"/>
      <c r="U102" s="13"/>
      <c r="V102" s="13"/>
      <c r="W102" s="13"/>
      <c r="X102" s="36">
        <v>1903248572.6500001</v>
      </c>
      <c r="Y102" s="46" t="str">
        <f ca="1">IFERROR(__xludf.DUMMYFUNCTION("INDEX(IMPORTRANGE(""1y0FWgjbB0gVlqn-q5LMJbGIsqOrzru4yowQz67dz2yc"", ""'APO'!BH3:BH139""),MATCH(D102,IMPORTRANGE(""1y0FWgjbB0gVlqn-q5LMJbGIsqOrzru4yowQz67dz2yc"", ""'APO'!D3:D139""),0))"),"")</f>
        <v/>
      </c>
      <c r="Z102" s="36">
        <f ca="1">IFERROR(__xludf.DUMMYFUNCTION("INDEX(IMPORTRANGE(""1y0FWgjbB0gVlqn-q5LMJbGIsqOrzru4yowQz67dz2yc"", ""'APO'!BI3:BI139""),MATCH(D102,IMPORTRANGE(""1y0FWgjbB0gVlqn-q5LMJbGIsqOrzru4yowQz67dz2yc"", ""'APO'!D3:D139""),0))"),2230428654.02)</f>
        <v>2230428654.02</v>
      </c>
      <c r="AA102" s="1"/>
      <c r="AB102" s="1"/>
      <c r="AC102" s="1"/>
    </row>
    <row r="103" spans="1:29">
      <c r="A103" s="149" t="s">
        <v>275</v>
      </c>
      <c r="B103" s="149" t="s">
        <v>276</v>
      </c>
      <c r="C103" s="148" t="s">
        <v>36</v>
      </c>
      <c r="D103" s="149" t="s">
        <v>287</v>
      </c>
      <c r="E103" s="149" t="s">
        <v>278</v>
      </c>
      <c r="F103" s="9" t="s">
        <v>288</v>
      </c>
      <c r="G103" s="21" t="s">
        <v>213</v>
      </c>
      <c r="H103" s="2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1">P99/P102</f>
        <v>0.54200847224788795</v>
      </c>
      <c r="Q103" s="15">
        <f t="shared" si="21"/>
        <v>0.54200847224788795</v>
      </c>
      <c r="R103" s="2"/>
      <c r="S103" s="15">
        <v>0.55800000000000005</v>
      </c>
      <c r="T103" s="2"/>
      <c r="U103" s="15">
        <v>0.57399999999999995</v>
      </c>
      <c r="V103" s="14">
        <v>0.59</v>
      </c>
      <c r="W103" s="14">
        <f>V103</f>
        <v>0.59</v>
      </c>
      <c r="X103" s="15">
        <f>X99/X102</f>
        <v>0.54200847224788795</v>
      </c>
      <c r="Y103" s="48" t="str">
        <f ca="1">IFERROR(__xludf.DUMMYFUNCTION("INDEX(IMPORTRANGE(""1y0FWgjbB0gVlqn-q5LMJbGIsqOrzru4yowQz67dz2yc"", ""'APO'!BH3:BH139""),MATCH(D103,IMPORTRANGE(""1y0FWgjbB0gVlqn-q5LMJbGIsqOrzru4yowQz67dz2yc"", ""'APO'!D3:D139""),0))"),"")</f>
        <v/>
      </c>
      <c r="Z103" s="15">
        <f ca="1">IFERROR(__xludf.DUMMYFUNCTION("INDEX(IMPORTRANGE(""1y0FWgjbB0gVlqn-q5LMJbGIsqOrzru4yowQz67dz2yc"", ""'APO'!BI3:BI139""),MATCH(D103,IMPORTRANGE(""1y0FWgjbB0gVlqn-q5LMJbGIsqOrzru4yowQz67dz2yc"", ""'APO'!D3:D139""),0))"),0.527640308659452)</f>
        <v>0.527640308659452</v>
      </c>
      <c r="AA103" s="2"/>
      <c r="AB103" s="2"/>
      <c r="AC103" s="2"/>
    </row>
    <row r="104" spans="1:29">
      <c r="A104" s="149" t="s">
        <v>275</v>
      </c>
      <c r="B104" s="149" t="s">
        <v>276</v>
      </c>
      <c r="C104" s="148" t="s">
        <v>30</v>
      </c>
      <c r="D104" s="149" t="s">
        <v>289</v>
      </c>
      <c r="E104" s="149" t="s">
        <v>38</v>
      </c>
      <c r="F104" s="9" t="s">
        <v>112</v>
      </c>
      <c r="G104" s="16" t="s">
        <v>254</v>
      </c>
      <c r="H104" s="16" t="s">
        <v>254</v>
      </c>
      <c r="I104" s="7" t="s">
        <v>254</v>
      </c>
      <c r="J104" s="13"/>
      <c r="K104" s="7" t="s">
        <v>255</v>
      </c>
      <c r="L104" s="13"/>
      <c r="M104" s="7" t="s">
        <v>256</v>
      </c>
      <c r="N104" s="49">
        <v>45536</v>
      </c>
      <c r="O104" s="2" t="s">
        <v>218</v>
      </c>
      <c r="P104" s="12">
        <v>250305</v>
      </c>
      <c r="Q104" s="12">
        <v>250305</v>
      </c>
      <c r="R104" s="13"/>
      <c r="S104" s="13"/>
      <c r="T104" s="13"/>
      <c r="U104" s="13"/>
      <c r="V104" s="13"/>
      <c r="W104" s="13"/>
      <c r="X104" s="12">
        <v>250305</v>
      </c>
      <c r="Y104" s="46" t="str">
        <f ca="1">IFERROR(__xludf.DUMMYFUNCTION("INDEX(IMPORTRANGE(""1y0FWgjbB0gVlqn-q5LMJbGIsqOrzru4yowQz67dz2yc"", ""'APO'!BH3:BH139""),MATCH(D104,IMPORTRANGE(""1y0FWgjbB0gVlqn-q5LMJbGIsqOrzru4yowQz67dz2yc"", ""'APO'!D3:D139""),0))"),"")</f>
        <v/>
      </c>
      <c r="Z104" s="12">
        <f ca="1">IFERROR(__xludf.DUMMYFUNCTION("INDEX(IMPORTRANGE(""1y0FWgjbB0gVlqn-q5LMJbGIsqOrzru4yowQz67dz2yc"", ""'APO'!BI3:BI139""),MATCH(D104,IMPORTRANGE(""1y0FWgjbB0gVlqn-q5LMJbGIsqOrzru4yowQz67dz2yc"", ""'APO'!D3:D139""),0))"),252942)</f>
        <v>252942</v>
      </c>
      <c r="AA104" s="1"/>
      <c r="AB104" s="1"/>
      <c r="AC104" s="1"/>
    </row>
    <row r="105" spans="1:29">
      <c r="A105" s="149" t="s">
        <v>275</v>
      </c>
      <c r="B105" s="149" t="s">
        <v>276</v>
      </c>
      <c r="C105" s="148" t="s">
        <v>30</v>
      </c>
      <c r="D105" s="149" t="s">
        <v>290</v>
      </c>
      <c r="E105" s="149" t="s">
        <v>38</v>
      </c>
      <c r="F105" s="9" t="s">
        <v>291</v>
      </c>
      <c r="G105" s="16" t="s">
        <v>213</v>
      </c>
      <c r="H105" s="8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2" t="s">
        <v>218</v>
      </c>
      <c r="O105" s="2" t="s">
        <v>218</v>
      </c>
      <c r="P105" s="12">
        <v>124005</v>
      </c>
      <c r="Q105" s="12">
        <v>124005</v>
      </c>
      <c r="R105" s="13"/>
      <c r="S105" s="13"/>
      <c r="T105" s="13"/>
      <c r="U105" s="13"/>
      <c r="V105" s="13"/>
      <c r="W105" s="13"/>
      <c r="X105" s="12">
        <v>124005</v>
      </c>
      <c r="Y105" s="46" t="str">
        <f ca="1">IFERROR(__xludf.DUMMYFUNCTION("INDEX(IMPORTRANGE(""1y0FWgjbB0gVlqn-q5LMJbGIsqOrzru4yowQz67dz2yc"", ""'APO'!BH3:BH139""),MATCH(D105,IMPORTRANGE(""1y0FWgjbB0gVlqn-q5LMJbGIsqOrzru4yowQz67dz2yc"", ""'APO'!D3:D139""),0))"),"")</f>
        <v/>
      </c>
      <c r="Z105" s="12">
        <f ca="1">IFERROR(__xludf.DUMMYFUNCTION("INDEX(IMPORTRANGE(""1y0FWgjbB0gVlqn-q5LMJbGIsqOrzru4yowQz67dz2yc"", ""'APO'!BI3:BI139""),MATCH(D105,IMPORTRANGE(""1y0FWgjbB0gVlqn-q5LMJbGIsqOrzru4yowQz67dz2yc"", ""'APO'!D3:D139""),0))"),129385)</f>
        <v>129385</v>
      </c>
      <c r="AA105" s="1"/>
      <c r="AB105" s="1"/>
      <c r="AC105" s="1"/>
    </row>
    <row r="106" spans="1:29">
      <c r="A106" s="149" t="s">
        <v>275</v>
      </c>
      <c r="B106" s="149" t="s">
        <v>276</v>
      </c>
      <c r="C106" s="148" t="s">
        <v>36</v>
      </c>
      <c r="D106" s="149" t="s">
        <v>292</v>
      </c>
      <c r="E106" s="149" t="s">
        <v>38</v>
      </c>
      <c r="F106" s="9" t="s">
        <v>293</v>
      </c>
      <c r="G106" s="21" t="s">
        <v>213</v>
      </c>
      <c r="H106" s="22" t="s">
        <v>214</v>
      </c>
      <c r="I106" s="9" t="s">
        <v>215</v>
      </c>
      <c r="J106" s="4"/>
      <c r="K106" s="9" t="s">
        <v>216</v>
      </c>
      <c r="L106" s="4"/>
      <c r="M106" s="9" t="s">
        <v>217</v>
      </c>
      <c r="N106" s="2" t="s">
        <v>218</v>
      </c>
      <c r="O106" s="2" t="s">
        <v>218</v>
      </c>
      <c r="P106" s="15">
        <f t="shared" ref="P106:Q106" si="22">P105/P104</f>
        <v>0.49541559297656856</v>
      </c>
      <c r="Q106" s="15">
        <f t="shared" si="22"/>
        <v>0.49541559297656856</v>
      </c>
      <c r="R106" s="2"/>
      <c r="S106" s="15">
        <v>0.50700000000000001</v>
      </c>
      <c r="T106" s="15"/>
      <c r="U106" s="15">
        <v>0.51800000000000002</v>
      </c>
      <c r="V106" s="15">
        <v>0.53</v>
      </c>
      <c r="W106" s="14">
        <v>0.53</v>
      </c>
      <c r="X106" s="15">
        <f>X105/X104</f>
        <v>0.49541559297656856</v>
      </c>
      <c r="Y106" s="48" t="str">
        <f ca="1">IFERROR(__xludf.DUMMYFUNCTION("INDEX(IMPORTRANGE(""1y0FWgjbB0gVlqn-q5LMJbGIsqOrzru4yowQz67dz2yc"", ""'APO'!BH3:BH139""),MATCH(D106,IMPORTRANGE(""1y0FWgjbB0gVlqn-q5LMJbGIsqOrzru4yowQz67dz2yc"", ""'APO'!D3:D139""),0))"),"")</f>
        <v/>
      </c>
      <c r="Z106" s="15">
        <f ca="1">IFERROR(__xludf.DUMMYFUNCTION("INDEX(IMPORTRANGE(""1y0FWgjbB0gVlqn-q5LMJbGIsqOrzru4yowQz67dz2yc"", ""'APO'!BI3:BI139""),MATCH(D106,IMPORTRANGE(""1y0FWgjbB0gVlqn-q5LMJbGIsqOrzru4yowQz67dz2yc"", ""'APO'!D3:D139""),0))"),0.51152042760791)</f>
        <v>0.51152042760791006</v>
      </c>
      <c r="AA106" s="2"/>
      <c r="AB106" s="2"/>
      <c r="AC106" s="2"/>
    </row>
    <row r="107" spans="1:29">
      <c r="A107" s="149" t="s">
        <v>275</v>
      </c>
      <c r="B107" s="149" t="s">
        <v>276</v>
      </c>
      <c r="C107" s="151" t="s">
        <v>30</v>
      </c>
      <c r="D107" s="149" t="s">
        <v>294</v>
      </c>
      <c r="E107" s="149" t="s">
        <v>38</v>
      </c>
      <c r="F107" s="9" t="s">
        <v>295</v>
      </c>
      <c r="G107" s="16" t="s">
        <v>213</v>
      </c>
      <c r="H107" s="8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2" t="s">
        <v>218</v>
      </c>
      <c r="O107" s="2" t="s">
        <v>218</v>
      </c>
      <c r="P107" s="50"/>
      <c r="Q107" s="50"/>
      <c r="R107" s="1"/>
      <c r="S107" s="1"/>
      <c r="T107" s="1"/>
      <c r="U107" s="1"/>
      <c r="V107" s="1"/>
      <c r="W107" s="1"/>
      <c r="X107" s="50"/>
      <c r="Y107" s="46" t="str">
        <f ca="1">IFERROR(__xludf.DUMMYFUNCTION("INDEX(IMPORTRANGE(""1y0FWgjbB0gVlqn-q5LMJbGIsqOrzru4yowQz67dz2yc"", ""'APO'!BH3:BH139""),MATCH(D107,IMPORTRANGE(""1y0FWgjbB0gVlqn-q5LMJbGIsqOrzru4yowQz67dz2yc"", ""'APO'!D3:D139""),0))"),"")</f>
        <v/>
      </c>
      <c r="Z107" s="50">
        <f ca="1">IFERROR(__xludf.DUMMYFUNCTION("INDEX(IMPORTRANGE(""1y0FWgjbB0gVlqn-q5LMJbGIsqOrzru4yowQz67dz2yc"", ""'APO'!BI3:BI139""),MATCH(D107,IMPORTRANGE(""1y0FWgjbB0gVlqn-q5LMJbGIsqOrzru4yowQz67dz2yc"", ""'APO'!D3:D139""),0))"),351120632.049999)</f>
        <v>351120632.049999</v>
      </c>
      <c r="AA107" s="1"/>
      <c r="AB107" s="1"/>
      <c r="AC107" s="1"/>
    </row>
    <row r="108" spans="1:29">
      <c r="A108" s="149" t="s">
        <v>275</v>
      </c>
      <c r="B108" s="149" t="s">
        <v>276</v>
      </c>
      <c r="C108" s="151" t="s">
        <v>36</v>
      </c>
      <c r="D108" s="149" t="s">
        <v>296</v>
      </c>
      <c r="E108" s="149" t="s">
        <v>38</v>
      </c>
      <c r="F108" s="9" t="s">
        <v>297</v>
      </c>
      <c r="G108" s="21" t="s">
        <v>213</v>
      </c>
      <c r="H108" s="2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50">
        <v>325523993.34999996</v>
      </c>
      <c r="Q108" s="50">
        <v>325523993.34999996</v>
      </c>
      <c r="R108" s="2"/>
      <c r="S108" s="36">
        <v>328825456.89999998</v>
      </c>
      <c r="T108" s="2"/>
      <c r="U108" s="36">
        <v>332126920.5</v>
      </c>
      <c r="V108" s="36">
        <v>335428384</v>
      </c>
      <c r="W108" s="36">
        <v>335428384</v>
      </c>
      <c r="X108" s="50">
        <v>325523993.34999996</v>
      </c>
      <c r="Y108" s="52" t="str">
        <f ca="1">IFERROR(__xludf.DUMMYFUNCTION("INDEX(IMPORTRANGE(""1y0FWgjbB0gVlqn-q5LMJbGIsqOrzru4yowQz67dz2yc"", ""'APO'!BH3:BH139""),MATCH(D108,IMPORTRANGE(""1y0FWgjbB0gVlqn-q5LMJbGIsqOrzru4yowQz67dz2yc"", ""'APO'!D3:D139""),0))"),"")</f>
        <v/>
      </c>
      <c r="Z108" s="50">
        <f ca="1">IFERROR(__xludf.DUMMYFUNCTION("INDEX(IMPORTRANGE(""1y0FWgjbB0gVlqn-q5LMJbGIsqOrzru4yowQz67dz2yc"", ""'APO'!BI3:BI139""),MATCH(D108,IMPORTRANGE(""1y0FWgjbB0gVlqn-q5LMJbGIsqOrzru4yowQz67dz2yc"", ""'APO'!D3:D139""),0))"),369978124.259999)</f>
        <v>369978124.25999898</v>
      </c>
      <c r="AA108" s="2"/>
      <c r="AB108" s="2"/>
      <c r="AC108" s="2"/>
    </row>
    <row r="109" spans="1:29">
      <c r="A109" s="149" t="s">
        <v>275</v>
      </c>
      <c r="B109" s="149" t="s">
        <v>298</v>
      </c>
      <c r="C109" s="148" t="s">
        <v>30</v>
      </c>
      <c r="D109" s="149" t="s">
        <v>299</v>
      </c>
      <c r="E109" s="149" t="s">
        <v>278</v>
      </c>
      <c r="F109" s="9" t="s">
        <v>300</v>
      </c>
      <c r="G109" s="16" t="s">
        <v>213</v>
      </c>
      <c r="H109" s="8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2" t="s">
        <v>218</v>
      </c>
      <c r="O109" s="2" t="s">
        <v>218</v>
      </c>
      <c r="P109" s="50">
        <v>2328307996.9899998</v>
      </c>
      <c r="Q109" s="50">
        <v>2328307996.9899998</v>
      </c>
      <c r="R109" s="13"/>
      <c r="S109" s="13"/>
      <c r="T109" s="13"/>
      <c r="U109" s="13"/>
      <c r="V109" s="13"/>
      <c r="W109" s="13"/>
      <c r="X109" s="50">
        <v>2328307996.9899998</v>
      </c>
      <c r="Y109" s="46" t="str">
        <f ca="1">IFERROR(__xludf.DUMMYFUNCTION("INDEX(IMPORTRANGE(""1y0FWgjbB0gVlqn-q5LMJbGIsqOrzru4yowQz67dz2yc"", ""'APO'!BH3:BH139""),MATCH(D109,IMPORTRANGE(""1y0FWgjbB0gVlqn-q5LMJbGIsqOrzru4yowQz67dz2yc"", ""'APO'!D3:D139""),0))"),"")</f>
        <v/>
      </c>
      <c r="Z109" s="50">
        <f ca="1">IFERROR(__xludf.DUMMYFUNCTION("INDEX(IMPORTRANGE(""1y0FWgjbB0gVlqn-q5LMJbGIsqOrzru4yowQz67dz2yc"", ""'APO'!BI3:BI139""),MATCH(D109,IMPORTRANGE(""1y0FWgjbB0gVlqn-q5LMJbGIsqOrzru4yowQz67dz2yc"", ""'APO'!D3:D139""),0))"),2737154294.2)</f>
        <v>2737154294.1999998</v>
      </c>
      <c r="AA109" s="1"/>
      <c r="AB109" s="1"/>
      <c r="AC109" s="1"/>
    </row>
    <row r="110" spans="1:29">
      <c r="A110" s="149" t="s">
        <v>275</v>
      </c>
      <c r="B110" s="149" t="s">
        <v>298</v>
      </c>
      <c r="C110" s="148" t="s">
        <v>36</v>
      </c>
      <c r="D110" s="149" t="s">
        <v>301</v>
      </c>
      <c r="E110" s="149" t="s">
        <v>278</v>
      </c>
      <c r="F110" s="9" t="s">
        <v>302</v>
      </c>
      <c r="G110" s="21" t="s">
        <v>213</v>
      </c>
      <c r="H110" s="2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15">
        <f t="shared" ref="P110:Q110" si="23">P102/P109</f>
        <v>0.81743848971462973</v>
      </c>
      <c r="Q110" s="15">
        <f t="shared" si="23"/>
        <v>0.81743848971462973</v>
      </c>
      <c r="R110" s="2"/>
      <c r="S110" s="14">
        <v>0.8</v>
      </c>
      <c r="T110" s="2"/>
      <c r="U110" s="14">
        <v>0.8</v>
      </c>
      <c r="V110" s="14">
        <v>0.8</v>
      </c>
      <c r="W110" s="14">
        <v>0.8</v>
      </c>
      <c r="X110" s="15">
        <f>X102/X109</f>
        <v>0.81743848971462973</v>
      </c>
      <c r="Y110" s="48" t="str">
        <f ca="1">IFERROR(__xludf.DUMMYFUNCTION("INDEX(IMPORTRANGE(""1y0FWgjbB0gVlqn-q5LMJbGIsqOrzru4yowQz67dz2yc"", ""'APO'!BH3:BH139""),MATCH(D110,IMPORTRANGE(""1y0FWgjbB0gVlqn-q5LMJbGIsqOrzru4yowQz67dz2yc"", ""'APO'!D3:D139""),0))"),"")</f>
        <v/>
      </c>
      <c r="Z110" s="15">
        <f ca="1">IFERROR(__xludf.DUMMYFUNCTION("INDEX(IMPORTRANGE(""1y0FWgjbB0gVlqn-q5LMJbGIsqOrzru4yowQz67dz2yc"", ""'APO'!BI3:BI139""),MATCH(D110,IMPORTRANGE(""1y0FWgjbB0gVlqn-q5LMJbGIsqOrzru4yowQz67dz2yc"", ""'APO'!D3:D139""),0))"),0.814871364302061)</f>
        <v>0.81487136430206097</v>
      </c>
      <c r="AA110" s="2"/>
      <c r="AB110" s="2"/>
      <c r="AC110" s="2"/>
    </row>
    <row r="111" spans="1:29">
      <c r="A111" s="149" t="s">
        <v>275</v>
      </c>
      <c r="B111" s="149" t="s">
        <v>303</v>
      </c>
      <c r="C111" s="148" t="s">
        <v>36</v>
      </c>
      <c r="D111" s="149" t="s">
        <v>304</v>
      </c>
      <c r="E111" s="149" t="s">
        <v>305</v>
      </c>
      <c r="F111" s="9" t="s">
        <v>306</v>
      </c>
      <c r="G111" s="10" t="s">
        <v>307</v>
      </c>
      <c r="H111" s="59"/>
      <c r="I111" s="2" t="s">
        <v>254</v>
      </c>
      <c r="J111" s="4"/>
      <c r="K111" s="2" t="s">
        <v>255</v>
      </c>
      <c r="L111" s="4"/>
      <c r="M111" s="2" t="s">
        <v>256</v>
      </c>
      <c r="N111" s="49">
        <v>45473</v>
      </c>
      <c r="O111" s="2"/>
      <c r="P111" s="12" t="s">
        <v>308</v>
      </c>
      <c r="Q111" s="12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12" t="s">
        <v>308</v>
      </c>
      <c r="Y111" s="46" t="str">
        <f ca="1">IFERROR(__xludf.DUMMYFUNCTION("INDEX(IMPORTRANGE(""1y0FWgjbB0gVlqn-q5LMJbGIsqOrzru4yowQz67dz2yc"", ""'APO'!BH3:BH139""),MATCH(D111,IMPORTRANGE(""1y0FWgjbB0gVlqn-q5LMJbGIsqOrzru4yowQz67dz2yc"", ""'APO'!D3:D139""),0))"),"")</f>
        <v/>
      </c>
      <c r="Z111" s="12" t="str">
        <f ca="1">IFERROR(__xludf.DUMMYFUNCTION("INDEX(IMPORTRANGE(""1y0FWgjbB0gVlqn-q5LMJbGIsqOrzru4yowQz67dz2yc"", ""'APO'!BI3:BI139""),MATCH(D111,IMPORTRANGE(""1y0FWgjbB0gVlqn-q5LMJbGIsqOrzru4yowQz67dz2yc"", ""'APO'!D3:D139""),0))"),"Verde")</f>
        <v>Verde</v>
      </c>
      <c r="AA111" s="2"/>
      <c r="AB111" s="2"/>
      <c r="AC11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0E6B-C238-2C44-A3B8-AE8ADD97A0E9}">
  <dimension ref="A1:M31"/>
  <sheetViews>
    <sheetView workbookViewId="0">
      <selection activeCell="G2" sqref="G2"/>
    </sheetView>
  </sheetViews>
  <sheetFormatPr baseColWidth="10" defaultRowHeight="16"/>
  <cols>
    <col min="1" max="1" width="10.83203125" style="118"/>
    <col min="3" max="3" width="19.6640625" customWidth="1"/>
    <col min="4" max="5" width="12.16406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GPE'!$D$3:$Y$113,4,0)</f>
        <v>44469</v>
      </c>
      <c r="E2" s="76">
        <f>VLOOKUP(C2,'BD EVA 3 GPE'!$D$3:$Q$110,14,0)</f>
        <v>845</v>
      </c>
      <c r="F2" s="75">
        <f>VLOOKUP(C2,'BD EVA 3 GPE'!$D$3:$AC$113,9,0)</f>
        <v>45199</v>
      </c>
      <c r="G2" s="71">
        <f ca="1">VLOOKUP(C2,'BD EVA 3 GPE'!$D$3:$AC$113,24,0)</f>
        <v>848</v>
      </c>
      <c r="H2" s="71">
        <f>VLOOKUP(C2,'BD EVA 3 GPE'!$D$3:$AC$113,17,0)</f>
        <v>848</v>
      </c>
      <c r="I2" s="78">
        <f ca="1">IF(G2&gt;=E2,G2/H2,0)</f>
        <v>1</v>
      </c>
      <c r="J2" s="72" t="s">
        <v>316</v>
      </c>
      <c r="K2" s="85">
        <v>2.7</v>
      </c>
      <c r="L2" s="81">
        <f t="shared" ref="L2:L31" ca="1" si="0">IF(I2&lt;0,0,IF(I2&gt;1,K2,I2*K2))</f>
        <v>2.7</v>
      </c>
      <c r="M2" s="124">
        <f ca="1">SUM(L2:L4)</f>
        <v>10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GPE'!$D$3:$Y$113,4,0)</f>
        <v>44469</v>
      </c>
      <c r="E3" s="207">
        <f>VLOOKUP(C3,'BD EVA 3 GPE'!$D$3:$Q$110,14,0)</f>
        <v>0.99171597633136099</v>
      </c>
      <c r="F3" s="75">
        <f>VLOOKUP(C3,'BD EVA 3 GPE'!$D$3:$AC$113,9,0)</f>
        <v>45199</v>
      </c>
      <c r="G3" s="207">
        <f ca="1">VLOOKUP(C3,'BD EVA 3 GPE'!$D$3:$AC$113,24,0)</f>
        <v>0.97169811320754695</v>
      </c>
      <c r="H3" s="207" t="str">
        <f>VLOOKUP(C3,'BD EVA 3 GPE'!$D$3:$AC$113,17,0)</f>
        <v>&gt;=97%</v>
      </c>
      <c r="I3" s="78">
        <f ca="1">IF(G3&gt;=97%,1,G3/97%)</f>
        <v>1</v>
      </c>
      <c r="J3" s="75" t="s">
        <v>318</v>
      </c>
      <c r="K3" s="85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GPE'!$D$3:$Y$113,4,0)</f>
        <v>44469</v>
      </c>
      <c r="E4" s="207">
        <f>VLOOKUP(C4,'BD EVA 3 GPE'!$D$3:$Q$110,14,0)</f>
        <v>0</v>
      </c>
      <c r="F4" s="75">
        <f>VLOOKUP(C4,'BD EVA 3 GPE'!$D$3:$AC$113,9,0)</f>
        <v>45199</v>
      </c>
      <c r="G4" s="207">
        <f ca="1">VLOOKUP(C4,'BD EVA 3 GPE'!$D$3:$AC$113,24,0)</f>
        <v>2.7122641509433901E-2</v>
      </c>
      <c r="H4" s="207">
        <f>VLOOKUP(C4,'BD EVA 3 GPE'!$D$3:$AC$113,17,0)</f>
        <v>1.26E-2</v>
      </c>
      <c r="I4" s="77">
        <f t="shared" ref="I4:I5" ca="1" si="1">G4/H4</f>
        <v>2.1525905959868177</v>
      </c>
      <c r="J4" s="75" t="s">
        <v>318</v>
      </c>
      <c r="K4" s="85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GPE'!$D$3:$Y$113,4,0)</f>
        <v>octubre 20 - mar 21</v>
      </c>
      <c r="E5" s="207">
        <f>VLOOKUP(C5,'BD EVA 3 GPE'!$D$3:$Q$110,14,0)</f>
        <v>0.10296550846379025</v>
      </c>
      <c r="F5" s="75" t="str">
        <f>VLOOKUP(C5,'BD EVA 3 GPE'!$D$3:$AC$113,9,0)</f>
        <v>octubre 22 - septiembre 23</v>
      </c>
      <c r="G5" s="207">
        <f ca="1">VLOOKUP(C5,'BD EVA 3 GPE'!$D$3:$AC$113,24,0)</f>
        <v>0.137273593898951</v>
      </c>
      <c r="H5" s="207">
        <f>VLOOKUP(C5,'BD EVA 3 GPE'!$D$3:$AC$113,17,0)</f>
        <v>0.1336</v>
      </c>
      <c r="I5" s="77">
        <f t="shared" ca="1" si="1"/>
        <v>1.0274969603214896</v>
      </c>
      <c r="J5" s="75" t="s">
        <v>318</v>
      </c>
      <c r="K5" s="213">
        <v>1.6</v>
      </c>
      <c r="L5" s="20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GPE'!$D$3:$Y$113,4,0)</f>
        <v>octubre 20 - mar 21</v>
      </c>
      <c r="E6" s="213">
        <f>VLOOKUP(C6,'BD EVA 3 GPE'!$D$3:$Q$110,14,0)</f>
        <v>14.67624209928967</v>
      </c>
      <c r="F6" s="75" t="str">
        <f>VLOOKUP(C6,'BD EVA 3 GPE'!$D$3:$AC$113,9,0)</f>
        <v>octubre 22 - septiembre 23</v>
      </c>
      <c r="G6" s="213">
        <f ca="1">VLOOKUP(C6,'BD EVA 3 GPE'!$D$3:$AC$113,24,0)</f>
        <v>18.9419675762928</v>
      </c>
      <c r="H6" s="213">
        <f>VLOOKUP(C6,'BD EVA 3 GPE'!$D$3:$AC$113,17,0)</f>
        <v>14.6175</v>
      </c>
      <c r="I6" s="78">
        <f t="shared" ref="I6:I10" ca="1" si="2">(G6-E6)/(H6-E6)</f>
        <v>-72.617858888016428</v>
      </c>
      <c r="J6" s="71" t="s">
        <v>319</v>
      </c>
      <c r="K6" s="213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GPE'!$D$3:$Y$113,4,0)</f>
        <v>octubre 20 - mar 21</v>
      </c>
      <c r="E7" s="213">
        <f>VLOOKUP(C7,'BD EVA 3 GPE'!$D$3:$Q$110,14,0)</f>
        <v>282.90203818059325</v>
      </c>
      <c r="F7" s="75" t="str">
        <f>VLOOKUP(C7,'BD EVA 3 GPE'!$D$3:$AC$113,9,0)</f>
        <v>octubre 22 - septiembre 23</v>
      </c>
      <c r="G7" s="213">
        <f ca="1">VLOOKUP(C7,'BD EVA 3 GPE'!$D$3:$AC$113,24,0)</f>
        <v>194.63557987813999</v>
      </c>
      <c r="H7" s="213">
        <f>VLOOKUP(C7,'BD EVA 3 GPE'!$D$3:$AC$113,17,0)</f>
        <v>281.77043002787087</v>
      </c>
      <c r="I7" s="78">
        <f t="shared" ca="1" si="2"/>
        <v>78.000903484218682</v>
      </c>
      <c r="J7" s="71" t="s">
        <v>319</v>
      </c>
      <c r="K7" s="213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GPE'!$D$3:$Y$113,4,0)</f>
        <v>octubre 20 - mar 21</v>
      </c>
      <c r="E8" s="213">
        <f>VLOOKUP(C8,'BD EVA 3 GPE'!$D$3:$Q$110,14,0)</f>
        <v>534.63453361698089</v>
      </c>
      <c r="F8" s="75" t="str">
        <f>VLOOKUP(C8,'BD EVA 3 GPE'!$D$3:$AC$113,9,0)</f>
        <v>octubre 22 - septiembre 23</v>
      </c>
      <c r="G8" s="213">
        <f ca="1">VLOOKUP(C8,'BD EVA 3 GPE'!$D$3:$AC$113,24,0)</f>
        <v>393.52623942921502</v>
      </c>
      <c r="H8" s="213">
        <f>VLOOKUP(C8,'BD EVA 3 GPE'!$D$3:$AC$113,17,0)</f>
        <v>532.49599548251297</v>
      </c>
      <c r="I8" s="78">
        <f t="shared" ca="1" si="2"/>
        <v>65.983529549205002</v>
      </c>
      <c r="J8" s="71" t="s">
        <v>319</v>
      </c>
      <c r="K8" s="213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GPE'!$D$3:$Y$113,4,0)</f>
        <v>octubre 20 - mar 21</v>
      </c>
      <c r="E9" s="213">
        <f>VLOOKUP(C9,'BD EVA 3 GPE'!$D$3:$Q$110,14,0)</f>
        <v>92.809759561222293</v>
      </c>
      <c r="F9" s="75" t="str">
        <f>VLOOKUP(C9,'BD EVA 3 GPE'!$D$3:$AC$113,9,0)</f>
        <v>octubre 22 - septiembre 23</v>
      </c>
      <c r="G9" s="213">
        <f ca="1">VLOOKUP(C9,'BD EVA 3 GPE'!$D$3:$AC$113,24,0)</f>
        <v>54.6297325751055</v>
      </c>
      <c r="H9" s="213">
        <f>VLOOKUP(C9,'BD EVA 3 GPE'!$D$3:$AC$113,17,0)</f>
        <v>92.438520522977399</v>
      </c>
      <c r="I9" s="78">
        <f t="shared" ca="1" si="2"/>
        <v>102.84486019202177</v>
      </c>
      <c r="J9" s="71" t="s">
        <v>319</v>
      </c>
      <c r="K9" s="213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GPE'!$D$3:$Y$113,4,0)</f>
        <v>octubre 20 - mar 21</v>
      </c>
      <c r="E10" s="213">
        <f>VLOOKUP(C10,'BD EVA 3 GPE'!$D$3:$Q$110,14,0)</f>
        <v>16.912621847752856</v>
      </c>
      <c r="F10" s="75" t="str">
        <f>VLOOKUP(C10,'BD EVA 3 GPE'!$D$3:$AC$113,9,0)</f>
        <v>octubre 22 - septiembre 23</v>
      </c>
      <c r="G10" s="213">
        <f ca="1">VLOOKUP(C10,'BD EVA 3 GPE'!$D$3:$AC$113,24,0)</f>
        <v>15.5104517110224</v>
      </c>
      <c r="H10" s="213">
        <f>VLOOKUP(C10,'BD EVA 3 GPE'!$D$3:$AC$113,17,0)</f>
        <v>16.844971360361846</v>
      </c>
      <c r="I10" s="78">
        <f t="shared" ca="1" si="2"/>
        <v>20.726681962039997</v>
      </c>
      <c r="J10" s="71" t="s">
        <v>319</v>
      </c>
      <c r="K10" s="213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GPE'!$D$3:$Y$113,4,0)</f>
        <v>44469</v>
      </c>
      <c r="E11" s="78">
        <f>VLOOKUP(C11,'BD EVA 3 GPE'!$D$3:$Q$110,14,0)</f>
        <v>5.4681292486978015E-3</v>
      </c>
      <c r="F11" s="75">
        <f>VLOOKUP(C11,'BD EVA 3 GPE'!$D$3:$AC$113,9,0)</f>
        <v>45199</v>
      </c>
      <c r="G11" s="78">
        <f ca="1">VLOOKUP(C11,'BD EVA 3 GPE'!$D$3:$AC$113,24,0)</f>
        <v>1.22304259385455E-2</v>
      </c>
      <c r="H11" s="78">
        <f>VLOOKUP(C11,'BD EVA 3 GPE'!$D$3:$AC$116,16,0)</f>
        <v>6.0000000000000001E-3</v>
      </c>
      <c r="I11" s="77">
        <f t="shared" ref="I11:I12" ca="1" si="3">IF(H11="Sin meta",0,G11/H11)</f>
        <v>2.0384043230909166</v>
      </c>
      <c r="J11" s="89" t="s">
        <v>318</v>
      </c>
      <c r="K11" s="85">
        <v>1.1000000000000001</v>
      </c>
      <c r="L11" s="211">
        <f t="shared" ca="1" si="0"/>
        <v>1.1000000000000001</v>
      </c>
      <c r="M11" s="130">
        <f ca="1">SUM(L11:L15)</f>
        <v>10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3 GPE'!$D$3:$Y$113,4,0)</f>
        <v>octubre 20 - mar 21</v>
      </c>
      <c r="E12" s="337">
        <f>VLOOKUP(C12,'BD EVA 3 GPE'!$D$3:$Q$110,14,0)</f>
        <v>0</v>
      </c>
      <c r="F12" s="75" t="str">
        <f>VLOOKUP(C12,'BD EVA 3 GPE'!$D$3:$AC$113,9,0)</f>
        <v>octubre 22 - septiembre 23</v>
      </c>
      <c r="G12" s="210">
        <f ca="1">VLOOKUP(C12,'BD EVA 3 GPE'!$D$3:$AC$113,24,0)</f>
        <v>6.7120715108679096E-3</v>
      </c>
      <c r="H12" s="78">
        <f>VLOOKUP(C12,'BD EVA 3 GPE'!$D$3:$AC$116,16,0)</f>
        <v>5.4999999999999997E-3</v>
      </c>
      <c r="I12" s="77">
        <f t="shared" ca="1" si="3"/>
        <v>1.22037663833962</v>
      </c>
      <c r="J12" s="75" t="s">
        <v>318</v>
      </c>
      <c r="K12" s="85">
        <v>1.1000000000000001</v>
      </c>
      <c r="L12" s="211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GPE'!$D$3:$Y$113,4,0)</f>
        <v>octubre 20 - mar 21</v>
      </c>
      <c r="E13" s="212">
        <f>VLOOKUP(C13,'BD EVA 3 GPE'!$D$3:$Q$110,14,0)</f>
        <v>0</v>
      </c>
      <c r="F13" s="75" t="str">
        <f>VLOOKUP(C13,'BD EVA 3 GPE'!$D$3:$AC$113,9,0)</f>
        <v>octubre 21 - septiembre 23</v>
      </c>
      <c r="G13" s="212">
        <f ca="1">VLOOKUP(C13,'BD EVA 3 GPE'!$D$3:$AC$113,24,0)</f>
        <v>7</v>
      </c>
      <c r="H13" s="212">
        <f>VLOOKUP(C13,'BD EVA 3 GPE'!$D$3:$AC$113,17,0)</f>
        <v>3</v>
      </c>
      <c r="I13" s="78">
        <f t="shared" ref="I13:I15" ca="1" si="4">G13/H13</f>
        <v>2.3333333333333335</v>
      </c>
      <c r="J13" s="75" t="s">
        <v>318</v>
      </c>
      <c r="K13" s="85">
        <v>2.35</v>
      </c>
      <c r="L13" s="211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GPE'!$D$3:$Y$113,4,0)</f>
        <v>octubre 20 - mar 21</v>
      </c>
      <c r="E14" s="212">
        <f>VLOOKUP(C14,'BD EVA 3 GPE'!$D$3:$Q$110,14,0)</f>
        <v>897</v>
      </c>
      <c r="F14" s="75" t="str">
        <f>VLOOKUP(C14,'BD EVA 3 GPE'!$D$3:$AC$113,9,0)</f>
        <v>octubre 21 - septiembre 23</v>
      </c>
      <c r="G14" s="212">
        <f ca="1">VLOOKUP(C14,'BD EVA 3 GPE'!$D$3:$AC$113,24,0)</f>
        <v>3509</v>
      </c>
      <c r="H14" s="212">
        <f>VLOOKUP(C14,'BD EVA 3 GPE'!$D$3:$AC$113,17,0)</f>
        <v>2000</v>
      </c>
      <c r="I14" s="78">
        <f t="shared" ca="1" si="4"/>
        <v>1.7544999999999999</v>
      </c>
      <c r="J14" s="75" t="s">
        <v>318</v>
      </c>
      <c r="K14" s="85">
        <v>2.35</v>
      </c>
      <c r="L14" s="211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GPE'!$D$3:$Y$113,4,0)</f>
        <v>octubre 20 - mar 21</v>
      </c>
      <c r="E15" s="212">
        <f>VLOOKUP(C15,'BD EVA 3 GPE'!$D$3:$Q$110,14,0)</f>
        <v>8</v>
      </c>
      <c r="F15" s="75" t="str">
        <f>VLOOKUP(C15,'BD EVA 3 GPE'!$D$3:$AC$113,9,0)</f>
        <v>octubre 21 - septiembre 23</v>
      </c>
      <c r="G15" s="212">
        <f ca="1">VLOOKUP(C15,'BD EVA 3 GPE'!$D$3:$AC$113,24,0)</f>
        <v>40</v>
      </c>
      <c r="H15" s="212">
        <f>VLOOKUP(C15,'BD EVA 3 GPE'!$D$3:$AC$113,17,0)</f>
        <v>24</v>
      </c>
      <c r="I15" s="78">
        <f t="shared" ca="1" si="4"/>
        <v>1.6666666666666667</v>
      </c>
      <c r="J15" s="75" t="s">
        <v>318</v>
      </c>
      <c r="K15" s="85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GPE'!$D$3:$Y$113,4,0)</f>
        <v>44469</v>
      </c>
      <c r="E16" s="213">
        <f>VLOOKUP(C16,'BD EVA 3 GPE'!$D$3:$Q$110,14,0)</f>
        <v>1</v>
      </c>
      <c r="F16" s="75">
        <f>VLOOKUP(C16,'BD EVA 3 GPE'!$D$3:$AC$113,9,0)</f>
        <v>45199</v>
      </c>
      <c r="G16" s="213">
        <f ca="1">VLOOKUP(C16,'BD EVA 3 GPE'!$D$3:$AC$113,24,0)</f>
        <v>1</v>
      </c>
      <c r="H16" s="213" t="str">
        <f>VLOOKUP(C16,'BD EVA 3 GPE'!$D$3:$AC$113,17,0)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1</v>
      </c>
      <c r="J16" s="75" t="s">
        <v>318</v>
      </c>
      <c r="K16" s="85">
        <v>1.5</v>
      </c>
      <c r="L16" s="209">
        <f t="shared" ca="1" si="0"/>
        <v>1.5</v>
      </c>
      <c r="M16" s="130">
        <f ca="1">SUM(L16:L23)</f>
        <v>8.2375000000000007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GPE'!$D$3:$Y$113,4,0)</f>
        <v>44469</v>
      </c>
      <c r="E17" s="212">
        <f>VLOOKUP(C17,'BD EVA 3 GPE'!$D$3:$Q$110,14,0)</f>
        <v>0</v>
      </c>
      <c r="F17" s="75">
        <f>VLOOKUP(C17,'BD EVA 3 GPE'!$D$3:$AC$113,9,0)</f>
        <v>45199</v>
      </c>
      <c r="G17" s="207">
        <f ca="1">VLOOKUP(C17,'BD EVA 3 GPE'!$D$3:$AC$113,24,0)</f>
        <v>0</v>
      </c>
      <c r="H17" s="212" t="str">
        <f>VLOOKUP(C17,'BD EVA 3 GPE'!$D$3:$AC$113,17,0)</f>
        <v>Actualizado al 2018</v>
      </c>
      <c r="I17" s="214">
        <f t="shared" ca="1" si="5"/>
        <v>0</v>
      </c>
      <c r="J17" s="75" t="s">
        <v>318</v>
      </c>
      <c r="K17" s="85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GPE'!$D$3:$Y$113,4,0)</f>
        <v>44469</v>
      </c>
      <c r="E18" s="207">
        <f>VLOOKUP(C18,'BD EVA 3 GPE'!$D$3:$Q$110,14,0)</f>
        <v>0</v>
      </c>
      <c r="F18" s="75">
        <f>VLOOKUP(C18,'BD EVA 3 GPE'!$D$3:$AC$113,9,0)</f>
        <v>45199</v>
      </c>
      <c r="G18" s="207">
        <f ca="1">VLOOKUP(C18,'BD EVA 3 GPE'!$D$3:$AC$113,24,0)</f>
        <v>0.125</v>
      </c>
      <c r="H18" s="207">
        <f>VLOOKUP(C18,'BD EVA 3 GPE'!$D$3:$AC$113,17,0)</f>
        <v>1</v>
      </c>
      <c r="I18" s="214">
        <f ca="1">IF(G18="NA",1,G18/H18)</f>
        <v>0.125</v>
      </c>
      <c r="J18" s="75" t="s">
        <v>318</v>
      </c>
      <c r="K18" s="85">
        <v>0.3</v>
      </c>
      <c r="L18" s="211">
        <f t="shared" ca="1" si="0"/>
        <v>3.7499999999999999E-2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GPE'!$D$3:$Y$113,4,0)</f>
        <v>44469</v>
      </c>
      <c r="E19" s="207">
        <f>VLOOKUP(C19,'BD EVA 3 GPE'!$D$3:$Q$110,14,0)</f>
        <v>0.99175778888949939</v>
      </c>
      <c r="F19" s="75">
        <f>VLOOKUP(C19,'BD EVA 3 GPE'!$D$3:$AC$113,9,0)</f>
        <v>45199</v>
      </c>
      <c r="G19" s="207">
        <f ca="1">VLOOKUP(C19,'BD EVA 3 GPE'!$D$3:$AC$113,24,0)</f>
        <v>1</v>
      </c>
      <c r="H19" s="207">
        <f>VLOOKUP(C19,'BD EVA 3 GPE'!$D$3:$AC$113,17,0)</f>
        <v>1</v>
      </c>
      <c r="I19" s="214">
        <f t="shared" ref="I19:I23" ca="1" si="6">G19/H19</f>
        <v>1</v>
      </c>
      <c r="J19" s="75" t="s">
        <v>318</v>
      </c>
      <c r="K19" s="85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GPE'!$D$3:$Y$113,4,0)</f>
        <v>44469</v>
      </c>
      <c r="E20" s="214">
        <f>VLOOKUP(C20,'BD EVA 3 GPE'!$D$3:$Q$110,14,0)</f>
        <v>1</v>
      </c>
      <c r="F20" s="75">
        <f>VLOOKUP(C20,'BD EVA 3 GPE'!$D$3:$AC$113,9,0)</f>
        <v>45199</v>
      </c>
      <c r="G20" s="214">
        <f ca="1">VLOOKUP(C20,'BD EVA 3 GPE'!$D$3:$AC$113,24,0)</f>
        <v>1</v>
      </c>
      <c r="H20" s="214">
        <f>VLOOKUP(C20,'BD EVA 3 GPE'!$D$3:$AC$113,17,0)</f>
        <v>1</v>
      </c>
      <c r="I20" s="214">
        <f t="shared" ca="1" si="6"/>
        <v>1</v>
      </c>
      <c r="J20" s="75" t="s">
        <v>318</v>
      </c>
      <c r="K20" s="85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GPE'!$D$3:$Y$113,4,0)</f>
        <v>44469</v>
      </c>
      <c r="E21" s="207">
        <f>VLOOKUP(C21,'BD EVA 3 GPE'!$D$3:$Q$110,14,0)</f>
        <v>0.99993255062075914</v>
      </c>
      <c r="F21" s="75">
        <f>VLOOKUP(C21,'BD EVA 3 GPE'!$D$3:$AC$113,9,0)</f>
        <v>45199</v>
      </c>
      <c r="G21" s="207">
        <f ca="1">VLOOKUP(C21,'BD EVA 3 GPE'!$D$3:$AC$113,24,0)</f>
        <v>1</v>
      </c>
      <c r="H21" s="207">
        <f>VLOOKUP(C21,'BD EVA 3 GPE'!$D$3:$AC$113,17,0)</f>
        <v>1</v>
      </c>
      <c r="I21" s="214">
        <f t="shared" ca="1" si="6"/>
        <v>1</v>
      </c>
      <c r="J21" s="75" t="s">
        <v>318</v>
      </c>
      <c r="K21" s="85">
        <v>0.9</v>
      </c>
      <c r="L21" s="209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GPE'!$D$3:$Y$113,4,0)</f>
        <v>44469</v>
      </c>
      <c r="E22" s="207">
        <f>VLOOKUP(C22,'BD EVA 3 GPE'!$D$3:$Q$110,14,0)</f>
        <v>0.90612668743509861</v>
      </c>
      <c r="F22" s="75">
        <f>VLOOKUP(C22,'BD EVA 3 GPE'!$D$3:$AC$113,9,0)</f>
        <v>45199</v>
      </c>
      <c r="G22" s="207">
        <f ca="1">VLOOKUP(C22,'BD EVA 3 GPE'!$D$3:$AC$113,24,0)</f>
        <v>1</v>
      </c>
      <c r="H22" s="207">
        <f>VLOOKUP(C22,'BD EVA 3 GPE'!$D$3:$AC$113,17,0)</f>
        <v>1</v>
      </c>
      <c r="I22" s="214">
        <f t="shared" ca="1" si="6"/>
        <v>1</v>
      </c>
      <c r="J22" s="75" t="s">
        <v>318</v>
      </c>
      <c r="K22" s="85">
        <v>1.5</v>
      </c>
      <c r="L22" s="209">
        <f t="shared" ca="1" si="0"/>
        <v>1.5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GPE'!$D$3:$Y$113,4,0)</f>
        <v>octubre 20 - mar 21</v>
      </c>
      <c r="E23" s="208">
        <f>VLOOKUP(C23,'BD EVA 3 GPE'!$D$3:$Q$110,14,0)</f>
        <v>5.4640000000000004</v>
      </c>
      <c r="F23" s="89" t="str">
        <f>VLOOKUP(C23,'BD EVA 3 GPE'!$D$3:$AC$113,9,0)</f>
        <v>octubre 22 - septiembre 23</v>
      </c>
      <c r="G23" s="85">
        <f ca="1">VLOOKUP(C23,'BD EVA 3 GPE'!$D$3:$AC$113,24,0)</f>
        <v>74.302999999999997</v>
      </c>
      <c r="H23" s="208">
        <f>VLOOKUP(C23,'BD EVA 3 GPE'!$D$3:$AC$113,17,0)</f>
        <v>10.1</v>
      </c>
      <c r="I23" s="214">
        <f t="shared" ca="1" si="6"/>
        <v>7.3567326732673264</v>
      </c>
      <c r="J23" s="75" t="s">
        <v>318</v>
      </c>
      <c r="K23" s="85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GPE'!$D$3:$Y$113,4,0)</f>
        <v>44469</v>
      </c>
      <c r="E24" s="171">
        <f>VLOOKUP(C24,'BD EVA 3 GPE'!$D$3:$Q$110,14,0)</f>
        <v>13.875</v>
      </c>
      <c r="F24" s="75">
        <f>VLOOKUP(C24,'BD EVA 3 GPE'!$D$3:$AC$113,9,0)</f>
        <v>45199</v>
      </c>
      <c r="G24" s="171">
        <f ca="1">VLOOKUP(C24,'BD EVA 3 GPE'!$D$3:$AC$113,24,0)</f>
        <v>2.72</v>
      </c>
      <c r="H24" s="171">
        <f>VLOOKUP(C24,'BD EVA 3 GPE'!$D$3:$AC$113,17,0)</f>
        <v>2.5299999999999998</v>
      </c>
      <c r="I24" s="214">
        <f ca="1">IF(H24="Sin meta",0,G24/H24)</f>
        <v>1.0750988142292492</v>
      </c>
      <c r="J24" s="75" t="s">
        <v>318</v>
      </c>
      <c r="K24" s="85">
        <v>2.65</v>
      </c>
      <c r="L24" s="209">
        <f t="shared" ca="1" si="0"/>
        <v>2.65</v>
      </c>
      <c r="M24" s="130">
        <f ca="1">SUM(L24:L27)</f>
        <v>10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GPE'!$D$3:$Y$113,4,0)</f>
        <v>octubre 20 - mar 21</v>
      </c>
      <c r="E25" s="340">
        <f>VLOOKUP(C25,'BD EVA 3 GPE'!$D$3:$Q$110,14,0)</f>
        <v>0</v>
      </c>
      <c r="F25" s="71" t="str">
        <f>VLOOKUP(C25,'BD EVA 3 GPE'!$D$3:$AC$113,9,0)</f>
        <v>octubre 22 - septiembre 23</v>
      </c>
      <c r="G25" s="212">
        <f ca="1">VLOOKUP(C25,'BD EVA 3 GPE'!$D$3:$AC$113,24,0)</f>
        <v>26960</v>
      </c>
      <c r="H25" s="212">
        <f>VLOOKUP(C25,'BD EVA 3 GPE'!$D$3:$AC$113,17,0)</f>
        <v>16667</v>
      </c>
      <c r="I25" s="214">
        <f t="shared" ref="I25:I26" ca="1" si="7">G25/H25</f>
        <v>1.617567648647027</v>
      </c>
      <c r="J25" s="75" t="s">
        <v>318</v>
      </c>
      <c r="K25" s="85">
        <v>2.33</v>
      </c>
      <c r="L25" s="209">
        <f t="shared" ca="1" si="0"/>
        <v>2.33</v>
      </c>
      <c r="M25" s="127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GPE'!$D$3:$Y$113,4,0)</f>
        <v>octubre 20 - mar 21</v>
      </c>
      <c r="E26" s="212">
        <f>VLOOKUP(C26,'BD EVA 3 GPE'!$D$3:$Q$110,14,0)</f>
        <v>0</v>
      </c>
      <c r="F26" s="71" t="str">
        <f>VLOOKUP(C26,'BD EVA 3 GPE'!$D$3:$AC$113,9,0)</f>
        <v>octubre 22 - septiembre 23</v>
      </c>
      <c r="G26" s="212">
        <f ca="1">VLOOKUP(C26,'BD EVA 3 GPE'!$D$3:$AC$113,24,0)</f>
        <v>50</v>
      </c>
      <c r="H26" s="212">
        <f>VLOOKUP(C26,'BD EVA 3 GPE'!$D$3:$AC$113,17,0)</f>
        <v>8</v>
      </c>
      <c r="I26" s="214">
        <f t="shared" ca="1" si="7"/>
        <v>6.25</v>
      </c>
      <c r="J26" s="75" t="s">
        <v>318</v>
      </c>
      <c r="K26" s="85">
        <v>2.8</v>
      </c>
      <c r="L26" s="209">
        <f t="shared" ca="1" si="0"/>
        <v>2.8</v>
      </c>
      <c r="M26" s="127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GPE'!$D$3:$Y$113,4,0)</f>
        <v>octubre 2018 - marzo 2019</v>
      </c>
      <c r="E27" s="212">
        <f>VLOOKUP(C27,'BD EVA 3 GPE'!$D$3:$Q$110,14,0)</f>
        <v>5238</v>
      </c>
      <c r="F27" s="71" t="str">
        <f>VLOOKUP(C27,'BD EVA 3 GPE'!$D$3:$AC$113,9,0)</f>
        <v>octubre 22 - septiembre 23</v>
      </c>
      <c r="G27" s="212">
        <f ca="1">VLOOKUP(C27,'BD EVA 3 GPE'!$D$3:$AC$113,24,0)</f>
        <v>3872</v>
      </c>
      <c r="H27" s="212">
        <f>VLOOKUP(C27,'BD EVA 3 GPE'!$D$3:$AC$113,17,0)</f>
        <v>5217.0479999999998</v>
      </c>
      <c r="I27" s="214">
        <f ca="1">(G27-E27)/(H27-E27)</f>
        <v>65.196639938907282</v>
      </c>
      <c r="J27" s="75" t="s">
        <v>319</v>
      </c>
      <c r="K27" s="85">
        <v>2.2200000000000002</v>
      </c>
      <c r="L27" s="209">
        <f t="shared" ca="1" si="0"/>
        <v>2.2200000000000002</v>
      </c>
      <c r="M27" s="127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GPE'!$D$3:$Y$113,4,0)</f>
        <v>octubre 20 - mar 21</v>
      </c>
      <c r="E28" s="212">
        <f>VLOOKUP(C28,'BD EVA 3 GPE'!$D$3:$Q$110,14,0)</f>
        <v>0</v>
      </c>
      <c r="F28" s="89" t="str">
        <f>VLOOKUP(C28,'BD EVA 3 GPE'!$D$3:$AC$113,9,0)</f>
        <v>octubre 22 - septiembre 23</v>
      </c>
      <c r="G28" s="212">
        <f ca="1">VLOOKUP(C28,'BD EVA 3 GPE'!$D$3:$AC$113,24,0)</f>
        <v>33</v>
      </c>
      <c r="H28" s="212">
        <f>VLOOKUP(C28,'BD EVA 3 GPE'!$D$3:$AC$113,17,0)</f>
        <v>10</v>
      </c>
      <c r="I28" s="78">
        <f t="shared" ref="I28:I31" ca="1" si="8">G28/H28</f>
        <v>3.3</v>
      </c>
      <c r="J28" s="89" t="s">
        <v>318</v>
      </c>
      <c r="K28" s="85">
        <v>2.5</v>
      </c>
      <c r="L28" s="209">
        <f t="shared" ca="1" si="0"/>
        <v>2.5</v>
      </c>
      <c r="M28" s="130">
        <f ca="1">SUM(L28:L31)</f>
        <v>9.8190045248868749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GPE'!$D$3:$Y$113,4,0)</f>
        <v>44469</v>
      </c>
      <c r="E29" s="212">
        <f>VLOOKUP(C29,'BD EVA 3 GPE'!$D$3:$Q$110,14,0)</f>
        <v>6</v>
      </c>
      <c r="F29" s="89">
        <f>VLOOKUP(C29,'BD EVA 3 GPE'!$D$3:$AC$113,9,0)</f>
        <v>45078</v>
      </c>
      <c r="G29" s="212">
        <f ca="1">VLOOKUP(C29,'BD EVA 3 GPE'!$D$3:$AC$113,24,0)</f>
        <v>14</v>
      </c>
      <c r="H29" s="212">
        <f>VLOOKUP(C29,'BD EVA 3 GPE'!$D$3:$AC$113,17,0)</f>
        <v>12</v>
      </c>
      <c r="I29" s="80">
        <f t="shared" ca="1" si="8"/>
        <v>1.1666666666666667</v>
      </c>
      <c r="J29" s="75" t="s">
        <v>318</v>
      </c>
      <c r="K29" s="85">
        <v>2.5</v>
      </c>
      <c r="L29" s="209">
        <f t="shared" ca="1" si="0"/>
        <v>2.5</v>
      </c>
      <c r="M29" s="127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GPE'!$D$3:$Y$113,4,0)</f>
        <v>44469</v>
      </c>
      <c r="E30" s="212">
        <f>VLOOKUP(C30,'BD EVA 3 GPE'!$D$3:$Q$110,14,0)</f>
        <v>100</v>
      </c>
      <c r="F30" s="75">
        <f>VLOOKUP(C30,'BD EVA 3 GPE'!$D$3:$AC$113,9,0)</f>
        <v>45199</v>
      </c>
      <c r="G30" s="212">
        <f ca="1">VLOOKUP(C30,'BD EVA 3 GPE'!$D$3:$AC$113,24,0)</f>
        <v>100</v>
      </c>
      <c r="H30" s="212">
        <f>VLOOKUP(C30,'BD EVA 3 GPE'!$D$3:$AC$113,17,0)</f>
        <v>100</v>
      </c>
      <c r="I30" s="80">
        <f t="shared" ca="1" si="8"/>
        <v>1</v>
      </c>
      <c r="J30" s="75" t="s">
        <v>318</v>
      </c>
      <c r="K30" s="85">
        <v>2.5</v>
      </c>
      <c r="L30" s="209">
        <f t="shared" ca="1" si="0"/>
        <v>2.5</v>
      </c>
      <c r="M30" s="127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GPE'!$D$3:$Y$113,4,0)</f>
        <v>44469</v>
      </c>
      <c r="E31" s="212">
        <f>VLOOKUP(C31,'BD EVA 3 GPE'!$D$3:$Q$110,14,0)</f>
        <v>0</v>
      </c>
      <c r="F31" s="75">
        <f>VLOOKUP(C31,'BD EVA 3 GPE'!$D$3:$AC$113,9,0)</f>
        <v>45199</v>
      </c>
      <c r="G31" s="213">
        <f ca="1">VLOOKUP(C31,'BD EVA 3 GPE'!$D$3:$AC$113,24,0)</f>
        <v>3.7104072398189998</v>
      </c>
      <c r="H31" s="212">
        <f>VLOOKUP(C31,'BD EVA 3 GPE'!$D$3:$AC$113,17,0)</f>
        <v>4</v>
      </c>
      <c r="I31" s="80">
        <f t="shared" ca="1" si="8"/>
        <v>0.92760180995474995</v>
      </c>
      <c r="J31" s="75" t="s">
        <v>318</v>
      </c>
      <c r="K31" s="85">
        <v>2.5</v>
      </c>
      <c r="L31" s="209">
        <f t="shared" ca="1" si="0"/>
        <v>2.3190045248868749</v>
      </c>
      <c r="M31" s="127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E0B0-075E-0A45-97A6-EADE38C23AC6}">
  <dimension ref="A1:AC39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7" t="s">
        <v>34</v>
      </c>
      <c r="B2" s="7" t="s">
        <v>35</v>
      </c>
      <c r="C2" s="1" t="s">
        <v>36</v>
      </c>
      <c r="D2" s="1" t="s">
        <v>37</v>
      </c>
      <c r="E2" s="7" t="s">
        <v>38</v>
      </c>
      <c r="F2" s="9" t="s">
        <v>39</v>
      </c>
      <c r="G2" s="11">
        <v>44469</v>
      </c>
      <c r="H2" s="11">
        <v>44469</v>
      </c>
      <c r="I2" s="11">
        <v>44651</v>
      </c>
      <c r="J2" s="11">
        <v>44834</v>
      </c>
      <c r="K2" s="11">
        <v>45016</v>
      </c>
      <c r="L2" s="11">
        <v>45199</v>
      </c>
      <c r="M2" s="11">
        <v>45382</v>
      </c>
      <c r="N2" s="11">
        <v>45565</v>
      </c>
      <c r="O2" s="11">
        <v>45565</v>
      </c>
      <c r="P2" s="12">
        <v>845</v>
      </c>
      <c r="Q2" s="2">
        <v>845</v>
      </c>
      <c r="R2" s="4">
        <v>846</v>
      </c>
      <c r="S2" s="4">
        <v>847</v>
      </c>
      <c r="T2" s="4">
        <v>848</v>
      </c>
      <c r="U2" s="4">
        <v>849</v>
      </c>
      <c r="V2" s="4">
        <v>853</v>
      </c>
      <c r="W2" s="4">
        <v>853</v>
      </c>
      <c r="X2" s="2">
        <v>832</v>
      </c>
      <c r="Y2" s="2">
        <v>847</v>
      </c>
      <c r="Z2" s="2">
        <v>847</v>
      </c>
      <c r="AA2" s="2">
        <v>848</v>
      </c>
      <c r="AB2" s="2">
        <v>850</v>
      </c>
      <c r="AC2" s="1"/>
    </row>
    <row r="3" spans="1:29">
      <c r="A3" s="7" t="s">
        <v>34</v>
      </c>
      <c r="B3" s="7" t="s">
        <v>40</v>
      </c>
      <c r="C3" s="1" t="s">
        <v>36</v>
      </c>
      <c r="D3" s="1" t="s">
        <v>43</v>
      </c>
      <c r="E3" s="7" t="s">
        <v>38</v>
      </c>
      <c r="F3" s="9" t="s">
        <v>44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5">
        <v>0.99171597633136099</v>
      </c>
      <c r="Q3" s="15">
        <v>0.99171597633136099</v>
      </c>
      <c r="R3" s="14" t="s">
        <v>327</v>
      </c>
      <c r="S3" s="14" t="s">
        <v>327</v>
      </c>
      <c r="T3" s="14" t="s">
        <v>327</v>
      </c>
      <c r="U3" s="14" t="s">
        <v>327</v>
      </c>
      <c r="V3" s="14" t="s">
        <v>327</v>
      </c>
      <c r="W3" s="14" t="s">
        <v>327</v>
      </c>
      <c r="X3" s="15">
        <v>0.97956730769230771</v>
      </c>
      <c r="Y3" s="15">
        <v>0.98937426210153401</v>
      </c>
      <c r="Z3" s="15">
        <v>0.97048406139315202</v>
      </c>
      <c r="AA3" s="15">
        <v>0.97169811320754695</v>
      </c>
      <c r="AB3" s="15">
        <v>0.97058823529411697</v>
      </c>
      <c r="AC3" s="1"/>
    </row>
    <row r="4" spans="1:29">
      <c r="A4" s="7" t="s">
        <v>34</v>
      </c>
      <c r="B4" s="7" t="s">
        <v>45</v>
      </c>
      <c r="C4" s="1" t="s">
        <v>36</v>
      </c>
      <c r="D4" s="1" t="s">
        <v>50</v>
      </c>
      <c r="E4" s="7" t="s">
        <v>38</v>
      </c>
      <c r="F4" s="9" t="s">
        <v>51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9">
        <v>0</v>
      </c>
      <c r="Q4" s="15">
        <v>0</v>
      </c>
      <c r="R4" s="26">
        <v>4.1999999999999997E-3</v>
      </c>
      <c r="S4" s="26">
        <v>8.3999999999999995E-3</v>
      </c>
      <c r="T4" s="26">
        <v>1.26E-2</v>
      </c>
      <c r="U4" s="26">
        <v>2.1000000000000001E-2</v>
      </c>
      <c r="V4" s="14">
        <v>0.03</v>
      </c>
      <c r="W4" s="14">
        <v>0.03</v>
      </c>
      <c r="X4" s="19">
        <v>0</v>
      </c>
      <c r="Y4" s="15">
        <v>2.24321133412042E-2</v>
      </c>
      <c r="Z4" s="15">
        <v>2.5974025974025899E-2</v>
      </c>
      <c r="AA4" s="15">
        <v>2.7122641509433901E-2</v>
      </c>
      <c r="AB4" s="15">
        <v>4.7058823529411702E-2</v>
      </c>
      <c r="AC4" s="1"/>
    </row>
    <row r="5" spans="1:29">
      <c r="A5" s="7" t="s">
        <v>52</v>
      </c>
      <c r="B5" s="7" t="s">
        <v>53</v>
      </c>
      <c r="C5" s="1" t="s">
        <v>36</v>
      </c>
      <c r="D5" s="7" t="s">
        <v>66</v>
      </c>
      <c r="E5" s="7" t="s">
        <v>38</v>
      </c>
      <c r="F5" s="9" t="s">
        <v>67</v>
      </c>
      <c r="G5" s="9" t="s">
        <v>56</v>
      </c>
      <c r="H5" s="9" t="s">
        <v>57</v>
      </c>
      <c r="I5" s="9" t="s">
        <v>58</v>
      </c>
      <c r="J5" s="9" t="s">
        <v>59</v>
      </c>
      <c r="K5" s="9" t="s">
        <v>60</v>
      </c>
      <c r="L5" s="9" t="s">
        <v>61</v>
      </c>
      <c r="M5" s="9" t="s">
        <v>62</v>
      </c>
      <c r="N5" s="9" t="s">
        <v>63</v>
      </c>
      <c r="O5" s="9" t="s">
        <v>63</v>
      </c>
      <c r="P5" s="15">
        <v>0.11537659086167328</v>
      </c>
      <c r="Q5" s="15">
        <v>0.10296550846379025</v>
      </c>
      <c r="R5" s="15">
        <v>0.1018</v>
      </c>
      <c r="S5" s="15">
        <v>0.1273</v>
      </c>
      <c r="T5" s="15">
        <v>0.1336</v>
      </c>
      <c r="U5" s="15">
        <v>0.14000000000000001</v>
      </c>
      <c r="V5" s="15">
        <v>0.16300000000000001</v>
      </c>
      <c r="W5" s="15">
        <v>0.16300000000000001</v>
      </c>
      <c r="X5" s="15">
        <v>3.5609756097560973E-2</v>
      </c>
      <c r="Y5" s="15">
        <v>0.11088709677419301</v>
      </c>
      <c r="Z5" s="15">
        <v>0.137014314928425</v>
      </c>
      <c r="AA5" s="15">
        <v>0.137273593898951</v>
      </c>
      <c r="AB5" s="15">
        <v>0.16986496090973699</v>
      </c>
      <c r="AC5" s="1"/>
    </row>
    <row r="6" spans="1:29">
      <c r="A6" s="7" t="s">
        <v>52</v>
      </c>
      <c r="B6" s="7" t="s">
        <v>68</v>
      </c>
      <c r="C6" s="1" t="s">
        <v>36</v>
      </c>
      <c r="D6" s="7" t="s">
        <v>72</v>
      </c>
      <c r="E6" s="7" t="s">
        <v>73</v>
      </c>
      <c r="F6" s="9" t="s">
        <v>74</v>
      </c>
      <c r="G6" s="2" t="s">
        <v>56</v>
      </c>
      <c r="H6" s="2" t="s">
        <v>57</v>
      </c>
      <c r="I6" s="9" t="s">
        <v>58</v>
      </c>
      <c r="J6" s="9" t="s">
        <v>59</v>
      </c>
      <c r="K6" s="9" t="s">
        <v>60</v>
      </c>
      <c r="L6" s="9" t="s">
        <v>61</v>
      </c>
      <c r="M6" s="9" t="s">
        <v>62</v>
      </c>
      <c r="N6" s="9" t="s">
        <v>63</v>
      </c>
      <c r="O6" s="9" t="s">
        <v>63</v>
      </c>
      <c r="P6" s="23">
        <v>6.4295917768316642</v>
      </c>
      <c r="Q6" s="23">
        <v>14.67624209928967</v>
      </c>
      <c r="R6" s="2">
        <v>14.6616</v>
      </c>
      <c r="S6" s="2">
        <v>6.4135</v>
      </c>
      <c r="T6" s="2">
        <v>14.6175</v>
      </c>
      <c r="U6" s="2">
        <v>6.391</v>
      </c>
      <c r="V6" s="2">
        <v>14.529500000000001</v>
      </c>
      <c r="W6" s="2">
        <v>14.515000000000001</v>
      </c>
      <c r="X6" s="23">
        <v>4.574127900932706</v>
      </c>
      <c r="Y6" s="23">
        <v>16.4945824306361</v>
      </c>
      <c r="Z6" s="23">
        <v>8.9219412497031705</v>
      </c>
      <c r="AA6" s="23">
        <v>18.9419675762928</v>
      </c>
      <c r="AB6" s="23">
        <v>13.4360444285202</v>
      </c>
      <c r="AC6" s="1"/>
    </row>
    <row r="7" spans="1:29">
      <c r="A7" s="7" t="s">
        <v>52</v>
      </c>
      <c r="B7" s="7" t="s">
        <v>68</v>
      </c>
      <c r="C7" s="1" t="s">
        <v>36</v>
      </c>
      <c r="D7" s="7" t="s">
        <v>84</v>
      </c>
      <c r="E7" s="7" t="s">
        <v>76</v>
      </c>
      <c r="F7" s="9" t="s">
        <v>85</v>
      </c>
      <c r="G7" s="2" t="s">
        <v>56</v>
      </c>
      <c r="H7" s="2" t="s">
        <v>57</v>
      </c>
      <c r="I7" s="9" t="s">
        <v>58</v>
      </c>
      <c r="J7" s="9" t="s">
        <v>59</v>
      </c>
      <c r="K7" s="9" t="s">
        <v>60</v>
      </c>
      <c r="L7" s="9" t="s">
        <v>61</v>
      </c>
      <c r="M7" s="9" t="s">
        <v>62</v>
      </c>
      <c r="N7" s="9" t="s">
        <v>63</v>
      </c>
      <c r="O7" s="9" t="s">
        <v>63</v>
      </c>
      <c r="P7" s="23">
        <v>134.74187984490706</v>
      </c>
      <c r="Q7" s="23">
        <v>282.90203818059325</v>
      </c>
      <c r="R7" s="24">
        <v>282.61913614241269</v>
      </c>
      <c r="S7" s="24">
        <v>134.40502514529479</v>
      </c>
      <c r="T7" s="24">
        <v>281.77043002787087</v>
      </c>
      <c r="U7" s="24">
        <v>133.93342856583763</v>
      </c>
      <c r="V7" s="24">
        <v>280.0730177987873</v>
      </c>
      <c r="W7" s="24">
        <v>279.79294478098853</v>
      </c>
      <c r="X7" s="23">
        <v>151.36205053995502</v>
      </c>
      <c r="Y7" s="23">
        <v>266.40829774523201</v>
      </c>
      <c r="Z7" s="23">
        <v>89.631194400864103</v>
      </c>
      <c r="AA7" s="23">
        <v>194.63557987813999</v>
      </c>
      <c r="AB7" s="23">
        <v>117.124306482959</v>
      </c>
      <c r="AC7" s="1"/>
    </row>
    <row r="8" spans="1:29">
      <c r="A8" s="7" t="s">
        <v>52</v>
      </c>
      <c r="B8" s="7" t="s">
        <v>86</v>
      </c>
      <c r="C8" s="1" t="s">
        <v>36</v>
      </c>
      <c r="D8" s="7" t="s">
        <v>89</v>
      </c>
      <c r="E8" s="7" t="s">
        <v>76</v>
      </c>
      <c r="F8" s="9" t="s">
        <v>90</v>
      </c>
      <c r="G8" s="2" t="s">
        <v>56</v>
      </c>
      <c r="H8" s="2" t="s">
        <v>57</v>
      </c>
      <c r="I8" s="9" t="s">
        <v>58</v>
      </c>
      <c r="J8" s="9" t="s">
        <v>59</v>
      </c>
      <c r="K8" s="9" t="s">
        <v>60</v>
      </c>
      <c r="L8" s="9" t="s">
        <v>61</v>
      </c>
      <c r="M8" s="9" t="s">
        <v>62</v>
      </c>
      <c r="N8" s="9" t="s">
        <v>63</v>
      </c>
      <c r="O8" s="9" t="s">
        <v>63</v>
      </c>
      <c r="P8" s="23">
        <v>257.04389733898768</v>
      </c>
      <c r="Q8" s="23">
        <v>534.63453361698089</v>
      </c>
      <c r="R8" s="24">
        <v>534.09989908336388</v>
      </c>
      <c r="S8" s="24">
        <v>256.40128759564021</v>
      </c>
      <c r="T8" s="24">
        <v>532.49599548251297</v>
      </c>
      <c r="U8" s="24">
        <v>255.50163395495375</v>
      </c>
      <c r="V8" s="24">
        <v>529.28818828081103</v>
      </c>
      <c r="W8" s="24">
        <v>528.75890009253021</v>
      </c>
      <c r="X8" s="23">
        <v>238.40909059406835</v>
      </c>
      <c r="Y8" s="23">
        <v>527.68802784396405</v>
      </c>
      <c r="Z8" s="23">
        <v>199.576962724129</v>
      </c>
      <c r="AA8" s="23">
        <v>393.52623942921502</v>
      </c>
      <c r="AB8" s="23">
        <v>39.629545183110203</v>
      </c>
      <c r="AC8" s="1"/>
    </row>
    <row r="9" spans="1:29">
      <c r="A9" s="7" t="s">
        <v>52</v>
      </c>
      <c r="B9" s="7" t="s">
        <v>86</v>
      </c>
      <c r="C9" s="1" t="s">
        <v>36</v>
      </c>
      <c r="D9" s="7" t="s">
        <v>93</v>
      </c>
      <c r="E9" s="7" t="s">
        <v>76</v>
      </c>
      <c r="F9" s="9" t="s">
        <v>94</v>
      </c>
      <c r="G9" s="2" t="s">
        <v>56</v>
      </c>
      <c r="H9" s="2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3">
        <v>45.566237374937451</v>
      </c>
      <c r="Q9" s="23">
        <v>92.809759561222293</v>
      </c>
      <c r="R9" s="24">
        <v>92.716949801661073</v>
      </c>
      <c r="S9" s="24">
        <v>45.45232178150011</v>
      </c>
      <c r="T9" s="24">
        <v>92.438520522977399</v>
      </c>
      <c r="U9" s="24">
        <v>45.292839950687828</v>
      </c>
      <c r="V9" s="24">
        <v>91.881661965610064</v>
      </c>
      <c r="W9" s="24">
        <v>91.789780303644463</v>
      </c>
      <c r="X9" s="23">
        <v>36.038583461894049</v>
      </c>
      <c r="Y9" s="23">
        <v>90.235068591127003</v>
      </c>
      <c r="Z9" s="23">
        <v>30.883642787433999</v>
      </c>
      <c r="AA9" s="23">
        <v>54.6297325751055</v>
      </c>
      <c r="AB9" s="23">
        <v>4.7501167171536203</v>
      </c>
      <c r="AC9" s="1"/>
    </row>
    <row r="10" spans="1:29">
      <c r="A10" s="7" t="s">
        <v>52</v>
      </c>
      <c r="B10" s="7" t="s">
        <v>86</v>
      </c>
      <c r="C10" s="1" t="s">
        <v>36</v>
      </c>
      <c r="D10" s="7" t="s">
        <v>117</v>
      </c>
      <c r="E10" s="7" t="s">
        <v>76</v>
      </c>
      <c r="F10" s="9" t="s">
        <v>118</v>
      </c>
      <c r="G10" s="2" t="s">
        <v>56</v>
      </c>
      <c r="H10" s="2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23">
        <v>6.4295917768316642</v>
      </c>
      <c r="Q10" s="23">
        <v>16.912621847752856</v>
      </c>
      <c r="R10" s="24">
        <v>16.895709225905104</v>
      </c>
      <c r="S10" s="24">
        <v>6.4135177973895852</v>
      </c>
      <c r="T10" s="24">
        <v>16.844971360361846</v>
      </c>
      <c r="U10" s="24">
        <v>6.3910142261706744</v>
      </c>
      <c r="V10" s="24">
        <v>16.743495629275326</v>
      </c>
      <c r="W10" s="24">
        <v>16.726752133646052</v>
      </c>
      <c r="X10" s="23">
        <v>10.672965102176315</v>
      </c>
      <c r="Y10" s="23">
        <v>20.514270586001199</v>
      </c>
      <c r="Z10" s="23">
        <v>9.1964625189248093</v>
      </c>
      <c r="AA10" s="23">
        <v>15.5104517110224</v>
      </c>
      <c r="AB10" s="23">
        <v>4.3429638556833101</v>
      </c>
      <c r="AC10" s="1"/>
    </row>
    <row r="11" spans="1:29">
      <c r="A11" s="7" t="s">
        <v>119</v>
      </c>
      <c r="B11" s="7" t="s">
        <v>120</v>
      </c>
      <c r="C11" s="1" t="s">
        <v>36</v>
      </c>
      <c r="D11" s="1" t="s">
        <v>125</v>
      </c>
      <c r="E11" s="7" t="s">
        <v>38</v>
      </c>
      <c r="F11" s="2" t="s">
        <v>126</v>
      </c>
      <c r="G11" s="11">
        <v>44469</v>
      </c>
      <c r="H11" s="11">
        <v>44469</v>
      </c>
      <c r="I11" s="11">
        <v>44651</v>
      </c>
      <c r="J11" s="11">
        <v>44834</v>
      </c>
      <c r="K11" s="11">
        <v>45016</v>
      </c>
      <c r="L11" s="11">
        <v>45199</v>
      </c>
      <c r="M11" s="11">
        <v>45382</v>
      </c>
      <c r="N11" s="11">
        <v>45565</v>
      </c>
      <c r="O11" s="11">
        <v>45565</v>
      </c>
      <c r="P11" s="19">
        <v>5.4681292486978015E-3</v>
      </c>
      <c r="Q11" s="19">
        <v>5.4681292486978015E-3</v>
      </c>
      <c r="R11" s="15">
        <v>2E-3</v>
      </c>
      <c r="S11" s="15">
        <v>6.0000000000000001E-3</v>
      </c>
      <c r="T11" s="15">
        <v>0.01</v>
      </c>
      <c r="U11" s="15">
        <v>1.4E-2</v>
      </c>
      <c r="V11" s="15">
        <v>0.02</v>
      </c>
      <c r="W11" s="15">
        <v>0.02</v>
      </c>
      <c r="X11" s="15">
        <v>4.4418204290633005E-3</v>
      </c>
      <c r="Y11" s="15">
        <v>1.0503717291168099E-2</v>
      </c>
      <c r="Z11" s="15">
        <v>1.20664654735127E-2</v>
      </c>
      <c r="AA11" s="15">
        <v>1.22304259385455E-2</v>
      </c>
      <c r="AB11" s="15">
        <v>1.43670357485051E-2</v>
      </c>
      <c r="AC11" s="1"/>
    </row>
    <row r="12" spans="1:29">
      <c r="A12" s="7" t="s">
        <v>119</v>
      </c>
      <c r="B12" s="7" t="s">
        <v>120</v>
      </c>
      <c r="C12" s="1" t="s">
        <v>36</v>
      </c>
      <c r="D12" s="7" t="s">
        <v>333</v>
      </c>
      <c r="E12" s="7" t="s">
        <v>38</v>
      </c>
      <c r="F12" s="2" t="s">
        <v>334</v>
      </c>
      <c r="G12" s="2" t="s">
        <v>56</v>
      </c>
      <c r="H12" s="2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2"/>
      <c r="R12" s="2"/>
      <c r="S12" s="26">
        <v>5.4999999999999997E-3</v>
      </c>
      <c r="T12" s="26">
        <v>6.4999999999999997E-3</v>
      </c>
      <c r="U12" s="26">
        <v>7.4999999999999997E-3</v>
      </c>
      <c r="V12" s="26">
        <v>8.5000000000000006E-3</v>
      </c>
      <c r="W12" s="26">
        <v>8.5000000000000006E-3</v>
      </c>
      <c r="X12" s="2"/>
      <c r="Y12" s="250" t="s">
        <v>420</v>
      </c>
      <c r="Z12" s="15">
        <v>6.3097110086287704E-3</v>
      </c>
      <c r="AA12" s="15">
        <v>6.7120715108679096E-3</v>
      </c>
      <c r="AB12" s="15">
        <v>8.8564678903616696E-3</v>
      </c>
      <c r="AC12" s="1"/>
    </row>
    <row r="13" spans="1:29">
      <c r="A13" s="7" t="s">
        <v>119</v>
      </c>
      <c r="B13" s="7" t="s">
        <v>127</v>
      </c>
      <c r="C13" s="1" t="s">
        <v>36</v>
      </c>
      <c r="D13" s="7" t="s">
        <v>128</v>
      </c>
      <c r="E13" s="7" t="s">
        <v>38</v>
      </c>
      <c r="F13" s="2" t="s">
        <v>129</v>
      </c>
      <c r="G13" s="2" t="s">
        <v>56</v>
      </c>
      <c r="H13" s="2" t="s">
        <v>57</v>
      </c>
      <c r="I13" s="2" t="s">
        <v>58</v>
      </c>
      <c r="J13" s="2" t="s">
        <v>59</v>
      </c>
      <c r="K13" s="2" t="s">
        <v>335</v>
      </c>
      <c r="L13" s="2" t="s">
        <v>336</v>
      </c>
      <c r="M13" s="2" t="s">
        <v>337</v>
      </c>
      <c r="N13" s="12" t="s">
        <v>132</v>
      </c>
      <c r="O13" s="12" t="s">
        <v>132</v>
      </c>
      <c r="P13" s="12">
        <v>0</v>
      </c>
      <c r="Q13" s="2">
        <v>0</v>
      </c>
      <c r="R13" s="2">
        <v>2</v>
      </c>
      <c r="S13" s="2">
        <v>3</v>
      </c>
      <c r="T13" s="2">
        <v>3</v>
      </c>
      <c r="U13" s="2">
        <v>3</v>
      </c>
      <c r="V13" s="2">
        <v>5</v>
      </c>
      <c r="W13" s="2">
        <v>5</v>
      </c>
      <c r="X13" s="2">
        <v>1</v>
      </c>
      <c r="Y13" s="2">
        <v>3</v>
      </c>
      <c r="Z13" s="2">
        <v>5</v>
      </c>
      <c r="AA13" s="2">
        <v>7</v>
      </c>
      <c r="AB13" s="2">
        <v>9</v>
      </c>
      <c r="AC13" s="1"/>
    </row>
    <row r="14" spans="1:29">
      <c r="A14" s="7" t="s">
        <v>119</v>
      </c>
      <c r="B14" s="7" t="s">
        <v>133</v>
      </c>
      <c r="C14" s="1" t="s">
        <v>36</v>
      </c>
      <c r="D14" s="7" t="s">
        <v>134</v>
      </c>
      <c r="E14" s="7" t="s">
        <v>38</v>
      </c>
      <c r="F14" s="2" t="s">
        <v>135</v>
      </c>
      <c r="G14" s="2" t="s">
        <v>56</v>
      </c>
      <c r="H14" s="2" t="s">
        <v>57</v>
      </c>
      <c r="I14" s="2" t="s">
        <v>58</v>
      </c>
      <c r="J14" s="2" t="s">
        <v>59</v>
      </c>
      <c r="K14" s="2" t="s">
        <v>335</v>
      </c>
      <c r="L14" s="2" t="s">
        <v>336</v>
      </c>
      <c r="M14" s="2" t="s">
        <v>337</v>
      </c>
      <c r="N14" s="12" t="s">
        <v>132</v>
      </c>
      <c r="O14" s="12" t="s">
        <v>132</v>
      </c>
      <c r="P14" s="12">
        <v>419</v>
      </c>
      <c r="Q14" s="2">
        <v>897</v>
      </c>
      <c r="R14" s="2">
        <v>1000</v>
      </c>
      <c r="S14" s="2">
        <v>1500</v>
      </c>
      <c r="T14" s="12">
        <v>2000</v>
      </c>
      <c r="U14" s="12">
        <v>2500</v>
      </c>
      <c r="V14" s="12">
        <v>3000</v>
      </c>
      <c r="W14" s="2">
        <v>3000</v>
      </c>
      <c r="X14" s="2">
        <v>1211</v>
      </c>
      <c r="Y14" s="12">
        <v>1696</v>
      </c>
      <c r="Z14" s="2">
        <v>2619</v>
      </c>
      <c r="AA14" s="12">
        <v>3509</v>
      </c>
      <c r="AB14" s="2">
        <v>4373</v>
      </c>
      <c r="AC14" s="1"/>
    </row>
    <row r="15" spans="1:29">
      <c r="A15" s="7" t="s">
        <v>119</v>
      </c>
      <c r="B15" s="7" t="s">
        <v>136</v>
      </c>
      <c r="C15" s="1" t="s">
        <v>36</v>
      </c>
      <c r="D15" s="7" t="s">
        <v>145</v>
      </c>
      <c r="E15" s="7" t="s">
        <v>38</v>
      </c>
      <c r="F15" s="2" t="s">
        <v>146</v>
      </c>
      <c r="G15" s="2" t="s">
        <v>56</v>
      </c>
      <c r="H15" s="2" t="s">
        <v>57</v>
      </c>
      <c r="I15" s="2" t="s">
        <v>58</v>
      </c>
      <c r="J15" s="2" t="s">
        <v>59</v>
      </c>
      <c r="K15" s="2" t="s">
        <v>335</v>
      </c>
      <c r="L15" s="2" t="s">
        <v>336</v>
      </c>
      <c r="M15" s="2" t="s">
        <v>337</v>
      </c>
      <c r="N15" s="12" t="s">
        <v>132</v>
      </c>
      <c r="O15" s="12" t="s">
        <v>132</v>
      </c>
      <c r="P15" s="12">
        <v>1</v>
      </c>
      <c r="Q15" s="12">
        <v>8</v>
      </c>
      <c r="R15" s="4">
        <v>8</v>
      </c>
      <c r="S15" s="4">
        <v>16</v>
      </c>
      <c r="T15" s="4">
        <v>24</v>
      </c>
      <c r="U15" s="4">
        <v>32</v>
      </c>
      <c r="V15" s="4">
        <v>40</v>
      </c>
      <c r="W15" s="4">
        <v>40</v>
      </c>
      <c r="X15" s="12">
        <v>5</v>
      </c>
      <c r="Y15" s="12">
        <v>25</v>
      </c>
      <c r="Z15" s="12">
        <v>35</v>
      </c>
      <c r="AA15" s="12">
        <v>40</v>
      </c>
      <c r="AB15" s="12">
        <v>40</v>
      </c>
      <c r="AC15" s="1"/>
    </row>
    <row r="16" spans="1:29">
      <c r="A16" s="7" t="s">
        <v>147</v>
      </c>
      <c r="B16" s="7" t="s">
        <v>148</v>
      </c>
      <c r="C16" s="1" t="s">
        <v>36</v>
      </c>
      <c r="D16" s="7" t="s">
        <v>156</v>
      </c>
      <c r="E16" s="7" t="s">
        <v>38</v>
      </c>
      <c r="F16" s="2"/>
      <c r="G16" s="11">
        <v>44469</v>
      </c>
      <c r="H16" s="11">
        <v>44469</v>
      </c>
      <c r="I16" s="11">
        <v>44651</v>
      </c>
      <c r="J16" s="11">
        <v>44834</v>
      </c>
      <c r="K16" s="11">
        <v>45016</v>
      </c>
      <c r="L16" s="11">
        <v>45199</v>
      </c>
      <c r="M16" s="11">
        <v>45382</v>
      </c>
      <c r="N16" s="11">
        <v>45565</v>
      </c>
      <c r="O16" s="11">
        <v>45565</v>
      </c>
      <c r="P16" s="12">
        <v>1</v>
      </c>
      <c r="Q16" s="12">
        <v>1</v>
      </c>
      <c r="R16" s="2" t="s">
        <v>157</v>
      </c>
      <c r="S16" s="2" t="s">
        <v>157</v>
      </c>
      <c r="T16" s="2" t="s">
        <v>157</v>
      </c>
      <c r="U16" s="2" t="s">
        <v>157</v>
      </c>
      <c r="V16" s="2" t="s">
        <v>157</v>
      </c>
      <c r="W16" s="2" t="s">
        <v>157</v>
      </c>
      <c r="X16" s="12">
        <v>1</v>
      </c>
      <c r="Y16" s="12">
        <v>1</v>
      </c>
      <c r="Z16" s="2">
        <v>1</v>
      </c>
      <c r="AA16" s="12">
        <v>1</v>
      </c>
      <c r="AB16" s="2">
        <v>1</v>
      </c>
      <c r="AC16" s="1"/>
    </row>
    <row r="17" spans="1:29">
      <c r="A17" s="7" t="s">
        <v>147</v>
      </c>
      <c r="B17" s="7" t="s">
        <v>148</v>
      </c>
      <c r="C17" s="1" t="s">
        <v>36</v>
      </c>
      <c r="D17" s="7" t="s">
        <v>351</v>
      </c>
      <c r="E17" s="7" t="s">
        <v>38</v>
      </c>
      <c r="F17" s="2"/>
      <c r="G17" s="11">
        <v>44469</v>
      </c>
      <c r="H17" s="11">
        <v>44469</v>
      </c>
      <c r="I17" s="11">
        <v>44651</v>
      </c>
      <c r="J17" s="11">
        <v>44834</v>
      </c>
      <c r="K17" s="11">
        <v>45016</v>
      </c>
      <c r="L17" s="11">
        <v>45199</v>
      </c>
      <c r="M17" s="11">
        <v>45382</v>
      </c>
      <c r="N17" s="11">
        <v>45565</v>
      </c>
      <c r="O17" s="11">
        <v>45565</v>
      </c>
      <c r="P17" s="2">
        <v>0</v>
      </c>
      <c r="Q17" s="2">
        <v>0</v>
      </c>
      <c r="R17" s="2" t="s">
        <v>159</v>
      </c>
      <c r="S17" s="2" t="s">
        <v>160</v>
      </c>
      <c r="T17" s="2" t="s">
        <v>160</v>
      </c>
      <c r="U17" s="2" t="s">
        <v>161</v>
      </c>
      <c r="V17" s="2" t="s">
        <v>161</v>
      </c>
      <c r="W17" s="2" t="s">
        <v>161</v>
      </c>
      <c r="X17" s="2">
        <v>0</v>
      </c>
      <c r="Y17" s="2">
        <v>0</v>
      </c>
      <c r="Z17" s="2">
        <v>0</v>
      </c>
      <c r="AA17" s="2">
        <v>0</v>
      </c>
      <c r="AB17" s="2">
        <v>1</v>
      </c>
      <c r="AC17" s="1"/>
    </row>
    <row r="18" spans="1:29">
      <c r="A18" s="7" t="s">
        <v>147</v>
      </c>
      <c r="B18" s="7" t="s">
        <v>148</v>
      </c>
      <c r="C18" s="1" t="s">
        <v>36</v>
      </c>
      <c r="D18" s="7" t="s">
        <v>166</v>
      </c>
      <c r="E18" s="7" t="s">
        <v>38</v>
      </c>
      <c r="F18" s="2" t="s">
        <v>167</v>
      </c>
      <c r="G18" s="11">
        <v>44469</v>
      </c>
      <c r="H18" s="11">
        <v>44469</v>
      </c>
      <c r="I18" s="11">
        <v>44651</v>
      </c>
      <c r="J18" s="11">
        <v>44834</v>
      </c>
      <c r="K18" s="11">
        <v>45016</v>
      </c>
      <c r="L18" s="11">
        <v>45199</v>
      </c>
      <c r="M18" s="11">
        <v>45382</v>
      </c>
      <c r="N18" s="11">
        <v>45565</v>
      </c>
      <c r="O18" s="11">
        <v>45565</v>
      </c>
      <c r="P18" s="15">
        <v>0</v>
      </c>
      <c r="Q18" s="15">
        <v>0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>
        <v>1</v>
      </c>
      <c r="X18" s="15">
        <v>0</v>
      </c>
      <c r="Y18" s="15">
        <v>0.125</v>
      </c>
      <c r="Z18" s="15">
        <v>0.125</v>
      </c>
      <c r="AA18" s="15">
        <v>0.125</v>
      </c>
      <c r="AB18" s="15">
        <v>0.125</v>
      </c>
      <c r="AC18" s="1"/>
    </row>
    <row r="19" spans="1:29">
      <c r="A19" s="7" t="s">
        <v>147</v>
      </c>
      <c r="B19" s="7" t="s">
        <v>168</v>
      </c>
      <c r="C19" s="1" t="s">
        <v>36</v>
      </c>
      <c r="D19" s="7" t="s">
        <v>173</v>
      </c>
      <c r="E19" s="7" t="s">
        <v>38</v>
      </c>
      <c r="F19" s="2" t="s">
        <v>174</v>
      </c>
      <c r="G19" s="11">
        <v>44469</v>
      </c>
      <c r="H19" s="11">
        <v>44469</v>
      </c>
      <c r="I19" s="11">
        <v>44651</v>
      </c>
      <c r="J19" s="11">
        <v>44834</v>
      </c>
      <c r="K19" s="11">
        <v>45016</v>
      </c>
      <c r="L19" s="11">
        <v>45199</v>
      </c>
      <c r="M19" s="11">
        <v>45382</v>
      </c>
      <c r="N19" s="11">
        <v>45565</v>
      </c>
      <c r="O19" s="11">
        <v>45565</v>
      </c>
      <c r="P19" s="15">
        <v>0.99175778888949939</v>
      </c>
      <c r="Q19" s="15">
        <v>0.99175778888949939</v>
      </c>
      <c r="R19" s="14">
        <v>1</v>
      </c>
      <c r="S19" s="14">
        <v>1</v>
      </c>
      <c r="T19" s="14">
        <v>1</v>
      </c>
      <c r="U19" s="14">
        <v>1</v>
      </c>
      <c r="V19" s="14">
        <v>1</v>
      </c>
      <c r="W19" s="14">
        <v>1</v>
      </c>
      <c r="X19" s="15">
        <v>0.99175824175824179</v>
      </c>
      <c r="Y19" s="15">
        <v>1</v>
      </c>
      <c r="Z19" s="15">
        <v>1</v>
      </c>
      <c r="AA19" s="15">
        <v>1</v>
      </c>
      <c r="AB19" s="15">
        <v>1</v>
      </c>
      <c r="AC19" s="1"/>
    </row>
    <row r="20" spans="1:29">
      <c r="A20" s="7" t="s">
        <v>147</v>
      </c>
      <c r="B20" s="7" t="s">
        <v>168</v>
      </c>
      <c r="C20" s="1" t="s">
        <v>36</v>
      </c>
      <c r="D20" s="1" t="s">
        <v>177</v>
      </c>
      <c r="E20" s="7" t="s">
        <v>38</v>
      </c>
      <c r="F20" s="2" t="s">
        <v>178</v>
      </c>
      <c r="G20" s="11">
        <v>44469</v>
      </c>
      <c r="H20" s="11">
        <v>44469</v>
      </c>
      <c r="I20" s="11">
        <v>44651</v>
      </c>
      <c r="J20" s="11">
        <v>44834</v>
      </c>
      <c r="K20" s="11">
        <v>45016</v>
      </c>
      <c r="L20" s="11">
        <v>45199</v>
      </c>
      <c r="M20" s="11">
        <v>45382</v>
      </c>
      <c r="N20" s="11">
        <v>45565</v>
      </c>
      <c r="O20" s="11">
        <v>45565</v>
      </c>
      <c r="P20" s="15">
        <v>1</v>
      </c>
      <c r="Q20" s="15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5">
        <v>1</v>
      </c>
      <c r="Y20" s="14">
        <v>1</v>
      </c>
      <c r="Z20" s="15">
        <v>1</v>
      </c>
      <c r="AA20" s="14">
        <v>1</v>
      </c>
      <c r="AB20" s="15">
        <v>1</v>
      </c>
      <c r="AC20" s="1"/>
    </row>
    <row r="21" spans="1:29">
      <c r="A21" s="7" t="s">
        <v>147</v>
      </c>
      <c r="B21" s="7" t="s">
        <v>168</v>
      </c>
      <c r="C21" s="1" t="s">
        <v>36</v>
      </c>
      <c r="D21" s="7" t="s">
        <v>183</v>
      </c>
      <c r="E21" s="7" t="s">
        <v>38</v>
      </c>
      <c r="F21" s="2" t="s">
        <v>184</v>
      </c>
      <c r="G21" s="11">
        <v>44469</v>
      </c>
      <c r="H21" s="11">
        <v>44469</v>
      </c>
      <c r="I21" s="11">
        <v>44651</v>
      </c>
      <c r="J21" s="11">
        <v>44834</v>
      </c>
      <c r="K21" s="11">
        <v>45016</v>
      </c>
      <c r="L21" s="11">
        <v>45199</v>
      </c>
      <c r="M21" s="11">
        <v>45382</v>
      </c>
      <c r="N21" s="11">
        <v>45565</v>
      </c>
      <c r="O21" s="11">
        <v>45565</v>
      </c>
      <c r="P21" s="15">
        <v>0.99993255062075914</v>
      </c>
      <c r="Q21" s="15">
        <v>0.99993255062075914</v>
      </c>
      <c r="R21" s="14">
        <v>1</v>
      </c>
      <c r="S21" s="14">
        <v>1</v>
      </c>
      <c r="T21" s="14">
        <v>1</v>
      </c>
      <c r="U21" s="14">
        <v>1</v>
      </c>
      <c r="V21" s="14">
        <v>1</v>
      </c>
      <c r="W21" s="14">
        <v>1</v>
      </c>
      <c r="X21" s="15">
        <v>0.99993255062075914</v>
      </c>
      <c r="Y21" s="15">
        <v>1</v>
      </c>
      <c r="Z21" s="15">
        <v>1</v>
      </c>
      <c r="AA21" s="15">
        <v>1</v>
      </c>
      <c r="AB21" s="15">
        <v>1</v>
      </c>
      <c r="AC21" s="1"/>
    </row>
    <row r="22" spans="1:29">
      <c r="A22" s="7" t="s">
        <v>147</v>
      </c>
      <c r="B22" s="7" t="s">
        <v>168</v>
      </c>
      <c r="C22" s="1" t="s">
        <v>36</v>
      </c>
      <c r="D22" s="7" t="s">
        <v>189</v>
      </c>
      <c r="E22" s="7" t="s">
        <v>38</v>
      </c>
      <c r="F22" s="2" t="s">
        <v>190</v>
      </c>
      <c r="G22" s="11">
        <v>44469</v>
      </c>
      <c r="H22" s="11">
        <v>44469</v>
      </c>
      <c r="I22" s="11">
        <v>44651</v>
      </c>
      <c r="J22" s="11">
        <v>44834</v>
      </c>
      <c r="K22" s="11">
        <v>45016</v>
      </c>
      <c r="L22" s="11">
        <v>45199</v>
      </c>
      <c r="M22" s="11">
        <v>45382</v>
      </c>
      <c r="N22" s="11">
        <v>45565</v>
      </c>
      <c r="O22" s="11">
        <v>45565</v>
      </c>
      <c r="P22" s="15">
        <v>0.90612668743509861</v>
      </c>
      <c r="Q22" s="15">
        <v>0.90612668743509861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5">
        <v>0.90612668743509861</v>
      </c>
      <c r="Y22" s="19">
        <v>1.00417101147028</v>
      </c>
      <c r="Z22" s="15">
        <v>1</v>
      </c>
      <c r="AA22" s="15">
        <v>1</v>
      </c>
      <c r="AB22" s="15">
        <v>1</v>
      </c>
      <c r="AC22" s="1"/>
    </row>
    <row r="23" spans="1:29">
      <c r="A23" s="7" t="s">
        <v>147</v>
      </c>
      <c r="B23" s="7" t="s">
        <v>168</v>
      </c>
      <c r="C23" s="1" t="s">
        <v>36</v>
      </c>
      <c r="D23" s="7" t="s">
        <v>197</v>
      </c>
      <c r="E23" s="7" t="s">
        <v>38</v>
      </c>
      <c r="F23" s="2" t="s">
        <v>198</v>
      </c>
      <c r="G23" s="2" t="s">
        <v>56</v>
      </c>
      <c r="H23" s="2" t="s">
        <v>57</v>
      </c>
      <c r="I23" s="2" t="s">
        <v>58</v>
      </c>
      <c r="J23" s="2" t="s">
        <v>59</v>
      </c>
      <c r="K23" s="2" t="s">
        <v>130</v>
      </c>
      <c r="L23" s="2" t="s">
        <v>61</v>
      </c>
      <c r="M23" s="2" t="s">
        <v>131</v>
      </c>
      <c r="N23" s="2" t="s">
        <v>63</v>
      </c>
      <c r="O23" s="2" t="s">
        <v>132</v>
      </c>
      <c r="P23" s="23">
        <v>0</v>
      </c>
      <c r="Q23" s="23">
        <v>5.4640000000000004</v>
      </c>
      <c r="R23" s="2">
        <v>10.1</v>
      </c>
      <c r="S23" s="2">
        <v>10</v>
      </c>
      <c r="T23" s="2">
        <v>10.1</v>
      </c>
      <c r="U23" s="2">
        <v>10</v>
      </c>
      <c r="V23" s="2">
        <v>10.1</v>
      </c>
      <c r="W23" s="2">
        <v>60.3</v>
      </c>
      <c r="X23" s="23">
        <v>25.54</v>
      </c>
      <c r="Y23" s="12">
        <v>51.887999999999899</v>
      </c>
      <c r="Z23" s="23">
        <v>41.850999999999999</v>
      </c>
      <c r="AA23" s="12">
        <v>74.302999999999997</v>
      </c>
      <c r="AB23" s="23">
        <v>34.006</v>
      </c>
      <c r="AC23" s="1"/>
    </row>
    <row r="24" spans="1:29">
      <c r="A24" s="7" t="s">
        <v>199</v>
      </c>
      <c r="B24" s="7" t="s">
        <v>200</v>
      </c>
      <c r="C24" s="1" t="s">
        <v>36</v>
      </c>
      <c r="D24" s="7" t="s">
        <v>201</v>
      </c>
      <c r="E24" s="7" t="s">
        <v>38</v>
      </c>
      <c r="F24" s="2" t="s">
        <v>202</v>
      </c>
      <c r="G24" s="11">
        <v>44469</v>
      </c>
      <c r="H24" s="11">
        <v>44469</v>
      </c>
      <c r="I24" s="11">
        <v>44651</v>
      </c>
      <c r="J24" s="11">
        <v>44834</v>
      </c>
      <c r="K24" s="11">
        <v>45016</v>
      </c>
      <c r="L24" s="11">
        <v>45199</v>
      </c>
      <c r="M24" s="11">
        <v>45382</v>
      </c>
      <c r="N24" s="11">
        <v>45565</v>
      </c>
      <c r="O24" s="11">
        <v>45565</v>
      </c>
      <c r="P24" s="23">
        <v>13.875</v>
      </c>
      <c r="Q24" s="23">
        <v>13.875</v>
      </c>
      <c r="R24" s="2">
        <v>1.5</v>
      </c>
      <c r="S24" s="2">
        <v>1.73</v>
      </c>
      <c r="T24" s="2">
        <v>2.5299999999999998</v>
      </c>
      <c r="U24" s="2">
        <v>3.03</v>
      </c>
      <c r="V24" s="2">
        <v>7.66</v>
      </c>
      <c r="W24" s="2">
        <v>7.66</v>
      </c>
      <c r="X24" s="23">
        <v>13.875</v>
      </c>
      <c r="Y24" s="32">
        <v>1.86</v>
      </c>
      <c r="Z24" s="23">
        <v>3.82</v>
      </c>
      <c r="AA24" s="32">
        <v>2.72</v>
      </c>
      <c r="AB24" s="23">
        <v>7.12</v>
      </c>
      <c r="AC24" s="1"/>
    </row>
    <row r="25" spans="1:29">
      <c r="A25" s="7" t="s">
        <v>199</v>
      </c>
      <c r="B25" s="7" t="s">
        <v>200</v>
      </c>
      <c r="C25" s="1" t="s">
        <v>36</v>
      </c>
      <c r="D25" s="7" t="s">
        <v>209</v>
      </c>
      <c r="E25" s="7" t="s">
        <v>38</v>
      </c>
      <c r="F25" s="9" t="s">
        <v>210</v>
      </c>
      <c r="G25" s="2" t="s">
        <v>56</v>
      </c>
      <c r="H25" s="2" t="s">
        <v>57</v>
      </c>
      <c r="I25" s="2" t="s">
        <v>58</v>
      </c>
      <c r="J25" s="2" t="s">
        <v>59</v>
      </c>
      <c r="K25" s="2" t="s">
        <v>130</v>
      </c>
      <c r="L25" s="2" t="s">
        <v>61</v>
      </c>
      <c r="M25" s="2" t="s">
        <v>131</v>
      </c>
      <c r="N25" s="2" t="s">
        <v>63</v>
      </c>
      <c r="O25" s="2" t="s">
        <v>132</v>
      </c>
      <c r="P25" s="254"/>
      <c r="Q25" s="254"/>
      <c r="R25" s="6">
        <v>16667</v>
      </c>
      <c r="S25" s="6">
        <v>8333</v>
      </c>
      <c r="T25" s="6">
        <v>16667</v>
      </c>
      <c r="U25" s="6">
        <v>8333</v>
      </c>
      <c r="V25" s="6">
        <v>16667</v>
      </c>
      <c r="W25" s="4">
        <v>50000</v>
      </c>
      <c r="X25" s="2">
        <v>283</v>
      </c>
      <c r="Y25" s="12">
        <v>18976</v>
      </c>
      <c r="Z25" s="2">
        <v>9295</v>
      </c>
      <c r="AA25" s="12">
        <v>26960</v>
      </c>
      <c r="AB25" s="2">
        <v>8960</v>
      </c>
      <c r="AC25" s="1"/>
    </row>
    <row r="26" spans="1:29">
      <c r="A26" s="7" t="s">
        <v>199</v>
      </c>
      <c r="B26" s="7" t="s">
        <v>200</v>
      </c>
      <c r="C26" s="1" t="s">
        <v>36</v>
      </c>
      <c r="D26" s="7" t="s">
        <v>221</v>
      </c>
      <c r="E26" s="7" t="s">
        <v>38</v>
      </c>
      <c r="F26" s="9" t="s">
        <v>222</v>
      </c>
      <c r="G26" s="7" t="s">
        <v>213</v>
      </c>
      <c r="H26" s="1" t="s">
        <v>214</v>
      </c>
      <c r="I26" s="7" t="s">
        <v>215</v>
      </c>
      <c r="J26" s="13"/>
      <c r="K26" s="7" t="s">
        <v>216</v>
      </c>
      <c r="L26" s="13"/>
      <c r="M26" s="7" t="s">
        <v>217</v>
      </c>
      <c r="N26" s="1" t="s">
        <v>218</v>
      </c>
      <c r="O26" s="1" t="s">
        <v>218</v>
      </c>
      <c r="P26" s="15">
        <v>0.13481553147911707</v>
      </c>
      <c r="Q26" s="15">
        <v>0.13481553147911707</v>
      </c>
      <c r="R26" s="2"/>
      <c r="S26" s="15">
        <v>0.13500000000000001</v>
      </c>
      <c r="T26" s="2"/>
      <c r="U26" s="15">
        <v>0.27</v>
      </c>
      <c r="V26" s="14">
        <v>0.4</v>
      </c>
      <c r="W26" s="14">
        <v>0.4</v>
      </c>
      <c r="X26" s="15">
        <v>0.13481553147911707</v>
      </c>
      <c r="Y26" s="302" t="s">
        <v>420</v>
      </c>
      <c r="Z26" s="15">
        <v>0.68227176450354099</v>
      </c>
      <c r="AA26" s="302" t="s">
        <v>420</v>
      </c>
      <c r="AB26" s="15">
        <v>0.43373356317994</v>
      </c>
      <c r="AC26" s="1"/>
    </row>
    <row r="27" spans="1:29">
      <c r="A27" s="7" t="s">
        <v>199</v>
      </c>
      <c r="B27" s="7" t="s">
        <v>200</v>
      </c>
      <c r="C27" s="1" t="s">
        <v>36</v>
      </c>
      <c r="D27" s="7" t="s">
        <v>226</v>
      </c>
      <c r="E27" s="7" t="s">
        <v>38</v>
      </c>
      <c r="F27" s="9" t="s">
        <v>227</v>
      </c>
      <c r="G27" s="2" t="s">
        <v>56</v>
      </c>
      <c r="H27" s="2" t="s">
        <v>57</v>
      </c>
      <c r="I27" s="2" t="s">
        <v>58</v>
      </c>
      <c r="J27" s="2" t="s">
        <v>59</v>
      </c>
      <c r="K27" s="2" t="s">
        <v>130</v>
      </c>
      <c r="L27" s="2" t="s">
        <v>61</v>
      </c>
      <c r="M27" s="2" t="s">
        <v>131</v>
      </c>
      <c r="N27" s="2" t="s">
        <v>63</v>
      </c>
      <c r="O27" s="2" t="s">
        <v>132</v>
      </c>
      <c r="P27" s="2">
        <v>0</v>
      </c>
      <c r="Q27" s="2">
        <v>0</v>
      </c>
      <c r="R27" s="4">
        <v>8</v>
      </c>
      <c r="S27" s="4">
        <v>8</v>
      </c>
      <c r="T27" s="4">
        <v>8</v>
      </c>
      <c r="U27" s="4">
        <v>8</v>
      </c>
      <c r="V27" s="4">
        <v>8</v>
      </c>
      <c r="W27" s="4">
        <v>40</v>
      </c>
      <c r="X27" s="2">
        <v>22</v>
      </c>
      <c r="Y27" s="12">
        <v>45</v>
      </c>
      <c r="Z27" s="2">
        <v>17</v>
      </c>
      <c r="AA27" s="12">
        <v>50</v>
      </c>
      <c r="AB27" s="2">
        <v>24</v>
      </c>
      <c r="AC27" s="1"/>
    </row>
    <row r="28" spans="1:29">
      <c r="A28" s="7" t="s">
        <v>199</v>
      </c>
      <c r="B28" s="7" t="s">
        <v>228</v>
      </c>
      <c r="C28" s="1" t="s">
        <v>36</v>
      </c>
      <c r="D28" s="7" t="s">
        <v>241</v>
      </c>
      <c r="E28" s="7" t="s">
        <v>38</v>
      </c>
      <c r="F28" s="2" t="s">
        <v>242</v>
      </c>
      <c r="G28" s="2" t="s">
        <v>231</v>
      </c>
      <c r="H28" s="2" t="s">
        <v>232</v>
      </c>
      <c r="I28" s="2" t="s">
        <v>58</v>
      </c>
      <c r="J28" s="2" t="s">
        <v>59</v>
      </c>
      <c r="K28" s="2" t="s">
        <v>130</v>
      </c>
      <c r="L28" s="2" t="s">
        <v>61</v>
      </c>
      <c r="M28" s="2" t="s">
        <v>131</v>
      </c>
      <c r="N28" s="2" t="s">
        <v>63</v>
      </c>
      <c r="O28" s="2" t="s">
        <v>63</v>
      </c>
      <c r="P28" s="12">
        <v>2493</v>
      </c>
      <c r="Q28" s="2">
        <v>5238</v>
      </c>
      <c r="R28" s="29">
        <v>5232.7619999999997</v>
      </c>
      <c r="S28" s="29">
        <v>2486.7674999999999</v>
      </c>
      <c r="T28" s="29">
        <v>5217.0479999999998</v>
      </c>
      <c r="U28" s="29">
        <v>2478.0419999999999</v>
      </c>
      <c r="V28" s="29">
        <v>5185.62</v>
      </c>
      <c r="W28" s="29">
        <v>5180.4343799999997</v>
      </c>
      <c r="X28" s="2">
        <v>3272</v>
      </c>
      <c r="Y28" s="12">
        <v>5894</v>
      </c>
      <c r="Z28" s="2">
        <v>1715</v>
      </c>
      <c r="AA28" s="12">
        <v>3872</v>
      </c>
      <c r="AB28" s="2">
        <v>1286</v>
      </c>
      <c r="AC28" s="1"/>
    </row>
    <row r="29" spans="1:29">
      <c r="A29" s="7" t="s">
        <v>243</v>
      </c>
      <c r="B29" s="7" t="s">
        <v>244</v>
      </c>
      <c r="C29" s="1" t="s">
        <v>36</v>
      </c>
      <c r="D29" s="7" t="s">
        <v>338</v>
      </c>
      <c r="E29" s="7" t="s">
        <v>38</v>
      </c>
      <c r="F29" s="9" t="s">
        <v>246</v>
      </c>
      <c r="G29" s="2" t="s">
        <v>56</v>
      </c>
      <c r="H29" s="2" t="s">
        <v>57</v>
      </c>
      <c r="I29" s="2" t="s">
        <v>58</v>
      </c>
      <c r="J29" s="2" t="s">
        <v>59</v>
      </c>
      <c r="K29" s="2" t="s">
        <v>130</v>
      </c>
      <c r="L29" s="2" t="s">
        <v>61</v>
      </c>
      <c r="M29" s="2" t="s">
        <v>131</v>
      </c>
      <c r="N29" s="2" t="s">
        <v>63</v>
      </c>
      <c r="O29" s="2" t="s">
        <v>132</v>
      </c>
      <c r="P29" s="12">
        <v>0</v>
      </c>
      <c r="Q29" s="2">
        <v>0</v>
      </c>
      <c r="R29" s="2">
        <v>10</v>
      </c>
      <c r="S29" s="2">
        <v>10</v>
      </c>
      <c r="T29" s="2">
        <v>10</v>
      </c>
      <c r="U29" s="2">
        <v>10</v>
      </c>
      <c r="V29" s="2">
        <v>10</v>
      </c>
      <c r="W29" s="2">
        <v>10</v>
      </c>
      <c r="X29" s="2">
        <v>3</v>
      </c>
      <c r="Y29" s="2">
        <v>17</v>
      </c>
      <c r="Z29" s="2">
        <v>15</v>
      </c>
      <c r="AA29" s="2">
        <v>33</v>
      </c>
      <c r="AB29" s="2">
        <v>19</v>
      </c>
      <c r="AC29" s="1"/>
    </row>
    <row r="30" spans="1:29">
      <c r="A30" s="7" t="s">
        <v>243</v>
      </c>
      <c r="B30" s="7" t="s">
        <v>247</v>
      </c>
      <c r="C30" s="1" t="s">
        <v>36</v>
      </c>
      <c r="D30" s="7" t="s">
        <v>248</v>
      </c>
      <c r="E30" s="7" t="s">
        <v>38</v>
      </c>
      <c r="F30" s="9" t="s">
        <v>249</v>
      </c>
      <c r="G30" s="11">
        <v>44469</v>
      </c>
      <c r="H30" s="11">
        <v>44469</v>
      </c>
      <c r="I30" s="11" t="s">
        <v>254</v>
      </c>
      <c r="J30" s="11">
        <v>44713</v>
      </c>
      <c r="K30" s="11" t="s">
        <v>255</v>
      </c>
      <c r="L30" s="11">
        <v>45078</v>
      </c>
      <c r="M30" s="11" t="s">
        <v>256</v>
      </c>
      <c r="N30" s="11">
        <v>45444</v>
      </c>
      <c r="O30" s="11">
        <v>45444</v>
      </c>
      <c r="P30" s="2">
        <v>6</v>
      </c>
      <c r="Q30" s="2">
        <v>6</v>
      </c>
      <c r="R30" s="2">
        <v>8</v>
      </c>
      <c r="S30" s="2">
        <v>10</v>
      </c>
      <c r="T30" s="2">
        <v>12</v>
      </c>
      <c r="U30" s="2">
        <v>14</v>
      </c>
      <c r="V30" s="2">
        <v>16</v>
      </c>
      <c r="W30" s="2">
        <v>16</v>
      </c>
      <c r="X30" s="2">
        <v>6</v>
      </c>
      <c r="Y30" s="2">
        <v>8</v>
      </c>
      <c r="Z30" s="2">
        <v>10</v>
      </c>
      <c r="AA30" s="2">
        <v>14</v>
      </c>
      <c r="AB30" s="2">
        <v>15</v>
      </c>
      <c r="AC30" s="1"/>
    </row>
    <row r="31" spans="1:29">
      <c r="A31" s="7" t="s">
        <v>243</v>
      </c>
      <c r="B31" s="7" t="s">
        <v>250</v>
      </c>
      <c r="C31" s="1" t="s">
        <v>36</v>
      </c>
      <c r="D31" s="7" t="s">
        <v>251</v>
      </c>
      <c r="E31" s="7" t="s">
        <v>252</v>
      </c>
      <c r="F31" s="9" t="s">
        <v>253</v>
      </c>
      <c r="G31" s="11">
        <v>44469</v>
      </c>
      <c r="H31" s="11">
        <v>44469</v>
      </c>
      <c r="I31" s="11">
        <v>44651</v>
      </c>
      <c r="J31" s="11">
        <v>44834</v>
      </c>
      <c r="K31" s="11">
        <v>45016</v>
      </c>
      <c r="L31" s="11">
        <v>45199</v>
      </c>
      <c r="M31" s="11">
        <v>45382</v>
      </c>
      <c r="N31" s="11">
        <v>45565</v>
      </c>
      <c r="O31" s="11">
        <v>45565</v>
      </c>
      <c r="P31" s="2">
        <v>100</v>
      </c>
      <c r="Q31" s="2">
        <v>100</v>
      </c>
      <c r="R31" s="2">
        <v>100</v>
      </c>
      <c r="S31" s="2">
        <v>100</v>
      </c>
      <c r="T31" s="2">
        <v>100</v>
      </c>
      <c r="U31" s="2">
        <v>100</v>
      </c>
      <c r="V31" s="2">
        <v>100</v>
      </c>
      <c r="W31" s="2">
        <v>100</v>
      </c>
      <c r="X31" s="2">
        <v>100</v>
      </c>
      <c r="Y31" s="24">
        <v>100</v>
      </c>
      <c r="Z31" s="2">
        <v>100</v>
      </c>
      <c r="AA31" s="24">
        <v>100</v>
      </c>
      <c r="AB31" s="2">
        <v>100</v>
      </c>
      <c r="AC31" s="1"/>
    </row>
    <row r="32" spans="1:29">
      <c r="A32" s="7" t="s">
        <v>243</v>
      </c>
      <c r="B32" s="7" t="s">
        <v>257</v>
      </c>
      <c r="C32" s="1" t="s">
        <v>36</v>
      </c>
      <c r="D32" s="7" t="s">
        <v>258</v>
      </c>
      <c r="E32" s="7" t="s">
        <v>38</v>
      </c>
      <c r="F32" s="9" t="s">
        <v>259</v>
      </c>
      <c r="G32" s="11">
        <v>44469</v>
      </c>
      <c r="H32" s="287"/>
      <c r="I32" s="11">
        <v>44651</v>
      </c>
      <c r="J32" s="11">
        <v>44834</v>
      </c>
      <c r="K32" s="11">
        <v>45016</v>
      </c>
      <c r="L32" s="11">
        <v>45199</v>
      </c>
      <c r="M32" s="11">
        <v>45382</v>
      </c>
      <c r="N32" s="11">
        <v>45565</v>
      </c>
      <c r="O32" s="11">
        <v>45565</v>
      </c>
      <c r="P32" s="12">
        <v>0</v>
      </c>
      <c r="Q32" s="2">
        <v>0</v>
      </c>
      <c r="R32" s="29">
        <v>4</v>
      </c>
      <c r="S32" s="29">
        <v>4</v>
      </c>
      <c r="T32" s="29">
        <v>4</v>
      </c>
      <c r="U32" s="29">
        <v>4</v>
      </c>
      <c r="V32" s="29">
        <v>4</v>
      </c>
      <c r="W32" s="29">
        <v>4</v>
      </c>
      <c r="X32" s="23">
        <v>3</v>
      </c>
      <c r="Y32" s="23">
        <v>4</v>
      </c>
      <c r="Z32" s="23">
        <v>3.6911764705882302</v>
      </c>
      <c r="AA32" s="23">
        <v>3.7104072398189998</v>
      </c>
      <c r="AB32" s="23">
        <v>3.8321678321678299</v>
      </c>
      <c r="AC32" s="1"/>
    </row>
    <row r="33" spans="1:29">
      <c r="A33" s="7" t="s">
        <v>243</v>
      </c>
      <c r="B33" s="7" t="s">
        <v>260</v>
      </c>
      <c r="C33" s="1" t="s">
        <v>36</v>
      </c>
      <c r="D33" s="7" t="s">
        <v>273</v>
      </c>
      <c r="E33" s="7" t="s">
        <v>38</v>
      </c>
      <c r="F33" s="9" t="s">
        <v>274</v>
      </c>
      <c r="G33" s="183" t="s">
        <v>213</v>
      </c>
      <c r="H33" s="1" t="s">
        <v>214</v>
      </c>
      <c r="I33" s="183" t="s">
        <v>215</v>
      </c>
      <c r="J33" s="13"/>
      <c r="K33" s="183" t="s">
        <v>216</v>
      </c>
      <c r="L33" s="13"/>
      <c r="M33" s="183" t="s">
        <v>217</v>
      </c>
      <c r="N33" s="1" t="s">
        <v>218</v>
      </c>
      <c r="O33" s="348" t="s">
        <v>218</v>
      </c>
      <c r="P33" s="254"/>
      <c r="Q33" s="254"/>
      <c r="R33" s="60">
        <v>0.5</v>
      </c>
      <c r="S33" s="60">
        <v>0.5</v>
      </c>
      <c r="T33" s="60">
        <v>0.5</v>
      </c>
      <c r="U33" s="60">
        <v>0.5</v>
      </c>
      <c r="V33" s="60">
        <v>0.5</v>
      </c>
      <c r="W33" s="60">
        <v>0.5</v>
      </c>
      <c r="X33" s="15">
        <v>0.21666666666666667</v>
      </c>
      <c r="Y33" s="15">
        <v>0.21311475409836</v>
      </c>
      <c r="Z33" s="15">
        <v>0.28000000000000003</v>
      </c>
      <c r="AA33" s="15" t="s">
        <v>420</v>
      </c>
      <c r="AB33" s="15">
        <v>0.29729729729729698</v>
      </c>
      <c r="AC33" s="1"/>
    </row>
    <row r="34" spans="1:29">
      <c r="A34" s="7" t="s">
        <v>275</v>
      </c>
      <c r="B34" s="7" t="s">
        <v>276</v>
      </c>
      <c r="C34" s="1" t="s">
        <v>36</v>
      </c>
      <c r="D34" s="7" t="s">
        <v>282</v>
      </c>
      <c r="E34" s="7" t="s">
        <v>278</v>
      </c>
      <c r="F34" s="9" t="s">
        <v>283</v>
      </c>
      <c r="G34" s="7" t="s">
        <v>213</v>
      </c>
      <c r="H34" s="1" t="s">
        <v>214</v>
      </c>
      <c r="I34" s="7" t="s">
        <v>215</v>
      </c>
      <c r="J34" s="13"/>
      <c r="K34" s="7" t="s">
        <v>216</v>
      </c>
      <c r="L34" s="13"/>
      <c r="M34" s="7" t="s">
        <v>217</v>
      </c>
      <c r="N34" s="1" t="s">
        <v>218</v>
      </c>
      <c r="O34" s="1" t="s">
        <v>218</v>
      </c>
      <c r="P34" s="15">
        <v>0.27371764995941666</v>
      </c>
      <c r="Q34" s="15">
        <v>0.27371764995941666</v>
      </c>
      <c r="R34" s="2"/>
      <c r="S34" s="26">
        <v>0.32400000000000001</v>
      </c>
      <c r="T34" s="2"/>
      <c r="U34" s="26">
        <v>0.34399999999999997</v>
      </c>
      <c r="V34" s="26">
        <v>0.36399999999999999</v>
      </c>
      <c r="W34" s="26">
        <v>0.36399999999999999</v>
      </c>
      <c r="X34" s="15">
        <v>0.27371764995941666</v>
      </c>
      <c r="Y34" s="302" t="s">
        <v>420</v>
      </c>
      <c r="Z34" s="15">
        <v>0.28316630388782899</v>
      </c>
      <c r="AA34" s="302" t="s">
        <v>420</v>
      </c>
      <c r="AB34" s="15">
        <v>0.29182208739408899</v>
      </c>
      <c r="AC34" s="1"/>
    </row>
    <row r="35" spans="1:29">
      <c r="A35" s="7" t="s">
        <v>275</v>
      </c>
      <c r="B35" s="7" t="s">
        <v>276</v>
      </c>
      <c r="C35" s="1" t="s">
        <v>36</v>
      </c>
      <c r="D35" s="7" t="s">
        <v>287</v>
      </c>
      <c r="E35" s="7" t="s">
        <v>278</v>
      </c>
      <c r="F35" s="9" t="s">
        <v>288</v>
      </c>
      <c r="G35" s="7" t="s">
        <v>254</v>
      </c>
      <c r="H35" s="7" t="s">
        <v>254</v>
      </c>
      <c r="I35" s="7" t="s">
        <v>254</v>
      </c>
      <c r="J35" s="13"/>
      <c r="K35" s="7" t="s">
        <v>255</v>
      </c>
      <c r="L35" s="13"/>
      <c r="M35" s="7" t="s">
        <v>256</v>
      </c>
      <c r="N35" s="260">
        <v>45536</v>
      </c>
      <c r="O35" s="1" t="s">
        <v>218</v>
      </c>
      <c r="P35" s="15">
        <v>0.35416398005385219</v>
      </c>
      <c r="Q35" s="15">
        <v>0.35416398005385219</v>
      </c>
      <c r="R35" s="2"/>
      <c r="S35" s="26">
        <v>0.40400000000000003</v>
      </c>
      <c r="T35" s="2"/>
      <c r="U35" s="26">
        <v>0.42399999999999999</v>
      </c>
      <c r="V35" s="26">
        <v>0.44400000000000001</v>
      </c>
      <c r="W35" s="26">
        <v>0.44400000000000001</v>
      </c>
      <c r="X35" s="15">
        <v>0.35416398005385219</v>
      </c>
      <c r="Y35" s="302" t="s">
        <v>420</v>
      </c>
      <c r="Z35" s="15">
        <v>0.42366301618430702</v>
      </c>
      <c r="AA35" s="302" t="s">
        <v>420</v>
      </c>
      <c r="AB35" s="15">
        <v>0.401328757855823</v>
      </c>
      <c r="AC35" s="1"/>
    </row>
    <row r="36" spans="1:29">
      <c r="A36" s="7" t="s">
        <v>275</v>
      </c>
      <c r="B36" s="7" t="s">
        <v>276</v>
      </c>
      <c r="C36" s="1" t="s">
        <v>36</v>
      </c>
      <c r="D36" s="7" t="s">
        <v>292</v>
      </c>
      <c r="E36" s="7" t="s">
        <v>38</v>
      </c>
      <c r="F36" s="9" t="s">
        <v>293</v>
      </c>
      <c r="G36" s="7" t="s">
        <v>213</v>
      </c>
      <c r="H36" s="1" t="s">
        <v>214</v>
      </c>
      <c r="I36" s="7" t="s">
        <v>215</v>
      </c>
      <c r="J36" s="13"/>
      <c r="K36" s="7" t="s">
        <v>216</v>
      </c>
      <c r="L36" s="13"/>
      <c r="M36" s="7" t="s">
        <v>217</v>
      </c>
      <c r="N36" s="1" t="s">
        <v>218</v>
      </c>
      <c r="O36" s="1" t="s">
        <v>218</v>
      </c>
      <c r="P36" s="15">
        <v>0.62996920338542473</v>
      </c>
      <c r="Q36" s="15">
        <v>0.62996920338542473</v>
      </c>
      <c r="R36" s="2"/>
      <c r="S36" s="26">
        <v>0.65</v>
      </c>
      <c r="T36" s="2"/>
      <c r="U36" s="14">
        <v>0.66</v>
      </c>
      <c r="V36" s="14">
        <v>0.67</v>
      </c>
      <c r="W36" s="14">
        <v>0.67</v>
      </c>
      <c r="X36" s="15">
        <v>0.62996920338542473</v>
      </c>
      <c r="Y36" s="302" t="s">
        <v>420</v>
      </c>
      <c r="Z36" s="15">
        <v>0.64372455395221595</v>
      </c>
      <c r="AA36" s="302" t="s">
        <v>420</v>
      </c>
      <c r="AB36" s="15">
        <v>0.66880536795017898</v>
      </c>
      <c r="AC36" s="1"/>
    </row>
    <row r="37" spans="1:29">
      <c r="A37" s="7" t="s">
        <v>275</v>
      </c>
      <c r="B37" s="7" t="s">
        <v>276</v>
      </c>
      <c r="C37" s="1" t="s">
        <v>36</v>
      </c>
      <c r="D37" s="7" t="s">
        <v>296</v>
      </c>
      <c r="E37" s="7" t="s">
        <v>38</v>
      </c>
      <c r="F37" s="9" t="s">
        <v>297</v>
      </c>
      <c r="G37" s="7" t="s">
        <v>213</v>
      </c>
      <c r="H37" s="1" t="s">
        <v>214</v>
      </c>
      <c r="I37" s="7" t="s">
        <v>215</v>
      </c>
      <c r="J37" s="13"/>
      <c r="K37" s="7" t="s">
        <v>216</v>
      </c>
      <c r="L37" s="13"/>
      <c r="M37" s="7" t="s">
        <v>217</v>
      </c>
      <c r="N37" s="1" t="s">
        <v>218</v>
      </c>
      <c r="O37" s="1" t="s">
        <v>218</v>
      </c>
      <c r="P37" s="36">
        <v>203360688.65000004</v>
      </c>
      <c r="Q37" s="36">
        <v>203360688.65000004</v>
      </c>
      <c r="R37" s="2"/>
      <c r="S37" s="36">
        <v>213528723.08000001</v>
      </c>
      <c r="T37" s="2"/>
      <c r="U37" s="36">
        <v>217799297.53999999</v>
      </c>
      <c r="V37" s="36">
        <v>221663150.63</v>
      </c>
      <c r="W37" s="36">
        <v>221663150.59999999</v>
      </c>
      <c r="X37" s="36">
        <v>203360688.65000004</v>
      </c>
      <c r="Y37" s="336" t="s">
        <v>420</v>
      </c>
      <c r="Z37" s="36">
        <v>337716623.799999</v>
      </c>
      <c r="AA37" s="336" t="s">
        <v>420</v>
      </c>
      <c r="AB37" s="36">
        <v>368624438.11000001</v>
      </c>
      <c r="AC37" s="1"/>
    </row>
    <row r="38" spans="1:29">
      <c r="A38" s="7" t="s">
        <v>275</v>
      </c>
      <c r="B38" s="7" t="s">
        <v>298</v>
      </c>
      <c r="C38" s="1" t="s">
        <v>36</v>
      </c>
      <c r="D38" s="7" t="s">
        <v>301</v>
      </c>
      <c r="E38" s="7" t="s">
        <v>278</v>
      </c>
      <c r="F38" s="9" t="s">
        <v>302</v>
      </c>
      <c r="G38" s="11" t="s">
        <v>307</v>
      </c>
      <c r="H38" s="13"/>
      <c r="I38" s="1" t="s">
        <v>254</v>
      </c>
      <c r="J38" s="13"/>
      <c r="K38" s="1" t="s">
        <v>255</v>
      </c>
      <c r="L38" s="13"/>
      <c r="M38" s="1" t="s">
        <v>256</v>
      </c>
      <c r="N38" s="49">
        <v>45473</v>
      </c>
      <c r="O38" s="1"/>
      <c r="P38" s="15">
        <v>0.75913892998946053</v>
      </c>
      <c r="Q38" s="15">
        <v>0.75913892998946053</v>
      </c>
      <c r="R38" s="2"/>
      <c r="S38" s="26">
        <v>0.749</v>
      </c>
      <c r="T38" s="2"/>
      <c r="U38" s="26">
        <v>0.73899999999999999</v>
      </c>
      <c r="V38" s="26">
        <v>0.72899999999999998</v>
      </c>
      <c r="W38" s="26">
        <v>0.72899999999999998</v>
      </c>
      <c r="X38" s="15">
        <v>0.75913892998946053</v>
      </c>
      <c r="Y38" s="302" t="s">
        <v>420</v>
      </c>
      <c r="Z38" s="15">
        <v>0.72046908447288405</v>
      </c>
      <c r="AA38" s="302" t="s">
        <v>420</v>
      </c>
      <c r="AB38" s="15">
        <v>0.74543703505932002</v>
      </c>
      <c r="AC38" s="1"/>
    </row>
    <row r="39" spans="1:29">
      <c r="A39" s="7" t="s">
        <v>275</v>
      </c>
      <c r="B39" s="7" t="s">
        <v>303</v>
      </c>
      <c r="C39" s="1" t="s">
        <v>36</v>
      </c>
      <c r="D39" s="7" t="s">
        <v>304</v>
      </c>
      <c r="E39" s="7" t="s">
        <v>305</v>
      </c>
      <c r="F39" s="9" t="s">
        <v>306</v>
      </c>
      <c r="G39" s="11" t="s">
        <v>307</v>
      </c>
      <c r="H39" s="13"/>
      <c r="I39" s="1" t="s">
        <v>254</v>
      </c>
      <c r="J39" s="13"/>
      <c r="K39" s="1" t="s">
        <v>255</v>
      </c>
      <c r="L39" s="13"/>
      <c r="M39" s="1" t="s">
        <v>256</v>
      </c>
      <c r="N39" s="49">
        <v>45473</v>
      </c>
      <c r="O39" s="1"/>
      <c r="P39" s="30" t="s">
        <v>433</v>
      </c>
      <c r="Q39" s="30" t="s">
        <v>433</v>
      </c>
      <c r="R39" s="2" t="s">
        <v>308</v>
      </c>
      <c r="S39" s="2" t="s">
        <v>308</v>
      </c>
      <c r="T39" s="2" t="s">
        <v>308</v>
      </c>
      <c r="U39" s="2" t="s">
        <v>308</v>
      </c>
      <c r="V39" s="2" t="s">
        <v>308</v>
      </c>
      <c r="W39" s="2" t="s">
        <v>308</v>
      </c>
      <c r="X39" s="2" t="s">
        <v>433</v>
      </c>
      <c r="Y39" s="181" t="s">
        <v>420</v>
      </c>
      <c r="Z39" s="2" t="s">
        <v>308</v>
      </c>
      <c r="AA39" s="181" t="s">
        <v>420</v>
      </c>
      <c r="AB39" s="2" t="s">
        <v>308</v>
      </c>
      <c r="AC39" s="1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77E9C-A8FB-1B45-BCC4-943EB981E88B}">
  <dimension ref="A1:M39"/>
  <sheetViews>
    <sheetView workbookViewId="0"/>
  </sheetViews>
  <sheetFormatPr baseColWidth="10" defaultRowHeight="16"/>
  <cols>
    <col min="1" max="1" width="10.83203125" style="118"/>
    <col min="3" max="3" width="19.33203125" customWidth="1"/>
    <col min="4" max="4" width="12" customWidth="1"/>
    <col min="5" max="5" width="12.6640625" customWidth="1"/>
    <col min="7" max="7" width="12" customWidth="1"/>
    <col min="8" max="8" width="12.6640625" customWidth="1"/>
    <col min="9" max="9" width="10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GPE'!$D$2:$AB$113,4,0)</f>
        <v>44469</v>
      </c>
      <c r="E2" s="212">
        <f>VLOOKUP(C2,'BD EVA 4 GPE'!$D$2:$AB$113,13,0)</f>
        <v>845</v>
      </c>
      <c r="F2" s="75">
        <f>VLOOKUP(C2,'BD EVA 4 GPE'!$D$2:$AB$113,10,0)</f>
        <v>45382</v>
      </c>
      <c r="G2" s="72">
        <f>VLOOKUP(C2,'BD EVA 4 GPE'!$D$2:$AC$113,25,0)</f>
        <v>850</v>
      </c>
      <c r="H2" s="72">
        <f>VLOOKUP(C2,'BD EVA 4 GPE'!$D$2:$AC$113,18,0)</f>
        <v>849</v>
      </c>
      <c r="I2" s="78">
        <f>IF(G2&gt;=E2,G2/H2,0)</f>
        <v>1.0011778563015312</v>
      </c>
      <c r="J2" s="72" t="s">
        <v>316</v>
      </c>
      <c r="K2" s="81">
        <v>2.7</v>
      </c>
      <c r="L2" s="81">
        <f t="shared" ref="L2:L39" si="0">IF(I2&lt;0,0,IF(I2&gt;1,K2,I2*K2))</f>
        <v>2.7</v>
      </c>
      <c r="M2" s="124">
        <f>SUM(L2:L4)</f>
        <v>10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GPE'!$D$3:$AB$113,4,0)</f>
        <v>44469</v>
      </c>
      <c r="E3" s="207">
        <f>VLOOKUP(C3,'BD EVA 4 GPE'!$D$3:$AB$113,13,0)</f>
        <v>0.99171597633136099</v>
      </c>
      <c r="F3" s="75">
        <f>VLOOKUP(C3,'BD EVA 4 GPE'!$D$3:$AB$113,10,0)</f>
        <v>45382</v>
      </c>
      <c r="G3" s="207">
        <f>VLOOKUP(C3,'BD EVA 4 GPE'!$D$3:$AC$113,25,0)</f>
        <v>0.97058823529411697</v>
      </c>
      <c r="H3" s="207" t="str">
        <f>VLOOKUP(C3,'BD EVA 4 GPE'!$D$3:$AC$113,18,0)</f>
        <v>&gt;=97%</v>
      </c>
      <c r="I3" s="78">
        <f>IF(G3&gt;=97%,1,G3/97%)</f>
        <v>1</v>
      </c>
      <c r="J3" s="75" t="s">
        <v>318</v>
      </c>
      <c r="K3" s="81">
        <v>3.8</v>
      </c>
      <c r="L3" s="81">
        <f t="shared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GPE'!$D$3:$AB$113,4,0)</f>
        <v>44469</v>
      </c>
      <c r="E4" s="207">
        <f>VLOOKUP(C4,'BD EVA 4 GPE'!$D$3:$AB$113,13,0)</f>
        <v>0</v>
      </c>
      <c r="F4" s="75">
        <f>VLOOKUP(C4,'BD EVA 4 GPE'!$D$3:$AB$113,10,0)</f>
        <v>45382</v>
      </c>
      <c r="G4" s="207">
        <f>VLOOKUP(C4,'BD EVA 4 GPE'!$D$3:$AC$113,25,0)</f>
        <v>4.7058823529411702E-2</v>
      </c>
      <c r="H4" s="207">
        <f>VLOOKUP(C4,'BD EVA 4 GPE'!$D$3:$AC$113,18,0)</f>
        <v>2.1000000000000001E-2</v>
      </c>
      <c r="I4" s="77">
        <f t="shared" ref="I4:I5" si="1">G4/H4</f>
        <v>2.2408963585434143</v>
      </c>
      <c r="J4" s="75" t="s">
        <v>318</v>
      </c>
      <c r="K4" s="81">
        <v>3.5</v>
      </c>
      <c r="L4" s="81">
        <f t="shared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GPE'!$D$3:$AB$113,4,0)</f>
        <v>octubre 20 - mar 21</v>
      </c>
      <c r="E5" s="207">
        <f>VLOOKUP(C5,'BD EVA 4 GPE'!$D$3:$AB$113,13,0)</f>
        <v>0.11537659086167328</v>
      </c>
      <c r="F5" s="75" t="str">
        <f>VLOOKUP(C5,'BD EVA 4 GPE'!$D$3:$AB$113,10,0)</f>
        <v>octubre 23- mar 24</v>
      </c>
      <c r="G5" s="207">
        <f>VLOOKUP(C5,'BD EVA 4 GPE'!$D$3:$AC$113,25,0)</f>
        <v>0.16986496090973699</v>
      </c>
      <c r="H5" s="207">
        <f>VLOOKUP(C5,'BD EVA 4 GPE'!$D$3:$AC$113,18,0)</f>
        <v>0.14000000000000001</v>
      </c>
      <c r="I5" s="77">
        <f t="shared" si="1"/>
        <v>1.213321149355264</v>
      </c>
      <c r="J5" s="75" t="s">
        <v>318</v>
      </c>
      <c r="K5" s="208">
        <v>1.6</v>
      </c>
      <c r="L5" s="209">
        <f t="shared" si="0"/>
        <v>1.6</v>
      </c>
      <c r="M5" s="130">
        <f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GPE'!$D$3:$AB$113,4,0)</f>
        <v>octubre 20 - mar 21</v>
      </c>
      <c r="E6" s="209">
        <f>VLOOKUP(C6,'BD EVA 4 GPE'!$D$3:$AB$113,13,0)</f>
        <v>6.4295917768316642</v>
      </c>
      <c r="F6" s="75" t="str">
        <f>VLOOKUP(C6,'BD EVA 4 GPE'!$D$3:$AB$113,10,0)</f>
        <v>octubre 23- mar 24</v>
      </c>
      <c r="G6" s="209">
        <f>VLOOKUP(C6,'BD EVA 4 GPE'!$D$3:$AC$113,25,0)</f>
        <v>13.4360444285202</v>
      </c>
      <c r="H6" s="209">
        <f>VLOOKUP(C6,'BD EVA 4 GPE'!$D$3:$AC$113,18,0)</f>
        <v>6.391</v>
      </c>
      <c r="I6" s="78">
        <f t="shared" ref="I6:I10" si="2">(G6-E6)/(H6-E6)</f>
        <v>-181.55299462500557</v>
      </c>
      <c r="J6" s="71" t="s">
        <v>319</v>
      </c>
      <c r="K6" s="208">
        <v>1.7</v>
      </c>
      <c r="L6" s="209">
        <f t="shared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GPE'!$D$3:$AB$113,4,0)</f>
        <v>octubre 20 - mar 21</v>
      </c>
      <c r="E7" s="208">
        <f>VLOOKUP(C7,'BD EVA 4 GPE'!$D$3:$AB$113,13,0)</f>
        <v>134.74187984490706</v>
      </c>
      <c r="F7" s="75" t="str">
        <f>VLOOKUP(C7,'BD EVA 4 GPE'!$D$3:$AB$113,10,0)</f>
        <v>octubre 23- mar 24</v>
      </c>
      <c r="G7" s="208">
        <f>VLOOKUP(C7,'BD EVA 4 GPE'!$D$3:$AC$113,25,0)</f>
        <v>117.124306482959</v>
      </c>
      <c r="H7" s="208">
        <f>VLOOKUP(C7,'BD EVA 4 GPE'!$D$3:$AC$113,18,0)</f>
        <v>133.93342856583763</v>
      </c>
      <c r="I7" s="78">
        <f t="shared" si="2"/>
        <v>21.79175643364286</v>
      </c>
      <c r="J7" s="71" t="s">
        <v>319</v>
      </c>
      <c r="K7" s="208">
        <v>1.6</v>
      </c>
      <c r="L7" s="209">
        <f t="shared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GPE'!$D$3:$AB$113,4,0)</f>
        <v>octubre 20 - mar 21</v>
      </c>
      <c r="E8" s="208">
        <f>VLOOKUP(C8,'BD EVA 4 GPE'!$D$3:$AB$113,13,0)</f>
        <v>257.04389733898768</v>
      </c>
      <c r="F8" s="75" t="str">
        <f>VLOOKUP(C8,'BD EVA 4 GPE'!$D$3:$AB$113,10,0)</f>
        <v>octubre 23- mar 24</v>
      </c>
      <c r="G8" s="208">
        <f>VLOOKUP(C8,'BD EVA 4 GPE'!$D$3:$AC$113,25,0)</f>
        <v>39.629545183110203</v>
      </c>
      <c r="H8" s="208">
        <f>VLOOKUP(C8,'BD EVA 4 GPE'!$D$3:$AC$113,18,0)</f>
        <v>255.50163395495375</v>
      </c>
      <c r="I8" s="78">
        <f t="shared" si="2"/>
        <v>140.97096151450503</v>
      </c>
      <c r="J8" s="71" t="s">
        <v>319</v>
      </c>
      <c r="K8" s="208">
        <v>1.7</v>
      </c>
      <c r="L8" s="209">
        <f t="shared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GPE'!$D$3:$AB$113,4,0)</f>
        <v>octubre 20 - mar 21</v>
      </c>
      <c r="E9" s="208">
        <f>VLOOKUP(C9,'BD EVA 4 GPE'!$D$3:$AB$113,13,0)</f>
        <v>45.566237374937451</v>
      </c>
      <c r="F9" s="75" t="str">
        <f>VLOOKUP(C9,'BD EVA 4 GPE'!$D$3:$AB$113,10,0)</f>
        <v>octubre 23- mar 24</v>
      </c>
      <c r="G9" s="208">
        <f>VLOOKUP(C9,'BD EVA 4 GPE'!$D$3:$AC$113,25,0)</f>
        <v>4.7501167171536203</v>
      </c>
      <c r="H9" s="208">
        <f>VLOOKUP(C9,'BD EVA 4 GPE'!$D$3:$AC$113,18,0)</f>
        <v>45.292839950687828</v>
      </c>
      <c r="I9" s="78">
        <f t="shared" si="2"/>
        <v>149.29226480391793</v>
      </c>
      <c r="J9" s="71" t="s">
        <v>319</v>
      </c>
      <c r="K9" s="208">
        <v>1.7</v>
      </c>
      <c r="L9" s="209">
        <f t="shared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GPE'!$D$3:$AB$113,4,0)</f>
        <v>octubre 20 - mar 21</v>
      </c>
      <c r="E10" s="213">
        <f>VLOOKUP(C10,'BD EVA 4 GPE'!$D$3:$AB$113,13,0)</f>
        <v>6.4295917768316642</v>
      </c>
      <c r="F10" s="75" t="str">
        <f>VLOOKUP(C10,'BD EVA 4 GPE'!$D$3:$AB$113,10,0)</f>
        <v>octubre 23- mar 24</v>
      </c>
      <c r="G10" s="208">
        <f>VLOOKUP(C10,'BD EVA 4 GPE'!$D$3:$AC$113,25,0)</f>
        <v>4.3429638556833101</v>
      </c>
      <c r="H10" s="213">
        <f>VLOOKUP(C10,'BD EVA 4 GPE'!$D$3:$AC$113,18,0)</f>
        <v>6.3910142261706744</v>
      </c>
      <c r="I10" s="78">
        <f t="shared" si="2"/>
        <v>54.089175839211194</v>
      </c>
      <c r="J10" s="71" t="s">
        <v>319</v>
      </c>
      <c r="K10" s="208">
        <v>1.7</v>
      </c>
      <c r="L10" s="209">
        <f t="shared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GPE'!$D$3:$AB$113,4,0)</f>
        <v>44469</v>
      </c>
      <c r="E11" s="78">
        <f>VLOOKUP(C11,'BD EVA 4 GPE'!$D$3:$AB$113,13,0)</f>
        <v>5.4681292486978015E-3</v>
      </c>
      <c r="F11" s="89">
        <f>VLOOKUP(C11,'BD EVA 4 GPE'!$D$3:$AB$113,10,0)</f>
        <v>45382</v>
      </c>
      <c r="G11" s="78">
        <f>VLOOKUP(C11,'BD EVA 4 GPE'!$D$3:$AC$113,25,0)</f>
        <v>1.43670357485051E-2</v>
      </c>
      <c r="H11" s="78">
        <f>VLOOKUP(C11,'BD EVA 4 GPE'!$D$3:$AC$113,18,0)</f>
        <v>1.4E-2</v>
      </c>
      <c r="I11" s="77">
        <f t="shared" ref="I11:I15" si="3">G11/H11</f>
        <v>1.0262168391789357</v>
      </c>
      <c r="J11" s="89" t="s">
        <v>318</v>
      </c>
      <c r="K11" s="85">
        <v>1.05</v>
      </c>
      <c r="L11" s="211">
        <f t="shared" si="0"/>
        <v>1.05</v>
      </c>
      <c r="M11" s="130">
        <f>SUM(L11:L15)</f>
        <v>10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4 GPE'!$D$3:$AB$113,4,0)</f>
        <v>octubre 20 - mar 21</v>
      </c>
      <c r="E12" s="210">
        <f>VLOOKUP(C12,'BD EVA 4 GPE'!$D$3:$AB$113,13,0)</f>
        <v>0</v>
      </c>
      <c r="F12" s="89" t="str">
        <f>VLOOKUP(C12,'BD EVA 4 GPE'!$D$3:$AB$113,10,0)</f>
        <v>octubre 23- mar 24</v>
      </c>
      <c r="G12" s="210">
        <f>VLOOKUP(C12,'BD EVA 4 GPE'!$D$3:$AC$113,25,0)</f>
        <v>8.8564678903616696E-3</v>
      </c>
      <c r="H12" s="210">
        <f>VLOOKUP(C12,'BD EVA 4 GPE'!$D$3:$AC$113,18,0)</f>
        <v>7.4999999999999997E-3</v>
      </c>
      <c r="I12" s="78">
        <f t="shared" si="3"/>
        <v>1.1808623853815561</v>
      </c>
      <c r="J12" s="75" t="s">
        <v>318</v>
      </c>
      <c r="K12" s="85">
        <v>1.05</v>
      </c>
      <c r="L12" s="211">
        <f t="shared" si="0"/>
        <v>1.05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GPE'!$D$3:$AB$113,4,0)</f>
        <v>octubre 20 - mar 21</v>
      </c>
      <c r="E13" s="212">
        <f>VLOOKUP(C13,'BD EVA 4 GPE'!$D$3:$AB$113,13,0)</f>
        <v>0</v>
      </c>
      <c r="F13" s="89" t="str">
        <f>VLOOKUP(C13,'BD EVA 4 GPE'!$D$3:$AB$113,10,0)</f>
        <v>octubre 21 - mar 24</v>
      </c>
      <c r="G13" s="212">
        <f>VLOOKUP(C13,'BD EVA 4 GPE'!$D$3:$AC$113,25,0)</f>
        <v>9</v>
      </c>
      <c r="H13" s="212">
        <f>VLOOKUP(C13,'BD EVA 4 GPE'!$D$3:$AC$113,18,0)</f>
        <v>3</v>
      </c>
      <c r="I13" s="78">
        <f t="shared" si="3"/>
        <v>3</v>
      </c>
      <c r="J13" s="75" t="s">
        <v>318</v>
      </c>
      <c r="K13" s="81">
        <v>2.4</v>
      </c>
      <c r="L13" s="211">
        <f t="shared" si="0"/>
        <v>2.4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GPE'!$D$3:$AB$113,4,0)</f>
        <v>octubre 20 - mar 21</v>
      </c>
      <c r="E14" s="212">
        <f>VLOOKUP(C14,'BD EVA 4 GPE'!$D$3:$AB$113,13,0)</f>
        <v>419</v>
      </c>
      <c r="F14" s="89" t="str">
        <f>VLOOKUP(C14,'BD EVA 4 GPE'!$D$3:$AB$113,10,0)</f>
        <v>octubre 21 - mar 24</v>
      </c>
      <c r="G14" s="212">
        <f>VLOOKUP(C14,'BD EVA 4 GPE'!$D$3:$AC$113,25,0)</f>
        <v>4373</v>
      </c>
      <c r="H14" s="212">
        <f>VLOOKUP(C14,'BD EVA 4 GPE'!$D$3:$AC$113,18,0)</f>
        <v>2500</v>
      </c>
      <c r="I14" s="78">
        <f t="shared" si="3"/>
        <v>1.7492000000000001</v>
      </c>
      <c r="J14" s="75" t="s">
        <v>318</v>
      </c>
      <c r="K14" s="81">
        <v>2.4</v>
      </c>
      <c r="L14" s="211">
        <f t="shared" si="0"/>
        <v>2.4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GPE'!$D$3:$AB$113,4,0)</f>
        <v>octubre 20 - mar 21</v>
      </c>
      <c r="E15" s="212">
        <f>VLOOKUP(C15,'BD EVA 4 GPE'!$D$3:$AB$113,13,0)</f>
        <v>1</v>
      </c>
      <c r="F15" s="89" t="str">
        <f>VLOOKUP(C15,'BD EVA 4 GPE'!$D$3:$AB$113,10,0)</f>
        <v>octubre 21 - mar 24</v>
      </c>
      <c r="G15" s="212">
        <f>VLOOKUP(C15,'BD EVA 4 GPE'!$D$3:$AC$113,25,0)</f>
        <v>40</v>
      </c>
      <c r="H15" s="212">
        <f>VLOOKUP(C15,'BD EVA 4 GPE'!$D$3:$AC$113,18,0)</f>
        <v>32</v>
      </c>
      <c r="I15" s="78">
        <f t="shared" si="3"/>
        <v>1.25</v>
      </c>
      <c r="J15" s="75" t="s">
        <v>318</v>
      </c>
      <c r="K15" s="81">
        <v>3.1</v>
      </c>
      <c r="L15" s="211">
        <f t="shared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GPE'!$D$3:$AB$113,4,0)</f>
        <v>44469</v>
      </c>
      <c r="E16" s="213">
        <f>VLOOKUP(C16,'BD EVA 4 GPE'!$D$3:$AB$113,13,0)</f>
        <v>1</v>
      </c>
      <c r="F16" s="75">
        <f>VLOOKUP(C16,'BD EVA 4 GPE'!$D$3:$AB$113,10,0)</f>
        <v>45382</v>
      </c>
      <c r="G16" s="213">
        <f>VLOOKUP(C16,'BD EVA 4 GPE'!$D$3:$AC$113,25,0)</f>
        <v>1</v>
      </c>
      <c r="H16" s="213" t="str">
        <f>VLOOKUP(C16,'BD EVA 4 GPE'!$D$3:$AC$113,18,0)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si="4">G16/1</f>
        <v>1</v>
      </c>
      <c r="J16" s="75" t="s">
        <v>318</v>
      </c>
      <c r="K16" s="81">
        <v>1.5</v>
      </c>
      <c r="L16" s="211">
        <f t="shared" si="0"/>
        <v>1.5</v>
      </c>
      <c r="M16" s="130">
        <f>SUM(L16:L23)</f>
        <v>9.7375000000000007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GPE'!$D$3:$AB$113,4,0)</f>
        <v>44469</v>
      </c>
      <c r="E17" s="212">
        <f>VLOOKUP(C17,'BD EVA 4 GPE'!$D$3:$AB$113,13,0)</f>
        <v>0</v>
      </c>
      <c r="F17" s="75">
        <f>VLOOKUP(C17,'BD EVA 4 GPE'!$D$3:$AB$113,10,0)</f>
        <v>45382</v>
      </c>
      <c r="G17" s="212">
        <f>VLOOKUP(C17,'BD EVA 4 GPE'!$D$3:$AC$113,25,0)</f>
        <v>1</v>
      </c>
      <c r="H17" s="212" t="str">
        <f>VLOOKUP(C17,'BD EVA 4 GPE'!$D$3:$AC$113,18,0)</f>
        <v>Actualizado al 2019</v>
      </c>
      <c r="I17" s="214">
        <f t="shared" si="4"/>
        <v>1</v>
      </c>
      <c r="J17" s="75" t="s">
        <v>318</v>
      </c>
      <c r="K17" s="81">
        <v>1.5</v>
      </c>
      <c r="L17" s="211">
        <f t="shared" si="0"/>
        <v>1.5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GPE'!$D$3:$AB$113,4,0)</f>
        <v>44469</v>
      </c>
      <c r="E18" s="207">
        <f>VLOOKUP(C18,'BD EVA 4 GPE'!$D$3:$AB$113,13,0)</f>
        <v>0</v>
      </c>
      <c r="F18" s="75">
        <f>VLOOKUP(C18,'BD EVA 4 GPE'!$D$3:$AB$113,10,0)</f>
        <v>45382</v>
      </c>
      <c r="G18" s="207">
        <f>VLOOKUP(C18,'BD EVA 4 GPE'!$D$3:$AC$113,25,0)</f>
        <v>0.125</v>
      </c>
      <c r="H18" s="207">
        <f>VLOOKUP(C18,'BD EVA 4 GPE'!$D$3:$AC$113,18,0)</f>
        <v>1</v>
      </c>
      <c r="I18" s="214">
        <f t="shared" ref="I18:I27" si="5">G18/H18</f>
        <v>0.125</v>
      </c>
      <c r="J18" s="75" t="s">
        <v>318</v>
      </c>
      <c r="K18" s="81">
        <v>0.3</v>
      </c>
      <c r="L18" s="211">
        <f t="shared" si="0"/>
        <v>3.7499999999999999E-2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GPE'!$D$3:$AB$113,4,0)</f>
        <v>44469</v>
      </c>
      <c r="E19" s="207">
        <f>VLOOKUP(C19,'BD EVA 4 GPE'!$D$3:$AB$113,13,0)</f>
        <v>0.99175778888949939</v>
      </c>
      <c r="F19" s="75">
        <f>VLOOKUP(C19,'BD EVA 4 GPE'!$D$3:$AB$113,10,0)</f>
        <v>45382</v>
      </c>
      <c r="G19" s="207">
        <f>VLOOKUP(C19,'BD EVA 4 GPE'!$D$3:$AC$113,25,0)</f>
        <v>1</v>
      </c>
      <c r="H19" s="207">
        <f>VLOOKUP(C19,'BD EVA 4 GPE'!$D$3:$AC$113,18,0)</f>
        <v>1</v>
      </c>
      <c r="I19" s="214">
        <f t="shared" si="5"/>
        <v>1</v>
      </c>
      <c r="J19" s="75" t="s">
        <v>318</v>
      </c>
      <c r="K19" s="81">
        <v>1.5</v>
      </c>
      <c r="L19" s="211">
        <f t="shared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GPE'!$D$3:$AB$113,4,0)</f>
        <v>44469</v>
      </c>
      <c r="E20" s="214">
        <f>VLOOKUP(C20,'BD EVA 4 GPE'!$D$3:$AB$113,13,0)</f>
        <v>1</v>
      </c>
      <c r="F20" s="75">
        <f>VLOOKUP(C20,'BD EVA 4 GPE'!$D$3:$AB$113,10,0)</f>
        <v>45382</v>
      </c>
      <c r="G20" s="214">
        <f>VLOOKUP(C20,'BD EVA 4 GPE'!$D$3:$AC$113,25,0)</f>
        <v>1</v>
      </c>
      <c r="H20" s="214">
        <f>VLOOKUP(C20,'BD EVA 4 GPE'!$D$3:$AC$113,18,0)</f>
        <v>1</v>
      </c>
      <c r="I20" s="214">
        <f t="shared" si="5"/>
        <v>1</v>
      </c>
      <c r="J20" s="75" t="s">
        <v>318</v>
      </c>
      <c r="K20" s="81">
        <v>1.5</v>
      </c>
      <c r="L20" s="211">
        <f t="shared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GPE'!$D$3:$AB$113,4,0)</f>
        <v>44469</v>
      </c>
      <c r="E21" s="207">
        <f>VLOOKUP(C21,'BD EVA 4 GPE'!$D$3:$AB$113,13,0)</f>
        <v>0.99993255062075914</v>
      </c>
      <c r="F21" s="75">
        <f>VLOOKUP(C21,'BD EVA 4 GPE'!$D$3:$AB$113,10,0)</f>
        <v>45382</v>
      </c>
      <c r="G21" s="207">
        <f>VLOOKUP(C21,'BD EVA 4 GPE'!$D$3:$AC$113,25,0)</f>
        <v>1</v>
      </c>
      <c r="H21" s="207">
        <f>VLOOKUP(C21,'BD EVA 4 GPE'!$D$3:$AC$113,18,0)</f>
        <v>1</v>
      </c>
      <c r="I21" s="214">
        <f t="shared" si="5"/>
        <v>1</v>
      </c>
      <c r="J21" s="75" t="s">
        <v>318</v>
      </c>
      <c r="K21" s="81">
        <v>0.9</v>
      </c>
      <c r="L21" s="211">
        <f t="shared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GPE'!$D$3:$AB$113,4,0)</f>
        <v>44469</v>
      </c>
      <c r="E22" s="207">
        <f>VLOOKUP(C22,'BD EVA 4 GPE'!$D$3:$AB$113,13,0)</f>
        <v>0.90612668743509861</v>
      </c>
      <c r="F22" s="75">
        <f>VLOOKUP(C22,'BD EVA 4 GPE'!$D$3:$AB$113,10,0)</f>
        <v>45382</v>
      </c>
      <c r="G22" s="207">
        <f>VLOOKUP(C22,'BD EVA 4 GPE'!$D$3:$AC$113,25,0)</f>
        <v>1</v>
      </c>
      <c r="H22" s="207">
        <f>VLOOKUP(C22,'BD EVA 4 GPE'!$D$3:$AC$113,18,0)</f>
        <v>1</v>
      </c>
      <c r="I22" s="214">
        <f t="shared" si="5"/>
        <v>1</v>
      </c>
      <c r="J22" s="75" t="s">
        <v>318</v>
      </c>
      <c r="K22" s="81">
        <v>1.5</v>
      </c>
      <c r="L22" s="211">
        <f t="shared" si="0"/>
        <v>1.5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GPE'!$D$3:$AB$113,4,0)</f>
        <v>octubre 20 - mar 21</v>
      </c>
      <c r="E23" s="208">
        <f>VLOOKUP(C23,'BD EVA 4 GPE'!$D$3:$AB$113,13,0)</f>
        <v>0</v>
      </c>
      <c r="F23" s="89" t="str">
        <f>VLOOKUP(C23,'BD EVA 4 GPE'!$D$3:$AB$113,10,0)</f>
        <v>octubre 23 - mar 24</v>
      </c>
      <c r="G23" s="208">
        <f>VLOOKUP(C23,'BD EVA 4 GPE'!$D$3:$AC$113,25,0)</f>
        <v>34.006</v>
      </c>
      <c r="H23" s="208">
        <f>VLOOKUP(C23,'BD EVA 4 GPE'!$D$3:$AC$113,18,0)</f>
        <v>10</v>
      </c>
      <c r="I23" s="214">
        <f t="shared" si="5"/>
        <v>3.4005999999999998</v>
      </c>
      <c r="J23" s="75" t="s">
        <v>318</v>
      </c>
      <c r="K23" s="81">
        <v>1.3</v>
      </c>
      <c r="L23" s="211">
        <f t="shared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GPE'!$D$3:$AB$113,4,0)</f>
        <v>44469</v>
      </c>
      <c r="E24" s="171">
        <f>VLOOKUP(C24,'BD EVA 4 GPE'!$D$3:$AB$113,13,0)</f>
        <v>13.875</v>
      </c>
      <c r="F24" s="75">
        <f>VLOOKUP(C24,'BD EVA 4 GPE'!$D$3:$AB$113,10,0)</f>
        <v>45382</v>
      </c>
      <c r="G24" s="171">
        <f>VLOOKUP(C24,'BD EVA 4 GPE'!$D$3:$AC$113,25,0)</f>
        <v>7.12</v>
      </c>
      <c r="H24" s="171">
        <f>VLOOKUP(C24,'BD EVA 4 GPE'!$D$3:$AC$113,18,0)</f>
        <v>3.03</v>
      </c>
      <c r="I24" s="214">
        <f t="shared" si="5"/>
        <v>2.3498349834983498</v>
      </c>
      <c r="J24" s="75" t="s">
        <v>318</v>
      </c>
      <c r="K24" s="85">
        <v>1.9450000000000001</v>
      </c>
      <c r="L24" s="82">
        <f t="shared" si="0"/>
        <v>1.9450000000000001</v>
      </c>
      <c r="M24" s="130">
        <f>SUM(L24:L28)</f>
        <v>10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GPE'!$D$3:$AB$113,4,0)</f>
        <v>octubre 20 - mar 21</v>
      </c>
      <c r="E25" s="212">
        <f>VLOOKUP(C25,'BD EVA 4 GPE'!$D$3:$AB$113,13,0)</f>
        <v>0</v>
      </c>
      <c r="F25" s="71" t="str">
        <f>VLOOKUP(C25,'BD EVA 4 GPE'!$D$3:$AB$113,10,0)</f>
        <v>octubre 23 - mar 24</v>
      </c>
      <c r="G25" s="212">
        <f>VLOOKUP(C25,'BD EVA 4 GPE'!$D$3:$AC$113,25,0)</f>
        <v>8960</v>
      </c>
      <c r="H25" s="212">
        <f>VLOOKUP(C25,'BD EVA 4 GPE'!$D$3:$AC$113,18,0)</f>
        <v>8333</v>
      </c>
      <c r="I25" s="214">
        <f t="shared" si="5"/>
        <v>1.0752430097203889</v>
      </c>
      <c r="J25" s="75" t="s">
        <v>318</v>
      </c>
      <c r="K25" s="85">
        <v>1.6337999999999999</v>
      </c>
      <c r="L25" s="209">
        <f t="shared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GPE'!$D$3:$AB$113,4,0)</f>
        <v>enero - diciembre 2021</v>
      </c>
      <c r="E26" s="210">
        <f>VLOOKUP(C26,'BD EVA 4 GPE'!$D$3:$AB$113,13,0)</f>
        <v>0.13481553147911707</v>
      </c>
      <c r="F26" s="71" t="str">
        <f>VLOOKUP(C26,'BD EVA 4 GPE'!$D$3:$AB$113,10,0)</f>
        <v>enero- diciembre 2023</v>
      </c>
      <c r="G26" s="78">
        <f>VLOOKUP(C26,'BD EVA 4 GPE'!$D$3:$AC$113,25,0)</f>
        <v>0.43373356317994</v>
      </c>
      <c r="H26" s="207">
        <f>VLOOKUP(C26,'BD EVA 4 GPE'!$D$3:$AC$113,18,0)</f>
        <v>0.27</v>
      </c>
      <c r="I26" s="214">
        <f t="shared" si="5"/>
        <v>1.6064206043701481</v>
      </c>
      <c r="J26" s="75" t="s">
        <v>318</v>
      </c>
      <c r="K26" s="85">
        <v>2.1006</v>
      </c>
      <c r="L26" s="209">
        <f t="shared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GPE'!$D$3:$AB$113,4,0)</f>
        <v>octubre 20 - mar 21</v>
      </c>
      <c r="E27" s="212">
        <f>VLOOKUP(C27,'BD EVA 4 GPE'!$D$3:$AB$113,13,0)</f>
        <v>0</v>
      </c>
      <c r="F27" s="71" t="str">
        <f>VLOOKUP(C27,'BD EVA 4 GPE'!$D$3:$AB$113,10,0)</f>
        <v>octubre 23 - mar 24</v>
      </c>
      <c r="G27" s="212">
        <f>VLOOKUP(C27,'BD EVA 4 GPE'!$D$3:$AC$113,25,0)</f>
        <v>24</v>
      </c>
      <c r="H27" s="212">
        <f>VLOOKUP(C27,'BD EVA 4 GPE'!$D$3:$AC$113,18,0)</f>
        <v>8</v>
      </c>
      <c r="I27" s="214">
        <f t="shared" si="5"/>
        <v>3</v>
      </c>
      <c r="J27" s="75" t="s">
        <v>318</v>
      </c>
      <c r="K27" s="85">
        <v>2.1006</v>
      </c>
      <c r="L27" s="209">
        <f t="shared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GPE'!$D$3:$AB$113,4,0)</f>
        <v>octubre 2018 - marzo 2019</v>
      </c>
      <c r="E28" s="212">
        <f>VLOOKUP(C28,'BD EVA 4 GPE'!$D$3:$AB$113,13,0)</f>
        <v>2493</v>
      </c>
      <c r="F28" s="89" t="str">
        <f>VLOOKUP(C28,'BD EVA 4 GPE'!$D$3:$AB$113,10,0)</f>
        <v>octubre 23 - mar 24</v>
      </c>
      <c r="G28" s="212">
        <f>VLOOKUP(C28,'BD EVA 4 GPE'!$D$3:$AC$113,25,0)</f>
        <v>1286</v>
      </c>
      <c r="H28" s="212">
        <f>VLOOKUP(C28,'BD EVA 4 GPE'!$D$3:$AC$113,18,0)</f>
        <v>2478.0419999999999</v>
      </c>
      <c r="I28" s="78">
        <f>(G28-E28)/(H28-E28)</f>
        <v>80.692605963363633</v>
      </c>
      <c r="J28" s="89" t="s">
        <v>319</v>
      </c>
      <c r="K28" s="85">
        <v>2.2200000000000002</v>
      </c>
      <c r="L28" s="209">
        <f t="shared" si="0"/>
        <v>2.2200000000000002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4 GPE'!$D$3:$AB$113,4,0)</f>
        <v>octubre 20 - mar 21</v>
      </c>
      <c r="E29" s="212">
        <f>VLOOKUP(C29,'BD EVA 4 GPE'!$D$3:$AB$113,13,0)</f>
        <v>0</v>
      </c>
      <c r="F29" s="89" t="str">
        <f>VLOOKUP(C29,'BD EVA 4 GPE'!$D$3:$AB$113,10,0)</f>
        <v>octubre 23 - mar 24</v>
      </c>
      <c r="G29" s="212">
        <f>VLOOKUP(C29,'BD EVA 4 GPE'!$D$3:$AC$113,25,0)</f>
        <v>19</v>
      </c>
      <c r="H29" s="212">
        <f>VLOOKUP(C29,'BD EVA 4 GPE'!$D$3:$AC$113,18,0)</f>
        <v>10</v>
      </c>
      <c r="I29" s="78">
        <f t="shared" ref="I29:I33" si="6">G29/H29</f>
        <v>1.9</v>
      </c>
      <c r="J29" s="75" t="s">
        <v>318</v>
      </c>
      <c r="K29" s="76">
        <v>2</v>
      </c>
      <c r="L29" s="209">
        <f t="shared" si="0"/>
        <v>2</v>
      </c>
      <c r="M29" s="130">
        <f>SUM(L29:L33)</f>
        <v>9.1052731052731026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GPE'!$D$3:$AB$113,4,0)</f>
        <v>44469</v>
      </c>
      <c r="E30" s="212">
        <f>VLOOKUP(C30,'BD EVA 4 GPE'!$D$3:$AB$113,13,0)</f>
        <v>6</v>
      </c>
      <c r="F30" s="75" t="str">
        <f>VLOOKUP(C30,'BD EVA 4 GPE'!$D$3:$AB$113,10,0)</f>
        <v>Dic 2023</v>
      </c>
      <c r="G30" s="212">
        <f>VLOOKUP(C30,'BD EVA 4 GPE'!$D$3:$AC$113,25,0)</f>
        <v>15</v>
      </c>
      <c r="H30" s="212">
        <f>VLOOKUP(C30,'BD EVA 4 GPE'!$D$3:$AC$113,18,0)</f>
        <v>14</v>
      </c>
      <c r="I30" s="78">
        <f t="shared" si="6"/>
        <v>1.0714285714285714</v>
      </c>
      <c r="J30" s="75" t="s">
        <v>318</v>
      </c>
      <c r="K30" s="76">
        <v>2</v>
      </c>
      <c r="L30" s="209">
        <f t="shared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GPE'!$D$3:$AB$113,4,0)</f>
        <v>44469</v>
      </c>
      <c r="E31" s="212">
        <f>VLOOKUP(C31,'BD EVA 4 GPE'!$D$3:$AB$113,13,0)</f>
        <v>100</v>
      </c>
      <c r="F31" s="75">
        <f>VLOOKUP(C31,'BD EVA 4 GPE'!$D$3:$AB$113,10,0)</f>
        <v>45382</v>
      </c>
      <c r="G31" s="212">
        <f>VLOOKUP(C31,'BD EVA 4 GPE'!$D$3:$AC$113,25,0)</f>
        <v>100</v>
      </c>
      <c r="H31" s="212">
        <f>VLOOKUP(C31,'BD EVA 4 GPE'!$D$3:$AC$113,18,0)</f>
        <v>100</v>
      </c>
      <c r="I31" s="78">
        <f t="shared" si="6"/>
        <v>1</v>
      </c>
      <c r="J31" s="75" t="s">
        <v>318</v>
      </c>
      <c r="K31" s="76">
        <v>2</v>
      </c>
      <c r="L31" s="209">
        <f t="shared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GPE'!$D$3:$AB$113,4,0)</f>
        <v>44469</v>
      </c>
      <c r="E32" s="209">
        <f>VLOOKUP(C32,'BD EVA 4 GPE'!$D$3:$AB$113,13,0)</f>
        <v>0</v>
      </c>
      <c r="F32" s="75">
        <f>VLOOKUP(C32,'BD EVA 4 GPE'!$D$3:$AB$113,10,0)</f>
        <v>45382</v>
      </c>
      <c r="G32" s="209">
        <f>VLOOKUP(C32,'BD EVA 4 GPE'!$D$3:$AC$113,25,0)</f>
        <v>3.8321678321678299</v>
      </c>
      <c r="H32" s="209">
        <f>VLOOKUP(C32,'BD EVA 4 GPE'!$D$3:$AC$113,18,0)</f>
        <v>4</v>
      </c>
      <c r="I32" s="78">
        <f t="shared" si="6"/>
        <v>0.95804195804195746</v>
      </c>
      <c r="J32" s="75" t="s">
        <v>318</v>
      </c>
      <c r="K32" s="76">
        <v>2</v>
      </c>
      <c r="L32" s="209">
        <f t="shared" si="0"/>
        <v>1.9160839160839149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 t="str">
        <f>VLOOKUP(C33,'BD EVA 4 GPE'!$D$3:$AB$113,4,0)</f>
        <v>enero - diciembre 2021</v>
      </c>
      <c r="E33" s="207">
        <f>VLOOKUP(C33,'BD EVA 4 GPE'!$D$3:$AB$113,13,0)</f>
        <v>0</v>
      </c>
      <c r="F33" s="75" t="str">
        <f>VLOOKUP(C33,'BD EVA 4 GPE'!$D$3:$AB$113,10,0)</f>
        <v>enero- diciembre 2023</v>
      </c>
      <c r="G33" s="207">
        <f>VLOOKUP(C33,'BD EVA 4 GPE'!$D$3:$AC$113,25,0)</f>
        <v>0.29729729729729698</v>
      </c>
      <c r="H33" s="207">
        <f>VLOOKUP(C33,'BD EVA 4 GPE'!$D$3:$AC$113,18,0)</f>
        <v>0.5</v>
      </c>
      <c r="I33" s="78">
        <f t="shared" si="6"/>
        <v>0.59459459459459396</v>
      </c>
      <c r="J33" s="75" t="s">
        <v>318</v>
      </c>
      <c r="K33" s="76">
        <v>2</v>
      </c>
      <c r="L33" s="209">
        <f t="shared" si="0"/>
        <v>1.1891891891891879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GPE'!$D$3:$AB$113,4,0)</f>
        <v>enero - diciembre 2021</v>
      </c>
      <c r="E34" s="78">
        <f>VLOOKUP(C34,'BD EVA 4 GPE'!$D$3:$AB$113,13,0)</f>
        <v>0.27371764995941666</v>
      </c>
      <c r="F34" s="89" t="str">
        <f>VLOOKUP(C34,'BD EVA 4 GPE'!$D$3:$AB$113,10,0)</f>
        <v>enero- diciembre 2023</v>
      </c>
      <c r="G34" s="78">
        <f>VLOOKUP(C34,'BD EVA 4 GPE'!$D$3:$AC$113,25,0)</f>
        <v>0.29182208739408899</v>
      </c>
      <c r="H34" s="78">
        <f>VLOOKUP(C34,'BD EVA 4 GPE'!$D$3:$AC$113,18,0)</f>
        <v>0.34399999999999997</v>
      </c>
      <c r="I34" s="78">
        <f>(G34/H34)</f>
        <v>0.84832002149444485</v>
      </c>
      <c r="J34" s="75" t="s">
        <v>318</v>
      </c>
      <c r="K34" s="85">
        <v>2.1631999999999998</v>
      </c>
      <c r="L34" s="209">
        <f t="shared" si="0"/>
        <v>1.835085870496783</v>
      </c>
      <c r="M34" s="130">
        <f>SUM(L34:L39)</f>
        <v>9.585605446419132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GPE'!$D$3:$AB$113,4,0)</f>
        <v>Dic 2021</v>
      </c>
      <c r="E35" s="78">
        <f>VLOOKUP(C35,'BD EVA 4 GPE'!$D$3:$AB$113,13,0)</f>
        <v>0.35416398005385219</v>
      </c>
      <c r="F35" s="89" t="str">
        <f>VLOOKUP(C35,'BD EVA 4 GPE'!$D$3:$AB$113,10,0)</f>
        <v>Dic 2023</v>
      </c>
      <c r="G35" s="78">
        <f>VLOOKUP(C35,'BD EVA 4 GPE'!$D$3:$AC$113,25,0)</f>
        <v>0.401328757855823</v>
      </c>
      <c r="H35" s="78">
        <f>VLOOKUP(C35,'BD EVA 4 GPE'!$D$3:$AC$113,18,0)</f>
        <v>0.42399999999999999</v>
      </c>
      <c r="I35" s="78">
        <f>G35/H35</f>
        <v>0.94653008928260141</v>
      </c>
      <c r="J35" s="75" t="s">
        <v>318</v>
      </c>
      <c r="K35" s="85">
        <v>1.3520000000000001</v>
      </c>
      <c r="L35" s="209">
        <f t="shared" si="0"/>
        <v>1.2797086807100773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GPE'!$D$3:$AB$113,4,0)</f>
        <v>enero - diciembre 2021</v>
      </c>
      <c r="E36" s="78">
        <f>VLOOKUP(C36,'BD EVA 4 GPE'!$D$3:$AB$113,13,0)</f>
        <v>0.62996920338542473</v>
      </c>
      <c r="F36" s="89" t="str">
        <f>VLOOKUP(C36,'BD EVA 4 GPE'!$D$3:$AB$113,10,0)</f>
        <v>enero- diciembre 2023</v>
      </c>
      <c r="G36" s="78">
        <f>VLOOKUP(C36,'BD EVA 4 GPE'!$D$3:$AC$113,25,0)</f>
        <v>0.66880536795017898</v>
      </c>
      <c r="H36" s="78">
        <f>VLOOKUP(C36,'BD EVA 4 GPE'!$D$3:$AC$113,18,0)</f>
        <v>0.66</v>
      </c>
      <c r="I36" s="78">
        <f>IF(G36&lt;E36,0,G36/H36)</f>
        <v>1.0133414665911802</v>
      </c>
      <c r="J36" s="72" t="s">
        <v>316</v>
      </c>
      <c r="K36" s="85">
        <v>2.1631999999999998</v>
      </c>
      <c r="L36" s="209">
        <f t="shared" si="0"/>
        <v>2.1631999999999998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GPE'!$D$3:$AB$113,4,0)</f>
        <v>enero - diciembre 2021</v>
      </c>
      <c r="E37" s="90">
        <f>VLOOKUP(C37,'BD EVA 4 GPE'!$D$3:$AB$113,13,0)</f>
        <v>203360688.65000004</v>
      </c>
      <c r="F37" s="89" t="str">
        <f>VLOOKUP(C37,'BD EVA 4 GPE'!$D$3:$AB$113,10,0)</f>
        <v>enero- diciembre 2023</v>
      </c>
      <c r="G37" s="90">
        <f>VLOOKUP(C37,'BD EVA 4 GPE'!$D$3:$AC$113,25,0)</f>
        <v>368624438.11000001</v>
      </c>
      <c r="H37" s="90">
        <f>VLOOKUP(C37,'BD EVA 4 GPE'!$D$3:$AC$113,18,0)</f>
        <v>217799297.53999999</v>
      </c>
      <c r="I37" s="78">
        <f>G37/H37</f>
        <v>1.6924959918307367</v>
      </c>
      <c r="J37" s="75" t="s">
        <v>318</v>
      </c>
      <c r="K37" s="85">
        <v>1.0815999999999999</v>
      </c>
      <c r="L37" s="209">
        <f t="shared" si="0"/>
        <v>1.0815999999999999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89" t="str">
        <f>VLOOKUP(C38,'BD EVA 4 GPE'!$D$3:$AB$113,4,0)</f>
        <v>Dic 2020</v>
      </c>
      <c r="E38" s="78">
        <f>VLOOKUP(C38,'BD EVA 4 GPE'!$D$3:$AB$113,13,0)</f>
        <v>0.75913892998946053</v>
      </c>
      <c r="F38" s="89" t="str">
        <f>VLOOKUP(C38,'BD EVA 4 GPE'!$D$3:$AB$113,10,0)</f>
        <v>Dic 2023</v>
      </c>
      <c r="G38" s="78">
        <f>VLOOKUP(C38,'BD EVA 4 GPE'!$D$3:$AC$113,25,0)</f>
        <v>0.74543703505932002</v>
      </c>
      <c r="H38" s="78">
        <f>VLOOKUP(C38,'BD EVA 4 GPE'!$D$3:$AC$113,18,0)</f>
        <v>0.73899999999999999</v>
      </c>
      <c r="I38" s="78">
        <f>(H38/G38)</f>
        <v>0.99136475013103176</v>
      </c>
      <c r="J38" s="89" t="s">
        <v>341</v>
      </c>
      <c r="K38" s="85">
        <v>1.62</v>
      </c>
      <c r="L38" s="209">
        <f t="shared" si="0"/>
        <v>1.6060108952122716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GPE'!$D$3:$AB$113,4,0)</f>
        <v>Dic 2020</v>
      </c>
      <c r="E39" s="76" t="str">
        <f>VLOOKUP(C39,'BD EVA 4 GPE'!$D$3:$AB$113,13,0)</f>
        <v>Amarillo</v>
      </c>
      <c r="F39" s="89" t="str">
        <f>VLOOKUP(C39,'BD EVA 4 GPE'!$D$3:$AB$113,10,0)</f>
        <v>Dic 2023</v>
      </c>
      <c r="G39" s="76" t="str">
        <f>VLOOKUP(C39,'BD EVA 4 GPE'!$D$3:$AC$113,25,0)</f>
        <v>Verde</v>
      </c>
      <c r="H39" s="76" t="str">
        <f>VLOOKUP(C39,'BD EVA 4 GPE'!$D$3:$AC$113,18,0)</f>
        <v>Verde</v>
      </c>
      <c r="I39" s="76">
        <f>IF(G39="Verde",1,0)</f>
        <v>1</v>
      </c>
      <c r="J39" s="75" t="s">
        <v>318</v>
      </c>
      <c r="K39" s="85">
        <v>1.62</v>
      </c>
      <c r="L39" s="209">
        <f t="shared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AFD57-B13A-3749-9337-095D55A55442}">
  <dimension ref="A1:AE113"/>
  <sheetViews>
    <sheetView topLeftCell="C1" workbookViewId="0">
      <selection activeCell="S2" sqref="S2"/>
    </sheetView>
  </sheetViews>
  <sheetFormatPr baseColWidth="10" defaultRowHeight="16"/>
  <sheetData>
    <row r="1" spans="1:31" s="185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13"/>
      <c r="Q2" s="5">
        <v>715442</v>
      </c>
      <c r="R2" s="5">
        <v>715442</v>
      </c>
      <c r="S2" s="5">
        <v>715442</v>
      </c>
      <c r="T2" s="4"/>
      <c r="U2" s="6"/>
      <c r="V2" s="6"/>
      <c r="W2" s="6"/>
      <c r="X2" s="6"/>
      <c r="Y2" s="6"/>
      <c r="Z2" s="5">
        <v>721449</v>
      </c>
      <c r="AA2" s="5">
        <v>721449</v>
      </c>
      <c r="AB2" s="5">
        <v>728541</v>
      </c>
      <c r="AC2" s="5">
        <v>728541</v>
      </c>
      <c r="AD2" s="5">
        <v>736824</v>
      </c>
      <c r="AE2" s="5">
        <v>736824</v>
      </c>
    </row>
    <row r="3" spans="1:31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845</v>
      </c>
      <c r="R3" s="2">
        <v>845</v>
      </c>
      <c r="S3" s="2">
        <f ca="1">IFERROR(__xludf.DUMMYFUNCTION("INDEX(IMPORTRANGE(""17pNv02DXDpQT9S3w4-QeNym2QJy2BzMBqDXp-XtzJBM"", ""'GPE'!BG3:BG139""),MATCH($D3,IMPORTRANGE(""17pNv02DXDpQT9S3w4-QeNym2QJy2BzMBqDXp-XtzJBM"", ""'GPE'!D3:D139""),0))"),845)</f>
        <v>845</v>
      </c>
      <c r="T3" s="4">
        <v>846</v>
      </c>
      <c r="U3" s="4">
        <v>847</v>
      </c>
      <c r="V3" s="4">
        <v>848</v>
      </c>
      <c r="W3" s="4">
        <v>849</v>
      </c>
      <c r="X3" s="217">
        <f>((Y3-W3)/6)*5+W3</f>
        <v>852.33333333333337</v>
      </c>
      <c r="Y3" s="4">
        <v>853</v>
      </c>
      <c r="Z3" s="2">
        <f ca="1">IFERROR(__xludf.DUMMYFUNCTION("INDEX(IMPORTRANGE(""17pNv02DXDpQT9S3w4-QeNym2QJy2BzMBqDXp-XtzJBM"", ""'GPE'!BH3:BH139""),MATCH($D3,IMPORTRANGE(""17pNv02DXDpQT9S3w4-QeNym2QJy2BzMBqDXp-XtzJBM"", ""'GPE'!D3:D139""),0))"),832)</f>
        <v>832</v>
      </c>
      <c r="AA3" s="2">
        <f ca="1">IFERROR(__xludf.DUMMYFUNCTION("INDEX(IMPORTRANGE(""17pNv02DXDpQT9S3w4-QeNym2QJy2BzMBqDXp-XtzJBM"", ""'GPE'!BI3:BI139""),MATCH($D3,IMPORTRANGE(""17pNv02DXDpQT9S3w4-QeNym2QJy2BzMBqDXp-XtzJBM"", ""'GPE'!D3:D139""),0))"),847)</f>
        <v>847</v>
      </c>
      <c r="AB3" s="2">
        <f ca="1">IFERROR(__xludf.DUMMYFUNCTION("INDEX(IMPORTRANGE(""17pNv02DXDpQT9S3w4-QeNym2QJy2BzMBqDXp-XtzJBM"", ""'GPE'!BJ3:BJ139""),MATCH($D3,IMPORTRANGE(""17pNv02DXDpQT9S3w4-QeNym2QJy2BzMBqDXp-XtzJBM"", ""'GPE'!D3:D139""),0))"),847)</f>
        <v>847</v>
      </c>
      <c r="AC3" s="2">
        <f ca="1">IFERROR(__xludf.DUMMYFUNCTION("INDEX(IMPORTRANGE(""17pNv02DXDpQT9S3w4-QeNym2QJy2BzMBqDXp-XtzJBM"", ""'GPE'!BK3:BK139""),MATCH($D3,IMPORTRANGE(""17pNv02DXDpQT9S3w4-QeNym2QJy2BzMBqDXp-XtzJBM"", ""'GPE'!D3:D139""),0))"),848)</f>
        <v>848</v>
      </c>
      <c r="AD3" s="2">
        <f ca="1">IFERROR(__xludf.DUMMYFUNCTION("INDEX(IMPORTRANGE(""17pNv02DXDpQT9S3w4-QeNym2QJy2BzMBqDXp-XtzJBM"", ""'GPE'!BL3:BL139""),MATCH($D3,IMPORTRANGE(""17pNv02DXDpQT9S3w4-QeNym2QJy2BzMBqDXp-XtzJBM"", ""'GPE'!D3:D139""),0))"),850)</f>
        <v>850</v>
      </c>
      <c r="AE3" s="2">
        <f ca="1">IFERROR(__xludf.DUMMYFUNCTION("INDEX(IMPORTRANGE(""17pNv02DXDpQT9S3w4-QeNym2QJy2BzMBqDXp-XtzJBM"", ""'GPE'!BM3:BM139""),MATCH($D3,IMPORTRANGE(""17pNv02DXDpQT9S3w4-QeNym2QJy2BzMBqDXp-XtzJBM"", ""'GPE'!D3:D139""),0))"),846)</f>
        <v>846</v>
      </c>
    </row>
    <row r="4" spans="1:31">
      <c r="A4" s="7" t="s">
        <v>34</v>
      </c>
      <c r="B4" s="7" t="s">
        <v>40</v>
      </c>
      <c r="C4" s="1" t="s">
        <v>30</v>
      </c>
      <c r="D4" s="7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838</v>
      </c>
      <c r="R4" s="2">
        <v>838</v>
      </c>
      <c r="S4" s="2">
        <f ca="1">IFERROR(__xludf.DUMMYFUNCTION("INDEX(IMPORTRANGE(""17pNv02DXDpQT9S3w4-QeNym2QJy2BzMBqDXp-XtzJBM"", ""'GPE'!BG3:BG139""),MATCH($D4,IMPORTRANGE(""17pNv02DXDpQT9S3w4-QeNym2QJy2BzMBqDXp-XtzJBM"", ""'GPE'!D3:D139""),0))"),838)</f>
        <v>838</v>
      </c>
      <c r="T4" s="4"/>
      <c r="U4" s="4"/>
      <c r="V4" s="4"/>
      <c r="W4" s="4"/>
      <c r="X4" s="4"/>
      <c r="Y4" s="4"/>
      <c r="Z4" s="2">
        <f ca="1">IFERROR(__xludf.DUMMYFUNCTION("INDEX(IMPORTRANGE(""17pNv02DXDpQT9S3w4-QeNym2QJy2BzMBqDXp-XtzJBM"", ""'GPE'!BH3:BH139""),MATCH($D4,IMPORTRANGE(""17pNv02DXDpQT9S3w4-QeNym2QJy2BzMBqDXp-XtzJBM"", ""'GPE'!D3:D139""),0))"),815)</f>
        <v>815</v>
      </c>
      <c r="AA4" s="2">
        <f ca="1">IFERROR(__xludf.DUMMYFUNCTION("INDEX(IMPORTRANGE(""17pNv02DXDpQT9S3w4-QeNym2QJy2BzMBqDXp-XtzJBM"", ""'GPE'!BI3:BI139""),MATCH($D4,IMPORTRANGE(""17pNv02DXDpQT9S3w4-QeNym2QJy2BzMBqDXp-XtzJBM"", ""'GPE'!D3:D139""),0))"),838)</f>
        <v>838</v>
      </c>
      <c r="AB4" s="2">
        <f ca="1">IFERROR(__xludf.DUMMYFUNCTION("INDEX(IMPORTRANGE(""17pNv02DXDpQT9S3w4-QeNym2QJy2BzMBqDXp-XtzJBM"", ""'GPE'!BJ3:BJ139""),MATCH($D4,IMPORTRANGE(""17pNv02DXDpQT9S3w4-QeNym2QJy2BzMBqDXp-XtzJBM"", ""'GPE'!D3:D139""),0))"),822)</f>
        <v>822</v>
      </c>
      <c r="AC4" s="2">
        <f ca="1">IFERROR(__xludf.DUMMYFUNCTION("INDEX(IMPORTRANGE(""17pNv02DXDpQT9S3w4-QeNym2QJy2BzMBqDXp-XtzJBM"", ""'GPE'!BK3:BK139""),MATCH($D4,IMPORTRANGE(""17pNv02DXDpQT9S3w4-QeNym2QJy2BzMBqDXp-XtzJBM"", ""'GPE'!D3:D139""),0))"),824)</f>
        <v>824</v>
      </c>
      <c r="AD4" s="2">
        <f ca="1">IFERROR(__xludf.DUMMYFUNCTION("INDEX(IMPORTRANGE(""17pNv02DXDpQT9S3w4-QeNym2QJy2BzMBqDXp-XtzJBM"", ""'GPE'!BL3:BL139""),MATCH($D4,IMPORTRANGE(""17pNv02DXDpQT9S3w4-QeNym2QJy2BzMBqDXp-XtzJBM"", ""'GPE'!D3:D139""),0))"),825)</f>
        <v>825</v>
      </c>
      <c r="AE4" s="2">
        <f ca="1">IFERROR(__xludf.DUMMYFUNCTION("INDEX(IMPORTRANGE(""17pNv02DXDpQT9S3w4-QeNym2QJy2BzMBqDXp-XtzJBM"", ""'GPE'!BM3:BM139""),MATCH($D4,IMPORTRANGE(""17pNv02DXDpQT9S3w4-QeNym2QJy2BzMBqDXp-XtzJBM"", ""'GPE'!D3:D139""),0))"),826)</f>
        <v>826</v>
      </c>
    </row>
    <row r="5" spans="1:31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0.99171597633136099</v>
      </c>
      <c r="R5" s="15">
        <f t="shared" si="0"/>
        <v>0.99171597633136099</v>
      </c>
      <c r="S5" s="15">
        <f ca="1">IFERROR(__xludf.DUMMYFUNCTION("INDEX(IMPORTRANGE(""17pNv02DXDpQT9S3w4-QeNym2QJy2BzMBqDXp-XtzJBM"", ""'GPE'!BG3:BG139""),MATCH($D5,IMPORTRANGE(""17pNv02DXDpQT9S3w4-QeNym2QJy2BzMBqDXp-XtzJBM"", ""'GPE'!D3:D139""),0))"),0.991715976331361)</f>
        <v>0.99171597633136099</v>
      </c>
      <c r="T5" s="14" t="s">
        <v>327</v>
      </c>
      <c r="U5" s="14" t="s">
        <v>327</v>
      </c>
      <c r="V5" s="14" t="s">
        <v>327</v>
      </c>
      <c r="W5" s="14" t="s">
        <v>327</v>
      </c>
      <c r="X5" s="14" t="s">
        <v>327</v>
      </c>
      <c r="Y5" s="14" t="s">
        <v>327</v>
      </c>
      <c r="Z5" s="15">
        <f ca="1">IFERROR(__xludf.DUMMYFUNCTION("INDEX(IMPORTRANGE(""17pNv02DXDpQT9S3w4-QeNym2QJy2BzMBqDXp-XtzJBM"", ""'GPE'!BH3:BH139""),MATCH($D5,IMPORTRANGE(""17pNv02DXDpQT9S3w4-QeNym2QJy2BzMBqDXp-XtzJBM"", ""'GPE'!D3:D139""),0))"),0.979567307692307)</f>
        <v>0.97956730769230704</v>
      </c>
      <c r="AA5" s="15">
        <f ca="1">IFERROR(__xludf.DUMMYFUNCTION("INDEX(IMPORTRANGE(""17pNv02DXDpQT9S3w4-QeNym2QJy2BzMBqDXp-XtzJBM"", ""'GPE'!BI3:BI139""),MATCH($D5,IMPORTRANGE(""17pNv02DXDpQT9S3w4-QeNym2QJy2BzMBqDXp-XtzJBM"", ""'GPE'!D3:D139""),0))"),0.989374262101534)</f>
        <v>0.98937426210153401</v>
      </c>
      <c r="AB5" s="15">
        <f ca="1">IFERROR(__xludf.DUMMYFUNCTION("INDEX(IMPORTRANGE(""17pNv02DXDpQT9S3w4-QeNym2QJy2BzMBqDXp-XtzJBM"", ""'GPE'!BJ3:BJ139""),MATCH($D5,IMPORTRANGE(""17pNv02DXDpQT9S3w4-QeNym2QJy2BzMBqDXp-XtzJBM"", ""'GPE'!D3:D139""),0))"),0.970484061393152)</f>
        <v>0.97048406139315202</v>
      </c>
      <c r="AC5" s="15">
        <f ca="1">IFERROR(__xludf.DUMMYFUNCTION("INDEX(IMPORTRANGE(""17pNv02DXDpQT9S3w4-QeNym2QJy2BzMBqDXp-XtzJBM"", ""'GPE'!BK3:BK139""),MATCH($D5,IMPORTRANGE(""17pNv02DXDpQT9S3w4-QeNym2QJy2BzMBqDXp-XtzJBM"", ""'GPE'!D3:D139""),0))"),0.971698113207547)</f>
        <v>0.97169811320754695</v>
      </c>
      <c r="AD5" s="15">
        <f ca="1">IFERROR(__xludf.DUMMYFUNCTION("INDEX(IMPORTRANGE(""17pNv02DXDpQT9S3w4-QeNym2QJy2BzMBqDXp-XtzJBM"", ""'GPE'!BL3:BL139""),MATCH($D5,IMPORTRANGE(""17pNv02DXDpQT9S3w4-QeNym2QJy2BzMBqDXp-XtzJBM"", ""'GPE'!D3:D139""),0))"),0.970588235294117)</f>
        <v>0.97058823529411697</v>
      </c>
      <c r="AE5" s="15">
        <f ca="1">IFERROR(__xludf.DUMMYFUNCTION("INDEX(IMPORTRANGE(""17pNv02DXDpQT9S3w4-QeNym2QJy2BzMBqDXp-XtzJBM"", ""'GPE'!BM3:BM139""),MATCH($D5,IMPORTRANGE(""17pNv02DXDpQT9S3w4-QeNym2QJy2BzMBqDXp-XtzJBM"", ""'GPE'!D3:D139""),0))"),0.976359338061465)</f>
        <v>0.97635933806146502</v>
      </c>
    </row>
    <row r="6" spans="1:31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17"/>
      <c r="R6" s="2"/>
      <c r="S6" s="2">
        <f ca="1">IFERROR(__xludf.DUMMYFUNCTION("INDEX(IMPORTRANGE(""17pNv02DXDpQT9S3w4-QeNym2QJy2BzMBqDXp-XtzJBM"", ""'GPE'!BG3:BG139""),MATCH($D6,IMPORTRANGE(""17pNv02DXDpQT9S3w4-QeNym2QJy2BzMBqDXp-XtzJBM"", ""'GPE'!D3:D139""),0))"),18)</f>
        <v>18</v>
      </c>
      <c r="T6" s="2"/>
      <c r="U6" s="2"/>
      <c r="V6" s="2"/>
      <c r="W6" s="2"/>
      <c r="X6" s="2"/>
      <c r="Y6" s="2"/>
      <c r="Z6" s="2">
        <f ca="1">IFERROR(__xludf.DUMMYFUNCTION("INDEX(IMPORTRANGE(""17pNv02DXDpQT9S3w4-QeNym2QJy2BzMBqDXp-XtzJBM"", ""'GPE'!BH3:BH139""),MATCH($D6,IMPORTRANGE(""17pNv02DXDpQT9S3w4-QeNym2QJy2BzMBqDXp-XtzJBM"", ""'GPE'!D3:D139""),0))"),2)</f>
        <v>2</v>
      </c>
      <c r="AA6" s="2">
        <f ca="1">IFERROR(__xludf.DUMMYFUNCTION("INDEX(IMPORTRANGE(""17pNv02DXDpQT9S3w4-QeNym2QJy2BzMBqDXp-XtzJBM"", ""'GPE'!BI3:BI139""),MATCH($D6,IMPORTRANGE(""17pNv02DXDpQT9S3w4-QeNym2QJy2BzMBqDXp-XtzJBM"", ""'GPE'!D3:D139""),0))"),19)</f>
        <v>19</v>
      </c>
      <c r="AB6" s="2">
        <f ca="1">IFERROR(__xludf.DUMMYFUNCTION("INDEX(IMPORTRANGE(""17pNv02DXDpQT9S3w4-QeNym2QJy2BzMBqDXp-XtzJBM"", ""'GPE'!BJ3:BJ139""),MATCH($D6,IMPORTRANGE(""17pNv02DXDpQT9S3w4-QeNym2QJy2BzMBqDXp-XtzJBM"", ""'GPE'!D3:D139""),0))"),22)</f>
        <v>22</v>
      </c>
      <c r="AC6" s="2">
        <f ca="1">IFERROR(__xludf.DUMMYFUNCTION("INDEX(IMPORTRANGE(""17pNv02DXDpQT9S3w4-QeNym2QJy2BzMBqDXp-XtzJBM"", ""'GPE'!BK3:BK139""),MATCH($D6,IMPORTRANGE(""17pNv02DXDpQT9S3w4-QeNym2QJy2BzMBqDXp-XtzJBM"", ""'GPE'!D3:D139""),0))"),23)</f>
        <v>23</v>
      </c>
      <c r="AD6" s="2">
        <f ca="1">IFERROR(__xludf.DUMMYFUNCTION("INDEX(IMPORTRANGE(""17pNv02DXDpQT9S3w4-QeNym2QJy2BzMBqDXp-XtzJBM"", ""'GPE'!BL3:BL139""),MATCH($D6,IMPORTRANGE(""17pNv02DXDpQT9S3w4-QeNym2QJy2BzMBqDXp-XtzJBM"", ""'GPE'!D3:D139""),0))"),40)</f>
        <v>40</v>
      </c>
      <c r="AE6" s="2">
        <f ca="1">IFERROR(__xludf.DUMMYFUNCTION("INDEX(IMPORTRANGE(""17pNv02DXDpQT9S3w4-QeNym2QJy2BzMBqDXp-XtzJBM"", ""'GPE'!BM3:BM139""),MATCH($D6,IMPORTRANGE(""17pNv02DXDpQT9S3w4-QeNym2QJy2BzMBqDXp-XtzJBM"", ""'GPE'!D3:D139""),0))"),44)</f>
        <v>44</v>
      </c>
    </row>
    <row r="7" spans="1:31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7"/>
      <c r="R7" s="2"/>
      <c r="S7" s="2">
        <f ca="1">IFERROR(__xludf.DUMMYFUNCTION("INDEX(IMPORTRANGE(""17pNv02DXDpQT9S3w4-QeNym2QJy2BzMBqDXp-XtzJBM"", ""'GPE'!BG3:BG139""),MATCH($D7,IMPORTRANGE(""17pNv02DXDpQT9S3w4-QeNym2QJy2BzMBqDXp-XtzJBM"", ""'GPE'!D3:D139""),0))"),0)</f>
        <v>0</v>
      </c>
      <c r="T7" s="2"/>
      <c r="U7" s="2"/>
      <c r="V7" s="2"/>
      <c r="W7" s="2"/>
      <c r="X7" s="2"/>
      <c r="Y7" s="2"/>
      <c r="Z7" s="2" t="str">
        <f ca="1">IFERROR(__xludf.DUMMYFUNCTION("INDEX(IMPORTRANGE(""17pNv02DXDpQT9S3w4-QeNym2QJy2BzMBqDXp-XtzJBM"", ""'GPE'!BH3:BH139""),MATCH($D7,IMPORTRANGE(""17pNv02DXDpQT9S3w4-QeNym2QJy2BzMBqDXp-XtzJBM"", ""'GPE'!D3:D139""),0))"),"")</f>
        <v/>
      </c>
      <c r="AA7" s="2">
        <f ca="1">IFERROR(__xludf.DUMMYFUNCTION("INDEX(IMPORTRANGE(""17pNv02DXDpQT9S3w4-QeNym2QJy2BzMBqDXp-XtzJBM"", ""'GPE'!BI3:BI139""),MATCH($D7,IMPORTRANGE(""17pNv02DXDpQT9S3w4-QeNym2QJy2BzMBqDXp-XtzJBM"", ""'GPE'!D3:D139""),0))"),0)</f>
        <v>0</v>
      </c>
      <c r="AB7" s="2">
        <f ca="1">IFERROR(__xludf.DUMMYFUNCTION("INDEX(IMPORTRANGE(""17pNv02DXDpQT9S3w4-QeNym2QJy2BzMBqDXp-XtzJBM"", ""'GPE'!BJ3:BJ139""),MATCH($D7,IMPORTRANGE(""17pNv02DXDpQT9S3w4-QeNym2QJy2BzMBqDXp-XtzJBM"", ""'GPE'!D3:D139""),0))"),0)</f>
        <v>0</v>
      </c>
      <c r="AC7" s="2">
        <f ca="1">IFERROR(__xludf.DUMMYFUNCTION("INDEX(IMPORTRANGE(""17pNv02DXDpQT9S3w4-QeNym2QJy2BzMBqDXp-XtzJBM"", ""'GPE'!BK3:BK139""),MATCH($D7,IMPORTRANGE(""17pNv02DXDpQT9S3w4-QeNym2QJy2BzMBqDXp-XtzJBM"", ""'GPE'!D3:D139""),0))"),0)</f>
        <v>0</v>
      </c>
      <c r="AD7" s="2">
        <f ca="1">IFERROR(__xludf.DUMMYFUNCTION("INDEX(IMPORTRANGE(""17pNv02DXDpQT9S3w4-QeNym2QJy2BzMBqDXp-XtzJBM"", ""'GPE'!BL3:BL139""),MATCH($D7,IMPORTRANGE(""17pNv02DXDpQT9S3w4-QeNym2QJy2BzMBqDXp-XtzJBM"", ""'GPE'!D3:D139""),0))"),0)</f>
        <v>0</v>
      </c>
      <c r="AE7" s="2">
        <f ca="1">IFERROR(__xludf.DUMMYFUNCTION("INDEX(IMPORTRANGE(""17pNv02DXDpQT9S3w4-QeNym2QJy2BzMBqDXp-XtzJBM"", ""'GPE'!BM3:BM139""),MATCH($D7,IMPORTRANGE(""17pNv02DXDpQT9S3w4-QeNym2QJy2BzMBqDXp-XtzJBM"", ""'GPE'!D3:D139""),0))"),44)</f>
        <v>44</v>
      </c>
    </row>
    <row r="8" spans="1:31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9">
        <f t="shared" ref="Q8:R8" si="1">Q6/Q3</f>
        <v>0</v>
      </c>
      <c r="R8" s="15">
        <f t="shared" si="1"/>
        <v>0</v>
      </c>
      <c r="S8" s="15">
        <f ca="1">IFERROR(__xludf.DUMMYFUNCTION("INDEX(IMPORTRANGE(""17pNv02DXDpQT9S3w4-QeNym2QJy2BzMBqDXp-XtzJBM"", ""'GPE'!BG3:BG139""),MATCH($D8,IMPORTRANGE(""17pNv02DXDpQT9S3w4-QeNym2QJy2BzMBqDXp-XtzJBM"", ""'GPE'!D3:D139""),0))"),0.0213017751479289)</f>
        <v>2.13017751479289E-2</v>
      </c>
      <c r="T8" s="26">
        <v>4.1999999999999997E-3</v>
      </c>
      <c r="U8" s="26">
        <v>8.3999999999999995E-3</v>
      </c>
      <c r="V8" s="26">
        <v>1.26E-2</v>
      </c>
      <c r="W8" s="26">
        <v>2.1000000000000001E-2</v>
      </c>
      <c r="X8" s="15">
        <f>((Y8-W8)/6)*5+W8</f>
        <v>2.8499999999999998E-2</v>
      </c>
      <c r="Y8" s="14">
        <v>0.03</v>
      </c>
      <c r="Z8" s="15">
        <f ca="1">IFERROR(__xludf.DUMMYFUNCTION("INDEX(IMPORTRANGE(""17pNv02DXDpQT9S3w4-QeNym2QJy2BzMBqDXp-XtzJBM"", ""'GPE'!BH3:BH139""),MATCH($D8,IMPORTRANGE(""17pNv02DXDpQT9S3w4-QeNym2QJy2BzMBqDXp-XtzJBM"", ""'GPE'!D3:D139""),0))"),0.00240384615384615)</f>
        <v>2.4038461538461501E-3</v>
      </c>
      <c r="AA8" s="15">
        <f ca="1">IFERROR(__xludf.DUMMYFUNCTION("INDEX(IMPORTRANGE(""17pNv02DXDpQT9S3w4-QeNym2QJy2BzMBqDXp-XtzJBM"", ""'GPE'!BI3:BI139""),MATCH($D8,IMPORTRANGE(""17pNv02DXDpQT9S3w4-QeNym2QJy2BzMBqDXp-XtzJBM"", ""'GPE'!D3:D139""),0))"),0.0224321133412042)</f>
        <v>2.24321133412042E-2</v>
      </c>
      <c r="AB8" s="15">
        <f ca="1">IFERROR(__xludf.DUMMYFUNCTION("INDEX(IMPORTRANGE(""17pNv02DXDpQT9S3w4-QeNym2QJy2BzMBqDXp-XtzJBM"", ""'GPE'!BJ3:BJ139""),MATCH($D8,IMPORTRANGE(""17pNv02DXDpQT9S3w4-QeNym2QJy2BzMBqDXp-XtzJBM"", ""'GPE'!D3:D139""),0))"),0.0259740259740259)</f>
        <v>2.5974025974025899E-2</v>
      </c>
      <c r="AC8" s="15">
        <f ca="1">IFERROR(__xludf.DUMMYFUNCTION("INDEX(IMPORTRANGE(""17pNv02DXDpQT9S3w4-QeNym2QJy2BzMBqDXp-XtzJBM"", ""'GPE'!BK3:BK139""),MATCH($D8,IMPORTRANGE(""17pNv02DXDpQT9S3w4-QeNym2QJy2BzMBqDXp-XtzJBM"", ""'GPE'!D3:D139""),0))"),0.0271226415094339)</f>
        <v>2.7122641509433901E-2</v>
      </c>
      <c r="AD8" s="15">
        <f ca="1">IFERROR(__xludf.DUMMYFUNCTION("INDEX(IMPORTRANGE(""17pNv02DXDpQT9S3w4-QeNym2QJy2BzMBqDXp-XtzJBM"", ""'GPE'!BL3:BL139""),MATCH($D8,IMPORTRANGE(""17pNv02DXDpQT9S3w4-QeNym2QJy2BzMBqDXp-XtzJBM"", ""'GPE'!D3:D139""),0))"),0.0470588235294117)</f>
        <v>4.7058823529411702E-2</v>
      </c>
      <c r="AE8" s="15">
        <f ca="1">IFERROR(__xludf.DUMMYFUNCTION("INDEX(IMPORTRANGE(""17pNv02DXDpQT9S3w4-QeNym2QJy2BzMBqDXp-XtzJBM"", ""'GPE'!BM3:BM139""),MATCH($D8,IMPORTRANGE(""17pNv02DXDpQT9S3w4-QeNym2QJy2BzMBqDXp-XtzJBM"", ""'GPE'!D3:D139""),0))"),0.10401891252955)</f>
        <v>0.10401891252955001</v>
      </c>
    </row>
    <row r="9" spans="1:31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553</v>
      </c>
      <c r="R9" s="2">
        <v>809</v>
      </c>
      <c r="S9" s="2">
        <f ca="1">IFERROR(__xludf.DUMMYFUNCTION("INDEX(IMPORTRANGE(""17pNv02DXDpQT9S3w4-QeNym2QJy2BzMBqDXp-XtzJBM"", ""'GPE'!BG3:BG139""),MATCH($D9,IMPORTRANGE(""17pNv02DXDpQT9S3w4-QeNym2QJy2BzMBqDXp-XtzJBM"", ""'GPE'!D3:D139""),0))"),809)</f>
        <v>809</v>
      </c>
      <c r="T9" s="4"/>
      <c r="U9" s="4"/>
      <c r="V9" s="4"/>
      <c r="W9" s="4"/>
      <c r="X9" s="4"/>
      <c r="Y9" s="4"/>
      <c r="Z9" s="12">
        <f ca="1">IFERROR(__xludf.DUMMYFUNCTION("INDEX(IMPORTRANGE(""17pNv02DXDpQT9S3w4-QeNym2QJy2BzMBqDXp-XtzJBM"", ""'GPE'!BH3:BH139""),MATCH($D9,IMPORTRANGE(""17pNv02DXDpQT9S3w4-QeNym2QJy2BzMBqDXp-XtzJBM"", ""'GPE'!D3:D139""),0))"),73)</f>
        <v>73</v>
      </c>
      <c r="AA9" s="2">
        <f ca="1">IFERROR(__xludf.DUMMYFUNCTION("INDEX(IMPORTRANGE(""17pNv02DXDpQT9S3w4-QeNym2QJy2BzMBqDXp-XtzJBM"", ""'GPE'!BI3:BI139""),MATCH($D9,IMPORTRANGE(""17pNv02DXDpQT9S3w4-QeNym2QJy2BzMBqDXp-XtzJBM"", ""'GPE'!D3:D139""),0))"),550)</f>
        <v>550</v>
      </c>
      <c r="AB9" s="12">
        <f ca="1">IFERROR(__xludf.DUMMYFUNCTION("INDEX(IMPORTRANGE(""17pNv02DXDpQT9S3w4-QeNym2QJy2BzMBqDXp-XtzJBM"", ""'GPE'!BJ3:BJ139""),MATCH($D9,IMPORTRANGE(""17pNv02DXDpQT9S3w4-QeNym2QJy2BzMBqDXp-XtzJBM"", ""'GPE'!D3:D139""),0))"),402)</f>
        <v>402</v>
      </c>
      <c r="AC9" s="2">
        <f ca="1">IFERROR(__xludf.DUMMYFUNCTION("INDEX(IMPORTRANGE(""17pNv02DXDpQT9S3w4-QeNym2QJy2BzMBqDXp-XtzJBM"", ""'GPE'!BK3:BK139""),MATCH($D9,IMPORTRANGE(""17pNv02DXDpQT9S3w4-QeNym2QJy2BzMBqDXp-XtzJBM"", ""'GPE'!D3:D139""),0))"),720)</f>
        <v>720</v>
      </c>
      <c r="AD9" s="12">
        <f ca="1">IFERROR(__xludf.DUMMYFUNCTION("INDEX(IMPORTRANGE(""17pNv02DXDpQT9S3w4-QeNym2QJy2BzMBqDXp-XtzJBM"", ""'GPE'!BL3:BL139""),MATCH($D9,IMPORTRANGE(""17pNv02DXDpQT9S3w4-QeNym2QJy2BzMBqDXp-XtzJBM"", ""'GPE'!D3:D139""),0))"),239)</f>
        <v>239</v>
      </c>
      <c r="AE9" s="12">
        <f ca="1">IFERROR(__xludf.DUMMYFUNCTION("INDEX(IMPORTRANGE(""17pNv02DXDpQT9S3w4-QeNym2QJy2BzMBqDXp-XtzJBM"", ""'GPE'!BM3:BM139""),MATCH($D9,IMPORTRANGE(""17pNv02DXDpQT9S3w4-QeNym2QJy2BzMBqDXp-XtzJBM"", ""'GPE'!D3:D139""),0))"),421)</f>
        <v>421</v>
      </c>
    </row>
    <row r="10" spans="1:31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4793</v>
      </c>
      <c r="R10" s="2">
        <v>7857</v>
      </c>
      <c r="S10" s="2">
        <f ca="1">IFERROR(__xludf.DUMMYFUNCTION("INDEX(IMPORTRANGE(""17pNv02DXDpQT9S3w4-QeNym2QJy2BzMBqDXp-XtzJBM"", ""'GPE'!BG3:BG139""),MATCH($D10,IMPORTRANGE(""17pNv02DXDpQT9S3w4-QeNym2QJy2BzMBqDXp-XtzJBM"", ""'GPE'!D3:D139""),0))"),7857)</f>
        <v>7857</v>
      </c>
      <c r="T10" s="4"/>
      <c r="U10" s="4"/>
      <c r="V10" s="4"/>
      <c r="W10" s="4"/>
      <c r="X10" s="4"/>
      <c r="Y10" s="4"/>
      <c r="Z10" s="12">
        <f ca="1">IFERROR(__xludf.DUMMYFUNCTION("INDEX(IMPORTRANGE(""17pNv02DXDpQT9S3w4-QeNym2QJy2BzMBqDXp-XtzJBM"", ""'GPE'!BH3:BH139""),MATCH($D10,IMPORTRANGE(""17pNv02DXDpQT9S3w4-QeNym2QJy2BzMBqDXp-XtzJBM"", ""'GPE'!D3:D139""),0))"),2050)</f>
        <v>2050</v>
      </c>
      <c r="AA10" s="12">
        <f ca="1">IFERROR(__xludf.DUMMYFUNCTION("INDEX(IMPORTRANGE(""17pNv02DXDpQT9S3w4-QeNym2QJy2BzMBqDXp-XtzJBM"", ""'GPE'!BI3:BI139""),MATCH($D10,IMPORTRANGE(""17pNv02DXDpQT9S3w4-QeNym2QJy2BzMBqDXp-XtzJBM"", ""'GPE'!D3:D139""),0))"),4960)</f>
        <v>4960</v>
      </c>
      <c r="AB10" s="12">
        <f ca="1">IFERROR(__xludf.DUMMYFUNCTION("INDEX(IMPORTRANGE(""17pNv02DXDpQT9S3w4-QeNym2QJy2BzMBqDXp-XtzJBM"", ""'GPE'!BJ3:BJ139""),MATCH($D10,IMPORTRANGE(""17pNv02DXDpQT9S3w4-QeNym2QJy2BzMBqDXp-XtzJBM"", ""'GPE'!D3:D139""),0))"),2934)</f>
        <v>2934</v>
      </c>
      <c r="AC10" s="12">
        <f ca="1">IFERROR(__xludf.DUMMYFUNCTION("INDEX(IMPORTRANGE(""17pNv02DXDpQT9S3w4-QeNym2QJy2BzMBqDXp-XtzJBM"", ""'GPE'!BK3:BK139""),MATCH($D10,IMPORTRANGE(""17pNv02DXDpQT9S3w4-QeNym2QJy2BzMBqDXp-XtzJBM"", ""'GPE'!D3:D139""),0))"),5245)</f>
        <v>5245</v>
      </c>
      <c r="AD10" s="12">
        <f ca="1">IFERROR(__xludf.DUMMYFUNCTION("INDEX(IMPORTRANGE(""17pNv02DXDpQT9S3w4-QeNym2QJy2BzMBqDXp-XtzJBM"", ""'GPE'!BL3:BL139""),MATCH($D10,IMPORTRANGE(""17pNv02DXDpQT9S3w4-QeNym2QJy2BzMBqDXp-XtzJBM"", ""'GPE'!D3:D139""),0))"),1407)</f>
        <v>1407</v>
      </c>
      <c r="AE10" s="12">
        <f ca="1">IFERROR(__xludf.DUMMYFUNCTION("INDEX(IMPORTRANGE(""17pNv02DXDpQT9S3w4-QeNym2QJy2BzMBqDXp-XtzJBM"", ""'GPE'!BM3:BM139""),MATCH($D10,IMPORTRANGE(""17pNv02DXDpQT9S3w4-QeNym2QJy2BzMBqDXp-XtzJBM"", ""'GPE'!D3:D139""),0))"),2525)</f>
        <v>2525</v>
      </c>
    </row>
    <row r="11" spans="1:31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0.11537659086167328</v>
      </c>
      <c r="R11" s="15">
        <f t="shared" si="2"/>
        <v>0.10296550846379025</v>
      </c>
      <c r="S11" s="15">
        <f ca="1">IFERROR(__xludf.DUMMYFUNCTION("INDEX(IMPORTRANGE(""17pNv02DXDpQT9S3w4-QeNym2QJy2BzMBqDXp-XtzJBM"", ""'GPE'!BG3:BG139""),MATCH($D11,IMPORTRANGE(""17pNv02DXDpQT9S3w4-QeNym2QJy2BzMBqDXp-XtzJBM"", ""'GPE'!D3:D139""),0))"),0.10296550846379)</f>
        <v>0.10296550846379</v>
      </c>
      <c r="T11" s="15">
        <v>0.1018</v>
      </c>
      <c r="U11" s="15">
        <v>0.1273</v>
      </c>
      <c r="V11" s="15">
        <v>0.1336</v>
      </c>
      <c r="W11" s="15">
        <v>0.14000000000000001</v>
      </c>
      <c r="X11" s="15">
        <f>((Y11-W11)/6)*5+W11</f>
        <v>0.15916666666666668</v>
      </c>
      <c r="Y11" s="15">
        <v>0.16300000000000001</v>
      </c>
      <c r="Z11" s="15">
        <f ca="1">IFERROR(__xludf.DUMMYFUNCTION("INDEX(IMPORTRANGE(""17pNv02DXDpQT9S3w4-QeNym2QJy2BzMBqDXp-XtzJBM"", ""'GPE'!BH3:BH139""),MATCH($D11,IMPORTRANGE(""17pNv02DXDpQT9S3w4-QeNym2QJy2BzMBqDXp-XtzJBM"", ""'GPE'!D3:D139""),0))"),0.0356097560975609)</f>
        <v>3.5609756097560903E-2</v>
      </c>
      <c r="AA11" s="15">
        <f ca="1">IFERROR(__xludf.DUMMYFUNCTION("INDEX(IMPORTRANGE(""17pNv02DXDpQT9S3w4-QeNym2QJy2BzMBqDXp-XtzJBM"", ""'GPE'!BI3:BI139""),MATCH($D11,IMPORTRANGE(""17pNv02DXDpQT9S3w4-QeNym2QJy2BzMBqDXp-XtzJBM"", ""'GPE'!D3:D139""),0))"),0.110887096774193)</f>
        <v>0.11088709677419301</v>
      </c>
      <c r="AB11" s="15">
        <f ca="1">IFERROR(__xludf.DUMMYFUNCTION("INDEX(IMPORTRANGE(""17pNv02DXDpQT9S3w4-QeNym2QJy2BzMBqDXp-XtzJBM"", ""'GPE'!BJ3:BJ139""),MATCH($D11,IMPORTRANGE(""17pNv02DXDpQT9S3w4-QeNym2QJy2BzMBqDXp-XtzJBM"", ""'GPE'!D3:D139""),0))"),0.137014314928425)</f>
        <v>0.137014314928425</v>
      </c>
      <c r="AC11" s="15">
        <f ca="1">IFERROR(__xludf.DUMMYFUNCTION("INDEX(IMPORTRANGE(""17pNv02DXDpQT9S3w4-QeNym2QJy2BzMBqDXp-XtzJBM"", ""'GPE'!BK3:BK139""),MATCH($D11,IMPORTRANGE(""17pNv02DXDpQT9S3w4-QeNym2QJy2BzMBqDXp-XtzJBM"", ""'GPE'!D3:D139""),0))"),0.137273593898951)</f>
        <v>0.137273593898951</v>
      </c>
      <c r="AD11" s="15">
        <f ca="1">IFERROR(__xludf.DUMMYFUNCTION("INDEX(IMPORTRANGE(""17pNv02DXDpQT9S3w4-QeNym2QJy2BzMBqDXp-XtzJBM"", ""'GPE'!BL3:BL139""),MATCH($D11,IMPORTRANGE(""17pNv02DXDpQT9S3w4-QeNym2QJy2BzMBqDXp-XtzJBM"", ""'GPE'!D3:D139""),0))"),0.169864960909737)</f>
        <v>0.16986496090973699</v>
      </c>
      <c r="AE11" s="15">
        <f ca="1">IFERROR(__xludf.DUMMYFUNCTION("INDEX(IMPORTRANGE(""17pNv02DXDpQT9S3w4-QeNym2QJy2BzMBqDXp-XtzJBM"", ""'GPE'!BM3:BM139""),MATCH($D11,IMPORTRANGE(""17pNv02DXDpQT9S3w4-QeNym2QJy2BzMBqDXp-XtzJBM"", ""'GPE'!D3:D139""),0))"),0.166732673267326)</f>
        <v>0.16673267326732599</v>
      </c>
    </row>
    <row r="12" spans="1:31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46</v>
      </c>
      <c r="R12" s="12">
        <v>105</v>
      </c>
      <c r="S12" s="12">
        <f ca="1">IFERROR(__xludf.DUMMYFUNCTION("INDEX(IMPORTRANGE(""17pNv02DXDpQT9S3w4-QeNym2QJy2BzMBqDXp-XtzJBM"", ""'GPE'!BG3:BG139""),MATCH($D12,IMPORTRANGE(""17pNv02DXDpQT9S3w4-QeNym2QJy2BzMBqDXp-XtzJBM"", ""'GPE'!D3:D139""),0))"),92)</f>
        <v>92</v>
      </c>
      <c r="T12" s="4"/>
      <c r="U12" s="4"/>
      <c r="V12" s="4"/>
      <c r="W12" s="4"/>
      <c r="X12" s="4"/>
      <c r="Y12" s="4"/>
      <c r="Z12" s="12">
        <f ca="1">IFERROR(__xludf.DUMMYFUNCTION("INDEX(IMPORTRANGE(""17pNv02DXDpQT9S3w4-QeNym2QJy2BzMBqDXp-XtzJBM"", ""'GPE'!BH3:BH139""),MATCH($D12,IMPORTRANGE(""17pNv02DXDpQT9S3w4-QeNym2QJy2BzMBqDXp-XtzJBM"", ""'GPE'!D3:D139""),0))"),33)</f>
        <v>33</v>
      </c>
      <c r="AA12" s="12">
        <f ca="1">IFERROR(__xludf.DUMMYFUNCTION("INDEX(IMPORTRANGE(""17pNv02DXDpQT9S3w4-QeNym2QJy2BzMBqDXp-XtzJBM"", ""'GPE'!BI3:BI139""),MATCH($D12,IMPORTRANGE(""17pNv02DXDpQT9S3w4-QeNym2QJy2BzMBqDXp-XtzJBM"", ""'GPE'!D3:D139""),0))"),119)</f>
        <v>119</v>
      </c>
      <c r="AB12" s="12">
        <f ca="1">IFERROR(__xludf.DUMMYFUNCTION("INDEX(IMPORTRANGE(""17pNv02DXDpQT9S3w4-QeNym2QJy2BzMBqDXp-XtzJBM"", ""'GPE'!BJ3:BJ139""),MATCH($D12,IMPORTRANGE(""17pNv02DXDpQT9S3w4-QeNym2QJy2BzMBqDXp-XtzJBM"", ""'GPE'!D3:D139""),0))"),65)</f>
        <v>65</v>
      </c>
      <c r="AC12" s="12">
        <f ca="1">IFERROR(__xludf.DUMMYFUNCTION("INDEX(IMPORTRANGE(""17pNv02DXDpQT9S3w4-QeNym2QJy2BzMBqDXp-XtzJBM"", ""'GPE'!BK3:BK139""),MATCH($D12,IMPORTRANGE(""17pNv02DXDpQT9S3w4-QeNym2QJy2BzMBqDXp-XtzJBM"", ""'GPE'!D3:D139""),0))"),138)</f>
        <v>138</v>
      </c>
      <c r="AD12" s="12">
        <f ca="1">IFERROR(__xludf.DUMMYFUNCTION("INDEX(IMPORTRANGE(""17pNv02DXDpQT9S3w4-QeNym2QJy2BzMBqDXp-XtzJBM"", ""'GPE'!BL3:BL139""),MATCH($D12,IMPORTRANGE(""17pNv02DXDpQT9S3w4-QeNym2QJy2BzMBqDXp-XtzJBM"", ""'GPE'!D3:D139""),0))"),99)</f>
        <v>99</v>
      </c>
      <c r="AE12" s="12">
        <f ca="1">IFERROR(__xludf.DUMMYFUNCTION("INDEX(IMPORTRANGE(""17pNv02DXDpQT9S3w4-QeNym2QJy2BzMBqDXp-XtzJBM"", ""'GPE'!BM3:BM139""),MATCH($D12,IMPORTRANGE(""17pNv02DXDpQT9S3w4-QeNym2QJy2BzMBqDXp-XtzJBM"", ""'GPE'!D3:D139""),0))"),169)</f>
        <v>169</v>
      </c>
    </row>
    <row r="13" spans="1:31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6.4295917768316642</v>
      </c>
      <c r="R13" s="23">
        <f t="shared" si="3"/>
        <v>14.67624209928967</v>
      </c>
      <c r="S13" s="23">
        <f ca="1">IFERROR(__xludf.DUMMYFUNCTION("INDEX(IMPORTRANGE(""17pNv02DXDpQT9S3w4-QeNym2QJy2BzMBqDXp-XtzJBM"", ""'GPE'!BG3:BG139""),MATCH($D13,IMPORTRANGE(""17pNv02DXDpQT9S3w4-QeNym2QJy2BzMBqDXp-XtzJBM"", ""'GPE'!D3:D139""),0))"),12.8591835536633)</f>
        <v>12.8591835536633</v>
      </c>
      <c r="T13" s="2">
        <v>14.6616</v>
      </c>
      <c r="U13" s="2">
        <v>6.4135</v>
      </c>
      <c r="V13" s="2">
        <v>14.6175</v>
      </c>
      <c r="W13" s="2">
        <v>6.391</v>
      </c>
      <c r="X13" s="24">
        <f ca="1">+S13*(1+(Y13-R13)/R13)</f>
        <v>12.730591718126666</v>
      </c>
      <c r="Y13" s="24">
        <f>(1-1%)*R13</f>
        <v>14.529479678296774</v>
      </c>
      <c r="Z13" s="23">
        <f ca="1">IFERROR(__xludf.DUMMYFUNCTION("INDEX(IMPORTRANGE(""17pNv02DXDpQT9S3w4-QeNym2QJy2BzMBqDXp-XtzJBM"", ""'GPE'!BH3:BH139""),MATCH($D13,IMPORTRANGE(""17pNv02DXDpQT9S3w4-QeNym2QJy2BzMBqDXp-XtzJBM"", ""'GPE'!D3:D139""),0))"),4.5741279009327)</f>
        <v>4.5741279009326998</v>
      </c>
      <c r="AA13" s="23">
        <f ca="1">IFERROR(__xludf.DUMMYFUNCTION("INDEX(IMPORTRANGE(""17pNv02DXDpQT9S3w4-QeNym2QJy2BzMBqDXp-XtzJBM"", ""'GPE'!BI3:BI139""),MATCH($D13,IMPORTRANGE(""17pNv02DXDpQT9S3w4-QeNym2QJy2BzMBqDXp-XtzJBM"", ""'GPE'!D3:D139""),0))"),16.4945824306361)</f>
        <v>16.4945824306361</v>
      </c>
      <c r="AB13" s="23">
        <f ca="1">IFERROR(__xludf.DUMMYFUNCTION("INDEX(IMPORTRANGE(""17pNv02DXDpQT9S3w4-QeNym2QJy2BzMBqDXp-XtzJBM"", ""'GPE'!BJ3:BJ139""),MATCH($D13,IMPORTRANGE(""17pNv02DXDpQT9S3w4-QeNym2QJy2BzMBqDXp-XtzJBM"", ""'GPE'!D3:D139""),0))"),8.92194124970317)</f>
        <v>8.9219412497031705</v>
      </c>
      <c r="AC13" s="23">
        <f ca="1">IFERROR(__xludf.DUMMYFUNCTION("INDEX(IMPORTRANGE(""17pNv02DXDpQT9S3w4-QeNym2QJy2BzMBqDXp-XtzJBM"", ""'GPE'!BK3:BK139""),MATCH($D13,IMPORTRANGE(""17pNv02DXDpQT9S3w4-QeNym2QJy2BzMBqDXp-XtzJBM"", ""'GPE'!D3:D139""),0))"),18.9419675762928)</f>
        <v>18.9419675762928</v>
      </c>
      <c r="AD13" s="23">
        <f ca="1">IFERROR(__xludf.DUMMYFUNCTION("INDEX(IMPORTRANGE(""17pNv02DXDpQT9S3w4-QeNym2QJy2BzMBqDXp-XtzJBM"", ""'GPE'!BL3:BL139""),MATCH($D13,IMPORTRANGE(""17pNv02DXDpQT9S3w4-QeNym2QJy2BzMBqDXp-XtzJBM"", ""'GPE'!D3:D139""),0))"),13.4360444285202)</f>
        <v>13.4360444285202</v>
      </c>
      <c r="AE13" s="23">
        <f ca="1">IFERROR(__xludf.DUMMYFUNCTION("INDEX(IMPORTRANGE(""17pNv02DXDpQT9S3w4-QeNym2QJy2BzMBqDXp-XtzJBM"", ""'GPE'!BM3:BM139""),MATCH($D13,IMPORTRANGE(""17pNv02DXDpQT9S3w4-QeNym2QJy2BzMBqDXp-XtzJBM"", ""'GPE'!D3:D139""),0))"),22.9362778628274)</f>
        <v>22.936277862827399</v>
      </c>
    </row>
    <row r="14" spans="1:31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214</v>
      </c>
      <c r="R14" s="12">
        <v>454</v>
      </c>
      <c r="S14" s="12">
        <f ca="1">IFERROR(__xludf.DUMMYFUNCTION("INDEX(IMPORTRANGE(""17pNv02DXDpQT9S3w4-QeNym2QJy2BzMBqDXp-XtzJBM"", ""'GPE'!BG3:BG139""),MATCH($D14,IMPORTRANGE(""17pNv02DXDpQT9S3w4-QeNym2QJy2BzMBqDXp-XtzJBM"", ""'GPE'!D3:D139""),0))"),415)</f>
        <v>415</v>
      </c>
      <c r="T14" s="4"/>
      <c r="U14" s="4"/>
      <c r="V14" s="4"/>
      <c r="W14" s="4"/>
      <c r="X14" s="43"/>
      <c r="Y14" s="4"/>
      <c r="Z14" s="12">
        <f ca="1">IFERROR(__xludf.DUMMYFUNCTION("INDEX(IMPORTRANGE(""17pNv02DXDpQT9S3w4-QeNym2QJy2BzMBqDXp-XtzJBM"", ""'GPE'!BH3:BH139""),MATCH($D14,IMPORTRANGE(""17pNv02DXDpQT9S3w4-QeNym2QJy2BzMBqDXp-XtzJBM"", ""'GPE'!D3:D139""),0))"),186)</f>
        <v>186</v>
      </c>
      <c r="AA14" s="12">
        <f ca="1">IFERROR(__xludf.DUMMYFUNCTION("INDEX(IMPORTRANGE(""17pNv02DXDpQT9S3w4-QeNym2QJy2BzMBqDXp-XtzJBM"", ""'GPE'!BI3:BI139""),MATCH($D14,IMPORTRANGE(""17pNv02DXDpQT9S3w4-QeNym2QJy2BzMBqDXp-XtzJBM"", ""'GPE'!D3:D139""),0))"),324)</f>
        <v>324</v>
      </c>
      <c r="AB14" s="12">
        <f ca="1">IFERROR(__xludf.DUMMYFUNCTION("INDEX(IMPORTRANGE(""17pNv02DXDpQT9S3w4-QeNym2QJy2BzMBqDXp-XtzJBM"", ""'GPE'!BJ3:BJ139""),MATCH($D14,IMPORTRANGE(""17pNv02DXDpQT9S3w4-QeNym2QJy2BzMBqDXp-XtzJBM"", ""'GPE'!D3:D139""),0))"),96)</f>
        <v>96</v>
      </c>
      <c r="AC14" s="12">
        <f ca="1">IFERROR(__xludf.DUMMYFUNCTION("INDEX(IMPORTRANGE(""17pNv02DXDpQT9S3w4-QeNym2QJy2BzMBqDXp-XtzJBM"", ""'GPE'!BK3:BK139""),MATCH($D14,IMPORTRANGE(""17pNv02DXDpQT9S3w4-QeNym2QJy2BzMBqDXp-XtzJBM"", ""'GPE'!D3:D139""),0))"),202)</f>
        <v>202</v>
      </c>
      <c r="AD14" s="12">
        <f ca="1">IFERROR(__xludf.DUMMYFUNCTION("INDEX(IMPORTRANGE(""17pNv02DXDpQT9S3w4-QeNym2QJy2BzMBqDXp-XtzJBM"", ""'GPE'!BL3:BL139""),MATCH($D14,IMPORTRANGE(""17pNv02DXDpQT9S3w4-QeNym2QJy2BzMBqDXp-XtzJBM"", ""'GPE'!D3:D139""),0))"),81)</f>
        <v>81</v>
      </c>
      <c r="AE14" s="12">
        <f ca="1">IFERROR(__xludf.DUMMYFUNCTION("INDEX(IMPORTRANGE(""17pNv02DXDpQT9S3w4-QeNym2QJy2BzMBqDXp-XtzJBM"", ""'GPE'!BM3:BM139""),MATCH($D14,IMPORTRANGE(""17pNv02DXDpQT9S3w4-QeNym2QJy2BzMBqDXp-XtzJBM"", ""'GPE'!D3:D139""),0))"),135)</f>
        <v>135</v>
      </c>
    </row>
    <row r="15" spans="1:31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416</v>
      </c>
      <c r="R15" s="12">
        <v>883</v>
      </c>
      <c r="S15" s="12">
        <f ca="1">IFERROR(__xludf.DUMMYFUNCTION("INDEX(IMPORTRANGE(""17pNv02DXDpQT9S3w4-QeNym2QJy2BzMBqDXp-XtzJBM"", ""'GPE'!BG3:BG139""),MATCH($D15,IMPORTRANGE(""17pNv02DXDpQT9S3w4-QeNym2QJy2BzMBqDXp-XtzJBM"", ""'GPE'!D3:D139""),0))"),802)</f>
        <v>802</v>
      </c>
      <c r="T15" s="4"/>
      <c r="U15" s="4"/>
      <c r="V15" s="4"/>
      <c r="W15" s="4"/>
      <c r="X15" s="43"/>
      <c r="Y15" s="4"/>
      <c r="Z15" s="12">
        <f ca="1">IFERROR(__xludf.DUMMYFUNCTION("INDEX(IMPORTRANGE(""17pNv02DXDpQT9S3w4-QeNym2QJy2BzMBqDXp-XtzJBM"", ""'GPE'!BH3:BH139""),MATCH($D15,IMPORTRANGE(""17pNv02DXDpQT9S3w4-QeNym2QJy2BzMBqDXp-XtzJBM"", ""'GPE'!D3:D139""),0))"),642)</f>
        <v>642</v>
      </c>
      <c r="AA15" s="12">
        <f ca="1">IFERROR(__xludf.DUMMYFUNCTION("INDEX(IMPORTRANGE(""17pNv02DXDpQT9S3w4-QeNym2QJy2BzMBqDXp-XtzJBM"", ""'GPE'!BI3:BI139""),MATCH($D15,IMPORTRANGE(""17pNv02DXDpQT9S3w4-QeNym2QJy2BzMBqDXp-XtzJBM"", ""'GPE'!D3:D139""),0))"),1110)</f>
        <v>1110</v>
      </c>
      <c r="AB15" s="12">
        <f ca="1">IFERROR(__xludf.DUMMYFUNCTION("INDEX(IMPORTRANGE(""17pNv02DXDpQT9S3w4-QeNym2QJy2BzMBqDXp-XtzJBM"", ""'GPE'!BJ3:BJ139""),MATCH($D15,IMPORTRANGE(""17pNv02DXDpQT9S3w4-QeNym2QJy2BzMBqDXp-XtzJBM"", ""'GPE'!D3:D139""),0))"),385)</f>
        <v>385</v>
      </c>
      <c r="AC15" s="12">
        <f ca="1">IFERROR(__xludf.DUMMYFUNCTION("INDEX(IMPORTRANGE(""17pNv02DXDpQT9S3w4-QeNym2QJy2BzMBqDXp-XtzJBM"", ""'GPE'!BK3:BK139""),MATCH($D15,IMPORTRANGE(""17pNv02DXDpQT9S3w4-QeNym2QJy2BzMBqDXp-XtzJBM"", ""'GPE'!D3:D139""),0))"),875)</f>
        <v>875</v>
      </c>
      <c r="AD15" s="12">
        <f ca="1">IFERROR(__xludf.DUMMYFUNCTION("INDEX(IMPORTRANGE(""17pNv02DXDpQT9S3w4-QeNym2QJy2BzMBqDXp-XtzJBM"", ""'GPE'!BL3:BL139""),MATCH($D15,IMPORTRANGE(""17pNv02DXDpQT9S3w4-QeNym2QJy2BzMBqDXp-XtzJBM"", ""'GPE'!D3:D139""),0))"),551)</f>
        <v>551</v>
      </c>
      <c r="AE15" s="12">
        <f ca="1">IFERROR(__xludf.DUMMYFUNCTION("INDEX(IMPORTRANGE(""17pNv02DXDpQT9S3w4-QeNym2QJy2BzMBqDXp-XtzJBM"", ""'GPE'!BM3:BM139""),MATCH($D15,IMPORTRANGE(""17pNv02DXDpQT9S3w4-QeNym2QJy2BzMBqDXp-XtzJBM"", ""'GPE'!D3:D139""),0))"),831)</f>
        <v>831</v>
      </c>
    </row>
    <row r="16" spans="1:31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226</v>
      </c>
      <c r="R16" s="12">
        <v>471</v>
      </c>
      <c r="S16" s="12">
        <f ca="1">IFERROR(__xludf.DUMMYFUNCTION("INDEX(IMPORTRANGE(""17pNv02DXDpQT9S3w4-QeNym2QJy2BzMBqDXp-XtzJBM"", ""'GPE'!BG3:BG139""),MATCH($D16,IMPORTRANGE(""17pNv02DXDpQT9S3w4-QeNym2QJy2BzMBqDXp-XtzJBM"", ""'GPE'!D3:D139""),0))"),442)</f>
        <v>442</v>
      </c>
      <c r="T16" s="4"/>
      <c r="U16" s="4"/>
      <c r="V16" s="4"/>
      <c r="W16" s="4"/>
      <c r="X16" s="43"/>
      <c r="Y16" s="4"/>
      <c r="Z16" s="12">
        <f ca="1">IFERROR(__xludf.DUMMYFUNCTION("INDEX(IMPORTRANGE(""17pNv02DXDpQT9S3w4-QeNym2QJy2BzMBqDXp-XtzJBM"", ""'GPE'!BH3:BH139""),MATCH($D16,IMPORTRANGE(""17pNv02DXDpQT9S3w4-QeNym2QJy2BzMBqDXp-XtzJBM"", ""'GPE'!D3:D139""),0))"),189)</f>
        <v>189</v>
      </c>
      <c r="AA16" s="12">
        <f ca="1">IFERROR(__xludf.DUMMYFUNCTION("INDEX(IMPORTRANGE(""17pNv02DXDpQT9S3w4-QeNym2QJy2BzMBqDXp-XtzJBM"", ""'GPE'!BI3:BI139""),MATCH($D16,IMPORTRANGE(""17pNv02DXDpQT9S3w4-QeNym2QJy2BzMBqDXp-XtzJBM"", ""'GPE'!D3:D139""),0))"),359)</f>
        <v>359</v>
      </c>
      <c r="AB16" s="12">
        <f ca="1">IFERROR(__xludf.DUMMYFUNCTION("INDEX(IMPORTRANGE(""17pNv02DXDpQT9S3w4-QeNym2QJy2BzMBqDXp-XtzJBM"", ""'GPE'!BJ3:BJ139""),MATCH($D16,IMPORTRANGE(""17pNv02DXDpQT9S3w4-QeNym2QJy2BzMBqDXp-XtzJBM"", ""'GPE'!D3:D139""),0))"),123)</f>
        <v>123</v>
      </c>
      <c r="AC16" s="12">
        <f ca="1">IFERROR(__xludf.DUMMYFUNCTION("INDEX(IMPORTRANGE(""17pNv02DXDpQT9S3w4-QeNym2QJy2BzMBqDXp-XtzJBM"", ""'GPE'!BK3:BK139""),MATCH($D16,IMPORTRANGE(""17pNv02DXDpQT9S3w4-QeNym2QJy2BzMBqDXp-XtzJBM"", ""'GPE'!D3:D139""),0))"),259)</f>
        <v>259</v>
      </c>
      <c r="AD16" s="12">
        <f ca="1">IFERROR(__xludf.DUMMYFUNCTION("INDEX(IMPORTRANGE(""17pNv02DXDpQT9S3w4-QeNym2QJy2BzMBqDXp-XtzJBM"", ""'GPE'!BL3:BL139""),MATCH($D16,IMPORTRANGE(""17pNv02DXDpQT9S3w4-QeNym2QJy2BzMBqDXp-XtzJBM"", ""'GPE'!D3:D139""),0))"),173)</f>
        <v>173</v>
      </c>
      <c r="AE16" s="12">
        <f ca="1">IFERROR(__xludf.DUMMYFUNCTION("INDEX(IMPORTRANGE(""17pNv02DXDpQT9S3w4-QeNym2QJy2BzMBqDXp-XtzJBM"", ""'GPE'!BM3:BM139""),MATCH($D16,IMPORTRANGE(""17pNv02DXDpQT9S3w4-QeNym2QJy2BzMBqDXp-XtzJBM"", ""'GPE'!D3:D139""),0))"),244)</f>
        <v>244</v>
      </c>
    </row>
    <row r="17" spans="1:31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108</v>
      </c>
      <c r="R17" s="12">
        <v>216</v>
      </c>
      <c r="S17" s="12">
        <f ca="1">IFERROR(__xludf.DUMMYFUNCTION("INDEX(IMPORTRANGE(""17pNv02DXDpQT9S3w4-QeNym2QJy2BzMBqDXp-XtzJBM"", ""'GPE'!BG3:BG139""),MATCH($D17,IMPORTRANGE(""17pNv02DXDpQT9S3w4-QeNym2QJy2BzMBqDXp-XtzJBM"", ""'GPE'!D3:D139""),0))"),193)</f>
        <v>193</v>
      </c>
      <c r="T17" s="4"/>
      <c r="U17" s="4"/>
      <c r="V17" s="4"/>
      <c r="W17" s="4"/>
      <c r="X17" s="43"/>
      <c r="Y17" s="4"/>
      <c r="Z17" s="12">
        <f ca="1">IFERROR(__xludf.DUMMYFUNCTION("INDEX(IMPORTRANGE(""17pNv02DXDpQT9S3w4-QeNym2QJy2BzMBqDXp-XtzJBM"", ""'GPE'!BH3:BH139""),MATCH($D17,IMPORTRANGE(""17pNv02DXDpQT9S3w4-QeNym2QJy2BzMBqDXp-XtzJBM"", ""'GPE'!D3:D139""),0))"),75)</f>
        <v>75</v>
      </c>
      <c r="AA17" s="12">
        <f ca="1">IFERROR(__xludf.DUMMYFUNCTION("INDEX(IMPORTRANGE(""17pNv02DXDpQT9S3w4-QeNym2QJy2BzMBqDXp-XtzJBM"", ""'GPE'!BI3:BI139""),MATCH($D17,IMPORTRANGE(""17pNv02DXDpQT9S3w4-QeNym2QJy2BzMBqDXp-XtzJBM"", ""'GPE'!D3:D139""),0))"),129)</f>
        <v>129</v>
      </c>
      <c r="AB17" s="12">
        <f ca="1">IFERROR(__xludf.DUMMYFUNCTION("INDEX(IMPORTRANGE(""17pNv02DXDpQT9S3w4-QeNym2QJy2BzMBqDXp-XtzJBM"", ""'GPE'!BJ3:BJ139""),MATCH($D17,IMPORTRANGE(""17pNv02DXDpQT9S3w4-QeNym2QJy2BzMBqDXp-XtzJBM"", ""'GPE'!D3:D139""),0))"),49)</f>
        <v>49</v>
      </c>
      <c r="AC17" s="12">
        <f ca="1">IFERROR(__xludf.DUMMYFUNCTION("INDEX(IMPORTRANGE(""17pNv02DXDpQT9S3w4-QeNym2QJy2BzMBqDXp-XtzJBM"", ""'GPE'!BK3:BK139""),MATCH($D17,IMPORTRANGE(""17pNv02DXDpQT9S3w4-QeNym2QJy2BzMBqDXp-XtzJBM"", ""'GPE'!D3:D139""),0))"),82)</f>
        <v>82</v>
      </c>
      <c r="AD17" s="12">
        <f ca="1">IFERROR(__xludf.DUMMYFUNCTION("INDEX(IMPORTRANGE(""17pNv02DXDpQT9S3w4-QeNym2QJy2BzMBqDXp-XtzJBM"", ""'GPE'!BL3:BL139""),MATCH($D17,IMPORTRANGE(""17pNv02DXDpQT9S3w4-QeNym2QJy2BzMBqDXp-XtzJBM"", ""'GPE'!D3:D139""),0))"),58)</f>
        <v>58</v>
      </c>
      <c r="AE17" s="12">
        <f ca="1">IFERROR(__xludf.DUMMYFUNCTION("INDEX(IMPORTRANGE(""17pNv02DXDpQT9S3w4-QeNym2QJy2BzMBqDXp-XtzJBM"", ""'GPE'!BM3:BM139""),MATCH($D17,IMPORTRANGE(""17pNv02DXDpQT9S3w4-QeNym2QJy2BzMBqDXp-XtzJBM"", ""'GPE'!D3:D139""),0))"),84)</f>
        <v>84</v>
      </c>
    </row>
    <row r="18" spans="1:31">
      <c r="A18" s="16" t="s">
        <v>52</v>
      </c>
      <c r="B18" s="16" t="s">
        <v>68</v>
      </c>
      <c r="C18" s="8" t="s">
        <v>30</v>
      </c>
      <c r="D18" s="16" t="s">
        <v>342</v>
      </c>
      <c r="E18" s="16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9" t="s">
        <v>363</v>
      </c>
      <c r="P18" s="21" t="s">
        <v>349</v>
      </c>
      <c r="Q18" s="262">
        <f t="shared" ref="Q18:R18" si="4">SUM(Q14:Q17)</f>
        <v>964</v>
      </c>
      <c r="R18" s="262">
        <f t="shared" si="4"/>
        <v>2024</v>
      </c>
      <c r="S18" s="262">
        <f ca="1">IFERROR(__xludf.DUMMYFUNCTION("INDEX(IMPORTRANGE(""17pNv02DXDpQT9S3w4-QeNym2QJy2BzMBqDXp-XtzJBM"", ""'GPE'!BG3:BG139""),MATCH($D18,IMPORTRANGE(""17pNv02DXDpQT9S3w4-QeNym2QJy2BzMBqDXp-XtzJBM"", ""'GPE'!D3:D139""),0))"),1852)</f>
        <v>1852</v>
      </c>
      <c r="T18" s="360"/>
      <c r="U18" s="360"/>
      <c r="V18" s="360"/>
      <c r="W18" s="360"/>
      <c r="X18" s="360"/>
      <c r="Y18" s="360"/>
      <c r="Z18" s="262">
        <f ca="1">IFERROR(__xludf.DUMMYFUNCTION("INDEX(IMPORTRANGE(""17pNv02DXDpQT9S3w4-QeNym2QJy2BzMBqDXp-XtzJBM"", ""'GPE'!BH3:BH139""),MATCH($D18,IMPORTRANGE(""17pNv02DXDpQT9S3w4-QeNym2QJy2BzMBqDXp-XtzJBM"", ""'GPE'!D3:D139""),0))"),1092)</f>
        <v>1092</v>
      </c>
      <c r="AA18" s="262">
        <f ca="1">IFERROR(__xludf.DUMMYFUNCTION("INDEX(IMPORTRANGE(""17pNv02DXDpQT9S3w4-QeNym2QJy2BzMBqDXp-XtzJBM"", ""'GPE'!BI3:BI139""),MATCH($D18,IMPORTRANGE(""17pNv02DXDpQT9S3w4-QeNym2QJy2BzMBqDXp-XtzJBM"", ""'GPE'!D3:D139""),0))"),1922)</f>
        <v>1922</v>
      </c>
      <c r="AB18" s="262">
        <f ca="1">IFERROR(__xludf.DUMMYFUNCTION("INDEX(IMPORTRANGE(""17pNv02DXDpQT9S3w4-QeNym2QJy2BzMBqDXp-XtzJBM"", ""'GPE'!BJ3:BJ139""),MATCH($D18,IMPORTRANGE(""17pNv02DXDpQT9S3w4-QeNym2QJy2BzMBqDXp-XtzJBM"", ""'GPE'!D3:D139""),0))"),653)</f>
        <v>653</v>
      </c>
      <c r="AC18" s="262">
        <f ca="1">IFERROR(__xludf.DUMMYFUNCTION("INDEX(IMPORTRANGE(""17pNv02DXDpQT9S3w4-QeNym2QJy2BzMBqDXp-XtzJBM"", ""'GPE'!BK3:BK139""),MATCH($D18,IMPORTRANGE(""17pNv02DXDpQT9S3w4-QeNym2QJy2BzMBqDXp-XtzJBM"", ""'GPE'!D3:D139""),0))"),1418)</f>
        <v>1418</v>
      </c>
      <c r="AD18" s="262">
        <f ca="1">IFERROR(__xludf.DUMMYFUNCTION("INDEX(IMPORTRANGE(""17pNv02DXDpQT9S3w4-QeNym2QJy2BzMBqDXp-XtzJBM"", ""'GPE'!BL3:BL139""),MATCH($D18,IMPORTRANGE(""17pNv02DXDpQT9S3w4-QeNym2QJy2BzMBqDXp-XtzJBM"", ""'GPE'!D3:D139""),0))"),863)</f>
        <v>863</v>
      </c>
      <c r="AE18" s="262">
        <f ca="1">IFERROR(__xludf.DUMMYFUNCTION("INDEX(IMPORTRANGE(""17pNv02DXDpQT9S3w4-QeNym2QJy2BzMBqDXp-XtzJBM"", ""'GPE'!BM3:BM139""),MATCH($D18,IMPORTRANGE(""17pNv02DXDpQT9S3w4-QeNym2QJy2BzMBqDXp-XtzJBM"", ""'GPE'!D3:D139""),0))"),1294)</f>
        <v>1294</v>
      </c>
    </row>
    <row r="19" spans="1:31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134.74187984490706</v>
      </c>
      <c r="R19" s="23">
        <f t="shared" si="5"/>
        <v>282.90203818059325</v>
      </c>
      <c r="S19" s="23">
        <f ca="1">IFERROR(__xludf.DUMMYFUNCTION("INDEX(IMPORTRANGE(""17pNv02DXDpQT9S3w4-QeNym2QJy2BzMBqDXp-XtzJBM"", ""'GPE'!BG3:BG139""),MATCH($D19,IMPORTRANGE(""17pNv02DXDpQT9S3w4-QeNym2QJy2BzMBqDXp-XtzJBM"", ""'GPE'!D3:D139""),0))"),258.860955884614)</f>
        <v>258.86095588461399</v>
      </c>
      <c r="T19" s="24">
        <f>(1-0.1%)*R19</f>
        <v>282.61913614241269</v>
      </c>
      <c r="U19" s="24">
        <f>(1-0.25%)*Q19</f>
        <v>134.40502514529479</v>
      </c>
      <c r="V19" s="24">
        <f>(1-0.4%)*R19</f>
        <v>281.77043002787087</v>
      </c>
      <c r="W19" s="24">
        <f>(1-0.6%)*Q19</f>
        <v>133.93342856583763</v>
      </c>
      <c r="X19" s="24">
        <f ca="1">+S19*(1+(Y19-R19)/R19)</f>
        <v>256.27234632576784</v>
      </c>
      <c r="Y19" s="24">
        <f>(1-1%)*R19</f>
        <v>280.0730177987873</v>
      </c>
      <c r="Z19" s="23">
        <f ca="1">IFERROR(__xludf.DUMMYFUNCTION("INDEX(IMPORTRANGE(""17pNv02DXDpQT9S3w4-QeNym2QJy2BzMBqDXp-XtzJBM"", ""'GPE'!BH3:BH139""),MATCH($D19,IMPORTRANGE(""17pNv02DXDpQT9S3w4-QeNym2QJy2BzMBqDXp-XtzJBM"", ""'GPE'!D3:D139""),0))"),151.362050539955)</f>
        <v>151.36205053995499</v>
      </c>
      <c r="AA19" s="23">
        <f ca="1">IFERROR(__xludf.DUMMYFUNCTION("INDEX(IMPORTRANGE(""17pNv02DXDpQT9S3w4-QeNym2QJy2BzMBqDXp-XtzJBM"", ""'GPE'!BI3:BI139""),MATCH($D19,IMPORTRANGE(""17pNv02DXDpQT9S3w4-QeNym2QJy2BzMBqDXp-XtzJBM"", ""'GPE'!D3:D139""),0))"),266.408297745232)</f>
        <v>266.40829774523201</v>
      </c>
      <c r="AB19" s="23">
        <f ca="1">IFERROR(__xludf.DUMMYFUNCTION("INDEX(IMPORTRANGE(""17pNv02DXDpQT9S3w4-QeNym2QJy2BzMBqDXp-XtzJBM"", ""'GPE'!BJ3:BJ139""),MATCH($D19,IMPORTRANGE(""17pNv02DXDpQT9S3w4-QeNym2QJy2BzMBqDXp-XtzJBM"", ""'GPE'!D3:D139""),0))"),89.6311944008641)</f>
        <v>89.631194400864103</v>
      </c>
      <c r="AC19" s="23">
        <f ca="1">IFERROR(__xludf.DUMMYFUNCTION("INDEX(IMPORTRANGE(""17pNv02DXDpQT9S3w4-QeNym2QJy2BzMBqDXp-XtzJBM"", ""'GPE'!BK3:BK139""),MATCH($D19,IMPORTRANGE(""17pNv02DXDpQT9S3w4-QeNym2QJy2BzMBqDXp-XtzJBM"", ""'GPE'!D3:D139""),0))"),194.63557987814)</f>
        <v>194.63557987813999</v>
      </c>
      <c r="AD19" s="23">
        <f ca="1">IFERROR(__xludf.DUMMYFUNCTION("INDEX(IMPORTRANGE(""17pNv02DXDpQT9S3w4-QeNym2QJy2BzMBqDXp-XtzJBM"", ""'GPE'!BL3:BL139""),MATCH($D19,IMPORTRANGE(""17pNv02DXDpQT9S3w4-QeNym2QJy2BzMBqDXp-XtzJBM"", ""'GPE'!D3:D139""),0))"),117.124306482959)</f>
        <v>117.124306482959</v>
      </c>
      <c r="AE19" s="23">
        <f ca="1">IFERROR(__xludf.DUMMYFUNCTION("INDEX(IMPORTRANGE(""17pNv02DXDpQT9S3w4-QeNym2QJy2BzMBqDXp-XtzJBM"", ""'GPE'!BM3:BM139""),MATCH($D19,IMPORTRANGE(""17pNv02DXDpQT9S3w4-QeNym2QJy2BzMBqDXp-XtzJBM"", ""'GPE'!D3:D139""),0))"),175.618600914193)</f>
        <v>175.618600914193</v>
      </c>
    </row>
    <row r="20" spans="1:31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1839</v>
      </c>
      <c r="R20" s="12">
        <v>3825</v>
      </c>
      <c r="S20" s="12">
        <f ca="1">IFERROR(__xludf.DUMMYFUNCTION("INDEX(IMPORTRANGE(""17pNv02DXDpQT9S3w4-QeNym2QJy2BzMBqDXp-XtzJBM"", ""'GPE'!BG3:BG139""),MATCH($D20,IMPORTRANGE(""17pNv02DXDpQT9S3w4-QeNym2QJy2BzMBqDXp-XtzJBM"", ""'GPE'!D3:D139""),0))"),3517)</f>
        <v>3517</v>
      </c>
      <c r="T20" s="4"/>
      <c r="U20" s="4"/>
      <c r="V20" s="4"/>
      <c r="W20" s="4"/>
      <c r="X20" s="4"/>
      <c r="Y20" s="4"/>
      <c r="Z20" s="12">
        <f ca="1">IFERROR(__xludf.DUMMYFUNCTION("INDEX(IMPORTRANGE(""17pNv02DXDpQT9S3w4-QeNym2QJy2BzMBqDXp-XtzJBM"", ""'GPE'!BH3:BH139""),MATCH($D20,IMPORTRANGE(""17pNv02DXDpQT9S3w4-QeNym2QJy2BzMBqDXp-XtzJBM"", ""'GPE'!D3:D139""),0))"),1720)</f>
        <v>1720</v>
      </c>
      <c r="AA20" s="12">
        <f ca="1">IFERROR(__xludf.DUMMYFUNCTION("INDEX(IMPORTRANGE(""17pNv02DXDpQT9S3w4-QeNym2QJy2BzMBqDXp-XtzJBM"", ""'GPE'!BI3:BI139""),MATCH($D20,IMPORTRANGE(""17pNv02DXDpQT9S3w4-QeNym2QJy2BzMBqDXp-XtzJBM"", ""'GPE'!D3:D139""),0))"),3807)</f>
        <v>3807</v>
      </c>
      <c r="AB20" s="12">
        <f ca="1">IFERROR(__xludf.DUMMYFUNCTION("INDEX(IMPORTRANGE(""17pNv02DXDpQT9S3w4-QeNym2QJy2BzMBqDXp-XtzJBM"", ""'GPE'!BJ3:BJ139""),MATCH($D20,IMPORTRANGE(""17pNv02DXDpQT9S3w4-QeNym2QJy2BzMBqDXp-XtzJBM"", ""'GPE'!D3:D139""),0))"),1454)</f>
        <v>1454</v>
      </c>
      <c r="AC20" s="12">
        <f ca="1">IFERROR(__xludf.DUMMYFUNCTION("INDEX(IMPORTRANGE(""17pNv02DXDpQT9S3w4-QeNym2QJy2BzMBqDXp-XtzJBM"", ""'GPE'!BK3:BK139""),MATCH($D20,IMPORTRANGE(""17pNv02DXDpQT9S3w4-QeNym2QJy2BzMBqDXp-XtzJBM"", ""'GPE'!D3:D139""),0))"),2867)</f>
        <v>2867</v>
      </c>
      <c r="AD20" s="12">
        <f ca="1">IFERROR(__xludf.DUMMYFUNCTION("INDEX(IMPORTRANGE(""17pNv02DXDpQT9S3w4-QeNym2QJy2BzMBqDXp-XtzJBM"", ""'GPE'!BL3:BL139""),MATCH($D20,IMPORTRANGE(""17pNv02DXDpQT9S3w4-QeNym2QJy2BzMBqDXp-XtzJBM"", ""'GPE'!D3:D139""),0))"),292)</f>
        <v>292</v>
      </c>
      <c r="AE20" s="12">
        <f ca="1">IFERROR(__xludf.DUMMYFUNCTION("INDEX(IMPORTRANGE(""17pNv02DXDpQT9S3w4-QeNym2QJy2BzMBqDXp-XtzJBM"", ""'GPE'!BM3:BM139""),MATCH($D20,IMPORTRANGE(""17pNv02DXDpQT9S3w4-QeNym2QJy2BzMBqDXp-XtzJBM"", ""'GPE'!D3:D139""),0))"),519)</f>
        <v>519</v>
      </c>
    </row>
    <row r="21" spans="1:31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257.04389733898768</v>
      </c>
      <c r="R21" s="23">
        <f t="shared" si="6"/>
        <v>534.63453361698089</v>
      </c>
      <c r="S21" s="23">
        <f ca="1">IFERROR(__xludf.DUMMYFUNCTION("INDEX(IMPORTRANGE(""17pNv02DXDpQT9S3w4-QeNym2QJy2BzMBqDXp-XtzJBM"", ""'GPE'!BG3:BG139""),MATCH($D21,IMPORTRANGE(""17pNv02DXDpQT9S3w4-QeNym2QJy2BzMBqDXp-XtzJBM"", ""'GPE'!D3:D139""),0))"),491.584223459064)</f>
        <v>491.58422345906399</v>
      </c>
      <c r="T21" s="24">
        <f>(1-0.1%)*R21</f>
        <v>534.09989908336388</v>
      </c>
      <c r="U21" s="24">
        <f>(1-0.25%)*Q21</f>
        <v>256.40128759564021</v>
      </c>
      <c r="V21" s="24">
        <f>(1-0.4%)*R21</f>
        <v>532.49599548251297</v>
      </c>
      <c r="W21" s="24">
        <f>(1-0.6%)*Q21</f>
        <v>255.50163395495375</v>
      </c>
      <c r="X21" s="24">
        <f ca="1">+S21*(1+(Y21-R21)/R21)</f>
        <v>486.66838122447331</v>
      </c>
      <c r="Y21" s="24">
        <f>(1-1%)*R21</f>
        <v>529.28818828081103</v>
      </c>
      <c r="Z21" s="23">
        <f ca="1">IFERROR(__xludf.DUMMYFUNCTION("INDEX(IMPORTRANGE(""17pNv02DXDpQT9S3w4-QeNym2QJy2BzMBqDXp-XtzJBM"", ""'GPE'!BH3:BH139""),MATCH($D21,IMPORTRANGE(""17pNv02DXDpQT9S3w4-QeNym2QJy2BzMBqDXp-XtzJBM"", ""'GPE'!D3:D139""),0))"),238.409090594068)</f>
        <v>238.409090594068</v>
      </c>
      <c r="AA21" s="23">
        <f ca="1">IFERROR(__xludf.DUMMYFUNCTION("INDEX(IMPORTRANGE(""17pNv02DXDpQT9S3w4-QeNym2QJy2BzMBqDXp-XtzJBM"", ""'GPE'!BI3:BI139""),MATCH($D21,IMPORTRANGE(""17pNv02DXDpQT9S3w4-QeNym2QJy2BzMBqDXp-XtzJBM"", ""'GPE'!D3:D139""),0))"),527.688027843964)</f>
        <v>527.68802784396405</v>
      </c>
      <c r="AB21" s="23">
        <f ca="1">IFERROR(__xludf.DUMMYFUNCTION("INDEX(IMPORTRANGE(""17pNv02DXDpQT9S3w4-QeNym2QJy2BzMBqDXp-XtzJBM"", ""'GPE'!BJ3:BJ139""),MATCH($D21,IMPORTRANGE(""17pNv02DXDpQT9S3w4-QeNym2QJy2BzMBqDXp-XtzJBM"", ""'GPE'!D3:D139""),0))"),199.576962724129)</f>
        <v>199.576962724129</v>
      </c>
      <c r="AC21" s="23">
        <f ca="1">IFERROR(__xludf.DUMMYFUNCTION("INDEX(IMPORTRANGE(""17pNv02DXDpQT9S3w4-QeNym2QJy2BzMBqDXp-XtzJBM"", ""'GPE'!BK3:BK139""),MATCH($D21,IMPORTRANGE(""17pNv02DXDpQT9S3w4-QeNym2QJy2BzMBqDXp-XtzJBM"", ""'GPE'!D3:D139""),0))"),393.526239429215)</f>
        <v>393.52623942921502</v>
      </c>
      <c r="AD21" s="23">
        <f ca="1">IFERROR(__xludf.DUMMYFUNCTION("INDEX(IMPORTRANGE(""17pNv02DXDpQT9S3w4-QeNym2QJy2BzMBqDXp-XtzJBM"", ""'GPE'!BL3:BL139""),MATCH($D21,IMPORTRANGE(""17pNv02DXDpQT9S3w4-QeNym2QJy2BzMBqDXp-XtzJBM"", ""'GPE'!D3:D139""),0))"),39.6295451831102)</f>
        <v>39.629545183110203</v>
      </c>
      <c r="AE21" s="23">
        <f ca="1">IFERROR(__xludf.DUMMYFUNCTION("INDEX(IMPORTRANGE(""17pNv02DXDpQT9S3w4-QeNym2QJy2BzMBqDXp-XtzJBM"", ""'GPE'!BM3:BM139""),MATCH($D21,IMPORTRANGE(""17pNv02DXDpQT9S3w4-QeNym2QJy2BzMBqDXp-XtzJBM"", ""'GPE'!D3:D139""),0))"),70.4374450343636)</f>
        <v>70.437445034363606</v>
      </c>
    </row>
    <row r="22" spans="1:31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326</v>
      </c>
      <c r="R22" s="12">
        <v>664</v>
      </c>
      <c r="S22" s="12">
        <f ca="1">IFERROR(__xludf.DUMMYFUNCTION("INDEX(IMPORTRANGE(""17pNv02DXDpQT9S3w4-QeNym2QJy2BzMBqDXp-XtzJBM"", ""'GPE'!BG3:BG139""),MATCH($D22,IMPORTRANGE(""17pNv02DXDpQT9S3w4-QeNym2QJy2BzMBqDXp-XtzJBM"", ""'GPE'!D3:D139""),0))"),614)</f>
        <v>614</v>
      </c>
      <c r="T22" s="4"/>
      <c r="U22" s="4"/>
      <c r="V22" s="4"/>
      <c r="W22" s="4"/>
      <c r="X22" s="4"/>
      <c r="Y22" s="4"/>
      <c r="Z22" s="12">
        <f ca="1">IFERROR(__xludf.DUMMYFUNCTION("INDEX(IMPORTRANGE(""17pNv02DXDpQT9S3w4-QeNym2QJy2BzMBqDXp-XtzJBM"", ""'GPE'!BH3:BH139""),MATCH($D22,IMPORTRANGE(""17pNv02DXDpQT9S3w4-QeNym2QJy2BzMBqDXp-XtzJBM"", ""'GPE'!D3:D139""),0))"),260)</f>
        <v>260</v>
      </c>
      <c r="AA22" s="12">
        <f ca="1">IFERROR(__xludf.DUMMYFUNCTION("INDEX(IMPORTRANGE(""17pNv02DXDpQT9S3w4-QeNym2QJy2BzMBqDXp-XtzJBM"", ""'GPE'!BI3:BI139""),MATCH($D22,IMPORTRANGE(""17pNv02DXDpQT9S3w4-QeNym2QJy2BzMBqDXp-XtzJBM"", ""'GPE'!D3:D139""),0))"),651)</f>
        <v>651</v>
      </c>
      <c r="AB22" s="12">
        <f ca="1">IFERROR(__xludf.DUMMYFUNCTION("INDEX(IMPORTRANGE(""17pNv02DXDpQT9S3w4-QeNym2QJy2BzMBqDXp-XtzJBM"", ""'GPE'!BJ3:BJ139""),MATCH($D22,IMPORTRANGE(""17pNv02DXDpQT9S3w4-QeNym2QJy2BzMBqDXp-XtzJBM"", ""'GPE'!D3:D139""),0))"),225)</f>
        <v>225</v>
      </c>
      <c r="AC22" s="12">
        <f ca="1">IFERROR(__xludf.DUMMYFUNCTION("INDEX(IMPORTRANGE(""17pNv02DXDpQT9S3w4-QeNym2QJy2BzMBqDXp-XtzJBM"", ""'GPE'!BK3:BK139""),MATCH($D22,IMPORTRANGE(""17pNv02DXDpQT9S3w4-QeNym2QJy2BzMBqDXp-XtzJBM"", ""'GPE'!D3:D139""),0))"),398)</f>
        <v>398</v>
      </c>
      <c r="AD22" s="12">
        <f ca="1">IFERROR(__xludf.DUMMYFUNCTION("INDEX(IMPORTRANGE(""17pNv02DXDpQT9S3w4-QeNym2QJy2BzMBqDXp-XtzJBM"", ""'GPE'!BL3:BL139""),MATCH($D22,IMPORTRANGE(""17pNv02DXDpQT9S3w4-QeNym2QJy2BzMBqDXp-XtzJBM"", ""'GPE'!D3:D139""),0))"),35)</f>
        <v>35</v>
      </c>
      <c r="AE22" s="12">
        <f ca="1">IFERROR(__xludf.DUMMYFUNCTION("INDEX(IMPORTRANGE(""17pNv02DXDpQT9S3w4-QeNym2QJy2BzMBqDXp-XtzJBM"", ""'GPE'!BM3:BM139""),MATCH($D22,IMPORTRANGE(""17pNv02DXDpQT9S3w4-QeNym2QJy2BzMBqDXp-XtzJBM"", ""'GPE'!D3:D139""),0))"),63)</f>
        <v>63</v>
      </c>
    </row>
    <row r="23" spans="1:31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45.566237374937451</v>
      </c>
      <c r="R23" s="23">
        <f t="shared" si="7"/>
        <v>92.809759561222293</v>
      </c>
      <c r="S23" s="23">
        <f ca="1">IFERROR(__xludf.DUMMYFUNCTION("INDEX(IMPORTRANGE(""17pNv02DXDpQT9S3w4-QeNym2QJy2BzMBqDXp-XtzJBM"", ""'GPE'!BG3:BG139""),MATCH($D23,IMPORTRANGE(""17pNv02DXDpQT9S3w4-QeNym2QJy2BzMBqDXp-XtzJBM"", ""'GPE'!D3:D139""),0))"),85.8210728472748)</f>
        <v>85.821072847274806</v>
      </c>
      <c r="T23" s="24">
        <f>(1-0.1%)*R23</f>
        <v>92.716949801661073</v>
      </c>
      <c r="U23" s="24">
        <f>(1-0.25%)*Q23</f>
        <v>45.45232178150011</v>
      </c>
      <c r="V23" s="24">
        <f>(1-0.4%)*R23</f>
        <v>92.438520522977399</v>
      </c>
      <c r="W23" s="24">
        <f>(1-0.6%)*Q23</f>
        <v>45.292839950687828</v>
      </c>
      <c r="X23" s="24">
        <f ca="1">+S23*(1+(Y23-R23)/R23)</f>
        <v>84.96286211880205</v>
      </c>
      <c r="Y23" s="24">
        <f>(1-1%)*R23</f>
        <v>91.881661965610064</v>
      </c>
      <c r="Z23" s="23">
        <f ca="1">IFERROR(__xludf.DUMMYFUNCTION("INDEX(IMPORTRANGE(""17pNv02DXDpQT9S3w4-QeNym2QJy2BzMBqDXp-XtzJBM"", ""'GPE'!BH3:BH139""),MATCH($D23,IMPORTRANGE(""17pNv02DXDpQT9S3w4-QeNym2QJy2BzMBqDXp-XtzJBM"", ""'GPE'!D3:D139""),0))"),36.038583461894)</f>
        <v>36.038583461894</v>
      </c>
      <c r="AA23" s="23">
        <f ca="1">IFERROR(__xludf.DUMMYFUNCTION("INDEX(IMPORTRANGE(""17pNv02DXDpQT9S3w4-QeNym2QJy2BzMBqDXp-XtzJBM"", ""'GPE'!BI3:BI139""),MATCH($D23,IMPORTRANGE(""17pNv02DXDpQT9S3w4-QeNym2QJy2BzMBqDXp-XtzJBM"", ""'GPE'!D3:D139""),0))"),90.235068591127)</f>
        <v>90.235068591127003</v>
      </c>
      <c r="AB23" s="23">
        <f ca="1">IFERROR(__xludf.DUMMYFUNCTION("INDEX(IMPORTRANGE(""17pNv02DXDpQT9S3w4-QeNym2QJy2BzMBqDXp-XtzJBM"", ""'GPE'!BJ3:BJ139""),MATCH($D23,IMPORTRANGE(""17pNv02DXDpQT9S3w4-QeNym2QJy2BzMBqDXp-XtzJBM"", ""'GPE'!D3:D139""),0))"),30.883642787434)</f>
        <v>30.883642787433999</v>
      </c>
      <c r="AC23" s="23">
        <f ca="1">IFERROR(__xludf.DUMMYFUNCTION("INDEX(IMPORTRANGE(""17pNv02DXDpQT9S3w4-QeNym2QJy2BzMBqDXp-XtzJBM"", ""'GPE'!BK3:BK139""),MATCH($D23,IMPORTRANGE(""17pNv02DXDpQT9S3w4-QeNym2QJy2BzMBqDXp-XtzJBM"", ""'GPE'!D3:D139""),0))"),54.6297325751055)</f>
        <v>54.6297325751055</v>
      </c>
      <c r="AD23" s="23">
        <f ca="1">IFERROR(__xludf.DUMMYFUNCTION("INDEX(IMPORTRANGE(""17pNv02DXDpQT9S3w4-QeNym2QJy2BzMBqDXp-XtzJBM"", ""'GPE'!BL3:BL139""),MATCH($D23,IMPORTRANGE(""17pNv02DXDpQT9S3w4-QeNym2QJy2BzMBqDXp-XtzJBM"", ""'GPE'!D3:D139""),0))"),4.75011671715362)</f>
        <v>4.7501167171536203</v>
      </c>
      <c r="AE23" s="23">
        <f ca="1">IFERROR(__xludf.DUMMYFUNCTION("INDEX(IMPORTRANGE(""17pNv02DXDpQT9S3w4-QeNym2QJy2BzMBqDXp-XtzJBM"", ""'GPE'!BM3:BM139""),MATCH($D23,IMPORTRANGE(""17pNv02DXDpQT9S3w4-QeNym2QJy2BzMBqDXp-XtzJBM"", ""'GPE'!D3:D139""),0))"),8.55021009087651)</f>
        <v>8.5502100908765097</v>
      </c>
    </row>
    <row r="24" spans="1:31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2">
        <v>12</v>
      </c>
      <c r="R24" s="2">
        <v>41</v>
      </c>
      <c r="S24" s="2">
        <f ca="1">IFERROR(__xludf.DUMMYFUNCTION("INDEX(IMPORTRANGE(""17pNv02DXDpQT9S3w4-QeNym2QJy2BzMBqDXp-XtzJBM"", ""'GPE'!BG3:BG139""),MATCH($D24,IMPORTRANGE(""17pNv02DXDpQT9S3w4-QeNym2QJy2BzMBqDXp-XtzJBM"", ""'GPE'!D3:D139""),0))"),36)</f>
        <v>36</v>
      </c>
      <c r="T24" s="4"/>
      <c r="U24" s="4"/>
      <c r="V24" s="4"/>
      <c r="W24" s="4"/>
      <c r="X24" s="43"/>
      <c r="Y24" s="4"/>
      <c r="Z24" s="2">
        <f ca="1">IFERROR(__xludf.DUMMYFUNCTION("INDEX(IMPORTRANGE(""17pNv02DXDpQT9S3w4-QeNym2QJy2BzMBqDXp-XtzJBM"", ""'GPE'!BH3:BH139""),MATCH($D24,IMPORTRANGE(""17pNv02DXDpQT9S3w4-QeNym2QJy2BzMBqDXp-XtzJBM"", ""'GPE'!D3:D139""),0))"),22)</f>
        <v>22</v>
      </c>
      <c r="AA24" s="2">
        <f ca="1">IFERROR(__xludf.DUMMYFUNCTION("INDEX(IMPORTRANGE(""17pNv02DXDpQT9S3w4-QeNym2QJy2BzMBqDXp-XtzJBM"", ""'GPE'!BI3:BI139""),MATCH($D24,IMPORTRANGE(""17pNv02DXDpQT9S3w4-QeNym2QJy2BzMBqDXp-XtzJBM"", ""'GPE'!D3:D139""),0))"),41)</f>
        <v>41</v>
      </c>
      <c r="AB24" s="2">
        <f ca="1">IFERROR(__xludf.DUMMYFUNCTION("INDEX(IMPORTRANGE(""17pNv02DXDpQT9S3w4-QeNym2QJy2BzMBqDXp-XtzJBM"", ""'GPE'!BJ3:BJ139""),MATCH($D24,IMPORTRANGE(""17pNv02DXDpQT9S3w4-QeNym2QJy2BzMBqDXp-XtzJBM"", ""'GPE'!D3:D139""),0))"),23)</f>
        <v>23</v>
      </c>
      <c r="AC24" s="2">
        <f ca="1">IFERROR(__xludf.DUMMYFUNCTION("INDEX(IMPORTRANGE(""17pNv02DXDpQT9S3w4-QeNym2QJy2BzMBqDXp-XtzJBM"", ""'GPE'!BK3:BK139""),MATCH($D24,IMPORTRANGE(""17pNv02DXDpQT9S3w4-QeNym2QJy2BzMBqDXp-XtzJBM"", ""'GPE'!D3:D139""),0))"),43)</f>
        <v>43</v>
      </c>
      <c r="AD24" s="2">
        <f ca="1">IFERROR(__xludf.DUMMYFUNCTION("INDEX(IMPORTRANGE(""17pNv02DXDpQT9S3w4-QeNym2QJy2BzMBqDXp-XtzJBM"", ""'GPE'!BL3:BL139""),MATCH($D24,IMPORTRANGE(""17pNv02DXDpQT9S3w4-QeNym2QJy2BzMBqDXp-XtzJBM"", ""'GPE'!D3:D139""),0))"),15)</f>
        <v>15</v>
      </c>
      <c r="AE24" s="2">
        <f ca="1">IFERROR(__xludf.DUMMYFUNCTION("INDEX(IMPORTRANGE(""17pNv02DXDpQT9S3w4-QeNym2QJy2BzMBqDXp-XtzJBM"", ""'GPE'!BM3:BM139""),MATCH($D24,IMPORTRANGE(""17pNv02DXDpQT9S3w4-QeNym2QJy2BzMBqDXp-XtzJBM"", ""'GPE'!D3:D139""),0))"),32)</f>
        <v>32</v>
      </c>
    </row>
    <row r="25" spans="1:31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2">
        <v>12</v>
      </c>
      <c r="R25" s="2">
        <v>36</v>
      </c>
      <c r="S25" s="2">
        <f ca="1">IFERROR(__xludf.DUMMYFUNCTION("INDEX(IMPORTRANGE(""17pNv02DXDpQT9S3w4-QeNym2QJy2BzMBqDXp-XtzJBM"", ""'GPE'!BG3:BG139""),MATCH($D25,IMPORTRANGE(""17pNv02DXDpQT9S3w4-QeNym2QJy2BzMBqDXp-XtzJBM"", ""'GPE'!D3:D139""),0))"),32)</f>
        <v>32</v>
      </c>
      <c r="T25" s="4"/>
      <c r="U25" s="4"/>
      <c r="V25" s="4"/>
      <c r="W25" s="4"/>
      <c r="X25" s="43"/>
      <c r="Y25" s="4"/>
      <c r="Z25" s="2">
        <f ca="1">IFERROR(__xludf.DUMMYFUNCTION("INDEX(IMPORTRANGE(""17pNv02DXDpQT9S3w4-QeNym2QJy2BzMBqDXp-XtzJBM"", ""'GPE'!BH3:BH139""),MATCH($D25,IMPORTRANGE(""17pNv02DXDpQT9S3w4-QeNym2QJy2BzMBqDXp-XtzJBM"", ""'GPE'!D3:D139""),0))"),24)</f>
        <v>24</v>
      </c>
      <c r="AA25" s="2">
        <f ca="1">IFERROR(__xludf.DUMMYFUNCTION("INDEX(IMPORTRANGE(""17pNv02DXDpQT9S3w4-QeNym2QJy2BzMBqDXp-XtzJBM"", ""'GPE'!BI3:BI139""),MATCH($D25,IMPORTRANGE(""17pNv02DXDpQT9S3w4-QeNym2QJy2BzMBqDXp-XtzJBM"", ""'GPE'!D3:D139""),0))"),54)</f>
        <v>54</v>
      </c>
      <c r="AB25" s="2">
        <f ca="1">IFERROR(__xludf.DUMMYFUNCTION("INDEX(IMPORTRANGE(""17pNv02DXDpQT9S3w4-QeNym2QJy2BzMBqDXp-XtzJBM"", ""'GPE'!BJ3:BJ139""),MATCH($D25,IMPORTRANGE(""17pNv02DXDpQT9S3w4-QeNym2QJy2BzMBqDXp-XtzJBM"", ""'GPE'!D3:D139""),0))"),27)</f>
        <v>27</v>
      </c>
      <c r="AC25" s="2">
        <f ca="1">IFERROR(__xludf.DUMMYFUNCTION("INDEX(IMPORTRANGE(""17pNv02DXDpQT9S3w4-QeNym2QJy2BzMBqDXp-XtzJBM"", ""'GPE'!BK3:BK139""),MATCH($D25,IMPORTRANGE(""17pNv02DXDpQT9S3w4-QeNym2QJy2BzMBqDXp-XtzJBM"", ""'GPE'!D3:D139""),0))"),39)</f>
        <v>39</v>
      </c>
      <c r="AD25" s="2">
        <f ca="1">IFERROR(__xludf.DUMMYFUNCTION("INDEX(IMPORTRANGE(""17pNv02DXDpQT9S3w4-QeNym2QJy2BzMBqDXp-XtzJBM"", ""'GPE'!BL3:BL139""),MATCH($D25,IMPORTRANGE(""17pNv02DXDpQT9S3w4-QeNym2QJy2BzMBqDXp-XtzJBM"", ""'GPE'!D3:D139""),0))"),6)</f>
        <v>6</v>
      </c>
      <c r="AE25" s="2">
        <f ca="1">IFERROR(__xludf.DUMMYFUNCTION("INDEX(IMPORTRANGE(""17pNv02DXDpQT9S3w4-QeNym2QJy2BzMBqDXp-XtzJBM"", ""'GPE'!BM3:BM139""),MATCH($D25,IMPORTRANGE(""17pNv02DXDpQT9S3w4-QeNym2QJy2BzMBqDXp-XtzJBM"", ""'GPE'!D3:D139""),0))"),9)</f>
        <v>9</v>
      </c>
    </row>
    <row r="26" spans="1:31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2">
        <v>3</v>
      </c>
      <c r="R26" s="2">
        <v>8</v>
      </c>
      <c r="S26" s="2">
        <f ca="1">IFERROR(__xludf.DUMMYFUNCTION("INDEX(IMPORTRANGE(""17pNv02DXDpQT9S3w4-QeNym2QJy2BzMBqDXp-XtzJBM"", ""'GPE'!BG3:BG139""),MATCH($D26,IMPORTRANGE(""17pNv02DXDpQT9S3w4-QeNym2QJy2BzMBqDXp-XtzJBM"", ""'GPE'!D3:D139""),0))"),7)</f>
        <v>7</v>
      </c>
      <c r="T26" s="4"/>
      <c r="U26" s="4"/>
      <c r="V26" s="4"/>
      <c r="W26" s="4"/>
      <c r="X26" s="43"/>
      <c r="Y26" s="4"/>
      <c r="Z26" s="2">
        <f ca="1">IFERROR(__xludf.DUMMYFUNCTION("INDEX(IMPORTRANGE(""17pNv02DXDpQT9S3w4-QeNym2QJy2BzMBqDXp-XtzJBM"", ""'GPE'!BH3:BH139""),MATCH($D26,IMPORTRANGE(""17pNv02DXDpQT9S3w4-QeNym2QJy2BzMBqDXp-XtzJBM"", ""'GPE'!D3:D139""),0))"),4)</f>
        <v>4</v>
      </c>
      <c r="AA26" s="2">
        <f ca="1">IFERROR(__xludf.DUMMYFUNCTION("INDEX(IMPORTRANGE(""17pNv02DXDpQT9S3w4-QeNym2QJy2BzMBqDXp-XtzJBM"", ""'GPE'!BI3:BI139""),MATCH($D26,IMPORTRANGE(""17pNv02DXDpQT9S3w4-QeNym2QJy2BzMBqDXp-XtzJBM"", ""'GPE'!D3:D139""),0))"),11)</f>
        <v>11</v>
      </c>
      <c r="AB26" s="2">
        <f ca="1">IFERROR(__xludf.DUMMYFUNCTION("INDEX(IMPORTRANGE(""17pNv02DXDpQT9S3w4-QeNym2QJy2BzMBqDXp-XtzJBM"", ""'GPE'!BJ3:BJ139""),MATCH($D26,IMPORTRANGE(""17pNv02DXDpQT9S3w4-QeNym2QJy2BzMBqDXp-XtzJBM"", ""'GPE'!D3:D139""),0))"),5)</f>
        <v>5</v>
      </c>
      <c r="AC26" s="2">
        <f ca="1">IFERROR(__xludf.DUMMYFUNCTION("INDEX(IMPORTRANGE(""17pNv02DXDpQT9S3w4-QeNym2QJy2BzMBqDXp-XtzJBM"", ""'GPE'!BK3:BK139""),MATCH($D26,IMPORTRANGE(""17pNv02DXDpQT9S3w4-QeNym2QJy2BzMBqDXp-XtzJBM"", ""'GPE'!D3:D139""),0))"),9)</f>
        <v>9</v>
      </c>
      <c r="AD26" s="2">
        <f ca="1">IFERROR(__xludf.DUMMYFUNCTION("INDEX(IMPORTRANGE(""17pNv02DXDpQT9S3w4-QeNym2QJy2BzMBqDXp-XtzJBM"", ""'GPE'!BL3:BL139""),MATCH($D26,IMPORTRANGE(""17pNv02DXDpQT9S3w4-QeNym2QJy2BzMBqDXp-XtzJBM"", ""'GPE'!D3:D139""),0))"),1)</f>
        <v>1</v>
      </c>
      <c r="AE26" s="2">
        <f ca="1">IFERROR(__xludf.DUMMYFUNCTION("INDEX(IMPORTRANGE(""17pNv02DXDpQT9S3w4-QeNym2QJy2BzMBqDXp-XtzJBM"", ""'GPE'!BM3:BM139""),MATCH($D26,IMPORTRANGE(""17pNv02DXDpQT9S3w4-QeNym2QJy2BzMBqDXp-XtzJBM"", ""'GPE'!D3:D139""),0))"),3)</f>
        <v>3</v>
      </c>
    </row>
    <row r="27" spans="1:31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2">
        <v>1</v>
      </c>
      <c r="R27" s="2">
        <v>2</v>
      </c>
      <c r="S27" s="2">
        <f ca="1">IFERROR(__xludf.DUMMYFUNCTION("INDEX(IMPORTRANGE(""17pNv02DXDpQT9S3w4-QeNym2QJy2BzMBqDXp-XtzJBM"", ""'GPE'!BG3:BG139""),MATCH($D27,IMPORTRANGE(""17pNv02DXDpQT9S3w4-QeNym2QJy2BzMBqDXp-XtzJBM"", ""'GPE'!D3:D139""),0))"),2)</f>
        <v>2</v>
      </c>
      <c r="T27" s="4"/>
      <c r="U27" s="4"/>
      <c r="V27" s="4"/>
      <c r="W27" s="4"/>
      <c r="X27" s="43"/>
      <c r="Y27" s="4"/>
      <c r="Z27" s="2">
        <f ca="1">IFERROR(__xludf.DUMMYFUNCTION("INDEX(IMPORTRANGE(""17pNv02DXDpQT9S3w4-QeNym2QJy2BzMBqDXp-XtzJBM"", ""'GPE'!BH3:BH139""),MATCH($D27,IMPORTRANGE(""17pNv02DXDpQT9S3w4-QeNym2QJy2BzMBqDXp-XtzJBM"", ""'GPE'!D3:D139""),0))"),0)</f>
        <v>0</v>
      </c>
      <c r="AA27" s="2">
        <f ca="1">IFERROR(__xludf.DUMMYFUNCTION("INDEX(IMPORTRANGE(""17pNv02DXDpQT9S3w4-QeNym2QJy2BzMBqDXp-XtzJBM"", ""'GPE'!BI3:BI139""),MATCH($D27,IMPORTRANGE(""17pNv02DXDpQT9S3w4-QeNym2QJy2BzMBqDXp-XtzJBM"", ""'GPE'!D3:D139""),0))"),0)</f>
        <v>0</v>
      </c>
      <c r="AB27" s="2">
        <f ca="1">IFERROR(__xludf.DUMMYFUNCTION("INDEX(IMPORTRANGE(""17pNv02DXDpQT9S3w4-QeNym2QJy2BzMBqDXp-XtzJBM"", ""'GPE'!BJ3:BJ139""),MATCH($D27,IMPORTRANGE(""17pNv02DXDpQT9S3w4-QeNym2QJy2BzMBqDXp-XtzJBM"", ""'GPE'!D3:D139""),0))"),0)</f>
        <v>0</v>
      </c>
      <c r="AC27" s="2">
        <f ca="1">IFERROR(__xludf.DUMMYFUNCTION("INDEX(IMPORTRANGE(""17pNv02DXDpQT9S3w4-QeNym2QJy2BzMBqDXp-XtzJBM"", ""'GPE'!BK3:BK139""),MATCH($D27,IMPORTRANGE(""17pNv02DXDpQT9S3w4-QeNym2QJy2BzMBqDXp-XtzJBM"", ""'GPE'!D3:D139""),0))"),0)</f>
        <v>0</v>
      </c>
      <c r="AD27" s="2">
        <f ca="1">IFERROR(__xludf.DUMMYFUNCTION("INDEX(IMPORTRANGE(""17pNv02DXDpQT9S3w4-QeNym2QJy2BzMBqDXp-XtzJBM"", ""'GPE'!BL3:BL139""),MATCH($D27,IMPORTRANGE(""17pNv02DXDpQT9S3w4-QeNym2QJy2BzMBqDXp-XtzJBM"", ""'GPE'!D3:D139""),0))"),0)</f>
        <v>0</v>
      </c>
      <c r="AE27" s="2">
        <f ca="1">IFERROR(__xludf.DUMMYFUNCTION("INDEX(IMPORTRANGE(""17pNv02DXDpQT9S3w4-QeNym2QJy2BzMBqDXp-XtzJBM"", ""'GPE'!BM3:BM139""),MATCH($D27,IMPORTRANGE(""17pNv02DXDpQT9S3w4-QeNym2QJy2BzMBqDXp-XtzJBM"", ""'GPE'!D3:D139""),0))"),0)</f>
        <v>0</v>
      </c>
    </row>
    <row r="28" spans="1:31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>
        <v>5</v>
      </c>
      <c r="R28" s="12">
        <v>5</v>
      </c>
      <c r="S28" s="12">
        <f ca="1">IFERROR(__xludf.DUMMYFUNCTION("INDEX(IMPORTRANGE(""17pNv02DXDpQT9S3w4-QeNym2QJy2BzMBqDXp-XtzJBM"", ""'GPE'!BG3:BG139""),MATCH($D28,IMPORTRANGE(""17pNv02DXDpQT9S3w4-QeNym2QJy2BzMBqDXp-XtzJBM"", ""'GPE'!D3:D139""),0))"),5)</f>
        <v>5</v>
      </c>
      <c r="T28" s="4"/>
      <c r="U28" s="4"/>
      <c r="V28" s="4"/>
      <c r="W28" s="4"/>
      <c r="X28" s="43"/>
      <c r="Y28" s="4"/>
      <c r="Z28" s="12">
        <f ca="1">IFERROR(__xludf.DUMMYFUNCTION("INDEX(IMPORTRANGE(""17pNv02DXDpQT9S3w4-QeNym2QJy2BzMBqDXp-XtzJBM"", ""'GPE'!BH3:BH139""),MATCH($D28,IMPORTRANGE(""17pNv02DXDpQT9S3w4-QeNym2QJy2BzMBqDXp-XtzJBM"", ""'GPE'!D3:D139""),0))"),0)</f>
        <v>0</v>
      </c>
      <c r="AA28" s="12">
        <f ca="1">IFERROR(__xludf.DUMMYFUNCTION("INDEX(IMPORTRANGE(""17pNv02DXDpQT9S3w4-QeNym2QJy2BzMBqDXp-XtzJBM"", ""'GPE'!BI3:BI139""),MATCH($D28,IMPORTRANGE(""17pNv02DXDpQT9S3w4-QeNym2QJy2BzMBqDXp-XtzJBM"", ""'GPE'!D3:D139""),0))"),1)</f>
        <v>1</v>
      </c>
      <c r="AB28" s="12">
        <f ca="1">IFERROR(__xludf.DUMMYFUNCTION("INDEX(IMPORTRANGE(""17pNv02DXDpQT9S3w4-QeNym2QJy2BzMBqDXp-XtzJBM"", ""'GPE'!BJ3:BJ139""),MATCH($D28,IMPORTRANGE(""17pNv02DXDpQT9S3w4-QeNym2QJy2BzMBqDXp-XtzJBM"", ""'GPE'!D3:D139""),0))"),2)</f>
        <v>2</v>
      </c>
      <c r="AC28" s="12">
        <f ca="1">IFERROR(__xludf.DUMMYFUNCTION("INDEX(IMPORTRANGE(""17pNv02DXDpQT9S3w4-QeNym2QJy2BzMBqDXp-XtzJBM"", ""'GPE'!BK3:BK139""),MATCH($D28,IMPORTRANGE(""17pNv02DXDpQT9S3w4-QeNym2QJy2BzMBqDXp-XtzJBM"", ""'GPE'!D3:D139""),0))"),2)</f>
        <v>2</v>
      </c>
      <c r="AD28" s="12">
        <f ca="1">IFERROR(__xludf.DUMMYFUNCTION("INDEX(IMPORTRANGE(""17pNv02DXDpQT9S3w4-QeNym2QJy2BzMBqDXp-XtzJBM"", ""'GPE'!BL3:BL139""),MATCH($D28,IMPORTRANGE(""17pNv02DXDpQT9S3w4-QeNym2QJy2BzMBqDXp-XtzJBM"", ""'GPE'!D3:D139""),0))"),1)</f>
        <v>1</v>
      </c>
      <c r="AE28" s="12">
        <f ca="1">IFERROR(__xludf.DUMMYFUNCTION("INDEX(IMPORTRANGE(""17pNv02DXDpQT9S3w4-QeNym2QJy2BzMBqDXp-XtzJBM"", ""'GPE'!BM3:BM139""),MATCH($D28,IMPORTRANGE(""17pNv02DXDpQT9S3w4-QeNym2QJy2BzMBqDXp-XtzJBM"", ""'GPE'!D3:D139""),0))"),2)</f>
        <v>2</v>
      </c>
    </row>
    <row r="29" spans="1:31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""'GPE'!BG3:BG139""),MATCH($D29,IMPORTRANGE(""17pNv02DXDpQT9S3w4-QeNym2QJy2BzMBqDXp-XtzJBM"", ""'GPE'!D3:D139""),0))"),0)</f>
        <v>0</v>
      </c>
      <c r="T29" s="4"/>
      <c r="U29" s="4"/>
      <c r="V29" s="4"/>
      <c r="W29" s="4"/>
      <c r="X29" s="43"/>
      <c r="Y29" s="4"/>
      <c r="Z29" s="12">
        <f ca="1">IFERROR(__xludf.DUMMYFUNCTION("INDEX(IMPORTRANGE(""17pNv02DXDpQT9S3w4-QeNym2QJy2BzMBqDXp-XtzJBM"", ""'GPE'!BH3:BH139""),MATCH($D29,IMPORTRANGE(""17pNv02DXDpQT9S3w4-QeNym2QJy2BzMBqDXp-XtzJBM"", ""'GPE'!D3:D139""),0))"),0)</f>
        <v>0</v>
      </c>
      <c r="AA29" s="12">
        <f ca="1">IFERROR(__xludf.DUMMYFUNCTION("INDEX(IMPORTRANGE(""17pNv02DXDpQT9S3w4-QeNym2QJy2BzMBqDXp-XtzJBM"", ""'GPE'!BI3:BI139""),MATCH($D29,IMPORTRANGE(""17pNv02DXDpQT9S3w4-QeNym2QJy2BzMBqDXp-XtzJBM"", ""'GPE'!D3:D139""),0))"),0)</f>
        <v>0</v>
      </c>
      <c r="AB29" s="12">
        <f ca="1">IFERROR(__xludf.DUMMYFUNCTION("INDEX(IMPORTRANGE(""17pNv02DXDpQT9S3w4-QeNym2QJy2BzMBqDXp-XtzJBM"", ""'GPE'!BJ3:BJ139""),MATCH($D29,IMPORTRANGE(""17pNv02DXDpQT9S3w4-QeNym2QJy2BzMBqDXp-XtzJBM"", ""'GPE'!D3:D139""),0))"),0)</f>
        <v>0</v>
      </c>
      <c r="AC29" s="12">
        <f ca="1">IFERROR(__xludf.DUMMYFUNCTION("INDEX(IMPORTRANGE(""17pNv02DXDpQT9S3w4-QeNym2QJy2BzMBqDXp-XtzJBM"", ""'GPE'!BK3:BK139""),MATCH($D29,IMPORTRANGE(""17pNv02DXDpQT9S3w4-QeNym2QJy2BzMBqDXp-XtzJBM"", ""'GPE'!D3:D139""),0))"),0)</f>
        <v>0</v>
      </c>
      <c r="AD29" s="12">
        <f ca="1">IFERROR(__xludf.DUMMYFUNCTION("INDEX(IMPORTRANGE(""17pNv02DXDpQT9S3w4-QeNym2QJy2BzMBqDXp-XtzJBM"", ""'GPE'!BL3:BL139""),MATCH($D29,IMPORTRANGE(""17pNv02DXDpQT9S3w4-QeNym2QJy2BzMBqDXp-XtzJBM"", ""'GPE'!D3:D139""),0))"),0)</f>
        <v>0</v>
      </c>
      <c r="AE29" s="12">
        <f ca="1">IFERROR(__xludf.DUMMYFUNCTION("INDEX(IMPORTRANGE(""17pNv02DXDpQT9S3w4-QeNym2QJy2BzMBqDXp-XtzJBM"", ""'GPE'!BM3:BM139""),MATCH($D29,IMPORTRANGE(""17pNv02DXDpQT9S3w4-QeNym2QJy2BzMBqDXp-XtzJBM"", ""'GPE'!D3:D139""),0))"),0)</f>
        <v>0</v>
      </c>
    </row>
    <row r="30" spans="1:31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>
        <v>9</v>
      </c>
      <c r="R30" s="12">
        <v>21</v>
      </c>
      <c r="S30" s="12">
        <f ca="1">IFERROR(__xludf.DUMMYFUNCTION("INDEX(IMPORTRANGE(""17pNv02DXDpQT9S3w4-QeNym2QJy2BzMBqDXp-XtzJBM"", ""'GPE'!BG3:BG139""),MATCH($D30,IMPORTRANGE(""17pNv02DXDpQT9S3w4-QeNym2QJy2BzMBqDXp-XtzJBM"", ""'GPE'!D3:D139""),0))"),17)</f>
        <v>17</v>
      </c>
      <c r="T30" s="4"/>
      <c r="U30" s="4"/>
      <c r="V30" s="4"/>
      <c r="W30" s="4"/>
      <c r="X30" s="43"/>
      <c r="Y30" s="4"/>
      <c r="Z30" s="12">
        <f ca="1">IFERROR(__xludf.DUMMYFUNCTION("INDEX(IMPORTRANGE(""17pNv02DXDpQT9S3w4-QeNym2QJy2BzMBqDXp-XtzJBM"", ""'GPE'!BH3:BH139""),MATCH($D30,IMPORTRANGE(""17pNv02DXDpQT9S3w4-QeNym2QJy2BzMBqDXp-XtzJBM"", ""'GPE'!D3:D139""),0))"),19)</f>
        <v>19</v>
      </c>
      <c r="AA30" s="12">
        <f ca="1">IFERROR(__xludf.DUMMYFUNCTION("INDEX(IMPORTRANGE(""17pNv02DXDpQT9S3w4-QeNym2QJy2BzMBqDXp-XtzJBM"", ""'GPE'!BI3:BI139""),MATCH($D30,IMPORTRANGE(""17pNv02DXDpQT9S3w4-QeNym2QJy2BzMBqDXp-XtzJBM"", ""'GPE'!D3:D139""),0))"),28)</f>
        <v>28</v>
      </c>
      <c r="AB30" s="12">
        <f ca="1">IFERROR(__xludf.DUMMYFUNCTION("INDEX(IMPORTRANGE(""17pNv02DXDpQT9S3w4-QeNym2QJy2BzMBqDXp-XtzJBM"", ""'GPE'!BJ3:BJ139""),MATCH($D30,IMPORTRANGE(""17pNv02DXDpQT9S3w4-QeNym2QJy2BzMBqDXp-XtzJBM"", ""'GPE'!D3:D139""),0))"),8)</f>
        <v>8</v>
      </c>
      <c r="AC30" s="12">
        <f ca="1">IFERROR(__xludf.DUMMYFUNCTION("INDEX(IMPORTRANGE(""17pNv02DXDpQT9S3w4-QeNym2QJy2BzMBqDXp-XtzJBM"", ""'GPE'!BK3:BK139""),MATCH($D30,IMPORTRANGE(""17pNv02DXDpQT9S3w4-QeNym2QJy2BzMBqDXp-XtzJBM"", ""'GPE'!D3:D139""),0))"),16)</f>
        <v>16</v>
      </c>
      <c r="AD30" s="12">
        <f ca="1">IFERROR(__xludf.DUMMYFUNCTION("INDEX(IMPORTRANGE(""17pNv02DXDpQT9S3w4-QeNym2QJy2BzMBqDXp-XtzJBM"", ""'GPE'!BL3:BL139""),MATCH($D30,IMPORTRANGE(""17pNv02DXDpQT9S3w4-QeNym2QJy2BzMBqDXp-XtzJBM"", ""'GPE'!D3:D139""),0))"),7)</f>
        <v>7</v>
      </c>
      <c r="AE30" s="12">
        <f ca="1">IFERROR(__xludf.DUMMYFUNCTION("INDEX(IMPORTRANGE(""17pNv02DXDpQT9S3w4-QeNym2QJy2BzMBqDXp-XtzJBM"", ""'GPE'!BM3:BM139""),MATCH($D30,IMPORTRANGE(""17pNv02DXDpQT9S3w4-QeNym2QJy2BzMBqDXp-XtzJBM"", ""'GPE'!D3:D139""),0))"),12)</f>
        <v>12</v>
      </c>
    </row>
    <row r="31" spans="1:31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>
        <v>4</v>
      </c>
      <c r="R31" s="12">
        <v>6</v>
      </c>
      <c r="S31" s="12">
        <f ca="1">IFERROR(__xludf.DUMMYFUNCTION("INDEX(IMPORTRANGE(""17pNv02DXDpQT9S3w4-QeNym2QJy2BzMBqDXp-XtzJBM"", ""'GPE'!BG3:BG139""),MATCH($D31,IMPORTRANGE(""17pNv02DXDpQT9S3w4-QeNym2QJy2BzMBqDXp-XtzJBM"", ""'GPE'!D3:D139""),0))"),6)</f>
        <v>6</v>
      </c>
      <c r="T31" s="4"/>
      <c r="U31" s="4"/>
      <c r="V31" s="4"/>
      <c r="W31" s="4"/>
      <c r="X31" s="43"/>
      <c r="Y31" s="4"/>
      <c r="Z31" s="12">
        <f ca="1">IFERROR(__xludf.DUMMYFUNCTION("INDEX(IMPORTRANGE(""17pNv02DXDpQT9S3w4-QeNym2QJy2BzMBqDXp-XtzJBM"", ""'GPE'!BH3:BH139""),MATCH($D31,IMPORTRANGE(""17pNv02DXDpQT9S3w4-QeNym2QJy2BzMBqDXp-XtzJBM"", ""'GPE'!D3:D139""),0))"),5)</f>
        <v>5</v>
      </c>
      <c r="AA31" s="12">
        <f ca="1">IFERROR(__xludf.DUMMYFUNCTION("INDEX(IMPORTRANGE(""17pNv02DXDpQT9S3w4-QeNym2QJy2BzMBqDXp-XtzJBM"", ""'GPE'!BI3:BI139""),MATCH($D31,IMPORTRANGE(""17pNv02DXDpQT9S3w4-QeNym2QJy2BzMBqDXp-XtzJBM"", ""'GPE'!D3:D139""),0))"),7)</f>
        <v>7</v>
      </c>
      <c r="AB31" s="12">
        <f ca="1">IFERROR(__xludf.DUMMYFUNCTION("INDEX(IMPORTRANGE(""17pNv02DXDpQT9S3w4-QeNym2QJy2BzMBqDXp-XtzJBM"", ""'GPE'!BJ3:BJ139""),MATCH($D31,IMPORTRANGE(""17pNv02DXDpQT9S3w4-QeNym2QJy2BzMBqDXp-XtzJBM"", ""'GPE'!D3:D139""),0))"),1)</f>
        <v>1</v>
      </c>
      <c r="AC31" s="12">
        <f ca="1">IFERROR(__xludf.DUMMYFUNCTION("INDEX(IMPORTRANGE(""17pNv02DXDpQT9S3w4-QeNym2QJy2BzMBqDXp-XtzJBM"", ""'GPE'!BK3:BK139""),MATCH($D31,IMPORTRANGE(""17pNv02DXDpQT9S3w4-QeNym2QJy2BzMBqDXp-XtzJBM"", ""'GPE'!D3:D139""),0))"),1)</f>
        <v>1</v>
      </c>
      <c r="AD31" s="12">
        <f ca="1">IFERROR(__xludf.DUMMYFUNCTION("INDEX(IMPORTRANGE(""17pNv02DXDpQT9S3w4-QeNym2QJy2BzMBqDXp-XtzJBM"", ""'GPE'!BL3:BL139""),MATCH($D31,IMPORTRANGE(""17pNv02DXDpQT9S3w4-QeNym2QJy2BzMBqDXp-XtzJBM"", ""'GPE'!D3:D139""),0))"),2)</f>
        <v>2</v>
      </c>
      <c r="AE31" s="12">
        <f ca="1">IFERROR(__xludf.DUMMYFUNCTION("INDEX(IMPORTRANGE(""17pNv02DXDpQT9S3w4-QeNym2QJy2BzMBqDXp-XtzJBM"", ""'GPE'!BM3:BM139""),MATCH($D31,IMPORTRANGE(""17pNv02DXDpQT9S3w4-QeNym2QJy2BzMBqDXp-XtzJBM"", ""'GPE'!D3:D139""),0))"),3)</f>
        <v>3</v>
      </c>
    </row>
    <row r="32" spans="1:31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""'GPE'!BG3:BG139""),MATCH($D32,IMPORTRANGE(""17pNv02DXDpQT9S3w4-QeNym2QJy2BzMBqDXp-XtzJBM"", ""'GPE'!D3:D139""),0))"),0)</f>
        <v>0</v>
      </c>
      <c r="T32" s="4"/>
      <c r="U32" s="4"/>
      <c r="V32" s="4"/>
      <c r="W32" s="4"/>
      <c r="X32" s="43"/>
      <c r="Y32" s="4"/>
      <c r="Z32" s="12">
        <f ca="1">IFERROR(__xludf.DUMMYFUNCTION("INDEX(IMPORTRANGE(""17pNv02DXDpQT9S3w4-QeNym2QJy2BzMBqDXp-XtzJBM"", ""'GPE'!BH3:BH139""),MATCH($D32,IMPORTRANGE(""17pNv02DXDpQT9S3w4-QeNym2QJy2BzMBqDXp-XtzJBM"", ""'GPE'!D3:D139""),0))"),0)</f>
        <v>0</v>
      </c>
      <c r="AA32" s="12">
        <f ca="1">IFERROR(__xludf.DUMMYFUNCTION("INDEX(IMPORTRANGE(""17pNv02DXDpQT9S3w4-QeNym2QJy2BzMBqDXp-XtzJBM"", ""'GPE'!BI3:BI139""),MATCH($D32,IMPORTRANGE(""17pNv02DXDpQT9S3w4-QeNym2QJy2BzMBqDXp-XtzJBM"", ""'GPE'!D3:D139""),0))"),0)</f>
        <v>0</v>
      </c>
      <c r="AB32" s="12">
        <f ca="1">IFERROR(__xludf.DUMMYFUNCTION("INDEX(IMPORTRANGE(""17pNv02DXDpQT9S3w4-QeNym2QJy2BzMBqDXp-XtzJBM"", ""'GPE'!BJ3:BJ139""),MATCH($D32,IMPORTRANGE(""17pNv02DXDpQT9S3w4-QeNym2QJy2BzMBqDXp-XtzJBM"", ""'GPE'!D3:D139""),0))"),0)</f>
        <v>0</v>
      </c>
      <c r="AC32" s="12">
        <f ca="1">IFERROR(__xludf.DUMMYFUNCTION("INDEX(IMPORTRANGE(""17pNv02DXDpQT9S3w4-QeNym2QJy2BzMBqDXp-XtzJBM"", ""'GPE'!BK3:BK139""),MATCH($D32,IMPORTRANGE(""17pNv02DXDpQT9S3w4-QeNym2QJy2BzMBqDXp-XtzJBM"", ""'GPE'!D3:D139""),0))"),0)</f>
        <v>0</v>
      </c>
      <c r="AD32" s="12">
        <f ca="1">IFERROR(__xludf.DUMMYFUNCTION("INDEX(IMPORTRANGE(""17pNv02DXDpQT9S3w4-QeNym2QJy2BzMBqDXp-XtzJBM"", ""'GPE'!BL3:BL139""),MATCH($D32,IMPORTRANGE(""17pNv02DXDpQT9S3w4-QeNym2QJy2BzMBqDXp-XtzJBM"", ""'GPE'!D3:D139""),0))"),0)</f>
        <v>0</v>
      </c>
      <c r="AE32" s="12">
        <f ca="1">IFERROR(__xludf.DUMMYFUNCTION("INDEX(IMPORTRANGE(""17pNv02DXDpQT9S3w4-QeNym2QJy2BzMBqDXp-XtzJBM"", ""'GPE'!BM3:BM139""),MATCH($D32,IMPORTRANGE(""17pNv02DXDpQT9S3w4-QeNym2QJy2BzMBqDXp-XtzJBM"", ""'GPE'!D3:D139""),0))"),0)</f>
        <v>0</v>
      </c>
    </row>
    <row r="33" spans="1:31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>
        <v>0</v>
      </c>
      <c r="R33" s="12">
        <v>0</v>
      </c>
      <c r="S33" s="12">
        <f ca="1">IFERROR(__xludf.DUMMYFUNCTION("INDEX(IMPORTRANGE(""17pNv02DXDpQT9S3w4-QeNym2QJy2BzMBqDXp-XtzJBM"", ""'GPE'!BG3:BG139""),MATCH($D33,IMPORTRANGE(""17pNv02DXDpQT9S3w4-QeNym2QJy2BzMBqDXp-XtzJBM"", ""'GPE'!D3:D139""),0))"),0)</f>
        <v>0</v>
      </c>
      <c r="T33" s="4"/>
      <c r="U33" s="4"/>
      <c r="V33" s="4"/>
      <c r="W33" s="4"/>
      <c r="X33" s="43"/>
      <c r="Y33" s="4"/>
      <c r="Z33" s="12">
        <f ca="1">IFERROR(__xludf.DUMMYFUNCTION("INDEX(IMPORTRANGE(""17pNv02DXDpQT9S3w4-QeNym2QJy2BzMBqDXp-XtzJBM"", ""'GPE'!BH3:BH139""),MATCH($D33,IMPORTRANGE(""17pNv02DXDpQT9S3w4-QeNym2QJy2BzMBqDXp-XtzJBM"", ""'GPE'!D3:D139""),0))"),0)</f>
        <v>0</v>
      </c>
      <c r="AA33" s="12">
        <f ca="1">IFERROR(__xludf.DUMMYFUNCTION("INDEX(IMPORTRANGE(""17pNv02DXDpQT9S3w4-QeNym2QJy2BzMBqDXp-XtzJBM"", ""'GPE'!BI3:BI139""),MATCH($D33,IMPORTRANGE(""17pNv02DXDpQT9S3w4-QeNym2QJy2BzMBqDXp-XtzJBM"", ""'GPE'!D3:D139""),0))"),1)</f>
        <v>1</v>
      </c>
      <c r="AB33" s="12">
        <f ca="1">IFERROR(__xludf.DUMMYFUNCTION("INDEX(IMPORTRANGE(""17pNv02DXDpQT9S3w4-QeNym2QJy2BzMBqDXp-XtzJBM"", ""'GPE'!BJ3:BJ139""),MATCH($D33,IMPORTRANGE(""17pNv02DXDpQT9S3w4-QeNym2QJy2BzMBqDXp-XtzJBM"", ""'GPE'!D3:D139""),0))"),0)</f>
        <v>0</v>
      </c>
      <c r="AC33" s="12">
        <f ca="1">IFERROR(__xludf.DUMMYFUNCTION("INDEX(IMPORTRANGE(""17pNv02DXDpQT9S3w4-QeNym2QJy2BzMBqDXp-XtzJBM"", ""'GPE'!BK3:BK139""),MATCH($D33,IMPORTRANGE(""17pNv02DXDpQT9S3w4-QeNym2QJy2BzMBqDXp-XtzJBM"", ""'GPE'!D3:D139""),0))"),1)</f>
        <v>1</v>
      </c>
      <c r="AD33" s="12">
        <f ca="1">IFERROR(__xludf.DUMMYFUNCTION("INDEX(IMPORTRANGE(""17pNv02DXDpQT9S3w4-QeNym2QJy2BzMBqDXp-XtzJBM"", ""'GPE'!BL3:BL139""),MATCH($D33,IMPORTRANGE(""17pNv02DXDpQT9S3w4-QeNym2QJy2BzMBqDXp-XtzJBM"", ""'GPE'!D3:D139""),0))"),0)</f>
        <v>0</v>
      </c>
      <c r="AE33" s="12">
        <f ca="1">IFERROR(__xludf.DUMMYFUNCTION("INDEX(IMPORTRANGE(""17pNv02DXDpQT9S3w4-QeNym2QJy2BzMBqDXp-XtzJBM"", ""'GPE'!BM3:BM139""),MATCH($D33,IMPORTRANGE(""17pNv02DXDpQT9S3w4-QeNym2QJy2BzMBqDXp-XtzJBM"", ""'GPE'!D3:D139""),0))"),0)</f>
        <v>0</v>
      </c>
    </row>
    <row r="34" spans="1:31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>
        <v>0</v>
      </c>
      <c r="R34" s="12">
        <v>2</v>
      </c>
      <c r="S34" s="12">
        <f ca="1">IFERROR(__xludf.DUMMYFUNCTION("INDEX(IMPORTRANGE(""17pNv02DXDpQT9S3w4-QeNym2QJy2BzMBqDXp-XtzJBM"", ""'GPE'!BG3:BG139""),MATCH($D34,IMPORTRANGE(""17pNv02DXDpQT9S3w4-QeNym2QJy2BzMBqDXp-XtzJBM"", ""'GPE'!D3:D139""),0))"),2)</f>
        <v>2</v>
      </c>
      <c r="T34" s="4"/>
      <c r="U34" s="4"/>
      <c r="V34" s="4"/>
      <c r="W34" s="4"/>
      <c r="X34" s="43"/>
      <c r="Y34" s="4"/>
      <c r="Z34" s="12">
        <f ca="1">IFERROR(__xludf.DUMMYFUNCTION("INDEX(IMPORTRANGE(""17pNv02DXDpQT9S3w4-QeNym2QJy2BzMBqDXp-XtzJBM"", ""'GPE'!BH3:BH139""),MATCH($D34,IMPORTRANGE(""17pNv02DXDpQT9S3w4-QeNym2QJy2BzMBqDXp-XtzJBM"", ""'GPE'!D3:D139""),0))"),3)</f>
        <v>3</v>
      </c>
      <c r="AA34" s="12">
        <f ca="1">IFERROR(__xludf.DUMMYFUNCTION("INDEX(IMPORTRANGE(""17pNv02DXDpQT9S3w4-QeNym2QJy2BzMBqDXp-XtzJBM"", ""'GPE'!BI3:BI139""),MATCH($D34,IMPORTRANGE(""17pNv02DXDpQT9S3w4-QeNym2QJy2BzMBqDXp-XtzJBM"", ""'GPE'!D3:D139""),0))"),5)</f>
        <v>5</v>
      </c>
      <c r="AB34" s="12">
        <f ca="1">IFERROR(__xludf.DUMMYFUNCTION("INDEX(IMPORTRANGE(""17pNv02DXDpQT9S3w4-QeNym2QJy2BzMBqDXp-XtzJBM"", ""'GPE'!BJ3:BJ139""),MATCH($D34,IMPORTRANGE(""17pNv02DXDpQT9S3w4-QeNym2QJy2BzMBqDXp-XtzJBM"", ""'GPE'!D3:D139""),0))"),1)</f>
        <v>1</v>
      </c>
      <c r="AC34" s="12">
        <f ca="1">IFERROR(__xludf.DUMMYFUNCTION("INDEX(IMPORTRANGE(""17pNv02DXDpQT9S3w4-QeNym2QJy2BzMBqDXp-XtzJBM"", ""'GPE'!BK3:BK139""),MATCH($D34,IMPORTRANGE(""17pNv02DXDpQT9S3w4-QeNym2QJy2BzMBqDXp-XtzJBM"", ""'GPE'!D3:D139""),0))"),2)</f>
        <v>2</v>
      </c>
      <c r="AD34" s="12">
        <f ca="1">IFERROR(__xludf.DUMMYFUNCTION("INDEX(IMPORTRANGE(""17pNv02DXDpQT9S3w4-QeNym2QJy2BzMBqDXp-XtzJBM"", ""'GPE'!BL3:BL139""),MATCH($D34,IMPORTRANGE(""17pNv02DXDpQT9S3w4-QeNym2QJy2BzMBqDXp-XtzJBM"", ""'GPE'!D3:D139""),0))"),0)</f>
        <v>0</v>
      </c>
      <c r="AE34" s="12">
        <f ca="1">IFERROR(__xludf.DUMMYFUNCTION("INDEX(IMPORTRANGE(""17pNv02DXDpQT9S3w4-QeNym2QJy2BzMBqDXp-XtzJBM"", ""'GPE'!BM3:BM139""),MATCH($D34,IMPORTRANGE(""17pNv02DXDpQT9S3w4-QeNym2QJy2BzMBqDXp-XtzJBM"", ""'GPE'!D3:D139""),0))"),1)</f>
        <v>1</v>
      </c>
    </row>
    <row r="35" spans="1:31">
      <c r="A35" s="16" t="s">
        <v>52</v>
      </c>
      <c r="B35" s="16" t="s">
        <v>86</v>
      </c>
      <c r="C35" s="8" t="s">
        <v>30</v>
      </c>
      <c r="D35" s="16" t="s">
        <v>350</v>
      </c>
      <c r="E35" s="16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9" t="s">
        <v>363</v>
      </c>
      <c r="P35" s="21" t="s">
        <v>349</v>
      </c>
      <c r="Q35" s="262">
        <f t="shared" ref="Q35:R35" si="8">SUM(Q24:Q34)</f>
        <v>46</v>
      </c>
      <c r="R35" s="262">
        <f t="shared" si="8"/>
        <v>121</v>
      </c>
      <c r="S35" s="262">
        <f ca="1">IFERROR(__xludf.DUMMYFUNCTION("INDEX(IMPORTRANGE(""17pNv02DXDpQT9S3w4-QeNym2QJy2BzMBqDXp-XtzJBM"", ""'GPE'!BG3:BG139""),MATCH($D35,IMPORTRANGE(""17pNv02DXDpQT9S3w4-QeNym2QJy2BzMBqDXp-XtzJBM"", ""'GPE'!D3:D139""),0))"),107)</f>
        <v>107</v>
      </c>
      <c r="T35" s="360"/>
      <c r="U35" s="360"/>
      <c r="V35" s="360"/>
      <c r="W35" s="360"/>
      <c r="X35" s="360"/>
      <c r="Y35" s="360"/>
      <c r="Z35" s="262">
        <f ca="1">IFERROR(__xludf.DUMMYFUNCTION("INDEX(IMPORTRANGE(""17pNv02DXDpQT9S3w4-QeNym2QJy2BzMBqDXp-XtzJBM"", ""'GPE'!BH3:BH139""),MATCH($D35,IMPORTRANGE(""17pNv02DXDpQT9S3w4-QeNym2QJy2BzMBqDXp-XtzJBM"", ""'GPE'!D3:D139""),0))"),77)</f>
        <v>77</v>
      </c>
      <c r="AA35" s="262">
        <f ca="1">IFERROR(__xludf.DUMMYFUNCTION("INDEX(IMPORTRANGE(""17pNv02DXDpQT9S3w4-QeNym2QJy2BzMBqDXp-XtzJBM"", ""'GPE'!BI3:BI139""),MATCH($D35,IMPORTRANGE(""17pNv02DXDpQT9S3w4-QeNym2QJy2BzMBqDXp-XtzJBM"", ""'GPE'!D3:D139""),0))"),148)</f>
        <v>148</v>
      </c>
      <c r="AB35" s="262">
        <f ca="1">IFERROR(__xludf.DUMMYFUNCTION("INDEX(IMPORTRANGE(""17pNv02DXDpQT9S3w4-QeNym2QJy2BzMBqDXp-XtzJBM"", ""'GPE'!BJ3:BJ139""),MATCH($D35,IMPORTRANGE(""17pNv02DXDpQT9S3w4-QeNym2QJy2BzMBqDXp-XtzJBM"", ""'GPE'!D3:D139""),0))"),67)</f>
        <v>67</v>
      </c>
      <c r="AC35" s="262">
        <f ca="1">IFERROR(__xludf.DUMMYFUNCTION("INDEX(IMPORTRANGE(""17pNv02DXDpQT9S3w4-QeNym2QJy2BzMBqDXp-XtzJBM"", ""'GPE'!BK3:BK139""),MATCH($D35,IMPORTRANGE(""17pNv02DXDpQT9S3w4-QeNym2QJy2BzMBqDXp-XtzJBM"", ""'GPE'!D3:D139""),0))"),113)</f>
        <v>113</v>
      </c>
      <c r="AD35" s="262">
        <f ca="1">IFERROR(__xludf.DUMMYFUNCTION("INDEX(IMPORTRANGE(""17pNv02DXDpQT9S3w4-QeNym2QJy2BzMBqDXp-XtzJBM"", ""'GPE'!BL3:BL139""),MATCH($D35,IMPORTRANGE(""17pNv02DXDpQT9S3w4-QeNym2QJy2BzMBqDXp-XtzJBM"", ""'GPE'!D3:D139""),0))"),32)</f>
        <v>32</v>
      </c>
      <c r="AE35" s="262">
        <f ca="1">IFERROR(__xludf.DUMMYFUNCTION("INDEX(IMPORTRANGE(""17pNv02DXDpQT9S3w4-QeNym2QJy2BzMBqDXp-XtzJBM"", ""'GPE'!BM3:BM139""),MATCH($D35,IMPORTRANGE(""17pNv02DXDpQT9S3w4-QeNym2QJy2BzMBqDXp-XtzJBM"", ""'GPE'!D3:D139""),0))"),62)</f>
        <v>62</v>
      </c>
    </row>
    <row r="36" spans="1:31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6.4295917768316642</v>
      </c>
      <c r="R36" s="23">
        <f t="shared" si="9"/>
        <v>16.912621847752856</v>
      </c>
      <c r="S36" s="23">
        <f ca="1">IFERROR(__xludf.DUMMYFUNCTION("INDEX(IMPORTRANGE(""17pNv02DXDpQT9S3w4-QeNym2QJy2BzMBqDXp-XtzJBM"", ""'GPE'!BG3:BG139""),MATCH($D36,IMPORTRANGE(""17pNv02DXDpQT9S3w4-QeNym2QJy2BzMBqDXp-XtzJBM"", ""'GPE'!D3:D139""),0))"),14.9557895678475)</f>
        <v>14.9557895678475</v>
      </c>
      <c r="T36" s="24">
        <f>(1-0.1%)*R36</f>
        <v>16.895709225905104</v>
      </c>
      <c r="U36" s="24">
        <f>(1-0.25%)*Q36</f>
        <v>6.4135177973895852</v>
      </c>
      <c r="V36" s="24">
        <f>(1-0.4%)*R36</f>
        <v>16.844971360361846</v>
      </c>
      <c r="W36" s="24">
        <f>(1-0.6%)*Q36</f>
        <v>6.3910142261706744</v>
      </c>
      <c r="X36" s="24">
        <f ca="1">+S36*(1+(Y36-R36)/R36)</f>
        <v>14.806231672169023</v>
      </c>
      <c r="Y36" s="24">
        <f>(1-1%)*R36</f>
        <v>16.743495629275326</v>
      </c>
      <c r="Z36" s="23">
        <f ca="1">IFERROR(__xludf.DUMMYFUNCTION("INDEX(IMPORTRANGE(""17pNv02DXDpQT9S3w4-QeNym2QJy2BzMBqDXp-XtzJBM"", ""'GPE'!BH3:BH139""),MATCH($D36,IMPORTRANGE(""17pNv02DXDpQT9S3w4-QeNym2QJy2BzMBqDXp-XtzJBM"", ""'GPE'!D3:D139""),0))"),10.6729651021763)</f>
        <v>10.672965102176301</v>
      </c>
      <c r="AA36" s="23">
        <f ca="1">IFERROR(__xludf.DUMMYFUNCTION("INDEX(IMPORTRANGE(""17pNv02DXDpQT9S3w4-QeNym2QJy2BzMBqDXp-XtzJBM"", ""'GPE'!BI3:BI139""),MATCH($D36,IMPORTRANGE(""17pNv02DXDpQT9S3w4-QeNym2QJy2BzMBqDXp-XtzJBM"", ""'GPE'!D3:D139""),0))"),20.5142705860012)</f>
        <v>20.514270586001199</v>
      </c>
      <c r="AB36" s="23">
        <f ca="1">IFERROR(__xludf.DUMMYFUNCTION("INDEX(IMPORTRANGE(""17pNv02DXDpQT9S3w4-QeNym2QJy2BzMBqDXp-XtzJBM"", ""'GPE'!BJ3:BJ139""),MATCH($D36,IMPORTRANGE(""17pNv02DXDpQT9S3w4-QeNym2QJy2BzMBqDXp-XtzJBM"", ""'GPE'!D3:D139""),0))"),9.19646251892481)</f>
        <v>9.1964625189248093</v>
      </c>
      <c r="AC36" s="23">
        <f ca="1">IFERROR(__xludf.DUMMYFUNCTION("INDEX(IMPORTRANGE(""17pNv02DXDpQT9S3w4-QeNym2QJy2BzMBqDXp-XtzJBM"", ""'GPE'!BK3:BK139""),MATCH($D36,IMPORTRANGE(""17pNv02DXDpQT9S3w4-QeNym2QJy2BzMBqDXp-XtzJBM"", ""'GPE'!D3:D139""),0))"),15.5104517110224)</f>
        <v>15.5104517110224</v>
      </c>
      <c r="AD36" s="23">
        <f ca="1">IFERROR(__xludf.DUMMYFUNCTION("INDEX(IMPORTRANGE(""17pNv02DXDpQT9S3w4-QeNym2QJy2BzMBqDXp-XtzJBM"", ""'GPE'!BL3:BL139""),MATCH($D36,IMPORTRANGE(""17pNv02DXDpQT9S3w4-QeNym2QJy2BzMBqDXp-XtzJBM"", ""'GPE'!D3:D139""),0))"),4.34296385568331)</f>
        <v>4.3429638556833101</v>
      </c>
      <c r="AE36" s="23">
        <f ca="1">IFERROR(__xludf.DUMMYFUNCTION("INDEX(IMPORTRANGE(""17pNv02DXDpQT9S3w4-QeNym2QJy2BzMBqDXp-XtzJBM"", ""'GPE'!BM3:BM139""),MATCH($D36,IMPORTRANGE(""17pNv02DXDpQT9S3w4-QeNym2QJy2BzMBqDXp-XtzJBM"", ""'GPE'!D3:D139""),0))"),8.41449247038641)</f>
        <v>8.4144924703864099</v>
      </c>
    </row>
    <row r="37" spans="1:31">
      <c r="A37" s="7" t="s">
        <v>119</v>
      </c>
      <c r="B37" s="7" t="s">
        <v>120</v>
      </c>
      <c r="C37" s="1" t="s">
        <v>30</v>
      </c>
      <c r="D37" s="1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12">
        <v>181232</v>
      </c>
      <c r="R37" s="12">
        <v>181232</v>
      </c>
      <c r="S37" s="12">
        <f ca="1">IFERROR(__xludf.DUMMYFUNCTION("INDEX(IMPORTRANGE(""17pNv02DXDpQT9S3w4-QeNym2QJy2BzMBqDXp-XtzJBM"", ""'GPE'!BG3:BG139""),MATCH($D37,IMPORTRANGE(""17pNv02DXDpQT9S3w4-QeNym2QJy2BzMBqDXp-XtzJBM"", ""'GPE'!D3:D139""),0))"),181232)</f>
        <v>181232</v>
      </c>
      <c r="T37" s="4"/>
      <c r="U37" s="4"/>
      <c r="V37" s="4"/>
      <c r="W37" s="4"/>
      <c r="X37" s="4"/>
      <c r="Y37" s="4"/>
      <c r="Z37" s="12">
        <f ca="1">IFERROR(__xludf.DUMMYFUNCTION("INDEX(IMPORTRANGE(""17pNv02DXDpQT9S3w4-QeNym2QJy2BzMBqDXp-XtzJBM"", ""'GPE'!BH3:BH139""),MATCH($D37,IMPORTRANGE(""17pNv02DXDpQT9S3w4-QeNym2QJy2BzMBqDXp-XtzJBM"", ""'GPE'!D3:D139""),0))"),181232)</f>
        <v>181232</v>
      </c>
      <c r="AA37" s="12">
        <f ca="1">IFERROR(__xludf.DUMMYFUNCTION("INDEX(IMPORTRANGE(""17pNv02DXDpQT9S3w4-QeNym2QJy2BzMBqDXp-XtzJBM"", ""'GPE'!BI3:BI139""),MATCH($D37,IMPORTRANGE(""17pNv02DXDpQT9S3w4-QeNym2QJy2BzMBqDXp-XtzJBM"", ""'GPE'!D3:D139""),0))"),195169)</f>
        <v>195169</v>
      </c>
      <c r="AB37" s="12">
        <f ca="1">IFERROR(__xludf.DUMMYFUNCTION("INDEX(IMPORTRANGE(""17pNv02DXDpQT9S3w4-QeNym2QJy2BzMBqDXp-XtzJBM"", ""'GPE'!BJ3:BJ139""),MATCH($D37,IMPORTRANGE(""17pNv02DXDpQT9S3w4-QeNym2QJy2BzMBqDXp-XtzJBM"", ""'GPE'!D3:D139""),0))"),195169)</f>
        <v>195169</v>
      </c>
      <c r="AC37" s="12">
        <f ca="1">IFERROR(__xludf.DUMMYFUNCTION("INDEX(IMPORTRANGE(""17pNv02DXDpQT9S3w4-QeNym2QJy2BzMBqDXp-XtzJBM"", ""'GPE'!BK3:BK139""),MATCH($D37,IMPORTRANGE(""17pNv02DXDpQT9S3w4-QeNym2QJy2BzMBqDXp-XtzJBM"", ""'GPE'!D3:D139""),0))"),195169)</f>
        <v>195169</v>
      </c>
      <c r="AD37" s="12">
        <f ca="1">IFERROR(__xludf.DUMMYFUNCTION("INDEX(IMPORTRANGE(""17pNv02DXDpQT9S3w4-QeNym2QJy2BzMBqDXp-XtzJBM"", ""'GPE'!BL3:BL139""),MATCH($D37,IMPORTRANGE(""17pNv02DXDpQT9S3w4-QeNym2QJy2BzMBqDXp-XtzJBM"", ""'GPE'!D3:D139""),0))"),195169)</f>
        <v>195169</v>
      </c>
      <c r="AE37" s="12">
        <f ca="1">IFERROR(__xludf.DUMMYFUNCTION("INDEX(IMPORTRANGE(""17pNv02DXDpQT9S3w4-QeNym2QJy2BzMBqDXp-XtzJBM"", ""'GPE'!BM3:BM139""),MATCH($D37,IMPORTRANGE(""17pNv02DXDpQT9S3w4-QeNym2QJy2BzMBqDXp-XtzJBM"", ""'GPE'!D3:D139""),0))"),195169)</f>
        <v>195169</v>
      </c>
    </row>
    <row r="38" spans="1:31">
      <c r="A38" s="7" t="s">
        <v>119</v>
      </c>
      <c r="B38" s="7" t="s">
        <v>120</v>
      </c>
      <c r="C38" s="1" t="s">
        <v>30</v>
      </c>
      <c r="D38" s="1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1" t="s">
        <v>361</v>
      </c>
      <c r="P38" s="11">
        <v>45565</v>
      </c>
      <c r="Q38" s="12">
        <v>991</v>
      </c>
      <c r="R38" s="2">
        <v>991</v>
      </c>
      <c r="S38" s="2">
        <f ca="1">IFERROR(__xludf.DUMMYFUNCTION("INDEX(IMPORTRANGE(""17pNv02DXDpQT9S3w4-QeNym2QJy2BzMBqDXp-XtzJBM"", ""'GPE'!BG3:BG139""),MATCH($D38,IMPORTRANGE(""17pNv02DXDpQT9S3w4-QeNym2QJy2BzMBqDXp-XtzJBM"", ""'GPE'!D3:D139""),0))"),991)</f>
        <v>991</v>
      </c>
      <c r="T38" s="2"/>
      <c r="U38" s="2"/>
      <c r="V38" s="2"/>
      <c r="W38" s="2"/>
      <c r="X38" s="2"/>
      <c r="Y38" s="2"/>
      <c r="Z38" s="2">
        <f ca="1">IFERROR(__xludf.DUMMYFUNCTION("INDEX(IMPORTRANGE(""17pNv02DXDpQT9S3w4-QeNym2QJy2BzMBqDXp-XtzJBM"", ""'GPE'!BH3:BH139""),MATCH($D38,IMPORTRANGE(""17pNv02DXDpQT9S3w4-QeNym2QJy2BzMBqDXp-XtzJBM"", ""'GPE'!D3:D139""),0))"),805)</f>
        <v>805</v>
      </c>
      <c r="AA38" s="2">
        <f ca="1">IFERROR(__xludf.DUMMYFUNCTION("INDEX(IMPORTRANGE(""17pNv02DXDpQT9S3w4-QeNym2QJy2BzMBqDXp-XtzJBM"", ""'GPE'!BI3:BI139""),MATCH($D38,IMPORTRANGE(""17pNv02DXDpQT9S3w4-QeNym2QJy2BzMBqDXp-XtzJBM"", ""'GPE'!D3:D139""),0))"),2050)</f>
        <v>2050</v>
      </c>
      <c r="AB38" s="2">
        <f ca="1">IFERROR(__xludf.DUMMYFUNCTION("INDEX(IMPORTRANGE(""17pNv02DXDpQT9S3w4-QeNym2QJy2BzMBqDXp-XtzJBM"", ""'GPE'!BJ3:BJ139""),MATCH($D38,IMPORTRANGE(""17pNv02DXDpQT9S3w4-QeNym2QJy2BzMBqDXp-XtzJBM"", ""'GPE'!D3:D139""),0))"),2355)</f>
        <v>2355</v>
      </c>
      <c r="AC38" s="2">
        <f ca="1">IFERROR(__xludf.DUMMYFUNCTION("INDEX(IMPORTRANGE(""17pNv02DXDpQT9S3w4-QeNym2QJy2BzMBqDXp-XtzJBM"", ""'GPE'!BK3:BK139""),MATCH($D38,IMPORTRANGE(""17pNv02DXDpQT9S3w4-QeNym2QJy2BzMBqDXp-XtzJBM"", ""'GPE'!D3:D139""),0))"),2387)</f>
        <v>2387</v>
      </c>
      <c r="AD38" s="2">
        <f ca="1">IFERROR(__xludf.DUMMYFUNCTION("INDEX(IMPORTRANGE(""17pNv02DXDpQT9S3w4-QeNym2QJy2BzMBqDXp-XtzJBM"", ""'GPE'!BL3:BL139""),MATCH($D38,IMPORTRANGE(""17pNv02DXDpQT9S3w4-QeNym2QJy2BzMBqDXp-XtzJBM"", ""'GPE'!D3:D139""),0))"),2804)</f>
        <v>2804</v>
      </c>
      <c r="AE38" s="2">
        <f ca="1">IFERROR(__xludf.DUMMYFUNCTION("INDEX(IMPORTRANGE(""17pNv02DXDpQT9S3w4-QeNym2QJy2BzMBqDXp-XtzJBM"", ""'GPE'!BM3:BM139""),MATCH($D38,IMPORTRANGE(""17pNv02DXDpQT9S3w4-QeNym2QJy2BzMBqDXp-XtzJBM"", ""'GPE'!D3:D139""),0))"),3715)</f>
        <v>3715</v>
      </c>
    </row>
    <row r="39" spans="1:31">
      <c r="A39" s="7" t="s">
        <v>119</v>
      </c>
      <c r="B39" s="7" t="s">
        <v>120</v>
      </c>
      <c r="C39" s="1" t="s">
        <v>36</v>
      </c>
      <c r="D39" s="1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1" t="s">
        <v>361</v>
      </c>
      <c r="P39" s="11">
        <v>45565</v>
      </c>
      <c r="Q39" s="19">
        <f t="shared" ref="Q39:R39" si="10">Q38/Q37</f>
        <v>5.4681292486978015E-3</v>
      </c>
      <c r="R39" s="19">
        <f t="shared" si="10"/>
        <v>5.4681292486978015E-3</v>
      </c>
      <c r="S39" s="15">
        <f ca="1">IFERROR(__xludf.DUMMYFUNCTION("INDEX(IMPORTRANGE(""17pNv02DXDpQT9S3w4-QeNym2QJy2BzMBqDXp-XtzJBM"", ""'GPE'!BG3:BG139""),MATCH($D39,IMPORTRANGE(""17pNv02DXDpQT9S3w4-QeNym2QJy2BzMBqDXp-XtzJBM"", ""'GPE'!D3:D139""),0))"),0.0054681292486978)</f>
        <v>5.4681292486977997E-3</v>
      </c>
      <c r="T39" s="15">
        <v>2E-3</v>
      </c>
      <c r="U39" s="15">
        <v>6.0000000000000001E-3</v>
      </c>
      <c r="V39" s="15">
        <v>0.01</v>
      </c>
      <c r="W39" s="15">
        <v>1.4E-2</v>
      </c>
      <c r="X39" s="15">
        <f>((Y39-W39)/6)*5+W39</f>
        <v>1.9E-2</v>
      </c>
      <c r="Y39" s="15">
        <v>0.02</v>
      </c>
      <c r="Z39" s="15">
        <f ca="1">IFERROR(__xludf.DUMMYFUNCTION("INDEX(IMPORTRANGE(""17pNv02DXDpQT9S3w4-QeNym2QJy2BzMBqDXp-XtzJBM"", ""'GPE'!BH3:BH139""),MATCH($D39,IMPORTRANGE(""17pNv02DXDpQT9S3w4-QeNym2QJy2BzMBqDXp-XtzJBM"", ""'GPE'!D3:D139""),0))"),0.0044418204290633)</f>
        <v>4.4418204290632996E-3</v>
      </c>
      <c r="AA39" s="15">
        <f ca="1">IFERROR(__xludf.DUMMYFUNCTION("INDEX(IMPORTRANGE(""17pNv02DXDpQT9S3w4-QeNym2QJy2BzMBqDXp-XtzJBM"", ""'GPE'!BI3:BI139""),MATCH($D39,IMPORTRANGE(""17pNv02DXDpQT9S3w4-QeNym2QJy2BzMBqDXp-XtzJBM"", ""'GPE'!D3:D139""),0))"),0.0105037172911681)</f>
        <v>1.0503717291168099E-2</v>
      </c>
      <c r="AB39" s="15">
        <f ca="1">IFERROR(__xludf.DUMMYFUNCTION("INDEX(IMPORTRANGE(""17pNv02DXDpQT9S3w4-QeNym2QJy2BzMBqDXp-XtzJBM"", ""'GPE'!BJ3:BJ139""),MATCH($D39,IMPORTRANGE(""17pNv02DXDpQT9S3w4-QeNym2QJy2BzMBqDXp-XtzJBM"", ""'GPE'!D3:D139""),0))"),0.0120664654735127)</f>
        <v>1.20664654735127E-2</v>
      </c>
      <c r="AC39" s="15">
        <f ca="1">IFERROR(__xludf.DUMMYFUNCTION("INDEX(IMPORTRANGE(""17pNv02DXDpQT9S3w4-QeNym2QJy2BzMBqDXp-XtzJBM"", ""'GPE'!BK3:BK139""),MATCH($D39,IMPORTRANGE(""17pNv02DXDpQT9S3w4-QeNym2QJy2BzMBqDXp-XtzJBM"", ""'GPE'!D3:D139""),0))"),0.0122304259385455)</f>
        <v>1.22304259385455E-2</v>
      </c>
      <c r="AD39" s="15">
        <f ca="1">IFERROR(__xludf.DUMMYFUNCTION("INDEX(IMPORTRANGE(""17pNv02DXDpQT9S3w4-QeNym2QJy2BzMBqDXp-XtzJBM"", ""'GPE'!BL3:BL139""),MATCH($D39,IMPORTRANGE(""17pNv02DXDpQT9S3w4-QeNym2QJy2BzMBqDXp-XtzJBM"", ""'GPE'!D3:D139""),0))"),0.0143670357485051)</f>
        <v>1.43670357485051E-2</v>
      </c>
      <c r="AE39" s="15">
        <f ca="1">IFERROR(__xludf.DUMMYFUNCTION("INDEX(IMPORTRANGE(""17pNv02DXDpQT9S3w4-QeNym2QJy2BzMBqDXp-XtzJBM"", ""'GPE'!BM3:BM139""),MATCH($D39,IMPORTRANGE(""17pNv02DXDpQT9S3w4-QeNym2QJy2BzMBqDXp-XtzJBM"", ""'GPE'!D3:D139""),0))"),0.0190347852374096)</f>
        <v>1.9034785237409601E-2</v>
      </c>
    </row>
    <row r="40" spans="1:31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2"/>
      <c r="S40" s="2" t="str">
        <f ca="1">IFERROR(__xludf.DUMMYFUNCTION("INDEX(IMPORTRANGE(""17pNv02DXDpQT9S3w4-QeNym2QJy2BzMBqDXp-XtzJBM"", ""'GPE'!BG3:BG139""),MATCH($D40,IMPORTRANGE(""17pNv02DXDpQT9S3w4-QeNym2QJy2BzMBqDXp-XtzJBM"", ""'GPE'!D3:D139""),0))"),"")</f>
        <v/>
      </c>
      <c r="T40" s="2"/>
      <c r="U40" s="2"/>
      <c r="V40" s="2"/>
      <c r="W40" s="2"/>
      <c r="X40" s="2"/>
      <c r="Y40" s="2"/>
      <c r="Z40" s="2" t="str">
        <f ca="1">IFERROR(__xludf.DUMMYFUNCTION("INDEX(IMPORTRANGE(""17pNv02DXDpQT9S3w4-QeNym2QJy2BzMBqDXp-XtzJBM"", ""'GPE'!BH3:BH139""),MATCH($D40,IMPORTRANGE(""17pNv02DXDpQT9S3w4-QeNym2QJy2BzMBqDXp-XtzJBM"", ""'GPE'!D3:D139""),0))"),"")</f>
        <v/>
      </c>
      <c r="AA40" s="2" t="str">
        <f ca="1">IFERROR(__xludf.DUMMYFUNCTION("INDEX(IMPORTRANGE(""17pNv02DXDpQT9S3w4-QeNym2QJy2BzMBqDXp-XtzJBM"", ""'GPE'!BI3:BI139""),MATCH($D40,IMPORTRANGE(""17pNv02DXDpQT9S3w4-QeNym2QJy2BzMBqDXp-XtzJBM"", ""'GPE'!D3:D139""),0))"),"")</f>
        <v/>
      </c>
      <c r="AB40" s="2">
        <f ca="1">IFERROR(__xludf.DUMMYFUNCTION("INDEX(IMPORTRANGE(""17pNv02DXDpQT9S3w4-QeNym2QJy2BzMBqDXp-XtzJBM"", ""'GPE'!BJ3:BJ139""),MATCH($D40,IMPORTRANGE(""17pNv02DXDpQT9S3w4-QeNym2QJy2BzMBqDXp-XtzJBM"", ""'GPE'!D3:D139""),0))"),38.2)</f>
        <v>38.200000000000003</v>
      </c>
      <c r="AC40" s="2">
        <f ca="1">IFERROR(__xludf.DUMMYFUNCTION("INDEX(IMPORTRANGE(""17pNv02DXDpQT9S3w4-QeNym2QJy2BzMBqDXp-XtzJBM"", ""'GPE'!BK3:BK139""),MATCH($D40,IMPORTRANGE(""17pNv02DXDpQT9S3w4-QeNym2QJy2BzMBqDXp-XtzJBM"", ""'GPE'!D3:D139""),0))"),76.2)</f>
        <v>76.2</v>
      </c>
      <c r="AD40" s="2">
        <f ca="1">IFERROR(__xludf.DUMMYFUNCTION("INDEX(IMPORTRANGE(""17pNv02DXDpQT9S3w4-QeNym2QJy2BzMBqDXp-XtzJBM"", ""'GPE'!BL3:BL139""),MATCH($D40,IMPORTRANGE(""17pNv02DXDpQT9S3w4-QeNym2QJy2BzMBqDXp-XtzJBM"", ""'GPE'!D3:D139""),0))"),44.8)</f>
        <v>44.8</v>
      </c>
      <c r="AE40" s="2">
        <f ca="1">IFERROR(__xludf.DUMMYFUNCTION("INDEX(IMPORTRANGE(""17pNv02DXDpQT9S3w4-QeNym2QJy2BzMBqDXp-XtzJBM"", ""'GPE'!BM3:BM139""),MATCH($D40,IMPORTRANGE(""17pNv02DXDpQT9S3w4-QeNym2QJy2BzMBqDXp-XtzJBM"", ""'GPE'!D3:D139""),0))"),78.4)</f>
        <v>78.400000000000006</v>
      </c>
    </row>
    <row r="41" spans="1:31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2"/>
      <c r="S41" s="2" t="str">
        <f ca="1">IFERROR(__xludf.DUMMYFUNCTION("INDEX(IMPORTRANGE(""17pNv02DXDpQT9S3w4-QeNym2QJy2BzMBqDXp-XtzJBM"", ""'GPE'!BG3:BG139""),MATCH($D41,IMPORTRANGE(""17pNv02DXDpQT9S3w4-QeNym2QJy2BzMBqDXp-XtzJBM"", ""'GPE'!D3:D139""),0))"),"")</f>
        <v/>
      </c>
      <c r="T41" s="2"/>
      <c r="U41" s="2"/>
      <c r="V41" s="2"/>
      <c r="W41" s="2"/>
      <c r="X41" s="2"/>
      <c r="Y41" s="2"/>
      <c r="Z41" s="2" t="str">
        <f ca="1">IFERROR(__xludf.DUMMYFUNCTION("INDEX(IMPORTRANGE(""17pNv02DXDpQT9S3w4-QeNym2QJy2BzMBqDXp-XtzJBM"", ""'GPE'!BH3:BH139""),MATCH($D41,IMPORTRANGE(""17pNv02DXDpQT9S3w4-QeNym2QJy2BzMBqDXp-XtzJBM"", ""'GPE'!D3:D139""),0))"),"")</f>
        <v/>
      </c>
      <c r="AA41" s="2" t="str">
        <f ca="1">IFERROR(__xludf.DUMMYFUNCTION("INDEX(IMPORTRANGE(""17pNv02DXDpQT9S3w4-QeNym2QJy2BzMBqDXp-XtzJBM"", ""'GPE'!BI3:BI139""),MATCH($D41,IMPORTRANGE(""17pNv02DXDpQT9S3w4-QeNym2QJy2BzMBqDXp-XtzJBM"", ""'GPE'!D3:D139""),0))"),"")</f>
        <v/>
      </c>
      <c r="AB41" s="2">
        <f ca="1">IFERROR(__xludf.DUMMYFUNCTION("INDEX(IMPORTRANGE(""17pNv02DXDpQT9S3w4-QeNym2QJy2BzMBqDXp-XtzJBM"", ""'GPE'!BJ3:BJ139""),MATCH($D41,IMPORTRANGE(""17pNv02DXDpQT9S3w4-QeNym2QJy2BzMBqDXp-XtzJBM"", ""'GPE'!D3:D139""),0))"),6054.16)</f>
        <v>6054.16</v>
      </c>
      <c r="AC41" s="2">
        <f ca="1">IFERROR(__xludf.DUMMYFUNCTION("INDEX(IMPORTRANGE(""17pNv02DXDpQT9S3w4-QeNym2QJy2BzMBqDXp-XtzJBM"", ""'GPE'!BK3:BK139""),MATCH($D41,IMPORTRANGE(""17pNv02DXDpQT9S3w4-QeNym2QJy2BzMBqDXp-XtzJBM"", ""'GPE'!D3:D139""),0))"),11352.68)</f>
        <v>11352.68</v>
      </c>
      <c r="AD41" s="2">
        <f ca="1">IFERROR(__xludf.DUMMYFUNCTION("INDEX(IMPORTRANGE(""17pNv02DXDpQT9S3w4-QeNym2QJy2BzMBqDXp-XtzJBM"", ""'GPE'!BL3:BL139""),MATCH($D41,IMPORTRANGE(""17pNv02DXDpQT9S3w4-QeNym2QJy2BzMBqDXp-XtzJBM"", ""'GPE'!D3:D139""),0))"),5058.45)</f>
        <v>5058.45</v>
      </c>
      <c r="AE41" s="2">
        <f ca="1">IFERROR(__xludf.DUMMYFUNCTION("INDEX(IMPORTRANGE(""17pNv02DXDpQT9S3w4-QeNym2QJy2BzMBqDXp-XtzJBM"", ""'GPE'!BM3:BM139""),MATCH($D41,IMPORTRANGE(""17pNv02DXDpQT9S3w4-QeNym2QJy2BzMBqDXp-XtzJBM"", ""'GPE'!D3:D139""),0))"),7508.45)</f>
        <v>7508.45</v>
      </c>
    </row>
    <row r="42" spans="1:31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2"/>
      <c r="S42" s="2" t="str">
        <f ca="1">IFERROR(__xludf.DUMMYFUNCTION("INDEX(IMPORTRANGE(""17pNv02DXDpQT9S3w4-QeNym2QJy2BzMBqDXp-XtzJBM"", ""'GPE'!BG3:BG139""),MATCH($D42,IMPORTRANGE(""17pNv02DXDpQT9S3w4-QeNym2QJy2BzMBqDXp-XtzJBM"", ""'GPE'!D3:D139""),0))"),"")</f>
        <v/>
      </c>
      <c r="T42" s="2"/>
      <c r="U42" s="26">
        <v>5.4999999999999997E-3</v>
      </c>
      <c r="V42" s="26">
        <v>6.4999999999999997E-3</v>
      </c>
      <c r="W42" s="26">
        <v>7.4999999999999997E-3</v>
      </c>
      <c r="X42" s="15">
        <f>((Y42-W42)/6)*5+W42</f>
        <v>8.3333333333333332E-3</v>
      </c>
      <c r="Y42" s="26">
        <v>8.5000000000000006E-3</v>
      </c>
      <c r="Z42" s="15" t="str">
        <f ca="1">IFERROR(__xludf.DUMMYFUNCTION("INDEX(IMPORTRANGE(""17pNv02DXDpQT9S3w4-QeNym2QJy2BzMBqDXp-XtzJBM"", ""'GPE'!BH3:BH139""),MATCH($D42,IMPORTRANGE(""17pNv02DXDpQT9S3w4-QeNym2QJy2BzMBqDXp-XtzJBM"", ""'GPE'!D3:D139""),0))"),"")</f>
        <v/>
      </c>
      <c r="AA42" s="15" t="str">
        <f ca="1">IFERROR(__xludf.DUMMYFUNCTION("INDEX(IMPORTRANGE(""17pNv02DXDpQT9S3w4-QeNym2QJy2BzMBqDXp-XtzJBM"", ""'GPE'!BI3:BI139""),MATCH($D42,IMPORTRANGE(""17pNv02DXDpQT9S3w4-QeNym2QJy2BzMBqDXp-XtzJBM"", ""'GPE'!D3:D139""),0))"),"")</f>
        <v/>
      </c>
      <c r="AB42" s="15">
        <f ca="1">IFERROR(__xludf.DUMMYFUNCTION("INDEX(IMPORTRANGE(""17pNv02DXDpQT9S3w4-QeNym2QJy2BzMBqDXp-XtzJBM"", ""'GPE'!BJ3:BJ139""),MATCH($D42,IMPORTRANGE(""17pNv02DXDpQT9S3w4-QeNym2QJy2BzMBqDXp-XtzJBM"", ""'GPE'!D3:D139""),0))"),0.00630971100862877)</f>
        <v>6.3097110086287704E-3</v>
      </c>
      <c r="AC42" s="15">
        <f ca="1">IFERROR(__xludf.DUMMYFUNCTION("INDEX(IMPORTRANGE(""17pNv02DXDpQT9S3w4-QeNym2QJy2BzMBqDXp-XtzJBM"", ""'GPE'!BK3:BK139""),MATCH($D42,IMPORTRANGE(""17pNv02DXDpQT9S3w4-QeNym2QJy2BzMBqDXp-XtzJBM"", ""'GPE'!D3:D139""),0))"),0.00671207151086791)</f>
        <v>6.7120715108679096E-3</v>
      </c>
      <c r="AD42" s="15">
        <f ca="1">IFERROR(__xludf.DUMMYFUNCTION("INDEX(IMPORTRANGE(""17pNv02DXDpQT9S3w4-QeNym2QJy2BzMBqDXp-XtzJBM"", ""'GPE'!BL3:BL139""),MATCH($D42,IMPORTRANGE(""17pNv02DXDpQT9S3w4-QeNym2QJy2BzMBqDXp-XtzJBM"", ""'GPE'!D3:D139""),0))"),0.00885646789036167)</f>
        <v>8.8564678903616696E-3</v>
      </c>
      <c r="AE42" s="15">
        <f ca="1">IFERROR(__xludf.DUMMYFUNCTION("INDEX(IMPORTRANGE(""17pNv02DXDpQT9S3w4-QeNym2QJy2BzMBqDXp-XtzJBM"", ""'GPE'!BM3:BM139""),MATCH($D42,IMPORTRANGE(""17pNv02DXDpQT9S3w4-QeNym2QJy2BzMBqDXp-XtzJBM"", ""'GPE'!D3:D139""),0))"),0.0104415691654069)</f>
        <v>1.0441569165406899E-2</v>
      </c>
    </row>
    <row r="43" spans="1:31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12" t="s">
        <v>364</v>
      </c>
      <c r="P43" s="12" t="s">
        <v>132</v>
      </c>
      <c r="Q43" s="12">
        <v>0</v>
      </c>
      <c r="R43" s="2">
        <v>0</v>
      </c>
      <c r="S43" s="2">
        <f ca="1">IFERROR(__xludf.DUMMYFUNCTION("INDEX(IMPORTRANGE(""17pNv02DXDpQT9S3w4-QeNym2QJy2BzMBqDXp-XtzJBM"", ""'GPE'!BG3:BG139""),MATCH($D43,IMPORTRANGE(""17pNv02DXDpQT9S3w4-QeNym2QJy2BzMBqDXp-XtzJBM"", ""'GPE'!D3:D139""),0))"),0)</f>
        <v>0</v>
      </c>
      <c r="T43" s="2">
        <v>2</v>
      </c>
      <c r="U43" s="2">
        <v>3</v>
      </c>
      <c r="V43" s="2">
        <v>3</v>
      </c>
      <c r="W43" s="2">
        <v>3</v>
      </c>
      <c r="X43" s="2">
        <v>5</v>
      </c>
      <c r="Y43" s="2">
        <v>5</v>
      </c>
      <c r="Z43" s="2">
        <f ca="1">IFERROR(__xludf.DUMMYFUNCTION("INDEX(IMPORTRANGE(""17pNv02DXDpQT9S3w4-QeNym2QJy2BzMBqDXp-XtzJBM"", ""'GPE'!BH3:BH139""),MATCH($D43,IMPORTRANGE(""17pNv02DXDpQT9S3w4-QeNym2QJy2BzMBqDXp-XtzJBM"", ""'GPE'!D3:D139""),0))"),1)</f>
        <v>1</v>
      </c>
      <c r="AA43" s="2">
        <f ca="1">IFERROR(__xludf.DUMMYFUNCTION("INDEX(IMPORTRANGE(""17pNv02DXDpQT9S3w4-QeNym2QJy2BzMBqDXp-XtzJBM"", ""'GPE'!BI3:BI139""),MATCH($D43,IMPORTRANGE(""17pNv02DXDpQT9S3w4-QeNym2QJy2BzMBqDXp-XtzJBM"", ""'GPE'!D3:D139""),0))"),3)</f>
        <v>3</v>
      </c>
      <c r="AB43" s="2">
        <f ca="1">IFERROR(__xludf.DUMMYFUNCTION("INDEX(IMPORTRANGE(""17pNv02DXDpQT9S3w4-QeNym2QJy2BzMBqDXp-XtzJBM"", ""'GPE'!BJ3:BJ139""),MATCH($D43,IMPORTRANGE(""17pNv02DXDpQT9S3w4-QeNym2QJy2BzMBqDXp-XtzJBM"", ""'GPE'!D3:D139""),0))"),5)</f>
        <v>5</v>
      </c>
      <c r="AC43" s="2">
        <f ca="1">IFERROR(__xludf.DUMMYFUNCTION("INDEX(IMPORTRANGE(""17pNv02DXDpQT9S3w4-QeNym2QJy2BzMBqDXp-XtzJBM"", ""'GPE'!BK3:BK139""),MATCH($D43,IMPORTRANGE(""17pNv02DXDpQT9S3w4-QeNym2QJy2BzMBqDXp-XtzJBM"", ""'GPE'!D3:D139""),0))"),7)</f>
        <v>7</v>
      </c>
      <c r="AD43" s="2">
        <f ca="1">IFERROR(__xludf.DUMMYFUNCTION("INDEX(IMPORTRANGE(""17pNv02DXDpQT9S3w4-QeNym2QJy2BzMBqDXp-XtzJBM"", ""'GPE'!BL3:BL139""),MATCH($D43,IMPORTRANGE(""17pNv02DXDpQT9S3w4-QeNym2QJy2BzMBqDXp-XtzJBM"", ""'GPE'!D3:D139""),0))"),9)</f>
        <v>9</v>
      </c>
      <c r="AE43" s="2">
        <f ca="1">IFERROR(__xludf.DUMMYFUNCTION("INDEX(IMPORTRANGE(""17pNv02DXDpQT9S3w4-QeNym2QJy2BzMBqDXp-XtzJBM"", ""'GPE'!BM3:BM139""),MATCH($D43,IMPORTRANGE(""17pNv02DXDpQT9S3w4-QeNym2QJy2BzMBqDXp-XtzJBM"", ""'GPE'!D3:D139""),0))"),9)</f>
        <v>9</v>
      </c>
    </row>
    <row r="44" spans="1:31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12" t="s">
        <v>364</v>
      </c>
      <c r="P44" s="12" t="s">
        <v>132</v>
      </c>
      <c r="Q44" s="12">
        <v>419</v>
      </c>
      <c r="R44" s="2">
        <v>897</v>
      </c>
      <c r="S44" s="2">
        <f ca="1">IFERROR(__xludf.DUMMYFUNCTION("INDEX(IMPORTRANGE(""17pNv02DXDpQT9S3w4-QeNym2QJy2BzMBqDXp-XtzJBM"", ""'GPE'!BG3:BG139""),MATCH($D44,IMPORTRANGE(""17pNv02DXDpQT9S3w4-QeNym2QJy2BzMBqDXp-XtzJBM"", ""'GPE'!D3:D139""),0))"),897)</f>
        <v>897</v>
      </c>
      <c r="T44" s="2">
        <v>1000</v>
      </c>
      <c r="U44" s="2">
        <v>1500</v>
      </c>
      <c r="V44" s="12">
        <v>2000</v>
      </c>
      <c r="W44" s="12">
        <v>2500</v>
      </c>
      <c r="X44" s="12">
        <v>3000</v>
      </c>
      <c r="Y44" s="2">
        <v>3000</v>
      </c>
      <c r="Z44" s="2">
        <f ca="1">IFERROR(__xludf.DUMMYFUNCTION("INDEX(IMPORTRANGE(""17pNv02DXDpQT9S3w4-QeNym2QJy2BzMBqDXp-XtzJBM"", ""'GPE'!BH3:BH139""),MATCH($D44,IMPORTRANGE(""17pNv02DXDpQT9S3w4-QeNym2QJy2BzMBqDXp-XtzJBM"", ""'GPE'!D3:D139""),0))"),1211)</f>
        <v>1211</v>
      </c>
      <c r="AA44" s="12">
        <f ca="1">IFERROR(__xludf.DUMMYFUNCTION("INDEX(IMPORTRANGE(""17pNv02DXDpQT9S3w4-QeNym2QJy2BzMBqDXp-XtzJBM"", ""'GPE'!BI3:BI139""),MATCH($D44,IMPORTRANGE(""17pNv02DXDpQT9S3w4-QeNym2QJy2BzMBqDXp-XtzJBM"", ""'GPE'!D3:D139""),0))"),1696)</f>
        <v>1696</v>
      </c>
      <c r="AB44" s="2">
        <f ca="1">IFERROR(__xludf.DUMMYFUNCTION("INDEX(IMPORTRANGE(""17pNv02DXDpQT9S3w4-QeNym2QJy2BzMBqDXp-XtzJBM"", ""'GPE'!BJ3:BJ139""),MATCH($D44,IMPORTRANGE(""17pNv02DXDpQT9S3w4-QeNym2QJy2BzMBqDXp-XtzJBM"", ""'GPE'!D3:D139""),0))"),2619)</f>
        <v>2619</v>
      </c>
      <c r="AC44" s="12">
        <f ca="1">IFERROR(__xludf.DUMMYFUNCTION("INDEX(IMPORTRANGE(""17pNv02DXDpQT9S3w4-QeNym2QJy2BzMBqDXp-XtzJBM"", ""'GPE'!BK3:BK139""),MATCH($D44,IMPORTRANGE(""17pNv02DXDpQT9S3w4-QeNym2QJy2BzMBqDXp-XtzJBM"", ""'GPE'!D3:D139""),0))"),3509)</f>
        <v>3509</v>
      </c>
      <c r="AD44" s="2">
        <f ca="1">IFERROR(__xludf.DUMMYFUNCTION("INDEX(IMPORTRANGE(""17pNv02DXDpQT9S3w4-QeNym2QJy2BzMBqDXp-XtzJBM"", ""'GPE'!BL3:BL139""),MATCH($D44,IMPORTRANGE(""17pNv02DXDpQT9S3w4-QeNym2QJy2BzMBqDXp-XtzJBM"", ""'GPE'!D3:D139""),0))"),4373)</f>
        <v>4373</v>
      </c>
      <c r="AE44" s="2">
        <f ca="1">IFERROR(__xludf.DUMMYFUNCTION("INDEX(IMPORTRANGE(""17pNv02DXDpQT9S3w4-QeNym2QJy2BzMBqDXp-XtzJBM"", ""'GPE'!BM3:BM139""),MATCH($D44,IMPORTRANGE(""17pNv02DXDpQT9S3w4-QeNym2QJy2BzMBqDXp-XtzJBM"", ""'GPE'!D3:D139""),0))"),5289)</f>
        <v>5289</v>
      </c>
    </row>
    <row r="45" spans="1:31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12" t="s">
        <v>364</v>
      </c>
      <c r="P45" s="12" t="s">
        <v>132</v>
      </c>
      <c r="Q45" s="12">
        <v>1</v>
      </c>
      <c r="R45" s="2">
        <v>1</v>
      </c>
      <c r="S45" s="2">
        <f ca="1">IFERROR(__xludf.DUMMYFUNCTION("INDEX(IMPORTRANGE(""17pNv02DXDpQT9S3w4-QeNym2QJy2BzMBqDXp-XtzJBM"", ""'GPE'!BG3:BG139""),MATCH($D45,IMPORTRANGE(""17pNv02DXDpQT9S3w4-QeNym2QJy2BzMBqDXp-XtzJBM"", ""'GPE'!D3:D139""),0))"),1)</f>
        <v>1</v>
      </c>
      <c r="T45" s="2"/>
      <c r="U45" s="2"/>
      <c r="V45" s="2"/>
      <c r="W45" s="2"/>
      <c r="X45" s="2"/>
      <c r="Y45" s="2"/>
      <c r="Z45" s="2">
        <f ca="1">IFERROR(__xludf.DUMMYFUNCTION("INDEX(IMPORTRANGE(""17pNv02DXDpQT9S3w4-QeNym2QJy2BzMBqDXp-XtzJBM"", ""'GPE'!BH3:BH139""),MATCH($D45,IMPORTRANGE(""17pNv02DXDpQT9S3w4-QeNym2QJy2BzMBqDXp-XtzJBM"", ""'GPE'!D3:D139""),0))"),0)</f>
        <v>0</v>
      </c>
      <c r="AA45" s="2">
        <f ca="1">IFERROR(__xludf.DUMMYFUNCTION("INDEX(IMPORTRANGE(""17pNv02DXDpQT9S3w4-QeNym2QJy2BzMBqDXp-XtzJBM"", ""'GPE'!BI3:BI139""),MATCH($D45,IMPORTRANGE(""17pNv02DXDpQT9S3w4-QeNym2QJy2BzMBqDXp-XtzJBM"", ""'GPE'!D3:D139""),0))"),2)</f>
        <v>2</v>
      </c>
      <c r="AB45" s="2">
        <f ca="1">IFERROR(__xludf.DUMMYFUNCTION("INDEX(IMPORTRANGE(""17pNv02DXDpQT9S3w4-QeNym2QJy2BzMBqDXp-XtzJBM"", ""'GPE'!BJ3:BJ139""),MATCH($D45,IMPORTRANGE(""17pNv02DXDpQT9S3w4-QeNym2QJy2BzMBqDXp-XtzJBM"", ""'GPE'!D3:D139""),0))"),2)</f>
        <v>2</v>
      </c>
      <c r="AC45" s="2">
        <f ca="1">IFERROR(__xludf.DUMMYFUNCTION("INDEX(IMPORTRANGE(""17pNv02DXDpQT9S3w4-QeNym2QJy2BzMBqDXp-XtzJBM"", ""'GPE'!BK3:BK139""),MATCH($D45,IMPORTRANGE(""17pNv02DXDpQT9S3w4-QeNym2QJy2BzMBqDXp-XtzJBM"", ""'GPE'!D3:D139""),0))"),2)</f>
        <v>2</v>
      </c>
      <c r="AD45" s="2">
        <f ca="1">IFERROR(__xludf.DUMMYFUNCTION("INDEX(IMPORTRANGE(""17pNv02DXDpQT9S3w4-QeNym2QJy2BzMBqDXp-XtzJBM"", ""'GPE'!BL3:BL139""),MATCH($D45,IMPORTRANGE(""17pNv02DXDpQT9S3w4-QeNym2QJy2BzMBqDXp-XtzJBM"", ""'GPE'!D3:D139""),0))"),2)</f>
        <v>2</v>
      </c>
      <c r="AE45" s="2">
        <f ca="1">IFERROR(__xludf.DUMMYFUNCTION("INDEX(IMPORTRANGE(""17pNv02DXDpQT9S3w4-QeNym2QJy2BzMBqDXp-XtzJBM"", ""'GPE'!BM3:BM139""),MATCH($D45,IMPORTRANGE(""17pNv02DXDpQT9S3w4-QeNym2QJy2BzMBqDXp-XtzJBM"", ""'GPE'!D3:D139""),0))"),2)</f>
        <v>2</v>
      </c>
    </row>
    <row r="46" spans="1:31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12" t="s">
        <v>364</v>
      </c>
      <c r="P46" s="12" t="s">
        <v>132</v>
      </c>
      <c r="Q46" s="12"/>
      <c r="R46" s="2"/>
      <c r="S46" s="2">
        <f ca="1">IFERROR(__xludf.DUMMYFUNCTION("INDEX(IMPORTRANGE(""17pNv02DXDpQT9S3w4-QeNym2QJy2BzMBqDXp-XtzJBM"", ""'GPE'!BG3:BG139""),MATCH($D46,IMPORTRANGE(""17pNv02DXDpQT9S3w4-QeNym2QJy2BzMBqDXp-XtzJBM"", ""'GPE'!D3:D139""),0))"),0)</f>
        <v>0</v>
      </c>
      <c r="T46" s="2"/>
      <c r="U46" s="2"/>
      <c r="V46" s="2"/>
      <c r="W46" s="2"/>
      <c r="X46" s="2"/>
      <c r="Y46" s="2"/>
      <c r="Z46" s="2" t="str">
        <f ca="1">IFERROR(__xludf.DUMMYFUNCTION("INDEX(IMPORTRANGE(""17pNv02DXDpQT9S3w4-QeNym2QJy2BzMBqDXp-XtzJBM"", ""'GPE'!BH3:BH139""),MATCH($D46,IMPORTRANGE(""17pNv02DXDpQT9S3w4-QeNym2QJy2BzMBqDXp-XtzJBM"", ""'GPE'!D3:D139""),0))"),"")</f>
        <v/>
      </c>
      <c r="AA46" s="2">
        <f ca="1">IFERROR(__xludf.DUMMYFUNCTION("INDEX(IMPORTRANGE(""17pNv02DXDpQT9S3w4-QeNym2QJy2BzMBqDXp-XtzJBM"", ""'GPE'!BI3:BI139""),MATCH($D46,IMPORTRANGE(""17pNv02DXDpQT9S3w4-QeNym2QJy2BzMBqDXp-XtzJBM"", ""'GPE'!D3:D139""),0))"),0)</f>
        <v>0</v>
      </c>
      <c r="AB46" s="2">
        <f ca="1">IFERROR(__xludf.DUMMYFUNCTION("INDEX(IMPORTRANGE(""17pNv02DXDpQT9S3w4-QeNym2QJy2BzMBqDXp-XtzJBM"", ""'GPE'!BJ3:BJ139""),MATCH($D46,IMPORTRANGE(""17pNv02DXDpQT9S3w4-QeNym2QJy2BzMBqDXp-XtzJBM"", ""'GPE'!D3:D139""),0))"),0)</f>
        <v>0</v>
      </c>
      <c r="AC46" s="2">
        <f ca="1">IFERROR(__xludf.DUMMYFUNCTION("INDEX(IMPORTRANGE(""17pNv02DXDpQT9S3w4-QeNym2QJy2BzMBqDXp-XtzJBM"", ""'GPE'!BK3:BK139""),MATCH($D46,IMPORTRANGE(""17pNv02DXDpQT9S3w4-QeNym2QJy2BzMBqDXp-XtzJBM"", ""'GPE'!D3:D139""),0))"),0)</f>
        <v>0</v>
      </c>
      <c r="AD46" s="2">
        <f ca="1">IFERROR(__xludf.DUMMYFUNCTION("INDEX(IMPORTRANGE(""17pNv02DXDpQT9S3w4-QeNym2QJy2BzMBqDXp-XtzJBM"", ""'GPE'!BL3:BL139""),MATCH($D46,IMPORTRANGE(""17pNv02DXDpQT9S3w4-QeNym2QJy2BzMBqDXp-XtzJBM"", ""'GPE'!D3:D139""),0))"),0)</f>
        <v>0</v>
      </c>
      <c r="AE46" s="2">
        <f ca="1">IFERROR(__xludf.DUMMYFUNCTION("INDEX(IMPORTRANGE(""17pNv02DXDpQT9S3w4-QeNym2QJy2BzMBqDXp-XtzJBM"", ""'GPE'!BM3:BM139""),MATCH($D46,IMPORTRANGE(""17pNv02DXDpQT9S3w4-QeNym2QJy2BzMBqDXp-XtzJBM"", ""'GPE'!D3:D139""),0))"),0)</f>
        <v>0</v>
      </c>
    </row>
    <row r="47" spans="1:31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12" t="s">
        <v>364</v>
      </c>
      <c r="P47" s="12" t="s">
        <v>132</v>
      </c>
      <c r="Q47" s="12">
        <v>0</v>
      </c>
      <c r="R47" s="2">
        <v>7</v>
      </c>
      <c r="S47" s="2">
        <f ca="1">IFERROR(__xludf.DUMMYFUNCTION("INDEX(IMPORTRANGE(""17pNv02DXDpQT9S3w4-QeNym2QJy2BzMBqDXp-XtzJBM"", ""'GPE'!BG3:BG139""),MATCH($D47,IMPORTRANGE(""17pNv02DXDpQT9S3w4-QeNym2QJy2BzMBqDXp-XtzJBM"", ""'GPE'!D3:D139""),0))"),7)</f>
        <v>7</v>
      </c>
      <c r="T47" s="2"/>
      <c r="U47" s="2"/>
      <c r="V47" s="2"/>
      <c r="W47" s="2"/>
      <c r="X47" s="2"/>
      <c r="Y47" s="2"/>
      <c r="Z47" s="2">
        <f ca="1">IFERROR(__xludf.DUMMYFUNCTION("INDEX(IMPORTRANGE(""17pNv02DXDpQT9S3w4-QeNym2QJy2BzMBqDXp-XtzJBM"", ""'GPE'!BH3:BH139""),MATCH($D47,IMPORTRANGE(""17pNv02DXDpQT9S3w4-QeNym2QJy2BzMBqDXp-XtzJBM"", ""'GPE'!D3:D139""),0))"),5)</f>
        <v>5</v>
      </c>
      <c r="AA47" s="2">
        <f ca="1">IFERROR(__xludf.DUMMYFUNCTION("INDEX(IMPORTRANGE(""17pNv02DXDpQT9S3w4-QeNym2QJy2BzMBqDXp-XtzJBM"", ""'GPE'!BI3:BI139""),MATCH($D47,IMPORTRANGE(""17pNv02DXDpQT9S3w4-QeNym2QJy2BzMBqDXp-XtzJBM"", ""'GPE'!D3:D139""),0))"),23)</f>
        <v>23</v>
      </c>
      <c r="AB47" s="2">
        <f ca="1">IFERROR(__xludf.DUMMYFUNCTION("INDEX(IMPORTRANGE(""17pNv02DXDpQT9S3w4-QeNym2QJy2BzMBqDXp-XtzJBM"", ""'GPE'!BJ3:BJ139""),MATCH($D47,IMPORTRANGE(""17pNv02DXDpQT9S3w4-QeNym2QJy2BzMBqDXp-XtzJBM"", ""'GPE'!D3:D139""),0))"),32)</f>
        <v>32</v>
      </c>
      <c r="AC47" s="2">
        <f ca="1">IFERROR(__xludf.DUMMYFUNCTION("INDEX(IMPORTRANGE(""17pNv02DXDpQT9S3w4-QeNym2QJy2BzMBqDXp-XtzJBM"", ""'GPE'!BK3:BK139""),MATCH($D47,IMPORTRANGE(""17pNv02DXDpQT9S3w4-QeNym2QJy2BzMBqDXp-XtzJBM"", ""'GPE'!D3:D139""),0))"),37)</f>
        <v>37</v>
      </c>
      <c r="AD47" s="2">
        <f ca="1">IFERROR(__xludf.DUMMYFUNCTION("INDEX(IMPORTRANGE(""17pNv02DXDpQT9S3w4-QeNym2QJy2BzMBqDXp-XtzJBM"", ""'GPE'!BL3:BL139""),MATCH($D47,IMPORTRANGE(""17pNv02DXDpQT9S3w4-QeNym2QJy2BzMBqDXp-XtzJBM"", ""'GPE'!D3:D139""),0))"),37)</f>
        <v>37</v>
      </c>
      <c r="AE47" s="2">
        <f ca="1">IFERROR(__xludf.DUMMYFUNCTION("INDEX(IMPORTRANGE(""17pNv02DXDpQT9S3w4-QeNym2QJy2BzMBqDXp-XtzJBM"", ""'GPE'!BM3:BM139""),MATCH($D47,IMPORTRANGE(""17pNv02DXDpQT9S3w4-QeNym2QJy2BzMBqDXp-XtzJBM"", ""'GPE'!D3:D139""),0))"),41)</f>
        <v>41</v>
      </c>
    </row>
    <row r="48" spans="1:31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12" t="s">
        <v>364</v>
      </c>
      <c r="P48" s="12" t="s">
        <v>132</v>
      </c>
      <c r="Q48" s="12"/>
      <c r="R48" s="2"/>
      <c r="S48" s="2">
        <f ca="1">IFERROR(__xludf.DUMMYFUNCTION("INDEX(IMPORTRANGE(""17pNv02DXDpQT9S3w4-QeNym2QJy2BzMBqDXp-XtzJBM"", ""'GPE'!BG3:BG139""),MATCH($D48,IMPORTRANGE(""17pNv02DXDpQT9S3w4-QeNym2QJy2BzMBqDXp-XtzJBM"", ""'GPE'!D3:D139""),0))"),0)</f>
        <v>0</v>
      </c>
      <c r="T48" s="2"/>
      <c r="U48" s="2"/>
      <c r="V48" s="2"/>
      <c r="W48" s="2"/>
      <c r="X48" s="2"/>
      <c r="Y48" s="2"/>
      <c r="Z48" s="2" t="str">
        <f ca="1">IFERROR(__xludf.DUMMYFUNCTION("INDEX(IMPORTRANGE(""17pNv02DXDpQT9S3w4-QeNym2QJy2BzMBqDXp-XtzJBM"", ""'GPE'!BH3:BH139""),MATCH($D48,IMPORTRANGE(""17pNv02DXDpQT9S3w4-QeNym2QJy2BzMBqDXp-XtzJBM"", ""'GPE'!D3:D139""),0))"),"")</f>
        <v/>
      </c>
      <c r="AA48" s="2">
        <f ca="1">IFERROR(__xludf.DUMMYFUNCTION("INDEX(IMPORTRANGE(""17pNv02DXDpQT9S3w4-QeNym2QJy2BzMBqDXp-XtzJBM"", ""'GPE'!BI3:BI139""),MATCH($D48,IMPORTRANGE(""17pNv02DXDpQT9S3w4-QeNym2QJy2BzMBqDXp-XtzJBM"", ""'GPE'!D3:D139""),0))"),0)</f>
        <v>0</v>
      </c>
      <c r="AB48" s="2">
        <f ca="1">IFERROR(__xludf.DUMMYFUNCTION("INDEX(IMPORTRANGE(""17pNv02DXDpQT9S3w4-QeNym2QJy2BzMBqDXp-XtzJBM"", ""'GPE'!BJ3:BJ139""),MATCH($D48,IMPORTRANGE(""17pNv02DXDpQT9S3w4-QeNym2QJy2BzMBqDXp-XtzJBM"", ""'GPE'!D3:D139""),0))"),1)</f>
        <v>1</v>
      </c>
      <c r="AC48" s="2">
        <f ca="1">IFERROR(__xludf.DUMMYFUNCTION("INDEX(IMPORTRANGE(""17pNv02DXDpQT9S3w4-QeNym2QJy2BzMBqDXp-XtzJBM"", ""'GPE'!BK3:BK139""),MATCH($D48,IMPORTRANGE(""17pNv02DXDpQT9S3w4-QeNym2QJy2BzMBqDXp-XtzJBM"", ""'GPE'!D3:D139""),0))"),1)</f>
        <v>1</v>
      </c>
      <c r="AD48" s="2">
        <f ca="1">IFERROR(__xludf.DUMMYFUNCTION("INDEX(IMPORTRANGE(""17pNv02DXDpQT9S3w4-QeNym2QJy2BzMBqDXp-XtzJBM"", ""'GPE'!BL3:BL139""),MATCH($D48,IMPORTRANGE(""17pNv02DXDpQT9S3w4-QeNym2QJy2BzMBqDXp-XtzJBM"", ""'GPE'!D3:D139""),0))"),1)</f>
        <v>1</v>
      </c>
      <c r="AE48" s="2">
        <f ca="1">IFERROR(__xludf.DUMMYFUNCTION("INDEX(IMPORTRANGE(""17pNv02DXDpQT9S3w4-QeNym2QJy2BzMBqDXp-XtzJBM"", ""'GPE'!BM3:BM139""),MATCH($D48,IMPORTRANGE(""17pNv02DXDpQT9S3w4-QeNym2QJy2BzMBqDXp-XtzJBM"", ""'GPE'!D3:D139""),0))"),1)</f>
        <v>1</v>
      </c>
    </row>
    <row r="49" spans="1:31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12" t="s">
        <v>364</v>
      </c>
      <c r="P49" s="12" t="s">
        <v>132</v>
      </c>
      <c r="Q49" s="12">
        <f t="shared" ref="Q49:R49" si="11">SUM(Q45:Q47)</f>
        <v>1</v>
      </c>
      <c r="R49" s="12">
        <f t="shared" si="11"/>
        <v>8</v>
      </c>
      <c r="S49" s="12">
        <f ca="1">IFERROR(__xludf.DUMMYFUNCTION("INDEX(IMPORTRANGE(""17pNv02DXDpQT9S3w4-QeNym2QJy2BzMBqDXp-XtzJBM"", ""'GPE'!BG3:BG139""),MATCH($D49,IMPORTRANGE(""17pNv02DXDpQT9S3w4-QeNym2QJy2BzMBqDXp-XtzJBM"", ""'GPE'!D3:D139""),0))"),8)</f>
        <v>8</v>
      </c>
      <c r="T49" s="4">
        <v>8</v>
      </c>
      <c r="U49" s="4">
        <v>16</v>
      </c>
      <c r="V49" s="4">
        <f t="shared" ref="V49:X49" si="12">U49+8</f>
        <v>24</v>
      </c>
      <c r="W49" s="4">
        <f t="shared" si="12"/>
        <v>32</v>
      </c>
      <c r="X49" s="4">
        <f t="shared" si="12"/>
        <v>40</v>
      </c>
      <c r="Y49" s="4">
        <v>40</v>
      </c>
      <c r="Z49" s="12">
        <f ca="1">IFERROR(__xludf.DUMMYFUNCTION("INDEX(IMPORTRANGE(""17pNv02DXDpQT9S3w4-QeNym2QJy2BzMBqDXp-XtzJBM"", ""'GPE'!BH3:BH139""),MATCH($D49,IMPORTRANGE(""17pNv02DXDpQT9S3w4-QeNym2QJy2BzMBqDXp-XtzJBM"", ""'GPE'!D3:D139""),0))"),5)</f>
        <v>5</v>
      </c>
      <c r="AA49" s="12">
        <f ca="1">IFERROR(__xludf.DUMMYFUNCTION("INDEX(IMPORTRANGE(""17pNv02DXDpQT9S3w4-QeNym2QJy2BzMBqDXp-XtzJBM"", ""'GPE'!BI3:BI139""),MATCH($D49,IMPORTRANGE(""17pNv02DXDpQT9S3w4-QeNym2QJy2BzMBqDXp-XtzJBM"", ""'GPE'!D3:D139""),0))"),25)</f>
        <v>25</v>
      </c>
      <c r="AB49" s="12">
        <f ca="1">IFERROR(__xludf.DUMMYFUNCTION("INDEX(IMPORTRANGE(""17pNv02DXDpQT9S3w4-QeNym2QJy2BzMBqDXp-XtzJBM"", ""'GPE'!BJ3:BJ139""),MATCH($D49,IMPORTRANGE(""17pNv02DXDpQT9S3w4-QeNym2QJy2BzMBqDXp-XtzJBM"", ""'GPE'!D3:D139""),0))"),35)</f>
        <v>35</v>
      </c>
      <c r="AC49" s="12">
        <f ca="1">IFERROR(__xludf.DUMMYFUNCTION("INDEX(IMPORTRANGE(""17pNv02DXDpQT9S3w4-QeNym2QJy2BzMBqDXp-XtzJBM"", ""'GPE'!BK3:BK139""),MATCH($D49,IMPORTRANGE(""17pNv02DXDpQT9S3w4-QeNym2QJy2BzMBqDXp-XtzJBM"", ""'GPE'!D3:D139""),0))"),40)</f>
        <v>40</v>
      </c>
      <c r="AD49" s="12">
        <f ca="1">IFERROR(__xludf.DUMMYFUNCTION("INDEX(IMPORTRANGE(""17pNv02DXDpQT9S3w4-QeNym2QJy2BzMBqDXp-XtzJBM"", ""'GPE'!BL3:BL139""),MATCH($D49,IMPORTRANGE(""17pNv02DXDpQT9S3w4-QeNym2QJy2BzMBqDXp-XtzJBM"", ""'GPE'!D3:D139""),0))"),40)</f>
        <v>40</v>
      </c>
      <c r="AE49" s="12">
        <f ca="1">IFERROR(__xludf.DUMMYFUNCTION("INDEX(IMPORTRANGE(""17pNv02DXDpQT9S3w4-QeNym2QJy2BzMBqDXp-XtzJBM"", ""'GPE'!BM3:BM139""),MATCH($D49,IMPORTRANGE(""17pNv02DXDpQT9S3w4-QeNym2QJy2BzMBqDXp-XtzJBM"", ""'GPE'!D3:D139""),0))"),44)</f>
        <v>44</v>
      </c>
    </row>
    <row r="50" spans="1:31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153</v>
      </c>
      <c r="R50" s="30" t="s">
        <v>153</v>
      </c>
      <c r="S50" s="30" t="str">
        <f ca="1">IFERROR(__xludf.DUMMYFUNCTION("INDEX(IMPORTRANGE(""17pNv02DXDpQT9S3w4-QeNym2QJy2BzMBqDXp-XtzJBM"", ""'GPE'!BG3:BG139""),MATCH($D50,IMPORTRANGE(""17pNv02DXDpQT9S3w4-QeNym2QJy2BzMBqDXp-XtzJBM"", ""'GPE'!D3:D139""),0))"),"Sí")</f>
        <v>Sí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151</v>
      </c>
      <c r="Y50" s="2" t="s">
        <v>151</v>
      </c>
      <c r="Z50" s="2" t="str">
        <f ca="1">IFERROR(__xludf.DUMMYFUNCTION("INDEX(IMPORTRANGE(""17pNv02DXDpQT9S3w4-QeNym2QJy2BzMBqDXp-XtzJBM"", ""'GPE'!BH3:BH139""),MATCH($D50,IMPORTRANGE(""17pNv02DXDpQT9S3w4-QeNym2QJy2BzMBqDXp-XtzJBM"", ""'GPE'!D3:D139""),0))"),"Sí")</f>
        <v>Sí</v>
      </c>
      <c r="AA50" s="2" t="str">
        <f ca="1">IFERROR(__xludf.DUMMYFUNCTION("INDEX(IMPORTRANGE(""17pNv02DXDpQT9S3w4-QeNym2QJy2BzMBqDXp-XtzJBM"", ""'GPE'!BI3:BI139""),MATCH($D50,IMPORTRANGE(""17pNv02DXDpQT9S3w4-QeNym2QJy2BzMBqDXp-XtzJBM"", ""'GPE'!D3:D139""),0))"),"Sí")</f>
        <v>Sí</v>
      </c>
      <c r="AB50" s="2" t="str">
        <f ca="1">IFERROR(__xludf.DUMMYFUNCTION("INDEX(IMPORTRANGE(""17pNv02DXDpQT9S3w4-QeNym2QJy2BzMBqDXp-XtzJBM"", ""'GPE'!BJ3:BJ139""),MATCH($D50,IMPORTRANGE(""17pNv02DXDpQT9S3w4-QeNym2QJy2BzMBqDXp-XtzJBM"", ""'GPE'!D3:D139""),0))"),"Sí")</f>
        <v>Sí</v>
      </c>
      <c r="AC50" s="2" t="str">
        <f ca="1">IFERROR(__xludf.DUMMYFUNCTION("INDEX(IMPORTRANGE(""17pNv02DXDpQT9S3w4-QeNym2QJy2BzMBqDXp-XtzJBM"", ""'GPE'!BK3:BK139""),MATCH($D50,IMPORTRANGE(""17pNv02DXDpQT9S3w4-QeNym2QJy2BzMBqDXp-XtzJBM"", ""'GPE'!D3:D139""),0))"),"Sí")</f>
        <v>Sí</v>
      </c>
      <c r="AD50" s="2" t="str">
        <f ca="1">IFERROR(__xludf.DUMMYFUNCTION("INDEX(IMPORTRANGE(""17pNv02DXDpQT9S3w4-QeNym2QJy2BzMBqDXp-XtzJBM"", ""'GPE'!BL3:BL139""),MATCH($D50,IMPORTRANGE(""17pNv02DXDpQT9S3w4-QeNym2QJy2BzMBqDXp-XtzJBM"", ""'GPE'!D3:D139""),0))"),"Sí")</f>
        <v>Sí</v>
      </c>
      <c r="AE50" s="2" t="str">
        <f ca="1">IFERROR(__xludf.DUMMYFUNCTION("INDEX(IMPORTRANGE(""17pNv02DXDpQT9S3w4-QeNym2QJy2BzMBqDXp-XtzJBM"", ""'GPE'!BM3:BM139""),MATCH($D50,IMPORTRANGE(""17pNv02DXDpQT9S3w4-QeNym2QJy2BzMBqDXp-XtzJBM"", ""'GPE'!D3:D139""),0))"),"Sí")</f>
        <v>Sí</v>
      </c>
    </row>
    <row r="51" spans="1:31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153</v>
      </c>
      <c r="R51" s="30" t="s">
        <v>153</v>
      </c>
      <c r="S51" s="30" t="str">
        <f ca="1">IFERROR(__xludf.DUMMYFUNCTION("INDEX(IMPORTRANGE(""17pNv02DXDpQT9S3w4-QeNym2QJy2BzMBqDXp-XtzJBM"", ""'GPE'!BG3:BG139""),MATCH($D51,IMPORTRANGE(""17pNv02DXDpQT9S3w4-QeNym2QJy2BzMBqDXp-XtzJBM"", ""'GPE'!D3:D139""),0))"),"Sí")</f>
        <v>Sí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151</v>
      </c>
      <c r="Y51" s="2" t="s">
        <v>151</v>
      </c>
      <c r="Z51" s="2" t="str">
        <f ca="1">IFERROR(__xludf.DUMMYFUNCTION("INDEX(IMPORTRANGE(""17pNv02DXDpQT9S3w4-QeNym2QJy2BzMBqDXp-XtzJBM"", ""'GPE'!BH3:BH139""),MATCH($D51,IMPORTRANGE(""17pNv02DXDpQT9S3w4-QeNym2QJy2BzMBqDXp-XtzJBM"", ""'GPE'!D3:D139""),0))"),"Sí")</f>
        <v>Sí</v>
      </c>
      <c r="AA51" s="2" t="str">
        <f ca="1">IFERROR(__xludf.DUMMYFUNCTION("INDEX(IMPORTRANGE(""17pNv02DXDpQT9S3w4-QeNym2QJy2BzMBqDXp-XtzJBM"", ""'GPE'!BI3:BI139""),MATCH($D51,IMPORTRANGE(""17pNv02DXDpQT9S3w4-QeNym2QJy2BzMBqDXp-XtzJBM"", ""'GPE'!D3:D139""),0))"),"Sí")</f>
        <v>Sí</v>
      </c>
      <c r="AB51" s="2" t="str">
        <f ca="1">IFERROR(__xludf.DUMMYFUNCTION("INDEX(IMPORTRANGE(""17pNv02DXDpQT9S3w4-QeNym2QJy2BzMBqDXp-XtzJBM"", ""'GPE'!BJ3:BJ139""),MATCH($D51,IMPORTRANGE(""17pNv02DXDpQT9S3w4-QeNym2QJy2BzMBqDXp-XtzJBM"", ""'GPE'!D3:D139""),0))"),"Sí")</f>
        <v>Sí</v>
      </c>
      <c r="AC51" s="2" t="str">
        <f ca="1">IFERROR(__xludf.DUMMYFUNCTION("INDEX(IMPORTRANGE(""17pNv02DXDpQT9S3w4-QeNym2QJy2BzMBqDXp-XtzJBM"", ""'GPE'!BK3:BK139""),MATCH($D51,IMPORTRANGE(""17pNv02DXDpQT9S3w4-QeNym2QJy2BzMBqDXp-XtzJBM"", ""'GPE'!D3:D139""),0))"),"Sí")</f>
        <v>Sí</v>
      </c>
      <c r="AD51" s="2" t="str">
        <f ca="1">IFERROR(__xludf.DUMMYFUNCTION("INDEX(IMPORTRANGE(""17pNv02DXDpQT9S3w4-QeNym2QJy2BzMBqDXp-XtzJBM"", ""'GPE'!BL3:BL139""),MATCH($D51,IMPORTRANGE(""17pNv02DXDpQT9S3w4-QeNym2QJy2BzMBqDXp-XtzJBM"", ""'GPE'!D3:D139""),0))"),"Sí")</f>
        <v>Sí</v>
      </c>
      <c r="AE51" s="2" t="str">
        <f ca="1">IFERROR(__xludf.DUMMYFUNCTION("INDEX(IMPORTRANGE(""17pNv02DXDpQT9S3w4-QeNym2QJy2BzMBqDXp-XtzJBM"", ""'GPE'!BM3:BM139""),MATCH($D51,IMPORTRANGE(""17pNv02DXDpQT9S3w4-QeNym2QJy2BzMBqDXp-XtzJBM"", ""'GPE'!D3:D139""),0))"),"Sí")</f>
        <v>Sí</v>
      </c>
    </row>
    <row r="52" spans="1:31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153</v>
      </c>
      <c r="R52" s="30" t="s">
        <v>153</v>
      </c>
      <c r="S52" s="30" t="str">
        <f ca="1">IFERROR(__xludf.DUMMYFUNCTION("INDEX(IMPORTRANGE(""17pNv02DXDpQT9S3w4-QeNym2QJy2BzMBqDXp-XtzJBM"", ""'GPE'!BG3:BG139""),MATCH($D52,IMPORTRANGE(""17pNv02DXDpQT9S3w4-QeNym2QJy2BzMBqDXp-XtzJBM"", ""'GPE'!D3:D139""),0))"),"Sí")</f>
        <v>Sí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155</v>
      </c>
      <c r="Y52" s="2" t="s">
        <v>155</v>
      </c>
      <c r="Z52" s="2" t="str">
        <f ca="1">IFERROR(__xludf.DUMMYFUNCTION("INDEX(IMPORTRANGE(""17pNv02DXDpQT9S3w4-QeNym2QJy2BzMBqDXp-XtzJBM"", ""'GPE'!BH3:BH139""),MATCH($D52,IMPORTRANGE(""17pNv02DXDpQT9S3w4-QeNym2QJy2BzMBqDXp-XtzJBM"", ""'GPE'!D3:D139""),0))"),"Sí")</f>
        <v>Sí</v>
      </c>
      <c r="AA52" s="2" t="str">
        <f ca="1">IFERROR(__xludf.DUMMYFUNCTION("INDEX(IMPORTRANGE(""17pNv02DXDpQT9S3w4-QeNym2QJy2BzMBqDXp-XtzJBM"", ""'GPE'!BI3:BI139""),MATCH($D52,IMPORTRANGE(""17pNv02DXDpQT9S3w4-QeNym2QJy2BzMBqDXp-XtzJBM"", ""'GPE'!D3:D139""),0))"),"Sí")</f>
        <v>Sí</v>
      </c>
      <c r="AB52" s="2" t="str">
        <f ca="1">IFERROR(__xludf.DUMMYFUNCTION("INDEX(IMPORTRANGE(""17pNv02DXDpQT9S3w4-QeNym2QJy2BzMBqDXp-XtzJBM"", ""'GPE'!BJ3:BJ139""),MATCH($D52,IMPORTRANGE(""17pNv02DXDpQT9S3w4-QeNym2QJy2BzMBqDXp-XtzJBM"", ""'GPE'!D3:D139""),0))"),"Sí")</f>
        <v>Sí</v>
      </c>
      <c r="AC52" s="2" t="str">
        <f ca="1">IFERROR(__xludf.DUMMYFUNCTION("INDEX(IMPORTRANGE(""17pNv02DXDpQT9S3w4-QeNym2QJy2BzMBqDXp-XtzJBM"", ""'GPE'!BK3:BK139""),MATCH($D52,IMPORTRANGE(""17pNv02DXDpQT9S3w4-QeNym2QJy2BzMBqDXp-XtzJBM"", ""'GPE'!D3:D139""),0))"),"Sí")</f>
        <v>Sí</v>
      </c>
      <c r="AD52" s="2" t="str">
        <f ca="1">IFERROR(__xludf.DUMMYFUNCTION("INDEX(IMPORTRANGE(""17pNv02DXDpQT9S3w4-QeNym2QJy2BzMBqDXp-XtzJBM"", ""'GPE'!BL3:BL139""),MATCH($D52,IMPORTRANGE(""17pNv02DXDpQT9S3w4-QeNym2QJy2BzMBqDXp-XtzJBM"", ""'GPE'!D3:D139""),0))"),"Sí")</f>
        <v>Sí</v>
      </c>
      <c r="AE52" s="2" t="str">
        <f ca="1">IFERROR(__xludf.DUMMYFUNCTION("INDEX(IMPORTRANGE(""17pNv02DXDpQT9S3w4-QeNym2QJy2BzMBqDXp-XtzJBM"", ""'GPE'!BM3:BM139""),MATCH($D52,IMPORTRANGE(""17pNv02DXDpQT9S3w4-QeNym2QJy2BzMBqDXp-XtzJBM"", ""'GPE'!D3:D139""),0))"),"Sí")</f>
        <v>Sí</v>
      </c>
    </row>
    <row r="53" spans="1:31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12">
        <f t="shared" ref="Q53:R53" si="13">COUNTIF(Q50:Q52,"Sí")*(1/3)</f>
        <v>1</v>
      </c>
      <c r="R53" s="12">
        <f t="shared" si="13"/>
        <v>1</v>
      </c>
      <c r="S53" s="12">
        <f ca="1">IFERROR(__xludf.DUMMYFUNCTION("INDEX(IMPORTRANGE(""17pNv02DXDpQT9S3w4-QeNym2QJy2BzMBqDXp-XtzJBM"", ""'GPE'!BG3:BG139""),MATCH($D53,IMPORTRANGE(""17pNv02DXDpQT9S3w4-QeNym2QJy2BzMBqDXp-XtzJBM"", ""'GPE'!D3:D139""),0))"),1)</f>
        <v>1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2" t="str">
        <f ca="1">IFERROR(__xludf.DUMMYFUNCTION("INDEX(IMPORTRANGE(""17pNv02DXDpQT9S3w4-QeNym2QJy2BzMBqDXp-XtzJBM"", ""'GPE'!BH3:BH139""),MATCH($D53,IMPORTRANGE(""17pNv02DXDpQT9S3w4-QeNym2QJy2BzMBqDXp-XtzJBM"", ""'GPE'!D3:D139""),0))"),"")</f>
        <v/>
      </c>
      <c r="AA53" s="12">
        <f ca="1">IFERROR(__xludf.DUMMYFUNCTION("INDEX(IMPORTRANGE(""17pNv02DXDpQT9S3w4-QeNym2QJy2BzMBqDXp-XtzJBM"", ""'GPE'!BI3:BI139""),MATCH($D53,IMPORTRANGE(""17pNv02DXDpQT9S3w4-QeNym2QJy2BzMBqDXp-XtzJBM"", ""'GPE'!D3:D139""),0))"),1)</f>
        <v>1</v>
      </c>
      <c r="AB53" s="2">
        <f ca="1">IFERROR(__xludf.DUMMYFUNCTION("INDEX(IMPORTRANGE(""17pNv02DXDpQT9S3w4-QeNym2QJy2BzMBqDXp-XtzJBM"", ""'GPE'!BJ3:BJ139""),MATCH($D53,IMPORTRANGE(""17pNv02DXDpQT9S3w4-QeNym2QJy2BzMBqDXp-XtzJBM"", ""'GPE'!D3:D139""),0))"),1)</f>
        <v>1</v>
      </c>
      <c r="AC53" s="12">
        <f ca="1">IFERROR(__xludf.DUMMYFUNCTION("INDEX(IMPORTRANGE(""17pNv02DXDpQT9S3w4-QeNym2QJy2BzMBqDXp-XtzJBM"", ""'GPE'!BK3:BK139""),MATCH($D53,IMPORTRANGE(""17pNv02DXDpQT9S3w4-QeNym2QJy2BzMBqDXp-XtzJBM"", ""'GPE'!D3:D139""),0))"),1)</f>
        <v>1</v>
      </c>
      <c r="AD53" s="2">
        <f ca="1">IFERROR(__xludf.DUMMYFUNCTION("INDEX(IMPORTRANGE(""17pNv02DXDpQT9S3w4-QeNym2QJy2BzMBqDXp-XtzJBM"", ""'GPE'!BL3:BL139""),MATCH($D53,IMPORTRANGE(""17pNv02DXDpQT9S3w4-QeNym2QJy2BzMBqDXp-XtzJBM"", ""'GPE'!D3:D139""),0))"),1)</f>
        <v>1</v>
      </c>
      <c r="AE53" s="2">
        <f ca="1">IFERROR(__xludf.DUMMYFUNCTION("INDEX(IMPORTRANGE(""17pNv02DXDpQT9S3w4-QeNym2QJy2BzMBqDXp-XtzJBM"", ""'GPE'!BM3:BM139""),MATCH($D53,IMPORTRANGE(""17pNv02DXDpQT9S3w4-QeNym2QJy2BzMBqDXp-XtzJBM"", ""'GPE'!D3:D139""),0))"),1)</f>
        <v>1</v>
      </c>
    </row>
    <row r="54" spans="1:31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2">
        <v>0</v>
      </c>
      <c r="R54" s="2">
        <v>0</v>
      </c>
      <c r="S54" s="2">
        <f ca="1">IFERROR(__xludf.DUMMYFUNCTION("INDEX(IMPORTRANGE(""17pNv02DXDpQT9S3w4-QeNym2QJy2BzMBqDXp-XtzJBM"", ""'GPE'!BG3:BG139""),MATCH($D54,IMPORTRANGE(""17pNv02DXDpQT9S3w4-QeNym2QJy2BzMBqDXp-XtzJBM"", ""'GPE'!D3:D139""),0))"),0)</f>
        <v>0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2">
        <f ca="1">IFERROR(__xludf.DUMMYFUNCTION("INDEX(IMPORTRANGE(""17pNv02DXDpQT9S3w4-QeNym2QJy2BzMBqDXp-XtzJBM"", ""'GPE'!BH3:BH139""),MATCH($D54,IMPORTRANGE(""17pNv02DXDpQT9S3w4-QeNym2QJy2BzMBqDXp-XtzJBM"", ""'GPE'!D3:D139""),0))"),0)</f>
        <v>0</v>
      </c>
      <c r="AA54" s="2">
        <f ca="1">IFERROR(__xludf.DUMMYFUNCTION("INDEX(IMPORTRANGE(""17pNv02DXDpQT9S3w4-QeNym2QJy2BzMBqDXp-XtzJBM"", ""'GPE'!BI3:BI139""),MATCH($D54,IMPORTRANGE(""17pNv02DXDpQT9S3w4-QeNym2QJy2BzMBqDXp-XtzJBM"", ""'GPE'!D3:D139""),0))"),0)</f>
        <v>0</v>
      </c>
      <c r="AB54" s="2">
        <f ca="1">IFERROR(__xludf.DUMMYFUNCTION("INDEX(IMPORTRANGE(""17pNv02DXDpQT9S3w4-QeNym2QJy2BzMBqDXp-XtzJBM"", ""'GPE'!BJ3:BJ139""),MATCH($D54,IMPORTRANGE(""17pNv02DXDpQT9S3w4-QeNym2QJy2BzMBqDXp-XtzJBM"", ""'GPE'!D3:D139""),0))"),0)</f>
        <v>0</v>
      </c>
      <c r="AC54" s="2">
        <f ca="1">IFERROR(__xludf.DUMMYFUNCTION("INDEX(IMPORTRANGE(""17pNv02DXDpQT9S3w4-QeNym2QJy2BzMBqDXp-XtzJBM"", ""'GPE'!BK3:BK139""),MATCH($D54,IMPORTRANGE(""17pNv02DXDpQT9S3w4-QeNym2QJy2BzMBqDXp-XtzJBM"", ""'GPE'!D3:D139""),0))"),0)</f>
        <v>0</v>
      </c>
      <c r="AD54" s="2">
        <f ca="1">IFERROR(__xludf.DUMMYFUNCTION("INDEX(IMPORTRANGE(""17pNv02DXDpQT9S3w4-QeNym2QJy2BzMBqDXp-XtzJBM"", ""'GPE'!BL3:BL139""),MATCH($D54,IMPORTRANGE(""17pNv02DXDpQT9S3w4-QeNym2QJy2BzMBqDXp-XtzJBM"", ""'GPE'!D3:D139""),0))"),1)</f>
        <v>1</v>
      </c>
      <c r="AE54" s="2">
        <f ca="1">IFERROR(__xludf.DUMMYFUNCTION("INDEX(IMPORTRANGE(""17pNv02DXDpQT9S3w4-QeNym2QJy2BzMBqDXp-XtzJBM"", ""'GPE'!BM3:BM139""),MATCH($D54,IMPORTRANGE(""17pNv02DXDpQT9S3w4-QeNym2QJy2BzMBqDXp-XtzJBM"", ""'GPE'!D3:D139""),0))"),1)</f>
        <v>1</v>
      </c>
    </row>
    <row r="55" spans="1:31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8</v>
      </c>
      <c r="R55" s="12">
        <v>8</v>
      </c>
      <c r="S55" s="12">
        <f ca="1">IFERROR(__xludf.DUMMYFUNCTION("INDEX(IMPORTRANGE(""17pNv02DXDpQT9S3w4-QeNym2QJy2BzMBqDXp-XtzJBM"", ""'GPE'!BG3:BG139""),MATCH($D55,IMPORTRANGE(""17pNv02DXDpQT9S3w4-QeNym2QJy2BzMBqDXp-XtzJBM"", ""'GPE'!D3:D139""),0))"),8)</f>
        <v>8</v>
      </c>
      <c r="T55" s="4"/>
      <c r="U55" s="4"/>
      <c r="V55" s="4"/>
      <c r="W55" s="4"/>
      <c r="X55" s="4"/>
      <c r="Y55" s="4"/>
      <c r="Z55" s="2">
        <f ca="1">IFERROR(__xludf.DUMMYFUNCTION("INDEX(IMPORTRANGE(""17pNv02DXDpQT9S3w4-QeNym2QJy2BzMBqDXp-XtzJBM"", ""'GPE'!BH3:BH139""),MATCH($D55,IMPORTRANGE(""17pNv02DXDpQT9S3w4-QeNym2QJy2BzMBqDXp-XtzJBM"", ""'GPE'!D3:D139""),0))"),8)</f>
        <v>8</v>
      </c>
      <c r="AA55" s="2">
        <f ca="1">IFERROR(__xludf.DUMMYFUNCTION("INDEX(IMPORTRANGE(""17pNv02DXDpQT9S3w4-QeNym2QJy2BzMBqDXp-XtzJBM"", ""'GPE'!BI3:BI139""),MATCH($D55,IMPORTRANGE(""17pNv02DXDpQT9S3w4-QeNym2QJy2BzMBqDXp-XtzJBM"", ""'GPE'!D3:D139""),0))"),8)</f>
        <v>8</v>
      </c>
      <c r="AB55" s="2">
        <f ca="1">IFERROR(__xludf.DUMMYFUNCTION("INDEX(IMPORTRANGE(""17pNv02DXDpQT9S3w4-QeNym2QJy2BzMBqDXp-XtzJBM"", ""'GPE'!BJ3:BJ139""),MATCH($D55,IMPORTRANGE(""17pNv02DXDpQT9S3w4-QeNym2QJy2BzMBqDXp-XtzJBM"", ""'GPE'!D3:D139""),0))"),8)</f>
        <v>8</v>
      </c>
      <c r="AC55" s="2">
        <f ca="1">IFERROR(__xludf.DUMMYFUNCTION("INDEX(IMPORTRANGE(""17pNv02DXDpQT9S3w4-QeNym2QJy2BzMBqDXp-XtzJBM"", ""'GPE'!BK3:BK139""),MATCH($D55,IMPORTRANGE(""17pNv02DXDpQT9S3w4-QeNym2QJy2BzMBqDXp-XtzJBM"", ""'GPE'!D3:D139""),0))"),8)</f>
        <v>8</v>
      </c>
      <c r="AD55" s="2">
        <f ca="1">IFERROR(__xludf.DUMMYFUNCTION("INDEX(IMPORTRANGE(""17pNv02DXDpQT9S3w4-QeNym2QJy2BzMBqDXp-XtzJBM"", ""'GPE'!BL3:BL139""),MATCH($D55,IMPORTRANGE(""17pNv02DXDpQT9S3w4-QeNym2QJy2BzMBqDXp-XtzJBM"", ""'GPE'!D3:D139""),0))"),8)</f>
        <v>8</v>
      </c>
      <c r="AE55" s="2">
        <f ca="1">IFERROR(__xludf.DUMMYFUNCTION("INDEX(IMPORTRANGE(""17pNv02DXDpQT9S3w4-QeNym2QJy2BzMBqDXp-XtzJBM"", ""'GPE'!BM3:BM139""),MATCH($D55,IMPORTRANGE(""17pNv02DXDpQT9S3w4-QeNym2QJy2BzMBqDXp-XtzJBM"", ""'GPE'!D3:D139""),0))"),8)</f>
        <v>8</v>
      </c>
    </row>
    <row r="56" spans="1:31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""'GPE'!BG3:BG139""),MATCH($D56,IMPORTRANGE(""17pNv02DXDpQT9S3w4-QeNym2QJy2BzMBqDXp-XtzJBM"", ""'GPE'!D3:D139""),0))"),0)</f>
        <v>0</v>
      </c>
      <c r="T56" s="4"/>
      <c r="U56" s="4"/>
      <c r="V56" s="4"/>
      <c r="W56" s="4"/>
      <c r="X56" s="4"/>
      <c r="Y56" s="4"/>
      <c r="Z56" s="2">
        <f ca="1">IFERROR(__xludf.DUMMYFUNCTION("INDEX(IMPORTRANGE(""17pNv02DXDpQT9S3w4-QeNym2QJy2BzMBqDXp-XtzJBM"", ""'GPE'!BH3:BH139""),MATCH($D56,IMPORTRANGE(""17pNv02DXDpQT9S3w4-QeNym2QJy2BzMBqDXp-XtzJBM"", ""'GPE'!D3:D139""),0))"),0)</f>
        <v>0</v>
      </c>
      <c r="AA56" s="2">
        <f ca="1">IFERROR(__xludf.DUMMYFUNCTION("INDEX(IMPORTRANGE(""17pNv02DXDpQT9S3w4-QeNym2QJy2BzMBqDXp-XtzJBM"", ""'GPE'!BI3:BI139""),MATCH($D56,IMPORTRANGE(""17pNv02DXDpQT9S3w4-QeNym2QJy2BzMBqDXp-XtzJBM"", ""'GPE'!D3:D139""),0))"),1)</f>
        <v>1</v>
      </c>
      <c r="AB56" s="2">
        <f ca="1">IFERROR(__xludf.DUMMYFUNCTION("INDEX(IMPORTRANGE(""17pNv02DXDpQT9S3w4-QeNym2QJy2BzMBqDXp-XtzJBM"", ""'GPE'!BJ3:BJ139""),MATCH($D56,IMPORTRANGE(""17pNv02DXDpQT9S3w4-QeNym2QJy2BzMBqDXp-XtzJBM"", ""'GPE'!D3:D139""),0))"),1)</f>
        <v>1</v>
      </c>
      <c r="AC56" s="2">
        <f ca="1">IFERROR(__xludf.DUMMYFUNCTION("INDEX(IMPORTRANGE(""17pNv02DXDpQT9S3w4-QeNym2QJy2BzMBqDXp-XtzJBM"", ""'GPE'!BK3:BK139""),MATCH($D56,IMPORTRANGE(""17pNv02DXDpQT9S3w4-QeNym2QJy2BzMBqDXp-XtzJBM"", ""'GPE'!D3:D139""),0))"),1)</f>
        <v>1</v>
      </c>
      <c r="AD56" s="2">
        <f ca="1">IFERROR(__xludf.DUMMYFUNCTION("INDEX(IMPORTRANGE(""17pNv02DXDpQT9S3w4-QeNym2QJy2BzMBqDXp-XtzJBM"", ""'GPE'!BL3:BL139""),MATCH($D56,IMPORTRANGE(""17pNv02DXDpQT9S3w4-QeNym2QJy2BzMBqDXp-XtzJBM"", ""'GPE'!D3:D139""),0))"),1)</f>
        <v>1</v>
      </c>
      <c r="AE56" s="2">
        <f ca="1">IFERROR(__xludf.DUMMYFUNCTION("INDEX(IMPORTRANGE(""17pNv02DXDpQT9S3w4-QeNym2QJy2BzMBqDXp-XtzJBM"", ""'GPE'!BM3:BM139""),MATCH($D56,IMPORTRANGE(""17pNv02DXDpQT9S3w4-QeNym2QJy2BzMBqDXp-XtzJBM"", ""'GPE'!D3:D139""),0))"),1)</f>
        <v>1</v>
      </c>
    </row>
    <row r="57" spans="1:31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15">
        <f t="shared" ref="Q57:R57" si="14">Q56/Q55</f>
        <v>0</v>
      </c>
      <c r="R57" s="15">
        <f t="shared" si="14"/>
        <v>0</v>
      </c>
      <c r="S57" s="15">
        <f ca="1">IFERROR(__xludf.DUMMYFUNCTION("INDEX(IMPORTRANGE(""17pNv02DXDpQT9S3w4-QeNym2QJy2BzMBqDXp-XtzJBM"", ""'GPE'!BG3:BG139""),MATCH($D57,IMPORTRANGE(""17pNv02DXDpQT9S3w4-QeNym2QJy2BzMBqDXp-XtzJBM"", ""'GPE'!D3:D139""),0))"),0)</f>
        <v>0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5">
        <f ca="1">IFERROR(__xludf.DUMMYFUNCTION("INDEX(IMPORTRANGE(""17pNv02DXDpQT9S3w4-QeNym2QJy2BzMBqDXp-XtzJBM"", ""'GPE'!BH3:BH139""),MATCH($D57,IMPORTRANGE(""17pNv02DXDpQT9S3w4-QeNym2QJy2BzMBqDXp-XtzJBM"", ""'GPE'!D3:D139""),0))"),0)</f>
        <v>0</v>
      </c>
      <c r="AA57" s="15">
        <f ca="1">IFERROR(__xludf.DUMMYFUNCTION("INDEX(IMPORTRANGE(""17pNv02DXDpQT9S3w4-QeNym2QJy2BzMBqDXp-XtzJBM"", ""'GPE'!BI3:BI139""),MATCH($D57,IMPORTRANGE(""17pNv02DXDpQT9S3w4-QeNym2QJy2BzMBqDXp-XtzJBM"", ""'GPE'!D3:D139""),0))"),0.125)</f>
        <v>0.125</v>
      </c>
      <c r="AB57" s="15">
        <f ca="1">IFERROR(__xludf.DUMMYFUNCTION("INDEX(IMPORTRANGE(""17pNv02DXDpQT9S3w4-QeNym2QJy2BzMBqDXp-XtzJBM"", ""'GPE'!BJ3:BJ139""),MATCH($D57,IMPORTRANGE(""17pNv02DXDpQT9S3w4-QeNym2QJy2BzMBqDXp-XtzJBM"", ""'GPE'!D3:D139""),0))"),0.125)</f>
        <v>0.125</v>
      </c>
      <c r="AC57" s="15">
        <f ca="1">IFERROR(__xludf.DUMMYFUNCTION("INDEX(IMPORTRANGE(""17pNv02DXDpQT9S3w4-QeNym2QJy2BzMBqDXp-XtzJBM"", ""'GPE'!BK3:BK139""),MATCH($D57,IMPORTRANGE(""17pNv02DXDpQT9S3w4-QeNym2QJy2BzMBqDXp-XtzJBM"", ""'GPE'!D3:D139""),0))"),0.125)</f>
        <v>0.125</v>
      </c>
      <c r="AD57" s="15">
        <f ca="1">IFERROR(__xludf.DUMMYFUNCTION("INDEX(IMPORTRANGE(""17pNv02DXDpQT9S3w4-QeNym2QJy2BzMBqDXp-XtzJBM"", ""'GPE'!BL3:BL139""),MATCH($D57,IMPORTRANGE(""17pNv02DXDpQT9S3w4-QeNym2QJy2BzMBqDXp-XtzJBM"", ""'GPE'!D3:D139""),0))"),0.125)</f>
        <v>0.125</v>
      </c>
      <c r="AE57" s="15">
        <f ca="1">IFERROR(__xludf.DUMMYFUNCTION("INDEX(IMPORTRANGE(""17pNv02DXDpQT9S3w4-QeNym2QJy2BzMBqDXp-XtzJBM"", ""'GPE'!BM3:BM139""),MATCH($D57,IMPORTRANGE(""17pNv02DXDpQT9S3w4-QeNym2QJy2BzMBqDXp-XtzJBM"", ""'GPE'!D3:D139""),0))"),0.125)</f>
        <v>0.125</v>
      </c>
    </row>
    <row r="58" spans="1:31">
      <c r="A58" s="7" t="s">
        <v>147</v>
      </c>
      <c r="B58" s="7" t="s">
        <v>168</v>
      </c>
      <c r="C58" s="1" t="s">
        <v>30</v>
      </c>
      <c r="D58" s="7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54147</v>
      </c>
      <c r="R58" s="12">
        <v>54147</v>
      </c>
      <c r="S58" s="12">
        <f ca="1">IFERROR(__xludf.DUMMYFUNCTION("INDEX(IMPORTRANGE(""17pNv02DXDpQT9S3w4-QeNym2QJy2BzMBqDXp-XtzJBM"", ""'GPE'!BG3:BG139""),MATCH($D58,IMPORTRANGE(""17pNv02DXDpQT9S3w4-QeNym2QJy2BzMBqDXp-XtzJBM"", ""'GPE'!D3:D139""),0))"),54147)</f>
        <v>54147</v>
      </c>
      <c r="T58" s="4"/>
      <c r="U58" s="4"/>
      <c r="V58" s="4"/>
      <c r="W58" s="4"/>
      <c r="X58" s="4"/>
      <c r="Y58" s="4"/>
      <c r="Z58" s="12">
        <f ca="1">IFERROR(__xludf.DUMMYFUNCTION("INDEX(IMPORTRANGE(""17pNv02DXDpQT9S3w4-QeNym2QJy2BzMBqDXp-XtzJBM"", ""'GPE'!BH3:BH139""),MATCH($D58,IMPORTRANGE(""17pNv02DXDpQT9S3w4-QeNym2QJy2BzMBqDXp-XtzJBM"", ""'GPE'!D3:D139""),0))"),54150)</f>
        <v>54150</v>
      </c>
      <c r="AA58" s="12">
        <f ca="1">IFERROR(__xludf.DUMMYFUNCTION("INDEX(IMPORTRANGE(""17pNv02DXDpQT9S3w4-QeNym2QJy2BzMBqDXp-XtzJBM"", ""'GPE'!BI3:BI139""),MATCH($D58,IMPORTRANGE(""17pNv02DXDpQT9S3w4-QeNym2QJy2BzMBqDXp-XtzJBM"", ""'GPE'!D3:D139""),0))"),54600)</f>
        <v>54600</v>
      </c>
      <c r="AB58" s="12">
        <f ca="1">IFERROR(__xludf.DUMMYFUNCTION("INDEX(IMPORTRANGE(""17pNv02DXDpQT9S3w4-QeNym2QJy2BzMBqDXp-XtzJBM"", ""'GPE'!BJ3:BJ139""),MATCH($D58,IMPORTRANGE(""17pNv02DXDpQT9S3w4-QeNym2QJy2BzMBqDXp-XtzJBM"", ""'GPE'!D3:D139""),0))"),54600)</f>
        <v>54600</v>
      </c>
      <c r="AC58" s="12">
        <f ca="1">IFERROR(__xludf.DUMMYFUNCTION("INDEX(IMPORTRANGE(""17pNv02DXDpQT9S3w4-QeNym2QJy2BzMBqDXp-XtzJBM"", ""'GPE'!BK3:BK139""),MATCH($D58,IMPORTRANGE(""17pNv02DXDpQT9S3w4-QeNym2QJy2BzMBqDXp-XtzJBM"", ""'GPE'!D3:D139""),0))"),54833)</f>
        <v>54833</v>
      </c>
      <c r="AD58" s="12">
        <f ca="1">IFERROR(__xludf.DUMMYFUNCTION("INDEX(IMPORTRANGE(""17pNv02DXDpQT9S3w4-QeNym2QJy2BzMBqDXp-XtzJBM"", ""'GPE'!BL3:BL139""),MATCH($D58,IMPORTRANGE(""17pNv02DXDpQT9S3w4-QeNym2QJy2BzMBqDXp-XtzJBM"", ""'GPE'!D3:D139""),0))"),54833)</f>
        <v>54833</v>
      </c>
      <c r="AE58" s="12">
        <f ca="1">IFERROR(__xludf.DUMMYFUNCTION("INDEX(IMPORTRANGE(""17pNv02DXDpQT9S3w4-QeNym2QJy2BzMBqDXp-XtzJBM"", ""'GPE'!BM3:BM139""),MATCH($D58,IMPORTRANGE(""17pNv02DXDpQT9S3w4-QeNym2QJy2BzMBqDXp-XtzJBM"", ""'GPE'!D3:D139""),0))"),54833)</f>
        <v>54833</v>
      </c>
    </row>
    <row r="59" spans="1:31">
      <c r="A59" s="7" t="s">
        <v>147</v>
      </c>
      <c r="B59" s="7" t="s">
        <v>168</v>
      </c>
      <c r="C59" s="1" t="s">
        <v>30</v>
      </c>
      <c r="D59" s="7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12">
        <v>54597</v>
      </c>
      <c r="R59" s="12">
        <v>54597</v>
      </c>
      <c r="S59" s="12">
        <f ca="1">IFERROR(__xludf.DUMMYFUNCTION("INDEX(IMPORTRANGE(""17pNv02DXDpQT9S3w4-QeNym2QJy2BzMBqDXp-XtzJBM"", ""'GPE'!BG3:BG139""),MATCH($D59,IMPORTRANGE(""17pNv02DXDpQT9S3w4-QeNym2QJy2BzMBqDXp-XtzJBM"", ""'GPE'!D3:D139""),0))"),54597)</f>
        <v>54597</v>
      </c>
      <c r="T59" s="4"/>
      <c r="U59" s="4"/>
      <c r="V59" s="4"/>
      <c r="W59" s="4"/>
      <c r="X59" s="4"/>
      <c r="Y59" s="4"/>
      <c r="Z59" s="12">
        <f ca="1">IFERROR(__xludf.DUMMYFUNCTION("INDEX(IMPORTRANGE(""17pNv02DXDpQT9S3w4-QeNym2QJy2BzMBqDXp-XtzJBM"", ""'GPE'!BH3:BH139""),MATCH($D59,IMPORTRANGE(""17pNv02DXDpQT9S3w4-QeNym2QJy2BzMBqDXp-XtzJBM"", ""'GPE'!D3:D139""),0))"),54600)</f>
        <v>54600</v>
      </c>
      <c r="AA59" s="12">
        <f ca="1">IFERROR(__xludf.DUMMYFUNCTION("INDEX(IMPORTRANGE(""17pNv02DXDpQT9S3w4-QeNym2QJy2BzMBqDXp-XtzJBM"", ""'GPE'!BI3:BI139""),MATCH($D59,IMPORTRANGE(""17pNv02DXDpQT9S3w4-QeNym2QJy2BzMBqDXp-XtzJBM"", ""'GPE'!D3:D139""),0))"),54600)</f>
        <v>54600</v>
      </c>
      <c r="AB59" s="12">
        <f ca="1">IFERROR(__xludf.DUMMYFUNCTION("INDEX(IMPORTRANGE(""17pNv02DXDpQT9S3w4-QeNym2QJy2BzMBqDXp-XtzJBM"", ""'GPE'!BJ3:BJ139""),MATCH($D59,IMPORTRANGE(""17pNv02DXDpQT9S3w4-QeNym2QJy2BzMBqDXp-XtzJBM"", ""'GPE'!D3:D139""),0))"),54600)</f>
        <v>54600</v>
      </c>
      <c r="AC59" s="12">
        <f ca="1">IFERROR(__xludf.DUMMYFUNCTION("INDEX(IMPORTRANGE(""17pNv02DXDpQT9S3w4-QeNym2QJy2BzMBqDXp-XtzJBM"", ""'GPE'!BK3:BK139""),MATCH($D59,IMPORTRANGE(""17pNv02DXDpQT9S3w4-QeNym2QJy2BzMBqDXp-XtzJBM"", ""'GPE'!D3:D139""),0))"),54833)</f>
        <v>54833</v>
      </c>
      <c r="AD59" s="12">
        <f ca="1">IFERROR(__xludf.DUMMYFUNCTION("INDEX(IMPORTRANGE(""17pNv02DXDpQT9S3w4-QeNym2QJy2BzMBqDXp-XtzJBM"", ""'GPE'!BL3:BL139""),MATCH($D59,IMPORTRANGE(""17pNv02DXDpQT9S3w4-QeNym2QJy2BzMBqDXp-XtzJBM"", ""'GPE'!D3:D139""),0))"),54833)</f>
        <v>54833</v>
      </c>
      <c r="AE59" s="12">
        <f ca="1">IFERROR(__xludf.DUMMYFUNCTION("INDEX(IMPORTRANGE(""17pNv02DXDpQT9S3w4-QeNym2QJy2BzMBqDXp-XtzJBM"", ""'GPE'!BM3:BM139""),MATCH($D59,IMPORTRANGE(""17pNv02DXDpQT9S3w4-QeNym2QJy2BzMBqDXp-XtzJBM"", ""'GPE'!D3:D139""),0))"),54833)</f>
        <v>54833</v>
      </c>
    </row>
    <row r="60" spans="1:31">
      <c r="A60" s="7" t="s">
        <v>147</v>
      </c>
      <c r="B60" s="7" t="s">
        <v>168</v>
      </c>
      <c r="C60" s="1" t="s">
        <v>36</v>
      </c>
      <c r="D60" s="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15">
        <f t="shared" ref="Q60:R60" si="15">Q58/Q59</f>
        <v>0.99175778888949939</v>
      </c>
      <c r="R60" s="15">
        <f t="shared" si="15"/>
        <v>0.99175778888949939</v>
      </c>
      <c r="S60" s="15">
        <f ca="1">IFERROR(__xludf.DUMMYFUNCTION("INDEX(IMPORTRANGE(""17pNv02DXDpQT9S3w4-QeNym2QJy2BzMBqDXp-XtzJBM"", ""'GPE'!BG3:BG139""),MATCH($D60,IMPORTRANGE(""17pNv02DXDpQT9S3w4-QeNym2QJy2BzMBqDXp-XtzJBM"", ""'GPE'!D3:D139""),0))"),0.991757788889499)</f>
        <v>0.99175778888949895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""'GPE'!BH3:BH139""),MATCH($D60,IMPORTRANGE(""17pNv02DXDpQT9S3w4-QeNym2QJy2BzMBqDXp-XtzJBM"", ""'GPE'!D3:D139""),0))"),0.991758241758241)</f>
        <v>0.99175824175824101</v>
      </c>
      <c r="AA60" s="15">
        <f ca="1">IFERROR(__xludf.DUMMYFUNCTION("INDEX(IMPORTRANGE(""17pNv02DXDpQT9S3w4-QeNym2QJy2BzMBqDXp-XtzJBM"", ""'GPE'!BI3:BI139""),MATCH($D60,IMPORTRANGE(""17pNv02DXDpQT9S3w4-QeNym2QJy2BzMBqDXp-XtzJBM"", ""'GPE'!D3:D139""),0))"),1)</f>
        <v>1</v>
      </c>
      <c r="AB60" s="15">
        <f ca="1">IFERROR(__xludf.DUMMYFUNCTION("INDEX(IMPORTRANGE(""17pNv02DXDpQT9S3w4-QeNym2QJy2BzMBqDXp-XtzJBM"", ""'GPE'!BJ3:BJ139""),MATCH($D60,IMPORTRANGE(""17pNv02DXDpQT9S3w4-QeNym2QJy2BzMBqDXp-XtzJBM"", ""'GPE'!D3:D139""),0))"),1)</f>
        <v>1</v>
      </c>
      <c r="AC60" s="15">
        <f ca="1">IFERROR(__xludf.DUMMYFUNCTION("INDEX(IMPORTRANGE(""17pNv02DXDpQT9S3w4-QeNym2QJy2BzMBqDXp-XtzJBM"", ""'GPE'!BK3:BK139""),MATCH($D60,IMPORTRANGE(""17pNv02DXDpQT9S3w4-QeNym2QJy2BzMBqDXp-XtzJBM"", ""'GPE'!D3:D139""),0))"),1)</f>
        <v>1</v>
      </c>
      <c r="AD60" s="15">
        <f ca="1">IFERROR(__xludf.DUMMYFUNCTION("INDEX(IMPORTRANGE(""17pNv02DXDpQT9S3w4-QeNym2QJy2BzMBqDXp-XtzJBM"", ""'GPE'!BL3:BL139""),MATCH($D60,IMPORTRANGE(""17pNv02DXDpQT9S3w4-QeNym2QJy2BzMBqDXp-XtzJBM"", ""'GPE'!D3:D139""),0))"),1)</f>
        <v>1</v>
      </c>
      <c r="AE60" s="15">
        <f ca="1">IFERROR(__xludf.DUMMYFUNCTION("INDEX(IMPORTRANGE(""17pNv02DXDpQT9S3w4-QeNym2QJy2BzMBqDXp-XtzJBM"", ""'GPE'!BM3:BM139""),MATCH($D60,IMPORTRANGE(""17pNv02DXDpQT9S3w4-QeNym2QJy2BzMBqDXp-XtzJBM"", ""'GPE'!D3:D139""),0))"),1)</f>
        <v>1</v>
      </c>
    </row>
    <row r="61" spans="1:31">
      <c r="A61" s="7" t="s">
        <v>147</v>
      </c>
      <c r="B61" s="7" t="s">
        <v>168</v>
      </c>
      <c r="C61" s="1" t="s">
        <v>30</v>
      </c>
      <c r="D61" s="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181232</v>
      </c>
      <c r="R61" s="12">
        <v>181232</v>
      </c>
      <c r="S61" s="12">
        <f ca="1">IFERROR(__xludf.DUMMYFUNCTION("INDEX(IMPORTRANGE(""17pNv02DXDpQT9S3w4-QeNym2QJy2BzMBqDXp-XtzJBM"", ""'GPE'!BG3:BG139""),MATCH($D61,IMPORTRANGE(""17pNv02DXDpQT9S3w4-QeNym2QJy2BzMBqDXp-XtzJBM"", ""'GPE'!D3:D139""),0))"),181232)</f>
        <v>181232</v>
      </c>
      <c r="T61" s="4"/>
      <c r="U61" s="4"/>
      <c r="V61" s="4"/>
      <c r="W61" s="4"/>
      <c r="X61" s="4"/>
      <c r="Y61" s="4"/>
      <c r="Z61" s="12">
        <f ca="1">IFERROR(__xludf.DUMMYFUNCTION("INDEX(IMPORTRANGE(""17pNv02DXDpQT9S3w4-QeNym2QJy2BzMBqDXp-XtzJBM"", ""'GPE'!BH3:BH139""),MATCH($D61,IMPORTRANGE(""17pNv02DXDpQT9S3w4-QeNym2QJy2BzMBqDXp-XtzJBM"", ""'GPE'!D3:D139""),0))"),181232)</f>
        <v>181232</v>
      </c>
      <c r="AA61" s="12">
        <f ca="1">IFERROR(__xludf.DUMMYFUNCTION("INDEX(IMPORTRANGE(""17pNv02DXDpQT9S3w4-QeNym2QJy2BzMBqDXp-XtzJBM"", ""'GPE'!BI3:BI139""),MATCH($D61,IMPORTRANGE(""17pNv02DXDpQT9S3w4-QeNym2QJy2BzMBqDXp-XtzJBM"", ""'GPE'!D3:D139""),0))"),195169)</f>
        <v>195169</v>
      </c>
      <c r="AB61" s="12">
        <f ca="1">IFERROR(__xludf.DUMMYFUNCTION("INDEX(IMPORTRANGE(""17pNv02DXDpQT9S3w4-QeNym2QJy2BzMBqDXp-XtzJBM"", ""'GPE'!BJ3:BJ139""),MATCH($D61,IMPORTRANGE(""17pNv02DXDpQT9S3w4-QeNym2QJy2BzMBqDXp-XtzJBM"", ""'GPE'!D3:D139""),0))"),195169)</f>
        <v>195169</v>
      </c>
      <c r="AC61" s="12">
        <f ca="1">IFERROR(__xludf.DUMMYFUNCTION("INDEX(IMPORTRANGE(""17pNv02DXDpQT9S3w4-QeNym2QJy2BzMBqDXp-XtzJBM"", ""'GPE'!BK3:BK139""),MATCH($D61,IMPORTRANGE(""17pNv02DXDpQT9S3w4-QeNym2QJy2BzMBqDXp-XtzJBM"", ""'GPE'!D3:D139""),0))"),195169)</f>
        <v>195169</v>
      </c>
      <c r="AD61" s="12">
        <f ca="1">IFERROR(__xludf.DUMMYFUNCTION("INDEX(IMPORTRANGE(""17pNv02DXDpQT9S3w4-QeNym2QJy2BzMBqDXp-XtzJBM"", ""'GPE'!BL3:BL139""),MATCH($D61,IMPORTRANGE(""17pNv02DXDpQT9S3w4-QeNym2QJy2BzMBqDXp-XtzJBM"", ""'GPE'!D3:D139""),0))"),195169)</f>
        <v>195169</v>
      </c>
      <c r="AE61" s="12">
        <f ca="1">IFERROR(__xludf.DUMMYFUNCTION("INDEX(IMPORTRANGE(""17pNv02DXDpQT9S3w4-QeNym2QJy2BzMBqDXp-XtzJBM"", ""'GPE'!BM3:BM139""),MATCH($D61,IMPORTRANGE(""17pNv02DXDpQT9S3w4-QeNym2QJy2BzMBqDXp-XtzJBM"", ""'GPE'!D3:D139""),0))"),195169)</f>
        <v>195169</v>
      </c>
    </row>
    <row r="62" spans="1:31">
      <c r="A62" s="7" t="s">
        <v>147</v>
      </c>
      <c r="B62" s="7" t="s">
        <v>168</v>
      </c>
      <c r="C62" s="1" t="s">
        <v>36</v>
      </c>
      <c r="D62" s="1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15">
        <f t="shared" ref="Q62:R62" si="16">Q61/Q37</f>
        <v>1</v>
      </c>
      <c r="R62" s="15">
        <f t="shared" si="16"/>
        <v>1</v>
      </c>
      <c r="S62" s="15">
        <f ca="1">IFERROR(__xludf.DUMMYFUNCTION("INDEX(IMPORTRANGE(""17pNv02DXDpQT9S3w4-QeNym2QJy2BzMBqDXp-XtzJBM"", ""'GPE'!BG3:BG139""),MATCH($D62,IMPORTRANGE(""17pNv02DXDpQT9S3w4-QeNym2QJy2BzMBqDXp-XtzJBM"", ""'GPE'!D3:D139""),0))"),1)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""'GPE'!BH3:BH139""),MATCH($D62,IMPORTRANGE(""17pNv02DXDpQT9S3w4-QeNym2QJy2BzMBqDXp-XtzJBM"", ""'GPE'!D3:D139""),0))"),1)</f>
        <v>1</v>
      </c>
      <c r="AA62" s="14">
        <f ca="1">IFERROR(__xludf.DUMMYFUNCTION("INDEX(IMPORTRANGE(""17pNv02DXDpQT9S3w4-QeNym2QJy2BzMBqDXp-XtzJBM"", ""'GPE'!BI3:BI139""),MATCH($D62,IMPORTRANGE(""17pNv02DXDpQT9S3w4-QeNym2QJy2BzMBqDXp-XtzJBM"", ""'GPE'!D3:D139""),0))"),1)</f>
        <v>1</v>
      </c>
      <c r="AB62" s="15">
        <f ca="1">IFERROR(__xludf.DUMMYFUNCTION("INDEX(IMPORTRANGE(""17pNv02DXDpQT9S3w4-QeNym2QJy2BzMBqDXp-XtzJBM"", ""'GPE'!BJ3:BJ139""),MATCH($D62,IMPORTRANGE(""17pNv02DXDpQT9S3w4-QeNym2QJy2BzMBqDXp-XtzJBM"", ""'GPE'!D3:D139""),0))"),1)</f>
        <v>1</v>
      </c>
      <c r="AC62" s="14">
        <f ca="1">IFERROR(__xludf.DUMMYFUNCTION("INDEX(IMPORTRANGE(""17pNv02DXDpQT9S3w4-QeNym2QJy2BzMBqDXp-XtzJBM"", ""'GPE'!BK3:BK139""),MATCH($D62,IMPORTRANGE(""17pNv02DXDpQT9S3w4-QeNym2QJy2BzMBqDXp-XtzJBM"", ""'GPE'!D3:D139""),0))"),1)</f>
        <v>1</v>
      </c>
      <c r="AD62" s="15">
        <f ca="1">IFERROR(__xludf.DUMMYFUNCTION("INDEX(IMPORTRANGE(""17pNv02DXDpQT9S3w4-QeNym2QJy2BzMBqDXp-XtzJBM"", ""'GPE'!BL3:BL139""),MATCH($D62,IMPORTRANGE(""17pNv02DXDpQT9S3w4-QeNym2QJy2BzMBqDXp-XtzJBM"", ""'GPE'!D3:D139""),0))"),1)</f>
        <v>1</v>
      </c>
      <c r="AE62" s="15">
        <f ca="1">IFERROR(__xludf.DUMMYFUNCTION("INDEX(IMPORTRANGE(""17pNv02DXDpQT9S3w4-QeNym2QJy2BzMBqDXp-XtzJBM"", ""'GPE'!BM3:BM139""),MATCH($D62,IMPORTRANGE(""17pNv02DXDpQT9S3w4-QeNym2QJy2BzMBqDXp-XtzJBM"", ""'GPE'!D3:D139""),0))"),1)</f>
        <v>1</v>
      </c>
    </row>
    <row r="63" spans="1:31">
      <c r="A63" s="7" t="s">
        <v>147</v>
      </c>
      <c r="B63" s="7" t="s">
        <v>168</v>
      </c>
      <c r="C63" s="1" t="s">
        <v>30</v>
      </c>
      <c r="D63" s="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12">
        <v>22237400</v>
      </c>
      <c r="R63" s="12">
        <v>22237400</v>
      </c>
      <c r="S63" s="12">
        <f ca="1">IFERROR(__xludf.DUMMYFUNCTION("INDEX(IMPORTRANGE(""17pNv02DXDpQT9S3w4-QeNym2QJy2BzMBqDXp-XtzJBM"", ""'GPE'!BG3:BG139""),MATCH($D63,IMPORTRANGE(""17pNv02DXDpQT9S3w4-QeNym2QJy2BzMBqDXp-XtzJBM"", ""'GPE'!D3:D139""),0))"),22237400)</f>
        <v>22237400</v>
      </c>
      <c r="T63" s="4"/>
      <c r="U63" s="4"/>
      <c r="V63" s="4"/>
      <c r="W63" s="4"/>
      <c r="X63" s="4"/>
      <c r="Y63" s="4"/>
      <c r="Z63" s="12">
        <f ca="1">IFERROR(__xludf.DUMMYFUNCTION("INDEX(IMPORTRANGE(""17pNv02DXDpQT9S3w4-QeNym2QJy2BzMBqDXp-XtzJBM"", ""'GPE'!BH3:BH139""),MATCH($D63,IMPORTRANGE(""17pNv02DXDpQT9S3w4-QeNym2QJy2BzMBqDXp-XtzJBM"", ""'GPE'!D3:D139""),0))"),22237400)</f>
        <v>22237400</v>
      </c>
      <c r="AA63" s="12">
        <f ca="1">IFERROR(__xludf.DUMMYFUNCTION("INDEX(IMPORTRANGE(""17pNv02DXDpQT9S3w4-QeNym2QJy2BzMBqDXp-XtzJBM"", ""'GPE'!BI3:BI139""),MATCH($D63,IMPORTRANGE(""17pNv02DXDpQT9S3w4-QeNym2QJy2BzMBqDXp-XtzJBM"", ""'GPE'!D3:D139""),0))"),22238900)</f>
        <v>22238900</v>
      </c>
      <c r="AB63" s="12">
        <f ca="1">IFERROR(__xludf.DUMMYFUNCTION("INDEX(IMPORTRANGE(""17pNv02DXDpQT9S3w4-QeNym2QJy2BzMBqDXp-XtzJBM"", ""'GPE'!BJ3:BJ139""),MATCH($D63,IMPORTRANGE(""17pNv02DXDpQT9S3w4-QeNym2QJy2BzMBqDXp-XtzJBM"", ""'GPE'!D3:D139""),0))"),22238900)</f>
        <v>22238900</v>
      </c>
      <c r="AC63" s="12">
        <f ca="1">IFERROR(__xludf.DUMMYFUNCTION("INDEX(IMPORTRANGE(""17pNv02DXDpQT9S3w4-QeNym2QJy2BzMBqDXp-XtzJBM"", ""'GPE'!BK3:BK139""),MATCH($D63,IMPORTRANGE(""17pNv02DXDpQT9S3w4-QeNym2QJy2BzMBqDXp-XtzJBM"", ""'GPE'!D3:D139""),0))"),22238900)</f>
        <v>22238900</v>
      </c>
      <c r="AD63" s="12">
        <f ca="1">IFERROR(__xludf.DUMMYFUNCTION("INDEX(IMPORTRANGE(""17pNv02DXDpQT9S3w4-QeNym2QJy2BzMBqDXp-XtzJBM"", ""'GPE'!BL3:BL139""),MATCH($D63,IMPORTRANGE(""17pNv02DXDpQT9S3w4-QeNym2QJy2BzMBqDXp-XtzJBM"", ""'GPE'!D3:D139""),0))"),22238900)</f>
        <v>22238900</v>
      </c>
      <c r="AE63" s="12">
        <f ca="1">IFERROR(__xludf.DUMMYFUNCTION("INDEX(IMPORTRANGE(""17pNv02DXDpQT9S3w4-QeNym2QJy2BzMBqDXp-XtzJBM"", ""'GPE'!BM3:BM139""),MATCH($D63,IMPORTRANGE(""17pNv02DXDpQT9S3w4-QeNym2QJy2BzMBqDXp-XtzJBM"", ""'GPE'!D3:D139""),0))"),22238900)</f>
        <v>22238900</v>
      </c>
    </row>
    <row r="64" spans="1:31">
      <c r="A64" s="7" t="s">
        <v>147</v>
      </c>
      <c r="B64" s="7" t="s">
        <v>168</v>
      </c>
      <c r="C64" s="1" t="s">
        <v>30</v>
      </c>
      <c r="D64" s="7" t="s">
        <v>181</v>
      </c>
      <c r="E64" s="7" t="s">
        <v>38</v>
      </c>
      <c r="F64" s="2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12">
        <v>22238900</v>
      </c>
      <c r="R64" s="12">
        <v>22238900</v>
      </c>
      <c r="S64" s="12">
        <f ca="1">IFERROR(__xludf.DUMMYFUNCTION("INDEX(IMPORTRANGE(""17pNv02DXDpQT9S3w4-QeNym2QJy2BzMBqDXp-XtzJBM"", ""'GPE'!BG3:BG139""),MATCH($D64,IMPORTRANGE(""17pNv02DXDpQT9S3w4-QeNym2QJy2BzMBqDXp-XtzJBM"", ""'GPE'!D3:D139""),0))"),22238900)</f>
        <v>22238900</v>
      </c>
      <c r="T64" s="4"/>
      <c r="U64" s="4"/>
      <c r="V64" s="4"/>
      <c r="W64" s="4"/>
      <c r="X64" s="4"/>
      <c r="Y64" s="4"/>
      <c r="Z64" s="12">
        <f ca="1">IFERROR(__xludf.DUMMYFUNCTION("INDEX(IMPORTRANGE(""17pNv02DXDpQT9S3w4-QeNym2QJy2BzMBqDXp-XtzJBM"", ""'GPE'!BH3:BH139""),MATCH($D64,IMPORTRANGE(""17pNv02DXDpQT9S3w4-QeNym2QJy2BzMBqDXp-XtzJBM"", ""'GPE'!D3:D139""),0))"),22238900)</f>
        <v>22238900</v>
      </c>
      <c r="AA64" s="12">
        <f ca="1">IFERROR(__xludf.DUMMYFUNCTION("INDEX(IMPORTRANGE(""17pNv02DXDpQT9S3w4-QeNym2QJy2BzMBqDXp-XtzJBM"", ""'GPE'!BI3:BI139""),MATCH($D64,IMPORTRANGE(""17pNv02DXDpQT9S3w4-QeNym2QJy2BzMBqDXp-XtzJBM"", ""'GPE'!D3:D139""),0))"),22238900)</f>
        <v>22238900</v>
      </c>
      <c r="AB64" s="12">
        <f ca="1">IFERROR(__xludf.DUMMYFUNCTION("INDEX(IMPORTRANGE(""17pNv02DXDpQT9S3w4-QeNym2QJy2BzMBqDXp-XtzJBM"", ""'GPE'!BJ3:BJ139""),MATCH($D64,IMPORTRANGE(""17pNv02DXDpQT9S3w4-QeNym2QJy2BzMBqDXp-XtzJBM"", ""'GPE'!D3:D139""),0))"),22238900)</f>
        <v>22238900</v>
      </c>
      <c r="AC64" s="12">
        <f ca="1">IFERROR(__xludf.DUMMYFUNCTION("INDEX(IMPORTRANGE(""17pNv02DXDpQT9S3w4-QeNym2QJy2BzMBqDXp-XtzJBM"", ""'GPE'!BK3:BK139""),MATCH($D64,IMPORTRANGE(""17pNv02DXDpQT9S3w4-QeNym2QJy2BzMBqDXp-XtzJBM"", ""'GPE'!D3:D139""),0))"),22238900)</f>
        <v>22238900</v>
      </c>
      <c r="AD64" s="12">
        <f ca="1">IFERROR(__xludf.DUMMYFUNCTION("INDEX(IMPORTRANGE(""17pNv02DXDpQT9S3w4-QeNym2QJy2BzMBqDXp-XtzJBM"", ""'GPE'!BL3:BL139""),MATCH($D64,IMPORTRANGE(""17pNv02DXDpQT9S3w4-QeNym2QJy2BzMBqDXp-XtzJBM"", ""'GPE'!D3:D139""),0))"),22238900)</f>
        <v>22238900</v>
      </c>
      <c r="AE64" s="12">
        <f ca="1">IFERROR(__xludf.DUMMYFUNCTION("INDEX(IMPORTRANGE(""17pNv02DXDpQT9S3w4-QeNym2QJy2BzMBqDXp-XtzJBM"", ""'GPE'!BM3:BM139""),MATCH($D64,IMPORTRANGE(""17pNv02DXDpQT9S3w4-QeNym2QJy2BzMBqDXp-XtzJBM"", ""'GPE'!D3:D139""),0))"),22238900)</f>
        <v>22238900</v>
      </c>
    </row>
    <row r="65" spans="1:31">
      <c r="A65" s="7" t="s">
        <v>147</v>
      </c>
      <c r="B65" s="7" t="s">
        <v>168</v>
      </c>
      <c r="C65" s="1" t="s">
        <v>36</v>
      </c>
      <c r="D65" s="7" t="s">
        <v>183</v>
      </c>
      <c r="E65" s="7" t="s">
        <v>38</v>
      </c>
      <c r="F65" s="2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15">
        <f t="shared" ref="Q65:R65" si="17">Q63/Q64</f>
        <v>0.99993255062075914</v>
      </c>
      <c r="R65" s="15">
        <f t="shared" si="17"/>
        <v>0.99993255062075914</v>
      </c>
      <c r="S65" s="15">
        <f ca="1">IFERROR(__xludf.DUMMYFUNCTION("INDEX(IMPORTRANGE(""17pNv02DXDpQT9S3w4-QeNym2QJy2BzMBqDXp-XtzJBM"", ""'GPE'!BG3:BG139""),MATCH($D65,IMPORTRANGE(""17pNv02DXDpQT9S3w4-QeNym2QJy2BzMBqDXp-XtzJBM"", ""'GPE'!D3:D139""),0))"),0.999932550620759)</f>
        <v>0.99993255062075903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""'GPE'!BH3:BH139""),MATCH($D65,IMPORTRANGE(""17pNv02DXDpQT9S3w4-QeNym2QJy2BzMBqDXp-XtzJBM"", ""'GPE'!D3:D139""),0))"),0.999932550620759)</f>
        <v>0.99993255062075903</v>
      </c>
      <c r="AA65" s="15">
        <f ca="1">IFERROR(__xludf.DUMMYFUNCTION("INDEX(IMPORTRANGE(""17pNv02DXDpQT9S3w4-QeNym2QJy2BzMBqDXp-XtzJBM"", ""'GPE'!BI3:BI139""),MATCH($D65,IMPORTRANGE(""17pNv02DXDpQT9S3w4-QeNym2QJy2BzMBqDXp-XtzJBM"", ""'GPE'!D3:D139""),0))"),1)</f>
        <v>1</v>
      </c>
      <c r="AB65" s="15">
        <f ca="1">IFERROR(__xludf.DUMMYFUNCTION("INDEX(IMPORTRANGE(""17pNv02DXDpQT9S3w4-QeNym2QJy2BzMBqDXp-XtzJBM"", ""'GPE'!BJ3:BJ139""),MATCH($D65,IMPORTRANGE(""17pNv02DXDpQT9S3w4-QeNym2QJy2BzMBqDXp-XtzJBM"", ""'GPE'!D3:D139""),0))"),1)</f>
        <v>1</v>
      </c>
      <c r="AC65" s="15">
        <f ca="1">IFERROR(__xludf.DUMMYFUNCTION("INDEX(IMPORTRANGE(""17pNv02DXDpQT9S3w4-QeNym2QJy2BzMBqDXp-XtzJBM"", ""'GPE'!BK3:BK139""),MATCH($D65,IMPORTRANGE(""17pNv02DXDpQT9S3w4-QeNym2QJy2BzMBqDXp-XtzJBM"", ""'GPE'!D3:D139""),0))"),1)</f>
        <v>1</v>
      </c>
      <c r="AD65" s="15">
        <f ca="1">IFERROR(__xludf.DUMMYFUNCTION("INDEX(IMPORTRANGE(""17pNv02DXDpQT9S3w4-QeNym2QJy2BzMBqDXp-XtzJBM"", ""'GPE'!BL3:BL139""),MATCH($D65,IMPORTRANGE(""17pNv02DXDpQT9S3w4-QeNym2QJy2BzMBqDXp-XtzJBM"", ""'GPE'!D3:D139""),0))"),1)</f>
        <v>1</v>
      </c>
      <c r="AE65" s="15">
        <f ca="1">IFERROR(__xludf.DUMMYFUNCTION("INDEX(IMPORTRANGE(""17pNv02DXDpQT9S3w4-QeNym2QJy2BzMBqDXp-XtzJBM"", ""'GPE'!BM3:BM139""),MATCH($D65,IMPORTRANGE(""17pNv02DXDpQT9S3w4-QeNym2QJy2BzMBqDXp-XtzJBM"", ""'GPE'!D3:D139""),0))"),1)</f>
        <v>1</v>
      </c>
    </row>
    <row r="66" spans="1:31">
      <c r="A66" s="7" t="s">
        <v>147</v>
      </c>
      <c r="B66" s="7" t="s">
        <v>168</v>
      </c>
      <c r="C66" s="1" t="s">
        <v>30</v>
      </c>
      <c r="D66" s="7" t="s">
        <v>185</v>
      </c>
      <c r="E66" s="7" t="s">
        <v>38</v>
      </c>
      <c r="F66" s="2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12">
        <v>21815</v>
      </c>
      <c r="R66" s="12">
        <v>21815</v>
      </c>
      <c r="S66" s="12">
        <f ca="1">IFERROR(__xludf.DUMMYFUNCTION("INDEX(IMPORTRANGE(""17pNv02DXDpQT9S3w4-QeNym2QJy2BzMBqDXp-XtzJBM"", ""'GPE'!BG3:BG139""),MATCH($D66,IMPORTRANGE(""17pNv02DXDpQT9S3w4-QeNym2QJy2BzMBqDXp-XtzJBM"", ""'GPE'!D3:D139""),0))"),21815)</f>
        <v>21815</v>
      </c>
      <c r="T66" s="4"/>
      <c r="U66" s="4"/>
      <c r="V66" s="4"/>
      <c r="W66" s="4"/>
      <c r="X66" s="4"/>
      <c r="Y66" s="4"/>
      <c r="Z66" s="12">
        <f ca="1">IFERROR(__xludf.DUMMYFUNCTION("INDEX(IMPORTRANGE(""17pNv02DXDpQT9S3w4-QeNym2QJy2BzMBqDXp-XtzJBM"", ""'GPE'!BH3:BH139""),MATCH($D66,IMPORTRANGE(""17pNv02DXDpQT9S3w4-QeNym2QJy2BzMBqDXp-XtzJBM"", ""'GPE'!D3:D139""),0))"),21815)</f>
        <v>21815</v>
      </c>
      <c r="AA66" s="12">
        <f ca="1">IFERROR(__xludf.DUMMYFUNCTION("INDEX(IMPORTRANGE(""17pNv02DXDpQT9S3w4-QeNym2QJy2BzMBqDXp-XtzJBM"", ""'GPE'!BI3:BI139""),MATCH($D66,IMPORTRANGE(""17pNv02DXDpQT9S3w4-QeNym2QJy2BzMBqDXp-XtzJBM"", ""'GPE'!D3:D139""),0))"),24075)</f>
        <v>24075</v>
      </c>
      <c r="AB66" s="12">
        <f ca="1">IFERROR(__xludf.DUMMYFUNCTION("INDEX(IMPORTRANGE(""17pNv02DXDpQT9S3w4-QeNym2QJy2BzMBqDXp-XtzJBM"", ""'GPE'!BJ3:BJ139""),MATCH($D66,IMPORTRANGE(""17pNv02DXDpQT9S3w4-QeNym2QJy2BzMBqDXp-XtzJBM"", ""'GPE'!D3:D139""),0))"),24075)</f>
        <v>24075</v>
      </c>
      <c r="AC66" s="12">
        <f ca="1">IFERROR(__xludf.DUMMYFUNCTION("INDEX(IMPORTRANGE(""17pNv02DXDpQT9S3w4-QeNym2QJy2BzMBqDXp-XtzJBM"", ""'GPE'!BK3:BK139""),MATCH($D66,IMPORTRANGE(""17pNv02DXDpQT9S3w4-QeNym2QJy2BzMBqDXp-XtzJBM"", ""'GPE'!D3:D139""),0))"),24075)</f>
        <v>24075</v>
      </c>
      <c r="AD66" s="12">
        <f ca="1">IFERROR(__xludf.DUMMYFUNCTION("INDEX(IMPORTRANGE(""17pNv02DXDpQT9S3w4-QeNym2QJy2BzMBqDXp-XtzJBM"", ""'GPE'!BL3:BL139""),MATCH($D66,IMPORTRANGE(""17pNv02DXDpQT9S3w4-QeNym2QJy2BzMBqDXp-XtzJBM"", ""'GPE'!D3:D139""),0))"),24075)</f>
        <v>24075</v>
      </c>
      <c r="AE66" s="12">
        <f ca="1">IFERROR(__xludf.DUMMYFUNCTION("INDEX(IMPORTRANGE(""17pNv02DXDpQT9S3w4-QeNym2QJy2BzMBqDXp-XtzJBM"", ""'GPE'!BM3:BM139""),MATCH($D66,IMPORTRANGE(""17pNv02DXDpQT9S3w4-QeNym2QJy2BzMBqDXp-XtzJBM"", ""'GPE'!D3:D139""),0))"),24075)</f>
        <v>24075</v>
      </c>
    </row>
    <row r="67" spans="1:31">
      <c r="A67" s="7" t="s">
        <v>147</v>
      </c>
      <c r="B67" s="7" t="s">
        <v>168</v>
      </c>
      <c r="C67" s="1" t="s">
        <v>30</v>
      </c>
      <c r="D67" s="7" t="s">
        <v>187</v>
      </c>
      <c r="E67" s="7" t="s">
        <v>38</v>
      </c>
      <c r="F67" s="2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12">
        <v>24075</v>
      </c>
      <c r="R67" s="12">
        <v>24075</v>
      </c>
      <c r="S67" s="12">
        <f ca="1">IFERROR(__xludf.DUMMYFUNCTION("INDEX(IMPORTRANGE(""17pNv02DXDpQT9S3w4-QeNym2QJy2BzMBqDXp-XtzJBM"", ""'GPE'!BG3:BG139""),MATCH($D67,IMPORTRANGE(""17pNv02DXDpQT9S3w4-QeNym2QJy2BzMBqDXp-XtzJBM"", ""'GPE'!D3:D139""),0))"),24075)</f>
        <v>24075</v>
      </c>
      <c r="T67" s="4"/>
      <c r="U67" s="4"/>
      <c r="V67" s="4"/>
      <c r="W67" s="4"/>
      <c r="X67" s="4"/>
      <c r="Y67" s="4"/>
      <c r="Z67" s="12">
        <f ca="1">IFERROR(__xludf.DUMMYFUNCTION("INDEX(IMPORTRANGE(""17pNv02DXDpQT9S3w4-QeNym2QJy2BzMBqDXp-XtzJBM"", ""'GPE'!BH3:BH139""),MATCH($D67,IMPORTRANGE(""17pNv02DXDpQT9S3w4-QeNym2QJy2BzMBqDXp-XtzJBM"", ""'GPE'!D3:D139""),0))"),24075)</f>
        <v>24075</v>
      </c>
      <c r="AA67" s="12">
        <f ca="1">IFERROR(__xludf.DUMMYFUNCTION("INDEX(IMPORTRANGE(""17pNv02DXDpQT9S3w4-QeNym2QJy2BzMBqDXp-XtzJBM"", ""'GPE'!BI3:BI139""),MATCH($D67,IMPORTRANGE(""17pNv02DXDpQT9S3w4-QeNym2QJy2BzMBqDXp-XtzJBM"", ""'GPE'!D3:D139""),0))"),23975)</f>
        <v>23975</v>
      </c>
      <c r="AB67" s="12">
        <f ca="1">IFERROR(__xludf.DUMMYFUNCTION("INDEX(IMPORTRANGE(""17pNv02DXDpQT9S3w4-QeNym2QJy2BzMBqDXp-XtzJBM"", ""'GPE'!BJ3:BJ139""),MATCH($D67,IMPORTRANGE(""17pNv02DXDpQT9S3w4-QeNym2QJy2BzMBqDXp-XtzJBM"", ""'GPE'!D3:D139""),0))"),24075)</f>
        <v>24075</v>
      </c>
      <c r="AC67" s="12">
        <f ca="1">IFERROR(__xludf.DUMMYFUNCTION("INDEX(IMPORTRANGE(""17pNv02DXDpQT9S3w4-QeNym2QJy2BzMBqDXp-XtzJBM"", ""'GPE'!BK3:BK139""),MATCH($D67,IMPORTRANGE(""17pNv02DXDpQT9S3w4-QeNym2QJy2BzMBqDXp-XtzJBM"", ""'GPE'!D3:D139""),0))"),24075)</f>
        <v>24075</v>
      </c>
      <c r="AD67" s="12">
        <f ca="1">IFERROR(__xludf.DUMMYFUNCTION("INDEX(IMPORTRANGE(""17pNv02DXDpQT9S3w4-QeNym2QJy2BzMBqDXp-XtzJBM"", ""'GPE'!BL3:BL139""),MATCH($D67,IMPORTRANGE(""17pNv02DXDpQT9S3w4-QeNym2QJy2BzMBqDXp-XtzJBM"", ""'GPE'!D3:D139""),0))"),24075)</f>
        <v>24075</v>
      </c>
      <c r="AE67" s="12">
        <f ca="1">IFERROR(__xludf.DUMMYFUNCTION("INDEX(IMPORTRANGE(""17pNv02DXDpQT9S3w4-QeNym2QJy2BzMBqDXp-XtzJBM"", ""'GPE'!BM3:BM139""),MATCH($D67,IMPORTRANGE(""17pNv02DXDpQT9S3w4-QeNym2QJy2BzMBqDXp-XtzJBM"", ""'GPE'!D3:D139""),0))"),24075)</f>
        <v>24075</v>
      </c>
    </row>
    <row r="68" spans="1:31">
      <c r="A68" s="7" t="s">
        <v>147</v>
      </c>
      <c r="B68" s="7" t="s">
        <v>168</v>
      </c>
      <c r="C68" s="1" t="s">
        <v>36</v>
      </c>
      <c r="D68" s="7" t="s">
        <v>189</v>
      </c>
      <c r="E68" s="7" t="s">
        <v>38</v>
      </c>
      <c r="F68" s="2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15">
        <f t="shared" ref="Q68:R68" si="18">Q66/Q67</f>
        <v>0.90612668743509861</v>
      </c>
      <c r="R68" s="15">
        <f t="shared" si="18"/>
        <v>0.90612668743509861</v>
      </c>
      <c r="S68" s="15">
        <f ca="1">IFERROR(__xludf.DUMMYFUNCTION("INDEX(IMPORTRANGE(""17pNv02DXDpQT9S3w4-QeNym2QJy2BzMBqDXp-XtzJBM"", ""'GPE'!BG3:BG139""),MATCH($D68,IMPORTRANGE(""17pNv02DXDpQT9S3w4-QeNym2QJy2BzMBqDXp-XtzJBM"", ""'GPE'!D3:D139""),0))"),0.906126687435098)</f>
        <v>0.90612668743509805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""'GPE'!BH3:BH139""),MATCH($D68,IMPORTRANGE(""17pNv02DXDpQT9S3w4-QeNym2QJy2BzMBqDXp-XtzJBM"", ""'GPE'!D3:D139""),0))"),0.906126687435098)</f>
        <v>0.90612668743509805</v>
      </c>
      <c r="AA68" s="15">
        <f ca="1">IFERROR(__xludf.DUMMYFUNCTION("INDEX(IMPORTRANGE(""17pNv02DXDpQT9S3w4-QeNym2QJy2BzMBqDXp-XtzJBM"", ""'GPE'!BI3:BI139""),MATCH($D68,IMPORTRANGE(""17pNv02DXDpQT9S3w4-QeNym2QJy2BzMBqDXp-XtzJBM"", ""'GPE'!D3:D139""),0))"),1.00417101147028)</f>
        <v>1.00417101147028</v>
      </c>
      <c r="AB68" s="15">
        <f ca="1">IFERROR(__xludf.DUMMYFUNCTION("INDEX(IMPORTRANGE(""17pNv02DXDpQT9S3w4-QeNym2QJy2BzMBqDXp-XtzJBM"", ""'GPE'!BJ3:BJ139""),MATCH($D68,IMPORTRANGE(""17pNv02DXDpQT9S3w4-QeNym2QJy2BzMBqDXp-XtzJBM"", ""'GPE'!D3:D139""),0))"),1)</f>
        <v>1</v>
      </c>
      <c r="AC68" s="15">
        <f ca="1">IFERROR(__xludf.DUMMYFUNCTION("INDEX(IMPORTRANGE(""17pNv02DXDpQT9S3w4-QeNym2QJy2BzMBqDXp-XtzJBM"", ""'GPE'!BK3:BK139""),MATCH($D68,IMPORTRANGE(""17pNv02DXDpQT9S3w4-QeNym2QJy2BzMBqDXp-XtzJBM"", ""'GPE'!D3:D139""),0))"),1)</f>
        <v>1</v>
      </c>
      <c r="AD68" s="15">
        <f ca="1">IFERROR(__xludf.DUMMYFUNCTION("INDEX(IMPORTRANGE(""17pNv02DXDpQT9S3w4-QeNym2QJy2BzMBqDXp-XtzJBM"", ""'GPE'!BL3:BL139""),MATCH($D68,IMPORTRANGE(""17pNv02DXDpQT9S3w4-QeNym2QJy2BzMBqDXp-XtzJBM"", ""'GPE'!D3:D139""),0))"),1)</f>
        <v>1</v>
      </c>
      <c r="AE68" s="15">
        <f ca="1">IFERROR(__xludf.DUMMYFUNCTION("INDEX(IMPORTRANGE(""17pNv02DXDpQT9S3w4-QeNym2QJy2BzMBqDXp-XtzJBM"", ""'GPE'!BM3:BM139""),MATCH($D68,IMPORTRANGE(""17pNv02DXDpQT9S3w4-QeNym2QJy2BzMBqDXp-XtzJBM"", ""'GPE'!D3:D139""),0))"),1)</f>
        <v>1</v>
      </c>
    </row>
    <row r="69" spans="1:31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2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4">
        <v>0</v>
      </c>
      <c r="R69" s="24">
        <v>5.4640000000000004</v>
      </c>
      <c r="S69" s="24">
        <f ca="1">IFERROR(__xludf.DUMMYFUNCTION("INDEX(IMPORTRANGE(""17pNv02DXDpQT9S3w4-QeNym2QJy2BzMBqDXp-XtzJBM"", ""'GPE'!BG3:BG139""),MATCH($D69,IMPORTRANGE(""17pNv02DXDpQT9S3w4-QeNym2QJy2BzMBqDXp-XtzJBM"", ""'GPE'!D3:D139""),0))"),5.464)</f>
        <v>5.4640000000000004</v>
      </c>
      <c r="T69" s="2"/>
      <c r="U69" s="2"/>
      <c r="V69" s="2"/>
      <c r="W69" s="2"/>
      <c r="X69" s="2"/>
      <c r="Y69" s="2"/>
      <c r="Z69" s="24">
        <f ca="1">IFERROR(__xludf.DUMMYFUNCTION("INDEX(IMPORTRANGE(""17pNv02DXDpQT9S3w4-QeNym2QJy2BzMBqDXp-XtzJBM"", ""'GPE'!BH3:BH139""),MATCH($D69,IMPORTRANGE(""17pNv02DXDpQT9S3w4-QeNym2QJy2BzMBqDXp-XtzJBM"", ""'GPE'!D3:D139""),0))"),25.535)</f>
        <v>25.535</v>
      </c>
      <c r="AA69" s="24">
        <f ca="1">IFERROR(__xludf.DUMMYFUNCTION("INDEX(IMPORTRANGE(""17pNv02DXDpQT9S3w4-QeNym2QJy2BzMBqDXp-XtzJBM"", ""'GPE'!BI3:BI139""),MATCH($D69,IMPORTRANGE(""17pNv02DXDpQT9S3w4-QeNym2QJy2BzMBqDXp-XtzJBM"", ""'GPE'!D3:D139""),0))"),51.6009999999999)</f>
        <v>51.6009999999999</v>
      </c>
      <c r="AB69" s="24">
        <f ca="1">IFERROR(__xludf.DUMMYFUNCTION("INDEX(IMPORTRANGE(""17pNv02DXDpQT9S3w4-QeNym2QJy2BzMBqDXp-XtzJBM"", ""'GPE'!BJ3:BJ139""),MATCH($D69,IMPORTRANGE(""17pNv02DXDpQT9S3w4-QeNym2QJy2BzMBqDXp-XtzJBM"", ""'GPE'!D3:D139""),0))"),41.851)</f>
        <v>41.850999999999999</v>
      </c>
      <c r="AC69" s="24">
        <f ca="1">IFERROR(__xludf.DUMMYFUNCTION("INDEX(IMPORTRANGE(""17pNv02DXDpQT9S3w4-QeNym2QJy2BzMBqDXp-XtzJBM"", ""'GPE'!BK3:BK139""),MATCH($D69,IMPORTRANGE(""17pNv02DXDpQT9S3w4-QeNym2QJy2BzMBqDXp-XtzJBM"", ""'GPE'!D3:D139""),0))"),74.303)</f>
        <v>74.302999999999997</v>
      </c>
      <c r="AD69" s="24">
        <f ca="1">IFERROR(__xludf.DUMMYFUNCTION("INDEX(IMPORTRANGE(""17pNv02DXDpQT9S3w4-QeNym2QJy2BzMBqDXp-XtzJBM"", ""'GPE'!BL3:BL139""),MATCH($D69,IMPORTRANGE(""17pNv02DXDpQT9S3w4-QeNym2QJy2BzMBqDXp-XtzJBM"", ""'GPE'!D3:D139""),0))"),34.006)</f>
        <v>34.006</v>
      </c>
      <c r="AE69" s="24">
        <f ca="1">IFERROR(__xludf.DUMMYFUNCTION("INDEX(IMPORTRANGE(""17pNv02DXDpQT9S3w4-QeNym2QJy2BzMBqDXp-XtzJBM"", ""'GPE'!BM3:BM139""),MATCH($D69,IMPORTRANGE(""17pNv02DXDpQT9S3w4-QeNym2QJy2BzMBqDXp-XtzJBM"", ""'GPE'!D3:D139""),0))"),75.684)</f>
        <v>75.683999999999997</v>
      </c>
    </row>
    <row r="70" spans="1:31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2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</v>
      </c>
      <c r="R70" s="23">
        <v>0</v>
      </c>
      <c r="S70" s="23">
        <f ca="1">IFERROR(__xludf.DUMMYFUNCTION("INDEX(IMPORTRANGE(""17pNv02DXDpQT9S3w4-QeNym2QJy2BzMBqDXp-XtzJBM"", ""'GPE'!BG3:BG139""),MATCH($D70,IMPORTRANGE(""17pNv02DXDpQT9S3w4-QeNym2QJy2BzMBqDXp-XtzJBM"", ""'GPE'!D3:D139""),0))"),0)</f>
        <v>0</v>
      </c>
      <c r="T70" s="2"/>
      <c r="U70" s="2"/>
      <c r="V70" s="2"/>
      <c r="W70" s="2"/>
      <c r="X70" s="2"/>
      <c r="Y70" s="2"/>
      <c r="Z70" s="23">
        <f ca="1">IFERROR(__xludf.DUMMYFUNCTION("INDEX(IMPORTRANGE(""17pNv02DXDpQT9S3w4-QeNym2QJy2BzMBqDXp-XtzJBM"", ""'GPE'!BH3:BH139""),MATCH($D70,IMPORTRANGE(""17pNv02DXDpQT9S3w4-QeNym2QJy2BzMBqDXp-XtzJBM"", ""'GPE'!D3:D139""),0))"),0)</f>
        <v>0</v>
      </c>
      <c r="AA70" s="12">
        <f ca="1">IFERROR(__xludf.DUMMYFUNCTION("INDEX(IMPORTRANGE(""17pNv02DXDpQT9S3w4-QeNym2QJy2BzMBqDXp-XtzJBM"", ""'GPE'!BI3:BI139""),MATCH($D70,IMPORTRANGE(""17pNv02DXDpQT9S3w4-QeNym2QJy2BzMBqDXp-XtzJBM"", ""'GPE'!D3:D139""),0))"),0.287)</f>
        <v>0.28699999999999998</v>
      </c>
      <c r="AB70" s="23">
        <f ca="1">IFERROR(__xludf.DUMMYFUNCTION("INDEX(IMPORTRANGE(""17pNv02DXDpQT9S3w4-QeNym2QJy2BzMBqDXp-XtzJBM"", ""'GPE'!BJ3:BJ139""),MATCH($D70,IMPORTRANGE(""17pNv02DXDpQT9S3w4-QeNym2QJy2BzMBqDXp-XtzJBM"", ""'GPE'!D3:D139""),0))"),0)</f>
        <v>0</v>
      </c>
      <c r="AC70" s="12">
        <f ca="1">IFERROR(__xludf.DUMMYFUNCTION("INDEX(IMPORTRANGE(""17pNv02DXDpQT9S3w4-QeNym2QJy2BzMBqDXp-XtzJBM"", ""'GPE'!BK3:BK139""),MATCH($D70,IMPORTRANGE(""17pNv02DXDpQT9S3w4-QeNym2QJy2BzMBqDXp-XtzJBM"", ""'GPE'!D3:D139""),0))"),0)</f>
        <v>0</v>
      </c>
      <c r="AD70" s="23">
        <f ca="1">IFERROR(__xludf.DUMMYFUNCTION("INDEX(IMPORTRANGE(""17pNv02DXDpQT9S3w4-QeNym2QJy2BzMBqDXp-XtzJBM"", ""'GPE'!BL3:BL139""),MATCH($D70,IMPORTRANGE(""17pNv02DXDpQT9S3w4-QeNym2QJy2BzMBqDXp-XtzJBM"", ""'GPE'!D3:D139""),0))"),0)</f>
        <v>0</v>
      </c>
      <c r="AE70" s="23">
        <f ca="1">IFERROR(__xludf.DUMMYFUNCTION("INDEX(IMPORTRANGE(""17pNv02DXDpQT9S3w4-QeNym2QJy2BzMBqDXp-XtzJBM"", ""'GPE'!BM3:BM139""),MATCH($D70,IMPORTRANGE(""17pNv02DXDpQT9S3w4-QeNym2QJy2BzMBqDXp-XtzJBM"", ""'GPE'!D3:D139""),0))"),0)</f>
        <v>0</v>
      </c>
    </row>
    <row r="71" spans="1:31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2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12">
        <v>0</v>
      </c>
      <c r="R71" s="12">
        <v>0</v>
      </c>
      <c r="S71" s="12">
        <f ca="1">IFERROR(__xludf.DUMMYFUNCTION("INDEX(IMPORTRANGE(""17pNv02DXDpQT9S3w4-QeNym2QJy2BzMBqDXp-XtzJBM"", ""'GPE'!BG3:BG139""),MATCH($D71,IMPORTRANGE(""17pNv02DXDpQT9S3w4-QeNym2QJy2BzMBqDXp-XtzJBM"", ""'GPE'!D3:D139""),0))"),0)</f>
        <v>0</v>
      </c>
      <c r="T71" s="4"/>
      <c r="U71" s="4"/>
      <c r="V71" s="4"/>
      <c r="W71" s="4"/>
      <c r="X71" s="4"/>
      <c r="Y71" s="4"/>
      <c r="Z71" s="356">
        <f ca="1">IFERROR(__xludf.DUMMYFUNCTION("INDEX(IMPORTRANGE(""17pNv02DXDpQT9S3w4-QeNym2QJy2BzMBqDXp-XtzJBM"", ""'GPE'!BH3:BH139""),MATCH($D71,IMPORTRANGE(""17pNv02DXDpQT9S3w4-QeNym2QJy2BzMBqDXp-XtzJBM"", ""'GPE'!D3:D139""),0))"),0)</f>
        <v>0</v>
      </c>
      <c r="AA71" s="28" t="str">
        <f ca="1">IFERROR(__xludf.DUMMYFUNCTION("INDEX(IMPORTRANGE(""17pNv02DXDpQT9S3w4-QeNym2QJy2BzMBqDXp-XtzJBM"", ""'GPE'!BI3:BI139""),MATCH($D71,IMPORTRANGE(""17pNv02DXDpQT9S3w4-QeNym2QJy2BzMBqDXp-XtzJBM"", ""'GPE'!D3:D139""),0))"),"")</f>
        <v/>
      </c>
      <c r="AB71" s="356" t="str">
        <f ca="1">IFERROR(__xludf.DUMMYFUNCTION("INDEX(IMPORTRANGE(""17pNv02DXDpQT9S3w4-QeNym2QJy2BzMBqDXp-XtzJBM"", ""'GPE'!BJ3:BJ139""),MATCH($D71,IMPORTRANGE(""17pNv02DXDpQT9S3w4-QeNym2QJy2BzMBqDXp-XtzJBM"", ""'GPE'!D3:D139""),0))"),"https://drive.google.com/file/d/1SEXk5kaupXSsvPprnP5YKifuESSxYTUq/view?usp=sharing")</f>
        <v>https://drive.google.com/file/d/1SEXk5kaupXSsvPprnP5YKifuESSxYTUq/view?usp=sharing</v>
      </c>
      <c r="AC71" s="28" t="str">
        <f ca="1">IFERROR(__xludf.DUMMYFUNCTION("INDEX(IMPORTRANGE(""17pNv02DXDpQT9S3w4-QeNym2QJy2BzMBqDXp-XtzJBM"", ""'GPE'!BK3:BK139""),MATCH($D71,IMPORTRANGE(""17pNv02DXDpQT9S3w4-QeNym2QJy2BzMBqDXp-XtzJBM"", ""'GPE'!D3:D139""),0))"),"")</f>
        <v/>
      </c>
      <c r="AD71" s="356" t="str">
        <f ca="1">IFERROR(__xludf.DUMMYFUNCTION("INDEX(IMPORTRANGE(""17pNv02DXDpQT9S3w4-QeNym2QJy2BzMBqDXp-XtzJBM"", ""'GPE'!BL3:BL139""),MATCH($D71,IMPORTRANGE(""17pNv02DXDpQT9S3w4-QeNym2QJy2BzMBqDXp-XtzJBM"", ""'GPE'!D3:D139""),0))"),"https://drive.google.com/file/d/1SEXk5kaupXSsvPprnP5YKifuESSxYTUq/view?usp=sharing											")</f>
        <v xml:space="preserve">https://drive.google.com/file/d/1SEXk5kaupXSsvPprnP5YKifuESSxYTUq/view?usp=sharing											</v>
      </c>
      <c r="AE71" s="356" t="str">
        <f ca="1">IFERROR(__xludf.DUMMYFUNCTION("INDEX(IMPORTRANGE(""17pNv02DXDpQT9S3w4-QeNym2QJy2BzMBqDXp-XtzJBM"", ""'GPE'!BM3:BM139""),MATCH($D71,IMPORTRANGE(""17pNv02DXDpQT9S3w4-QeNym2QJy2BzMBqDXp-XtzJBM"", ""'GPE'!D3:D139""),0))"),"https://drive.google.com/file/d/1SEXk5kaupXSsvPprnP5YKifuESSxYTUq/view?usp=sharing")</f>
        <v>https://drive.google.com/file/d/1SEXk5kaupXSsvPprnP5YKifuESSxYTUq/view?usp=sharing</v>
      </c>
    </row>
    <row r="72" spans="1:31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2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v>0</v>
      </c>
      <c r="R72" s="23">
        <v>5.4640000000000004</v>
      </c>
      <c r="S72" s="23">
        <f ca="1">IFERROR(__xludf.DUMMYFUNCTION("INDEX(IMPORTRANGE(""17pNv02DXDpQT9S3w4-QeNym2QJy2BzMBqDXp-XtzJBM"", ""'GPE'!BG3:BG139""),MATCH($D72,IMPORTRANGE(""17pNv02DXDpQT9S3w4-QeNym2QJy2BzMBqDXp-XtzJBM"", ""'GPE'!D3:D139""),0))"),5.464)</f>
        <v>5.4640000000000004</v>
      </c>
      <c r="T72" s="2">
        <v>10.1</v>
      </c>
      <c r="U72" s="2">
        <v>10</v>
      </c>
      <c r="V72" s="2">
        <v>10.1</v>
      </c>
      <c r="W72" s="2">
        <v>10</v>
      </c>
      <c r="X72" s="2">
        <v>10.1</v>
      </c>
      <c r="Y72" s="2">
        <v>60.3</v>
      </c>
      <c r="Z72" s="23">
        <f ca="1">IFERROR(__xludf.DUMMYFUNCTION("INDEX(IMPORTRANGE(""17pNv02DXDpQT9S3w4-QeNym2QJy2BzMBqDXp-XtzJBM"", ""'GPE'!BH3:BH139""),MATCH($D72,IMPORTRANGE(""17pNv02DXDpQT9S3w4-QeNym2QJy2BzMBqDXp-XtzJBM"", ""'GPE'!D3:D139""),0))"),25.535)</f>
        <v>25.535</v>
      </c>
      <c r="AA72" s="12">
        <f ca="1">IFERROR(__xludf.DUMMYFUNCTION("INDEX(IMPORTRANGE(""17pNv02DXDpQT9S3w4-QeNym2QJy2BzMBqDXp-XtzJBM"", ""'GPE'!BI3:BI139""),MATCH($D72,IMPORTRANGE(""17pNv02DXDpQT9S3w4-QeNym2QJy2BzMBqDXp-XtzJBM"", ""'GPE'!D3:D139""),0))"),51.8879999999999)</f>
        <v>51.887999999999899</v>
      </c>
      <c r="AB72" s="23">
        <f ca="1">IFERROR(__xludf.DUMMYFUNCTION("INDEX(IMPORTRANGE(""17pNv02DXDpQT9S3w4-QeNym2QJy2BzMBqDXp-XtzJBM"", ""'GPE'!BJ3:BJ139""),MATCH($D72,IMPORTRANGE(""17pNv02DXDpQT9S3w4-QeNym2QJy2BzMBqDXp-XtzJBM"", ""'GPE'!D3:D139""),0))"),41.851)</f>
        <v>41.850999999999999</v>
      </c>
      <c r="AC72" s="12">
        <f ca="1">IFERROR(__xludf.DUMMYFUNCTION("INDEX(IMPORTRANGE(""17pNv02DXDpQT9S3w4-QeNym2QJy2BzMBqDXp-XtzJBM"", ""'GPE'!BK3:BK139""),MATCH($D72,IMPORTRANGE(""17pNv02DXDpQT9S3w4-QeNym2QJy2BzMBqDXp-XtzJBM"", ""'GPE'!D3:D139""),0))"),74.303)</f>
        <v>74.302999999999997</v>
      </c>
      <c r="AD72" s="23">
        <f ca="1">IFERROR(__xludf.DUMMYFUNCTION("INDEX(IMPORTRANGE(""17pNv02DXDpQT9S3w4-QeNym2QJy2BzMBqDXp-XtzJBM"", ""'GPE'!BL3:BL139""),MATCH($D72,IMPORTRANGE(""17pNv02DXDpQT9S3w4-QeNym2QJy2BzMBqDXp-XtzJBM"", ""'GPE'!D3:D139""),0))"),34.006)</f>
        <v>34.006</v>
      </c>
      <c r="AE72" s="23">
        <f ca="1">IFERROR(__xludf.DUMMYFUNCTION("INDEX(IMPORTRANGE(""17pNv02DXDpQT9S3w4-QeNym2QJy2BzMBqDXp-XtzJBM"", ""'GPE'!BM3:BM139""),MATCH($D72,IMPORTRANGE(""17pNv02DXDpQT9S3w4-QeNym2QJy2BzMBqDXp-XtzJBM"", ""'GPE'!D3:D139""),0))"),75.684)</f>
        <v>75.683999999999997</v>
      </c>
    </row>
    <row r="73" spans="1:31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2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13.875</v>
      </c>
      <c r="R73" s="23">
        <v>13.875</v>
      </c>
      <c r="S73" s="23">
        <f ca="1">IFERROR(__xludf.DUMMYFUNCTION("INDEX(IMPORTRANGE(""17pNv02DXDpQT9S3w4-QeNym2QJy2BzMBqDXp-XtzJBM"", ""'GPE'!BG3:BG139""),MATCH($D73,IMPORTRANGE(""17pNv02DXDpQT9S3w4-QeNym2QJy2BzMBqDXp-XtzJBM"", ""'GPE'!D3:D139""),0))"),0.88)</f>
        <v>0.88</v>
      </c>
      <c r="T73" s="2">
        <v>1.5</v>
      </c>
      <c r="U73" s="2">
        <v>1.73</v>
      </c>
      <c r="V73" s="2">
        <v>2.5299999999999998</v>
      </c>
      <c r="W73" s="2">
        <v>3.03</v>
      </c>
      <c r="X73" s="23">
        <f ca="1">(Y73-AD73)/6*5+AD73</f>
        <v>7.57</v>
      </c>
      <c r="Y73" s="2">
        <v>7.66</v>
      </c>
      <c r="Z73" s="23">
        <f ca="1">IFERROR(__xludf.DUMMYFUNCTION("INDEX(IMPORTRANGE(""17pNv02DXDpQT9S3w4-QeNym2QJy2BzMBqDXp-XtzJBM"", ""'GPE'!BH3:BH139""),MATCH($D73,IMPORTRANGE(""17pNv02DXDpQT9S3w4-QeNym2QJy2BzMBqDXp-XtzJBM"", ""'GPE'!D3:D139""),0))"),13.875)</f>
        <v>13.875</v>
      </c>
      <c r="AA73" s="32">
        <f ca="1">IFERROR(__xludf.DUMMYFUNCTION("INDEX(IMPORTRANGE(""17pNv02DXDpQT9S3w4-QeNym2QJy2BzMBqDXp-XtzJBM"", ""'GPE'!BI3:BI139""),MATCH($D73,IMPORTRANGE(""17pNv02DXDpQT9S3w4-QeNym2QJy2BzMBqDXp-XtzJBM"", ""'GPE'!D3:D139""),0))"),1.86)</f>
        <v>1.86</v>
      </c>
      <c r="AB73" s="23">
        <f ca="1">IFERROR(__xludf.DUMMYFUNCTION("INDEX(IMPORTRANGE(""17pNv02DXDpQT9S3w4-QeNym2QJy2BzMBqDXp-XtzJBM"", ""'GPE'!BJ3:BJ139""),MATCH($D73,IMPORTRANGE(""17pNv02DXDpQT9S3w4-QeNym2QJy2BzMBqDXp-XtzJBM"", ""'GPE'!D3:D139""),0))"),3.82)</f>
        <v>3.82</v>
      </c>
      <c r="AC73" s="32">
        <f ca="1">IFERROR(__xludf.DUMMYFUNCTION("INDEX(IMPORTRANGE(""17pNv02DXDpQT9S3w4-QeNym2QJy2BzMBqDXp-XtzJBM"", ""'GPE'!BK3:BK139""),MATCH($D73,IMPORTRANGE(""17pNv02DXDpQT9S3w4-QeNym2QJy2BzMBqDXp-XtzJBM"", ""'GPE'!D3:D139""),0))"),2.72)</f>
        <v>2.72</v>
      </c>
      <c r="AD73" s="23">
        <f ca="1">IFERROR(__xludf.DUMMYFUNCTION("INDEX(IMPORTRANGE(""17pNv02DXDpQT9S3w4-QeNym2QJy2BzMBqDXp-XtzJBM"", ""'GPE'!BL3:BL139""),MATCH($D73,IMPORTRANGE(""17pNv02DXDpQT9S3w4-QeNym2QJy2BzMBqDXp-XtzJBM"", ""'GPE'!D3:D139""),0))"),7.12)</f>
        <v>7.12</v>
      </c>
      <c r="AE73" s="23">
        <f ca="1">IFERROR(__xludf.DUMMYFUNCTION("INDEX(IMPORTRANGE(""17pNv02DXDpQT9S3w4-QeNym2QJy2BzMBqDXp-XtzJBM"", ""'GPE'!BM3:BM139""),MATCH($D73,IMPORTRANGE(""17pNv02DXDpQT9S3w4-QeNym2QJy2BzMBqDXp-XtzJBM"", ""'GPE'!D3:D139""),0))"),14.11)</f>
        <v>14.11</v>
      </c>
    </row>
    <row r="74" spans="1:31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2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 t="str">
        <f ca="1">IFERROR(__xludf.DUMMYFUNCTION("INDEX(IMPORTRANGE(""17pNv02DXDpQT9S3w4-QeNym2QJy2BzMBqDXp-XtzJBM"", ""'GPE'!BG3:BG139""),MATCH($D74,IMPORTRANGE(""17pNv02DXDpQT9S3w4-QeNym2QJy2BzMBqDXp-XtzJBM"", ""'GPE'!D3:D139""),0))"),"")</f>
        <v/>
      </c>
      <c r="T74" s="2"/>
      <c r="U74" s="2"/>
      <c r="V74" s="2"/>
      <c r="W74" s="2"/>
      <c r="X74" s="2"/>
      <c r="Y74" s="2"/>
      <c r="Z74" s="2">
        <f ca="1">IFERROR(__xludf.DUMMYFUNCTION("INDEX(IMPORTRANGE(""17pNv02DXDpQT9S3w4-QeNym2QJy2BzMBqDXp-XtzJBM"", ""'GPE'!BH3:BH139""),MATCH($D74,IMPORTRANGE(""17pNv02DXDpQT9S3w4-QeNym2QJy2BzMBqDXp-XtzJBM"", ""'GPE'!D3:D139""),0))"),10)</f>
        <v>10</v>
      </c>
      <c r="AA74" s="12">
        <f ca="1">IFERROR(__xludf.DUMMYFUNCTION("INDEX(IMPORTRANGE(""17pNv02DXDpQT9S3w4-QeNym2QJy2BzMBqDXp-XtzJBM"", ""'GPE'!BI3:BI139""),MATCH($D74,IMPORTRANGE(""17pNv02DXDpQT9S3w4-QeNym2QJy2BzMBqDXp-XtzJBM"", ""'GPE'!D3:D139""),0))"),18703)</f>
        <v>18703</v>
      </c>
      <c r="AB74" s="2">
        <f ca="1">IFERROR(__xludf.DUMMYFUNCTION("INDEX(IMPORTRANGE(""17pNv02DXDpQT9S3w4-QeNym2QJy2BzMBqDXp-XtzJBM"", ""'GPE'!BJ3:BJ139""),MATCH($D74,IMPORTRANGE(""17pNv02DXDpQT9S3w4-QeNym2QJy2BzMBqDXp-XtzJBM"", ""'GPE'!D3:D139""),0))"),0)</f>
        <v>0</v>
      </c>
      <c r="AC74" s="12">
        <f ca="1">IFERROR(__xludf.DUMMYFUNCTION("INDEX(IMPORTRANGE(""17pNv02DXDpQT9S3w4-QeNym2QJy2BzMBqDXp-XtzJBM"", ""'GPE'!BK3:BK139""),MATCH($D74,IMPORTRANGE(""17pNv02DXDpQT9S3w4-QeNym2QJy2BzMBqDXp-XtzJBM"", ""'GPE'!D3:D139""),0))"),280)</f>
        <v>280</v>
      </c>
      <c r="AD74" s="2">
        <f ca="1">IFERROR(__xludf.DUMMYFUNCTION("INDEX(IMPORTRANGE(""17pNv02DXDpQT9S3w4-QeNym2QJy2BzMBqDXp-XtzJBM"", ""'GPE'!BL3:BL139""),MATCH($D74,IMPORTRANGE(""17pNv02DXDpQT9S3w4-QeNym2QJy2BzMBqDXp-XtzJBM"", ""'GPE'!D3:D139""),0))"),0)</f>
        <v>0</v>
      </c>
      <c r="AE74" s="2">
        <f ca="1">IFERROR(__xludf.DUMMYFUNCTION("INDEX(IMPORTRANGE(""17pNv02DXDpQT9S3w4-QeNym2QJy2BzMBqDXp-XtzJBM"", ""'GPE'!BM3:BM139""),MATCH($D74,IMPORTRANGE(""17pNv02DXDpQT9S3w4-QeNym2QJy2BzMBqDXp-XtzJBM"", ""'GPE'!D3:D139""),0))"),10770)</f>
        <v>10770</v>
      </c>
    </row>
    <row r="75" spans="1:31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2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 t="str">
        <f ca="1">IFERROR(__xludf.DUMMYFUNCTION("INDEX(IMPORTRANGE(""17pNv02DXDpQT9S3w4-QeNym2QJy2BzMBqDXp-XtzJBM"", ""'GPE'!BG3:BG139""),MATCH($D75,IMPORTRANGE(""17pNv02DXDpQT9S3w4-QeNym2QJy2BzMBqDXp-XtzJBM"", ""'GPE'!D3:D139""),0))"),"")</f>
        <v/>
      </c>
      <c r="T75" s="2"/>
      <c r="U75" s="2"/>
      <c r="V75" s="2"/>
      <c r="W75" s="2"/>
      <c r="X75" s="2"/>
      <c r="Y75" s="2"/>
      <c r="Z75" s="2">
        <f ca="1">IFERROR(__xludf.DUMMYFUNCTION("INDEX(IMPORTRANGE(""17pNv02DXDpQT9S3w4-QeNym2QJy2BzMBqDXp-XtzJBM"", ""'GPE'!BH3:BH139""),MATCH($D75,IMPORTRANGE(""17pNv02DXDpQT9S3w4-QeNym2QJy2BzMBqDXp-XtzJBM"", ""'GPE'!D3:D139""),0))"),80)</f>
        <v>80</v>
      </c>
      <c r="AA75" s="12">
        <f ca="1">IFERROR(__xludf.DUMMYFUNCTION("INDEX(IMPORTRANGE(""17pNv02DXDpQT9S3w4-QeNym2QJy2BzMBqDXp-XtzJBM"", ""'GPE'!BI3:BI139""),MATCH($D75,IMPORTRANGE(""17pNv02DXDpQT9S3w4-QeNym2QJy2BzMBqDXp-XtzJBM"", ""'GPE'!D3:D139""),0))"),80)</f>
        <v>80</v>
      </c>
      <c r="AB75" s="2">
        <f ca="1">IFERROR(__xludf.DUMMYFUNCTION("INDEX(IMPORTRANGE(""17pNv02DXDpQT9S3w4-QeNym2QJy2BzMBqDXp-XtzJBM"", ""'GPE'!BJ3:BJ139""),MATCH($D75,IMPORTRANGE(""17pNv02DXDpQT9S3w4-QeNym2QJy2BzMBqDXp-XtzJBM"", ""'GPE'!D3:D139""),0))"),9295)</f>
        <v>9295</v>
      </c>
      <c r="AC75" s="12">
        <f ca="1">IFERROR(__xludf.DUMMYFUNCTION("INDEX(IMPORTRANGE(""17pNv02DXDpQT9S3w4-QeNym2QJy2BzMBqDXp-XtzJBM"", ""'GPE'!BK3:BK139""),MATCH($D75,IMPORTRANGE(""17pNv02DXDpQT9S3w4-QeNym2QJy2BzMBqDXp-XtzJBM"", ""'GPE'!D3:D139""),0))"),26680)</f>
        <v>26680</v>
      </c>
      <c r="AD75" s="2">
        <f ca="1">IFERROR(__xludf.DUMMYFUNCTION("INDEX(IMPORTRANGE(""17pNv02DXDpQT9S3w4-QeNym2QJy2BzMBqDXp-XtzJBM"", ""'GPE'!BL3:BL139""),MATCH($D75,IMPORTRANGE(""17pNv02DXDpQT9S3w4-QeNym2QJy2BzMBqDXp-XtzJBM"", ""'GPE'!D3:D139""),0))"),0)</f>
        <v>0</v>
      </c>
      <c r="AE75" s="2">
        <f ca="1">IFERROR(__xludf.DUMMYFUNCTION("INDEX(IMPORTRANGE(""17pNv02DXDpQT9S3w4-QeNym2QJy2BzMBqDXp-XtzJBM"", ""'GPE'!BM3:BM139""),MATCH($D75,IMPORTRANGE(""17pNv02DXDpQT9S3w4-QeNym2QJy2BzMBqDXp-XtzJBM"", ""'GPE'!D3:D139""),0))"),0)</f>
        <v>0</v>
      </c>
    </row>
    <row r="76" spans="1:31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""'GPE'!BG3:BG139""),MATCH($D76,IMPORTRANGE(""17pNv02DXDpQT9S3w4-QeNym2QJy2BzMBqDXp-XtzJBM"", ""'GPE'!D3:D139""),0))"),"")</f>
        <v/>
      </c>
      <c r="T76" s="2"/>
      <c r="U76" s="2"/>
      <c r="V76" s="2"/>
      <c r="W76" s="2"/>
      <c r="X76" s="2"/>
      <c r="Y76" s="2"/>
      <c r="Z76" s="2">
        <f ca="1">IFERROR(__xludf.DUMMYFUNCTION("INDEX(IMPORTRANGE(""17pNv02DXDpQT9S3w4-QeNym2QJy2BzMBqDXp-XtzJBM"", ""'GPE'!BH3:BH139""),MATCH($D76,IMPORTRANGE(""17pNv02DXDpQT9S3w4-QeNym2QJy2BzMBqDXp-XtzJBM"", ""'GPE'!D3:D139""),0))"),193)</f>
        <v>193</v>
      </c>
      <c r="AA76" s="12">
        <f ca="1">IFERROR(__xludf.DUMMYFUNCTION("INDEX(IMPORTRANGE(""17pNv02DXDpQT9S3w4-QeNym2QJy2BzMBqDXp-XtzJBM"", ""'GPE'!BI3:BI139""),MATCH($D76,IMPORTRANGE(""17pNv02DXDpQT9S3w4-QeNym2QJy2BzMBqDXp-XtzJBM"", ""'GPE'!D3:D139""),0))"),193)</f>
        <v>193</v>
      </c>
      <c r="AB76" s="2">
        <f ca="1">IFERROR(__xludf.DUMMYFUNCTION("INDEX(IMPORTRANGE(""17pNv02DXDpQT9S3w4-QeNym2QJy2BzMBqDXp-XtzJBM"", ""'GPE'!BJ3:BJ139""),MATCH($D76,IMPORTRANGE(""17pNv02DXDpQT9S3w4-QeNym2QJy2BzMBqDXp-XtzJBM"", ""'GPE'!D3:D139""),0))"),0)</f>
        <v>0</v>
      </c>
      <c r="AC76" s="12">
        <f ca="1">IFERROR(__xludf.DUMMYFUNCTION("INDEX(IMPORTRANGE(""17pNv02DXDpQT9S3w4-QeNym2QJy2BzMBqDXp-XtzJBM"", ""'GPE'!BK3:BK139""),MATCH($D76,IMPORTRANGE(""17pNv02DXDpQT9S3w4-QeNym2QJy2BzMBqDXp-XtzJBM"", ""'GPE'!D3:D139""),0))"),0)</f>
        <v>0</v>
      </c>
      <c r="AD76" s="2">
        <f ca="1">IFERROR(__xludf.DUMMYFUNCTION("INDEX(IMPORTRANGE(""17pNv02DXDpQT9S3w4-QeNym2QJy2BzMBqDXp-XtzJBM"", ""'GPE'!BL3:BL139""),MATCH($D76,IMPORTRANGE(""17pNv02DXDpQT9S3w4-QeNym2QJy2BzMBqDXp-XtzJBM"", ""'GPE'!D3:D139""),0))"),8960)</f>
        <v>8960</v>
      </c>
      <c r="AE76" s="2">
        <f ca="1">IFERROR(__xludf.DUMMYFUNCTION("INDEX(IMPORTRANGE(""17pNv02DXDpQT9S3w4-QeNym2QJy2BzMBqDXp-XtzJBM"", ""'GPE'!BM3:BM139""),MATCH($D76,IMPORTRANGE(""17pNv02DXDpQT9S3w4-QeNym2QJy2BzMBqDXp-XtzJBM"", ""'GPE'!D3:D139""),0))"),8960)</f>
        <v>8960</v>
      </c>
    </row>
    <row r="77" spans="1:31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""'GPE'!BG3:BG139""),MATCH($D77,IMPORTRANGE(""17pNv02DXDpQT9S3w4-QeNym2QJy2BzMBqDXp-XtzJBM"", ""'GPE'!D3:D139""),0))"),"")</f>
        <v/>
      </c>
      <c r="T77" s="6">
        <v>16667</v>
      </c>
      <c r="U77" s="6">
        <v>8333</v>
      </c>
      <c r="V77" s="6">
        <v>16667</v>
      </c>
      <c r="W77" s="6">
        <v>8333</v>
      </c>
      <c r="X77" s="217">
        <f>(W77)/6*5+W77</f>
        <v>15277.166666666666</v>
      </c>
      <c r="Y77" s="4">
        <v>50000</v>
      </c>
      <c r="Z77" s="2">
        <f ca="1">IFERROR(__xludf.DUMMYFUNCTION("INDEX(IMPORTRANGE(""17pNv02DXDpQT9S3w4-QeNym2QJy2BzMBqDXp-XtzJBM"", ""'GPE'!BH3:BH139""),MATCH($D77,IMPORTRANGE(""17pNv02DXDpQT9S3w4-QeNym2QJy2BzMBqDXp-XtzJBM"", ""'GPE'!D3:D139""),0))"),283)</f>
        <v>283</v>
      </c>
      <c r="AA77" s="12">
        <f ca="1">IFERROR(__xludf.DUMMYFUNCTION("INDEX(IMPORTRANGE(""17pNv02DXDpQT9S3w4-QeNym2QJy2BzMBqDXp-XtzJBM"", ""'GPE'!BI3:BI139""),MATCH($D77,IMPORTRANGE(""17pNv02DXDpQT9S3w4-QeNym2QJy2BzMBqDXp-XtzJBM"", ""'GPE'!D3:D139""),0))"),18976)</f>
        <v>18976</v>
      </c>
      <c r="AB77" s="2">
        <f ca="1">IFERROR(__xludf.DUMMYFUNCTION("INDEX(IMPORTRANGE(""17pNv02DXDpQT9S3w4-QeNym2QJy2BzMBqDXp-XtzJBM"", ""'GPE'!BJ3:BJ139""),MATCH($D77,IMPORTRANGE(""17pNv02DXDpQT9S3w4-QeNym2QJy2BzMBqDXp-XtzJBM"", ""'GPE'!D3:D139""),0))"),9295)</f>
        <v>9295</v>
      </c>
      <c r="AC77" s="12">
        <f ca="1">IFERROR(__xludf.DUMMYFUNCTION("INDEX(IMPORTRANGE(""17pNv02DXDpQT9S3w4-QeNym2QJy2BzMBqDXp-XtzJBM"", ""'GPE'!BK3:BK139""),MATCH($D77,IMPORTRANGE(""17pNv02DXDpQT9S3w4-QeNym2QJy2BzMBqDXp-XtzJBM"", ""'GPE'!D3:D139""),0))"),26960)</f>
        <v>26960</v>
      </c>
      <c r="AD77" s="2">
        <f ca="1">IFERROR(__xludf.DUMMYFUNCTION("INDEX(IMPORTRANGE(""17pNv02DXDpQT9S3w4-QeNym2QJy2BzMBqDXp-XtzJBM"", ""'GPE'!BL3:BL139""),MATCH($D77,IMPORTRANGE(""17pNv02DXDpQT9S3w4-QeNym2QJy2BzMBqDXp-XtzJBM"", ""'GPE'!D3:D139""),0))"),8960)</f>
        <v>8960</v>
      </c>
      <c r="AE77" s="2">
        <f ca="1">IFERROR(__xludf.DUMMYFUNCTION("INDEX(IMPORTRANGE(""17pNv02DXDpQT9S3w4-QeNym2QJy2BzMBqDXp-XtzJBM"", ""'GPE'!BM3:BM139""),MATCH($D77,IMPORTRANGE(""17pNv02DXDpQT9S3w4-QeNym2QJy2BzMBqDXp-XtzJBM"", ""'GPE'!D3:D139""),0))"),19730)</f>
        <v>19730</v>
      </c>
    </row>
    <row r="78" spans="1:31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2" t="s">
        <v>366</v>
      </c>
      <c r="P78" s="1" t="s">
        <v>218</v>
      </c>
      <c r="Q78" s="36">
        <v>74396545.189999998</v>
      </c>
      <c r="R78" s="36">
        <v>74396545.189999998</v>
      </c>
      <c r="S78" s="36">
        <f ca="1">IFERROR(__xludf.DUMMYFUNCTION("INDEX(IMPORTRANGE(""17pNv02DXDpQT9S3w4-QeNym2QJy2BzMBqDXp-XtzJBM"", ""'GPE'!BG3:BG139""),MATCH($D78,IMPORTRANGE(""17pNv02DXDpQT9S3w4-QeNym2QJy2BzMBqDXp-XtzJBM"", ""'GPE'!D3:D139""),0))"),60968324.19)</f>
        <v>60968324.189999998</v>
      </c>
      <c r="T78" s="4"/>
      <c r="U78" s="4"/>
      <c r="V78" s="4"/>
      <c r="W78" s="4"/>
      <c r="X78" s="4"/>
      <c r="Y78" s="4"/>
      <c r="Z78" s="36">
        <f ca="1">IFERROR(__xludf.DUMMYFUNCTION("INDEX(IMPORTRANGE(""17pNv02DXDpQT9S3w4-QeNym2QJy2BzMBqDXp-XtzJBM"", ""'GPE'!BH3:BH139""),MATCH($D78,IMPORTRANGE(""17pNv02DXDpQT9S3w4-QeNym2QJy2BzMBqDXp-XtzJBM"", ""'GPE'!D3:D139""),0))"),74396545.19)</f>
        <v>74396545.189999998</v>
      </c>
      <c r="AA78" s="330" t="str">
        <f ca="1">IFERROR(__xludf.DUMMYFUNCTION("INDEX(IMPORTRANGE(""17pNv02DXDpQT9S3w4-QeNym2QJy2BzMBqDXp-XtzJBM"", ""'GPE'!BI3:BI139""),MATCH($D78,IMPORTRANGE(""17pNv02DXDpQT9S3w4-QeNym2QJy2BzMBqDXp-XtzJBM"", ""'GPE'!D3:D139""),0))"),"")</f>
        <v/>
      </c>
      <c r="AB78" s="36">
        <f ca="1">IFERROR(__xludf.DUMMYFUNCTION("INDEX(IMPORTRANGE(""17pNv02DXDpQT9S3w4-QeNym2QJy2BzMBqDXp-XtzJBM"", ""'GPE'!BJ3:BJ139""),MATCH($D78,IMPORTRANGE(""17pNv02DXDpQT9S3w4-QeNym2QJy2BzMBqDXp-XtzJBM"", ""'GPE'!D3:D139""),0))"),120965911.7552)</f>
        <v>120965911.7552</v>
      </c>
      <c r="AC78" s="330" t="str">
        <f ca="1">IFERROR(__xludf.DUMMYFUNCTION("INDEX(IMPORTRANGE(""17pNv02DXDpQT9S3w4-QeNym2QJy2BzMBqDXp-XtzJBM"", ""'GPE'!BK3:BK139""),MATCH($D78,IMPORTRANGE(""17pNv02DXDpQT9S3w4-QeNym2QJy2BzMBqDXp-XtzJBM"", ""'GPE'!D3:D139""),0))"),"")</f>
        <v/>
      </c>
      <c r="AD78" s="36">
        <f ca="1">IFERROR(__xludf.DUMMYFUNCTION("INDEX(IMPORTRANGE(""17pNv02DXDpQT9S3w4-QeNym2QJy2BzMBqDXp-XtzJBM"", ""'GPE'!BL3:BL139""),MATCH($D78,IMPORTRANGE(""17pNv02DXDpQT9S3w4-QeNym2QJy2BzMBqDXp-XtzJBM"", ""'GPE'!D3:D139""),0))"),135294874.829999)</f>
        <v>135294874.829999</v>
      </c>
      <c r="AE78" s="36">
        <f ca="1">IFERROR(__xludf.DUMMYFUNCTION("INDEX(IMPORTRANGE(""17pNv02DXDpQT9S3w4-QeNym2QJy2BzMBqDXp-XtzJBM"", ""'GPE'!BM3:BM139""),MATCH($D78,IMPORTRANGE(""17pNv02DXDpQT9S3w4-QeNym2QJy2BzMBqDXp-XtzJBM"", ""'GPE'!D3:D139""),0))"),293547055.34)</f>
        <v>293547055.33999997</v>
      </c>
    </row>
    <row r="79" spans="1:31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2" t="s">
        <v>366</v>
      </c>
      <c r="P79" s="1" t="s">
        <v>218</v>
      </c>
      <c r="Q79" s="36">
        <v>10029809.779999999</v>
      </c>
      <c r="R79" s="36">
        <v>10029809.779999999</v>
      </c>
      <c r="S79" s="36">
        <f ca="1">IFERROR(__xludf.DUMMYFUNCTION("INDEX(IMPORTRANGE(""17pNv02DXDpQT9S3w4-QeNym2QJy2BzMBqDXp-XtzJBM"", ""'GPE'!BG3:BG139""),MATCH($D79,IMPORTRANGE(""17pNv02DXDpQT9S3w4-QeNym2QJy2BzMBqDXp-XtzJBM"", ""'GPE'!D3:D139""),0))"),10026309.78)</f>
        <v>10026309.779999999</v>
      </c>
      <c r="T79" s="4"/>
      <c r="U79" s="4"/>
      <c r="V79" s="4"/>
      <c r="W79" s="4"/>
      <c r="X79" s="4"/>
      <c r="Y79" s="4"/>
      <c r="Z79" s="36">
        <f ca="1">IFERROR(__xludf.DUMMYFUNCTION("INDEX(IMPORTRANGE(""17pNv02DXDpQT9S3w4-QeNym2QJy2BzMBqDXp-XtzJBM"", ""'GPE'!BH3:BH139""),MATCH($D79,IMPORTRANGE(""17pNv02DXDpQT9S3w4-QeNym2QJy2BzMBqDXp-XtzJBM"", ""'GPE'!D3:D139""),0))"),10029809.78)</f>
        <v>10029809.779999999</v>
      </c>
      <c r="AA79" s="330" t="str">
        <f ca="1">IFERROR(__xludf.DUMMYFUNCTION("INDEX(IMPORTRANGE(""17pNv02DXDpQT9S3w4-QeNym2QJy2BzMBqDXp-XtzJBM"", ""'GPE'!BI3:BI139""),MATCH($D79,IMPORTRANGE(""17pNv02DXDpQT9S3w4-QeNym2QJy2BzMBqDXp-XtzJBM"", ""'GPE'!D3:D139""),0))"),"")</f>
        <v/>
      </c>
      <c r="AB79" s="36">
        <f ca="1">IFERROR(__xludf.DUMMYFUNCTION("INDEX(IMPORTRANGE(""17pNv02DXDpQT9S3w4-QeNym2QJy2BzMBqDXp-XtzJBM"", ""'GPE'!BJ3:BJ139""),MATCH($D79,IMPORTRANGE(""17pNv02DXDpQT9S3w4-QeNym2QJy2BzMBqDXp-XtzJBM"", ""'GPE'!D3:D139""),0))"),82531626.058)</f>
        <v>82531626.057999998</v>
      </c>
      <c r="AC79" s="330" t="str">
        <f ca="1">IFERROR(__xludf.DUMMYFUNCTION("INDEX(IMPORTRANGE(""17pNv02DXDpQT9S3w4-QeNym2QJy2BzMBqDXp-XtzJBM"", ""'GPE'!BK3:BK139""),MATCH($D79,IMPORTRANGE(""17pNv02DXDpQT9S3w4-QeNym2QJy2BzMBqDXp-XtzJBM"", ""'GPE'!D3:D139""),0))"),"")</f>
        <v/>
      </c>
      <c r="AD79" s="36">
        <f ca="1">IFERROR(__xludf.DUMMYFUNCTION("INDEX(IMPORTRANGE(""17pNv02DXDpQT9S3w4-QeNym2QJy2BzMBqDXp-XtzJBM"", ""'GPE'!BL3:BL139""),MATCH($D79,IMPORTRANGE(""17pNv02DXDpQT9S3w4-QeNym2QJy2BzMBqDXp-XtzJBM"", ""'GPE'!D3:D139""),0))"),58681928.14)</f>
        <v>58681928.140000001</v>
      </c>
      <c r="AE79" s="36">
        <f ca="1">IFERROR(__xludf.DUMMYFUNCTION("INDEX(IMPORTRANGE(""17pNv02DXDpQT9S3w4-QeNym2QJy2BzMBqDXp-XtzJBM"", ""'GPE'!BM3:BM139""),MATCH($D79,IMPORTRANGE(""17pNv02DXDpQT9S3w4-QeNym2QJy2BzMBqDXp-XtzJBM"", ""'GPE'!D3:D139""),0))"),120485692.86)</f>
        <v>120485692.86</v>
      </c>
    </row>
    <row r="80" spans="1:31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2" t="s">
        <v>365</v>
      </c>
      <c r="J80" s="7" t="s">
        <v>215</v>
      </c>
      <c r="K80" s="13"/>
      <c r="L80" s="7" t="s">
        <v>216</v>
      </c>
      <c r="M80" s="13"/>
      <c r="N80" s="7" t="s">
        <v>217</v>
      </c>
      <c r="O80" s="2" t="s">
        <v>366</v>
      </c>
      <c r="P80" s="1" t="s">
        <v>218</v>
      </c>
      <c r="Q80" s="15">
        <f t="shared" ref="Q80:R80" si="19">Q79/Q78</f>
        <v>0.13481553147911707</v>
      </c>
      <c r="R80" s="15">
        <f t="shared" si="19"/>
        <v>0.13481553147911707</v>
      </c>
      <c r="S80" s="15">
        <f ca="1">IFERROR(__xludf.DUMMYFUNCTION("INDEX(IMPORTRANGE(""17pNv02DXDpQT9S3w4-QeNym2QJy2BzMBqDXp-XtzJBM"", ""'GPE'!BG3:BG139""),MATCH($D80,IMPORTRANGE(""17pNv02DXDpQT9S3w4-QeNym2QJy2BzMBqDXp-XtzJBM"", ""'GPE'!D3:D139""),0))"),0.164451129553016)</f>
        <v>0.164451129553016</v>
      </c>
      <c r="T80" s="2"/>
      <c r="U80" s="15">
        <v>0.13500000000000001</v>
      </c>
      <c r="V80" s="2"/>
      <c r="W80" s="15">
        <v>0.27</v>
      </c>
      <c r="X80" s="15">
        <f>(Y80-W80)/6*5+W80</f>
        <v>0.37833333333333335</v>
      </c>
      <c r="Y80" s="14">
        <v>0.4</v>
      </c>
      <c r="Z80" s="15">
        <f ca="1">IFERROR(__xludf.DUMMYFUNCTION("INDEX(IMPORTRANGE(""17pNv02DXDpQT9S3w4-QeNym2QJy2BzMBqDXp-XtzJBM"", ""'GPE'!BH3:BH139""),MATCH($D80,IMPORTRANGE(""17pNv02DXDpQT9S3w4-QeNym2QJy2BzMBqDXp-XtzJBM"", ""'GPE'!D3:D139""),0))"),0.134815531479117)</f>
        <v>0.13481553147911701</v>
      </c>
      <c r="AA80" s="352" t="str">
        <f ca="1">IFERROR(__xludf.DUMMYFUNCTION("INDEX(IMPORTRANGE(""17pNv02DXDpQT9S3w4-QeNym2QJy2BzMBqDXp-XtzJBM"", ""'GPE'!BI3:BI139""),MATCH($D80,IMPORTRANGE(""17pNv02DXDpQT9S3w4-QeNym2QJy2BzMBqDXp-XtzJBM"", ""'GPE'!D3:D139""),0))"),"")</f>
        <v/>
      </c>
      <c r="AB80" s="15">
        <f ca="1">IFERROR(__xludf.DUMMYFUNCTION("INDEX(IMPORTRANGE(""17pNv02DXDpQT9S3w4-QeNym2QJy2BzMBqDXp-XtzJBM"", ""'GPE'!BJ3:BJ139""),MATCH($D80,IMPORTRANGE(""17pNv02DXDpQT9S3w4-QeNym2QJy2BzMBqDXp-XtzJBM"", ""'GPE'!D3:D139""),0))"),0.682271764503541)</f>
        <v>0.68227176450354099</v>
      </c>
      <c r="AC80" s="352" t="str">
        <f ca="1">IFERROR(__xludf.DUMMYFUNCTION("INDEX(IMPORTRANGE(""17pNv02DXDpQT9S3w4-QeNym2QJy2BzMBqDXp-XtzJBM"", ""'GPE'!BK3:BK139""),MATCH($D80,IMPORTRANGE(""17pNv02DXDpQT9S3w4-QeNym2QJy2BzMBqDXp-XtzJBM"", ""'GPE'!D3:D139""),0))"),"")</f>
        <v/>
      </c>
      <c r="AD80" s="15">
        <f ca="1">IFERROR(__xludf.DUMMYFUNCTION("INDEX(IMPORTRANGE(""17pNv02DXDpQT9S3w4-QeNym2QJy2BzMBqDXp-XtzJBM"", ""'GPE'!BL3:BL139""),MATCH($D80,IMPORTRANGE(""17pNv02DXDpQT9S3w4-QeNym2QJy2BzMBqDXp-XtzJBM"", ""'GPE'!D3:D139""),0))"),0.43373356317994)</f>
        <v>0.43373356317994</v>
      </c>
      <c r="AE80" s="15">
        <f ca="1">IFERROR(__xludf.DUMMYFUNCTION("INDEX(IMPORTRANGE(""17pNv02DXDpQT9S3w4-QeNym2QJy2BzMBqDXp-XtzJBM"", ""'GPE'!BM3:BM139""),MATCH($D80,IMPORTRANGE(""17pNv02DXDpQT9S3w4-QeNym2QJy2BzMBqDXp-XtzJBM"", ""'GPE'!D3:D139""),0))"),0.410447628985573)</f>
        <v>0.41044762898557302</v>
      </c>
    </row>
    <row r="81" spans="1:31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2">
        <v>0</v>
      </c>
      <c r="R81" s="2">
        <v>0</v>
      </c>
      <c r="S81" s="2">
        <f ca="1">IFERROR(__xludf.DUMMYFUNCTION("INDEX(IMPORTRANGE(""17pNv02DXDpQT9S3w4-QeNym2QJy2BzMBqDXp-XtzJBM"", ""'GPE'!BG3:BG139""),MATCH($D81,IMPORTRANGE(""17pNv02DXDpQT9S3w4-QeNym2QJy2BzMBqDXp-XtzJBM"", ""'GPE'!D3:D139""),0))"),0)</f>
        <v>0</v>
      </c>
      <c r="T81" s="2"/>
      <c r="U81" s="2"/>
      <c r="V81" s="2"/>
      <c r="W81" s="2"/>
      <c r="X81" s="2"/>
      <c r="Y81" s="2"/>
      <c r="Z81" s="2">
        <f ca="1">IFERROR(__xludf.DUMMYFUNCTION("INDEX(IMPORTRANGE(""17pNv02DXDpQT9S3w4-QeNym2QJy2BzMBqDXp-XtzJBM"", ""'GPE'!BH3:BH139""),MATCH($D81,IMPORTRANGE(""17pNv02DXDpQT9S3w4-QeNym2QJy2BzMBqDXp-XtzJBM"", ""'GPE'!D3:D139""),0))"),0)</f>
        <v>0</v>
      </c>
      <c r="AA81" s="12">
        <f ca="1">IFERROR(__xludf.DUMMYFUNCTION("INDEX(IMPORTRANGE(""17pNv02DXDpQT9S3w4-QeNym2QJy2BzMBqDXp-XtzJBM"", ""'GPE'!BI3:BI139""),MATCH($D81,IMPORTRANGE(""17pNv02DXDpQT9S3w4-QeNym2QJy2BzMBqDXp-XtzJBM"", ""'GPE'!D3:D139""),0))"),5)</f>
        <v>5</v>
      </c>
      <c r="AB81" s="2">
        <f ca="1">IFERROR(__xludf.DUMMYFUNCTION("INDEX(IMPORTRANGE(""17pNv02DXDpQT9S3w4-QeNym2QJy2BzMBqDXp-XtzJBM"", ""'GPE'!BJ3:BJ139""),MATCH($D81,IMPORTRANGE(""17pNv02DXDpQT9S3w4-QeNym2QJy2BzMBqDXp-XtzJBM"", ""'GPE'!D3:D139""),0))"),0)</f>
        <v>0</v>
      </c>
      <c r="AC81" s="12">
        <f ca="1">IFERROR(__xludf.DUMMYFUNCTION("INDEX(IMPORTRANGE(""17pNv02DXDpQT9S3w4-QeNym2QJy2BzMBqDXp-XtzJBM"", ""'GPE'!BK3:BK139""),MATCH($D81,IMPORTRANGE(""17pNv02DXDpQT9S3w4-QeNym2QJy2BzMBqDXp-XtzJBM"", ""'GPE'!D3:D139""),0))"),0)</f>
        <v>0</v>
      </c>
      <c r="AD81" s="2">
        <f ca="1">IFERROR(__xludf.DUMMYFUNCTION("INDEX(IMPORTRANGE(""17pNv02DXDpQT9S3w4-QeNym2QJy2BzMBqDXp-XtzJBM"", ""'GPE'!BL3:BL139""),MATCH($D81,IMPORTRANGE(""17pNv02DXDpQT9S3w4-QeNym2QJy2BzMBqDXp-XtzJBM"", ""'GPE'!D3:D139""),0))"),0)</f>
        <v>0</v>
      </c>
      <c r="AE81" s="2">
        <f ca="1">IFERROR(__xludf.DUMMYFUNCTION("INDEX(IMPORTRANGE(""17pNv02DXDpQT9S3w4-QeNym2QJy2BzMBqDXp-XtzJBM"", ""'GPE'!BM3:BM139""),MATCH($D81,IMPORTRANGE(""17pNv02DXDpQT9S3w4-QeNym2QJy2BzMBqDXp-XtzJBM"", ""'GPE'!D3:D139""),0))"),0)</f>
        <v>0</v>
      </c>
    </row>
    <row r="82" spans="1:31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2">
        <v>0</v>
      </c>
      <c r="R82" s="2">
        <v>0</v>
      </c>
      <c r="S82" s="2">
        <f ca="1">IFERROR(__xludf.DUMMYFUNCTION("INDEX(IMPORTRANGE(""17pNv02DXDpQT9S3w4-QeNym2QJy2BzMBqDXp-XtzJBM"", ""'GPE'!BG3:BG139""),MATCH($D82,IMPORTRANGE(""17pNv02DXDpQT9S3w4-QeNym2QJy2BzMBqDXp-XtzJBM"", ""'GPE'!D3:D139""),0))"),0)</f>
        <v>0</v>
      </c>
      <c r="T82" s="2"/>
      <c r="U82" s="2"/>
      <c r="V82" s="2"/>
      <c r="W82" s="2"/>
      <c r="X82" s="2"/>
      <c r="Y82" s="2"/>
      <c r="Z82" s="2">
        <f ca="1">IFERROR(__xludf.DUMMYFUNCTION("INDEX(IMPORTRANGE(""17pNv02DXDpQT9S3w4-QeNym2QJy2BzMBqDXp-XtzJBM"", ""'GPE'!BH3:BH139""),MATCH($D82,IMPORTRANGE(""17pNv02DXDpQT9S3w4-QeNym2QJy2BzMBqDXp-XtzJBM"", ""'GPE'!D3:D139""),0))"),22)</f>
        <v>22</v>
      </c>
      <c r="AA82" s="12">
        <f ca="1">IFERROR(__xludf.DUMMYFUNCTION("INDEX(IMPORTRANGE(""17pNv02DXDpQT9S3w4-QeNym2QJy2BzMBqDXp-XtzJBM"", ""'GPE'!BI3:BI139""),MATCH($D82,IMPORTRANGE(""17pNv02DXDpQT9S3w4-QeNym2QJy2BzMBqDXp-XtzJBM"", ""'GPE'!D3:D139""),0))"),40)</f>
        <v>40</v>
      </c>
      <c r="AB82" s="2">
        <f ca="1">IFERROR(__xludf.DUMMYFUNCTION("INDEX(IMPORTRANGE(""17pNv02DXDpQT9S3w4-QeNym2QJy2BzMBqDXp-XtzJBM"", ""'GPE'!BJ3:BJ139""),MATCH($D82,IMPORTRANGE(""17pNv02DXDpQT9S3w4-QeNym2QJy2BzMBqDXp-XtzJBM"", ""'GPE'!D3:D139""),0))"),17)</f>
        <v>17</v>
      </c>
      <c r="AC82" s="12">
        <f ca="1">IFERROR(__xludf.DUMMYFUNCTION("INDEX(IMPORTRANGE(""17pNv02DXDpQT9S3w4-QeNym2QJy2BzMBqDXp-XtzJBM"", ""'GPE'!BK3:BK139""),MATCH($D82,IMPORTRANGE(""17pNv02DXDpQT9S3w4-QeNym2QJy2BzMBqDXp-XtzJBM"", ""'GPE'!D3:D139""),0))"),50)</f>
        <v>50</v>
      </c>
      <c r="AD82" s="2">
        <f ca="1">IFERROR(__xludf.DUMMYFUNCTION("INDEX(IMPORTRANGE(""17pNv02DXDpQT9S3w4-QeNym2QJy2BzMBqDXp-XtzJBM"", ""'GPE'!BL3:BL139""),MATCH($D82,IMPORTRANGE(""17pNv02DXDpQT9S3w4-QeNym2QJy2BzMBqDXp-XtzJBM"", ""'GPE'!D3:D139""),0))"),24)</f>
        <v>24</v>
      </c>
      <c r="AE82" s="2">
        <f ca="1">IFERROR(__xludf.DUMMYFUNCTION("INDEX(IMPORTRANGE(""17pNv02DXDpQT9S3w4-QeNym2QJy2BzMBqDXp-XtzJBM"", ""'GPE'!BM3:BM139""),MATCH($D82,IMPORTRANGE(""17pNv02DXDpQT9S3w4-QeNym2QJy2BzMBqDXp-XtzJBM"", ""'GPE'!D3:D139""),0))"),54)</f>
        <v>54</v>
      </c>
    </row>
    <row r="83" spans="1:31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2">
        <f t="shared" ref="Q83:R83" si="20">Q81+Q82</f>
        <v>0</v>
      </c>
      <c r="R83" s="2">
        <f t="shared" si="20"/>
        <v>0</v>
      </c>
      <c r="S83" s="2">
        <f ca="1">IFERROR(__xludf.DUMMYFUNCTION("INDEX(IMPORTRANGE(""17pNv02DXDpQT9S3w4-QeNym2QJy2BzMBqDXp-XtzJBM"", ""'GPE'!BG3:BG139""),MATCH($D83,IMPORTRANGE(""17pNv02DXDpQT9S3w4-QeNym2QJy2BzMBqDXp-XtzJBM"", ""'GPE'!D3:D139""),0))"),0)</f>
        <v>0</v>
      </c>
      <c r="T83" s="4">
        <v>8</v>
      </c>
      <c r="U83" s="4">
        <v>8</v>
      </c>
      <c r="V83" s="4">
        <v>16</v>
      </c>
      <c r="W83" s="4">
        <v>8</v>
      </c>
      <c r="X83" s="4">
        <f>W83*2</f>
        <v>16</v>
      </c>
      <c r="Y83" s="4">
        <v>40</v>
      </c>
      <c r="Z83" s="2">
        <f ca="1">IFERROR(__xludf.DUMMYFUNCTION("INDEX(IMPORTRANGE(""17pNv02DXDpQT9S3w4-QeNym2QJy2BzMBqDXp-XtzJBM"", ""'GPE'!BH3:BH139""),MATCH($D83,IMPORTRANGE(""17pNv02DXDpQT9S3w4-QeNym2QJy2BzMBqDXp-XtzJBM"", ""'GPE'!D3:D139""),0))"),22)</f>
        <v>22</v>
      </c>
      <c r="AA83" s="12">
        <f ca="1">IFERROR(__xludf.DUMMYFUNCTION("INDEX(IMPORTRANGE(""17pNv02DXDpQT9S3w4-QeNym2QJy2BzMBqDXp-XtzJBM"", ""'GPE'!BI3:BI139""),MATCH($D83,IMPORTRANGE(""17pNv02DXDpQT9S3w4-QeNym2QJy2BzMBqDXp-XtzJBM"", ""'GPE'!D3:D139""),0))"),45)</f>
        <v>45</v>
      </c>
      <c r="AB83" s="2">
        <f ca="1">IFERROR(__xludf.DUMMYFUNCTION("INDEX(IMPORTRANGE(""17pNv02DXDpQT9S3w4-QeNym2QJy2BzMBqDXp-XtzJBM"", ""'GPE'!BJ3:BJ139""),MATCH($D83,IMPORTRANGE(""17pNv02DXDpQT9S3w4-QeNym2QJy2BzMBqDXp-XtzJBM"", ""'GPE'!D3:D139""),0))"),17)</f>
        <v>17</v>
      </c>
      <c r="AC83" s="12">
        <f ca="1">IFERROR(__xludf.DUMMYFUNCTION("INDEX(IMPORTRANGE(""17pNv02DXDpQT9S3w4-QeNym2QJy2BzMBqDXp-XtzJBM"", ""'GPE'!BK3:BK139""),MATCH($D83,IMPORTRANGE(""17pNv02DXDpQT9S3w4-QeNym2QJy2BzMBqDXp-XtzJBM"", ""'GPE'!D3:D139""),0))"),50)</f>
        <v>50</v>
      </c>
      <c r="AD83" s="2">
        <f ca="1">IFERROR(__xludf.DUMMYFUNCTION("INDEX(IMPORTRANGE(""17pNv02DXDpQT9S3w4-QeNym2QJy2BzMBqDXp-XtzJBM"", ""'GPE'!BL3:BL139""),MATCH($D83,IMPORTRANGE(""17pNv02DXDpQT9S3w4-QeNym2QJy2BzMBqDXp-XtzJBM"", ""'GPE'!D3:D139""),0))"),24)</f>
        <v>24</v>
      </c>
      <c r="AE83" s="2">
        <f ca="1">IFERROR(__xludf.DUMMYFUNCTION("INDEX(IMPORTRANGE(""17pNv02DXDpQT9S3w4-QeNym2QJy2BzMBqDXp-XtzJBM"", ""'GPE'!BM3:BM139""),MATCH($D83,IMPORTRANGE(""17pNv02DXDpQT9S3w4-QeNym2QJy2BzMBqDXp-XtzJBM"", ""'GPE'!D3:D139""),0))"),54)</f>
        <v>54</v>
      </c>
    </row>
    <row r="84" spans="1:31">
      <c r="A84" s="7" t="s">
        <v>199</v>
      </c>
      <c r="B84" s="7" t="s">
        <v>228</v>
      </c>
      <c r="C84" s="1" t="s">
        <v>30</v>
      </c>
      <c r="D84" s="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99</v>
      </c>
      <c r="R84" s="2">
        <v>212</v>
      </c>
      <c r="S84" s="2">
        <f ca="1">IFERROR(__xludf.DUMMYFUNCTION("INDEX(IMPORTRANGE(""17pNv02DXDpQT9S3w4-QeNym2QJy2BzMBqDXp-XtzJBM"", ""'GPE'!BG3:BG139""),MATCH($D84,IMPORTRANGE(""17pNv02DXDpQT9S3w4-QeNym2QJy2BzMBqDXp-XtzJBM"", ""'GPE'!D3:D139""),0))"),190)</f>
        <v>190</v>
      </c>
      <c r="T84" s="4"/>
      <c r="U84" s="4"/>
      <c r="V84" s="4"/>
      <c r="W84" s="4"/>
      <c r="X84" s="4"/>
      <c r="Y84" s="4"/>
      <c r="Z84" s="2">
        <f ca="1">IFERROR(__xludf.DUMMYFUNCTION("INDEX(IMPORTRANGE(""17pNv02DXDpQT9S3w4-QeNym2QJy2BzMBqDXp-XtzJBM"", ""'GPE'!BH3:BH139""),MATCH($D84,IMPORTRANGE(""17pNv02DXDpQT9S3w4-QeNym2QJy2BzMBqDXp-XtzJBM"", ""'GPE'!D3:D139""),0))"),133)</f>
        <v>133</v>
      </c>
      <c r="AA84" s="12">
        <f ca="1">IFERROR(__xludf.DUMMYFUNCTION("INDEX(IMPORTRANGE(""17pNv02DXDpQT9S3w4-QeNym2QJy2BzMBqDXp-XtzJBM"", ""'GPE'!BI3:BI139""),MATCH($D84,IMPORTRANGE(""17pNv02DXDpQT9S3w4-QeNym2QJy2BzMBqDXp-XtzJBM"", ""'GPE'!D3:D139""),0))"),238)</f>
        <v>238</v>
      </c>
      <c r="AB84" s="2">
        <f ca="1">IFERROR(__xludf.DUMMYFUNCTION("INDEX(IMPORTRANGE(""17pNv02DXDpQT9S3w4-QeNym2QJy2BzMBqDXp-XtzJBM"", ""'GPE'!BJ3:BJ139""),MATCH($D84,IMPORTRANGE(""17pNv02DXDpQT9S3w4-QeNym2QJy2BzMBqDXp-XtzJBM"", ""'GPE'!D3:D139""),0))"),124)</f>
        <v>124</v>
      </c>
      <c r="AC84" s="12">
        <f ca="1">IFERROR(__xludf.DUMMYFUNCTION("INDEX(IMPORTRANGE(""17pNv02DXDpQT9S3w4-QeNym2QJy2BzMBqDXp-XtzJBM"", ""'GPE'!BK3:BK139""),MATCH($D84,IMPORTRANGE(""17pNv02DXDpQT9S3w4-QeNym2QJy2BzMBqDXp-XtzJBM"", ""'GPE'!D3:D139""),0))"),216)</f>
        <v>216</v>
      </c>
      <c r="AD84" s="2">
        <f ca="1">IFERROR(__xludf.DUMMYFUNCTION("INDEX(IMPORTRANGE(""17pNv02DXDpQT9S3w4-QeNym2QJy2BzMBqDXp-XtzJBM"", ""'GPE'!BL3:BL139""),MATCH($D84,IMPORTRANGE(""17pNv02DXDpQT9S3w4-QeNym2QJy2BzMBqDXp-XtzJBM"", ""'GPE'!D3:D139""),0))"),72)</f>
        <v>72</v>
      </c>
      <c r="AE84" s="2">
        <f ca="1">IFERROR(__xludf.DUMMYFUNCTION("INDEX(IMPORTRANGE(""17pNv02DXDpQT9S3w4-QeNym2QJy2BzMBqDXp-XtzJBM"", ""'GPE'!BM3:BM139""),MATCH($D84,IMPORTRANGE(""17pNv02DXDpQT9S3w4-QeNym2QJy2BzMBqDXp-XtzJBM"", ""'GPE'!D3:D139""),0))"),150)</f>
        <v>150</v>
      </c>
    </row>
    <row r="85" spans="1:31">
      <c r="A85" s="7" t="s">
        <v>199</v>
      </c>
      <c r="B85" s="7" t="s">
        <v>228</v>
      </c>
      <c r="C85" s="1" t="s">
        <v>30</v>
      </c>
      <c r="D85" s="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9</v>
      </c>
      <c r="R85" s="2">
        <v>31</v>
      </c>
      <c r="S85" s="2">
        <f ca="1">IFERROR(__xludf.DUMMYFUNCTION("INDEX(IMPORTRANGE(""17pNv02DXDpQT9S3w4-QeNym2QJy2BzMBqDXp-XtzJBM"", ""'GPE'!BG3:BG139""),MATCH($D85,IMPORTRANGE(""17pNv02DXDpQT9S3w4-QeNym2QJy2BzMBqDXp-XtzJBM"", ""'GPE'!D3:D139""),0))"),27)</f>
        <v>27</v>
      </c>
      <c r="T85" s="4"/>
      <c r="U85" s="4"/>
      <c r="V85" s="4"/>
      <c r="W85" s="4"/>
      <c r="X85" s="4"/>
      <c r="Y85" s="4"/>
      <c r="Z85" s="2">
        <f ca="1">IFERROR(__xludf.DUMMYFUNCTION("INDEX(IMPORTRANGE(""17pNv02DXDpQT9S3w4-QeNym2QJy2BzMBqDXp-XtzJBM"", ""'GPE'!BH3:BH139""),MATCH($D85,IMPORTRANGE(""17pNv02DXDpQT9S3w4-QeNym2QJy2BzMBqDXp-XtzJBM"", ""'GPE'!D3:D139""),0))"),20)</f>
        <v>20</v>
      </c>
      <c r="AA85" s="12">
        <f ca="1">IFERROR(__xludf.DUMMYFUNCTION("INDEX(IMPORTRANGE(""17pNv02DXDpQT9S3w4-QeNym2QJy2BzMBqDXp-XtzJBM"", ""'GPE'!BI3:BI139""),MATCH($D85,IMPORTRANGE(""17pNv02DXDpQT9S3w4-QeNym2QJy2BzMBqDXp-XtzJBM"", ""'GPE'!D3:D139""),0))"),37)</f>
        <v>37</v>
      </c>
      <c r="AB85" s="2">
        <f ca="1">IFERROR(__xludf.DUMMYFUNCTION("INDEX(IMPORTRANGE(""17pNv02DXDpQT9S3w4-QeNym2QJy2BzMBqDXp-XtzJBM"", ""'GPE'!BJ3:BJ139""),MATCH($D85,IMPORTRANGE(""17pNv02DXDpQT9S3w4-QeNym2QJy2BzMBqDXp-XtzJBM"", ""'GPE'!D3:D139""),0))"),13)</f>
        <v>13</v>
      </c>
      <c r="AC85" s="12">
        <f ca="1">IFERROR(__xludf.DUMMYFUNCTION("INDEX(IMPORTRANGE(""17pNv02DXDpQT9S3w4-QeNym2QJy2BzMBqDXp-XtzJBM"", ""'GPE'!BK3:BK139""),MATCH($D85,IMPORTRANGE(""17pNv02DXDpQT9S3w4-QeNym2QJy2BzMBqDXp-XtzJBM"", ""'GPE'!D3:D139""),0))"),31)</f>
        <v>31</v>
      </c>
      <c r="AD85" s="2">
        <f ca="1">IFERROR(__xludf.DUMMYFUNCTION("INDEX(IMPORTRANGE(""17pNv02DXDpQT9S3w4-QeNym2QJy2BzMBqDXp-XtzJBM"", ""'GPE'!BL3:BL139""),MATCH($D85,IMPORTRANGE(""17pNv02DXDpQT9S3w4-QeNym2QJy2BzMBqDXp-XtzJBM"", ""'GPE'!D3:D139""),0))"),3)</f>
        <v>3</v>
      </c>
      <c r="AE85" s="2">
        <f ca="1">IFERROR(__xludf.DUMMYFUNCTION("INDEX(IMPORTRANGE(""17pNv02DXDpQT9S3w4-QeNym2QJy2BzMBqDXp-XtzJBM"", ""'GPE'!BM3:BM139""),MATCH($D85,IMPORTRANGE(""17pNv02DXDpQT9S3w4-QeNym2QJy2BzMBqDXp-XtzJBM"", ""'GPE'!D3:D139""),0))"),15)</f>
        <v>15</v>
      </c>
    </row>
    <row r="86" spans="1:31">
      <c r="A86" s="7" t="s">
        <v>199</v>
      </c>
      <c r="B86" s="7" t="s">
        <v>228</v>
      </c>
      <c r="C86" s="1" t="s">
        <v>30</v>
      </c>
      <c r="D86" s="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1298</v>
      </c>
      <c r="R86" s="12">
        <v>2765</v>
      </c>
      <c r="S86" s="12">
        <f ca="1">IFERROR(__xludf.DUMMYFUNCTION("INDEX(IMPORTRANGE(""17pNv02DXDpQT9S3w4-QeNym2QJy2BzMBqDXp-XtzJBM"", ""'GPE'!BG3:BG139""),MATCH($D86,IMPORTRANGE(""17pNv02DXDpQT9S3w4-QeNym2QJy2BzMBqDXp-XtzJBM"", ""'GPE'!D3:D139""),0))"),2527)</f>
        <v>2527</v>
      </c>
      <c r="T86" s="4"/>
      <c r="U86" s="4"/>
      <c r="V86" s="4"/>
      <c r="W86" s="4"/>
      <c r="X86" s="4"/>
      <c r="Y86" s="4"/>
      <c r="Z86" s="2">
        <f ca="1">IFERROR(__xludf.DUMMYFUNCTION("INDEX(IMPORTRANGE(""17pNv02DXDpQT9S3w4-QeNym2QJy2BzMBqDXp-XtzJBM"", ""'GPE'!BH3:BH139""),MATCH($D86,IMPORTRANGE(""17pNv02DXDpQT9S3w4-QeNym2QJy2BzMBqDXp-XtzJBM"", ""'GPE'!D3:D139""),0))"),2591)</f>
        <v>2591</v>
      </c>
      <c r="AA86" s="12">
        <f ca="1">IFERROR(__xludf.DUMMYFUNCTION("INDEX(IMPORTRANGE(""17pNv02DXDpQT9S3w4-QeNym2QJy2BzMBqDXp-XtzJBM"", ""'GPE'!BI3:BI139""),MATCH($D86,IMPORTRANGE(""17pNv02DXDpQT9S3w4-QeNym2QJy2BzMBqDXp-XtzJBM"", ""'GPE'!D3:D139""),0))"),4640)</f>
        <v>4640</v>
      </c>
      <c r="AB86" s="2">
        <f ca="1">IFERROR(__xludf.DUMMYFUNCTION("INDEX(IMPORTRANGE(""17pNv02DXDpQT9S3w4-QeNym2QJy2BzMBqDXp-XtzJBM"", ""'GPE'!BJ3:BJ139""),MATCH($D86,IMPORTRANGE(""17pNv02DXDpQT9S3w4-QeNym2QJy2BzMBqDXp-XtzJBM"", ""'GPE'!D3:D139""),0))"),1268)</f>
        <v>1268</v>
      </c>
      <c r="AC86" s="12">
        <f ca="1">IFERROR(__xludf.DUMMYFUNCTION("INDEX(IMPORTRANGE(""17pNv02DXDpQT9S3w4-QeNym2QJy2BzMBqDXp-XtzJBM"", ""'GPE'!BK3:BK139""),MATCH($D86,IMPORTRANGE(""17pNv02DXDpQT9S3w4-QeNym2QJy2BzMBqDXp-XtzJBM"", ""'GPE'!D3:D139""),0))"),2946)</f>
        <v>2946</v>
      </c>
      <c r="AD86" s="2">
        <f ca="1">IFERROR(__xludf.DUMMYFUNCTION("INDEX(IMPORTRANGE(""17pNv02DXDpQT9S3w4-QeNym2QJy2BzMBqDXp-XtzJBM"", ""'GPE'!BL3:BL139""),MATCH($D86,IMPORTRANGE(""17pNv02DXDpQT9S3w4-QeNym2QJy2BzMBqDXp-XtzJBM"", ""'GPE'!D3:D139""),0))"),965)</f>
        <v>965</v>
      </c>
      <c r="AE86" s="2">
        <f ca="1">IFERROR(__xludf.DUMMYFUNCTION("INDEX(IMPORTRANGE(""17pNv02DXDpQT9S3w4-QeNym2QJy2BzMBqDXp-XtzJBM"", ""'GPE'!BM3:BM139""),MATCH($D86,IMPORTRANGE(""17pNv02DXDpQT9S3w4-QeNym2QJy2BzMBqDXp-XtzJBM"", ""'GPE'!D3:D139""),0))"),1835)</f>
        <v>1835</v>
      </c>
    </row>
    <row r="87" spans="1:31">
      <c r="A87" s="7" t="s">
        <v>199</v>
      </c>
      <c r="B87" s="7" t="s">
        <v>228</v>
      </c>
      <c r="C87" s="1" t="s">
        <v>30</v>
      </c>
      <c r="D87" s="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167</v>
      </c>
      <c r="R87" s="2">
        <v>368</v>
      </c>
      <c r="S87" s="2">
        <f ca="1">IFERROR(__xludf.DUMMYFUNCTION("INDEX(IMPORTRANGE(""17pNv02DXDpQT9S3w4-QeNym2QJy2BzMBqDXp-XtzJBM"", ""'GPE'!BG3:BG139""),MATCH($D87,IMPORTRANGE(""17pNv02DXDpQT9S3w4-QeNym2QJy2BzMBqDXp-XtzJBM"", ""'GPE'!D3:D139""),0))"),328)</f>
        <v>328</v>
      </c>
      <c r="T87" s="4"/>
      <c r="U87" s="4"/>
      <c r="V87" s="4"/>
      <c r="W87" s="4"/>
      <c r="X87" s="4"/>
      <c r="Y87" s="4"/>
      <c r="Z87" s="2">
        <f ca="1">IFERROR(__xludf.DUMMYFUNCTION("INDEX(IMPORTRANGE(""17pNv02DXDpQT9S3w4-QeNym2QJy2BzMBqDXp-XtzJBM"", ""'GPE'!BH3:BH139""),MATCH($D87,IMPORTRANGE(""17pNv02DXDpQT9S3w4-QeNym2QJy2BzMBqDXp-XtzJBM"", ""'GPE'!D3:D139""),0))"),351)</f>
        <v>351</v>
      </c>
      <c r="AA87" s="12">
        <f ca="1">IFERROR(__xludf.DUMMYFUNCTION("INDEX(IMPORTRANGE(""17pNv02DXDpQT9S3w4-QeNym2QJy2BzMBqDXp-XtzJBM"", ""'GPE'!BI3:BI139""),MATCH($D87,IMPORTRANGE(""17pNv02DXDpQT9S3w4-QeNym2QJy2BzMBqDXp-XtzJBM"", ""'GPE'!D3:D139""),0))"),663)</f>
        <v>663</v>
      </c>
      <c r="AB87" s="2">
        <f ca="1">IFERROR(__xludf.DUMMYFUNCTION("INDEX(IMPORTRANGE(""17pNv02DXDpQT9S3w4-QeNym2QJy2BzMBqDXp-XtzJBM"", ""'GPE'!BJ3:BJ139""),MATCH($D87,IMPORTRANGE(""17pNv02DXDpQT9S3w4-QeNym2QJy2BzMBqDXp-XtzJBM"", ""'GPE'!D3:D139""),0))"),242)</f>
        <v>242</v>
      </c>
      <c r="AC87" s="12">
        <f ca="1">IFERROR(__xludf.DUMMYFUNCTION("INDEX(IMPORTRANGE(""17pNv02DXDpQT9S3w4-QeNym2QJy2BzMBqDXp-XtzJBM"", ""'GPE'!BK3:BK139""),MATCH($D87,IMPORTRANGE(""17pNv02DXDpQT9S3w4-QeNym2QJy2BzMBqDXp-XtzJBM"", ""'GPE'!D3:D139""),0))"),532)</f>
        <v>532</v>
      </c>
      <c r="AD87" s="2">
        <f ca="1">IFERROR(__xludf.DUMMYFUNCTION("INDEX(IMPORTRANGE(""17pNv02DXDpQT9S3w4-QeNym2QJy2BzMBqDXp-XtzJBM"", ""'GPE'!BL3:BL139""),MATCH($D87,IMPORTRANGE(""17pNv02DXDpQT9S3w4-QeNym2QJy2BzMBqDXp-XtzJBM"", ""'GPE'!D3:D139""),0))"),196)</f>
        <v>196</v>
      </c>
      <c r="AE87" s="2">
        <f ca="1">IFERROR(__xludf.DUMMYFUNCTION("INDEX(IMPORTRANGE(""17pNv02DXDpQT9S3w4-QeNym2QJy2BzMBqDXp-XtzJBM"", ""'GPE'!BM3:BM139""),MATCH($D87,IMPORTRANGE(""17pNv02DXDpQT9S3w4-QeNym2QJy2BzMBqDXp-XtzJBM"", ""'GPE'!D3:D139""),0))"),401)</f>
        <v>401</v>
      </c>
    </row>
    <row r="88" spans="1:31">
      <c r="A88" s="7" t="s">
        <v>199</v>
      </c>
      <c r="B88" s="7" t="s">
        <v>228</v>
      </c>
      <c r="C88" s="1" t="s">
        <v>30</v>
      </c>
      <c r="D88" s="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920</v>
      </c>
      <c r="R88" s="12">
        <v>1862</v>
      </c>
      <c r="S88" s="12">
        <f ca="1">IFERROR(__xludf.DUMMYFUNCTION("INDEX(IMPORTRANGE(""17pNv02DXDpQT9S3w4-QeNym2QJy2BzMBqDXp-XtzJBM"", ""'GPE'!BG3:BG139""),MATCH($D88,IMPORTRANGE(""17pNv02DXDpQT9S3w4-QeNym2QJy2BzMBqDXp-XtzJBM"", ""'GPE'!D3:D139""),0))"),1679)</f>
        <v>1679</v>
      </c>
      <c r="T88" s="4"/>
      <c r="U88" s="4"/>
      <c r="V88" s="4"/>
      <c r="W88" s="4"/>
      <c r="X88" s="4"/>
      <c r="Y88" s="4"/>
      <c r="Z88" s="2">
        <f ca="1">IFERROR(__xludf.DUMMYFUNCTION("INDEX(IMPORTRANGE(""17pNv02DXDpQT9S3w4-QeNym2QJy2BzMBqDXp-XtzJBM"", ""'GPE'!BH3:BH139""),MATCH($D88,IMPORTRANGE(""17pNv02DXDpQT9S3w4-QeNym2QJy2BzMBqDXp-XtzJBM"", ""'GPE'!D3:D139""),0))"),177)</f>
        <v>177</v>
      </c>
      <c r="AA88" s="12">
        <f ca="1">IFERROR(__xludf.DUMMYFUNCTION("INDEX(IMPORTRANGE(""17pNv02DXDpQT9S3w4-QeNym2QJy2BzMBqDXp-XtzJBM"", ""'GPE'!BI3:BI139""),MATCH($D88,IMPORTRANGE(""17pNv02DXDpQT9S3w4-QeNym2QJy2BzMBqDXp-XtzJBM"", ""'GPE'!D3:D139""),0))"),316)</f>
        <v>316</v>
      </c>
      <c r="AB88" s="2">
        <f ca="1">IFERROR(__xludf.DUMMYFUNCTION("INDEX(IMPORTRANGE(""17pNv02DXDpQT9S3w4-QeNym2QJy2BzMBqDXp-XtzJBM"", ""'GPE'!BJ3:BJ139""),MATCH($D88,IMPORTRANGE(""17pNv02DXDpQT9S3w4-QeNym2QJy2BzMBqDXp-XtzJBM"", ""'GPE'!D3:D139""),0))"),68)</f>
        <v>68</v>
      </c>
      <c r="AC88" s="12">
        <f ca="1">IFERROR(__xludf.DUMMYFUNCTION("INDEX(IMPORTRANGE(""17pNv02DXDpQT9S3w4-QeNym2QJy2BzMBqDXp-XtzJBM"", ""'GPE'!BK3:BK139""),MATCH($D88,IMPORTRANGE(""17pNv02DXDpQT9S3w4-QeNym2QJy2BzMBqDXp-XtzJBM"", ""'GPE'!D3:D139""),0))"),147)</f>
        <v>147</v>
      </c>
      <c r="AD88" s="2">
        <f ca="1">IFERROR(__xludf.DUMMYFUNCTION("INDEX(IMPORTRANGE(""17pNv02DXDpQT9S3w4-QeNym2QJy2BzMBqDXp-XtzJBM"", ""'GPE'!BL3:BL139""),MATCH($D88,IMPORTRANGE(""17pNv02DXDpQT9S3w4-QeNym2QJy2BzMBqDXp-XtzJBM"", ""'GPE'!D3:D139""),0))"),50)</f>
        <v>50</v>
      </c>
      <c r="AE88" s="2">
        <f ca="1">IFERROR(__xludf.DUMMYFUNCTION("INDEX(IMPORTRANGE(""17pNv02DXDpQT9S3w4-QeNym2QJy2BzMBqDXp-XtzJBM"", ""'GPE'!BM3:BM139""),MATCH($D88,IMPORTRANGE(""17pNv02DXDpQT9S3w4-QeNym2QJy2BzMBqDXp-XtzJBM"", ""'GPE'!D3:D139""),0))"),109)</f>
        <v>109</v>
      </c>
    </row>
    <row r="89" spans="1:31">
      <c r="A89" s="7" t="s">
        <v>199</v>
      </c>
      <c r="B89" s="7" t="s">
        <v>228</v>
      </c>
      <c r="C89" s="1" t="s">
        <v>36</v>
      </c>
      <c r="D89" s="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v>2493</v>
      </c>
      <c r="R89" s="2">
        <v>5238</v>
      </c>
      <c r="S89" s="2">
        <f ca="1">IFERROR(__xludf.DUMMYFUNCTION("INDEX(IMPORTRANGE(""17pNv02DXDpQT9S3w4-QeNym2QJy2BzMBqDXp-XtzJBM"", ""'GPE'!BG3:BG139""),MATCH($D89,IMPORTRANGE(""17pNv02DXDpQT9S3w4-QeNym2QJy2BzMBqDXp-XtzJBM"", ""'GPE'!D3:D139""),0))"),4751)</f>
        <v>4751</v>
      </c>
      <c r="T89" s="29">
        <f>(1-0.1%)*R89</f>
        <v>5232.7619999999997</v>
      </c>
      <c r="U89" s="29">
        <f>(1-0.25%)*Q89</f>
        <v>2486.7674999999999</v>
      </c>
      <c r="V89" s="29">
        <f>(1-0.4%)*R89</f>
        <v>5217.0479999999998</v>
      </c>
      <c r="W89" s="29">
        <f>(1-0.6%)*Q89</f>
        <v>2478.0419999999999</v>
      </c>
      <c r="X89" s="24">
        <f ca="1">+S89*(1+(Y89-R89)/R89)</f>
        <v>4703.8346697212673</v>
      </c>
      <c r="Y89" s="29">
        <v>5186</v>
      </c>
      <c r="Z89" s="2">
        <f ca="1">IFERROR(__xludf.DUMMYFUNCTION("INDEX(IMPORTRANGE(""17pNv02DXDpQT9S3w4-QeNym2QJy2BzMBqDXp-XtzJBM"", ""'GPE'!BH3:BH139""),MATCH($D89,IMPORTRANGE(""17pNv02DXDpQT9S3w4-QeNym2QJy2BzMBqDXp-XtzJBM"", ""'GPE'!D3:D139""),0))"),3272)</f>
        <v>3272</v>
      </c>
      <c r="AA89" s="12">
        <f ca="1">IFERROR(__xludf.DUMMYFUNCTION("INDEX(IMPORTRANGE(""17pNv02DXDpQT9S3w4-QeNym2QJy2BzMBqDXp-XtzJBM"", ""'GPE'!BI3:BI139""),MATCH($D89,IMPORTRANGE(""17pNv02DXDpQT9S3w4-QeNym2QJy2BzMBqDXp-XtzJBM"", ""'GPE'!D3:D139""),0))"),5894)</f>
        <v>5894</v>
      </c>
      <c r="AB89" s="2">
        <f ca="1">IFERROR(__xludf.DUMMYFUNCTION("INDEX(IMPORTRANGE(""17pNv02DXDpQT9S3w4-QeNym2QJy2BzMBqDXp-XtzJBM"", ""'GPE'!BJ3:BJ139""),MATCH($D89,IMPORTRANGE(""17pNv02DXDpQT9S3w4-QeNym2QJy2BzMBqDXp-XtzJBM"", ""'GPE'!D3:D139""),0))"),1715)</f>
        <v>1715</v>
      </c>
      <c r="AC89" s="12">
        <f ca="1">IFERROR(__xludf.DUMMYFUNCTION("INDEX(IMPORTRANGE(""17pNv02DXDpQT9S3w4-QeNym2QJy2BzMBqDXp-XtzJBM"", ""'GPE'!BK3:BK139""),MATCH($D89,IMPORTRANGE(""17pNv02DXDpQT9S3w4-QeNym2QJy2BzMBqDXp-XtzJBM"", ""'GPE'!D3:D139""),0))"),3872)</f>
        <v>3872</v>
      </c>
      <c r="AD89" s="2">
        <f ca="1">IFERROR(__xludf.DUMMYFUNCTION("INDEX(IMPORTRANGE(""17pNv02DXDpQT9S3w4-QeNym2QJy2BzMBqDXp-XtzJBM"", ""'GPE'!BL3:BL139""),MATCH($D89,IMPORTRANGE(""17pNv02DXDpQT9S3w4-QeNym2QJy2BzMBqDXp-XtzJBM"", ""'GPE'!D3:D139""),0))"),1286)</f>
        <v>1286</v>
      </c>
      <c r="AE89" s="2">
        <f ca="1">IFERROR(__xludf.DUMMYFUNCTION("INDEX(IMPORTRANGE(""17pNv02DXDpQT9S3w4-QeNym2QJy2BzMBqDXp-XtzJBM"", ""'GPE'!BM3:BM139""),MATCH($D89,IMPORTRANGE(""17pNv02DXDpQT9S3w4-QeNym2QJy2BzMBqDXp-XtzJBM"", ""'GPE'!D3:D139""),0))"),2510)</f>
        <v>2510</v>
      </c>
    </row>
    <row r="90" spans="1:31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0</v>
      </c>
      <c r="R90" s="2">
        <v>0</v>
      </c>
      <c r="S90" s="2">
        <f ca="1">IFERROR(__xludf.DUMMYFUNCTION("INDEX(IMPORTRANGE(""17pNv02DXDpQT9S3w4-QeNym2QJy2BzMBqDXp-XtzJBM"", ""'GPE'!BG3:BG139""),MATCH($D90,IMPORTRANGE(""17pNv02DXDpQT9S3w4-QeNym2QJy2BzMBqDXp-XtzJBM"", ""'GPE'!D3:D139""),0))"),0)</f>
        <v>0</v>
      </c>
      <c r="T90" s="2">
        <v>10</v>
      </c>
      <c r="U90" s="2">
        <v>10</v>
      </c>
      <c r="V90" s="2">
        <v>10</v>
      </c>
      <c r="W90" s="2">
        <v>10</v>
      </c>
      <c r="X90" s="2">
        <v>10</v>
      </c>
      <c r="Y90" s="2">
        <v>10</v>
      </c>
      <c r="Z90" s="2">
        <f ca="1">IFERROR(__xludf.DUMMYFUNCTION("INDEX(IMPORTRANGE(""17pNv02DXDpQT9S3w4-QeNym2QJy2BzMBqDXp-XtzJBM"", ""'GPE'!BH3:BH139""),MATCH($D90,IMPORTRANGE(""17pNv02DXDpQT9S3w4-QeNym2QJy2BzMBqDXp-XtzJBM"", ""'GPE'!D3:D139""),0))"),3)</f>
        <v>3</v>
      </c>
      <c r="AA90" s="2">
        <f ca="1">IFERROR(__xludf.DUMMYFUNCTION("INDEX(IMPORTRANGE(""17pNv02DXDpQT9S3w4-QeNym2QJy2BzMBqDXp-XtzJBM"", ""'GPE'!BI3:BI139""),MATCH($D90,IMPORTRANGE(""17pNv02DXDpQT9S3w4-QeNym2QJy2BzMBqDXp-XtzJBM"", ""'GPE'!D3:D139""),0))"),17)</f>
        <v>17</v>
      </c>
      <c r="AB90" s="2">
        <f ca="1">IFERROR(__xludf.DUMMYFUNCTION("INDEX(IMPORTRANGE(""17pNv02DXDpQT9S3w4-QeNym2QJy2BzMBqDXp-XtzJBM"", ""'GPE'!BJ3:BJ139""),MATCH($D90,IMPORTRANGE(""17pNv02DXDpQT9S3w4-QeNym2QJy2BzMBqDXp-XtzJBM"", ""'GPE'!D3:D139""),0))"),15)</f>
        <v>15</v>
      </c>
      <c r="AC90" s="2">
        <f ca="1">IFERROR(__xludf.DUMMYFUNCTION("INDEX(IMPORTRANGE(""17pNv02DXDpQT9S3w4-QeNym2QJy2BzMBqDXp-XtzJBM"", ""'GPE'!BK3:BK139""),MATCH($D90,IMPORTRANGE(""17pNv02DXDpQT9S3w4-QeNym2QJy2BzMBqDXp-XtzJBM"", ""'GPE'!D3:D139""),0))"),33)</f>
        <v>33</v>
      </c>
      <c r="AD90" s="2">
        <f ca="1">IFERROR(__xludf.DUMMYFUNCTION("INDEX(IMPORTRANGE(""17pNv02DXDpQT9S3w4-QeNym2QJy2BzMBqDXp-XtzJBM"", ""'GPE'!BL3:BL139""),MATCH($D90,IMPORTRANGE(""17pNv02DXDpQT9S3w4-QeNym2QJy2BzMBqDXp-XtzJBM"", ""'GPE'!D3:D139""),0))"),19)</f>
        <v>19</v>
      </c>
      <c r="AE90" s="2">
        <f ca="1">IFERROR(__xludf.DUMMYFUNCTION("INDEX(IMPORTRANGE(""17pNv02DXDpQT9S3w4-QeNym2QJy2BzMBqDXp-XtzJBM"", ""'GPE'!BM3:BM139""),MATCH($D90,IMPORTRANGE(""17pNv02DXDpQT9S3w4-QeNym2QJy2BzMBqDXp-XtzJBM"", ""'GPE'!D3:D139""),0))"),21)</f>
        <v>21</v>
      </c>
    </row>
    <row r="91" spans="1:31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 t="s">
        <v>254</v>
      </c>
      <c r="K91" s="11">
        <v>44713</v>
      </c>
      <c r="L91" s="11" t="s">
        <v>255</v>
      </c>
      <c r="M91" s="11">
        <v>45078</v>
      </c>
      <c r="N91" s="11" t="s">
        <v>256</v>
      </c>
      <c r="O91" s="11" t="s">
        <v>361</v>
      </c>
      <c r="P91" s="11">
        <v>45444</v>
      </c>
      <c r="Q91" s="2">
        <v>6</v>
      </c>
      <c r="R91" s="2">
        <v>6</v>
      </c>
      <c r="S91" s="2">
        <f ca="1">IFERROR(__xludf.DUMMYFUNCTION("INDEX(IMPORTRANGE(""17pNv02DXDpQT9S3w4-QeNym2QJy2BzMBqDXp-XtzJBM"", ""'GPE'!BG3:BG139""),MATCH($D91,IMPORTRANGE(""17pNv02DXDpQT9S3w4-QeNym2QJy2BzMBqDXp-XtzJBM"", ""'GPE'!D3:D139""),0))"),6)</f>
        <v>6</v>
      </c>
      <c r="T91" s="2">
        <v>8</v>
      </c>
      <c r="U91" s="2">
        <v>10</v>
      </c>
      <c r="V91" s="2">
        <v>12</v>
      </c>
      <c r="W91" s="2">
        <v>14</v>
      </c>
      <c r="X91" s="2">
        <v>16</v>
      </c>
      <c r="Y91" s="2">
        <v>16</v>
      </c>
      <c r="Z91" s="2">
        <f ca="1">IFERROR(__xludf.DUMMYFUNCTION("INDEX(IMPORTRANGE(""17pNv02DXDpQT9S3w4-QeNym2QJy2BzMBqDXp-XtzJBM"", ""'GPE'!BH3:BH139""),MATCH($D91,IMPORTRANGE(""17pNv02DXDpQT9S3w4-QeNym2QJy2BzMBqDXp-XtzJBM"", ""'GPE'!D3:D139""),0))"),6)</f>
        <v>6</v>
      </c>
      <c r="AA91" s="2">
        <f ca="1">IFERROR(__xludf.DUMMYFUNCTION("INDEX(IMPORTRANGE(""17pNv02DXDpQT9S3w4-QeNym2QJy2BzMBqDXp-XtzJBM"", ""'GPE'!BI3:BI139""),MATCH($D91,IMPORTRANGE(""17pNv02DXDpQT9S3w4-QeNym2QJy2BzMBqDXp-XtzJBM"", ""'GPE'!D3:D139""),0))"),8)</f>
        <v>8</v>
      </c>
      <c r="AB91" s="2">
        <f ca="1">IFERROR(__xludf.DUMMYFUNCTION("INDEX(IMPORTRANGE(""17pNv02DXDpQT9S3w4-QeNym2QJy2BzMBqDXp-XtzJBM"", ""'GPE'!BJ3:BJ139""),MATCH($D91,IMPORTRANGE(""17pNv02DXDpQT9S3w4-QeNym2QJy2BzMBqDXp-XtzJBM"", ""'GPE'!D3:D139""),0))"),10)</f>
        <v>10</v>
      </c>
      <c r="AC91" s="2">
        <f ca="1">IFERROR(__xludf.DUMMYFUNCTION("INDEX(IMPORTRANGE(""17pNv02DXDpQT9S3w4-QeNym2QJy2BzMBqDXp-XtzJBM"", ""'GPE'!BK3:BK139""),MATCH($D91,IMPORTRANGE(""17pNv02DXDpQT9S3w4-QeNym2QJy2BzMBqDXp-XtzJBM"", ""'GPE'!D3:D139""),0))"),14)</f>
        <v>14</v>
      </c>
      <c r="AD91" s="2">
        <f ca="1">IFERROR(__xludf.DUMMYFUNCTION("INDEX(IMPORTRANGE(""17pNv02DXDpQT9S3w4-QeNym2QJy2BzMBqDXp-XtzJBM"", ""'GPE'!BL3:BL139""),MATCH($D91,IMPORTRANGE(""17pNv02DXDpQT9S3w4-QeNym2QJy2BzMBqDXp-XtzJBM"", ""'GPE'!D3:D139""),0))"),15)</f>
        <v>15</v>
      </c>
      <c r="AE91" s="2">
        <f ca="1">IFERROR(__xludf.DUMMYFUNCTION("INDEX(IMPORTRANGE(""17pNv02DXDpQT9S3w4-QeNym2QJy2BzMBqDXp-XtzJBM"", ""'GPE'!BM3:BM139""),MATCH($D91,IMPORTRANGE(""17pNv02DXDpQT9S3w4-QeNym2QJy2BzMBqDXp-XtzJBM"", ""'GPE'!D3:D139""),0))"),29)</f>
        <v>29</v>
      </c>
    </row>
    <row r="92" spans="1:31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>
        <v>44651</v>
      </c>
      <c r="K92" s="11">
        <v>44834</v>
      </c>
      <c r="L92" s="11">
        <v>45016</v>
      </c>
      <c r="M92" s="11">
        <v>45199</v>
      </c>
      <c r="N92" s="11">
        <v>45382</v>
      </c>
      <c r="O92" s="11">
        <v>45444</v>
      </c>
      <c r="P92" s="11">
        <v>45565</v>
      </c>
      <c r="Q92" s="2">
        <v>100</v>
      </c>
      <c r="R92" s="2">
        <v>100</v>
      </c>
      <c r="S92" s="2">
        <f ca="1">IFERROR(__xludf.DUMMYFUNCTION("INDEX(IMPORTRANGE(""17pNv02DXDpQT9S3w4-QeNym2QJy2BzMBqDXp-XtzJBM"", ""'GPE'!BG3:BG139""),MATCH($D92,IMPORTRANGE(""17pNv02DXDpQT9S3w4-QeNym2QJy2BzMBqDXp-XtzJBM"", ""'GPE'!D3:D139""),0))"),100)</f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">
        <f ca="1">IFERROR(__xludf.DUMMYFUNCTION("INDEX(IMPORTRANGE(""17pNv02DXDpQT9S3w4-QeNym2QJy2BzMBqDXp-XtzJBM"", ""'GPE'!BH3:BH139""),MATCH($D92,IMPORTRANGE(""17pNv02DXDpQT9S3w4-QeNym2QJy2BzMBqDXp-XtzJBM"", ""'GPE'!D3:D139""),0))"),100)</f>
        <v>100</v>
      </c>
      <c r="AA92" s="24">
        <f ca="1">IFERROR(__xludf.DUMMYFUNCTION("INDEX(IMPORTRANGE(""17pNv02DXDpQT9S3w4-QeNym2QJy2BzMBqDXp-XtzJBM"", ""'GPE'!BI3:BI139""),MATCH($D92,IMPORTRANGE(""17pNv02DXDpQT9S3w4-QeNym2QJy2BzMBqDXp-XtzJBM"", ""'GPE'!D3:D139""),0))"),100)</f>
        <v>100</v>
      </c>
      <c r="AB92" s="2">
        <f ca="1">IFERROR(__xludf.DUMMYFUNCTION("INDEX(IMPORTRANGE(""17pNv02DXDpQT9S3w4-QeNym2QJy2BzMBqDXp-XtzJBM"", ""'GPE'!BJ3:BJ139""),MATCH($D92,IMPORTRANGE(""17pNv02DXDpQT9S3w4-QeNym2QJy2BzMBqDXp-XtzJBM"", ""'GPE'!D3:D139""),0))"),100)</f>
        <v>100</v>
      </c>
      <c r="AC92" s="24">
        <f ca="1">IFERROR(__xludf.DUMMYFUNCTION("INDEX(IMPORTRANGE(""17pNv02DXDpQT9S3w4-QeNym2QJy2BzMBqDXp-XtzJBM"", ""'GPE'!BK3:BK139""),MATCH($D92,IMPORTRANGE(""17pNv02DXDpQT9S3w4-QeNym2QJy2BzMBqDXp-XtzJBM"", ""'GPE'!D3:D139""),0))"),100)</f>
        <v>100</v>
      </c>
      <c r="AD92" s="2">
        <f ca="1">IFERROR(__xludf.DUMMYFUNCTION("INDEX(IMPORTRANGE(""17pNv02DXDpQT9S3w4-QeNym2QJy2BzMBqDXp-XtzJBM"", ""'GPE'!BL3:BL139""),MATCH($D92,IMPORTRANGE(""17pNv02DXDpQT9S3w4-QeNym2QJy2BzMBqDXp-XtzJBM"", ""'GPE'!D3:D139""),0))"),100)</f>
        <v>100</v>
      </c>
      <c r="AE92" s="2">
        <f ca="1">IFERROR(__xludf.DUMMYFUNCTION("INDEX(IMPORTRANGE(""17pNv02DXDpQT9S3w4-QeNym2QJy2BzMBqDXp-XtzJBM"", ""'GPE'!BM3:BM139""),MATCH($D92,IMPORTRANGE(""17pNv02DXDpQT9S3w4-QeNym2QJy2BzMBqDXp-XtzJBM"", ""'GPE'!D3:D139""),0))"),100)</f>
        <v>100</v>
      </c>
    </row>
    <row r="93" spans="1:31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287"/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2">
        <v>0</v>
      </c>
      <c r="R93" s="2">
        <v>0</v>
      </c>
      <c r="S93" s="2">
        <f ca="1">IFERROR(__xludf.DUMMYFUNCTION("INDEX(IMPORTRANGE(""17pNv02DXDpQT9S3w4-QeNym2QJy2BzMBqDXp-XtzJBM"", ""'GPE'!BG3:BG139""),MATCH($D93,IMPORTRANGE(""17pNv02DXDpQT9S3w4-QeNym2QJy2BzMBqDXp-XtzJBM"", ""'GPE'!D3:D139""),0))"),0)</f>
        <v>0</v>
      </c>
      <c r="T93" s="29">
        <v>4</v>
      </c>
      <c r="U93" s="29">
        <v>4</v>
      </c>
      <c r="V93" s="29">
        <v>4</v>
      </c>
      <c r="W93" s="29">
        <v>4</v>
      </c>
      <c r="X93" s="29">
        <v>4</v>
      </c>
      <c r="Y93" s="29">
        <v>4</v>
      </c>
      <c r="Z93" s="23">
        <f ca="1">IFERROR(__xludf.DUMMYFUNCTION("INDEX(IMPORTRANGE(""17pNv02DXDpQT9S3w4-QeNym2QJy2BzMBqDXp-XtzJBM"", ""'GPE'!BH3:BH139""),MATCH($D93,IMPORTRANGE(""17pNv02DXDpQT9S3w4-QeNym2QJy2BzMBqDXp-XtzJBM"", ""'GPE'!D3:D139""),0))"),3)</f>
        <v>3</v>
      </c>
      <c r="AA93" s="23">
        <f ca="1">IFERROR(__xludf.DUMMYFUNCTION("INDEX(IMPORTRANGE(""17pNv02DXDpQT9S3w4-QeNym2QJy2BzMBqDXp-XtzJBM"", ""'GPE'!BI3:BI139""),MATCH($D93,IMPORTRANGE(""17pNv02DXDpQT9S3w4-QeNym2QJy2BzMBqDXp-XtzJBM"", ""'GPE'!D3:D139""),0))"),4)</f>
        <v>4</v>
      </c>
      <c r="AB93" s="23">
        <f ca="1">IFERROR(__xludf.DUMMYFUNCTION("INDEX(IMPORTRANGE(""17pNv02DXDpQT9S3w4-QeNym2QJy2BzMBqDXp-XtzJBM"", ""'GPE'!BJ3:BJ139""),MATCH($D93,IMPORTRANGE(""17pNv02DXDpQT9S3w4-QeNym2QJy2BzMBqDXp-XtzJBM"", ""'GPE'!D3:D139""),0))"),3.69117647058823)</f>
        <v>3.6911764705882302</v>
      </c>
      <c r="AC93" s="23">
        <f ca="1">IFERROR(__xludf.DUMMYFUNCTION("INDEX(IMPORTRANGE(""17pNv02DXDpQT9S3w4-QeNym2QJy2BzMBqDXp-XtzJBM"", ""'GPE'!BK3:BK139""),MATCH($D93,IMPORTRANGE(""17pNv02DXDpQT9S3w4-QeNym2QJy2BzMBqDXp-XtzJBM"", ""'GPE'!D3:D139""),0))"),3.710407239819)</f>
        <v>3.7104072398189998</v>
      </c>
      <c r="AD93" s="23">
        <f ca="1">IFERROR(__xludf.DUMMYFUNCTION("INDEX(IMPORTRANGE(""17pNv02DXDpQT9S3w4-QeNym2QJy2BzMBqDXp-XtzJBM"", ""'GPE'!BL3:BL139""),MATCH($D93,IMPORTRANGE(""17pNv02DXDpQT9S3w4-QeNym2QJy2BzMBqDXp-XtzJBM"", ""'GPE'!D3:D139""),0))"),3.83216783216783)</f>
        <v>3.8321678321678299</v>
      </c>
      <c r="AE93" s="23">
        <f ca="1">IFERROR(__xludf.DUMMYFUNCTION("INDEX(IMPORTRANGE(""17pNv02DXDpQT9S3w4-QeNym2QJy2BzMBqDXp-XtzJBM"", ""'GPE'!BM3:BM139""),MATCH($D93,IMPORTRANGE(""17pNv02DXDpQT9S3w4-QeNym2QJy2BzMBqDXp-XtzJBM"", ""'GPE'!D3:D139""),0))"),3.61949814890991)</f>
        <v>3.6194981489099098</v>
      </c>
    </row>
    <row r="94" spans="1:31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13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11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""'GPE'!BG3:BG139""),MATCH($D94,IMPORTRANGE(""17pNv02DXDpQT9S3w4-QeNym2QJy2BzMBqDXp-XtzJBM"", ""'GPE'!D3:D139""),0))"),"")</f>
        <v/>
      </c>
      <c r="T94" s="4"/>
      <c r="U94" s="4"/>
      <c r="V94" s="4"/>
      <c r="W94" s="4"/>
      <c r="X94" s="4"/>
      <c r="Y94" s="4"/>
      <c r="Z94" s="2">
        <f ca="1">IFERROR(__xludf.DUMMYFUNCTION("INDEX(IMPORTRANGE(""17pNv02DXDpQT9S3w4-QeNym2QJy2BzMBqDXp-XtzJBM"", ""'GPE'!BH3:BH139""),MATCH($D94,IMPORTRANGE(""17pNv02DXDpQT9S3w4-QeNym2QJy2BzMBqDXp-XtzJBM"", ""'GPE'!D3:D139""),0))"),4)</f>
        <v>4</v>
      </c>
      <c r="AA94" s="2">
        <f ca="1">IFERROR(__xludf.DUMMYFUNCTION("INDEX(IMPORTRANGE(""17pNv02DXDpQT9S3w4-QeNym2QJy2BzMBqDXp-XtzJBM"", ""'GPE'!BI3:BI139""),MATCH($D94,IMPORTRANGE(""17pNv02DXDpQT9S3w4-QeNym2QJy2BzMBqDXp-XtzJBM"", ""'GPE'!D3:D139""),0))"),3)</f>
        <v>3</v>
      </c>
      <c r="AB94" s="2">
        <f ca="1">IFERROR(__xludf.DUMMYFUNCTION("INDEX(IMPORTRANGE(""17pNv02DXDpQT9S3w4-QeNym2QJy2BzMBqDXp-XtzJBM"", ""'GPE'!BJ3:BJ139""),MATCH($D94,IMPORTRANGE(""17pNv02DXDpQT9S3w4-QeNym2QJy2BzMBqDXp-XtzJBM"", ""'GPE'!D3:D139""),0))"),3)</f>
        <v>3</v>
      </c>
      <c r="AC94" s="2" t="str">
        <f ca="1">IFERROR(__xludf.DUMMYFUNCTION("INDEX(IMPORTRANGE(""17pNv02DXDpQT9S3w4-QeNym2QJy2BzMBqDXp-XtzJBM"", ""'GPE'!BK3:BK139""),MATCH($D94,IMPORTRANGE(""17pNv02DXDpQT9S3w4-QeNym2QJy2BzMBqDXp-XtzJBM"", ""'GPE'!D3:D139""),0))"),"")</f>
        <v/>
      </c>
      <c r="AD94" s="2">
        <f ca="1">IFERROR(__xludf.DUMMYFUNCTION("INDEX(IMPORTRANGE(""17pNv02DXDpQT9S3w4-QeNym2QJy2BzMBqDXp-XtzJBM"", ""'GPE'!BL3:BL139""),MATCH($D94,IMPORTRANGE(""17pNv02DXDpQT9S3w4-QeNym2QJy2BzMBqDXp-XtzJBM"", ""'GPE'!D3:D139""),0))"),4)</f>
        <v>4</v>
      </c>
      <c r="AE94" s="2">
        <f ca="1">IFERROR(__xludf.DUMMYFUNCTION("INDEX(IMPORTRANGE(""17pNv02DXDpQT9S3w4-QeNym2QJy2BzMBqDXp-XtzJBM"", ""'GPE'!BM3:BM139""),MATCH($D94,IMPORTRANGE(""17pNv02DXDpQT9S3w4-QeNym2QJy2BzMBqDXp-XtzJBM"", ""'GPE'!D3:D139""),0))"),4)</f>
        <v>4</v>
      </c>
    </row>
    <row r="95" spans="1:31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11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""'GPE'!BG3:BG139""),MATCH($D95,IMPORTRANGE(""17pNv02DXDpQT9S3w4-QeNym2QJy2BzMBqDXp-XtzJBM"", ""'GPE'!D3:D139""),0))"),"")</f>
        <v/>
      </c>
      <c r="T95" s="4"/>
      <c r="U95" s="4"/>
      <c r="V95" s="4"/>
      <c r="W95" s="4"/>
      <c r="X95" s="4"/>
      <c r="Y95" s="4"/>
      <c r="Z95" s="2">
        <f ca="1">IFERROR(__xludf.DUMMYFUNCTION("INDEX(IMPORTRANGE(""17pNv02DXDpQT9S3w4-QeNym2QJy2BzMBqDXp-XtzJBM"", ""'GPE'!BH3:BH139""),MATCH($D95,IMPORTRANGE(""17pNv02DXDpQT9S3w4-QeNym2QJy2BzMBqDXp-XtzJBM"", ""'GPE'!D3:D139""),0))"),11)</f>
        <v>11</v>
      </c>
      <c r="AA95" s="2">
        <f ca="1">IFERROR(__xludf.DUMMYFUNCTION("INDEX(IMPORTRANGE(""17pNv02DXDpQT9S3w4-QeNym2QJy2BzMBqDXp-XtzJBM"", ""'GPE'!BI3:BI139""),MATCH($D95,IMPORTRANGE(""17pNv02DXDpQT9S3w4-QeNym2QJy2BzMBqDXp-XtzJBM"", ""'GPE'!D3:D139""),0))"),10)</f>
        <v>10</v>
      </c>
      <c r="AB95" s="2">
        <f ca="1">IFERROR(__xludf.DUMMYFUNCTION("INDEX(IMPORTRANGE(""17pNv02DXDpQT9S3w4-QeNym2QJy2BzMBqDXp-XtzJBM"", ""'GPE'!BJ3:BJ139""),MATCH($D95,IMPORTRANGE(""17pNv02DXDpQT9S3w4-QeNym2QJy2BzMBqDXp-XtzJBM"", ""'GPE'!D3:D139""),0))"),10)</f>
        <v>10</v>
      </c>
      <c r="AC95" s="2">
        <f ca="1">IFERROR(__xludf.DUMMYFUNCTION("INDEX(IMPORTRANGE(""17pNv02DXDpQT9S3w4-QeNym2QJy2BzMBqDXp-XtzJBM"", ""'GPE'!BK3:BK139""),MATCH($D95,IMPORTRANGE(""17pNv02DXDpQT9S3w4-QeNym2QJy2BzMBqDXp-XtzJBM"", ""'GPE'!D3:D139""),0))"),0)</f>
        <v>0</v>
      </c>
      <c r="AD95" s="2">
        <f ca="1">IFERROR(__xludf.DUMMYFUNCTION("INDEX(IMPORTRANGE(""17pNv02DXDpQT9S3w4-QeNym2QJy2BzMBqDXp-XtzJBM"", ""'GPE'!BL3:BL139""),MATCH($D95,IMPORTRANGE(""17pNv02DXDpQT9S3w4-QeNym2QJy2BzMBqDXp-XtzJBM"", ""'GPE'!D3:D139""),0))"),11)</f>
        <v>11</v>
      </c>
      <c r="AE95" s="2">
        <f ca="1">IFERROR(__xludf.DUMMYFUNCTION("INDEX(IMPORTRANGE(""17pNv02DXDpQT9S3w4-QeNym2QJy2BzMBqDXp-XtzJBM"", ""'GPE'!BM3:BM139""),MATCH($D95,IMPORTRANGE(""17pNv02DXDpQT9S3w4-QeNym2QJy2BzMBqDXp-XtzJBM"", ""'GPE'!D3:D139""),0))"),11)</f>
        <v>11</v>
      </c>
    </row>
    <row r="96" spans="1:31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11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""'GPE'!BG3:BG139""),MATCH($D96,IMPORTRANGE(""17pNv02DXDpQT9S3w4-QeNym2QJy2BzMBqDXp-XtzJBM"", ""'GPE'!D3:D139""),0))"),"")</f>
        <v/>
      </c>
      <c r="T96" s="4"/>
      <c r="U96" s="4"/>
      <c r="V96" s="4"/>
      <c r="W96" s="4"/>
      <c r="X96" s="4"/>
      <c r="Y96" s="4"/>
      <c r="Z96" s="2" t="str">
        <f ca="1">IFERROR(__xludf.DUMMYFUNCTION("INDEX(IMPORTRANGE(""17pNv02DXDpQT9S3w4-QeNym2QJy2BzMBqDXp-XtzJBM"", ""'GPE'!BH3:BH139""),MATCH($D96,IMPORTRANGE(""17pNv02DXDpQT9S3w4-QeNym2QJy2BzMBqDXp-XtzJBM"", ""'GPE'!D3:D139""),0))"),"n/a")</f>
        <v>n/a</v>
      </c>
      <c r="AA96" s="2">
        <f ca="1">IFERROR(__xludf.DUMMYFUNCTION("INDEX(IMPORTRANGE(""17pNv02DXDpQT9S3w4-QeNym2QJy2BzMBqDXp-XtzJBM"", ""'GPE'!BI3:BI139""),MATCH($D96,IMPORTRANGE(""17pNv02DXDpQT9S3w4-QeNym2QJy2BzMBqDXp-XtzJBM"", ""'GPE'!D3:D139""),0))"),0)</f>
        <v>0</v>
      </c>
      <c r="AB96" s="2">
        <f ca="1">IFERROR(__xludf.DUMMYFUNCTION("INDEX(IMPORTRANGE(""17pNv02DXDpQT9S3w4-QeNym2QJy2BzMBqDXp-XtzJBM"", ""'GPE'!BJ3:BJ139""),MATCH($D96,IMPORTRANGE(""17pNv02DXDpQT9S3w4-QeNym2QJy2BzMBqDXp-XtzJBM"", ""'GPE'!D3:D139""),0))"),0)</f>
        <v>0</v>
      </c>
      <c r="AC96" s="2" t="str">
        <f ca="1">IFERROR(__xludf.DUMMYFUNCTION("INDEX(IMPORTRANGE(""17pNv02DXDpQT9S3w4-QeNym2QJy2BzMBqDXp-XtzJBM"", ""'GPE'!BK3:BK139""),MATCH($D96,IMPORTRANGE(""17pNv02DXDpQT9S3w4-QeNym2QJy2BzMBqDXp-XtzJBM"", ""'GPE'!D3:D139""),0))"),"")</f>
        <v/>
      </c>
      <c r="AD96" s="2" t="str">
        <f ca="1">IFERROR(__xludf.DUMMYFUNCTION("INDEX(IMPORTRANGE(""17pNv02DXDpQT9S3w4-QeNym2QJy2BzMBqDXp-XtzJBM"", ""'GPE'!BL3:BL139""),MATCH($D96,IMPORTRANGE(""17pNv02DXDpQT9S3w4-QeNym2QJy2BzMBqDXp-XtzJBM"", ""'GPE'!D3:D139""),0))"),"")</f>
        <v/>
      </c>
      <c r="AE96" s="2" t="str">
        <f ca="1">IFERROR(__xludf.DUMMYFUNCTION("INDEX(IMPORTRANGE(""17pNv02DXDpQT9S3w4-QeNym2QJy2BzMBqDXp-XtzJBM"", ""'GPE'!BM3:BM139""),MATCH($D96,IMPORTRANGE(""17pNv02DXDpQT9S3w4-QeNym2QJy2BzMBqDXp-XtzJBM"", ""'GPE'!D3:D139""),0))"),"")</f>
        <v/>
      </c>
    </row>
    <row r="97" spans="1:31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11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""'GPE'!BG3:BG139""),MATCH($D97,IMPORTRANGE(""17pNv02DXDpQT9S3w4-QeNym2QJy2BzMBqDXp-XtzJBM"", ""'GPE'!D3:D139""),0))"),"")</f>
        <v/>
      </c>
      <c r="T97" s="4"/>
      <c r="U97" s="4"/>
      <c r="V97" s="4"/>
      <c r="W97" s="4"/>
      <c r="X97" s="4"/>
      <c r="Y97" s="4"/>
      <c r="Z97" s="2">
        <f ca="1">IFERROR(__xludf.DUMMYFUNCTION("INDEX(IMPORTRANGE(""17pNv02DXDpQT9S3w4-QeNym2QJy2BzMBqDXp-XtzJBM"", ""'GPE'!BH3:BH139""),MATCH($D97,IMPORTRANGE(""17pNv02DXDpQT9S3w4-QeNym2QJy2BzMBqDXp-XtzJBM"", ""'GPE'!D3:D139""),0))"),0)</f>
        <v>0</v>
      </c>
      <c r="AA97" s="2">
        <f ca="1">IFERROR(__xludf.DUMMYFUNCTION("INDEX(IMPORTRANGE(""17pNv02DXDpQT9S3w4-QeNym2QJy2BzMBqDXp-XtzJBM"", ""'GPE'!BI3:BI139""),MATCH($D97,IMPORTRANGE(""17pNv02DXDpQT9S3w4-QeNym2QJy2BzMBqDXp-XtzJBM"", ""'GPE'!D3:D139""),0))"),0)</f>
        <v>0</v>
      </c>
      <c r="AB97" s="2">
        <f ca="1">IFERROR(__xludf.DUMMYFUNCTION("INDEX(IMPORTRANGE(""17pNv02DXDpQT9S3w4-QeNym2QJy2BzMBqDXp-XtzJBM"", ""'GPE'!BJ3:BJ139""),MATCH($D97,IMPORTRANGE(""17pNv02DXDpQT9S3w4-QeNym2QJy2BzMBqDXp-XtzJBM"", ""'GPE'!D3:D139""),0))"),0)</f>
        <v>0</v>
      </c>
      <c r="AC97" s="2">
        <f ca="1">IFERROR(__xludf.DUMMYFUNCTION("INDEX(IMPORTRANGE(""17pNv02DXDpQT9S3w4-QeNym2QJy2BzMBqDXp-XtzJBM"", ""'GPE'!BK3:BK139""),MATCH($D97,IMPORTRANGE(""17pNv02DXDpQT9S3w4-QeNym2QJy2BzMBqDXp-XtzJBM"", ""'GPE'!D3:D139""),0))"),0)</f>
        <v>0</v>
      </c>
      <c r="AD97" s="2">
        <f ca="1">IFERROR(__xludf.DUMMYFUNCTION("INDEX(IMPORTRANGE(""17pNv02DXDpQT9S3w4-QeNym2QJy2BzMBqDXp-XtzJBM"", ""'GPE'!BL3:BL139""),MATCH($D97,IMPORTRANGE(""17pNv02DXDpQT9S3w4-QeNym2QJy2BzMBqDXp-XtzJBM"", ""'GPE'!D3:D139""),0))"),0)</f>
        <v>0</v>
      </c>
      <c r="AE97" s="2">
        <f ca="1">IFERROR(__xludf.DUMMYFUNCTION("INDEX(IMPORTRANGE(""17pNv02DXDpQT9S3w4-QeNym2QJy2BzMBqDXp-XtzJBM"", ""'GPE'!BM3:BM139""),MATCH($D97,IMPORTRANGE(""17pNv02DXDpQT9S3w4-QeNym2QJy2BzMBqDXp-XtzJBM"", ""'GPE'!D3:D139""),0))"),0)</f>
        <v>0</v>
      </c>
    </row>
    <row r="98" spans="1:31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11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""'GPE'!BG3:BG139""),MATCH($D98,IMPORTRANGE(""17pNv02DXDpQT9S3w4-QeNym2QJy2BzMBqDXp-XtzJBM"", ""'GPE'!D3:D139""),0))"),"")</f>
        <v/>
      </c>
      <c r="T98" s="4"/>
      <c r="U98" s="4"/>
      <c r="V98" s="4"/>
      <c r="W98" s="4"/>
      <c r="X98" s="4"/>
      <c r="Y98" s="4"/>
      <c r="Z98" s="2">
        <f ca="1">IFERROR(__xludf.DUMMYFUNCTION("INDEX(IMPORTRANGE(""17pNv02DXDpQT9S3w4-QeNym2QJy2BzMBqDXp-XtzJBM"", ""'GPE'!BH3:BH139""),MATCH($D98,IMPORTRANGE(""17pNv02DXDpQT9S3w4-QeNym2QJy2BzMBqDXp-XtzJBM"", ""'GPE'!D3:D139""),0))"),9)</f>
        <v>9</v>
      </c>
      <c r="AA98" s="2">
        <f ca="1">IFERROR(__xludf.DUMMYFUNCTION("INDEX(IMPORTRANGE(""17pNv02DXDpQT9S3w4-QeNym2QJy2BzMBqDXp-XtzJBM"", ""'GPE'!BI3:BI139""),MATCH($D98,IMPORTRANGE(""17pNv02DXDpQT9S3w4-QeNym2QJy2BzMBqDXp-XtzJBM"", ""'GPE'!D3:D139""),0))"),10)</f>
        <v>10</v>
      </c>
      <c r="AB98" s="2">
        <f ca="1">IFERROR(__xludf.DUMMYFUNCTION("INDEX(IMPORTRANGE(""17pNv02DXDpQT9S3w4-QeNym2QJy2BzMBqDXp-XtzJBM"", ""'GPE'!BJ3:BJ139""),MATCH($D98,IMPORTRANGE(""17pNv02DXDpQT9S3w4-QeNym2QJy2BzMBqDXp-XtzJBM"", ""'GPE'!D3:D139""),0))"),18)</f>
        <v>18</v>
      </c>
      <c r="AC98" s="2" t="str">
        <f ca="1">IFERROR(__xludf.DUMMYFUNCTION("INDEX(IMPORTRANGE(""17pNv02DXDpQT9S3w4-QeNym2QJy2BzMBqDXp-XtzJBM"", ""'GPE'!BK3:BK139""),MATCH($D98,IMPORTRANGE(""17pNv02DXDpQT9S3w4-QeNym2QJy2BzMBqDXp-XtzJBM"", ""'GPE'!D3:D139""),0))"),"")</f>
        <v/>
      </c>
      <c r="AD98" s="2">
        <f ca="1">IFERROR(__xludf.DUMMYFUNCTION("INDEX(IMPORTRANGE(""17pNv02DXDpQT9S3w4-QeNym2QJy2BzMBqDXp-XtzJBM"", ""'GPE'!BL3:BL139""),MATCH($D98,IMPORTRANGE(""17pNv02DXDpQT9S3w4-QeNym2QJy2BzMBqDXp-XtzJBM"", ""'GPE'!D3:D139""),0))"),18)</f>
        <v>18</v>
      </c>
      <c r="AE98" s="2">
        <f ca="1">IFERROR(__xludf.DUMMYFUNCTION("INDEX(IMPORTRANGE(""17pNv02DXDpQT9S3w4-QeNym2QJy2BzMBqDXp-XtzJBM"", ""'GPE'!BM3:BM139""),MATCH($D98,IMPORTRANGE(""17pNv02DXDpQT9S3w4-QeNym2QJy2BzMBqDXp-XtzJBM"", ""'GPE'!D3:D139""),0))"),15)</f>
        <v>15</v>
      </c>
    </row>
    <row r="99" spans="1:31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11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""'GPE'!BG3:BG139""),MATCH($D99,IMPORTRANGE(""17pNv02DXDpQT9S3w4-QeNym2QJy2BzMBqDXp-XtzJBM"", ""'GPE'!D3:D139""),0))"),"")</f>
        <v/>
      </c>
      <c r="T99" s="4"/>
      <c r="U99" s="4"/>
      <c r="V99" s="4"/>
      <c r="W99" s="4"/>
      <c r="X99" s="4"/>
      <c r="Y99" s="4"/>
      <c r="Z99" s="2">
        <f ca="1">IFERROR(__xludf.DUMMYFUNCTION("INDEX(IMPORTRANGE(""17pNv02DXDpQT9S3w4-QeNym2QJy2BzMBqDXp-XtzJBM"", ""'GPE'!BH3:BH139""),MATCH($D99,IMPORTRANGE(""17pNv02DXDpQT9S3w4-QeNym2QJy2BzMBqDXp-XtzJBM"", ""'GPE'!D3:D139""),0))"),49)</f>
        <v>49</v>
      </c>
      <c r="AA99" s="2">
        <f ca="1">IFERROR(__xludf.DUMMYFUNCTION("INDEX(IMPORTRANGE(""17pNv02DXDpQT9S3w4-QeNym2QJy2BzMBqDXp-XtzJBM"", ""'GPE'!BI3:BI139""),MATCH($D99,IMPORTRANGE(""17pNv02DXDpQT9S3w4-QeNym2QJy2BzMBqDXp-XtzJBM"", ""'GPE'!D3:D139""),0))"),51)</f>
        <v>51</v>
      </c>
      <c r="AB99" s="2">
        <f ca="1">IFERROR(__xludf.DUMMYFUNCTION("INDEX(IMPORTRANGE(""17pNv02DXDpQT9S3w4-QeNym2QJy2BzMBqDXp-XtzJBM"", ""'GPE'!BJ3:BJ139""),MATCH($D99,IMPORTRANGE(""17pNv02DXDpQT9S3w4-QeNym2QJy2BzMBqDXp-XtzJBM"", ""'GPE'!D3:D139""),0))"),65)</f>
        <v>65</v>
      </c>
      <c r="AC99" s="2">
        <f ca="1">IFERROR(__xludf.DUMMYFUNCTION("INDEX(IMPORTRANGE(""17pNv02DXDpQT9S3w4-QeNym2QJy2BzMBqDXp-XtzJBM"", ""'GPE'!BK3:BK139""),MATCH($D99,IMPORTRANGE(""17pNv02DXDpQT9S3w4-QeNym2QJy2BzMBqDXp-XtzJBM"", ""'GPE'!D3:D139""),0))"),0)</f>
        <v>0</v>
      </c>
      <c r="AD99" s="2">
        <f ca="1">IFERROR(__xludf.DUMMYFUNCTION("INDEX(IMPORTRANGE(""17pNv02DXDpQT9S3w4-QeNym2QJy2BzMBqDXp-XtzJBM"", ""'GPE'!BL3:BL139""),MATCH($D99,IMPORTRANGE(""17pNv02DXDpQT9S3w4-QeNym2QJy2BzMBqDXp-XtzJBM"", ""'GPE'!D3:D139""),0))"),63)</f>
        <v>63</v>
      </c>
      <c r="AE99" s="2">
        <f ca="1">IFERROR(__xludf.DUMMYFUNCTION("INDEX(IMPORTRANGE(""17pNv02DXDpQT9S3w4-QeNym2QJy2BzMBqDXp-XtzJBM"", ""'GPE'!BM3:BM139""),MATCH($D99,IMPORTRANGE(""17pNv02DXDpQT9S3w4-QeNym2QJy2BzMBqDXp-XtzJBM"", ""'GPE'!D3:D139""),0))"),60)</f>
        <v>60</v>
      </c>
    </row>
    <row r="100" spans="1:31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83" t="s">
        <v>213</v>
      </c>
      <c r="H100" s="1" t="s">
        <v>214</v>
      </c>
      <c r="I100" s="49">
        <v>44440</v>
      </c>
      <c r="J100" s="183" t="s">
        <v>215</v>
      </c>
      <c r="K100" s="13"/>
      <c r="L100" s="183" t="s">
        <v>216</v>
      </c>
      <c r="M100" s="13"/>
      <c r="N100" s="183" t="s">
        <v>217</v>
      </c>
      <c r="O100" s="11" t="s">
        <v>361</v>
      </c>
      <c r="P100" s="348" t="s">
        <v>218</v>
      </c>
      <c r="Q100" s="254"/>
      <c r="R100" s="254"/>
      <c r="S100" s="30" t="str">
        <f ca="1">IFERROR(__xludf.DUMMYFUNCTION("INDEX(IMPORTRANGE(""17pNv02DXDpQT9S3w4-QeNym2QJy2BzMBqDXp-XtzJBM"", ""'GPE'!BG3:BG139""),MATCH($D100,IMPORTRANGE(""17pNv02DXDpQT9S3w4-QeNym2QJy2BzMBqDXp-XtzJBM"", ""'GPE'!D3:D139""),0))"),"")</f>
        <v/>
      </c>
      <c r="T100" s="60">
        <v>0.5</v>
      </c>
      <c r="U100" s="60">
        <v>0.5</v>
      </c>
      <c r="V100" s="60">
        <v>0.5</v>
      </c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""'GPE'!BH3:BH139""),MATCH($D100,IMPORTRANGE(""17pNv02DXDpQT9S3w4-QeNym2QJy2BzMBqDXp-XtzJBM"", ""'GPE'!D3:D139""),0))"),0.216666666666666)</f>
        <v>0.21666666666666601</v>
      </c>
      <c r="AA100" s="15">
        <f ca="1">IFERROR(__xludf.DUMMYFUNCTION("INDEX(IMPORTRANGE(""17pNv02DXDpQT9S3w4-QeNym2QJy2BzMBqDXp-XtzJBM"", ""'GPE'!BI3:BI139""),MATCH($D100,IMPORTRANGE(""17pNv02DXDpQT9S3w4-QeNym2QJy2BzMBqDXp-XtzJBM"", ""'GPE'!D3:D139""),0))"),0.21311475409836)</f>
        <v>0.21311475409836</v>
      </c>
      <c r="AB100" s="15">
        <f ca="1">IFERROR(__xludf.DUMMYFUNCTION("INDEX(IMPORTRANGE(""17pNv02DXDpQT9S3w4-QeNym2QJy2BzMBqDXp-XtzJBM"", ""'GPE'!BJ3:BJ139""),MATCH($D100,IMPORTRANGE(""17pNv02DXDpQT9S3w4-QeNym2QJy2BzMBqDXp-XtzJBM"", ""'GPE'!D3:D139""),0))"),0.28)</f>
        <v>0.28000000000000003</v>
      </c>
      <c r="AC100" s="15" t="str">
        <f ca="1">IFERROR(__xludf.DUMMYFUNCTION("INDEX(IMPORTRANGE(""17pNv02DXDpQT9S3w4-QeNym2QJy2BzMBqDXp-XtzJBM"", ""'GPE'!BK3:BK139""),MATCH($D100,IMPORTRANGE(""17pNv02DXDpQT9S3w4-QeNym2QJy2BzMBqDXp-XtzJBM"", ""'GPE'!D3:D139""),0))"),"")</f>
        <v/>
      </c>
      <c r="AD100" s="15">
        <f ca="1">IFERROR(__xludf.DUMMYFUNCTION("INDEX(IMPORTRANGE(""17pNv02DXDpQT9S3w4-QeNym2QJy2BzMBqDXp-XtzJBM"", ""'GPE'!BL3:BL139""),MATCH($D100,IMPORTRANGE(""17pNv02DXDpQT9S3w4-QeNym2QJy2BzMBqDXp-XtzJBM"", ""'GPE'!D3:D139""),0))"),0.297297297297297)</f>
        <v>0.29729729729729698</v>
      </c>
      <c r="AE100" s="15">
        <f ca="1">IFERROR(__xludf.DUMMYFUNCTION("INDEX(IMPORTRANGE(""17pNv02DXDpQT9S3w4-QeNym2QJy2BzMBqDXp-XtzJBM"", ""'GPE'!BM3:BM139""),MATCH($D100,IMPORTRANGE(""17pNv02DXDpQT9S3w4-QeNym2QJy2BzMBqDXp-XtzJBM"", ""'GPE'!D3:D139""),0))"),0.267605633802816)</f>
        <v>0.26760563380281599</v>
      </c>
    </row>
    <row r="101" spans="1:31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7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2" t="s">
        <v>369</v>
      </c>
      <c r="P101" s="1" t="s">
        <v>218</v>
      </c>
      <c r="Q101" s="349">
        <v>596817816</v>
      </c>
      <c r="R101" s="36">
        <v>596817816</v>
      </c>
      <c r="S101" s="36">
        <f ca="1">IFERROR(__xludf.DUMMYFUNCTION("INDEX(IMPORTRANGE(""17pNv02DXDpQT9S3w4-QeNym2QJy2BzMBqDXp-XtzJBM"", ""'GPE'!BG3:BG139""),MATCH($D101,IMPORTRANGE(""17pNv02DXDpQT9S3w4-QeNym2QJy2BzMBqDXp-XtzJBM"", ""'GPE'!D3:D139""),0))"),374131455)</f>
        <v>374131455</v>
      </c>
      <c r="T101" s="4"/>
      <c r="U101" s="4"/>
      <c r="V101" s="4"/>
      <c r="W101" s="4"/>
      <c r="X101" s="4"/>
      <c r="Y101" s="4"/>
      <c r="Z101" s="349">
        <f ca="1">IFERROR(__xludf.DUMMYFUNCTION("INDEX(IMPORTRANGE(""17pNv02DXDpQT9S3w4-QeNym2QJy2BzMBqDXp-XtzJBM"", ""'GPE'!BH3:BH139""),MATCH($D101,IMPORTRANGE(""17pNv02DXDpQT9S3w4-QeNym2QJy2BzMBqDXp-XtzJBM"", ""'GPE'!D3:D139""),0))"),596817816)</f>
        <v>596817816</v>
      </c>
      <c r="AA101" s="361" t="str">
        <f ca="1">IFERROR(__xludf.DUMMYFUNCTION("INDEX(IMPORTRANGE(""17pNv02DXDpQT9S3w4-QeNym2QJy2BzMBqDXp-XtzJBM"", ""'GPE'!BI3:BI139""),MATCH($D101,IMPORTRANGE(""17pNv02DXDpQT9S3w4-QeNym2QJy2BzMBqDXp-XtzJBM"", ""'GPE'!D3:D139""),0))"),"")</f>
        <v/>
      </c>
      <c r="AB101" s="349">
        <f ca="1">IFERROR(__xludf.DUMMYFUNCTION("INDEX(IMPORTRANGE(""17pNv02DXDpQT9S3w4-QeNym2QJy2BzMBqDXp-XtzJBM"", ""'GPE'!BJ3:BJ139""),MATCH($D101,IMPORTRANGE(""17pNv02DXDpQT9S3w4-QeNym2QJy2BzMBqDXp-XtzJBM"", ""'GPE'!D3:D139""),0))"),840544065)</f>
        <v>840544065</v>
      </c>
      <c r="AC101" s="361" t="str">
        <f ca="1">IFERROR(__xludf.DUMMYFUNCTION("INDEX(IMPORTRANGE(""17pNv02DXDpQT9S3w4-QeNym2QJy2BzMBqDXp-XtzJBM"", ""'GPE'!BK3:BK139""),MATCH($D101,IMPORTRANGE(""17pNv02DXDpQT9S3w4-QeNym2QJy2BzMBqDXp-XtzJBM"", ""'GPE'!D3:D139""),0))"),"")</f>
        <v/>
      </c>
      <c r="AD101" s="349">
        <f ca="1">IFERROR(__xludf.DUMMYFUNCTION("INDEX(IMPORTRANGE(""17pNv02DXDpQT9S3w4-QeNym2QJy2BzMBqDXp-XtzJBM"", ""'GPE'!BL3:BL139""),MATCH($D101,IMPORTRANGE(""17pNv02DXDpQT9S3w4-QeNym2QJy2BzMBqDXp-XtzJBM"", ""'GPE'!D3:D139""),0))"),916835275)</f>
        <v>916835275</v>
      </c>
      <c r="AE101" s="349">
        <f ca="1">IFERROR(__xludf.DUMMYFUNCTION("INDEX(IMPORTRANGE(""17pNv02DXDpQT9S3w4-QeNym2QJy2BzMBqDXp-XtzJBM"", ""'GPE'!BM3:BM139""),MATCH($D101,IMPORTRANGE(""17pNv02DXDpQT9S3w4-QeNym2QJy2BzMBqDXp-XtzJBM"", ""'GPE'!D3:D139""),0))"),585653686)</f>
        <v>585653686</v>
      </c>
    </row>
    <row r="102" spans="1:31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2" t="s">
        <v>369</v>
      </c>
      <c r="P102" s="1" t="s">
        <v>218</v>
      </c>
      <c r="Q102" s="349">
        <v>2180414073</v>
      </c>
      <c r="R102" s="36">
        <v>2180414073</v>
      </c>
      <c r="S102" s="36">
        <f ca="1">IFERROR(__xludf.DUMMYFUNCTION("INDEX(IMPORTRANGE(""17pNv02DXDpQT9S3w4-QeNym2QJy2BzMBqDXp-XtzJBM"", ""'GPE'!BG3:BG139""),MATCH($D102,IMPORTRANGE(""17pNv02DXDpQT9S3w4-QeNym2QJy2BzMBqDXp-XtzJBM"", ""'GPE'!D3:D139""),0))"),1144798603)</f>
        <v>1144798603</v>
      </c>
      <c r="T102" s="4"/>
      <c r="U102" s="4"/>
      <c r="V102" s="4"/>
      <c r="W102" s="4"/>
      <c r="X102" s="4"/>
      <c r="Y102" s="4"/>
      <c r="Z102" s="349">
        <f ca="1">IFERROR(__xludf.DUMMYFUNCTION("INDEX(IMPORTRANGE(""17pNv02DXDpQT9S3w4-QeNym2QJy2BzMBqDXp-XtzJBM"", ""'GPE'!BH3:BH139""),MATCH($D102,IMPORTRANGE(""17pNv02DXDpQT9S3w4-QeNym2QJy2BzMBqDXp-XtzJBM"", ""'GPE'!D3:D139""),0))"),2180414073)</f>
        <v>2180414073</v>
      </c>
      <c r="AA102" s="361" t="str">
        <f ca="1">IFERROR(__xludf.DUMMYFUNCTION("INDEX(IMPORTRANGE(""17pNv02DXDpQT9S3w4-QeNym2QJy2BzMBqDXp-XtzJBM"", ""'GPE'!BI3:BI139""),MATCH($D102,IMPORTRANGE(""17pNv02DXDpQT9S3w4-QeNym2QJy2BzMBqDXp-XtzJBM"", ""'GPE'!D3:D139""),0))"),"")</f>
        <v/>
      </c>
      <c r="AB102" s="349">
        <f ca="1">IFERROR(__xludf.DUMMYFUNCTION("INDEX(IMPORTRANGE(""17pNv02DXDpQT9S3w4-QeNym2QJy2BzMBqDXp-XtzJBM"", ""'GPE'!BJ3:BJ139""),MATCH($D102,IMPORTRANGE(""17pNv02DXDpQT9S3w4-QeNym2QJy2BzMBqDXp-XtzJBM"", ""'GPE'!D3:D139""),0))"),2968376016)</f>
        <v>2968376016</v>
      </c>
      <c r="AC102" s="361" t="str">
        <f ca="1">IFERROR(__xludf.DUMMYFUNCTION("INDEX(IMPORTRANGE(""17pNv02DXDpQT9S3w4-QeNym2QJy2BzMBqDXp-XtzJBM"", ""'GPE'!BK3:BK139""),MATCH($D102,IMPORTRANGE(""17pNv02DXDpQT9S3w4-QeNym2QJy2BzMBqDXp-XtzJBM"", ""'GPE'!D3:D139""),0))"),"")</f>
        <v/>
      </c>
      <c r="AD102" s="349">
        <f ca="1">IFERROR(__xludf.DUMMYFUNCTION("INDEX(IMPORTRANGE(""17pNv02DXDpQT9S3w4-QeNym2QJy2BzMBqDXp-XtzJBM"", ""'GPE'!BL3:BL139""),MATCH($D102,IMPORTRANGE(""17pNv02DXDpQT9S3w4-QeNym2QJy2BzMBqDXp-XtzJBM"", ""'GPE'!D3:D139""),0))"),3141761075)</f>
        <v>3141761075</v>
      </c>
      <c r="AE102" s="349">
        <f ca="1">IFERROR(__xludf.DUMMYFUNCTION("INDEX(IMPORTRANGE(""17pNv02DXDpQT9S3w4-QeNym2QJy2BzMBqDXp-XtzJBM"", ""'GPE'!BM3:BM139""),MATCH($D102,IMPORTRANGE(""17pNv02DXDpQT9S3w4-QeNym2QJy2BzMBqDXp-XtzJBM"", ""'GPE'!D3:D139""),0))"),1739051818)</f>
        <v>1739051818</v>
      </c>
    </row>
    <row r="103" spans="1:31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2" t="s">
        <v>368</v>
      </c>
      <c r="J103" s="7" t="s">
        <v>215</v>
      </c>
      <c r="K103" s="13"/>
      <c r="L103" s="7" t="s">
        <v>216</v>
      </c>
      <c r="M103" s="13"/>
      <c r="N103" s="7" t="s">
        <v>217</v>
      </c>
      <c r="O103" s="2" t="s">
        <v>369</v>
      </c>
      <c r="P103" s="1" t="s">
        <v>218</v>
      </c>
      <c r="Q103" s="15">
        <f t="shared" ref="Q103:R103" si="21">Q101/Q102</f>
        <v>0.27371764995941666</v>
      </c>
      <c r="R103" s="15">
        <f t="shared" si="21"/>
        <v>0.27371764995941666</v>
      </c>
      <c r="S103" s="15">
        <f ca="1">IFERROR(__xludf.DUMMYFUNCTION("INDEX(IMPORTRANGE(""17pNv02DXDpQT9S3w4-QeNym2QJy2BzMBqDXp-XtzJBM"", ""'GPE'!BG3:BG139""),MATCH($D103,IMPORTRANGE(""17pNv02DXDpQT9S3w4-QeNym2QJy2BzMBqDXp-XtzJBM"", ""'GPE'!D3:D139""),0))"),0.326809845871204)</f>
        <v>0.32680984587120399</v>
      </c>
      <c r="T103" s="2"/>
      <c r="U103" s="26">
        <v>0.32400000000000001</v>
      </c>
      <c r="V103" s="2"/>
      <c r="W103" s="26">
        <v>0.34399999999999997</v>
      </c>
      <c r="X103" s="15">
        <f>(Y103-W103)/6*5+W103</f>
        <v>0.36066666666666664</v>
      </c>
      <c r="Y103" s="26">
        <v>0.36399999999999999</v>
      </c>
      <c r="Z103" s="15">
        <f ca="1">IFERROR(__xludf.DUMMYFUNCTION("INDEX(IMPORTRANGE(""17pNv02DXDpQT9S3w4-QeNym2QJy2BzMBqDXp-XtzJBM"", ""'GPE'!BH3:BH139""),MATCH($D103,IMPORTRANGE(""17pNv02DXDpQT9S3w4-QeNym2QJy2BzMBqDXp-XtzJBM"", ""'GPE'!D3:D139""),0))"),0.273717649959416)</f>
        <v>0.273717649959416</v>
      </c>
      <c r="AA103" s="352" t="str">
        <f ca="1">IFERROR(__xludf.DUMMYFUNCTION("INDEX(IMPORTRANGE(""17pNv02DXDpQT9S3w4-QeNym2QJy2BzMBqDXp-XtzJBM"", ""'GPE'!BI3:BI139""),MATCH($D103,IMPORTRANGE(""17pNv02DXDpQT9S3w4-QeNym2QJy2BzMBqDXp-XtzJBM"", ""'GPE'!D3:D139""),0))"),"")</f>
        <v/>
      </c>
      <c r="AB103" s="15">
        <f ca="1">IFERROR(__xludf.DUMMYFUNCTION("INDEX(IMPORTRANGE(""17pNv02DXDpQT9S3w4-QeNym2QJy2BzMBqDXp-XtzJBM"", ""'GPE'!BJ3:BJ139""),MATCH($D103,IMPORTRANGE(""17pNv02DXDpQT9S3w4-QeNym2QJy2BzMBqDXp-XtzJBM"", ""'GPE'!D3:D139""),0))"),0.283166303887829)</f>
        <v>0.28316630388782899</v>
      </c>
      <c r="AC103" s="352" t="str">
        <f ca="1">IFERROR(__xludf.DUMMYFUNCTION("INDEX(IMPORTRANGE(""17pNv02DXDpQT9S3w4-QeNym2QJy2BzMBqDXp-XtzJBM"", ""'GPE'!BK3:BK139""),MATCH($D103,IMPORTRANGE(""17pNv02DXDpQT9S3w4-QeNym2QJy2BzMBqDXp-XtzJBM"", ""'GPE'!D3:D139""),0))"),"")</f>
        <v/>
      </c>
      <c r="AD103" s="15">
        <f ca="1">IFERROR(__xludf.DUMMYFUNCTION("INDEX(IMPORTRANGE(""17pNv02DXDpQT9S3w4-QeNym2QJy2BzMBqDXp-XtzJBM"", ""'GPE'!BL3:BL139""),MATCH($D103,IMPORTRANGE(""17pNv02DXDpQT9S3w4-QeNym2QJy2BzMBqDXp-XtzJBM"", ""'GPE'!D3:D139""),0))"),0.291822087394089)</f>
        <v>0.29182208739408899</v>
      </c>
      <c r="AE103" s="15">
        <f ca="1">IFERROR(__xludf.DUMMYFUNCTION("INDEX(IMPORTRANGE(""17pNv02DXDpQT9S3w4-QeNym2QJy2BzMBqDXp-XtzJBM"", ""'GPE'!BM3:BM139""),MATCH($D103,IMPORTRANGE(""17pNv02DXDpQT9S3w4-QeNym2QJy2BzMBqDXp-XtzJBM"", ""'GPE'!D3:D139""),0))"),0.336766092843358)</f>
        <v>0.33676609284335801</v>
      </c>
    </row>
    <row r="104" spans="1:31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2" t="s">
        <v>369</v>
      </c>
      <c r="P104" s="1" t="s">
        <v>218</v>
      </c>
      <c r="Q104" s="349">
        <v>1685145440</v>
      </c>
      <c r="R104" s="36">
        <v>1685145440</v>
      </c>
      <c r="S104" s="36">
        <f ca="1">IFERROR(__xludf.DUMMYFUNCTION("INDEX(IMPORTRANGE(""17pNv02DXDpQT9S3w4-QeNym2QJy2BzMBqDXp-XtzJBM"", ""'GPE'!BG3:BG139""),MATCH($D104,IMPORTRANGE(""17pNv02DXDpQT9S3w4-QeNym2QJy2BzMBqDXp-XtzJBM"", ""'GPE'!D3:D139""),0))"),837751747)</f>
        <v>837751747</v>
      </c>
      <c r="T104" s="4"/>
      <c r="U104" s="4"/>
      <c r="V104" s="4"/>
      <c r="W104" s="4"/>
      <c r="X104" s="4"/>
      <c r="Y104" s="4"/>
      <c r="Z104" s="349">
        <f ca="1">IFERROR(__xludf.DUMMYFUNCTION("INDEX(IMPORTRANGE(""17pNv02DXDpQT9S3w4-QeNym2QJy2BzMBqDXp-XtzJBM"", ""'GPE'!BH3:BH139""),MATCH($D104,IMPORTRANGE(""17pNv02DXDpQT9S3w4-QeNym2QJy2BzMBqDXp-XtzJBM"", ""'GPE'!D3:D139""),0))"),1685145440)</f>
        <v>1685145440</v>
      </c>
      <c r="AA104" s="361" t="str">
        <f ca="1">IFERROR(__xludf.DUMMYFUNCTION("INDEX(IMPORTRANGE(""17pNv02DXDpQT9S3w4-QeNym2QJy2BzMBqDXp-XtzJBM"", ""'GPE'!BI3:BI139""),MATCH($D104,IMPORTRANGE(""17pNv02DXDpQT9S3w4-QeNym2QJy2BzMBqDXp-XtzJBM"", ""'GPE'!D3:D139""),0))"),"")</f>
        <v/>
      </c>
      <c r="AB104" s="349">
        <f ca="1">IFERROR(__xludf.DUMMYFUNCTION("INDEX(IMPORTRANGE(""17pNv02DXDpQT9S3w4-QeNym2QJy2BzMBqDXp-XtzJBM"", ""'GPE'!BJ3:BJ139""),MATCH($D104,IMPORTRANGE(""17pNv02DXDpQT9S3w4-QeNym2QJy2BzMBqDXp-XtzJBM"", ""'GPE'!D3:D139""),0))"),1983992071.27)</f>
        <v>1983992071.27</v>
      </c>
      <c r="AC104" s="361" t="str">
        <f ca="1">IFERROR(__xludf.DUMMYFUNCTION("INDEX(IMPORTRANGE(""17pNv02DXDpQT9S3w4-QeNym2QJy2BzMBqDXp-XtzJBM"", ""'GPE'!BK3:BK139""),MATCH($D104,IMPORTRANGE(""17pNv02DXDpQT9S3w4-QeNym2QJy2BzMBqDXp-XtzJBM"", ""'GPE'!D3:D139""),0))"),"")</f>
        <v/>
      </c>
      <c r="AD104" s="349">
        <f ca="1">IFERROR(__xludf.DUMMYFUNCTION("INDEX(IMPORTRANGE(""17pNv02DXDpQT9S3w4-QeNym2QJy2BzMBqDXp-XtzJBM"", ""'GPE'!BL3:BL139""),MATCH($D104,IMPORTRANGE(""17pNv02DXDpQT9S3w4-QeNym2QJy2BzMBqDXp-XtzJBM"", ""'GPE'!D3:D139""),0))"),2284499321.45)</f>
        <v>2284499321.4499998</v>
      </c>
      <c r="AE104" s="349">
        <f ca="1">IFERROR(__xludf.DUMMYFUNCTION("INDEX(IMPORTRANGE(""17pNv02DXDpQT9S3w4-QeNym2QJy2BzMBqDXp-XtzJBM"", ""'GPE'!BM3:BM139""),MATCH($D104,IMPORTRANGE(""17pNv02DXDpQT9S3w4-QeNym2QJy2BzMBqDXp-XtzJBM"", ""'GPE'!D3:D139""),0))"),1162582102.86)</f>
        <v>1162582102.8599999</v>
      </c>
    </row>
    <row r="105" spans="1:31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254</v>
      </c>
      <c r="H105" s="7" t="s">
        <v>254</v>
      </c>
      <c r="I105" s="2" t="s">
        <v>368</v>
      </c>
      <c r="J105" s="7" t="s">
        <v>254</v>
      </c>
      <c r="K105" s="13"/>
      <c r="L105" s="7" t="s">
        <v>255</v>
      </c>
      <c r="M105" s="13"/>
      <c r="N105" s="7" t="s">
        <v>256</v>
      </c>
      <c r="O105" s="2" t="s">
        <v>369</v>
      </c>
      <c r="P105" s="1" t="s">
        <v>218</v>
      </c>
      <c r="Q105" s="15">
        <f t="shared" ref="Q105:R105" si="22">Q101/Q104</f>
        <v>0.35416398005385219</v>
      </c>
      <c r="R105" s="15">
        <f t="shared" si="22"/>
        <v>0.35416398005385219</v>
      </c>
      <c r="S105" s="15">
        <f ca="1">IFERROR(__xludf.DUMMYFUNCTION("INDEX(IMPORTRANGE(""17pNv02DXDpQT9S3w4-QeNym2QJy2BzMBqDXp-XtzJBM"", ""'GPE'!BG3:BG139""),MATCH($D105,IMPORTRANGE(""17pNv02DXDpQT9S3w4-QeNym2QJy2BzMBqDXp-XtzJBM"", ""'GPE'!D3:D139""),0))"),0.354163980053852)</f>
        <v>0.35416398005385202</v>
      </c>
      <c r="T105" s="2"/>
      <c r="U105" s="26">
        <v>0.40400000000000003</v>
      </c>
      <c r="V105" s="2"/>
      <c r="W105" s="26">
        <v>0.42399999999999999</v>
      </c>
      <c r="X105" s="15">
        <f>(Y105-W105)/6*5+W105</f>
        <v>0.44066666666666665</v>
      </c>
      <c r="Y105" s="26">
        <v>0.44400000000000001</v>
      </c>
      <c r="Z105" s="15">
        <f ca="1">IFERROR(__xludf.DUMMYFUNCTION("INDEX(IMPORTRANGE(""17pNv02DXDpQT9S3w4-QeNym2QJy2BzMBqDXp-XtzJBM"", ""'GPE'!BH3:BH139""),MATCH($D105,IMPORTRANGE(""17pNv02DXDpQT9S3w4-QeNym2QJy2BzMBqDXp-XtzJBM"", ""'GPE'!D3:D139""),0))"),0.354163980053852)</f>
        <v>0.35416398005385202</v>
      </c>
      <c r="AA105" s="352" t="str">
        <f ca="1">IFERROR(__xludf.DUMMYFUNCTION("INDEX(IMPORTRANGE(""17pNv02DXDpQT9S3w4-QeNym2QJy2BzMBqDXp-XtzJBM"", ""'GPE'!BI3:BI139""),MATCH($D105,IMPORTRANGE(""17pNv02DXDpQT9S3w4-QeNym2QJy2BzMBqDXp-XtzJBM"", ""'GPE'!D3:D139""),0))"),"")</f>
        <v/>
      </c>
      <c r="AB105" s="15">
        <f ca="1">IFERROR(__xludf.DUMMYFUNCTION("INDEX(IMPORTRANGE(""17pNv02DXDpQT9S3w4-QeNym2QJy2BzMBqDXp-XtzJBM"", ""'GPE'!BJ3:BJ139""),MATCH($D105,IMPORTRANGE(""17pNv02DXDpQT9S3w4-QeNym2QJy2BzMBqDXp-XtzJBM"", ""'GPE'!D3:D139""),0))"),0.423663016184307)</f>
        <v>0.42366301618430702</v>
      </c>
      <c r="AC105" s="352" t="str">
        <f ca="1">IFERROR(__xludf.DUMMYFUNCTION("INDEX(IMPORTRANGE(""17pNv02DXDpQT9S3w4-QeNym2QJy2BzMBqDXp-XtzJBM"", ""'GPE'!BK3:BK139""),MATCH($D105,IMPORTRANGE(""17pNv02DXDpQT9S3w4-QeNym2QJy2BzMBqDXp-XtzJBM"", ""'GPE'!D3:D139""),0))"),"")</f>
        <v/>
      </c>
      <c r="AD105" s="15">
        <f ca="1">IFERROR(__xludf.DUMMYFUNCTION("INDEX(IMPORTRANGE(""17pNv02DXDpQT9S3w4-QeNym2QJy2BzMBqDXp-XtzJBM"", ""'GPE'!BL3:BL139""),MATCH($D105,IMPORTRANGE(""17pNv02DXDpQT9S3w4-QeNym2QJy2BzMBqDXp-XtzJBM"", ""'GPE'!D3:D139""),0))"),0.401328757855823)</f>
        <v>0.401328757855823</v>
      </c>
      <c r="AE105" s="15">
        <f ca="1">IFERROR(__xludf.DUMMYFUNCTION("INDEX(IMPORTRANGE(""17pNv02DXDpQT9S3w4-QeNym2QJy2BzMBqDXp-XtzJBM"", ""'GPE'!BM3:BM139""),MATCH($D105,IMPORTRANGE(""17pNv02DXDpQT9S3w4-QeNym2QJy2BzMBqDXp-XtzJBM"", ""'GPE'!D3:D139""),0))"),0.503752538903934)</f>
        <v>0.50375253890393401</v>
      </c>
    </row>
    <row r="106" spans="1:31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213</v>
      </c>
      <c r="H106" s="1" t="s">
        <v>214</v>
      </c>
      <c r="I106" s="2" t="s">
        <v>370</v>
      </c>
      <c r="J106" s="7" t="s">
        <v>215</v>
      </c>
      <c r="K106" s="13"/>
      <c r="L106" s="7" t="s">
        <v>216</v>
      </c>
      <c r="M106" s="13"/>
      <c r="N106" s="7" t="s">
        <v>217</v>
      </c>
      <c r="O106" s="2" t="s">
        <v>361</v>
      </c>
      <c r="P106" s="1" t="s">
        <v>218</v>
      </c>
      <c r="Q106" s="12">
        <v>226973</v>
      </c>
      <c r="R106" s="12">
        <v>226973</v>
      </c>
      <c r="S106" s="12">
        <f ca="1">IFERROR(__xludf.DUMMYFUNCTION("INDEX(IMPORTRANGE(""17pNv02DXDpQT9S3w4-QeNym2QJy2BzMBqDXp-XtzJBM"", ""'GPE'!BG3:BG139""),MATCH($D106,IMPORTRANGE(""17pNv02DXDpQT9S3w4-QeNym2QJy2BzMBqDXp-XtzJBM"", ""'GPE'!D3:D139""),0))"),225676)</f>
        <v>225676</v>
      </c>
      <c r="T106" s="4"/>
      <c r="U106" s="4"/>
      <c r="V106" s="4"/>
      <c r="W106" s="4"/>
      <c r="X106" s="4"/>
      <c r="Y106" s="4"/>
      <c r="Z106" s="12">
        <f ca="1">IFERROR(__xludf.DUMMYFUNCTION("INDEX(IMPORTRANGE(""17pNv02DXDpQT9S3w4-QeNym2QJy2BzMBqDXp-XtzJBM"", ""'GPE'!BH3:BH139""),MATCH($D106,IMPORTRANGE(""17pNv02DXDpQT9S3w4-QeNym2QJy2BzMBqDXp-XtzJBM"", ""'GPE'!D3:D139""),0))"),226973)</f>
        <v>226973</v>
      </c>
      <c r="AA106" s="316" t="str">
        <f ca="1">IFERROR(__xludf.DUMMYFUNCTION("INDEX(IMPORTRANGE(""17pNv02DXDpQT9S3w4-QeNym2QJy2BzMBqDXp-XtzJBM"", ""'GPE'!BI3:BI139""),MATCH($D106,IMPORTRANGE(""17pNv02DXDpQT9S3w4-QeNym2QJy2BzMBqDXp-XtzJBM"", ""'GPE'!D3:D139""),0))"),"")</f>
        <v/>
      </c>
      <c r="AB106" s="12">
        <f ca="1">IFERROR(__xludf.DUMMYFUNCTION("INDEX(IMPORTRANGE(""17pNv02DXDpQT9S3w4-QeNym2QJy2BzMBqDXp-XtzJBM"", ""'GPE'!BJ3:BJ139""),MATCH($D106,IMPORTRANGE(""17pNv02DXDpQT9S3w4-QeNym2QJy2BzMBqDXp-XtzJBM"", ""'GPE'!D3:D139""),0))"),227442)</f>
        <v>227442</v>
      </c>
      <c r="AC106" s="316" t="str">
        <f ca="1">IFERROR(__xludf.DUMMYFUNCTION("INDEX(IMPORTRANGE(""17pNv02DXDpQT9S3w4-QeNym2QJy2BzMBqDXp-XtzJBM"", ""'GPE'!BK3:BK139""),MATCH($D106,IMPORTRANGE(""17pNv02DXDpQT9S3w4-QeNym2QJy2BzMBqDXp-XtzJBM"", ""'GPE'!D3:D139""),0))"),"")</f>
        <v/>
      </c>
      <c r="AD106" s="12">
        <f ca="1">IFERROR(__xludf.DUMMYFUNCTION("INDEX(IMPORTRANGE(""17pNv02DXDpQT9S3w4-QeNym2QJy2BzMBqDXp-XtzJBM"", ""'GPE'!BL3:BL139""),MATCH($D106,IMPORTRANGE(""17pNv02DXDpQT9S3w4-QeNym2QJy2BzMBqDXp-XtzJBM"", ""'GPE'!D3:D139""),0))"),228020)</f>
        <v>228020</v>
      </c>
      <c r="AE106" s="12">
        <f ca="1">IFERROR(__xludf.DUMMYFUNCTION("INDEX(IMPORTRANGE(""17pNv02DXDpQT9S3w4-QeNym2QJy2BzMBqDXp-XtzJBM"", ""'GPE'!BM3:BM139""),MATCH($D106,IMPORTRANGE(""17pNv02DXDpQT9S3w4-QeNym2QJy2BzMBqDXp-XtzJBM"", ""'GPE'!D3:D139""),0))"),228984)</f>
        <v>228984</v>
      </c>
    </row>
    <row r="107" spans="1:31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2" t="s">
        <v>366</v>
      </c>
      <c r="P107" s="1" t="s">
        <v>218</v>
      </c>
      <c r="Q107" s="12">
        <v>142986</v>
      </c>
      <c r="R107" s="12">
        <v>142986</v>
      </c>
      <c r="S107" s="12">
        <f ca="1">IFERROR(__xludf.DUMMYFUNCTION("INDEX(IMPORTRANGE(""17pNv02DXDpQT9S3w4-QeNym2QJy2BzMBqDXp-XtzJBM"", ""'GPE'!BG3:BG139""),MATCH($D107,IMPORTRANGE(""17pNv02DXDpQT9S3w4-QeNym2QJy2BzMBqDXp-XtzJBM"", ""'GPE'!D3:D139""),0))"),128863)</f>
        <v>128863</v>
      </c>
      <c r="T107" s="2"/>
      <c r="U107" s="2"/>
      <c r="V107" s="2"/>
      <c r="W107" s="2"/>
      <c r="X107" s="2"/>
      <c r="Y107" s="2"/>
      <c r="Z107" s="12">
        <f ca="1">IFERROR(__xludf.DUMMYFUNCTION("INDEX(IMPORTRANGE(""17pNv02DXDpQT9S3w4-QeNym2QJy2BzMBqDXp-XtzJBM"", ""'GPE'!BH3:BH139""),MATCH($D107,IMPORTRANGE(""17pNv02DXDpQT9S3w4-QeNym2QJy2BzMBqDXp-XtzJBM"", ""'GPE'!D3:D139""),0))"),142986)</f>
        <v>142986</v>
      </c>
      <c r="AA107" s="316" t="str">
        <f ca="1">IFERROR(__xludf.DUMMYFUNCTION("INDEX(IMPORTRANGE(""17pNv02DXDpQT9S3w4-QeNym2QJy2BzMBqDXp-XtzJBM"", ""'GPE'!BI3:BI139""),MATCH($D107,IMPORTRANGE(""17pNv02DXDpQT9S3w4-QeNym2QJy2BzMBqDXp-XtzJBM"", ""'GPE'!D3:D139""),0))"),"")</f>
        <v/>
      </c>
      <c r="AB107" s="12">
        <f ca="1">IFERROR(__xludf.DUMMYFUNCTION("INDEX(IMPORTRANGE(""17pNv02DXDpQT9S3w4-QeNym2QJy2BzMBqDXp-XtzJBM"", ""'GPE'!BJ3:BJ139""),MATCH($D107,IMPORTRANGE(""17pNv02DXDpQT9S3w4-QeNym2QJy2BzMBqDXp-XtzJBM"", ""'GPE'!D3:D139""),0))"),146410)</f>
        <v>146410</v>
      </c>
      <c r="AC107" s="316" t="str">
        <f ca="1">IFERROR(__xludf.DUMMYFUNCTION("INDEX(IMPORTRANGE(""17pNv02DXDpQT9S3w4-QeNym2QJy2BzMBqDXp-XtzJBM"", ""'GPE'!BK3:BK139""),MATCH($D107,IMPORTRANGE(""17pNv02DXDpQT9S3w4-QeNym2QJy2BzMBqDXp-XtzJBM"", ""'GPE'!D3:D139""),0))"),"")</f>
        <v/>
      </c>
      <c r="AD107" s="12">
        <f ca="1">IFERROR(__xludf.DUMMYFUNCTION("INDEX(IMPORTRANGE(""17pNv02DXDpQT9S3w4-QeNym2QJy2BzMBqDXp-XtzJBM"", ""'GPE'!BL3:BL139""),MATCH($D107,IMPORTRANGE(""17pNv02DXDpQT9S3w4-QeNym2QJy2BzMBqDXp-XtzJBM"", ""'GPE'!D3:D139""),0))"),152501)</f>
        <v>152501</v>
      </c>
      <c r="AE107" s="12">
        <f ca="1">IFERROR(__xludf.DUMMYFUNCTION("INDEX(IMPORTRANGE(""17pNv02DXDpQT9S3w4-QeNym2QJy2BzMBqDXp-XtzJBM"", ""'GPE'!BM3:BM139""),MATCH($D107,IMPORTRANGE(""17pNv02DXDpQT9S3w4-QeNym2QJy2BzMBqDXp-XtzJBM"", ""'GPE'!D3:D139""),0))"),153421)</f>
        <v>153421</v>
      </c>
    </row>
    <row r="108" spans="1:31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2" t="s">
        <v>365</v>
      </c>
      <c r="J108" s="7" t="s">
        <v>215</v>
      </c>
      <c r="K108" s="13"/>
      <c r="L108" s="7" t="s">
        <v>216</v>
      </c>
      <c r="M108" s="13"/>
      <c r="N108" s="7" t="s">
        <v>217</v>
      </c>
      <c r="O108" s="2" t="s">
        <v>366</v>
      </c>
      <c r="P108" s="1" t="s">
        <v>218</v>
      </c>
      <c r="Q108" s="15">
        <f t="shared" ref="Q108:R108" si="23">Q107/Q106</f>
        <v>0.62996920338542473</v>
      </c>
      <c r="R108" s="15">
        <f t="shared" si="23"/>
        <v>0.62996920338542473</v>
      </c>
      <c r="S108" s="15">
        <f ca="1">IFERROR(__xludf.DUMMYFUNCTION("INDEX(IMPORTRANGE(""17pNv02DXDpQT9S3w4-QeNym2QJy2BzMBqDXp-XtzJBM"", ""'GPE'!BG3:BG139""),MATCH($D108,IMPORTRANGE(""17pNv02DXDpQT9S3w4-QeNym2QJy2BzMBqDXp-XtzJBM"", ""'GPE'!D3:D139""),0))"),0.571008879987238)</f>
        <v>0.57100887998723804</v>
      </c>
      <c r="T108" s="2"/>
      <c r="U108" s="26">
        <v>0.65</v>
      </c>
      <c r="V108" s="2"/>
      <c r="W108" s="14">
        <v>0.66</v>
      </c>
      <c r="X108" s="15">
        <f>(Y108-W108)/6*5+W108</f>
        <v>0.66833333333333333</v>
      </c>
      <c r="Y108" s="14">
        <v>0.67</v>
      </c>
      <c r="Z108" s="15">
        <f ca="1">IFERROR(__xludf.DUMMYFUNCTION("INDEX(IMPORTRANGE(""17pNv02DXDpQT9S3w4-QeNym2QJy2BzMBqDXp-XtzJBM"", ""'GPE'!BH3:BH139""),MATCH($D108,IMPORTRANGE(""17pNv02DXDpQT9S3w4-QeNym2QJy2BzMBqDXp-XtzJBM"", ""'GPE'!D3:D139""),0))"),0.629969203385424)</f>
        <v>0.62996920338542395</v>
      </c>
      <c r="AA108" s="352" t="str">
        <f ca="1">IFERROR(__xludf.DUMMYFUNCTION("INDEX(IMPORTRANGE(""17pNv02DXDpQT9S3w4-QeNym2QJy2BzMBqDXp-XtzJBM"", ""'GPE'!BI3:BI139""),MATCH($D108,IMPORTRANGE(""17pNv02DXDpQT9S3w4-QeNym2QJy2BzMBqDXp-XtzJBM"", ""'GPE'!D3:D139""),0))"),"")</f>
        <v/>
      </c>
      <c r="AB108" s="15">
        <f ca="1">IFERROR(__xludf.DUMMYFUNCTION("INDEX(IMPORTRANGE(""17pNv02DXDpQT9S3w4-QeNym2QJy2BzMBqDXp-XtzJBM"", ""'GPE'!BJ3:BJ139""),MATCH($D108,IMPORTRANGE(""17pNv02DXDpQT9S3w4-QeNym2QJy2BzMBqDXp-XtzJBM"", ""'GPE'!D3:D139""),0))"),0.643724553952216)</f>
        <v>0.64372455395221595</v>
      </c>
      <c r="AC108" s="352" t="str">
        <f ca="1">IFERROR(__xludf.DUMMYFUNCTION("INDEX(IMPORTRANGE(""17pNv02DXDpQT9S3w4-QeNym2QJy2BzMBqDXp-XtzJBM"", ""'GPE'!BK3:BK139""),MATCH($D108,IMPORTRANGE(""17pNv02DXDpQT9S3w4-QeNym2QJy2BzMBqDXp-XtzJBM"", ""'GPE'!D3:D139""),0))"),"")</f>
        <v/>
      </c>
      <c r="AD108" s="15">
        <f ca="1">IFERROR(__xludf.DUMMYFUNCTION("INDEX(IMPORTRANGE(""17pNv02DXDpQT9S3w4-QeNym2QJy2BzMBqDXp-XtzJBM"", ""'GPE'!BL3:BL139""),MATCH($D108,IMPORTRANGE(""17pNv02DXDpQT9S3w4-QeNym2QJy2BzMBqDXp-XtzJBM"", ""'GPE'!D3:D139""),0))"),0.668805367950179)</f>
        <v>0.66880536795017898</v>
      </c>
      <c r="AE108" s="15">
        <f ca="1">IFERROR(__xludf.DUMMYFUNCTION("INDEX(IMPORTRANGE(""17pNv02DXDpQT9S3w4-QeNym2QJy2BzMBqDXp-XtzJBM"", ""'GPE'!BM3:BM139""),MATCH($D108,IMPORTRANGE(""17pNv02DXDpQT9S3w4-QeNym2QJy2BzMBqDXp-XtzJBM"", ""'GPE'!D3:D139""),0))"),0.670007511441847)</f>
        <v>0.670007511441847</v>
      </c>
    </row>
    <row r="109" spans="1:31">
      <c r="A109" s="7" t="s">
        <v>275</v>
      </c>
      <c r="B109" s="7" t="s">
        <v>276</v>
      </c>
      <c r="C109" s="1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2" t="s">
        <v>366</v>
      </c>
      <c r="P109" s="1" t="s">
        <v>218</v>
      </c>
      <c r="Q109" s="36"/>
      <c r="R109" s="36"/>
      <c r="S109" s="36">
        <f ca="1">IFERROR(__xludf.DUMMYFUNCTION("INDEX(IMPORTRANGE(""17pNv02DXDpQT9S3w4-QeNym2QJy2BzMBqDXp-XtzJBM"", ""'GPE'!BG3:BG139""),MATCH($D109,IMPORTRANGE(""17pNv02DXDpQT9S3w4-QeNym2QJy2BzMBqDXp-XtzJBM"", ""'GPE'!D3:D139""),0))"),189007795.459999)</f>
        <v>189007795.459999</v>
      </c>
      <c r="T109" s="2"/>
      <c r="U109" s="2"/>
      <c r="V109" s="2"/>
      <c r="W109" s="2"/>
      <c r="X109" s="2"/>
      <c r="Y109" s="2"/>
      <c r="Z109" s="36">
        <f ca="1">IFERROR(__xludf.DUMMYFUNCTION("INDEX(IMPORTRANGE(""17pNv02DXDpQT9S3w4-QeNym2QJy2BzMBqDXp-XtzJBM"", ""'GPE'!BH3:BH139""),MATCH($D109,IMPORTRANGE(""17pNv02DXDpQT9S3w4-QeNym2QJy2BzMBqDXp-XtzJBM"", ""'GPE'!D3:D139""),0))"),203360688.65)</f>
        <v>203360688.65000001</v>
      </c>
      <c r="AA109" s="330" t="str">
        <f ca="1">IFERROR(__xludf.DUMMYFUNCTION("INDEX(IMPORTRANGE(""17pNv02DXDpQT9S3w4-QeNym2QJy2BzMBqDXp-XtzJBM"", ""'GPE'!BI3:BI139""),MATCH($D109,IMPORTRANGE(""17pNv02DXDpQT9S3w4-QeNym2QJy2BzMBqDXp-XtzJBM"", ""'GPE'!D3:D139""),0))"),"")</f>
        <v/>
      </c>
      <c r="AB109" s="36">
        <f ca="1">IFERROR(__xludf.DUMMYFUNCTION("INDEX(IMPORTRANGE(""17pNv02DXDpQT9S3w4-QeNym2QJy2BzMBqDXp-XtzJBM"", ""'GPE'!BJ3:BJ139""),MATCH($D109,IMPORTRANGE(""17pNv02DXDpQT9S3w4-QeNym2QJy2BzMBqDXp-XtzJBM"", ""'GPE'!D3:D139""),0))"),334941885.95)</f>
        <v>334941885.94999999</v>
      </c>
      <c r="AC109" s="330" t="str">
        <f ca="1">IFERROR(__xludf.DUMMYFUNCTION("INDEX(IMPORTRANGE(""17pNv02DXDpQT9S3w4-QeNym2QJy2BzMBqDXp-XtzJBM"", ""'GPE'!BK3:BK139""),MATCH($D109,IMPORTRANGE(""17pNv02DXDpQT9S3w4-QeNym2QJy2BzMBqDXp-XtzJBM"", ""'GPE'!D3:D139""),0))"),"")</f>
        <v/>
      </c>
      <c r="AD109" s="36">
        <f ca="1">IFERROR(__xludf.DUMMYFUNCTION("INDEX(IMPORTRANGE(""17pNv02DXDpQT9S3w4-QeNym2QJy2BzMBqDXp-XtzJBM"", ""'GPE'!BL3:BL139""),MATCH($D109,IMPORTRANGE(""17pNv02DXDpQT9S3w4-QeNym2QJy2BzMBqDXp-XtzJBM"", ""'GPE'!D3:D139""),0))"),360956939.71)</f>
        <v>360956939.70999998</v>
      </c>
      <c r="AE109" s="36">
        <f ca="1">IFERROR(__xludf.DUMMYFUNCTION("INDEX(IMPORTRANGE(""17pNv02DXDpQT9S3w4-QeNym2QJy2BzMBqDXp-XtzJBM"", ""'GPE'!BM3:BM139""),MATCH($D109,IMPORTRANGE(""17pNv02DXDpQT9S3w4-QeNym2QJy2BzMBqDXp-XtzJBM"", ""'GPE'!D3:D139""),0))"),341646686.07)</f>
        <v>341646686.06999999</v>
      </c>
    </row>
    <row r="110" spans="1:31">
      <c r="A110" s="7" t="s">
        <v>275</v>
      </c>
      <c r="B110" s="7" t="s">
        <v>276</v>
      </c>
      <c r="C110" s="1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2" t="s">
        <v>365</v>
      </c>
      <c r="J110" s="7" t="s">
        <v>215</v>
      </c>
      <c r="K110" s="13"/>
      <c r="L110" s="7" t="s">
        <v>216</v>
      </c>
      <c r="M110" s="13"/>
      <c r="N110" s="7" t="s">
        <v>217</v>
      </c>
      <c r="O110" s="2" t="s">
        <v>366</v>
      </c>
      <c r="P110" s="1" t="s">
        <v>218</v>
      </c>
      <c r="Q110" s="36">
        <v>203360688.65000004</v>
      </c>
      <c r="R110" s="36">
        <v>203360688.65000004</v>
      </c>
      <c r="S110" s="36" t="str">
        <f ca="1">IFERROR(__xludf.DUMMYFUNCTION("INDEX(IMPORTRANGE(""17pNv02DXDpQT9S3w4-QeNym2QJy2BzMBqDXp-XtzJBM"", ""'GPE'!BG3:BG139""),MATCH($D110,IMPORTRANGE(""17pNv02DXDpQT9S3w4-QeNym2QJy2BzMBqDXp-XtzJBM"", ""'GPE'!D3:D139""),0))"),"")</f>
        <v/>
      </c>
      <c r="T110" s="2"/>
      <c r="U110" s="36">
        <v>213528723.08000001</v>
      </c>
      <c r="V110" s="2"/>
      <c r="W110" s="36">
        <v>217799297.53999999</v>
      </c>
      <c r="X110" s="36">
        <f>(Y110-W110)/6*5+W110</f>
        <v>221019175.09</v>
      </c>
      <c r="Y110" s="36">
        <v>221663150.59999999</v>
      </c>
      <c r="Z110" s="36" t="str">
        <f ca="1">IFERROR(__xludf.DUMMYFUNCTION("INDEX(IMPORTRANGE(""17pNv02DXDpQT9S3w4-QeNym2QJy2BzMBqDXp-XtzJBM"", ""'GPE'!BH3:BH139""),MATCH($D110,IMPORTRANGE(""17pNv02DXDpQT9S3w4-QeNym2QJy2BzMBqDXp-XtzJBM"", ""'GPE'!D3:D139""),0))"),"")</f>
        <v/>
      </c>
      <c r="AA110" s="330" t="str">
        <f ca="1">IFERROR(__xludf.DUMMYFUNCTION("INDEX(IMPORTRANGE(""17pNv02DXDpQT9S3w4-QeNym2QJy2BzMBqDXp-XtzJBM"", ""'GPE'!BI3:BI139""),MATCH($D110,IMPORTRANGE(""17pNv02DXDpQT9S3w4-QeNym2QJy2BzMBqDXp-XtzJBM"", ""'GPE'!D3:D139""),0))"),"")</f>
        <v/>
      </c>
      <c r="AB110" s="36">
        <f ca="1">IFERROR(__xludf.DUMMYFUNCTION("INDEX(IMPORTRANGE(""17pNv02DXDpQT9S3w4-QeNym2QJy2BzMBqDXp-XtzJBM"", ""'GPE'!BJ3:BJ139""),MATCH($D110,IMPORTRANGE(""17pNv02DXDpQT9S3w4-QeNym2QJy2BzMBqDXp-XtzJBM"", ""'GPE'!D3:D139""),0))"),337716623.799999)</f>
        <v>337716623.799999</v>
      </c>
      <c r="AC110" s="330" t="str">
        <f ca="1">IFERROR(__xludf.DUMMYFUNCTION("INDEX(IMPORTRANGE(""17pNv02DXDpQT9S3w4-QeNym2QJy2BzMBqDXp-XtzJBM"", ""'GPE'!BK3:BK139""),MATCH($D110,IMPORTRANGE(""17pNv02DXDpQT9S3w4-QeNym2QJy2BzMBqDXp-XtzJBM"", ""'GPE'!D3:D139""),0))"),"")</f>
        <v/>
      </c>
      <c r="AD110" s="36">
        <f ca="1">IFERROR(__xludf.DUMMYFUNCTION("INDEX(IMPORTRANGE(""17pNv02DXDpQT9S3w4-QeNym2QJy2BzMBqDXp-XtzJBM"", ""'GPE'!BL3:BL139""),MATCH($D110,IMPORTRANGE(""17pNv02DXDpQT9S3w4-QeNym2QJy2BzMBqDXp-XtzJBM"", ""'GPE'!D3:D139""),0))"),368624438.11)</f>
        <v>368624438.11000001</v>
      </c>
      <c r="AE110" s="36">
        <f ca="1">IFERROR(__xludf.DUMMYFUNCTION("INDEX(IMPORTRANGE(""17pNv02DXDpQT9S3w4-QeNym2QJy2BzMBqDXp-XtzJBM"", ""'GPE'!BM3:BM139""),MATCH($D110,IMPORTRANGE(""17pNv02DXDpQT9S3w4-QeNym2QJy2BzMBqDXp-XtzJBM"", ""'GPE'!D3:D139""),0))"),343554286.78)</f>
        <v>343554286.77999997</v>
      </c>
    </row>
    <row r="111" spans="1:31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2" t="s">
        <v>369</v>
      </c>
      <c r="P111" s="1" t="s">
        <v>218</v>
      </c>
      <c r="Q111" s="349">
        <v>2219811649</v>
      </c>
      <c r="R111" s="349">
        <v>2219811649</v>
      </c>
      <c r="S111" s="349">
        <f ca="1">IFERROR(__xludf.DUMMYFUNCTION("INDEX(IMPORTRANGE(""17pNv02DXDpQT9S3w4-QeNym2QJy2BzMBqDXp-XtzJBM"", ""'GPE'!BG3:BG139""),MATCH($D111,IMPORTRANGE(""17pNv02DXDpQT9S3w4-QeNym2QJy2BzMBqDXp-XtzJBM"", ""'GPE'!D3:D139""),0))"),1099024636)</f>
        <v>1099024636</v>
      </c>
      <c r="T111" s="4"/>
      <c r="U111" s="4"/>
      <c r="V111" s="4"/>
      <c r="W111" s="4"/>
      <c r="X111" s="4"/>
      <c r="Y111" s="4"/>
      <c r="Z111" s="36">
        <f ca="1">IFERROR(__xludf.DUMMYFUNCTION("INDEX(IMPORTRANGE(""17pNv02DXDpQT9S3w4-QeNym2QJy2BzMBqDXp-XtzJBM"", ""'GPE'!BH3:BH139""),MATCH($D111,IMPORTRANGE(""17pNv02DXDpQT9S3w4-QeNym2QJy2BzMBqDXp-XtzJBM"", ""'GPE'!D3:D139""),0))"),2219811649)</f>
        <v>2219811649</v>
      </c>
      <c r="AA111" s="330" t="str">
        <f ca="1">IFERROR(__xludf.DUMMYFUNCTION("INDEX(IMPORTRANGE(""17pNv02DXDpQT9S3w4-QeNym2QJy2BzMBqDXp-XtzJBM"", ""'GPE'!BI3:BI139""),MATCH($D111,IMPORTRANGE(""17pNv02DXDpQT9S3w4-QeNym2QJy2BzMBqDXp-XtzJBM"", ""'GPE'!D3:D139""),0))"),"")</f>
        <v/>
      </c>
      <c r="AB111" s="36">
        <f ca="1">IFERROR(__xludf.DUMMYFUNCTION("INDEX(IMPORTRANGE(""17pNv02DXDpQT9S3w4-QeNym2QJy2BzMBqDXp-XtzJBM"", ""'GPE'!BJ3:BJ139""),MATCH($D111,IMPORTRANGE(""17pNv02DXDpQT9S3w4-QeNym2QJy2BzMBqDXp-XtzJBM"", ""'GPE'!D3:D139""),0))"),2753750457.9)</f>
        <v>2753750457.9000001</v>
      </c>
      <c r="AC111" s="330" t="str">
        <f ca="1">IFERROR(__xludf.DUMMYFUNCTION("INDEX(IMPORTRANGE(""17pNv02DXDpQT9S3w4-QeNym2QJy2BzMBqDXp-XtzJBM"", ""'GPE'!BK3:BK139""),MATCH($D111,IMPORTRANGE(""17pNv02DXDpQT9S3w4-QeNym2QJy2BzMBqDXp-XtzJBM"", ""'GPE'!D3:D139""),0))"),"")</f>
        <v/>
      </c>
      <c r="AD111" s="36">
        <f ca="1">IFERROR(__xludf.DUMMYFUNCTION("INDEX(IMPORTRANGE(""17pNv02DXDpQT9S3w4-QeNym2QJy2BzMBqDXp-XtzJBM"", ""'GPE'!BL3:BL139""),MATCH($D111,IMPORTRANGE(""17pNv02DXDpQT9S3w4-QeNym2QJy2BzMBqDXp-XtzJBM"", ""'GPE'!D3:D139""),0))"),3064644247.61)</f>
        <v>3064644247.6100001</v>
      </c>
      <c r="AE111" s="36">
        <f ca="1">IFERROR(__xludf.DUMMYFUNCTION("INDEX(IMPORTRANGE(""17pNv02DXDpQT9S3w4-QeNym2QJy2BzMBqDXp-XtzJBM"", ""'GPE'!BM3:BM139""),MATCH($D111,IMPORTRANGE(""17pNv02DXDpQT9S3w4-QeNym2QJy2BzMBqDXp-XtzJBM"", ""'GPE'!D3:D139""),0))"),1646965793.16)</f>
        <v>1646965793.1600001</v>
      </c>
    </row>
    <row r="112" spans="1:31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11" t="s">
        <v>307</v>
      </c>
      <c r="H112" s="13"/>
      <c r="I112" s="2" t="s">
        <v>368</v>
      </c>
      <c r="J112" s="1" t="s">
        <v>254</v>
      </c>
      <c r="K112" s="13"/>
      <c r="L112" s="1" t="s">
        <v>255</v>
      </c>
      <c r="M112" s="13"/>
      <c r="N112" s="1" t="s">
        <v>256</v>
      </c>
      <c r="O112" s="2" t="s">
        <v>369</v>
      </c>
      <c r="P112" s="1"/>
      <c r="Q112" s="15">
        <f t="shared" ref="Q112:R112" si="24">Q104/Q111</f>
        <v>0.75913892998946053</v>
      </c>
      <c r="R112" s="15">
        <f t="shared" si="24"/>
        <v>0.75913892998946053</v>
      </c>
      <c r="S112" s="15">
        <f ca="1">IFERROR(__xludf.DUMMYFUNCTION("INDEX(IMPORTRANGE(""17pNv02DXDpQT9S3w4-QeNym2QJy2BzMBqDXp-XtzJBM"", ""'GPE'!BG3:BG139""),MATCH($D112,IMPORTRANGE(""17pNv02DXDpQT9S3w4-QeNym2QJy2BzMBqDXp-XtzJBM"", ""'GPE'!D3:D139""),0))"),0.762268396502078)</f>
        <v>0.76226839650207801</v>
      </c>
      <c r="T112" s="2"/>
      <c r="U112" s="26">
        <v>0.749</v>
      </c>
      <c r="V112" s="2"/>
      <c r="W112" s="26">
        <v>0.73899999999999999</v>
      </c>
      <c r="X112" s="15">
        <f>(Y112-W112)/6*5+W112</f>
        <v>0.73066666666666669</v>
      </c>
      <c r="Y112" s="26">
        <v>0.72899999999999998</v>
      </c>
      <c r="Z112" s="15">
        <f ca="1">IFERROR(__xludf.DUMMYFUNCTION("INDEX(IMPORTRANGE(""17pNv02DXDpQT9S3w4-QeNym2QJy2BzMBqDXp-XtzJBM"", ""'GPE'!BH3:BH139""),MATCH($D112,IMPORTRANGE(""17pNv02DXDpQT9S3w4-QeNym2QJy2BzMBqDXp-XtzJBM"", ""'GPE'!D3:D139""),0))"),0.75913892998946)</f>
        <v>0.75913892998945998</v>
      </c>
      <c r="AA112" s="352" t="str">
        <f ca="1">IFERROR(__xludf.DUMMYFUNCTION("INDEX(IMPORTRANGE(""17pNv02DXDpQT9S3w4-QeNym2QJy2BzMBqDXp-XtzJBM"", ""'GPE'!BI3:BI139""),MATCH($D112,IMPORTRANGE(""17pNv02DXDpQT9S3w4-QeNym2QJy2BzMBqDXp-XtzJBM"", ""'GPE'!D3:D139""),0))"),"")</f>
        <v/>
      </c>
      <c r="AB112" s="15">
        <f ca="1">IFERROR(__xludf.DUMMYFUNCTION("INDEX(IMPORTRANGE(""17pNv02DXDpQT9S3w4-QeNym2QJy2BzMBqDXp-XtzJBM"", ""'GPE'!BJ3:BJ139""),MATCH($D112,IMPORTRANGE(""17pNv02DXDpQT9S3w4-QeNym2QJy2BzMBqDXp-XtzJBM"", ""'GPE'!D3:D139""),0))"),0.720469084472884)</f>
        <v>0.72046908447288405</v>
      </c>
      <c r="AC112" s="352" t="str">
        <f ca="1">IFERROR(__xludf.DUMMYFUNCTION("INDEX(IMPORTRANGE(""17pNv02DXDpQT9S3w4-QeNym2QJy2BzMBqDXp-XtzJBM"", ""'GPE'!BK3:BK139""),MATCH($D112,IMPORTRANGE(""17pNv02DXDpQT9S3w4-QeNym2QJy2BzMBqDXp-XtzJBM"", ""'GPE'!D3:D139""),0))"),"")</f>
        <v/>
      </c>
      <c r="AD112" s="15">
        <f ca="1">IFERROR(__xludf.DUMMYFUNCTION("INDEX(IMPORTRANGE(""17pNv02DXDpQT9S3w4-QeNym2QJy2BzMBqDXp-XtzJBM"", ""'GPE'!BL3:BL139""),MATCH($D112,IMPORTRANGE(""17pNv02DXDpQT9S3w4-QeNym2QJy2BzMBqDXp-XtzJBM"", ""'GPE'!D3:D139""),0))"),0.74543703505932)</f>
        <v>0.74543703505932002</v>
      </c>
      <c r="AE112" s="15">
        <f ca="1">IFERROR(__xludf.DUMMYFUNCTION("INDEX(IMPORTRANGE(""17pNv02DXDpQT9S3w4-QeNym2QJy2BzMBqDXp-XtzJBM"", ""'GPE'!BM3:BM139""),MATCH($D112,IMPORTRANGE(""17pNv02DXDpQT9S3w4-QeNym2QJy2BzMBqDXp-XtzJBM"", ""'GPE'!D3:D139""),0))"),0.705893290369666)</f>
        <v>0.70589329036966597</v>
      </c>
    </row>
    <row r="113" spans="1:31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49">
        <v>44348</v>
      </c>
      <c r="J113" s="1" t="s">
        <v>254</v>
      </c>
      <c r="K113" s="13"/>
      <c r="L113" s="1" t="s">
        <v>255</v>
      </c>
      <c r="M113" s="13"/>
      <c r="N113" s="1" t="s">
        <v>256</v>
      </c>
      <c r="O113" s="49">
        <v>45473</v>
      </c>
      <c r="P113" s="1"/>
      <c r="Q113" s="30" t="s">
        <v>433</v>
      </c>
      <c r="R113" s="30" t="s">
        <v>433</v>
      </c>
      <c r="S113" s="30" t="str">
        <f ca="1">IFERROR(__xludf.DUMMYFUNCTION("INDEX(IMPORTRANGE(""17pNv02DXDpQT9S3w4-QeNym2QJy2BzMBqDXp-XtzJBM"", ""'GPE'!BG3:BG139""),MATCH($D113,IMPORTRANGE(""17pNv02DXDpQT9S3w4-QeNym2QJy2BzMBqDXp-XtzJBM"", ""'GPE'!D3:D139""),0))"),"Amarillo")</f>
        <v>Amarillo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2" t="str">
        <f ca="1">IFERROR(__xludf.DUMMYFUNCTION("INDEX(IMPORTRANGE(""17pNv02DXDpQT9S3w4-QeNym2QJy2BzMBqDXp-XtzJBM"", ""'GPE'!BH3:BH139""),MATCH($D113,IMPORTRANGE(""17pNv02DXDpQT9S3w4-QeNym2QJy2BzMBqDXp-XtzJBM"", ""'GPE'!D3:D139""),0))"),"Amarillo")</f>
        <v>Amarillo</v>
      </c>
      <c r="AA113" s="13" t="str">
        <f ca="1">IFERROR(__xludf.DUMMYFUNCTION("INDEX(IMPORTRANGE(""17pNv02DXDpQT9S3w4-QeNym2QJy2BzMBqDXp-XtzJBM"", ""'GPE'!BI3:BI139""),MATCH($D113,IMPORTRANGE(""17pNv02DXDpQT9S3w4-QeNym2QJy2BzMBqDXp-XtzJBM"", ""'GPE'!D3:D139""),0))"),"")</f>
        <v/>
      </c>
      <c r="AB113" s="2" t="str">
        <f ca="1">IFERROR(__xludf.DUMMYFUNCTION("INDEX(IMPORTRANGE(""17pNv02DXDpQT9S3w4-QeNym2QJy2BzMBqDXp-XtzJBM"", ""'GPE'!BJ3:BJ139""),MATCH($D113,IMPORTRANGE(""17pNv02DXDpQT9S3w4-QeNym2QJy2BzMBqDXp-XtzJBM"", ""'GPE'!D3:D139""),0))"),"Verde")</f>
        <v>Verde</v>
      </c>
      <c r="AC113" s="13" t="str">
        <f ca="1">IFERROR(__xludf.DUMMYFUNCTION("INDEX(IMPORTRANGE(""17pNv02DXDpQT9S3w4-QeNym2QJy2BzMBqDXp-XtzJBM"", ""'GPE'!BK3:BK139""),MATCH($D113,IMPORTRANGE(""17pNv02DXDpQT9S3w4-QeNym2QJy2BzMBqDXp-XtzJBM"", ""'GPE'!D3:D139""),0))"),"")</f>
        <v/>
      </c>
      <c r="AD113" s="2" t="str">
        <f ca="1">IFERROR(__xludf.DUMMYFUNCTION("INDEX(IMPORTRANGE(""17pNv02DXDpQT9S3w4-QeNym2QJy2BzMBqDXp-XtzJBM"", ""'GPE'!BL3:BL139""),MATCH($D113,IMPORTRANGE(""17pNv02DXDpQT9S3w4-QeNym2QJy2BzMBqDXp-XtzJBM"", ""'GPE'!D3:D139""),0))"),"Verde")</f>
        <v>Verde</v>
      </c>
      <c r="AE113" s="2" t="str">
        <f ca="1">IFERROR(__xludf.DUMMYFUNCTION("INDEX(IMPORTRANGE(""17pNv02DXDpQT9S3w4-QeNym2QJy2BzMBqDXp-XtzJBM"", ""'GPE'!BM3:BM139""),MATCH($D113,IMPORTRANGE(""17pNv02DXDpQT9S3w4-QeNym2QJy2BzMBqDXp-XtzJBM"", ""'GPE'!D3:D139""),0))"),"Verde")</f>
        <v>Verde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9652F-DD81-A74D-AD37-BB55041AB979}">
  <dimension ref="A1:M39"/>
  <sheetViews>
    <sheetView topLeftCell="A35" workbookViewId="0">
      <selection activeCell="I3" sqref="I3"/>
    </sheetView>
  </sheetViews>
  <sheetFormatPr baseColWidth="10" defaultRowHeight="16"/>
  <cols>
    <col min="1" max="1" width="10.83203125" style="118"/>
    <col min="3" max="3" width="20.5" customWidth="1"/>
    <col min="7" max="7" width="12.16406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GPE'!$D$3:$AE$113,6,0)</f>
        <v>44469</v>
      </c>
      <c r="E2" s="212">
        <f ca="1">VLOOKUP(C2,'BD EVA 5 GPE'!$D$3:$AE$113,16,0)</f>
        <v>845</v>
      </c>
      <c r="F2" s="75" t="str">
        <f>VLOOKUP(C2,'BD EVA 5 GPE'!$D$3:$AE$113,12,0)</f>
        <v>Ago 2024</v>
      </c>
      <c r="G2" s="212">
        <f ca="1">VLOOKUP(C2,'BD EVA 5 GPE'!$D$3:$AE$113,28,0)</f>
        <v>846</v>
      </c>
      <c r="H2" s="212">
        <f>VLOOKUP(C2,'BD EVA 5 GPE'!$D$3:$AE$113,21,0)</f>
        <v>852.33333333333337</v>
      </c>
      <c r="I2" s="78">
        <f ca="1">IF(G2&gt;=E2,G2/H2,0)</f>
        <v>0.99256941728588188</v>
      </c>
      <c r="J2" s="72" t="s">
        <v>316</v>
      </c>
      <c r="K2" s="81">
        <v>2.7</v>
      </c>
      <c r="L2" s="81">
        <f t="shared" ref="L2:L39" ca="1" si="0">IF(I2&lt;0,0,IF(I2&gt;1,K2,I2*K2))</f>
        <v>2.6799374266718812</v>
      </c>
      <c r="M2" s="124">
        <f ca="1">SUM(L2:L4)</f>
        <v>9.9799374266718814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GPE'!$D$3:$AE$113,6,0)</f>
        <v>44469</v>
      </c>
      <c r="E3" s="207">
        <f ca="1">VLOOKUP(C3,'BD EVA 5 GPE'!$D$3:$AE$113,16,0)</f>
        <v>0.99171597633136099</v>
      </c>
      <c r="F3" s="75" t="str">
        <f>VLOOKUP(C3,'BD EVA 5 GPE'!$D$3:$AE$113,12,0)</f>
        <v>Ago 2024</v>
      </c>
      <c r="G3" s="207">
        <f ca="1">VLOOKUP(C3,'BD EVA 5 GPE'!$D$3:$AE$113,28,0)</f>
        <v>0.97635933806146502</v>
      </c>
      <c r="H3" s="207" t="str">
        <f>VLOOKUP(C3,'BD EVA 5 GPE'!$D$3:$AE$113,21,0)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GPE'!$D$3:$AE$113,6,0)</f>
        <v>44469</v>
      </c>
      <c r="E4" s="207">
        <f ca="1">VLOOKUP(C4,'BD EVA 5 GPE'!$D$3:$AE$113,16,0)</f>
        <v>2.13017751479289E-2</v>
      </c>
      <c r="F4" s="89" t="str">
        <f>VLOOKUP(C4,'BD EVA 5 GPE'!$D$3:$AE$113,12,0)</f>
        <v>Ago 2024</v>
      </c>
      <c r="G4" s="207">
        <f ca="1">VLOOKUP(C4,'BD EVA 5 GPE'!$D$3:$AE$113,28,0)</f>
        <v>0.10401891252955001</v>
      </c>
      <c r="H4" s="207">
        <f>VLOOKUP(C4,'BD EVA 5 GPE'!$D$3:$AE$113,21,0)</f>
        <v>2.8499999999999998E-2</v>
      </c>
      <c r="I4" s="77">
        <f t="shared" ref="I4:I5" ca="1" si="1">G4/H4</f>
        <v>3.6497864045456145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GPE'!$D$3:$AE$113,6,0)</f>
        <v>octubre 20 - agosto 21</v>
      </c>
      <c r="E5" s="207">
        <f ca="1">VLOOKUP(C5,'BD EVA 5 GPE'!$D$3:$AE$113,16,0)</f>
        <v>0.10296550846379</v>
      </c>
      <c r="F5" s="75" t="str">
        <f>VLOOKUP(C5,'BD EVA 5 GPE'!$D$3:$AE$113,12,0)</f>
        <v>octubre 23 - agosto 24</v>
      </c>
      <c r="G5" s="207">
        <f ca="1">VLOOKUP(C5,'BD EVA 5 GPE'!$D$3:$AE$113,28,0)</f>
        <v>0.16673267326732599</v>
      </c>
      <c r="H5" s="207">
        <f>VLOOKUP(C5,'BD EVA 5 GPE'!$D$3:$AE$113,21,0)</f>
        <v>0.15916666666666668</v>
      </c>
      <c r="I5" s="77">
        <f t="shared" ca="1" si="1"/>
        <v>1.0475351200041423</v>
      </c>
      <c r="J5" s="75" t="s">
        <v>318</v>
      </c>
      <c r="K5" s="208">
        <v>1.6</v>
      </c>
      <c r="L5" s="20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GPE'!$D$3:$AE$113,6,0)</f>
        <v>octubre 20 - agosto 21</v>
      </c>
      <c r="E6" s="209">
        <f ca="1">VLOOKUP(C6,'BD EVA 5 GPE'!$D$3:$AE$113,16,0)</f>
        <v>12.8591835536633</v>
      </c>
      <c r="F6" s="75" t="str">
        <f>VLOOKUP(C6,'BD EVA 5 GPE'!$D$3:$AE$113,12,0)</f>
        <v>octubre 23 - agosto 24</v>
      </c>
      <c r="G6" s="209">
        <f ca="1">VLOOKUP(C6,'BD EVA 5 GPE'!$D$3:$AE$113,28,0)</f>
        <v>22.936277862827399</v>
      </c>
      <c r="H6" s="209">
        <f ca="1">VLOOKUP(C6,'BD EVA 5 GPE'!$D$3:$AE$113,21,0)</f>
        <v>12.730591718126666</v>
      </c>
      <c r="I6" s="78">
        <f t="shared" ref="I6:I10" ca="1" si="2">(G6-E6)/(H6-E6)</f>
        <v>-78.364962029749506</v>
      </c>
      <c r="J6" s="71" t="s">
        <v>319</v>
      </c>
      <c r="K6" s="208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GPE'!$D$3:$AE$113,6,0)</f>
        <v>octubre 20 - agosto 21</v>
      </c>
      <c r="E7" s="208">
        <f ca="1">VLOOKUP(C7,'BD EVA 5 GPE'!$D$3:$AE$113,16,0)</f>
        <v>258.86095588461399</v>
      </c>
      <c r="F7" s="75" t="str">
        <f>VLOOKUP(C7,'BD EVA 5 GPE'!$D$3:$AE$113,12,0)</f>
        <v>octubre 23 - agosto 24</v>
      </c>
      <c r="G7" s="208">
        <f ca="1">VLOOKUP(C7,'BD EVA 5 GPE'!$D$3:$AE$113,28,0)</f>
        <v>175.618600914193</v>
      </c>
      <c r="H7" s="208">
        <f ca="1">VLOOKUP(C7,'BD EVA 5 GPE'!$D$3:$AE$113,21,0)</f>
        <v>256.27234632576784</v>
      </c>
      <c r="I7" s="78">
        <f t="shared" ca="1" si="2"/>
        <v>32.157168965846559</v>
      </c>
      <c r="J7" s="71" t="s">
        <v>319</v>
      </c>
      <c r="K7" s="208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GPE'!$D$3:$AE$113,6,0)</f>
        <v>octubre 20 - agosto 21</v>
      </c>
      <c r="E8" s="208">
        <f ca="1">VLOOKUP(C8,'BD EVA 5 GPE'!$D$3:$AE$113,16,0)</f>
        <v>491.58422345906399</v>
      </c>
      <c r="F8" s="75" t="str">
        <f>VLOOKUP(C8,'BD EVA 5 GPE'!$D$3:$AE$113,12,0)</f>
        <v>octubre 23 - agosto 24</v>
      </c>
      <c r="G8" s="81">
        <f ca="1">VLOOKUP(C8,'BD EVA 5 GPE'!$D$3:$AE$113,28,0)</f>
        <v>70.437445034363606</v>
      </c>
      <c r="H8" s="208">
        <f ca="1">VLOOKUP(C8,'BD EVA 5 GPE'!$D$3:$AE$113,21,0)</f>
        <v>486.66838122447331</v>
      </c>
      <c r="I8" s="78">
        <f t="shared" ca="1" si="2"/>
        <v>85.671337347091864</v>
      </c>
      <c r="J8" s="71" t="s">
        <v>319</v>
      </c>
      <c r="K8" s="208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GPE'!$D$3:$AE$113,6,0)</f>
        <v>octubre 20 - agosto 21</v>
      </c>
      <c r="E9" s="208">
        <f ca="1">VLOOKUP(C9,'BD EVA 5 GPE'!$D$3:$AE$113,16,0)</f>
        <v>85.821072847274806</v>
      </c>
      <c r="F9" s="75" t="str">
        <f>VLOOKUP(C9,'BD EVA 5 GPE'!$D$3:$AE$113,12,0)</f>
        <v>octubre 23 - agosto 24</v>
      </c>
      <c r="G9" s="81">
        <f ca="1">VLOOKUP(C9,'BD EVA 5 GPE'!$D$3:$AE$113,28,0)</f>
        <v>8.5502100908765097</v>
      </c>
      <c r="H9" s="208">
        <f ca="1">VLOOKUP(C9,'BD EVA 5 GPE'!$D$3:$AE$113,21,0)</f>
        <v>84.96286211880205</v>
      </c>
      <c r="I9" s="78">
        <f t="shared" ca="1" si="2"/>
        <v>90.037167088212783</v>
      </c>
      <c r="J9" s="71" t="s">
        <v>319</v>
      </c>
      <c r="K9" s="208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GPE'!$D$3:$AE$113,6,0)</f>
        <v>octubre 20 - agosto 21</v>
      </c>
      <c r="E10" s="208">
        <f ca="1">VLOOKUP(C10,'BD EVA 5 GPE'!$D$3:$AE$113,16,0)</f>
        <v>14.9557895678475</v>
      </c>
      <c r="F10" s="89" t="str">
        <f>VLOOKUP(C10,'BD EVA 5 GPE'!$D$3:$AE$113,12,0)</f>
        <v>octubre 23 - agosto 24</v>
      </c>
      <c r="G10" s="81">
        <f ca="1">VLOOKUP(C10,'BD EVA 5 GPE'!$D$3:$AE$113,28,0)</f>
        <v>8.4144924703864099</v>
      </c>
      <c r="H10" s="208">
        <f ca="1">VLOOKUP(C10,'BD EVA 5 GPE'!$D$3:$AE$113,21,0)</f>
        <v>14.806231672169023</v>
      </c>
      <c r="I10" s="78">
        <f t="shared" ca="1" si="2"/>
        <v>43.737557738333827</v>
      </c>
      <c r="J10" s="71" t="s">
        <v>319</v>
      </c>
      <c r="K10" s="208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GPE'!$D$3:$AE$113,6,0)</f>
        <v>44469</v>
      </c>
      <c r="E11" s="78">
        <f ca="1">VLOOKUP(C11,'BD EVA 5 GPE'!$D$3:$AE$113,16,0)</f>
        <v>5.4681292486977997E-3</v>
      </c>
      <c r="F11" s="75" t="str">
        <f>VLOOKUP(C11,'BD EVA 5 GPE'!$D$3:$AE$113,12,0)</f>
        <v>Ago 2024</v>
      </c>
      <c r="G11" s="78">
        <f ca="1">VLOOKUP(C11,'BD EVA 5 GPE'!$D$3:$AE$113,28,0)</f>
        <v>1.9034785237409601E-2</v>
      </c>
      <c r="H11" s="78">
        <f>VLOOKUP(C11,'BD EVA 5 GPE'!$D$3:$AE$113,21,0)</f>
        <v>1.9E-2</v>
      </c>
      <c r="I11" s="77">
        <f t="shared" ref="I11:I15" ca="1" si="3">G11/H11</f>
        <v>1.0018308019689264</v>
      </c>
      <c r="J11" s="89" t="s">
        <v>318</v>
      </c>
      <c r="K11" s="85">
        <v>1.05</v>
      </c>
      <c r="L11" s="211">
        <f t="shared" ca="1" si="0"/>
        <v>1.05</v>
      </c>
      <c r="M11" s="130">
        <f ca="1">SUM(L11:L15)</f>
        <v>10</v>
      </c>
    </row>
    <row r="12" spans="1:13" ht="91">
      <c r="A12" s="121" t="s">
        <v>119</v>
      </c>
      <c r="B12" s="72" t="s">
        <v>120</v>
      </c>
      <c r="C12" s="72" t="s">
        <v>333</v>
      </c>
      <c r="D12" s="75" t="str">
        <f>VLOOKUP(C12,'BD EVA 5 GPE'!$D$3:$AE$113,6,0)</f>
        <v>octubre 20 - agosto 21</v>
      </c>
      <c r="E12" s="210" t="str">
        <f ca="1">VLOOKUP(C12,'BD EVA 5 GPE'!$D$3:$AE$113,16,0)</f>
        <v/>
      </c>
      <c r="F12" s="75" t="str">
        <f>VLOOKUP(C12,'BD EVA 5 GPE'!$D$3:$AE$113,12,0)</f>
        <v>octubre 23 - agosto 24</v>
      </c>
      <c r="G12" s="210">
        <f ca="1">VLOOKUP(C12,'BD EVA 5 GPE'!$D$3:$AE$113,28,0)</f>
        <v>1.0441569165406899E-2</v>
      </c>
      <c r="H12" s="210">
        <f>VLOOKUP(C12,'BD EVA 5 GPE'!$D$3:$AE$113,21,0)</f>
        <v>8.3333333333333332E-3</v>
      </c>
      <c r="I12" s="78">
        <f t="shared" ca="1" si="3"/>
        <v>1.252988299848828</v>
      </c>
      <c r="J12" s="75" t="s">
        <v>318</v>
      </c>
      <c r="K12" s="85">
        <v>1.05</v>
      </c>
      <c r="L12" s="211">
        <f t="shared" ca="1" si="0"/>
        <v>1.05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GPE'!$D$3:$AE$113,6,0)</f>
        <v>octubre 20 - agosto 21</v>
      </c>
      <c r="E13" s="212">
        <f ca="1">VLOOKUP(C13,'BD EVA 5 GPE'!$D$3:$AE$113,16,0)</f>
        <v>0</v>
      </c>
      <c r="F13" s="75" t="str">
        <f>VLOOKUP(C13,'BD EVA 5 GPE'!$D$3:$AE$113,12,0)</f>
        <v>octubre 21 - agosto 24</v>
      </c>
      <c r="G13" s="212">
        <f ca="1">VLOOKUP(C13,'BD EVA 5 GPE'!$D$3:$AE$113,28,0)</f>
        <v>9</v>
      </c>
      <c r="H13" s="212">
        <f>VLOOKUP(C13,'BD EVA 5 GPE'!$D$3:$AE$113,21,0)</f>
        <v>5</v>
      </c>
      <c r="I13" s="78">
        <f t="shared" ca="1" si="3"/>
        <v>1.8</v>
      </c>
      <c r="J13" s="75" t="s">
        <v>318</v>
      </c>
      <c r="K13" s="81">
        <v>2.4</v>
      </c>
      <c r="L13" s="211">
        <f t="shared" ca="1" si="0"/>
        <v>2.4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GPE'!$D$3:$AE$113,6,0)</f>
        <v>octubre 20 - agosto 21</v>
      </c>
      <c r="E14" s="212">
        <f ca="1">VLOOKUP(C14,'BD EVA 5 GPE'!$D$3:$AE$113,16,0)</f>
        <v>897</v>
      </c>
      <c r="F14" s="75" t="str">
        <f>VLOOKUP(C14,'BD EVA 5 GPE'!$D$3:$AE$113,12,0)</f>
        <v>octubre 21 - agosto 24</v>
      </c>
      <c r="G14" s="212">
        <f ca="1">VLOOKUP(C14,'BD EVA 5 GPE'!$D$3:$AE$113,28,0)</f>
        <v>5289</v>
      </c>
      <c r="H14" s="212">
        <f>VLOOKUP(C14,'BD EVA 5 GPE'!$D$3:$AE$113,21,0)</f>
        <v>3000</v>
      </c>
      <c r="I14" s="78">
        <f t="shared" ca="1" si="3"/>
        <v>1.7629999999999999</v>
      </c>
      <c r="J14" s="75" t="s">
        <v>318</v>
      </c>
      <c r="K14" s="81">
        <v>2.4</v>
      </c>
      <c r="L14" s="211">
        <f t="shared" ca="1" si="0"/>
        <v>2.4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GPE'!$D$3:$AE$113,6,0)</f>
        <v>octubre 20 - agosto 21</v>
      </c>
      <c r="E15" s="212">
        <f ca="1">VLOOKUP(C15,'BD EVA 5 GPE'!$D$3:$AE$113,16,0)</f>
        <v>8</v>
      </c>
      <c r="F15" s="89" t="str">
        <f>VLOOKUP(C15,'BD EVA 5 GPE'!$D$3:$AE$113,12,0)</f>
        <v>octubre 21 - agosto 24</v>
      </c>
      <c r="G15" s="212">
        <f ca="1">VLOOKUP(C15,'BD EVA 5 GPE'!$D$3:$AE$113,28,0)</f>
        <v>44</v>
      </c>
      <c r="H15" s="212">
        <f>VLOOKUP(C15,'BD EVA 5 GPE'!$D$3:$AE$113,21,0)</f>
        <v>40</v>
      </c>
      <c r="I15" s="78">
        <f t="shared" ca="1" si="3"/>
        <v>1.1000000000000001</v>
      </c>
      <c r="J15" s="75" t="s">
        <v>318</v>
      </c>
      <c r="K15" s="81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GPE'!$D$3:$AE$113,6,0)</f>
        <v>44469</v>
      </c>
      <c r="E16" s="213">
        <f ca="1">VLOOKUP(C16,'BD EVA 5 GPE'!$D$3:$AE$113,16,0)</f>
        <v>1</v>
      </c>
      <c r="F16" s="75" t="str">
        <f>VLOOKUP(C16,'BD EVA 5 GPE'!$D$3:$AE$113,12,0)</f>
        <v>Ago 2024</v>
      </c>
      <c r="G16" s="213">
        <f ca="1">VLOOKUP(C16,'BD EVA 5 GPE'!$D$3:$AE$113,28,0)</f>
        <v>1</v>
      </c>
      <c r="H16" s="213" t="str">
        <f>VLOOKUP(C16,'BD EVA 5 GPE'!$D$3:$AE$113,21,0)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11">
        <f t="shared" ca="1" si="0"/>
        <v>1.5</v>
      </c>
      <c r="M16" s="130">
        <f ca="1">SUM(L16:L23)</f>
        <v>9.7375000000000007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GPE'!$D$3:$AE$113,6,0)</f>
        <v>44469</v>
      </c>
      <c r="E17" s="212">
        <f ca="1">VLOOKUP(C17,'BD EVA 5 GPE'!$D$3:$AE$113,16,0)</f>
        <v>0</v>
      </c>
      <c r="F17" s="75" t="str">
        <f>VLOOKUP(C17,'BD EVA 5 GPE'!$D$3:$AE$113,12,0)</f>
        <v>Ago 2024</v>
      </c>
      <c r="G17" s="212">
        <f ca="1">VLOOKUP(C17,'BD EVA 5 GPE'!$D$3:$AE$113,28,0)</f>
        <v>1</v>
      </c>
      <c r="H17" s="212" t="str">
        <f>VLOOKUP(C17,'BD EVA 5 GPE'!$D$3:$AE$113,21,0)</f>
        <v>Actualizado al 2019</v>
      </c>
      <c r="I17" s="214">
        <f t="shared" ca="1" si="4"/>
        <v>1</v>
      </c>
      <c r="J17" s="75" t="s">
        <v>318</v>
      </c>
      <c r="K17" s="81">
        <v>1.5</v>
      </c>
      <c r="L17" s="211">
        <f t="shared" ca="1" si="0"/>
        <v>1.5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GPE'!$D$3:$AE$113,6,0)</f>
        <v>44469</v>
      </c>
      <c r="E18" s="207">
        <f ca="1">VLOOKUP(C18,'BD EVA 5 GPE'!$D$3:$AE$113,16,0)</f>
        <v>0</v>
      </c>
      <c r="F18" s="75" t="str">
        <f>VLOOKUP(C18,'BD EVA 5 GPE'!$D$3:$AE$113,12,0)</f>
        <v>Ago 2024</v>
      </c>
      <c r="G18" s="207">
        <f ca="1">VLOOKUP(C18,'BD EVA 5 GPE'!$D$3:$AE$113,28,0)</f>
        <v>0.125</v>
      </c>
      <c r="H18" s="207">
        <f>VLOOKUP(C18,'BD EVA 5 GPE'!$D$3:$AE$113,21,0)</f>
        <v>1</v>
      </c>
      <c r="I18" s="214">
        <f t="shared" ref="I18:I27" ca="1" si="5">G18/H18</f>
        <v>0.125</v>
      </c>
      <c r="J18" s="75" t="s">
        <v>318</v>
      </c>
      <c r="K18" s="81">
        <v>0.3</v>
      </c>
      <c r="L18" s="211">
        <f t="shared" ca="1" si="0"/>
        <v>3.7499999999999999E-2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GPE'!$D$3:$AE$113,6,0)</f>
        <v>44469</v>
      </c>
      <c r="E19" s="207">
        <f ca="1">VLOOKUP(C19,'BD EVA 5 GPE'!$D$3:$AE$113,16,0)</f>
        <v>0.99175778888949895</v>
      </c>
      <c r="F19" s="75" t="str">
        <f>VLOOKUP(C19,'BD EVA 5 GPE'!$D$3:$AE$113,12,0)</f>
        <v>Ago 2024</v>
      </c>
      <c r="G19" s="207">
        <f ca="1">VLOOKUP(C19,'BD EVA 5 GPE'!$D$3:$AE$113,28,0)</f>
        <v>1</v>
      </c>
      <c r="H19" s="207">
        <f>VLOOKUP(C19,'BD EVA 5 GPE'!$D$3:$AE$113,21,0)</f>
        <v>1</v>
      </c>
      <c r="I19" s="214">
        <f t="shared" ca="1" si="5"/>
        <v>1</v>
      </c>
      <c r="J19" s="75" t="s">
        <v>318</v>
      </c>
      <c r="K19" s="81">
        <v>1.5</v>
      </c>
      <c r="L19" s="211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GPE'!$D$3:$AE$113,6,0)</f>
        <v>44469</v>
      </c>
      <c r="E20" s="214">
        <f ca="1">VLOOKUP(C20,'BD EVA 5 GPE'!$D$3:$AE$113,16,0)</f>
        <v>1</v>
      </c>
      <c r="F20" s="75" t="str">
        <f>VLOOKUP(C20,'BD EVA 5 GPE'!$D$3:$AE$113,12,0)</f>
        <v>Ago 2024</v>
      </c>
      <c r="G20" s="214">
        <f ca="1">VLOOKUP(C20,'BD EVA 5 GPE'!$D$3:$AE$113,28,0)</f>
        <v>1</v>
      </c>
      <c r="H20" s="214">
        <f>VLOOKUP(C20,'BD EVA 5 GPE'!$D$3:$AE$113,21,0)</f>
        <v>1</v>
      </c>
      <c r="I20" s="214">
        <f t="shared" ca="1" si="5"/>
        <v>1</v>
      </c>
      <c r="J20" s="75" t="s">
        <v>318</v>
      </c>
      <c r="K20" s="81">
        <v>1.5</v>
      </c>
      <c r="L20" s="211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GPE'!$D$3:$AE$113,6,0)</f>
        <v>44469</v>
      </c>
      <c r="E21" s="207">
        <f ca="1">VLOOKUP(C21,'BD EVA 5 GPE'!$D$3:$AE$113,16,0)</f>
        <v>0.99993255062075903</v>
      </c>
      <c r="F21" s="75" t="str">
        <f>VLOOKUP(C21,'BD EVA 5 GPE'!$D$3:$AE$113,12,0)</f>
        <v>Ago 2024</v>
      </c>
      <c r="G21" s="207">
        <f ca="1">VLOOKUP(C21,'BD EVA 5 GPE'!$D$3:$AE$113,28,0)</f>
        <v>1</v>
      </c>
      <c r="H21" s="207">
        <f>VLOOKUP(C21,'BD EVA 5 GPE'!$D$3:$AE$113,21,0)</f>
        <v>1</v>
      </c>
      <c r="I21" s="214">
        <f t="shared" ca="1" si="5"/>
        <v>1</v>
      </c>
      <c r="J21" s="75" t="s">
        <v>318</v>
      </c>
      <c r="K21" s="81">
        <v>0.9</v>
      </c>
      <c r="L21" s="211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GPE'!$D$3:$AE$113,6,0)</f>
        <v>44469</v>
      </c>
      <c r="E22" s="207">
        <f ca="1">VLOOKUP(C22,'BD EVA 5 GPE'!$D$3:$AE$113,16,0)</f>
        <v>0.90612668743509805</v>
      </c>
      <c r="F22" s="75" t="str">
        <f>VLOOKUP(C22,'BD EVA 5 GPE'!$D$3:$AE$113,12,0)</f>
        <v>Ago 2024</v>
      </c>
      <c r="G22" s="207">
        <f ca="1">VLOOKUP(C22,'BD EVA 5 GPE'!$D$3:$AE$113,28,0)</f>
        <v>1</v>
      </c>
      <c r="H22" s="207">
        <f>VLOOKUP(C22,'BD EVA 5 GPE'!$D$3:$AE$113,21,0)</f>
        <v>1</v>
      </c>
      <c r="I22" s="214">
        <f t="shared" ca="1" si="5"/>
        <v>1</v>
      </c>
      <c r="J22" s="75" t="s">
        <v>318</v>
      </c>
      <c r="K22" s="81">
        <v>1.5</v>
      </c>
      <c r="L22" s="211">
        <f t="shared" ca="1" si="0"/>
        <v>1.5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GPE'!$D$3:$AE$113,6,0)</f>
        <v>octubre 20 - septiembre 21</v>
      </c>
      <c r="E23" s="208">
        <f ca="1">VLOOKUP(C23,'BD EVA 5 GPE'!$D$3:$AE$113,16,0)</f>
        <v>5.4640000000000004</v>
      </c>
      <c r="F23" s="89" t="str">
        <f>VLOOKUP(C23,'BD EVA 5 GPE'!$D$3:$AE$113,12,0)</f>
        <v>octubre 23 - septiembre 24</v>
      </c>
      <c r="G23" s="208">
        <f ca="1">VLOOKUP(C23,'BD EVA 5 GPE'!$D$3:$AE$113,28,0)</f>
        <v>75.683999999999997</v>
      </c>
      <c r="H23" s="208">
        <f>VLOOKUP(C23,'BD EVA 5 GPE'!$D$3:$AE$113,21,0)</f>
        <v>10.1</v>
      </c>
      <c r="I23" s="214">
        <f t="shared" ca="1" si="5"/>
        <v>7.4934653465346539</v>
      </c>
      <c r="J23" s="75" t="s">
        <v>318</v>
      </c>
      <c r="K23" s="81">
        <v>1.3</v>
      </c>
      <c r="L23" s="211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GPE'!$D$3:$AE$113,6,0)</f>
        <v>44469</v>
      </c>
      <c r="E24" s="171">
        <f ca="1">VLOOKUP(C24,'BD EVA 5 GPE'!$D$3:$AE$113,16,0)</f>
        <v>0.88</v>
      </c>
      <c r="F24" s="75" t="str">
        <f>VLOOKUP(C24,'BD EVA 5 GPE'!$D$3:$AE$113,12,0)</f>
        <v>Ago 2024</v>
      </c>
      <c r="G24" s="171">
        <f ca="1">VLOOKUP(C24,'BD EVA 5 GPE'!$D$3:$AE$113,28,0)</f>
        <v>14.11</v>
      </c>
      <c r="H24" s="171">
        <f ca="1">VLOOKUP(C24,'BD EVA 5 GPE'!$D$3:$AE$113,21,0)</f>
        <v>7.57</v>
      </c>
      <c r="I24" s="214">
        <f t="shared" ca="1" si="5"/>
        <v>1.8639365918097752</v>
      </c>
      <c r="J24" s="75" t="s">
        <v>318</v>
      </c>
      <c r="K24" s="85">
        <v>1.9450000000000001</v>
      </c>
      <c r="L24" s="82">
        <f t="shared" ca="1" si="0"/>
        <v>1.9450000000000001</v>
      </c>
      <c r="M24" s="130">
        <f ca="1">SUM(L24:L28)</f>
        <v>10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GPE'!$D$3:$AE$113,6,0)</f>
        <v>octubre 20 - agosto 21</v>
      </c>
      <c r="E25" s="212" t="str">
        <f ca="1">VLOOKUP(C25,'BD EVA 5 GPE'!$D$3:$AE$113,16,0)</f>
        <v/>
      </c>
      <c r="F25" s="75" t="str">
        <f>VLOOKUP(C25,'BD EVA 5 GPE'!$D$3:$AE$113,12,0)</f>
        <v>octubre 23 - agosto 24</v>
      </c>
      <c r="G25" s="212">
        <f ca="1">VLOOKUP(C25,'BD EVA 5 GPE'!$D$3:$AE$113,28,0)</f>
        <v>19730</v>
      </c>
      <c r="H25" s="212">
        <f>VLOOKUP(C25,'BD EVA 5 GPE'!$D$3:$AE$113,21,0)</f>
        <v>15277.166666666666</v>
      </c>
      <c r="I25" s="214">
        <f t="shared" ca="1" si="5"/>
        <v>1.2914698406118064</v>
      </c>
      <c r="J25" s="75" t="s">
        <v>318</v>
      </c>
      <c r="K25" s="85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GPE'!$D$3:$AE$113,6,0)</f>
        <v>enero - agosto 2021</v>
      </c>
      <c r="E26" s="210">
        <f ca="1">VLOOKUP(C26,'BD EVA 5 GPE'!$D$3:$AE$113,16,0)</f>
        <v>0.164451129553016</v>
      </c>
      <c r="F26" s="75" t="str">
        <f>VLOOKUP(C26,'BD EVA 5 GPE'!$D$3:$AE$113,12,0)</f>
        <v>enero- agosto 2024</v>
      </c>
      <c r="G26" s="210">
        <f ca="1">VLOOKUP(C26,'BD EVA 5 GPE'!$D$3:$AE$113,28,0)</f>
        <v>0.41044762898557302</v>
      </c>
      <c r="H26" s="210">
        <f>VLOOKUP(C26,'BD EVA 5 GPE'!$D$3:$AE$113,21,0)</f>
        <v>0.37833333333333335</v>
      </c>
      <c r="I26" s="214">
        <f t="shared" ca="1" si="5"/>
        <v>1.0848836008429241</v>
      </c>
      <c r="J26" s="75" t="s">
        <v>318</v>
      </c>
      <c r="K26" s="85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GPE'!$D$3:$AE$113,6,0)</f>
        <v>octubre 20 - agosto 21</v>
      </c>
      <c r="E27" s="212">
        <f ca="1">VLOOKUP(C27,'BD EVA 5 GPE'!$D$3:$AE$113,16,0)</f>
        <v>0</v>
      </c>
      <c r="F27" s="75" t="str">
        <f>VLOOKUP(C27,'BD EVA 5 GPE'!$D$3:$AE$113,12,0)</f>
        <v>octubre 23 - agosto 24</v>
      </c>
      <c r="G27" s="212">
        <f ca="1">VLOOKUP(C27,'BD EVA 5 GPE'!$D$3:$AE$113,28,0)</f>
        <v>54</v>
      </c>
      <c r="H27" s="212">
        <f>VLOOKUP(C27,'BD EVA 5 GPE'!$D$3:$AE$113,21,0)</f>
        <v>16</v>
      </c>
      <c r="I27" s="214">
        <f t="shared" ca="1" si="5"/>
        <v>3.375</v>
      </c>
      <c r="J27" s="75" t="s">
        <v>318</v>
      </c>
      <c r="K27" s="85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GPE'!$D$3:$AE$113,6,0)</f>
        <v>octubre 18 - agosto 19</v>
      </c>
      <c r="E28" s="212">
        <f ca="1">VLOOKUP(C28,'BD EVA 5 GPE'!$D$3:$AE$113,16,0)</f>
        <v>4751</v>
      </c>
      <c r="F28" s="89" t="str">
        <f>VLOOKUP(C28,'BD EVA 5 GPE'!$D$3:$AE$113,12,0)</f>
        <v>octubre 23 - agosto 24</v>
      </c>
      <c r="G28" s="212">
        <f ca="1">VLOOKUP(C28,'BD EVA 5 GPE'!$D$3:$AE$113,28,0)</f>
        <v>2510</v>
      </c>
      <c r="H28" s="212">
        <f ca="1">VLOOKUP(C28,'BD EVA 5 GPE'!$D$3:$AE$113,21,0)</f>
        <v>4703.8346697212673</v>
      </c>
      <c r="I28" s="78">
        <f ca="1">(G28-E28)/(H28-E28)</f>
        <v>47.513713712092688</v>
      </c>
      <c r="J28" s="89" t="s">
        <v>319</v>
      </c>
      <c r="K28" s="85">
        <v>2.2200000000000002</v>
      </c>
      <c r="L28" s="209">
        <f t="shared" ca="1" si="0"/>
        <v>2.2200000000000002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75" t="str">
        <f>VLOOKUP(C29,'BD EVA 5 GPE'!$D$3:$AE$113,6,0)</f>
        <v>octubre 20 - agosto 21</v>
      </c>
      <c r="E29" s="212">
        <f ca="1">VLOOKUP(C29,'BD EVA 5 GPE'!$D$3:$AE$113,16,0)</f>
        <v>0</v>
      </c>
      <c r="F29" s="75" t="str">
        <f>VLOOKUP(C29,'BD EVA 5 GPE'!$D$3:$AE$113,12,0)</f>
        <v>octubre 23 - agosto 24</v>
      </c>
      <c r="G29" s="212">
        <f ca="1">VLOOKUP(C29,'BD EVA 5 GPE'!$D$3:$AE$113,28,0)</f>
        <v>21</v>
      </c>
      <c r="H29" s="212">
        <f>VLOOKUP(C29,'BD EVA 5 GPE'!$D$3:$AE$113,21,0)</f>
        <v>10</v>
      </c>
      <c r="I29" s="78">
        <f t="shared" ref="I29:I33" ca="1" si="6">G29/H29</f>
        <v>2.1</v>
      </c>
      <c r="J29" s="75" t="s">
        <v>318</v>
      </c>
      <c r="K29" s="76">
        <v>2</v>
      </c>
      <c r="L29" s="209">
        <f t="shared" ca="1" si="0"/>
        <v>2</v>
      </c>
      <c r="M29" s="130">
        <f ca="1">SUM(L29:L33)</f>
        <v>8.8801716096662187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GPE'!$D$3:$AE$113,6,0)</f>
        <v>44469</v>
      </c>
      <c r="E30" s="212">
        <f ca="1">VLOOKUP(C30,'BD EVA 5 GPE'!$D$3:$AE$113,16,0)</f>
        <v>6</v>
      </c>
      <c r="F30" s="75" t="str">
        <f>VLOOKUP(C30,'BD EVA 5 GPE'!$D$3:$AE$113,12,0)</f>
        <v>Ago 2024</v>
      </c>
      <c r="G30" s="212">
        <f ca="1">VLOOKUP(C30,'BD EVA 5 GPE'!$D$3:$AE$113,28,0)</f>
        <v>29</v>
      </c>
      <c r="H30" s="212">
        <f>VLOOKUP(C30,'BD EVA 5 GPE'!$D$3:$AE$113,21,0)</f>
        <v>16</v>
      </c>
      <c r="I30" s="78">
        <f t="shared" ca="1" si="6"/>
        <v>1.8125</v>
      </c>
      <c r="J30" s="75" t="s">
        <v>318</v>
      </c>
      <c r="K30" s="76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GPE'!$D$3:$AE$113,6,0)</f>
        <v>44440</v>
      </c>
      <c r="E31" s="212">
        <f ca="1">VLOOKUP(C31,'BD EVA 5 GPE'!$D$3:$AE$113,16,0)</f>
        <v>100</v>
      </c>
      <c r="F31" s="75">
        <f>VLOOKUP(C31,'BD EVA 5 GPE'!$D$3:$AE$113,12,0)</f>
        <v>45444</v>
      </c>
      <c r="G31" s="212">
        <f ca="1">VLOOKUP(C31,'BD EVA 5 GPE'!$D$3:$AE$113,28,0)</f>
        <v>100</v>
      </c>
      <c r="H31" s="212">
        <f>VLOOKUP(C31,'BD EVA 5 GPE'!$D$3:$AE$113,21,0)</f>
        <v>100</v>
      </c>
      <c r="I31" s="78">
        <f t="shared" ca="1" si="6"/>
        <v>1</v>
      </c>
      <c r="J31" s="75" t="s">
        <v>318</v>
      </c>
      <c r="K31" s="76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GPE'!$D$3:$AE$113,6,0)</f>
        <v>44440</v>
      </c>
      <c r="E32" s="209">
        <f ca="1">VLOOKUP(C32,'BD EVA 5 GPE'!$D$3:$AE$113,16,0)</f>
        <v>0</v>
      </c>
      <c r="F32" s="75" t="str">
        <f>VLOOKUP(C32,'BD EVA 5 GPE'!$D$3:$AE$113,12,0)</f>
        <v>Ago 2024</v>
      </c>
      <c r="G32" s="209">
        <f ca="1">VLOOKUP(C32,'BD EVA 5 GPE'!$D$3:$AE$113,28,0)</f>
        <v>3.6194981489099098</v>
      </c>
      <c r="H32" s="209">
        <f>VLOOKUP(C32,'BD EVA 5 GPE'!$D$3:$AE$113,21,0)</f>
        <v>4</v>
      </c>
      <c r="I32" s="78">
        <f t="shared" ca="1" si="6"/>
        <v>0.90487453722747746</v>
      </c>
      <c r="J32" s="75" t="s">
        <v>318</v>
      </c>
      <c r="K32" s="76">
        <v>2</v>
      </c>
      <c r="L32" s="209">
        <f t="shared" ca="1" si="0"/>
        <v>1.8097490744549549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GPE'!$D$3:$AE$113,6,0)</f>
        <v>44440</v>
      </c>
      <c r="E33" s="207" t="str">
        <f ca="1">VLOOKUP(C33,'BD EVA 5 GPE'!$D$3:$AE$113,16,0)</f>
        <v/>
      </c>
      <c r="F33" s="75" t="str">
        <f>VLOOKUP(C33,'BD EVA 5 GPE'!$D$3:$AE$113,12,0)</f>
        <v>Ago 2024</v>
      </c>
      <c r="G33" s="207">
        <f ca="1">VLOOKUP(C33,'BD EVA 5 GPE'!$D$3:$AE$113,28,0)</f>
        <v>0.26760563380281599</v>
      </c>
      <c r="H33" s="207">
        <f>VLOOKUP(C33,'BD EVA 5 GPE'!$D$3:$AE$113,21,0)</f>
        <v>0.5</v>
      </c>
      <c r="I33" s="78">
        <f t="shared" ca="1" si="6"/>
        <v>0.53521126760563198</v>
      </c>
      <c r="J33" s="75" t="s">
        <v>318</v>
      </c>
      <c r="K33" s="76">
        <v>2</v>
      </c>
      <c r="L33" s="209">
        <f t="shared" ca="1" si="0"/>
        <v>1.070422535211264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GPE'!$D$3:$AE$113,6,0)</f>
        <v>enero - junio 2021</v>
      </c>
      <c r="E34" s="78">
        <f ca="1">VLOOKUP(C34,'BD EVA 5 GPE'!$D$3:$AE$113,16,0)</f>
        <v>0.32680984587120399</v>
      </c>
      <c r="F34" s="75" t="str">
        <f>VLOOKUP(C34,'BD EVA 5 GPE'!$D$3:$AE$113,12,0)</f>
        <v>enero- junio 2024</v>
      </c>
      <c r="G34" s="78">
        <f ca="1">VLOOKUP(C34,'BD EVA 5 GPE'!$D$3:$AE$113,28,0)</f>
        <v>0.33676609284335801</v>
      </c>
      <c r="H34" s="78">
        <f>VLOOKUP(C34,'BD EVA 5 GPE'!$D$3:$AE$113,21,0)</f>
        <v>0.36066666666666664</v>
      </c>
      <c r="I34" s="78">
        <f ca="1">(G34/H34)</f>
        <v>0.93373223524036431</v>
      </c>
      <c r="J34" s="75" t="s">
        <v>318</v>
      </c>
      <c r="K34" s="85">
        <v>2.1631999999999998</v>
      </c>
      <c r="L34" s="209">
        <f t="shared" ca="1" si="0"/>
        <v>2.0198495712719557</v>
      </c>
      <c r="M34" s="130">
        <f ca="1">SUM(L34:L39)</f>
        <v>9.8566495712719551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GPE'!$D$3:$AE$113,6,0)</f>
        <v>enero - junio 2021</v>
      </c>
      <c r="E35" s="78">
        <f ca="1">VLOOKUP(C35,'BD EVA 5 GPE'!$D$3:$AE$113,16,0)</f>
        <v>0.35416398005385202</v>
      </c>
      <c r="F35" s="75" t="str">
        <f>VLOOKUP(C35,'BD EVA 5 GPE'!$D$3:$AE$113,12,0)</f>
        <v>enero- junio 2024</v>
      </c>
      <c r="G35" s="78">
        <f ca="1">VLOOKUP(C35,'BD EVA 5 GPE'!$D$3:$AE$113,28,0)</f>
        <v>0.50375253890393401</v>
      </c>
      <c r="H35" s="78">
        <f>VLOOKUP(C35,'BD EVA 5 GPE'!$D$3:$AE$113,21,0)</f>
        <v>0.44066666666666665</v>
      </c>
      <c r="I35" s="78">
        <f ca="1">G35/H35</f>
        <v>1.1431600731556748</v>
      </c>
      <c r="J35" s="75" t="s">
        <v>318</v>
      </c>
      <c r="K35" s="85">
        <v>1.3520000000000001</v>
      </c>
      <c r="L35" s="209">
        <f t="shared" ca="1" si="0"/>
        <v>1.3520000000000001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GPE'!$D$3:$AE$113,6,0)</f>
        <v>enero - agosto 2021</v>
      </c>
      <c r="E36" s="78">
        <f ca="1">VLOOKUP(C36,'BD EVA 5 GPE'!$D$3:$AE$113,16,0)</f>
        <v>0.57100887998723804</v>
      </c>
      <c r="F36" s="75" t="str">
        <f>VLOOKUP(C36,'BD EVA 5 GPE'!$D$3:$AE$113,12,0)</f>
        <v>enero- agosto 2024</v>
      </c>
      <c r="G36" s="78">
        <f ca="1">VLOOKUP(C36,'BD EVA 5 GPE'!$D$3:$AE$113,28,0)</f>
        <v>0.670007511441847</v>
      </c>
      <c r="H36" s="78">
        <f>VLOOKUP(C36,'BD EVA 5 GPE'!$D$3:$AE$113,21,0)</f>
        <v>0.66833333333333333</v>
      </c>
      <c r="I36" s="78">
        <f ca="1">IF(G36&lt;E36,0,G36/H36)</f>
        <v>1.0025050046511426</v>
      </c>
      <c r="J36" s="72" t="s">
        <v>316</v>
      </c>
      <c r="K36" s="85">
        <v>2.1631999999999998</v>
      </c>
      <c r="L36" s="209">
        <f t="shared" ca="1" si="0"/>
        <v>2.1631999999999998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GPE'!$D$3:$AE$113,6,0)</f>
        <v>enero - agosto 2021</v>
      </c>
      <c r="E37" s="90" t="str">
        <f ca="1">VLOOKUP(C37,'BD EVA 5 GPE'!$D$3:$AE$113,16,0)</f>
        <v/>
      </c>
      <c r="F37" s="75" t="str">
        <f>VLOOKUP(C37,'BD EVA 5 GPE'!$D$3:$AE$113,12,0)</f>
        <v>enero- agosto 2024</v>
      </c>
      <c r="G37" s="90">
        <f ca="1">VLOOKUP(C37,'BD EVA 5 GPE'!$D$3:$AE$113,28,0)</f>
        <v>343554286.77999997</v>
      </c>
      <c r="H37" s="90">
        <f>VLOOKUP(C37,'BD EVA 5 GPE'!$D$3:$AE$113,21,0)</f>
        <v>221019175.09</v>
      </c>
      <c r="I37" s="78">
        <f ca="1">G37/H37</f>
        <v>1.5544094155636186</v>
      </c>
      <c r="J37" s="75" t="s">
        <v>318</v>
      </c>
      <c r="K37" s="85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5 GPE'!$D$3:$AE$113,6,0)</f>
        <v>enero - junio 2021</v>
      </c>
      <c r="E38" s="78">
        <f ca="1">VLOOKUP(C38,'BD EVA 5 GPE'!$D$3:$AE$113,16,0)</f>
        <v>0.76226839650207801</v>
      </c>
      <c r="F38" s="75" t="str">
        <f>VLOOKUP(C38,'BD EVA 5 GPE'!$D$3:$AE$113,12,0)</f>
        <v>enero- junio 2024</v>
      </c>
      <c r="G38" s="78">
        <f ca="1">VLOOKUP(C38,'BD EVA 5 GPE'!$D$3:$AE$113,28,0)</f>
        <v>0.70589329036966597</v>
      </c>
      <c r="H38" s="78">
        <f>VLOOKUP(C38,'BD EVA 5 GPE'!$D$3:$AE$113,21,0)</f>
        <v>0.73066666666666669</v>
      </c>
      <c r="I38" s="78">
        <f ca="1">(H38/G38)</f>
        <v>1.0350950726334673</v>
      </c>
      <c r="J38" s="89" t="s">
        <v>341</v>
      </c>
      <c r="K38" s="85">
        <v>1.62</v>
      </c>
      <c r="L38" s="209">
        <f t="shared" ca="1" si="0"/>
        <v>1.62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GPE'!$D$3:$AE$113,6,0)</f>
        <v>44348</v>
      </c>
      <c r="E39" s="207" t="str">
        <f ca="1">VLOOKUP(C39,'BD EVA 5 GPE'!$D$3:$AE$113,16,0)</f>
        <v>Amarillo</v>
      </c>
      <c r="F39" s="75">
        <f>VLOOKUP(C39,'BD EVA 5 GPE'!$D$3:$AE$113,12,0)</f>
        <v>45473</v>
      </c>
      <c r="G39" s="207" t="str">
        <f ca="1">VLOOKUP(C39,'BD EVA 5 GPE'!$D$3:$AE$113,28,0)</f>
        <v>Verde</v>
      </c>
      <c r="H39" s="207" t="str">
        <f>VLOOKUP(C39,'BD EVA 5 GPE'!$D$3:$AE$113,21,0)</f>
        <v>Verde</v>
      </c>
      <c r="I39" s="76">
        <f ca="1">IF(G39="Verde",1,0)</f>
        <v>1</v>
      </c>
      <c r="J39" s="75" t="s">
        <v>318</v>
      </c>
      <c r="K39" s="85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EA988-F625-954E-9766-62E9D1E90AE9}">
  <dimension ref="A1:L15"/>
  <sheetViews>
    <sheetView workbookViewId="0">
      <selection activeCell="C32" sqref="C32"/>
    </sheetView>
  </sheetViews>
  <sheetFormatPr baseColWidth="10" defaultRowHeight="16"/>
  <cols>
    <col min="1" max="1" width="22.33203125" customWidth="1"/>
    <col min="2" max="2" width="12.6640625" customWidth="1"/>
    <col min="4" max="4" width="12.6640625" customWidth="1"/>
    <col min="6" max="6" width="12.1640625" customWidth="1"/>
    <col min="8" max="8" width="12.6640625" customWidth="1"/>
    <col min="10" max="10" width="12.83203125" customWidth="1"/>
  </cols>
  <sheetData>
    <row r="1" spans="1:12" ht="22">
      <c r="A1" s="220" t="s">
        <v>376</v>
      </c>
    </row>
    <row r="2" spans="1:12">
      <c r="A2" s="221" t="s">
        <v>432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GPE'!M2</f>
        <v>9.9596221959858298</v>
      </c>
      <c r="D5" s="228">
        <v>8.5000000000000006E-2</v>
      </c>
      <c r="E5" s="229">
        <f ca="1">'EVA 2 GPE'!M2</f>
        <v>10</v>
      </c>
      <c r="F5" s="228">
        <v>0.1</v>
      </c>
      <c r="G5" s="229">
        <f ca="1">'EVA 3 GPE'!M2</f>
        <v>10</v>
      </c>
      <c r="H5" s="228">
        <v>8.5000000000000006E-2</v>
      </c>
      <c r="I5" s="229">
        <f>'EVA 4 GPE'!M2</f>
        <v>10</v>
      </c>
      <c r="J5" s="228">
        <v>8.5000000000000006E-2</v>
      </c>
      <c r="K5" s="229">
        <f ca="1">'EVA 5 GPE'!M2</f>
        <v>9.9799374266718814</v>
      </c>
      <c r="L5" s="236">
        <f ca="1">AVERAGE(C5,E5,G5,I5,K5)</f>
        <v>9.9879119245315415</v>
      </c>
    </row>
    <row r="6" spans="1:12">
      <c r="A6" s="222" t="s">
        <v>52</v>
      </c>
      <c r="B6" s="227">
        <v>0.22</v>
      </c>
      <c r="C6" s="229">
        <f ca="1">'EVA 1 GPE'!M5</f>
        <v>6.5853333333333337</v>
      </c>
      <c r="D6" s="228">
        <v>0.188</v>
      </c>
      <c r="E6" s="229">
        <f ca="1">'EVA 2 GPE'!M5</f>
        <v>6.6000000000000005</v>
      </c>
      <c r="F6" s="228">
        <v>0.221</v>
      </c>
      <c r="G6" s="229">
        <f ca="1">'EVA 3 GPE'!M5</f>
        <v>8.3000000000000007</v>
      </c>
      <c r="H6" s="228">
        <v>0.188</v>
      </c>
      <c r="I6" s="229">
        <f>'EVA 4 GPE'!M5</f>
        <v>8.3000000000000007</v>
      </c>
      <c r="J6" s="228">
        <v>0.188</v>
      </c>
      <c r="K6" s="229">
        <f ca="1">'EVA 5 GPE'!M5</f>
        <v>8.3000000000000007</v>
      </c>
      <c r="L6" s="236">
        <f t="shared" ref="L6:L11" ca="1" si="0">AVERAGE(C6,E6,G6,I6,K6)</f>
        <v>7.617066666666668</v>
      </c>
    </row>
    <row r="7" spans="1:12">
      <c r="A7" s="222" t="s">
        <v>119</v>
      </c>
      <c r="B7" s="227">
        <v>0.11</v>
      </c>
      <c r="C7" s="229">
        <f ca="1">'EVA 1 GPE'!M11</f>
        <v>10</v>
      </c>
      <c r="D7" s="228">
        <v>9.5000000000000001E-2</v>
      </c>
      <c r="E7" s="229">
        <f ca="1">'EVA 2 GPE'!M11</f>
        <v>10</v>
      </c>
      <c r="F7" s="228">
        <v>0.111</v>
      </c>
      <c r="G7" s="229">
        <f ca="1">'EVA 3 GPE'!M11</f>
        <v>10</v>
      </c>
      <c r="H7" s="228">
        <v>9.5000000000000001E-2</v>
      </c>
      <c r="I7" s="229">
        <f>'EVA 4 GPE'!M11</f>
        <v>10</v>
      </c>
      <c r="J7" s="228">
        <v>9.5000000000000001E-2</v>
      </c>
      <c r="K7" s="229">
        <f ca="1">'EVA 5 GPE'!M11</f>
        <v>10</v>
      </c>
      <c r="L7" s="236">
        <f t="shared" ca="1" si="0"/>
        <v>10</v>
      </c>
    </row>
    <row r="8" spans="1:12">
      <c r="A8" s="222" t="s">
        <v>378</v>
      </c>
      <c r="B8" s="227">
        <v>0.24</v>
      </c>
      <c r="C8" s="229">
        <f ca="1">'EVA 1 GPE'!M15</f>
        <v>8.2375000000000007</v>
      </c>
      <c r="D8" s="228">
        <v>0.2</v>
      </c>
      <c r="E8" s="229">
        <f ca="1">'EVA 2 GPE'!M16</f>
        <v>8.2375000000000007</v>
      </c>
      <c r="F8" s="228">
        <v>0.23699999999999999</v>
      </c>
      <c r="G8" s="229">
        <f ca="1">'EVA 3 GPE'!M16</f>
        <v>8.2375000000000007</v>
      </c>
      <c r="H8" s="228">
        <v>0.2</v>
      </c>
      <c r="I8" s="229">
        <f>'EVA 4 GPE'!M16</f>
        <v>9.7375000000000007</v>
      </c>
      <c r="J8" s="228">
        <v>0.2</v>
      </c>
      <c r="K8" s="229">
        <f ca="1">'EVA 5 GPE'!M16</f>
        <v>9.7375000000000007</v>
      </c>
      <c r="L8" s="236">
        <f t="shared" ca="1" si="0"/>
        <v>8.8375000000000004</v>
      </c>
    </row>
    <row r="9" spans="1:12">
      <c r="A9" s="222" t="s">
        <v>199</v>
      </c>
      <c r="B9" s="227">
        <v>0.17</v>
      </c>
      <c r="C9" s="229">
        <f ca="1">'EVA 1 GPE'!M23</f>
        <v>7.78</v>
      </c>
      <c r="D9" s="228">
        <v>0.14499999999999999</v>
      </c>
      <c r="E9" s="229">
        <f ca="1">'EVA 2 GPE'!M24</f>
        <v>10</v>
      </c>
      <c r="F9" s="228">
        <v>0.17</v>
      </c>
      <c r="G9" s="229">
        <f ca="1">'EVA 3 GPE'!M24</f>
        <v>10</v>
      </c>
      <c r="H9" s="228">
        <v>0.14499999999999999</v>
      </c>
      <c r="I9" s="229">
        <f>'EVA 4 GPE'!M24</f>
        <v>10</v>
      </c>
      <c r="J9" s="228">
        <v>0.14499999999999999</v>
      </c>
      <c r="K9" s="229">
        <f ca="1">'EVA 5 GPE'!M24</f>
        <v>10</v>
      </c>
      <c r="L9" s="236">
        <f t="shared" ca="1" si="0"/>
        <v>9.5560000000000009</v>
      </c>
    </row>
    <row r="10" spans="1:12">
      <c r="A10" s="222" t="s">
        <v>243</v>
      </c>
      <c r="B10" s="227">
        <v>0.16</v>
      </c>
      <c r="C10" s="229">
        <f ca="1">'EVA 1 GPE'!M27</f>
        <v>10</v>
      </c>
      <c r="D10" s="228">
        <v>0.13800000000000001</v>
      </c>
      <c r="E10" s="229">
        <f ca="1">'EVA 2 GPE'!M29</f>
        <v>8.9655882352941152</v>
      </c>
      <c r="F10" s="228">
        <v>0.161</v>
      </c>
      <c r="G10" s="229">
        <f ca="1">'EVA 3 GPE'!M28</f>
        <v>9.8190045248868749</v>
      </c>
      <c r="H10" s="228">
        <v>0.13800000000000001</v>
      </c>
      <c r="I10" s="229">
        <f>'EVA 4 GPE'!M29</f>
        <v>9.1052731052731026</v>
      </c>
      <c r="J10" s="228">
        <v>0.13800000000000001</v>
      </c>
      <c r="K10" s="229">
        <f ca="1">'EVA 5 GPE'!M29</f>
        <v>8.8801716096662187</v>
      </c>
      <c r="L10" s="236">
        <f t="shared" ca="1" si="0"/>
        <v>9.3540074950240619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GPE'!M34</f>
        <v>9.8014941909626536</v>
      </c>
      <c r="F11" s="232"/>
      <c r="G11" s="232"/>
      <c r="H11" s="228">
        <v>0.14899999999999999</v>
      </c>
      <c r="I11" s="229">
        <f>'EVA 4 GPE'!M34</f>
        <v>9.585605446419132</v>
      </c>
      <c r="J11" s="228">
        <v>0.14899999999999999</v>
      </c>
      <c r="K11" s="229">
        <f ca="1">'EVA 5 GPE'!M34</f>
        <v>9.8566495712719551</v>
      </c>
      <c r="L11" s="236">
        <f t="shared" ca="1" si="0"/>
        <v>9.7479164028845808</v>
      </c>
    </row>
    <row r="12" spans="1:12">
      <c r="A12" s="223" t="s">
        <v>392</v>
      </c>
      <c r="B12" s="234"/>
      <c r="C12" s="231">
        <f ca="1">SUMPRODUCT(B5:B10,C5:C10)</f>
        <v>8.4443355529319177</v>
      </c>
      <c r="D12" s="234"/>
      <c r="E12" s="231">
        <f ca="1">SUMPRODUCT(D5:D11,E5:E11)</f>
        <v>8.835973810924024</v>
      </c>
      <c r="F12" s="234"/>
      <c r="G12" s="231">
        <f ca="1">SUMPRODUCT(F5:F10,G5:G10)</f>
        <v>9.1774472285067876</v>
      </c>
      <c r="H12" s="234"/>
      <c r="I12" s="231">
        <f>SUMPRODUCT(H5:H11,I5:I11)</f>
        <v>9.4426829000441401</v>
      </c>
      <c r="J12" s="233"/>
      <c r="K12" s="231">
        <f ca="1">SUMPRODUCT(J5:J11,K5:K11)</f>
        <v>9.4502991495205695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32">
      <c r="A15" s="237" t="s">
        <v>390</v>
      </c>
      <c r="B15" s="231">
        <f ca="1">AVERAGE(C12,E12,G12,I12,K12)</f>
        <v>9.0701477283854874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E080E-9FAB-AB4D-99C9-936247542D76}">
  <dimension ref="A1:AD108"/>
  <sheetViews>
    <sheetView workbookViewId="0">
      <selection activeCell="F25" sqref="F25"/>
    </sheetView>
  </sheetViews>
  <sheetFormatPr baseColWidth="10" defaultRowHeight="16"/>
  <sheetData>
    <row r="1" spans="1:30" s="112" customFormat="1" ht="78">
      <c r="A1" s="395" t="s">
        <v>0</v>
      </c>
      <c r="B1" s="395" t="s">
        <v>1</v>
      </c>
      <c r="C1" s="395" t="s">
        <v>2</v>
      </c>
      <c r="D1" s="395" t="s">
        <v>3</v>
      </c>
      <c r="E1" s="395" t="s">
        <v>4</v>
      </c>
      <c r="F1" s="395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  <c r="AD1" s="396"/>
    </row>
    <row r="2" spans="1:30">
      <c r="A2" s="376" t="s">
        <v>29</v>
      </c>
      <c r="B2" s="376" t="s">
        <v>29</v>
      </c>
      <c r="C2" s="376" t="s">
        <v>30</v>
      </c>
      <c r="D2" s="376" t="s">
        <v>31</v>
      </c>
      <c r="E2" s="376" t="s">
        <v>32</v>
      </c>
      <c r="F2" s="363" t="s">
        <v>33</v>
      </c>
      <c r="G2" s="3">
        <v>2021</v>
      </c>
      <c r="H2" s="3">
        <v>2021</v>
      </c>
      <c r="I2" s="3">
        <v>2022</v>
      </c>
      <c r="J2" s="3">
        <v>2022</v>
      </c>
      <c r="K2" s="3">
        <v>2023</v>
      </c>
      <c r="L2" s="3">
        <v>2023</v>
      </c>
      <c r="M2" s="3">
        <v>2024</v>
      </c>
      <c r="N2" s="3">
        <v>2024</v>
      </c>
      <c r="O2" s="290"/>
      <c r="P2" s="274">
        <v>406584</v>
      </c>
      <c r="Q2" s="274">
        <v>406584</v>
      </c>
      <c r="R2" s="290"/>
      <c r="S2" s="377"/>
      <c r="T2" s="377"/>
      <c r="U2" s="377"/>
      <c r="V2" s="377"/>
      <c r="W2" s="377"/>
      <c r="X2" s="358">
        <v>414934</v>
      </c>
      <c r="Y2" s="358">
        <v>414934</v>
      </c>
      <c r="Z2" s="358">
        <v>421798</v>
      </c>
      <c r="AA2" s="358">
        <v>421798</v>
      </c>
      <c r="AB2" s="358">
        <v>427063</v>
      </c>
      <c r="AC2" s="358">
        <v>427063</v>
      </c>
      <c r="AD2" s="362"/>
    </row>
    <row r="3" spans="1:30">
      <c r="A3" s="155" t="s">
        <v>34</v>
      </c>
      <c r="B3" s="155" t="s">
        <v>35</v>
      </c>
      <c r="C3" s="156" t="s">
        <v>36</v>
      </c>
      <c r="D3" s="156" t="s">
        <v>37</v>
      </c>
      <c r="E3" s="155" t="s">
        <v>38</v>
      </c>
      <c r="F3" s="21" t="s">
        <v>39</v>
      </c>
      <c r="G3" s="10">
        <v>44469</v>
      </c>
      <c r="H3" s="10">
        <v>44469</v>
      </c>
      <c r="I3" s="10">
        <v>44651</v>
      </c>
      <c r="J3" s="10">
        <v>44834</v>
      </c>
      <c r="K3" s="10">
        <v>45016</v>
      </c>
      <c r="L3" s="10">
        <v>45199</v>
      </c>
      <c r="M3" s="10">
        <v>45382</v>
      </c>
      <c r="N3" s="10">
        <v>45565</v>
      </c>
      <c r="O3" s="10">
        <v>45565</v>
      </c>
      <c r="P3" s="364"/>
      <c r="Q3" s="364"/>
      <c r="R3" s="290">
        <v>749</v>
      </c>
      <c r="S3" s="290">
        <v>749</v>
      </c>
      <c r="T3" s="290">
        <v>749</v>
      </c>
      <c r="U3" s="290">
        <v>749</v>
      </c>
      <c r="V3" s="290">
        <v>749</v>
      </c>
      <c r="W3" s="290">
        <v>749</v>
      </c>
      <c r="X3" s="365"/>
      <c r="Y3" s="18">
        <f ca="1">IFERROR(__xludf.DUMMYFUNCTION("INDEX(IMPORTRANGE(""1y0FWgjbB0gVlqn-q5LMJbGIsqOrzru4yowQz67dz2yc"", ""'JUA'!BG3:BG139""),MATCH(D3,IMPORTRANGE(""1y0FWgjbB0gVlqn-q5LMJbGIsqOrzru4yowQz67dz2yc"", ""'JUA'!D3:D139""),0))"),433)</f>
        <v>433</v>
      </c>
      <c r="Z3" s="2"/>
      <c r="AA3" s="156"/>
      <c r="AB3" s="156"/>
      <c r="AC3" s="156"/>
      <c r="AD3" s="263"/>
    </row>
    <row r="4" spans="1:30">
      <c r="A4" s="155" t="s">
        <v>34</v>
      </c>
      <c r="B4" s="155" t="s">
        <v>40</v>
      </c>
      <c r="C4" s="156" t="s">
        <v>30</v>
      </c>
      <c r="D4" s="155" t="s">
        <v>41</v>
      </c>
      <c r="E4" s="155" t="s">
        <v>38</v>
      </c>
      <c r="F4" s="21" t="s">
        <v>42</v>
      </c>
      <c r="G4" s="10">
        <v>44469</v>
      </c>
      <c r="H4" s="10">
        <v>44469</v>
      </c>
      <c r="I4" s="10">
        <v>44651</v>
      </c>
      <c r="J4" s="10">
        <v>44834</v>
      </c>
      <c r="K4" s="10">
        <v>45016</v>
      </c>
      <c r="L4" s="10">
        <v>45199</v>
      </c>
      <c r="M4" s="10">
        <v>45382</v>
      </c>
      <c r="N4" s="10">
        <v>45565</v>
      </c>
      <c r="O4" s="10">
        <v>45565</v>
      </c>
      <c r="P4" s="364"/>
      <c r="Q4" s="364"/>
      <c r="R4" s="290"/>
      <c r="S4" s="290"/>
      <c r="T4" s="290"/>
      <c r="U4" s="290"/>
      <c r="V4" s="290"/>
      <c r="W4" s="377"/>
      <c r="X4" s="365"/>
      <c r="Y4" s="18">
        <f ca="1">IFERROR(__xludf.DUMMYFUNCTION("INDEX(IMPORTRANGE(""1y0FWgjbB0gVlqn-q5LMJbGIsqOrzru4yowQz67dz2yc"", ""'JUA'!BG3:BG139""),MATCH(D4,IMPORTRANGE(""1y0FWgjbB0gVlqn-q5LMJbGIsqOrzru4yowQz67dz2yc"", ""'JUA'!D3:D139""),0))"),334)</f>
        <v>334</v>
      </c>
      <c r="Z4" s="2"/>
      <c r="AA4" s="156"/>
      <c r="AB4" s="156"/>
      <c r="AC4" s="156"/>
      <c r="AD4" s="263"/>
    </row>
    <row r="5" spans="1:30">
      <c r="A5" s="155" t="s">
        <v>34</v>
      </c>
      <c r="B5" s="155" t="s">
        <v>40</v>
      </c>
      <c r="C5" s="156" t="s">
        <v>36</v>
      </c>
      <c r="D5" s="156" t="s">
        <v>43</v>
      </c>
      <c r="E5" s="155" t="s">
        <v>38</v>
      </c>
      <c r="F5" s="21" t="s">
        <v>44</v>
      </c>
      <c r="G5" s="10">
        <v>44469</v>
      </c>
      <c r="H5" s="10">
        <v>44469</v>
      </c>
      <c r="I5" s="10">
        <v>44651</v>
      </c>
      <c r="J5" s="10">
        <v>44834</v>
      </c>
      <c r="K5" s="10">
        <v>45016</v>
      </c>
      <c r="L5" s="10">
        <v>45199</v>
      </c>
      <c r="M5" s="10">
        <v>45382</v>
      </c>
      <c r="N5" s="10">
        <v>45565</v>
      </c>
      <c r="O5" s="10">
        <v>45565</v>
      </c>
      <c r="P5" s="366" t="e">
        <f t="shared" ref="P5:Q5" si="0">P4/P3</f>
        <v>#DIV/0!</v>
      </c>
      <c r="Q5" s="366" t="e">
        <f t="shared" si="0"/>
        <v>#DIV/0!</v>
      </c>
      <c r="R5" s="31">
        <v>1</v>
      </c>
      <c r="S5" s="31">
        <v>1</v>
      </c>
      <c r="T5" s="31">
        <v>1</v>
      </c>
      <c r="U5" s="31">
        <v>1</v>
      </c>
      <c r="V5" s="31">
        <v>1</v>
      </c>
      <c r="W5" s="31">
        <v>1</v>
      </c>
      <c r="X5" s="366" t="e">
        <f>X4/X3</f>
        <v>#DIV/0!</v>
      </c>
      <c r="Y5" s="18">
        <f ca="1">IFERROR(__xludf.DUMMYFUNCTION("INDEX(IMPORTRANGE(""1y0FWgjbB0gVlqn-q5LMJbGIsqOrzru4yowQz67dz2yc"", ""'JUA'!BG3:BG139""),MATCH(D5,IMPORTRANGE(""1y0FWgjbB0gVlqn-q5LMJbGIsqOrzru4yowQz67dz2yc"", ""'JUA'!D3:D139""),0))"),0.77136258660508)</f>
        <v>0.77136258660507995</v>
      </c>
      <c r="Z5" s="2"/>
      <c r="AA5" s="156"/>
      <c r="AB5" s="156"/>
      <c r="AC5" s="156"/>
      <c r="AD5" s="263"/>
    </row>
    <row r="6" spans="1:30">
      <c r="A6" s="155" t="s">
        <v>34</v>
      </c>
      <c r="B6" s="155" t="s">
        <v>45</v>
      </c>
      <c r="C6" s="156" t="s">
        <v>30</v>
      </c>
      <c r="D6" s="156" t="s">
        <v>328</v>
      </c>
      <c r="E6" s="155" t="s">
        <v>38</v>
      </c>
      <c r="F6" s="21" t="s">
        <v>47</v>
      </c>
      <c r="G6" s="10">
        <v>44469</v>
      </c>
      <c r="H6" s="10">
        <v>44469</v>
      </c>
      <c r="I6" s="10">
        <v>44651</v>
      </c>
      <c r="J6" s="10">
        <v>44834</v>
      </c>
      <c r="K6" s="10">
        <v>45016</v>
      </c>
      <c r="L6" s="10">
        <v>45199</v>
      </c>
      <c r="M6" s="10">
        <v>45382</v>
      </c>
      <c r="N6" s="10">
        <v>45565</v>
      </c>
      <c r="O6" s="10">
        <v>45565</v>
      </c>
      <c r="P6" s="378"/>
      <c r="Q6" s="379"/>
      <c r="R6" s="156"/>
      <c r="S6" s="156"/>
      <c r="T6" s="156"/>
      <c r="U6" s="156"/>
      <c r="V6" s="156"/>
      <c r="W6" s="156"/>
      <c r="X6" s="379"/>
      <c r="Y6" s="18">
        <f ca="1">IFERROR(__xludf.DUMMYFUNCTION("INDEX(IMPORTRANGE(""1y0FWgjbB0gVlqn-q5LMJbGIsqOrzru4yowQz67dz2yc"", ""'JUA'!BG3:BG139""),MATCH(D6,IMPORTRANGE(""1y0FWgjbB0gVlqn-q5LMJbGIsqOrzru4yowQz67dz2yc"", ""'JUA'!D3:D139""),0))"),0)</f>
        <v>0</v>
      </c>
      <c r="Z6" s="2"/>
      <c r="AA6" s="156"/>
      <c r="AB6" s="156"/>
      <c r="AC6" s="156"/>
      <c r="AD6" s="263"/>
    </row>
    <row r="7" spans="1:30">
      <c r="A7" s="155" t="s">
        <v>34</v>
      </c>
      <c r="B7" s="155" t="s">
        <v>45</v>
      </c>
      <c r="C7" s="156" t="s">
        <v>30</v>
      </c>
      <c r="D7" s="156" t="s">
        <v>329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367"/>
      <c r="Q7" s="367"/>
      <c r="R7" s="156"/>
      <c r="S7" s="156"/>
      <c r="T7" s="156"/>
      <c r="U7" s="156"/>
      <c r="V7" s="156"/>
      <c r="W7" s="380"/>
      <c r="X7" s="367"/>
      <c r="Y7" s="18">
        <f ca="1">IFERROR(__xludf.DUMMYFUNCTION("INDEX(IMPORTRANGE(""1y0FWgjbB0gVlqn-q5LMJbGIsqOrzru4yowQz67dz2yc"", ""'JUA'!BG3:BG139""),MATCH(D7,IMPORTRANGE(""1y0FWgjbB0gVlqn-q5LMJbGIsqOrzru4yowQz67dz2yc"", ""'JUA'!D3:D139""),0))"),0)</f>
        <v>0</v>
      </c>
      <c r="Z7" s="2"/>
      <c r="AA7" s="156"/>
      <c r="AB7" s="156"/>
      <c r="AC7" s="156"/>
      <c r="AD7" s="263"/>
    </row>
    <row r="8" spans="1:30">
      <c r="A8" s="155" t="s">
        <v>34</v>
      </c>
      <c r="B8" s="155" t="s">
        <v>45</v>
      </c>
      <c r="C8" s="156" t="s">
        <v>36</v>
      </c>
      <c r="D8" s="156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0">
        <v>44651</v>
      </c>
      <c r="J8" s="10">
        <v>44834</v>
      </c>
      <c r="K8" s="10">
        <v>45016</v>
      </c>
      <c r="L8" s="10">
        <v>45199</v>
      </c>
      <c r="M8" s="10">
        <v>45382</v>
      </c>
      <c r="N8" s="10">
        <v>45565</v>
      </c>
      <c r="O8" s="10">
        <v>45565</v>
      </c>
      <c r="P8" s="367" t="e">
        <f t="shared" ref="P8:Q8" si="1">P6/P3</f>
        <v>#DIV/0!</v>
      </c>
      <c r="Q8" s="367" t="e">
        <f t="shared" si="1"/>
        <v>#DIV/0!</v>
      </c>
      <c r="R8" s="264">
        <v>0.04</v>
      </c>
      <c r="S8" s="264">
        <v>0.04</v>
      </c>
      <c r="T8" s="264">
        <v>0.04</v>
      </c>
      <c r="U8" s="264">
        <v>0.04</v>
      </c>
      <c r="V8" s="264">
        <v>0.04</v>
      </c>
      <c r="W8" s="264">
        <v>0.04</v>
      </c>
      <c r="X8" s="367" t="e">
        <f>X6/X3</f>
        <v>#DIV/0!</v>
      </c>
      <c r="Y8" s="18">
        <f ca="1">IFERROR(__xludf.DUMMYFUNCTION("INDEX(IMPORTRANGE(""1y0FWgjbB0gVlqn-q5LMJbGIsqOrzru4yowQz67dz2yc"", ""'JUA'!BG3:BG139""),MATCH(D8,IMPORTRANGE(""1y0FWgjbB0gVlqn-q5LMJbGIsqOrzru4yowQz67dz2yc"", ""'JUA'!D3:D139""),0))"),0)</f>
        <v>0</v>
      </c>
      <c r="Z8" s="2"/>
      <c r="AA8" s="156"/>
      <c r="AB8" s="156"/>
      <c r="AC8" s="156"/>
      <c r="AD8" s="263"/>
    </row>
    <row r="9" spans="1:30">
      <c r="A9" s="155" t="s">
        <v>52</v>
      </c>
      <c r="B9" s="155" t="s">
        <v>53</v>
      </c>
      <c r="C9" s="156" t="s">
        <v>30</v>
      </c>
      <c r="D9" s="156" t="s">
        <v>54</v>
      </c>
      <c r="E9" s="155" t="s">
        <v>38</v>
      </c>
      <c r="F9" s="21" t="s">
        <v>55</v>
      </c>
      <c r="G9" s="21" t="s">
        <v>56</v>
      </c>
      <c r="H9" s="21" t="s">
        <v>57</v>
      </c>
      <c r="I9" s="21" t="s">
        <v>58</v>
      </c>
      <c r="J9" s="21" t="s">
        <v>59</v>
      </c>
      <c r="K9" s="21" t="s">
        <v>60</v>
      </c>
      <c r="L9" s="21" t="s">
        <v>61</v>
      </c>
      <c r="M9" s="21" t="s">
        <v>62</v>
      </c>
      <c r="N9" s="21" t="s">
        <v>63</v>
      </c>
      <c r="O9" s="21" t="s">
        <v>63</v>
      </c>
      <c r="P9" s="262">
        <v>1183</v>
      </c>
      <c r="Q9" s="22">
        <v>2633</v>
      </c>
      <c r="R9" s="290"/>
      <c r="S9" s="290"/>
      <c r="T9" s="290"/>
      <c r="U9" s="290"/>
      <c r="V9" s="290"/>
      <c r="W9" s="377"/>
      <c r="X9" s="262">
        <v>1970</v>
      </c>
      <c r="Y9" s="2">
        <f ca="1">IFERROR(__xludf.DUMMYFUNCTION("INDEX(IMPORTRANGE(""1y0FWgjbB0gVlqn-q5LMJbGIsqOrzru4yowQz67dz2yc"", ""'JUA'!BG3:BG139""),MATCH(D9,IMPORTRANGE(""1y0FWgjbB0gVlqn-q5LMJbGIsqOrzru4yowQz67dz2yc"", ""'JUA'!D3:D139""),0))"),0)</f>
        <v>0</v>
      </c>
      <c r="Z9" s="2"/>
      <c r="AA9" s="156"/>
      <c r="AB9" s="156"/>
      <c r="AC9" s="156"/>
      <c r="AD9" s="263"/>
    </row>
    <row r="10" spans="1:30">
      <c r="A10" s="155" t="s">
        <v>52</v>
      </c>
      <c r="B10" s="155" t="s">
        <v>53</v>
      </c>
      <c r="C10" s="156" t="s">
        <v>30</v>
      </c>
      <c r="D10" s="156" t="s">
        <v>64</v>
      </c>
      <c r="E10" s="155" t="s">
        <v>38</v>
      </c>
      <c r="F10" s="21" t="s">
        <v>65</v>
      </c>
      <c r="G10" s="21" t="s">
        <v>56</v>
      </c>
      <c r="H10" s="21" t="s">
        <v>57</v>
      </c>
      <c r="I10" s="21" t="s">
        <v>58</v>
      </c>
      <c r="J10" s="21" t="s">
        <v>59</v>
      </c>
      <c r="K10" s="21" t="s">
        <v>60</v>
      </c>
      <c r="L10" s="21" t="s">
        <v>61</v>
      </c>
      <c r="M10" s="21" t="s">
        <v>62</v>
      </c>
      <c r="N10" s="21" t="s">
        <v>63</v>
      </c>
      <c r="O10" s="21" t="s">
        <v>63</v>
      </c>
      <c r="P10" s="364">
        <v>0</v>
      </c>
      <c r="Q10" s="364">
        <v>0</v>
      </c>
      <c r="R10" s="290"/>
      <c r="S10" s="290"/>
      <c r="T10" s="290"/>
      <c r="U10" s="290"/>
      <c r="V10" s="290"/>
      <c r="W10" s="377"/>
      <c r="X10" s="364">
        <v>0</v>
      </c>
      <c r="Y10" s="262">
        <f ca="1">IFERROR(__xludf.DUMMYFUNCTION("INDEX(IMPORTRANGE(""1y0FWgjbB0gVlqn-q5LMJbGIsqOrzru4yowQz67dz2yc"", ""'JUA'!BG3:BG139""),MATCH(D10,IMPORTRANGE(""1y0FWgjbB0gVlqn-q5LMJbGIsqOrzru4yowQz67dz2yc"", ""'JUA'!D3:D139""),0))"),3205)</f>
        <v>3205</v>
      </c>
      <c r="Z10" s="262"/>
      <c r="AA10" s="156"/>
      <c r="AB10" s="156"/>
      <c r="AC10" s="156"/>
      <c r="AD10" s="263"/>
    </row>
    <row r="11" spans="1:30">
      <c r="A11" s="155" t="s">
        <v>52</v>
      </c>
      <c r="B11" s="155" t="s">
        <v>53</v>
      </c>
      <c r="C11" s="156" t="s">
        <v>36</v>
      </c>
      <c r="D11" s="156" t="s">
        <v>66</v>
      </c>
      <c r="E11" s="155" t="s">
        <v>38</v>
      </c>
      <c r="F11" s="21" t="s">
        <v>67</v>
      </c>
      <c r="G11" s="21" t="s">
        <v>56</v>
      </c>
      <c r="H11" s="21" t="s">
        <v>57</v>
      </c>
      <c r="I11" s="21" t="s">
        <v>58</v>
      </c>
      <c r="J11" s="21" t="s">
        <v>59</v>
      </c>
      <c r="K11" s="21" t="s">
        <v>60</v>
      </c>
      <c r="L11" s="21" t="s">
        <v>61</v>
      </c>
      <c r="M11" s="21" t="s">
        <v>62</v>
      </c>
      <c r="N11" s="21" t="s">
        <v>63</v>
      </c>
      <c r="O11" s="21" t="s">
        <v>63</v>
      </c>
      <c r="P11" s="366" t="e">
        <f t="shared" ref="P11:Q11" si="2">P9/P10</f>
        <v>#DIV/0!</v>
      </c>
      <c r="Q11" s="366" t="e">
        <f t="shared" si="2"/>
        <v>#DIV/0!</v>
      </c>
      <c r="R11" s="380">
        <f>21.8%/5</f>
        <v>4.36E-2</v>
      </c>
      <c r="S11" s="380">
        <f t="shared" ref="S11:V11" si="3">R11+$R$11</f>
        <v>8.72E-2</v>
      </c>
      <c r="T11" s="380">
        <f t="shared" si="3"/>
        <v>0.1308</v>
      </c>
      <c r="U11" s="380">
        <f t="shared" si="3"/>
        <v>0.1744</v>
      </c>
      <c r="V11" s="380">
        <f t="shared" si="3"/>
        <v>0.218</v>
      </c>
      <c r="W11" s="380">
        <f>V11</f>
        <v>0.218</v>
      </c>
      <c r="X11" s="366" t="e">
        <f>X9/X10</f>
        <v>#DIV/0!</v>
      </c>
      <c r="Y11" s="2">
        <f ca="1">IFERROR(__xludf.DUMMYFUNCTION("INDEX(IMPORTRANGE(""1y0FWgjbB0gVlqn-q5LMJbGIsqOrzru4yowQz67dz2yc"", ""'JUA'!BG3:BG139""),MATCH(D11,IMPORTRANGE(""1y0FWgjbB0gVlqn-q5LMJbGIsqOrzru4yowQz67dz2yc"", ""'JUA'!D3:D139""),0))"),0)</f>
        <v>0</v>
      </c>
      <c r="Z11" s="2"/>
      <c r="AA11" s="156"/>
      <c r="AB11" s="156"/>
      <c r="AC11" s="156"/>
      <c r="AD11" s="263"/>
    </row>
    <row r="12" spans="1:30">
      <c r="A12" s="155" t="s">
        <v>52</v>
      </c>
      <c r="B12" s="155" t="s">
        <v>68</v>
      </c>
      <c r="C12" s="156" t="s">
        <v>30</v>
      </c>
      <c r="D12" s="155" t="s">
        <v>69</v>
      </c>
      <c r="E12" s="155" t="s">
        <v>70</v>
      </c>
      <c r="F12" s="21" t="s">
        <v>71</v>
      </c>
      <c r="G12" s="21" t="s">
        <v>56</v>
      </c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1" t="s">
        <v>62</v>
      </c>
      <c r="N12" s="21" t="s">
        <v>63</v>
      </c>
      <c r="O12" s="21" t="s">
        <v>63</v>
      </c>
      <c r="P12" s="262">
        <v>49</v>
      </c>
      <c r="Q12" s="262">
        <v>92</v>
      </c>
      <c r="R12" s="290"/>
      <c r="S12" s="290"/>
      <c r="T12" s="290"/>
      <c r="U12" s="290"/>
      <c r="V12" s="290"/>
      <c r="W12" s="377"/>
      <c r="X12" s="262">
        <v>31</v>
      </c>
      <c r="Y12" s="2">
        <f ca="1">IFERROR(__xludf.DUMMYFUNCTION("INDEX(IMPORTRANGE(""1y0FWgjbB0gVlqn-q5LMJbGIsqOrzru4yowQz67dz2yc"", ""'JUA'!BG3:BG139""),MATCH(D12,IMPORTRANGE(""1y0FWgjbB0gVlqn-q5LMJbGIsqOrzru4yowQz67dz2yc"", ""'JUA'!D3:D139""),0))"),102)</f>
        <v>102</v>
      </c>
      <c r="Z12" s="2"/>
      <c r="AA12" s="156"/>
      <c r="AB12" s="156"/>
      <c r="AC12" s="156"/>
      <c r="AD12" s="263"/>
    </row>
    <row r="13" spans="1:30">
      <c r="A13" s="155" t="s">
        <v>52</v>
      </c>
      <c r="B13" s="155" t="s">
        <v>68</v>
      </c>
      <c r="C13" s="156" t="s">
        <v>36</v>
      </c>
      <c r="D13" s="155" t="s">
        <v>72</v>
      </c>
      <c r="E13" s="155" t="s">
        <v>73</v>
      </c>
      <c r="F13" s="21" t="s">
        <v>74</v>
      </c>
      <c r="G13" s="22" t="s">
        <v>56</v>
      </c>
      <c r="H13" s="22" t="s">
        <v>57</v>
      </c>
      <c r="I13" s="21" t="s">
        <v>58</v>
      </c>
      <c r="J13" s="21" t="s">
        <v>59</v>
      </c>
      <c r="K13" s="21" t="s">
        <v>60</v>
      </c>
      <c r="L13" s="21" t="s">
        <v>61</v>
      </c>
      <c r="M13" s="21" t="s">
        <v>62</v>
      </c>
      <c r="N13" s="21" t="s">
        <v>63</v>
      </c>
      <c r="O13" s="21" t="s">
        <v>63</v>
      </c>
      <c r="P13" s="265">
        <f t="shared" ref="P13:Q13" si="4">(P12/P$2)*100000</f>
        <v>12.051630167443873</v>
      </c>
      <c r="Q13" s="265">
        <f t="shared" si="4"/>
        <v>22.627550518466052</v>
      </c>
      <c r="R13" s="381">
        <f>Q13*(1-12.9%*1/3)</f>
        <v>21.654565846172012</v>
      </c>
      <c r="S13" s="381">
        <f>(1-12.9%*2/3)*P13</f>
        <v>11.0151899730437</v>
      </c>
      <c r="T13" s="381">
        <f>Q13*(1-12.9%*2/3)</f>
        <v>20.681581173877973</v>
      </c>
      <c r="U13" s="381">
        <f>(1-12.9%)*P13</f>
        <v>10.496969875843613</v>
      </c>
      <c r="V13" s="381">
        <f>W13</f>
        <v>19.70859650158393</v>
      </c>
      <c r="W13" s="381">
        <f>Q13*(1-12.9%)</f>
        <v>19.70859650158393</v>
      </c>
      <c r="X13" s="265">
        <f>(X12/X$2)*100000</f>
        <v>7.4710676878732514</v>
      </c>
      <c r="Y13" s="265">
        <f ca="1">IFERROR(__xludf.DUMMYFUNCTION("INDEX(IMPORTRANGE(""1y0FWgjbB0gVlqn-q5LMJbGIsqOrzru4yowQz67dz2yc"", ""'JUA'!BG3:BG139""),MATCH(D13,IMPORTRANGE(""1y0FWgjbB0gVlqn-q5LMJbGIsqOrzru4yowQz67dz2yc"", ""'JUA'!D3:D139""),0))"),24.5822227149377)</f>
        <v>24.5822227149377</v>
      </c>
      <c r="Z13" s="265"/>
      <c r="AA13" s="156"/>
      <c r="AB13" s="156"/>
      <c r="AC13" s="156"/>
      <c r="AD13" s="263"/>
    </row>
    <row r="14" spans="1:30">
      <c r="A14" s="155" t="s">
        <v>52</v>
      </c>
      <c r="B14" s="155" t="s">
        <v>68</v>
      </c>
      <c r="C14" s="156" t="s">
        <v>30</v>
      </c>
      <c r="D14" s="155" t="s">
        <v>75</v>
      </c>
      <c r="E14" s="155" t="s">
        <v>76</v>
      </c>
      <c r="F14" s="21" t="s">
        <v>77</v>
      </c>
      <c r="G14" s="22" t="s">
        <v>56</v>
      </c>
      <c r="H14" s="22" t="s">
        <v>57</v>
      </c>
      <c r="I14" s="21" t="s">
        <v>58</v>
      </c>
      <c r="J14" s="21" t="s">
        <v>59</v>
      </c>
      <c r="K14" s="21" t="s">
        <v>60</v>
      </c>
      <c r="L14" s="21" t="s">
        <v>61</v>
      </c>
      <c r="M14" s="21" t="s">
        <v>62</v>
      </c>
      <c r="N14" s="21" t="s">
        <v>63</v>
      </c>
      <c r="O14" s="21" t="s">
        <v>63</v>
      </c>
      <c r="P14" s="262">
        <v>157</v>
      </c>
      <c r="Q14" s="262">
        <v>423</v>
      </c>
      <c r="R14" s="290"/>
      <c r="S14" s="290"/>
      <c r="T14" s="290"/>
      <c r="U14" s="290"/>
      <c r="V14" s="290"/>
      <c r="W14" s="377"/>
      <c r="X14" s="262">
        <v>207</v>
      </c>
      <c r="Y14" s="2">
        <f ca="1">IFERROR(__xludf.DUMMYFUNCTION("INDEX(IMPORTRANGE(""1y0FWgjbB0gVlqn-q5LMJbGIsqOrzru4yowQz67dz2yc"", ""'JUA'!BG3:BG139""),MATCH(D14,IMPORTRANGE(""1y0FWgjbB0gVlqn-q5LMJbGIsqOrzru4yowQz67dz2yc"", ""'JUA'!D3:D139""),0))"),301)</f>
        <v>301</v>
      </c>
      <c r="Z14" s="2"/>
      <c r="AA14" s="156"/>
      <c r="AB14" s="156"/>
      <c r="AC14" s="156"/>
      <c r="AD14" s="263"/>
    </row>
    <row r="15" spans="1:30">
      <c r="A15" s="155" t="s">
        <v>52</v>
      </c>
      <c r="B15" s="155" t="s">
        <v>68</v>
      </c>
      <c r="C15" s="156" t="s">
        <v>30</v>
      </c>
      <c r="D15" s="155" t="s">
        <v>78</v>
      </c>
      <c r="E15" s="155" t="s">
        <v>76</v>
      </c>
      <c r="F15" s="21" t="s">
        <v>79</v>
      </c>
      <c r="G15" s="22" t="s">
        <v>56</v>
      </c>
      <c r="H15" s="22" t="s">
        <v>57</v>
      </c>
      <c r="I15" s="21" t="s">
        <v>58</v>
      </c>
      <c r="J15" s="21" t="s">
        <v>59</v>
      </c>
      <c r="K15" s="21" t="s">
        <v>60</v>
      </c>
      <c r="L15" s="21" t="s">
        <v>61</v>
      </c>
      <c r="M15" s="21" t="s">
        <v>62</v>
      </c>
      <c r="N15" s="21" t="s">
        <v>63</v>
      </c>
      <c r="O15" s="21" t="s">
        <v>63</v>
      </c>
      <c r="P15" s="262">
        <v>241</v>
      </c>
      <c r="Q15" s="262">
        <v>541</v>
      </c>
      <c r="R15" s="290"/>
      <c r="S15" s="290"/>
      <c r="T15" s="290"/>
      <c r="U15" s="290"/>
      <c r="V15" s="290"/>
      <c r="W15" s="377"/>
      <c r="X15" s="262">
        <v>411</v>
      </c>
      <c r="Y15" s="2">
        <f ca="1">IFERROR(__xludf.DUMMYFUNCTION("INDEX(IMPORTRANGE(""1y0FWgjbB0gVlqn-q5LMJbGIsqOrzru4yowQz67dz2yc"", ""'JUA'!BG3:BG139""),MATCH(D15,IMPORTRANGE(""1y0FWgjbB0gVlqn-q5LMJbGIsqOrzru4yowQz67dz2yc"", ""'JUA'!D3:D139""),0))"),784)</f>
        <v>784</v>
      </c>
      <c r="Z15" s="2"/>
      <c r="AA15" s="156"/>
      <c r="AB15" s="156"/>
      <c r="AC15" s="156"/>
      <c r="AD15" s="263"/>
    </row>
    <row r="16" spans="1:30">
      <c r="A16" s="155" t="s">
        <v>52</v>
      </c>
      <c r="B16" s="155" t="s">
        <v>68</v>
      </c>
      <c r="C16" s="156" t="s">
        <v>30</v>
      </c>
      <c r="D16" s="155" t="s">
        <v>80</v>
      </c>
      <c r="E16" s="155" t="s">
        <v>76</v>
      </c>
      <c r="F16" s="21" t="s">
        <v>81</v>
      </c>
      <c r="G16" s="22" t="s">
        <v>56</v>
      </c>
      <c r="H16" s="22" t="s">
        <v>57</v>
      </c>
      <c r="I16" s="21" t="s">
        <v>58</v>
      </c>
      <c r="J16" s="21" t="s">
        <v>59</v>
      </c>
      <c r="K16" s="21" t="s">
        <v>60</v>
      </c>
      <c r="L16" s="21" t="s">
        <v>61</v>
      </c>
      <c r="M16" s="21" t="s">
        <v>62</v>
      </c>
      <c r="N16" s="21" t="s">
        <v>63</v>
      </c>
      <c r="O16" s="21" t="s">
        <v>63</v>
      </c>
      <c r="P16" s="262">
        <v>123</v>
      </c>
      <c r="Q16" s="262">
        <v>256</v>
      </c>
      <c r="R16" s="290"/>
      <c r="S16" s="290"/>
      <c r="T16" s="290"/>
      <c r="U16" s="290"/>
      <c r="V16" s="290"/>
      <c r="W16" s="377"/>
      <c r="X16" s="262">
        <v>193</v>
      </c>
      <c r="Y16" s="2">
        <f ca="1">IFERROR(__xludf.DUMMYFUNCTION("INDEX(IMPORTRANGE(""1y0FWgjbB0gVlqn-q5LMJbGIsqOrzru4yowQz67dz2yc"", ""'JUA'!BG3:BG139""),MATCH(D16,IMPORTRANGE(""1y0FWgjbB0gVlqn-q5LMJbGIsqOrzru4yowQz67dz2yc"", ""'JUA'!D3:D139""),0))"),435)</f>
        <v>435</v>
      </c>
      <c r="Z16" s="2"/>
      <c r="AA16" s="156"/>
      <c r="AB16" s="156"/>
      <c r="AC16" s="156"/>
      <c r="AD16" s="263"/>
    </row>
    <row r="17" spans="1:30">
      <c r="A17" s="155" t="s">
        <v>52</v>
      </c>
      <c r="B17" s="155" t="s">
        <v>68</v>
      </c>
      <c r="C17" s="156" t="s">
        <v>30</v>
      </c>
      <c r="D17" s="7" t="s">
        <v>82</v>
      </c>
      <c r="E17" s="155" t="s">
        <v>76</v>
      </c>
      <c r="F17" s="21" t="s">
        <v>83</v>
      </c>
      <c r="G17" s="22" t="s">
        <v>56</v>
      </c>
      <c r="H17" s="22" t="s">
        <v>57</v>
      </c>
      <c r="I17" s="21" t="s">
        <v>58</v>
      </c>
      <c r="J17" s="21" t="s">
        <v>59</v>
      </c>
      <c r="K17" s="21" t="s">
        <v>60</v>
      </c>
      <c r="L17" s="21" t="s">
        <v>61</v>
      </c>
      <c r="M17" s="21" t="s">
        <v>62</v>
      </c>
      <c r="N17" s="21" t="s">
        <v>63</v>
      </c>
      <c r="O17" s="21" t="s">
        <v>63</v>
      </c>
      <c r="P17" s="262">
        <v>48</v>
      </c>
      <c r="Q17" s="262">
        <v>99</v>
      </c>
      <c r="R17" s="368"/>
      <c r="S17" s="368"/>
      <c r="T17" s="368"/>
      <c r="U17" s="368"/>
      <c r="V17" s="266"/>
      <c r="W17" s="266"/>
      <c r="X17" s="262">
        <v>34</v>
      </c>
      <c r="Y17" s="2">
        <f ca="1">IFERROR(__xludf.DUMMYFUNCTION("INDEX(IMPORTRANGE(""1y0FWgjbB0gVlqn-q5LMJbGIsqOrzru4yowQz67dz2yc"", ""'JUA'!BG3:BG139""),MATCH(D17,IMPORTRANGE(""1y0FWgjbB0gVlqn-q5LMJbGIsqOrzru4yowQz67dz2yc"", ""'JUA'!D3:D139""),0))"),47)</f>
        <v>47</v>
      </c>
      <c r="Z17" s="2"/>
      <c r="AA17" s="156"/>
      <c r="AB17" s="156"/>
      <c r="AC17" s="156"/>
      <c r="AD17" s="369"/>
    </row>
    <row r="18" spans="1:30">
      <c r="A18" s="155" t="s">
        <v>52</v>
      </c>
      <c r="B18" s="155" t="s">
        <v>68</v>
      </c>
      <c r="C18" s="156" t="s">
        <v>36</v>
      </c>
      <c r="D18" s="155" t="s">
        <v>84</v>
      </c>
      <c r="E18" s="155" t="s">
        <v>76</v>
      </c>
      <c r="F18" s="21" t="s">
        <v>85</v>
      </c>
      <c r="G18" s="22" t="s">
        <v>56</v>
      </c>
      <c r="H18" s="22" t="s">
        <v>57</v>
      </c>
      <c r="I18" s="21" t="s">
        <v>58</v>
      </c>
      <c r="J18" s="21" t="s">
        <v>59</v>
      </c>
      <c r="K18" s="21" t="s">
        <v>60</v>
      </c>
      <c r="L18" s="21" t="s">
        <v>61</v>
      </c>
      <c r="M18" s="21" t="s">
        <v>62</v>
      </c>
      <c r="N18" s="21" t="s">
        <v>63</v>
      </c>
      <c r="O18" s="21" t="s">
        <v>63</v>
      </c>
      <c r="P18" s="265">
        <f t="shared" ref="P18:Q18" si="5">(SUM(P14:P17)/P2)*100000</f>
        <v>139.94648092399109</v>
      </c>
      <c r="Q18" s="265">
        <f t="shared" si="5"/>
        <v>324.41020797670348</v>
      </c>
      <c r="R18" s="368">
        <f>Q18*(1-AD18*1/3)</f>
        <v>310.46056903370521</v>
      </c>
      <c r="S18" s="368">
        <f>P18*(1-AD18*2/3)</f>
        <v>127.91108356452786</v>
      </c>
      <c r="T18" s="368">
        <f>Q18*(1-AD18*2/3)</f>
        <v>296.51093009070701</v>
      </c>
      <c r="U18" s="368">
        <f>P18*(1-AD18)</f>
        <v>121.89338488479623</v>
      </c>
      <c r="V18" s="266">
        <f>W18</f>
        <v>282.56129114770874</v>
      </c>
      <c r="W18" s="266">
        <f>Q18*(1-AD18)</f>
        <v>282.56129114770874</v>
      </c>
      <c r="X18" s="265">
        <v>203.6</v>
      </c>
      <c r="Y18" s="265">
        <f ca="1">IFERROR(__xludf.DUMMYFUNCTION("INDEX(IMPORTRANGE(""1y0FWgjbB0gVlqn-q5LMJbGIsqOrzru4yowQz67dz2yc"", ""'JUA'!BG3:BG139""),MATCH(D18,IMPORTRANGE(""1y0FWgjbB0gVlqn-q5LMJbGIsqOrzru4yowQz67dz2yc"", ""'JUA'!D3:D139""),0))"),377.650421512818)</f>
        <v>377.65042151281801</v>
      </c>
      <c r="Z18" s="265"/>
      <c r="AA18" s="156"/>
      <c r="AB18" s="156"/>
      <c r="AC18" s="156"/>
      <c r="AD18" s="369">
        <v>0.129</v>
      </c>
    </row>
    <row r="19" spans="1:30">
      <c r="A19" s="155" t="s">
        <v>52</v>
      </c>
      <c r="B19" s="155" t="s">
        <v>86</v>
      </c>
      <c r="C19" s="156" t="s">
        <v>30</v>
      </c>
      <c r="D19" s="155" t="s">
        <v>87</v>
      </c>
      <c r="E19" s="155" t="s">
        <v>76</v>
      </c>
      <c r="F19" s="21" t="s">
        <v>88</v>
      </c>
      <c r="G19" s="22" t="s">
        <v>56</v>
      </c>
      <c r="H19" s="22" t="s">
        <v>57</v>
      </c>
      <c r="I19" s="21" t="s">
        <v>58</v>
      </c>
      <c r="J19" s="21" t="s">
        <v>59</v>
      </c>
      <c r="K19" s="21" t="s">
        <v>60</v>
      </c>
      <c r="L19" s="21" t="s">
        <v>61</v>
      </c>
      <c r="M19" s="21" t="s">
        <v>62</v>
      </c>
      <c r="N19" s="21" t="s">
        <v>63</v>
      </c>
      <c r="O19" s="21" t="s">
        <v>63</v>
      </c>
      <c r="P19" s="262">
        <v>1486</v>
      </c>
      <c r="Q19" s="262">
        <v>3175</v>
      </c>
      <c r="R19" s="290"/>
      <c r="S19" s="290"/>
      <c r="T19" s="290"/>
      <c r="U19" s="290"/>
      <c r="V19" s="290"/>
      <c r="W19" s="377"/>
      <c r="X19" s="262">
        <v>1702</v>
      </c>
      <c r="Y19" s="262">
        <f ca="1">IFERROR(__xludf.DUMMYFUNCTION("INDEX(IMPORTRANGE(""1y0FWgjbB0gVlqn-q5LMJbGIsqOrzru4yowQz67dz2yc"", ""'JUA'!BG3:BG139""),MATCH(D19,IMPORTRANGE(""1y0FWgjbB0gVlqn-q5LMJbGIsqOrzru4yowQz67dz2yc"", ""'JUA'!D3:D139""),0))"),3698)</f>
        <v>3698</v>
      </c>
      <c r="Z19" s="262"/>
      <c r="AA19" s="156"/>
      <c r="AB19" s="156"/>
      <c r="AC19" s="156"/>
      <c r="AD19" s="370"/>
    </row>
    <row r="20" spans="1:30">
      <c r="A20" s="155" t="s">
        <v>52</v>
      </c>
      <c r="B20" s="155" t="s">
        <v>86</v>
      </c>
      <c r="C20" s="156" t="s">
        <v>36</v>
      </c>
      <c r="D20" s="155" t="s">
        <v>89</v>
      </c>
      <c r="E20" s="155" t="s">
        <v>76</v>
      </c>
      <c r="F20" s="21" t="s">
        <v>90</v>
      </c>
      <c r="G20" s="22" t="s">
        <v>56</v>
      </c>
      <c r="H20" s="22" t="s">
        <v>57</v>
      </c>
      <c r="I20" s="21" t="s">
        <v>58</v>
      </c>
      <c r="J20" s="21" t="s">
        <v>59</v>
      </c>
      <c r="K20" s="21" t="s">
        <v>60</v>
      </c>
      <c r="L20" s="21" t="s">
        <v>61</v>
      </c>
      <c r="M20" s="21" t="s">
        <v>62</v>
      </c>
      <c r="N20" s="21" t="s">
        <v>63</v>
      </c>
      <c r="O20" s="21" t="s">
        <v>63</v>
      </c>
      <c r="P20" s="265">
        <f t="shared" ref="P20:Q20" si="6">(P19/P$2)*100000</f>
        <v>365.48413120044074</v>
      </c>
      <c r="Q20" s="265">
        <f t="shared" si="6"/>
        <v>780.89644452314894</v>
      </c>
      <c r="R20" s="368">
        <f>Q20*(1-AD20*1/3)</f>
        <v>727.79548629557485</v>
      </c>
      <c r="S20" s="368">
        <f>P20*(1-AD20*2/3)</f>
        <v>315.77828935718082</v>
      </c>
      <c r="T20" s="368">
        <f>Q20*(1-AD20*2/3)</f>
        <v>674.69452806800064</v>
      </c>
      <c r="U20" s="368">
        <f>P20*(1-AD20)</f>
        <v>290.92536843555087</v>
      </c>
      <c r="V20" s="266">
        <f>W20</f>
        <v>621.59356984042654</v>
      </c>
      <c r="W20" s="266">
        <f>Q20*(1-AD20)</f>
        <v>621.59356984042654</v>
      </c>
      <c r="X20" s="265">
        <f>(X19/X$2)*100000</f>
        <v>410.18571628258957</v>
      </c>
      <c r="Y20" s="265">
        <f ca="1">IFERROR(__xludf.DUMMYFUNCTION("INDEX(IMPORTRANGE(""1y0FWgjbB0gVlqn-q5LMJbGIsqOrzru4yowQz67dz2yc"", ""'JUA'!BG3:BG139""),MATCH(D20,IMPORTRANGE(""1y0FWgjbB0gVlqn-q5LMJbGIsqOrzru4yowQz67dz2yc"", ""'JUA'!D3:D139""),0))"),891.226074508235)</f>
        <v>891.226074508235</v>
      </c>
      <c r="Z20" s="265"/>
      <c r="AA20" s="156"/>
      <c r="AB20" s="156"/>
      <c r="AC20" s="156"/>
      <c r="AD20" s="370">
        <v>0.20399999999999999</v>
      </c>
    </row>
    <row r="21" spans="1:30">
      <c r="A21" s="155" t="s">
        <v>52</v>
      </c>
      <c r="B21" s="155" t="s">
        <v>86</v>
      </c>
      <c r="C21" s="156" t="s">
        <v>30</v>
      </c>
      <c r="D21" s="155" t="s">
        <v>91</v>
      </c>
      <c r="E21" s="155" t="s">
        <v>76</v>
      </c>
      <c r="F21" s="21" t="s">
        <v>92</v>
      </c>
      <c r="G21" s="22" t="s">
        <v>56</v>
      </c>
      <c r="H21" s="22" t="s">
        <v>57</v>
      </c>
      <c r="I21" s="21" t="s">
        <v>58</v>
      </c>
      <c r="J21" s="21" t="s">
        <v>59</v>
      </c>
      <c r="K21" s="21" t="s">
        <v>60</v>
      </c>
      <c r="L21" s="21" t="s">
        <v>61</v>
      </c>
      <c r="M21" s="21" t="s">
        <v>62</v>
      </c>
      <c r="N21" s="21" t="s">
        <v>63</v>
      </c>
      <c r="O21" s="21" t="s">
        <v>63</v>
      </c>
      <c r="P21" s="262">
        <v>283</v>
      </c>
      <c r="Q21" s="262">
        <v>608</v>
      </c>
      <c r="R21" s="290"/>
      <c r="S21" s="290"/>
      <c r="T21" s="290"/>
      <c r="U21" s="290"/>
      <c r="V21" s="290"/>
      <c r="W21" s="377"/>
      <c r="X21" s="262">
        <v>300</v>
      </c>
      <c r="Y21" s="2">
        <f ca="1">IFERROR(__xludf.DUMMYFUNCTION("INDEX(IMPORTRANGE(""1y0FWgjbB0gVlqn-q5LMJbGIsqOrzru4yowQz67dz2yc"", ""'JUA'!BG3:BG139""),MATCH(D21,IMPORTRANGE(""1y0FWgjbB0gVlqn-q5LMJbGIsqOrzru4yowQz67dz2yc"", ""'JUA'!D3:D139""),0))"),790)</f>
        <v>790</v>
      </c>
      <c r="Z21" s="2"/>
      <c r="AA21" s="156"/>
      <c r="AB21" s="156"/>
      <c r="AC21" s="156"/>
      <c r="AD21" s="267"/>
    </row>
    <row r="22" spans="1:30">
      <c r="A22" s="155" t="s">
        <v>52</v>
      </c>
      <c r="B22" s="155" t="s">
        <v>86</v>
      </c>
      <c r="C22" s="156" t="s">
        <v>36</v>
      </c>
      <c r="D22" s="155" t="s">
        <v>93</v>
      </c>
      <c r="E22" s="155" t="s">
        <v>76</v>
      </c>
      <c r="F22" s="21" t="s">
        <v>94</v>
      </c>
      <c r="G22" s="22" t="s">
        <v>56</v>
      </c>
      <c r="H22" s="22" t="s">
        <v>57</v>
      </c>
      <c r="I22" s="21" t="s">
        <v>58</v>
      </c>
      <c r="J22" s="21" t="s">
        <v>59</v>
      </c>
      <c r="K22" s="21" t="s">
        <v>60</v>
      </c>
      <c r="L22" s="21" t="s">
        <v>61</v>
      </c>
      <c r="M22" s="21" t="s">
        <v>62</v>
      </c>
      <c r="N22" s="21" t="s">
        <v>63</v>
      </c>
      <c r="O22" s="21" t="s">
        <v>63</v>
      </c>
      <c r="P22" s="265">
        <f t="shared" ref="P22:Q22" si="7">(P21/P$2)*100000</f>
        <v>69.604313007890127</v>
      </c>
      <c r="Q22" s="265">
        <f t="shared" si="7"/>
        <v>149.53859473073214</v>
      </c>
      <c r="R22" s="368">
        <f>Q22*(1-AD22*1/3)</f>
        <v>142.75951176960561</v>
      </c>
      <c r="S22" s="368">
        <f>P22*(1-AD22*2/3)</f>
        <v>63.293521961841421</v>
      </c>
      <c r="T22" s="368">
        <f>Q22*(1-AD22*2/3)</f>
        <v>135.9804288084791</v>
      </c>
      <c r="U22" s="368">
        <f>P22*(1-AD22)</f>
        <v>60.138126438817068</v>
      </c>
      <c r="V22" s="266">
        <f>W22</f>
        <v>129.20134584735257</v>
      </c>
      <c r="W22" s="266">
        <f>Q22*(1-AD22)</f>
        <v>129.20134584735257</v>
      </c>
      <c r="X22" s="265">
        <f>(X21/X$2)*100000</f>
        <v>72.300655043934697</v>
      </c>
      <c r="Y22" s="265">
        <f ca="1">IFERROR(__xludf.DUMMYFUNCTION("INDEX(IMPORTRANGE(""1y0FWgjbB0gVlqn-q5LMJbGIsqOrzru4yowQz67dz2yc"", ""'JUA'!BG3:BG139""),MATCH(D22,IMPORTRANGE(""1y0FWgjbB0gVlqn-q5LMJbGIsqOrzru4yowQz67dz2yc"", ""'JUA'!D3:D139""),0))"),190.391724949028)</f>
        <v>190.391724949028</v>
      </c>
      <c r="Z22" s="265"/>
      <c r="AA22" s="156"/>
      <c r="AB22" s="156"/>
      <c r="AC22" s="156"/>
      <c r="AD22" s="370">
        <v>0.13600000000000001</v>
      </c>
    </row>
    <row r="23" spans="1:30">
      <c r="A23" s="155" t="s">
        <v>52</v>
      </c>
      <c r="B23" s="155" t="s">
        <v>86</v>
      </c>
      <c r="C23" s="156" t="s">
        <v>30</v>
      </c>
      <c r="D23" s="155" t="s">
        <v>95</v>
      </c>
      <c r="E23" s="155" t="s">
        <v>76</v>
      </c>
      <c r="F23" s="21" t="s">
        <v>96</v>
      </c>
      <c r="G23" s="22" t="s">
        <v>56</v>
      </c>
      <c r="H23" s="22" t="s">
        <v>57</v>
      </c>
      <c r="I23" s="21" t="s">
        <v>58</v>
      </c>
      <c r="J23" s="21" t="s">
        <v>59</v>
      </c>
      <c r="K23" s="21" t="s">
        <v>60</v>
      </c>
      <c r="L23" s="21" t="s">
        <v>61</v>
      </c>
      <c r="M23" s="21" t="s">
        <v>62</v>
      </c>
      <c r="N23" s="21" t="s">
        <v>63</v>
      </c>
      <c r="O23" s="21" t="s">
        <v>63</v>
      </c>
      <c r="P23" s="262">
        <v>13</v>
      </c>
      <c r="Q23" s="262">
        <v>26</v>
      </c>
      <c r="R23" s="290"/>
      <c r="S23" s="290"/>
      <c r="T23" s="290"/>
      <c r="U23" s="290"/>
      <c r="V23" s="290"/>
      <c r="W23" s="377"/>
      <c r="X23" s="22">
        <v>22</v>
      </c>
      <c r="Y23" s="2">
        <f ca="1">IFERROR(__xludf.DUMMYFUNCTION("INDEX(IMPORTRANGE(""1y0FWgjbB0gVlqn-q5LMJbGIsqOrzru4yowQz67dz2yc"", ""'JUA'!BG3:BG139""),MATCH(D23,IMPORTRANGE(""1y0FWgjbB0gVlqn-q5LMJbGIsqOrzru4yowQz67dz2yc"", ""'JUA'!D3:D139""),0))"),60)</f>
        <v>60</v>
      </c>
      <c r="Z23" s="2"/>
      <c r="AA23" s="156"/>
      <c r="AB23" s="156"/>
      <c r="AC23" s="156"/>
      <c r="AD23" s="263"/>
    </row>
    <row r="24" spans="1:30">
      <c r="A24" s="155" t="s">
        <v>52</v>
      </c>
      <c r="B24" s="155" t="s">
        <v>86</v>
      </c>
      <c r="C24" s="156" t="s">
        <v>30</v>
      </c>
      <c r="D24" s="155" t="s">
        <v>97</v>
      </c>
      <c r="E24" s="155" t="s">
        <v>76</v>
      </c>
      <c r="F24" s="21" t="s">
        <v>98</v>
      </c>
      <c r="G24" s="22" t="s">
        <v>56</v>
      </c>
      <c r="H24" s="22" t="s">
        <v>57</v>
      </c>
      <c r="I24" s="21" t="s">
        <v>58</v>
      </c>
      <c r="J24" s="21" t="s">
        <v>59</v>
      </c>
      <c r="K24" s="21" t="s">
        <v>60</v>
      </c>
      <c r="L24" s="21" t="s">
        <v>61</v>
      </c>
      <c r="M24" s="21" t="s">
        <v>62</v>
      </c>
      <c r="N24" s="21" t="s">
        <v>63</v>
      </c>
      <c r="O24" s="21" t="s">
        <v>63</v>
      </c>
      <c r="P24" s="262">
        <v>12</v>
      </c>
      <c r="Q24" s="262">
        <v>24</v>
      </c>
      <c r="R24" s="290"/>
      <c r="S24" s="290"/>
      <c r="T24" s="290"/>
      <c r="U24" s="290"/>
      <c r="V24" s="290"/>
      <c r="W24" s="377"/>
      <c r="X24" s="22">
        <v>11</v>
      </c>
      <c r="Y24" s="2">
        <f ca="1">IFERROR(__xludf.DUMMYFUNCTION("INDEX(IMPORTRANGE(""1y0FWgjbB0gVlqn-q5LMJbGIsqOrzru4yowQz67dz2yc"", ""'JUA'!BG3:BG139""),MATCH(D24,IMPORTRANGE(""1y0FWgjbB0gVlqn-q5LMJbGIsqOrzru4yowQz67dz2yc"", ""'JUA'!D3:D139""),0))"),29)</f>
        <v>29</v>
      </c>
      <c r="Z24" s="2"/>
      <c r="AA24" s="156"/>
      <c r="AB24" s="156"/>
      <c r="AC24" s="156"/>
      <c r="AD24" s="263"/>
    </row>
    <row r="25" spans="1:30">
      <c r="A25" s="155" t="s">
        <v>52</v>
      </c>
      <c r="B25" s="155" t="s">
        <v>86</v>
      </c>
      <c r="C25" s="156" t="s">
        <v>30</v>
      </c>
      <c r="D25" s="155" t="s">
        <v>99</v>
      </c>
      <c r="E25" s="155" t="s">
        <v>76</v>
      </c>
      <c r="F25" s="21" t="s">
        <v>100</v>
      </c>
      <c r="G25" s="22" t="s">
        <v>56</v>
      </c>
      <c r="H25" s="22" t="s">
        <v>57</v>
      </c>
      <c r="I25" s="21" t="s">
        <v>58</v>
      </c>
      <c r="J25" s="21" t="s">
        <v>59</v>
      </c>
      <c r="K25" s="21" t="s">
        <v>60</v>
      </c>
      <c r="L25" s="21" t="s">
        <v>61</v>
      </c>
      <c r="M25" s="21" t="s">
        <v>62</v>
      </c>
      <c r="N25" s="21" t="s">
        <v>63</v>
      </c>
      <c r="O25" s="21" t="s">
        <v>63</v>
      </c>
      <c r="P25" s="262">
        <v>3</v>
      </c>
      <c r="Q25" s="262">
        <v>4</v>
      </c>
      <c r="R25" s="290"/>
      <c r="S25" s="290"/>
      <c r="T25" s="290"/>
      <c r="U25" s="290"/>
      <c r="V25" s="290"/>
      <c r="W25" s="377"/>
      <c r="X25" s="22">
        <v>2</v>
      </c>
      <c r="Y25" s="2">
        <f ca="1">IFERROR(__xludf.DUMMYFUNCTION("INDEX(IMPORTRANGE(""1y0FWgjbB0gVlqn-q5LMJbGIsqOrzru4yowQz67dz2yc"", ""'JUA'!BG3:BG139""),MATCH(D25,IMPORTRANGE(""1y0FWgjbB0gVlqn-q5LMJbGIsqOrzru4yowQz67dz2yc"", ""'JUA'!D3:D139""),0))"),3)</f>
        <v>3</v>
      </c>
      <c r="Z25" s="2"/>
      <c r="AA25" s="156"/>
      <c r="AB25" s="156"/>
      <c r="AC25" s="156"/>
      <c r="AD25" s="263"/>
    </row>
    <row r="26" spans="1:30">
      <c r="A26" s="155" t="s">
        <v>52</v>
      </c>
      <c r="B26" s="155" t="s">
        <v>86</v>
      </c>
      <c r="C26" s="156" t="s">
        <v>30</v>
      </c>
      <c r="D26" s="155" t="s">
        <v>101</v>
      </c>
      <c r="E26" s="155" t="s">
        <v>76</v>
      </c>
      <c r="F26" s="21" t="s">
        <v>102</v>
      </c>
      <c r="G26" s="22" t="s">
        <v>56</v>
      </c>
      <c r="H26" s="22" t="s">
        <v>57</v>
      </c>
      <c r="I26" s="21" t="s">
        <v>58</v>
      </c>
      <c r="J26" s="21" t="s">
        <v>59</v>
      </c>
      <c r="K26" s="21" t="s">
        <v>60</v>
      </c>
      <c r="L26" s="21" t="s">
        <v>61</v>
      </c>
      <c r="M26" s="21" t="s">
        <v>62</v>
      </c>
      <c r="N26" s="21" t="s">
        <v>63</v>
      </c>
      <c r="O26" s="21" t="s">
        <v>63</v>
      </c>
      <c r="P26" s="262">
        <v>0</v>
      </c>
      <c r="Q26" s="262">
        <v>0</v>
      </c>
      <c r="R26" s="290"/>
      <c r="S26" s="290"/>
      <c r="T26" s="290"/>
      <c r="U26" s="290"/>
      <c r="V26" s="290"/>
      <c r="W26" s="377"/>
      <c r="X26" s="22">
        <v>0</v>
      </c>
      <c r="Y26" s="2">
        <f ca="1">IFERROR(__xludf.DUMMYFUNCTION("INDEX(IMPORTRANGE(""1y0FWgjbB0gVlqn-q5LMJbGIsqOrzru4yowQz67dz2yc"", ""'JUA'!BG3:BG139""),MATCH(D26,IMPORTRANGE(""1y0FWgjbB0gVlqn-q5LMJbGIsqOrzru4yowQz67dz2yc"", ""'JUA'!D3:D139""),0))"),1)</f>
        <v>1</v>
      </c>
      <c r="Z26" s="2"/>
      <c r="AA26" s="156"/>
      <c r="AB26" s="156"/>
      <c r="AC26" s="156"/>
      <c r="AD26" s="263"/>
    </row>
    <row r="27" spans="1:30">
      <c r="A27" s="155" t="s">
        <v>52</v>
      </c>
      <c r="B27" s="155" t="s">
        <v>86</v>
      </c>
      <c r="C27" s="156" t="s">
        <v>30</v>
      </c>
      <c r="D27" s="155" t="s">
        <v>103</v>
      </c>
      <c r="E27" s="155" t="s">
        <v>76</v>
      </c>
      <c r="F27" s="21" t="s">
        <v>104</v>
      </c>
      <c r="G27" s="22" t="s">
        <v>56</v>
      </c>
      <c r="H27" s="22" t="s">
        <v>57</v>
      </c>
      <c r="I27" s="21" t="s">
        <v>58</v>
      </c>
      <c r="J27" s="21" t="s">
        <v>59</v>
      </c>
      <c r="K27" s="21" t="s">
        <v>60</v>
      </c>
      <c r="L27" s="21" t="s">
        <v>61</v>
      </c>
      <c r="M27" s="21" t="s">
        <v>62</v>
      </c>
      <c r="N27" s="21" t="s">
        <v>63</v>
      </c>
      <c r="O27" s="21" t="s">
        <v>63</v>
      </c>
      <c r="P27" s="262">
        <v>0</v>
      </c>
      <c r="Q27" s="262">
        <v>0</v>
      </c>
      <c r="R27" s="290"/>
      <c r="S27" s="290"/>
      <c r="T27" s="290"/>
      <c r="U27" s="290"/>
      <c r="V27" s="290"/>
      <c r="W27" s="377"/>
      <c r="X27" s="262">
        <v>0</v>
      </c>
      <c r="Y27" s="2">
        <f ca="1">IFERROR(__xludf.DUMMYFUNCTION("INDEX(IMPORTRANGE(""1y0FWgjbB0gVlqn-q5LMJbGIsqOrzru4yowQz67dz2yc"", ""'JUA'!BG3:BG139""),MATCH(D27,IMPORTRANGE(""1y0FWgjbB0gVlqn-q5LMJbGIsqOrzru4yowQz67dz2yc"", ""'JUA'!D3:D139""),0))"),0)</f>
        <v>0</v>
      </c>
      <c r="Z27" s="2"/>
      <c r="AA27" s="156"/>
      <c r="AB27" s="156"/>
      <c r="AC27" s="156"/>
      <c r="AD27" s="263"/>
    </row>
    <row r="28" spans="1:30">
      <c r="A28" s="155" t="s">
        <v>52</v>
      </c>
      <c r="B28" s="155" t="s">
        <v>86</v>
      </c>
      <c r="C28" s="156" t="s">
        <v>30</v>
      </c>
      <c r="D28" s="155" t="s">
        <v>105</v>
      </c>
      <c r="E28" s="155" t="s">
        <v>76</v>
      </c>
      <c r="F28" s="21" t="s">
        <v>106</v>
      </c>
      <c r="G28" s="22" t="s">
        <v>56</v>
      </c>
      <c r="H28" s="22" t="s">
        <v>57</v>
      </c>
      <c r="I28" s="21" t="s">
        <v>58</v>
      </c>
      <c r="J28" s="21" t="s">
        <v>59</v>
      </c>
      <c r="K28" s="21" t="s">
        <v>60</v>
      </c>
      <c r="L28" s="21" t="s">
        <v>61</v>
      </c>
      <c r="M28" s="21" t="s">
        <v>62</v>
      </c>
      <c r="N28" s="21" t="s">
        <v>63</v>
      </c>
      <c r="O28" s="21" t="s">
        <v>63</v>
      </c>
      <c r="P28" s="262">
        <v>0</v>
      </c>
      <c r="Q28" s="262">
        <v>0</v>
      </c>
      <c r="R28" s="290"/>
      <c r="S28" s="290"/>
      <c r="T28" s="290"/>
      <c r="U28" s="290"/>
      <c r="V28" s="290"/>
      <c r="W28" s="377"/>
      <c r="X28" s="262">
        <v>0</v>
      </c>
      <c r="Y28" s="2">
        <f ca="1">IFERROR(__xludf.DUMMYFUNCTION("INDEX(IMPORTRANGE(""1y0FWgjbB0gVlqn-q5LMJbGIsqOrzru4yowQz67dz2yc"", ""'JUA'!BG3:BG139""),MATCH(D28,IMPORTRANGE(""1y0FWgjbB0gVlqn-q5LMJbGIsqOrzru4yowQz67dz2yc"", ""'JUA'!D3:D139""),0))"),0)</f>
        <v>0</v>
      </c>
      <c r="Z28" s="2"/>
      <c r="AA28" s="156"/>
      <c r="AB28" s="156"/>
      <c r="AC28" s="156"/>
      <c r="AD28" s="263"/>
    </row>
    <row r="29" spans="1:30">
      <c r="A29" s="155" t="s">
        <v>52</v>
      </c>
      <c r="B29" s="155" t="s">
        <v>86</v>
      </c>
      <c r="C29" s="156" t="s">
        <v>30</v>
      </c>
      <c r="D29" s="155" t="s">
        <v>107</v>
      </c>
      <c r="E29" s="155" t="s">
        <v>76</v>
      </c>
      <c r="F29" s="21" t="s">
        <v>108</v>
      </c>
      <c r="G29" s="22" t="s">
        <v>56</v>
      </c>
      <c r="H29" s="22" t="s">
        <v>57</v>
      </c>
      <c r="I29" s="21" t="s">
        <v>58</v>
      </c>
      <c r="J29" s="21" t="s">
        <v>59</v>
      </c>
      <c r="K29" s="21" t="s">
        <v>60</v>
      </c>
      <c r="L29" s="21" t="s">
        <v>61</v>
      </c>
      <c r="M29" s="21" t="s">
        <v>62</v>
      </c>
      <c r="N29" s="21" t="s">
        <v>63</v>
      </c>
      <c r="O29" s="21" t="s">
        <v>63</v>
      </c>
      <c r="P29" s="262">
        <v>3</v>
      </c>
      <c r="Q29" s="262">
        <v>20</v>
      </c>
      <c r="R29" s="290"/>
      <c r="S29" s="290"/>
      <c r="T29" s="290"/>
      <c r="U29" s="290"/>
      <c r="V29" s="290"/>
      <c r="W29" s="377"/>
      <c r="X29" s="262">
        <v>9</v>
      </c>
      <c r="Y29" s="2">
        <f ca="1">IFERROR(__xludf.DUMMYFUNCTION("INDEX(IMPORTRANGE(""1y0FWgjbB0gVlqn-q5LMJbGIsqOrzru4yowQz67dz2yc"", ""'JUA'!BG3:BG139""),MATCH(D29,IMPORTRANGE(""1y0FWgjbB0gVlqn-q5LMJbGIsqOrzru4yowQz67dz2yc"", ""'JUA'!D3:D139""),0))"),26)</f>
        <v>26</v>
      </c>
      <c r="Z29" s="2"/>
      <c r="AA29" s="156"/>
      <c r="AB29" s="156"/>
      <c r="AC29" s="156"/>
      <c r="AD29" s="263"/>
    </row>
    <row r="30" spans="1:30">
      <c r="A30" s="155" t="s">
        <v>52</v>
      </c>
      <c r="B30" s="155" t="s">
        <v>86</v>
      </c>
      <c r="C30" s="156" t="s">
        <v>30</v>
      </c>
      <c r="D30" s="155" t="s">
        <v>109</v>
      </c>
      <c r="E30" s="155" t="s">
        <v>76</v>
      </c>
      <c r="F30" s="21" t="s">
        <v>110</v>
      </c>
      <c r="G30" s="22" t="s">
        <v>56</v>
      </c>
      <c r="H30" s="22" t="s">
        <v>57</v>
      </c>
      <c r="I30" s="21" t="s">
        <v>58</v>
      </c>
      <c r="J30" s="21" t="s">
        <v>59</v>
      </c>
      <c r="K30" s="21" t="s">
        <v>60</v>
      </c>
      <c r="L30" s="21" t="s">
        <v>61</v>
      </c>
      <c r="M30" s="21" t="s">
        <v>62</v>
      </c>
      <c r="N30" s="21" t="s">
        <v>63</v>
      </c>
      <c r="O30" s="21" t="s">
        <v>63</v>
      </c>
      <c r="P30" s="262">
        <v>1</v>
      </c>
      <c r="Q30" s="262">
        <v>2</v>
      </c>
      <c r="R30" s="290"/>
      <c r="S30" s="290"/>
      <c r="T30" s="290"/>
      <c r="U30" s="290"/>
      <c r="V30" s="290"/>
      <c r="W30" s="377"/>
      <c r="X30" s="262">
        <v>2</v>
      </c>
      <c r="Y30" s="2">
        <f ca="1">IFERROR(__xludf.DUMMYFUNCTION("INDEX(IMPORTRANGE(""1y0FWgjbB0gVlqn-q5LMJbGIsqOrzru4yowQz67dz2yc"", ""'JUA'!BG3:BG139""),MATCH(D30,IMPORTRANGE(""1y0FWgjbB0gVlqn-q5LMJbGIsqOrzru4yowQz67dz2yc"", ""'JUA'!D3:D139""),0))"),2)</f>
        <v>2</v>
      </c>
      <c r="Z30" s="2"/>
      <c r="AA30" s="156"/>
      <c r="AB30" s="156"/>
      <c r="AC30" s="156"/>
      <c r="AD30" s="263"/>
    </row>
    <row r="31" spans="1:30">
      <c r="A31" s="155" t="s">
        <v>52</v>
      </c>
      <c r="B31" s="155" t="s">
        <v>86</v>
      </c>
      <c r="C31" s="156" t="s">
        <v>30</v>
      </c>
      <c r="D31" s="155" t="s">
        <v>111</v>
      </c>
      <c r="E31" s="155" t="s">
        <v>76</v>
      </c>
      <c r="F31" s="21" t="s">
        <v>112</v>
      </c>
      <c r="G31" s="22" t="s">
        <v>56</v>
      </c>
      <c r="H31" s="22" t="s">
        <v>57</v>
      </c>
      <c r="I31" s="21" t="s">
        <v>58</v>
      </c>
      <c r="J31" s="21" t="s">
        <v>59</v>
      </c>
      <c r="K31" s="21" t="s">
        <v>60</v>
      </c>
      <c r="L31" s="21" t="s">
        <v>61</v>
      </c>
      <c r="M31" s="21" t="s">
        <v>62</v>
      </c>
      <c r="N31" s="21" t="s">
        <v>63</v>
      </c>
      <c r="O31" s="21" t="s">
        <v>63</v>
      </c>
      <c r="P31" s="262">
        <v>0</v>
      </c>
      <c r="Q31" s="262">
        <v>0</v>
      </c>
      <c r="R31" s="290"/>
      <c r="S31" s="290"/>
      <c r="T31" s="290"/>
      <c r="U31" s="290"/>
      <c r="V31" s="290"/>
      <c r="W31" s="377"/>
      <c r="X31" s="262">
        <v>0</v>
      </c>
      <c r="Y31" s="2">
        <f ca="1">IFERROR(__xludf.DUMMYFUNCTION("INDEX(IMPORTRANGE(""1y0FWgjbB0gVlqn-q5LMJbGIsqOrzru4yowQz67dz2yc"", ""'JUA'!BG3:BG139""),MATCH(D31,IMPORTRANGE(""1y0FWgjbB0gVlqn-q5LMJbGIsqOrzru4yowQz67dz2yc"", ""'JUA'!D3:D139""),0))"),0)</f>
        <v>0</v>
      </c>
      <c r="Z31" s="2"/>
      <c r="AA31" s="156"/>
      <c r="AB31" s="156"/>
      <c r="AC31" s="156"/>
      <c r="AD31" s="263"/>
    </row>
    <row r="32" spans="1:30">
      <c r="A32" s="155" t="s">
        <v>52</v>
      </c>
      <c r="B32" s="155" t="s">
        <v>86</v>
      </c>
      <c r="C32" s="156" t="s">
        <v>30</v>
      </c>
      <c r="D32" s="155" t="s">
        <v>113</v>
      </c>
      <c r="E32" s="155" t="s">
        <v>76</v>
      </c>
      <c r="F32" s="21" t="s">
        <v>114</v>
      </c>
      <c r="G32" s="22" t="s">
        <v>56</v>
      </c>
      <c r="H32" s="22" t="s">
        <v>57</v>
      </c>
      <c r="I32" s="21" t="s">
        <v>58</v>
      </c>
      <c r="J32" s="21" t="s">
        <v>59</v>
      </c>
      <c r="K32" s="21" t="s">
        <v>60</v>
      </c>
      <c r="L32" s="21" t="s">
        <v>61</v>
      </c>
      <c r="M32" s="21" t="s">
        <v>62</v>
      </c>
      <c r="N32" s="21" t="s">
        <v>63</v>
      </c>
      <c r="O32" s="21" t="s">
        <v>63</v>
      </c>
      <c r="P32" s="262">
        <v>0</v>
      </c>
      <c r="Q32" s="262">
        <v>9</v>
      </c>
      <c r="R32" s="290"/>
      <c r="S32" s="290"/>
      <c r="T32" s="290"/>
      <c r="U32" s="290"/>
      <c r="V32" s="290"/>
      <c r="W32" s="377"/>
      <c r="X32" s="262">
        <v>4</v>
      </c>
      <c r="Y32" s="2">
        <f ca="1">IFERROR(__xludf.DUMMYFUNCTION("INDEX(IMPORTRANGE(""1y0FWgjbB0gVlqn-q5LMJbGIsqOrzru4yowQz67dz2yc"", ""'JUA'!BG3:BG139""),MATCH(D32,IMPORTRANGE(""1y0FWgjbB0gVlqn-q5LMJbGIsqOrzru4yowQz67dz2yc"", ""'JUA'!D3:D139""),0))"),21)</f>
        <v>21</v>
      </c>
      <c r="Z32" s="2"/>
      <c r="AA32" s="156"/>
      <c r="AB32" s="156"/>
      <c r="AC32" s="156"/>
      <c r="AD32" s="263"/>
    </row>
    <row r="33" spans="1:30">
      <c r="A33" s="155" t="s">
        <v>52</v>
      </c>
      <c r="B33" s="155" t="s">
        <v>86</v>
      </c>
      <c r="C33" s="156" t="s">
        <v>30</v>
      </c>
      <c r="D33" s="155" t="s">
        <v>115</v>
      </c>
      <c r="E33" s="155" t="s">
        <v>76</v>
      </c>
      <c r="F33" s="21" t="s">
        <v>116</v>
      </c>
      <c r="G33" s="22" t="s">
        <v>56</v>
      </c>
      <c r="H33" s="22" t="s">
        <v>57</v>
      </c>
      <c r="I33" s="21" t="s">
        <v>58</v>
      </c>
      <c r="J33" s="21" t="s">
        <v>59</v>
      </c>
      <c r="K33" s="21" t="s">
        <v>60</v>
      </c>
      <c r="L33" s="21" t="s">
        <v>61</v>
      </c>
      <c r="M33" s="21" t="s">
        <v>62</v>
      </c>
      <c r="N33" s="21" t="s">
        <v>63</v>
      </c>
      <c r="O33" s="21" t="s">
        <v>63</v>
      </c>
      <c r="P33" s="262">
        <v>0</v>
      </c>
      <c r="Q33" s="262">
        <v>0</v>
      </c>
      <c r="R33" s="290"/>
      <c r="S33" s="290"/>
      <c r="T33" s="290"/>
      <c r="U33" s="290"/>
      <c r="V33" s="290"/>
      <c r="W33" s="377"/>
      <c r="X33" s="262">
        <v>1</v>
      </c>
      <c r="Y33" s="2">
        <f ca="1">IFERROR(__xludf.DUMMYFUNCTION("INDEX(IMPORTRANGE(""1y0FWgjbB0gVlqn-q5LMJbGIsqOrzru4yowQz67dz2yc"", ""'JUA'!BG3:BG139""),MATCH(D33,IMPORTRANGE(""1y0FWgjbB0gVlqn-q5LMJbGIsqOrzru4yowQz67dz2yc"", ""'JUA'!D3:D139""),0))"),2)</f>
        <v>2</v>
      </c>
      <c r="Z33" s="2"/>
      <c r="AA33" s="156"/>
      <c r="AB33" s="156"/>
      <c r="AC33" s="156"/>
      <c r="AD33" s="263"/>
    </row>
    <row r="34" spans="1:30">
      <c r="A34" s="155" t="s">
        <v>52</v>
      </c>
      <c r="B34" s="155" t="s">
        <v>86</v>
      </c>
      <c r="C34" s="156" t="s">
        <v>36</v>
      </c>
      <c r="D34" s="155" t="s">
        <v>117</v>
      </c>
      <c r="E34" s="155" t="s">
        <v>76</v>
      </c>
      <c r="F34" s="21" t="s">
        <v>118</v>
      </c>
      <c r="G34" s="22" t="s">
        <v>56</v>
      </c>
      <c r="H34" s="22" t="s">
        <v>57</v>
      </c>
      <c r="I34" s="21" t="s">
        <v>58</v>
      </c>
      <c r="J34" s="21" t="s">
        <v>59</v>
      </c>
      <c r="K34" s="21" t="s">
        <v>60</v>
      </c>
      <c r="L34" s="21" t="s">
        <v>61</v>
      </c>
      <c r="M34" s="21" t="s">
        <v>62</v>
      </c>
      <c r="N34" s="21" t="s">
        <v>63</v>
      </c>
      <c r="O34" s="21" t="s">
        <v>63</v>
      </c>
      <c r="P34" s="265">
        <f t="shared" ref="P34:Q34" si="8">(SUM(P23:P33)/P$2)*100000</f>
        <v>7.8704523542490605</v>
      </c>
      <c r="Q34" s="265">
        <f t="shared" si="8"/>
        <v>20.905889065974069</v>
      </c>
      <c r="R34" s="368">
        <f>Q34*(1-AD34*1/3)</f>
        <v>19.435508201667226</v>
      </c>
      <c r="S34" s="368">
        <f>P34*(1-AD34*2/3)</f>
        <v>6.7633420564180255</v>
      </c>
      <c r="T34" s="368">
        <f>Q34*(1-AD34*2/3)</f>
        <v>17.965127337360382</v>
      </c>
      <c r="U34" s="368">
        <f>P34*(1-AD34)</f>
        <v>6.2097869075025089</v>
      </c>
      <c r="V34" s="266">
        <f>W34</f>
        <v>16.494746473053542</v>
      </c>
      <c r="W34" s="266">
        <f>Q34*(1-AD34)</f>
        <v>16.494746473053542</v>
      </c>
      <c r="X34" s="265">
        <f>(SUM(X23:X33)/X$2)*100000</f>
        <v>12.291111357468898</v>
      </c>
      <c r="Y34" s="265">
        <f ca="1">IFERROR(__xludf.DUMMYFUNCTION("INDEX(IMPORTRANGE(""1y0FWgjbB0gVlqn-q5LMJbGIsqOrzru4yowQz67dz2yc"", ""'JUA'!BG3:BG139""),MATCH(D34,IMPORTRANGE(""1y0FWgjbB0gVlqn-q5LMJbGIsqOrzru4yowQz67dz2yc"", ""'JUA'!D3:D139""),0))"),34.7043144210886)</f>
        <v>34.704314421088597</v>
      </c>
      <c r="Z34" s="265"/>
      <c r="AA34" s="156"/>
      <c r="AB34" s="156"/>
      <c r="AC34" s="156"/>
      <c r="AD34" s="382">
        <v>0.21099999999999999</v>
      </c>
    </row>
    <row r="35" spans="1:30">
      <c r="A35" s="155" t="s">
        <v>119</v>
      </c>
      <c r="B35" s="155" t="s">
        <v>120</v>
      </c>
      <c r="C35" s="156" t="s">
        <v>30</v>
      </c>
      <c r="D35" s="383" t="s">
        <v>121</v>
      </c>
      <c r="E35" s="155" t="s">
        <v>38</v>
      </c>
      <c r="F35" s="22" t="s">
        <v>122</v>
      </c>
      <c r="G35" s="10">
        <v>44469</v>
      </c>
      <c r="H35" s="10">
        <v>44469</v>
      </c>
      <c r="I35" s="10">
        <v>44651</v>
      </c>
      <c r="J35" s="10">
        <v>44834</v>
      </c>
      <c r="K35" s="10">
        <v>45016</v>
      </c>
      <c r="L35" s="10">
        <v>45199</v>
      </c>
      <c r="M35" s="10">
        <v>45382</v>
      </c>
      <c r="N35" s="10">
        <v>45565</v>
      </c>
      <c r="O35" s="10">
        <v>45565</v>
      </c>
      <c r="P35" s="378"/>
      <c r="Q35" s="378"/>
      <c r="R35" s="290"/>
      <c r="S35" s="290"/>
      <c r="T35" s="290"/>
      <c r="U35" s="290"/>
      <c r="V35" s="290"/>
      <c r="W35" s="377"/>
      <c r="X35" s="378"/>
      <c r="Y35" s="18" t="str">
        <f ca="1">IFERROR(__xludf.DUMMYFUNCTION("INDEX(IMPORTRANGE(""1y0FWgjbB0gVlqn-q5LMJbGIsqOrzru4yowQz67dz2yc"", ""'JUA'!BG3:BG139""),MATCH(D35,IMPORTRANGE(""1y0FWgjbB0gVlqn-q5LMJbGIsqOrzru4yowQz67dz2yc"", ""'JUA'!D3:D139""),0))"),"")</f>
        <v/>
      </c>
      <c r="Z35" s="2"/>
      <c r="AA35" s="156"/>
      <c r="AB35" s="156"/>
      <c r="AC35" s="156"/>
      <c r="AD35" s="263"/>
    </row>
    <row r="36" spans="1:30">
      <c r="A36" s="155" t="s">
        <v>119</v>
      </c>
      <c r="B36" s="155" t="s">
        <v>120</v>
      </c>
      <c r="C36" s="156" t="s">
        <v>30</v>
      </c>
      <c r="D36" s="383" t="s">
        <v>123</v>
      </c>
      <c r="E36" s="155" t="s">
        <v>38</v>
      </c>
      <c r="F36" s="22" t="s">
        <v>124</v>
      </c>
      <c r="G36" s="10">
        <v>44469</v>
      </c>
      <c r="H36" s="10">
        <v>44469</v>
      </c>
      <c r="I36" s="10">
        <v>44651</v>
      </c>
      <c r="J36" s="10">
        <v>44834</v>
      </c>
      <c r="K36" s="10">
        <v>45016</v>
      </c>
      <c r="L36" s="10">
        <v>45199</v>
      </c>
      <c r="M36" s="10">
        <v>45382</v>
      </c>
      <c r="N36" s="10">
        <v>45565</v>
      </c>
      <c r="O36" s="10">
        <v>45565</v>
      </c>
      <c r="P36" s="364" t="s">
        <v>435</v>
      </c>
      <c r="Q36" s="364" t="s">
        <v>435</v>
      </c>
      <c r="R36" s="156"/>
      <c r="S36" s="156"/>
      <c r="T36" s="156"/>
      <c r="U36" s="156"/>
      <c r="V36" s="156"/>
      <c r="W36" s="358"/>
      <c r="X36" s="364" t="s">
        <v>435</v>
      </c>
      <c r="Y36" s="18" t="str">
        <f ca="1">IFERROR(__xludf.DUMMYFUNCTION("INDEX(IMPORTRANGE(""1y0FWgjbB0gVlqn-q5LMJbGIsqOrzru4yowQz67dz2yc"", ""'JUA'!BG3:BG139""),MATCH(D36,IMPORTRANGE(""1y0FWgjbB0gVlqn-q5LMJbGIsqOrzru4yowQz67dz2yc"", ""'JUA'!D3:D139""),0))"),"Sin dato")</f>
        <v>Sin dato</v>
      </c>
      <c r="Z36" s="2"/>
      <c r="AA36" s="156"/>
      <c r="AB36" s="156"/>
      <c r="AC36" s="156"/>
      <c r="AD36" s="263"/>
    </row>
    <row r="37" spans="1:30">
      <c r="A37" s="155" t="s">
        <v>119</v>
      </c>
      <c r="B37" s="155" t="s">
        <v>120</v>
      </c>
      <c r="C37" s="156" t="s">
        <v>36</v>
      </c>
      <c r="D37" s="383" t="s">
        <v>125</v>
      </c>
      <c r="E37" s="155" t="s">
        <v>38</v>
      </c>
      <c r="F37" s="22" t="s">
        <v>126</v>
      </c>
      <c r="G37" s="10">
        <v>44469</v>
      </c>
      <c r="H37" s="10">
        <v>44469</v>
      </c>
      <c r="I37" s="10">
        <v>44651</v>
      </c>
      <c r="J37" s="10">
        <v>44834</v>
      </c>
      <c r="K37" s="10">
        <v>45016</v>
      </c>
      <c r="L37" s="10">
        <v>45199</v>
      </c>
      <c r="M37" s="10">
        <v>45382</v>
      </c>
      <c r="N37" s="10">
        <v>45565</v>
      </c>
      <c r="O37" s="10">
        <v>45565</v>
      </c>
      <c r="P37" s="367" t="e">
        <f t="shared" ref="P37:Q37" si="9">P36/P35</f>
        <v>#VALUE!</v>
      </c>
      <c r="Q37" s="367" t="e">
        <f t="shared" si="9"/>
        <v>#VALUE!</v>
      </c>
      <c r="R37" s="384">
        <v>1.46E-2</v>
      </c>
      <c r="S37" s="384">
        <v>1.46E-2</v>
      </c>
      <c r="T37" s="384">
        <v>1.46E-2</v>
      </c>
      <c r="U37" s="384">
        <v>1.46E-2</v>
      </c>
      <c r="V37" s="384">
        <v>1.46E-2</v>
      </c>
      <c r="W37" s="384">
        <v>1.46E-2</v>
      </c>
      <c r="X37" s="367" t="e">
        <f>X36/X35</f>
        <v>#VALUE!</v>
      </c>
      <c r="Y37" s="18" t="str">
        <f ca="1">IFERROR(__xludf.DUMMYFUNCTION("INDEX(IMPORTRANGE(""1y0FWgjbB0gVlqn-q5LMJbGIsqOrzru4yowQz67dz2yc"", ""'JUA'!BG3:BG139""),MATCH(D37,IMPORTRANGE(""1y0FWgjbB0gVlqn-q5LMJbGIsqOrzru4yowQz67dz2yc"", ""'JUA'!D3:D139""),0))"),"#VALUE!")</f>
        <v>#VALUE!</v>
      </c>
      <c r="Z37" s="2"/>
      <c r="AA37" s="156"/>
      <c r="AB37" s="156"/>
      <c r="AC37" s="156"/>
      <c r="AD37" s="263"/>
    </row>
    <row r="38" spans="1:30">
      <c r="A38" s="155" t="s">
        <v>119</v>
      </c>
      <c r="B38" s="155" t="s">
        <v>127</v>
      </c>
      <c r="C38" s="156" t="s">
        <v>36</v>
      </c>
      <c r="D38" s="155" t="s">
        <v>128</v>
      </c>
      <c r="E38" s="155" t="s">
        <v>38</v>
      </c>
      <c r="F38" s="22" t="s">
        <v>129</v>
      </c>
      <c r="G38" s="22" t="s">
        <v>56</v>
      </c>
      <c r="H38" s="22" t="s">
        <v>57</v>
      </c>
      <c r="I38" s="22" t="s">
        <v>58</v>
      </c>
      <c r="J38" s="22" t="s">
        <v>59</v>
      </c>
      <c r="K38" s="22" t="s">
        <v>130</v>
      </c>
      <c r="L38" s="22" t="s">
        <v>61</v>
      </c>
      <c r="M38" s="22" t="s">
        <v>131</v>
      </c>
      <c r="N38" s="22" t="s">
        <v>63</v>
      </c>
      <c r="O38" s="22" t="s">
        <v>132</v>
      </c>
      <c r="P38" s="262">
        <v>0</v>
      </c>
      <c r="Q38" s="262">
        <v>0</v>
      </c>
      <c r="R38" s="385">
        <f t="shared" ref="R38:R39" si="10">V38/3</f>
        <v>24.333333333333332</v>
      </c>
      <c r="S38" s="385">
        <f t="shared" ref="S38:S39" si="11">R38/2</f>
        <v>12.166666666666666</v>
      </c>
      <c r="T38" s="385">
        <f t="shared" ref="T38:T39" si="12">V38/3</f>
        <v>24.333333333333332</v>
      </c>
      <c r="U38" s="385">
        <f t="shared" ref="U38:U39" si="13">R38/2</f>
        <v>12.166666666666666</v>
      </c>
      <c r="V38" s="358">
        <v>73</v>
      </c>
      <c r="W38" s="358">
        <v>73</v>
      </c>
      <c r="X38" s="22">
        <v>0</v>
      </c>
      <c r="Y38" s="2">
        <f ca="1">IFERROR(__xludf.DUMMYFUNCTION("INDEX(IMPORTRANGE(""1y0FWgjbB0gVlqn-q5LMJbGIsqOrzru4yowQz67dz2yc"", ""'JUA'!BG3:BG139""),MATCH(D38,IMPORTRANGE(""1y0FWgjbB0gVlqn-q5LMJbGIsqOrzru4yowQz67dz2yc"", ""'JUA'!D3:D139""),0))"),0)</f>
        <v>0</v>
      </c>
      <c r="Z38" s="2"/>
      <c r="AA38" s="156"/>
      <c r="AB38" s="156"/>
      <c r="AC38" s="156"/>
      <c r="AD38" s="263"/>
    </row>
    <row r="39" spans="1:30">
      <c r="A39" s="155" t="s">
        <v>119</v>
      </c>
      <c r="B39" s="155" t="s">
        <v>133</v>
      </c>
      <c r="C39" s="156" t="s">
        <v>36</v>
      </c>
      <c r="D39" s="7" t="s">
        <v>134</v>
      </c>
      <c r="E39" s="155" t="s">
        <v>38</v>
      </c>
      <c r="F39" s="22" t="s">
        <v>135</v>
      </c>
      <c r="G39" s="22" t="s">
        <v>56</v>
      </c>
      <c r="H39" s="22" t="s">
        <v>57</v>
      </c>
      <c r="I39" s="22" t="s">
        <v>58</v>
      </c>
      <c r="J39" s="22" t="s">
        <v>59</v>
      </c>
      <c r="K39" s="22" t="s">
        <v>130</v>
      </c>
      <c r="L39" s="22" t="s">
        <v>61</v>
      </c>
      <c r="M39" s="22" t="s">
        <v>131</v>
      </c>
      <c r="N39" s="22" t="s">
        <v>63</v>
      </c>
      <c r="O39" s="22" t="s">
        <v>132</v>
      </c>
      <c r="P39" s="262">
        <v>27</v>
      </c>
      <c r="Q39" s="262">
        <v>44</v>
      </c>
      <c r="R39" s="385">
        <f t="shared" si="10"/>
        <v>8143.333333333333</v>
      </c>
      <c r="S39" s="385">
        <f t="shared" si="11"/>
        <v>4071.6666666666665</v>
      </c>
      <c r="T39" s="385">
        <f t="shared" si="12"/>
        <v>8143.333333333333</v>
      </c>
      <c r="U39" s="385">
        <f t="shared" si="13"/>
        <v>4071.6666666666665</v>
      </c>
      <c r="V39" s="358">
        <v>24430</v>
      </c>
      <c r="W39" s="358">
        <v>24430</v>
      </c>
      <c r="X39" s="22">
        <v>0</v>
      </c>
      <c r="Y39" s="2">
        <f ca="1">IFERROR(__xludf.DUMMYFUNCTION("INDEX(IMPORTRANGE(""1y0FWgjbB0gVlqn-q5LMJbGIsqOrzru4yowQz67dz2yc"", ""'JUA'!BG3:BG139""),MATCH(D39,IMPORTRANGE(""1y0FWgjbB0gVlqn-q5LMJbGIsqOrzru4yowQz67dz2yc"", ""'JUA'!D3:D139""),0))"),0)</f>
        <v>0</v>
      </c>
      <c r="Z39" s="2"/>
      <c r="AA39" s="156"/>
      <c r="AB39" s="156"/>
      <c r="AC39" s="156"/>
      <c r="AD39" s="263"/>
    </row>
    <row r="40" spans="1:30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262">
        <v>0</v>
      </c>
      <c r="Q40" s="262">
        <v>6</v>
      </c>
      <c r="R40" s="290"/>
      <c r="S40" s="290"/>
      <c r="T40" s="290"/>
      <c r="U40" s="290"/>
      <c r="V40" s="290"/>
      <c r="W40" s="377"/>
      <c r="X40" s="22">
        <v>0</v>
      </c>
      <c r="Y40" s="2">
        <f ca="1">IFERROR(__xludf.DUMMYFUNCTION("INDEX(IMPORTRANGE(""1y0FWgjbB0gVlqn-q5LMJbGIsqOrzru4yowQz67dz2yc"", ""'JUA'!BG3:BG139""),MATCH(D40,IMPORTRANGE(""1y0FWgjbB0gVlqn-q5LMJbGIsqOrzru4yowQz67dz2yc"", ""'JUA'!D3:D139""),0))"),0)</f>
        <v>0</v>
      </c>
      <c r="Z40" s="2"/>
      <c r="AA40" s="156"/>
      <c r="AB40" s="156"/>
      <c r="AC40" s="156"/>
      <c r="AD40" s="263"/>
    </row>
    <row r="41" spans="1:30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262"/>
      <c r="Q41" s="262"/>
      <c r="R41" s="290"/>
      <c r="S41" s="290"/>
      <c r="T41" s="290"/>
      <c r="U41" s="290"/>
      <c r="V41" s="290"/>
      <c r="W41" s="377"/>
      <c r="X41" s="22"/>
      <c r="Y41" s="2">
        <f ca="1">IFERROR(__xludf.DUMMYFUNCTION("INDEX(IMPORTRANGE(""1y0FWgjbB0gVlqn-q5LMJbGIsqOrzru4yowQz67dz2yc"", ""'JUA'!BG3:BG139""),MATCH(D41,IMPORTRANGE(""1y0FWgjbB0gVlqn-q5LMJbGIsqOrzru4yowQz67dz2yc"", ""'JUA'!D3:D139""),0))"),0)</f>
        <v>0</v>
      </c>
      <c r="Z41" s="2"/>
      <c r="AA41" s="156"/>
      <c r="AB41" s="156"/>
      <c r="AC41" s="156"/>
      <c r="AD41" s="263"/>
    </row>
    <row r="42" spans="1:30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262">
        <v>10</v>
      </c>
      <c r="Q42" s="262">
        <v>10</v>
      </c>
      <c r="R42" s="290"/>
      <c r="S42" s="290"/>
      <c r="T42" s="290"/>
      <c r="U42" s="290"/>
      <c r="V42" s="290"/>
      <c r="W42" s="377"/>
      <c r="X42" s="22">
        <v>0</v>
      </c>
      <c r="Y42" s="2">
        <f ca="1">IFERROR(__xludf.DUMMYFUNCTION("INDEX(IMPORTRANGE(""1y0FWgjbB0gVlqn-q5LMJbGIsqOrzru4yowQz67dz2yc"", ""'JUA'!BG3:BG139""),MATCH(D42,IMPORTRANGE(""1y0FWgjbB0gVlqn-q5LMJbGIsqOrzru4yowQz67dz2yc"", ""'JUA'!D3:D139""),0))"),0)</f>
        <v>0</v>
      </c>
      <c r="Z42" s="2"/>
      <c r="AA42" s="156"/>
      <c r="AB42" s="156"/>
      <c r="AC42" s="156"/>
      <c r="AD42" s="263"/>
    </row>
    <row r="43" spans="1:30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262"/>
      <c r="Q43" s="262"/>
      <c r="R43" s="290"/>
      <c r="S43" s="290"/>
      <c r="T43" s="290"/>
      <c r="U43" s="290"/>
      <c r="V43" s="290"/>
      <c r="W43" s="377"/>
      <c r="X43" s="262"/>
      <c r="Y43" s="2">
        <f ca="1">IFERROR(__xludf.DUMMYFUNCTION("INDEX(IMPORTRANGE(""1y0FWgjbB0gVlqn-q5LMJbGIsqOrzru4yowQz67dz2yc"", ""'JUA'!BG3:BG139""),MATCH(D43,IMPORTRANGE(""1y0FWgjbB0gVlqn-q5LMJbGIsqOrzru4yowQz67dz2yc"", ""'JUA'!D3:D139""),0))"),0)</f>
        <v>0</v>
      </c>
      <c r="Z43" s="2"/>
      <c r="AA43" s="156"/>
      <c r="AB43" s="156"/>
      <c r="AC43" s="156"/>
      <c r="AD43" s="263"/>
    </row>
    <row r="44" spans="1:30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262">
        <v>10</v>
      </c>
      <c r="Q44" s="262">
        <v>16</v>
      </c>
      <c r="R44" s="385">
        <f>V44/3</f>
        <v>121.66666666666667</v>
      </c>
      <c r="S44" s="385">
        <f>R44/2</f>
        <v>60.833333333333336</v>
      </c>
      <c r="T44" s="385">
        <f>V44/3</f>
        <v>121.66666666666667</v>
      </c>
      <c r="U44" s="385">
        <f>R44/2</f>
        <v>60.833333333333336</v>
      </c>
      <c r="V44" s="358">
        <v>365</v>
      </c>
      <c r="W44" s="358">
        <v>365</v>
      </c>
      <c r="X44" s="262">
        <f>SUM(X40:X42)</f>
        <v>0</v>
      </c>
      <c r="Y44" s="2">
        <f ca="1">IFERROR(__xludf.DUMMYFUNCTION("INDEX(IMPORTRANGE(""1y0FWgjbB0gVlqn-q5LMJbGIsqOrzru4yowQz67dz2yc"", ""'JUA'!BG3:BG139""),MATCH(D44,IMPORTRANGE(""1y0FWgjbB0gVlqn-q5LMJbGIsqOrzru4yowQz67dz2yc"", ""'JUA'!D3:D139""),0))"),0)</f>
        <v>0</v>
      </c>
      <c r="Z44" s="2"/>
      <c r="AA44" s="156"/>
      <c r="AB44" s="156"/>
      <c r="AC44" s="156"/>
      <c r="AD44" s="263"/>
    </row>
    <row r="45" spans="1:30">
      <c r="A45" s="155" t="s">
        <v>147</v>
      </c>
      <c r="B45" s="155" t="s">
        <v>148</v>
      </c>
      <c r="C45" s="156" t="s">
        <v>30</v>
      </c>
      <c r="D45" s="155" t="s">
        <v>149</v>
      </c>
      <c r="E45" s="155" t="s">
        <v>38</v>
      </c>
      <c r="F45" s="22"/>
      <c r="G45" s="10">
        <v>44469</v>
      </c>
      <c r="H45" s="10">
        <v>44469</v>
      </c>
      <c r="I45" s="10">
        <v>44651</v>
      </c>
      <c r="J45" s="10">
        <v>44834</v>
      </c>
      <c r="K45" s="10">
        <v>45016</v>
      </c>
      <c r="L45" s="10">
        <v>45199</v>
      </c>
      <c r="M45" s="10">
        <v>45382</v>
      </c>
      <c r="N45" s="10">
        <v>45565</v>
      </c>
      <c r="O45" s="10">
        <v>45565</v>
      </c>
      <c r="P45" s="269" t="s">
        <v>150</v>
      </c>
      <c r="Q45" s="269" t="s">
        <v>150</v>
      </c>
      <c r="R45" s="156" t="s">
        <v>151</v>
      </c>
      <c r="S45" s="156" t="s">
        <v>151</v>
      </c>
      <c r="T45" s="156" t="s">
        <v>151</v>
      </c>
      <c r="U45" s="156" t="s">
        <v>151</v>
      </c>
      <c r="V45" s="156" t="s">
        <v>151</v>
      </c>
      <c r="W45" s="156" t="s">
        <v>151</v>
      </c>
      <c r="X45" s="22" t="s">
        <v>150</v>
      </c>
      <c r="Y45" s="2" t="str">
        <f ca="1">IFERROR(__xludf.DUMMYFUNCTION("INDEX(IMPORTRANGE(""1y0FWgjbB0gVlqn-q5LMJbGIsqOrzru4yowQz67dz2yc"", ""'JUA'!BG3:BG139""),MATCH(D45,IMPORTRANGE(""1y0FWgjbB0gVlqn-q5LMJbGIsqOrzru4yowQz67dz2yc"", ""'JUA'!D3:D139""),0))"),"No")</f>
        <v>No</v>
      </c>
      <c r="Z45" s="2"/>
      <c r="AA45" s="156"/>
      <c r="AB45" s="156"/>
      <c r="AC45" s="156"/>
      <c r="AD45" s="263"/>
    </row>
    <row r="46" spans="1:30">
      <c r="A46" s="155" t="s">
        <v>147</v>
      </c>
      <c r="B46" s="155" t="s">
        <v>148</v>
      </c>
      <c r="C46" s="156" t="s">
        <v>30</v>
      </c>
      <c r="D46" s="155" t="s">
        <v>152</v>
      </c>
      <c r="E46" s="155" t="s">
        <v>38</v>
      </c>
      <c r="F46" s="22"/>
      <c r="G46" s="10">
        <v>44469</v>
      </c>
      <c r="H46" s="10">
        <v>44469</v>
      </c>
      <c r="I46" s="10">
        <v>44651</v>
      </c>
      <c r="J46" s="10">
        <v>44834</v>
      </c>
      <c r="K46" s="10">
        <v>45016</v>
      </c>
      <c r="L46" s="10">
        <v>45199</v>
      </c>
      <c r="M46" s="10">
        <v>45382</v>
      </c>
      <c r="N46" s="10">
        <v>45565</v>
      </c>
      <c r="O46" s="10">
        <v>45565</v>
      </c>
      <c r="P46" s="269" t="s">
        <v>150</v>
      </c>
      <c r="Q46" s="269" t="s">
        <v>150</v>
      </c>
      <c r="R46" s="156" t="s">
        <v>151</v>
      </c>
      <c r="S46" s="156" t="s">
        <v>151</v>
      </c>
      <c r="T46" s="156" t="s">
        <v>151</v>
      </c>
      <c r="U46" s="156" t="s">
        <v>151</v>
      </c>
      <c r="V46" s="156" t="s">
        <v>151</v>
      </c>
      <c r="W46" s="156" t="s">
        <v>151</v>
      </c>
      <c r="X46" s="22" t="s">
        <v>150</v>
      </c>
      <c r="Y46" s="2" t="str">
        <f ca="1">IFERROR(__xludf.DUMMYFUNCTION("INDEX(IMPORTRANGE(""1y0FWgjbB0gVlqn-q5LMJbGIsqOrzru4yowQz67dz2yc"", ""'JUA'!BG3:BG139""),MATCH(D46,IMPORTRANGE(""1y0FWgjbB0gVlqn-q5LMJbGIsqOrzru4yowQz67dz2yc"", ""'JUA'!D3:D139""),0))"),"No")</f>
        <v>No</v>
      </c>
      <c r="Z46" s="2"/>
      <c r="AA46" s="156"/>
      <c r="AB46" s="156"/>
      <c r="AC46" s="156"/>
      <c r="AD46" s="263"/>
    </row>
    <row r="47" spans="1:30">
      <c r="A47" s="155" t="s">
        <v>147</v>
      </c>
      <c r="B47" s="155" t="s">
        <v>148</v>
      </c>
      <c r="C47" s="156" t="s">
        <v>30</v>
      </c>
      <c r="D47" s="155" t="s">
        <v>154</v>
      </c>
      <c r="E47" s="155" t="s">
        <v>38</v>
      </c>
      <c r="F47" s="22"/>
      <c r="G47" s="10">
        <v>44469</v>
      </c>
      <c r="H47" s="10">
        <v>44469</v>
      </c>
      <c r="I47" s="10">
        <v>44651</v>
      </c>
      <c r="J47" s="10">
        <v>44834</v>
      </c>
      <c r="K47" s="10">
        <v>45016</v>
      </c>
      <c r="L47" s="10">
        <v>45199</v>
      </c>
      <c r="M47" s="10">
        <v>45382</v>
      </c>
      <c r="N47" s="10">
        <v>45565</v>
      </c>
      <c r="O47" s="10">
        <v>45565</v>
      </c>
      <c r="P47" s="269" t="s">
        <v>150</v>
      </c>
      <c r="Q47" s="269" t="s">
        <v>150</v>
      </c>
      <c r="R47" s="22" t="s">
        <v>155</v>
      </c>
      <c r="S47" s="156" t="s">
        <v>155</v>
      </c>
      <c r="T47" s="156" t="s">
        <v>155</v>
      </c>
      <c r="U47" s="156" t="s">
        <v>155</v>
      </c>
      <c r="V47" s="156" t="s">
        <v>155</v>
      </c>
      <c r="W47" s="22" t="s">
        <v>155</v>
      </c>
      <c r="X47" s="22" t="s">
        <v>150</v>
      </c>
      <c r="Y47" s="2" t="str">
        <f ca="1">IFERROR(__xludf.DUMMYFUNCTION("INDEX(IMPORTRANGE(""1y0FWgjbB0gVlqn-q5LMJbGIsqOrzru4yowQz67dz2yc"", ""'JUA'!BG3:BG139""),MATCH(D47,IMPORTRANGE(""1y0FWgjbB0gVlqn-q5LMJbGIsqOrzru4yowQz67dz2yc"", ""'JUA'!D3:D139""),0))"),"No")</f>
        <v>No</v>
      </c>
      <c r="Z47" s="2"/>
      <c r="AA47" s="156"/>
      <c r="AB47" s="156"/>
      <c r="AC47" s="156"/>
      <c r="AD47" s="263"/>
    </row>
    <row r="48" spans="1:30">
      <c r="A48" s="155" t="s">
        <v>147</v>
      </c>
      <c r="B48" s="155" t="s">
        <v>148</v>
      </c>
      <c r="C48" s="156" t="s">
        <v>36</v>
      </c>
      <c r="D48" s="155" t="s">
        <v>156</v>
      </c>
      <c r="E48" s="155" t="s">
        <v>38</v>
      </c>
      <c r="F48" s="22"/>
      <c r="G48" s="10">
        <v>44469</v>
      </c>
      <c r="H48" s="10">
        <v>44469</v>
      </c>
      <c r="I48" s="10">
        <v>44651</v>
      </c>
      <c r="J48" s="10">
        <v>44834</v>
      </c>
      <c r="K48" s="10">
        <v>45016</v>
      </c>
      <c r="L48" s="10">
        <v>45199</v>
      </c>
      <c r="M48" s="10">
        <v>45382</v>
      </c>
      <c r="N48" s="10">
        <v>45565</v>
      </c>
      <c r="O48" s="10">
        <v>45565</v>
      </c>
      <c r="P48" s="262">
        <f t="shared" ref="P48:Q48" si="14">COUNTIF(P45:P47,"Sí")*(1/3)</f>
        <v>0</v>
      </c>
      <c r="Q48" s="262">
        <f t="shared" si="14"/>
        <v>0</v>
      </c>
      <c r="R48" s="22" t="s">
        <v>157</v>
      </c>
      <c r="S48" s="156" t="s">
        <v>157</v>
      </c>
      <c r="T48" s="156" t="s">
        <v>157</v>
      </c>
      <c r="U48" s="156" t="s">
        <v>157</v>
      </c>
      <c r="V48" s="156" t="s">
        <v>157</v>
      </c>
      <c r="W48" s="262" t="s">
        <v>157</v>
      </c>
      <c r="X48" s="262">
        <f>COUNTIF(X45:X47,"Sí")*(1/3)</f>
        <v>0</v>
      </c>
      <c r="Y48" s="2">
        <f ca="1">IFERROR(__xludf.DUMMYFUNCTION("INDEX(IMPORTRANGE(""1y0FWgjbB0gVlqn-q5LMJbGIsqOrzru4yowQz67dz2yc"", ""'JUA'!BG3:BG139""),MATCH(D48,IMPORTRANGE(""1y0FWgjbB0gVlqn-q5LMJbGIsqOrzru4yowQz67dz2yc"", ""'JUA'!D3:D139""),0))"),0)</f>
        <v>0</v>
      </c>
      <c r="Z48" s="2"/>
      <c r="AA48" s="156"/>
      <c r="AB48" s="156"/>
      <c r="AC48" s="156"/>
      <c r="AD48" s="263"/>
    </row>
    <row r="49" spans="1:30">
      <c r="A49" s="155" t="s">
        <v>147</v>
      </c>
      <c r="B49" s="155" t="s">
        <v>148</v>
      </c>
      <c r="C49" s="156" t="s">
        <v>36</v>
      </c>
      <c r="D49" s="155" t="s">
        <v>351</v>
      </c>
      <c r="E49" s="155" t="s">
        <v>38</v>
      </c>
      <c r="F49" s="22"/>
      <c r="G49" s="10">
        <v>44469</v>
      </c>
      <c r="H49" s="10">
        <v>44469</v>
      </c>
      <c r="I49" s="10">
        <v>44651</v>
      </c>
      <c r="J49" s="10">
        <v>44834</v>
      </c>
      <c r="K49" s="10">
        <v>45016</v>
      </c>
      <c r="L49" s="10">
        <v>45199</v>
      </c>
      <c r="M49" s="10">
        <v>45382</v>
      </c>
      <c r="N49" s="10">
        <v>45565</v>
      </c>
      <c r="O49" s="10">
        <v>45565</v>
      </c>
      <c r="P49" s="262">
        <v>0</v>
      </c>
      <c r="Q49" s="262">
        <v>0</v>
      </c>
      <c r="R49" s="22" t="s">
        <v>159</v>
      </c>
      <c r="S49" s="156" t="s">
        <v>160</v>
      </c>
      <c r="T49" s="156" t="s">
        <v>160</v>
      </c>
      <c r="U49" s="156" t="s">
        <v>161</v>
      </c>
      <c r="V49" s="156" t="s">
        <v>161</v>
      </c>
      <c r="W49" s="262" t="s">
        <v>161</v>
      </c>
      <c r="X49" s="22">
        <v>0</v>
      </c>
      <c r="Y49" s="2">
        <f ca="1">IFERROR(__xludf.DUMMYFUNCTION("INDEX(IMPORTRANGE(""1y0FWgjbB0gVlqn-q5LMJbGIsqOrzru4yowQz67dz2yc"", ""'JUA'!BG3:BG139""),MATCH(D49,IMPORTRANGE(""1y0FWgjbB0gVlqn-q5LMJbGIsqOrzru4yowQz67dz2yc"", ""'JUA'!D3:D139""),0))"),0)</f>
        <v>0</v>
      </c>
      <c r="Z49" s="2"/>
      <c r="AA49" s="156"/>
      <c r="AB49" s="156"/>
      <c r="AC49" s="156"/>
      <c r="AD49" s="263"/>
    </row>
    <row r="50" spans="1:30">
      <c r="A50" s="155" t="s">
        <v>147</v>
      </c>
      <c r="B50" s="155" t="s">
        <v>148</v>
      </c>
      <c r="C50" s="156" t="s">
        <v>30</v>
      </c>
      <c r="D50" s="155" t="s">
        <v>162</v>
      </c>
      <c r="E50" s="155" t="s">
        <v>38</v>
      </c>
      <c r="F50" s="22" t="s">
        <v>163</v>
      </c>
      <c r="G50" s="10">
        <v>44469</v>
      </c>
      <c r="H50" s="10">
        <v>44469</v>
      </c>
      <c r="I50" s="10">
        <v>44651</v>
      </c>
      <c r="J50" s="10">
        <v>44834</v>
      </c>
      <c r="K50" s="10">
        <v>45016</v>
      </c>
      <c r="L50" s="10">
        <v>45199</v>
      </c>
      <c r="M50" s="10">
        <v>45382</v>
      </c>
      <c r="N50" s="10">
        <v>45565</v>
      </c>
      <c r="O50" s="10">
        <v>45565</v>
      </c>
      <c r="P50" s="262">
        <v>0</v>
      </c>
      <c r="Q50" s="262">
        <v>0</v>
      </c>
      <c r="R50" s="290"/>
      <c r="S50" s="290"/>
      <c r="T50" s="290"/>
      <c r="U50" s="290"/>
      <c r="V50" s="290"/>
      <c r="W50" s="377"/>
      <c r="X50" s="22">
        <v>0</v>
      </c>
      <c r="Y50" s="2">
        <f ca="1">IFERROR(__xludf.DUMMYFUNCTION("INDEX(IMPORTRANGE(""1y0FWgjbB0gVlqn-q5LMJbGIsqOrzru4yowQz67dz2yc"", ""'JUA'!BG3:BG139""),MATCH(D50,IMPORTRANGE(""1y0FWgjbB0gVlqn-q5LMJbGIsqOrzru4yowQz67dz2yc"", ""'JUA'!D3:D139""),0))"),0)</f>
        <v>0</v>
      </c>
      <c r="Z50" s="2"/>
      <c r="AA50" s="156"/>
      <c r="AB50" s="156"/>
      <c r="AC50" s="156"/>
      <c r="AD50" s="263"/>
    </row>
    <row r="51" spans="1:30">
      <c r="A51" s="155" t="s">
        <v>147</v>
      </c>
      <c r="B51" s="155" t="s">
        <v>148</v>
      </c>
      <c r="C51" s="156" t="s">
        <v>30</v>
      </c>
      <c r="D51" s="155" t="s">
        <v>164</v>
      </c>
      <c r="E51" s="155" t="s">
        <v>38</v>
      </c>
      <c r="F51" s="22" t="s">
        <v>165</v>
      </c>
      <c r="G51" s="10">
        <v>44469</v>
      </c>
      <c r="H51" s="10">
        <v>44469</v>
      </c>
      <c r="I51" s="10">
        <v>44651</v>
      </c>
      <c r="J51" s="10">
        <v>44834</v>
      </c>
      <c r="K51" s="10">
        <v>45016</v>
      </c>
      <c r="L51" s="10">
        <v>45199</v>
      </c>
      <c r="M51" s="10">
        <v>45382</v>
      </c>
      <c r="N51" s="10">
        <v>45565</v>
      </c>
      <c r="O51" s="10">
        <v>45565</v>
      </c>
      <c r="P51" s="262">
        <v>0</v>
      </c>
      <c r="Q51" s="262">
        <v>0</v>
      </c>
      <c r="R51" s="290"/>
      <c r="S51" s="290"/>
      <c r="T51" s="290"/>
      <c r="U51" s="290"/>
      <c r="V51" s="290"/>
      <c r="W51" s="377"/>
      <c r="X51" s="22">
        <v>0</v>
      </c>
      <c r="Y51" s="2">
        <f ca="1">IFERROR(__xludf.DUMMYFUNCTION("INDEX(IMPORTRANGE(""1y0FWgjbB0gVlqn-q5LMJbGIsqOrzru4yowQz67dz2yc"", ""'JUA'!BG3:BG139""),MATCH(D51,IMPORTRANGE(""1y0FWgjbB0gVlqn-q5LMJbGIsqOrzru4yowQz67dz2yc"", ""'JUA'!D3:D139""),0))"),0)</f>
        <v>0</v>
      </c>
      <c r="Z51" s="2"/>
      <c r="AA51" s="156"/>
      <c r="AB51" s="156"/>
      <c r="AC51" s="156"/>
      <c r="AD51" s="263"/>
    </row>
    <row r="52" spans="1:30">
      <c r="A52" s="155" t="s">
        <v>147</v>
      </c>
      <c r="B52" s="155" t="s">
        <v>148</v>
      </c>
      <c r="C52" s="156" t="s">
        <v>36</v>
      </c>
      <c r="D52" s="155" t="s">
        <v>166</v>
      </c>
      <c r="E52" s="155" t="s">
        <v>38</v>
      </c>
      <c r="F52" s="22" t="s">
        <v>167</v>
      </c>
      <c r="G52" s="10">
        <v>44469</v>
      </c>
      <c r="H52" s="10">
        <v>44469</v>
      </c>
      <c r="I52" s="10">
        <v>44651</v>
      </c>
      <c r="J52" s="10">
        <v>44834</v>
      </c>
      <c r="K52" s="10">
        <v>45016</v>
      </c>
      <c r="L52" s="10">
        <v>45199</v>
      </c>
      <c r="M52" s="10">
        <v>45382</v>
      </c>
      <c r="N52" s="10">
        <v>45565</v>
      </c>
      <c r="O52" s="10">
        <v>45565</v>
      </c>
      <c r="P52" s="22" t="s">
        <v>436</v>
      </c>
      <c r="Q52" s="22" t="s">
        <v>436</v>
      </c>
      <c r="R52" s="31">
        <v>1</v>
      </c>
      <c r="S52" s="31">
        <v>1</v>
      </c>
      <c r="T52" s="31">
        <v>1</v>
      </c>
      <c r="U52" s="31">
        <v>1</v>
      </c>
      <c r="V52" s="31">
        <v>1</v>
      </c>
      <c r="W52" s="31">
        <v>1</v>
      </c>
      <c r="X52" s="22" t="s">
        <v>436</v>
      </c>
      <c r="Y52" s="2" t="str">
        <f ca="1">IFERROR(__xludf.DUMMYFUNCTION("INDEX(IMPORTRANGE(""1y0FWgjbB0gVlqn-q5LMJbGIsqOrzru4yowQz67dz2yc"", ""'JUA'!BG3:BG139""),MATCH(D52,IMPORTRANGE(""1y0FWgjbB0gVlqn-q5LMJbGIsqOrzru4yowQz67dz2yc"", ""'JUA'!D3:D139""),0))"),"NA")</f>
        <v>NA</v>
      </c>
      <c r="Z52" s="2"/>
      <c r="AA52" s="156"/>
      <c r="AB52" s="156"/>
      <c r="AC52" s="156"/>
      <c r="AD52" s="263"/>
    </row>
    <row r="53" spans="1:30">
      <c r="A53" s="155" t="s">
        <v>147</v>
      </c>
      <c r="B53" s="155" t="s">
        <v>168</v>
      </c>
      <c r="C53" s="156" t="s">
        <v>30</v>
      </c>
      <c r="D53" s="386" t="s">
        <v>169</v>
      </c>
      <c r="E53" s="155" t="s">
        <v>38</v>
      </c>
      <c r="F53" s="22" t="s">
        <v>170</v>
      </c>
      <c r="G53" s="10">
        <v>44469</v>
      </c>
      <c r="H53" s="10">
        <v>44469</v>
      </c>
      <c r="I53" s="10">
        <v>44651</v>
      </c>
      <c r="J53" s="10">
        <v>44834</v>
      </c>
      <c r="K53" s="10">
        <v>45016</v>
      </c>
      <c r="L53" s="10">
        <v>45199</v>
      </c>
      <c r="M53" s="10">
        <v>45382</v>
      </c>
      <c r="N53" s="10">
        <v>45565</v>
      </c>
      <c r="O53" s="10">
        <v>45565</v>
      </c>
      <c r="P53" s="262">
        <v>35753</v>
      </c>
      <c r="Q53" s="262">
        <v>35753</v>
      </c>
      <c r="R53" s="290"/>
      <c r="S53" s="290"/>
      <c r="T53" s="290"/>
      <c r="U53" s="290"/>
      <c r="V53" s="290"/>
      <c r="W53" s="377"/>
      <c r="X53" s="262">
        <v>35753</v>
      </c>
      <c r="Y53" s="262">
        <f ca="1">IFERROR(__xludf.DUMMYFUNCTION("INDEX(IMPORTRANGE(""1y0FWgjbB0gVlqn-q5LMJbGIsqOrzru4yowQz67dz2yc"", ""'JUA'!BG3:BG139""),MATCH(D53,IMPORTRANGE(""1y0FWgjbB0gVlqn-q5LMJbGIsqOrzru4yowQz67dz2yc"", ""'JUA'!D3:D139""),0))"),35753)</f>
        <v>35753</v>
      </c>
      <c r="Z53" s="262"/>
      <c r="AA53" s="156"/>
      <c r="AB53" s="156"/>
      <c r="AC53" s="156"/>
      <c r="AD53" s="263"/>
    </row>
    <row r="54" spans="1:30">
      <c r="A54" s="155" t="s">
        <v>147</v>
      </c>
      <c r="B54" s="155" t="s">
        <v>168</v>
      </c>
      <c r="C54" s="156" t="s">
        <v>30</v>
      </c>
      <c r="D54" s="386" t="s">
        <v>171</v>
      </c>
      <c r="E54" s="155" t="s">
        <v>38</v>
      </c>
      <c r="F54" s="22" t="s">
        <v>172</v>
      </c>
      <c r="G54" s="10">
        <v>44469</v>
      </c>
      <c r="H54" s="10">
        <v>44469</v>
      </c>
      <c r="I54" s="10">
        <v>44651</v>
      </c>
      <c r="J54" s="10">
        <v>44834</v>
      </c>
      <c r="K54" s="10">
        <v>45016</v>
      </c>
      <c r="L54" s="10">
        <v>45199</v>
      </c>
      <c r="M54" s="10">
        <v>45382</v>
      </c>
      <c r="N54" s="10">
        <v>45565</v>
      </c>
      <c r="O54" s="10">
        <v>45565</v>
      </c>
      <c r="P54" s="364" t="s">
        <v>435</v>
      </c>
      <c r="Q54" s="364" t="s">
        <v>435</v>
      </c>
      <c r="R54" s="290"/>
      <c r="S54" s="290"/>
      <c r="T54" s="290"/>
      <c r="U54" s="290"/>
      <c r="V54" s="290"/>
      <c r="W54" s="377"/>
      <c r="X54" s="364" t="s">
        <v>435</v>
      </c>
      <c r="Y54" s="18" t="str">
        <f ca="1">IFERROR(__xludf.DUMMYFUNCTION("INDEX(IMPORTRANGE(""1y0FWgjbB0gVlqn-q5LMJbGIsqOrzru4yowQz67dz2yc"", ""'JUA'!BG3:BG139""),MATCH(D54,IMPORTRANGE(""1y0FWgjbB0gVlqn-q5LMJbGIsqOrzru4yowQz67dz2yc"", ""'JUA'!D3:D139""),0))"),"Sin dato")</f>
        <v>Sin dato</v>
      </c>
      <c r="Z54" s="2"/>
      <c r="AA54" s="156"/>
      <c r="AB54" s="156"/>
      <c r="AC54" s="156"/>
      <c r="AD54" s="263"/>
    </row>
    <row r="55" spans="1:30">
      <c r="A55" s="155" t="s">
        <v>147</v>
      </c>
      <c r="B55" s="155" t="s">
        <v>168</v>
      </c>
      <c r="C55" s="156" t="s">
        <v>36</v>
      </c>
      <c r="D55" s="383" t="s">
        <v>173</v>
      </c>
      <c r="E55" s="155" t="s">
        <v>38</v>
      </c>
      <c r="F55" s="22" t="s">
        <v>174</v>
      </c>
      <c r="G55" s="10">
        <v>44469</v>
      </c>
      <c r="H55" s="10">
        <v>44469</v>
      </c>
      <c r="I55" s="10">
        <v>44651</v>
      </c>
      <c r="J55" s="10">
        <v>44834</v>
      </c>
      <c r="K55" s="10">
        <v>45016</v>
      </c>
      <c r="L55" s="10">
        <v>45199</v>
      </c>
      <c r="M55" s="10">
        <v>45382</v>
      </c>
      <c r="N55" s="10">
        <v>45565</v>
      </c>
      <c r="O55" s="10">
        <v>45565</v>
      </c>
      <c r="P55" s="366" t="e">
        <f t="shared" ref="P55:Q55" si="15">P53/P54</f>
        <v>#VALUE!</v>
      </c>
      <c r="Q55" s="366" t="e">
        <f t="shared" si="15"/>
        <v>#VALUE!</v>
      </c>
      <c r="R55" s="31">
        <v>1</v>
      </c>
      <c r="S55" s="31">
        <v>1</v>
      </c>
      <c r="T55" s="31">
        <v>1</v>
      </c>
      <c r="U55" s="31">
        <v>1</v>
      </c>
      <c r="V55" s="31">
        <v>1</v>
      </c>
      <c r="W55" s="31">
        <v>1</v>
      </c>
      <c r="X55" s="366" t="e">
        <f>X53/X54</f>
        <v>#VALUE!</v>
      </c>
      <c r="Y55" s="18" t="str">
        <f ca="1">IFERROR(__xludf.DUMMYFUNCTION("INDEX(IMPORTRANGE(""1y0FWgjbB0gVlqn-q5LMJbGIsqOrzru4yowQz67dz2yc"", ""'JUA'!BG3:BG139""),MATCH(D55,IMPORTRANGE(""1y0FWgjbB0gVlqn-q5LMJbGIsqOrzru4yowQz67dz2yc"", ""'JUA'!D3:D139""),0))"),"#VALUE!")</f>
        <v>#VALUE!</v>
      </c>
      <c r="Z55" s="2"/>
      <c r="AA55" s="156"/>
      <c r="AB55" s="156"/>
      <c r="AC55" s="156"/>
      <c r="AD55" s="263"/>
    </row>
    <row r="56" spans="1:30">
      <c r="A56" s="155" t="s">
        <v>147</v>
      </c>
      <c r="B56" s="155" t="s">
        <v>168</v>
      </c>
      <c r="C56" s="156" t="s">
        <v>30</v>
      </c>
      <c r="D56" s="383" t="s">
        <v>175</v>
      </c>
      <c r="E56" s="155" t="s">
        <v>38</v>
      </c>
      <c r="F56" s="22" t="s">
        <v>176</v>
      </c>
      <c r="G56" s="10">
        <v>44469</v>
      </c>
      <c r="H56" s="10">
        <v>44469</v>
      </c>
      <c r="I56" s="10">
        <v>44651</v>
      </c>
      <c r="J56" s="10">
        <v>44834</v>
      </c>
      <c r="K56" s="10">
        <v>45016</v>
      </c>
      <c r="L56" s="10">
        <v>45199</v>
      </c>
      <c r="M56" s="10">
        <v>45382</v>
      </c>
      <c r="N56" s="10">
        <v>45565</v>
      </c>
      <c r="O56" s="10">
        <v>45565</v>
      </c>
      <c r="P56" s="364" t="s">
        <v>435</v>
      </c>
      <c r="Q56" s="364" t="s">
        <v>435</v>
      </c>
      <c r="R56" s="290"/>
      <c r="S56" s="290"/>
      <c r="T56" s="290"/>
      <c r="U56" s="290"/>
      <c r="V56" s="290"/>
      <c r="W56" s="377"/>
      <c r="X56" s="364" t="s">
        <v>435</v>
      </c>
      <c r="Y56" s="18" t="str">
        <f ca="1">IFERROR(__xludf.DUMMYFUNCTION("INDEX(IMPORTRANGE(""1y0FWgjbB0gVlqn-q5LMJbGIsqOrzru4yowQz67dz2yc"", ""'JUA'!BG3:BG139""),MATCH(D56,IMPORTRANGE(""1y0FWgjbB0gVlqn-q5LMJbGIsqOrzru4yowQz67dz2yc"", ""'JUA'!D3:D139""),0))"),"Sin dato")</f>
        <v>Sin dato</v>
      </c>
      <c r="Z56" s="2"/>
      <c r="AA56" s="156"/>
      <c r="AB56" s="156"/>
      <c r="AC56" s="156"/>
      <c r="AD56" s="263"/>
    </row>
    <row r="57" spans="1:30">
      <c r="A57" s="155" t="s">
        <v>147</v>
      </c>
      <c r="B57" s="155" t="s">
        <v>168</v>
      </c>
      <c r="C57" s="156" t="s">
        <v>36</v>
      </c>
      <c r="D57" s="383" t="s">
        <v>177</v>
      </c>
      <c r="E57" s="155" t="s">
        <v>38</v>
      </c>
      <c r="F57" s="22" t="s">
        <v>178</v>
      </c>
      <c r="G57" s="10">
        <v>44469</v>
      </c>
      <c r="H57" s="10">
        <v>44469</v>
      </c>
      <c r="I57" s="10">
        <v>44651</v>
      </c>
      <c r="J57" s="10">
        <v>44834</v>
      </c>
      <c r="K57" s="10">
        <v>45016</v>
      </c>
      <c r="L57" s="10">
        <v>45199</v>
      </c>
      <c r="M57" s="10">
        <v>45382</v>
      </c>
      <c r="N57" s="10">
        <v>45565</v>
      </c>
      <c r="O57" s="10">
        <v>45565</v>
      </c>
      <c r="P57" s="367" t="e">
        <f t="shared" ref="P57:Q57" si="16">P56/P35</f>
        <v>#VALUE!</v>
      </c>
      <c r="Q57" s="367" t="e">
        <f t="shared" si="16"/>
        <v>#VALUE!</v>
      </c>
      <c r="R57" s="31">
        <v>1</v>
      </c>
      <c r="S57" s="31">
        <v>1</v>
      </c>
      <c r="T57" s="31">
        <v>1</v>
      </c>
      <c r="U57" s="31">
        <v>1</v>
      </c>
      <c r="V57" s="31">
        <v>1</v>
      </c>
      <c r="W57" s="31">
        <v>1</v>
      </c>
      <c r="X57" s="367" t="e">
        <f>X56/X35</f>
        <v>#VALUE!</v>
      </c>
      <c r="Y57" s="18" t="str">
        <f ca="1">IFERROR(__xludf.DUMMYFUNCTION("INDEX(IMPORTRANGE(""1y0FWgjbB0gVlqn-q5LMJbGIsqOrzru4yowQz67dz2yc"", ""'JUA'!BG3:BG139""),MATCH(D57,IMPORTRANGE(""1y0FWgjbB0gVlqn-q5LMJbGIsqOrzru4yowQz67dz2yc"", ""'JUA'!D3:D139""),0))"),"#VALUE!")</f>
        <v>#VALUE!</v>
      </c>
      <c r="Z57" s="2"/>
      <c r="AA57" s="156"/>
      <c r="AB57" s="156"/>
      <c r="AC57" s="156"/>
      <c r="AD57" s="263"/>
    </row>
    <row r="58" spans="1:30">
      <c r="A58" s="155" t="s">
        <v>147</v>
      </c>
      <c r="B58" s="155" t="s">
        <v>168</v>
      </c>
      <c r="C58" s="156" t="s">
        <v>30</v>
      </c>
      <c r="D58" s="383" t="s">
        <v>179</v>
      </c>
      <c r="E58" s="155" t="s">
        <v>38</v>
      </c>
      <c r="F58" s="22" t="s">
        <v>180</v>
      </c>
      <c r="G58" s="10">
        <v>44469</v>
      </c>
      <c r="H58" s="10">
        <v>44469</v>
      </c>
      <c r="I58" s="10">
        <v>44651</v>
      </c>
      <c r="J58" s="10">
        <v>44834</v>
      </c>
      <c r="K58" s="10">
        <v>45016</v>
      </c>
      <c r="L58" s="10">
        <v>45199</v>
      </c>
      <c r="M58" s="10">
        <v>45382</v>
      </c>
      <c r="N58" s="10">
        <v>45565</v>
      </c>
      <c r="O58" s="10">
        <v>45565</v>
      </c>
      <c r="P58" s="364" t="s">
        <v>435</v>
      </c>
      <c r="Q58" s="364" t="s">
        <v>435</v>
      </c>
      <c r="R58" s="290"/>
      <c r="S58" s="290"/>
      <c r="T58" s="290"/>
      <c r="U58" s="290"/>
      <c r="V58" s="290"/>
      <c r="W58" s="377"/>
      <c r="X58" s="364" t="s">
        <v>435</v>
      </c>
      <c r="Y58" s="18" t="str">
        <f ca="1">IFERROR(__xludf.DUMMYFUNCTION("INDEX(IMPORTRANGE(""1y0FWgjbB0gVlqn-q5LMJbGIsqOrzru4yowQz67dz2yc"", ""'JUA'!BG3:BG139""),MATCH(D58,IMPORTRANGE(""1y0FWgjbB0gVlqn-q5LMJbGIsqOrzru4yowQz67dz2yc"", ""'JUA'!D3:D139""),0))"),"Sin dato")</f>
        <v>Sin dato</v>
      </c>
      <c r="Z58" s="2"/>
      <c r="AA58" s="156"/>
      <c r="AB58" s="156"/>
      <c r="AC58" s="156"/>
      <c r="AD58" s="263"/>
    </row>
    <row r="59" spans="1:30">
      <c r="A59" s="155" t="s">
        <v>147</v>
      </c>
      <c r="B59" s="155" t="s">
        <v>168</v>
      </c>
      <c r="C59" s="156" t="s">
        <v>30</v>
      </c>
      <c r="D59" s="383" t="s">
        <v>181</v>
      </c>
      <c r="E59" s="155" t="s">
        <v>38</v>
      </c>
      <c r="F59" s="21" t="s">
        <v>182</v>
      </c>
      <c r="G59" s="10">
        <v>44469</v>
      </c>
      <c r="H59" s="10">
        <v>44469</v>
      </c>
      <c r="I59" s="10">
        <v>44651</v>
      </c>
      <c r="J59" s="10">
        <v>44834</v>
      </c>
      <c r="K59" s="10">
        <v>45016</v>
      </c>
      <c r="L59" s="10">
        <v>45199</v>
      </c>
      <c r="M59" s="10">
        <v>45382</v>
      </c>
      <c r="N59" s="10">
        <v>45565</v>
      </c>
      <c r="O59" s="10">
        <v>45565</v>
      </c>
      <c r="P59" s="364" t="s">
        <v>435</v>
      </c>
      <c r="Q59" s="364" t="s">
        <v>435</v>
      </c>
      <c r="R59" s="290"/>
      <c r="S59" s="290"/>
      <c r="T59" s="290"/>
      <c r="U59" s="290"/>
      <c r="V59" s="290"/>
      <c r="W59" s="377"/>
      <c r="X59" s="364" t="s">
        <v>435</v>
      </c>
      <c r="Y59" s="18" t="str">
        <f ca="1">IFERROR(__xludf.DUMMYFUNCTION("INDEX(IMPORTRANGE(""1y0FWgjbB0gVlqn-q5LMJbGIsqOrzru4yowQz67dz2yc"", ""'JUA'!BG3:BG139""),MATCH(D59,IMPORTRANGE(""1y0FWgjbB0gVlqn-q5LMJbGIsqOrzru4yowQz67dz2yc"", ""'JUA'!D3:D139""),0))"),"Sin dato")</f>
        <v>Sin dato</v>
      </c>
      <c r="Z59" s="2"/>
      <c r="AA59" s="156"/>
      <c r="AB59" s="156"/>
      <c r="AC59" s="156"/>
      <c r="AD59" s="263"/>
    </row>
    <row r="60" spans="1:30">
      <c r="A60" s="155" t="s">
        <v>147</v>
      </c>
      <c r="B60" s="155" t="s">
        <v>168</v>
      </c>
      <c r="C60" s="156" t="s">
        <v>36</v>
      </c>
      <c r="D60" s="383" t="s">
        <v>183</v>
      </c>
      <c r="E60" s="155" t="s">
        <v>38</v>
      </c>
      <c r="F60" s="21" t="s">
        <v>184</v>
      </c>
      <c r="G60" s="10">
        <v>44469</v>
      </c>
      <c r="H60" s="10">
        <v>44469</v>
      </c>
      <c r="I60" s="10">
        <v>44651</v>
      </c>
      <c r="J60" s="10">
        <v>44834</v>
      </c>
      <c r="K60" s="10">
        <v>45016</v>
      </c>
      <c r="L60" s="10">
        <v>45199</v>
      </c>
      <c r="M60" s="10">
        <v>45382</v>
      </c>
      <c r="N60" s="10">
        <v>45565</v>
      </c>
      <c r="O60" s="10">
        <v>45565</v>
      </c>
      <c r="P60" s="371" t="e">
        <f t="shared" ref="P60:Q60" si="17">P58/P59</f>
        <v>#VALUE!</v>
      </c>
      <c r="Q60" s="371" t="e">
        <f t="shared" si="17"/>
        <v>#VALUE!</v>
      </c>
      <c r="R60" s="31">
        <v>1</v>
      </c>
      <c r="S60" s="31">
        <v>1</v>
      </c>
      <c r="T60" s="31">
        <v>1</v>
      </c>
      <c r="U60" s="31">
        <v>1</v>
      </c>
      <c r="V60" s="31">
        <v>1</v>
      </c>
      <c r="W60" s="31">
        <v>1</v>
      </c>
      <c r="X60" s="371" t="e">
        <f>X58/X59</f>
        <v>#VALUE!</v>
      </c>
      <c r="Y60" s="18" t="str">
        <f ca="1">IFERROR(__xludf.DUMMYFUNCTION("INDEX(IMPORTRANGE(""1y0FWgjbB0gVlqn-q5LMJbGIsqOrzru4yowQz67dz2yc"", ""'JUA'!BG3:BG139""),MATCH(D60,IMPORTRANGE(""1y0FWgjbB0gVlqn-q5LMJbGIsqOrzru4yowQz67dz2yc"", ""'JUA'!D3:D139""),0))"),"#VALUE!")</f>
        <v>#VALUE!</v>
      </c>
      <c r="Z60" s="2"/>
      <c r="AA60" s="156"/>
      <c r="AB60" s="156"/>
      <c r="AC60" s="156"/>
      <c r="AD60" s="263"/>
    </row>
    <row r="61" spans="1:30">
      <c r="A61" s="155" t="s">
        <v>147</v>
      </c>
      <c r="B61" s="155" t="s">
        <v>168</v>
      </c>
      <c r="C61" s="156" t="s">
        <v>30</v>
      </c>
      <c r="D61" s="383" t="s">
        <v>185</v>
      </c>
      <c r="E61" s="155" t="s">
        <v>38</v>
      </c>
      <c r="F61" s="21" t="s">
        <v>186</v>
      </c>
      <c r="G61" s="10">
        <v>44469</v>
      </c>
      <c r="H61" s="10">
        <v>44469</v>
      </c>
      <c r="I61" s="10">
        <v>44651</v>
      </c>
      <c r="J61" s="10">
        <v>44834</v>
      </c>
      <c r="K61" s="10">
        <v>45016</v>
      </c>
      <c r="L61" s="10">
        <v>45199</v>
      </c>
      <c r="M61" s="10">
        <v>45382</v>
      </c>
      <c r="N61" s="10">
        <v>45565</v>
      </c>
      <c r="O61" s="10">
        <v>45565</v>
      </c>
      <c r="P61" s="364" t="s">
        <v>435</v>
      </c>
      <c r="Q61" s="364" t="s">
        <v>435</v>
      </c>
      <c r="R61" s="290"/>
      <c r="S61" s="290"/>
      <c r="T61" s="290"/>
      <c r="U61" s="290"/>
      <c r="V61" s="290"/>
      <c r="W61" s="377"/>
      <c r="X61" s="364" t="s">
        <v>435</v>
      </c>
      <c r="Y61" s="18" t="str">
        <f ca="1">IFERROR(__xludf.DUMMYFUNCTION("INDEX(IMPORTRANGE(""1y0FWgjbB0gVlqn-q5LMJbGIsqOrzru4yowQz67dz2yc"", ""'JUA'!BG3:BG139""),MATCH(D61,IMPORTRANGE(""1y0FWgjbB0gVlqn-q5LMJbGIsqOrzru4yowQz67dz2yc"", ""'JUA'!D3:D139""),0))"),"Sin dato")</f>
        <v>Sin dato</v>
      </c>
      <c r="Z61" s="2"/>
      <c r="AA61" s="156"/>
      <c r="AB61" s="156"/>
      <c r="AC61" s="156"/>
      <c r="AD61" s="263"/>
    </row>
    <row r="62" spans="1:30">
      <c r="A62" s="155" t="s">
        <v>147</v>
      </c>
      <c r="B62" s="155" t="s">
        <v>168</v>
      </c>
      <c r="C62" s="156" t="s">
        <v>30</v>
      </c>
      <c r="D62" s="383" t="s">
        <v>187</v>
      </c>
      <c r="E62" s="155" t="s">
        <v>38</v>
      </c>
      <c r="F62" s="21" t="s">
        <v>188</v>
      </c>
      <c r="G62" s="10">
        <v>44469</v>
      </c>
      <c r="H62" s="10">
        <v>44469</v>
      </c>
      <c r="I62" s="10">
        <v>44651</v>
      </c>
      <c r="J62" s="10">
        <v>44834</v>
      </c>
      <c r="K62" s="10">
        <v>45016</v>
      </c>
      <c r="L62" s="10">
        <v>45199</v>
      </c>
      <c r="M62" s="10">
        <v>45382</v>
      </c>
      <c r="N62" s="10">
        <v>45565</v>
      </c>
      <c r="O62" s="10">
        <v>45565</v>
      </c>
      <c r="P62" s="364" t="s">
        <v>435</v>
      </c>
      <c r="Q62" s="364" t="s">
        <v>435</v>
      </c>
      <c r="R62" s="290"/>
      <c r="S62" s="290"/>
      <c r="T62" s="290"/>
      <c r="U62" s="290"/>
      <c r="V62" s="290"/>
      <c r="W62" s="377"/>
      <c r="X62" s="364" t="s">
        <v>435</v>
      </c>
      <c r="Y62" s="18" t="str">
        <f ca="1">IFERROR(__xludf.DUMMYFUNCTION("INDEX(IMPORTRANGE(""1y0FWgjbB0gVlqn-q5LMJbGIsqOrzru4yowQz67dz2yc"", ""'JUA'!BG3:BG139""),MATCH(D62,IMPORTRANGE(""1y0FWgjbB0gVlqn-q5LMJbGIsqOrzru4yowQz67dz2yc"", ""'JUA'!D3:D139""),0))"),"Sin dato")</f>
        <v>Sin dato</v>
      </c>
      <c r="Z62" s="2"/>
      <c r="AA62" s="156"/>
      <c r="AB62" s="156"/>
      <c r="AC62" s="156"/>
      <c r="AD62" s="263"/>
    </row>
    <row r="63" spans="1:30">
      <c r="A63" s="155" t="s">
        <v>147</v>
      </c>
      <c r="B63" s="155" t="s">
        <v>168</v>
      </c>
      <c r="C63" s="156" t="s">
        <v>36</v>
      </c>
      <c r="D63" s="383" t="s">
        <v>189</v>
      </c>
      <c r="E63" s="155" t="s">
        <v>38</v>
      </c>
      <c r="F63" s="21" t="s">
        <v>190</v>
      </c>
      <c r="G63" s="10">
        <v>44469</v>
      </c>
      <c r="H63" s="10">
        <v>44469</v>
      </c>
      <c r="I63" s="10">
        <v>44651</v>
      </c>
      <c r="J63" s="10">
        <v>44834</v>
      </c>
      <c r="K63" s="10">
        <v>45016</v>
      </c>
      <c r="L63" s="10">
        <v>45199</v>
      </c>
      <c r="M63" s="10">
        <v>45382</v>
      </c>
      <c r="N63" s="10">
        <v>45565</v>
      </c>
      <c r="O63" s="10">
        <v>45565</v>
      </c>
      <c r="P63" s="366" t="e">
        <f t="shared" ref="P63:Q63" si="18">P61/P62</f>
        <v>#VALUE!</v>
      </c>
      <c r="Q63" s="366" t="e">
        <f t="shared" si="18"/>
        <v>#VALUE!</v>
      </c>
      <c r="R63" s="31">
        <v>1</v>
      </c>
      <c r="S63" s="31">
        <v>1</v>
      </c>
      <c r="T63" s="31">
        <v>1</v>
      </c>
      <c r="U63" s="31">
        <v>1</v>
      </c>
      <c r="V63" s="31">
        <v>1</v>
      </c>
      <c r="W63" s="31">
        <v>1</v>
      </c>
      <c r="X63" s="366" t="e">
        <f>X61/X62</f>
        <v>#VALUE!</v>
      </c>
      <c r="Y63" s="18" t="str">
        <f ca="1">IFERROR(__xludf.DUMMYFUNCTION("INDEX(IMPORTRANGE(""1y0FWgjbB0gVlqn-q5LMJbGIsqOrzru4yowQz67dz2yc"", ""'JUA'!BG3:BG139""),MATCH(D63,IMPORTRANGE(""1y0FWgjbB0gVlqn-q5LMJbGIsqOrzru4yowQz67dz2yc"", ""'JUA'!D3:D139""),0))"),"Sin dato")</f>
        <v>Sin dato</v>
      </c>
      <c r="Z63" s="2"/>
      <c r="AA63" s="156"/>
      <c r="AB63" s="156"/>
      <c r="AC63" s="156"/>
      <c r="AD63" s="263"/>
    </row>
    <row r="64" spans="1:30">
      <c r="A64" s="155" t="s">
        <v>147</v>
      </c>
      <c r="B64" s="155" t="s">
        <v>168</v>
      </c>
      <c r="C64" s="156" t="s">
        <v>30</v>
      </c>
      <c r="D64" s="155" t="s">
        <v>191</v>
      </c>
      <c r="E64" s="155" t="s">
        <v>38</v>
      </c>
      <c r="F64" s="21" t="s">
        <v>192</v>
      </c>
      <c r="G64" s="22" t="s">
        <v>56</v>
      </c>
      <c r="H64" s="22" t="s">
        <v>57</v>
      </c>
      <c r="I64" s="22" t="s">
        <v>58</v>
      </c>
      <c r="J64" s="22" t="s">
        <v>59</v>
      </c>
      <c r="K64" s="22" t="s">
        <v>130</v>
      </c>
      <c r="L64" s="22" t="s">
        <v>61</v>
      </c>
      <c r="M64" s="22" t="s">
        <v>131</v>
      </c>
      <c r="N64" s="22" t="s">
        <v>63</v>
      </c>
      <c r="O64" s="22" t="s">
        <v>132</v>
      </c>
      <c r="P64" s="266">
        <v>0</v>
      </c>
      <c r="Q64" s="266">
        <v>0</v>
      </c>
      <c r="R64" s="290"/>
      <c r="S64" s="290"/>
      <c r="T64" s="290"/>
      <c r="U64" s="290"/>
      <c r="V64" s="290"/>
      <c r="W64" s="290"/>
      <c r="X64" s="266">
        <v>0</v>
      </c>
      <c r="Y64" s="2">
        <f ca="1">IFERROR(__xludf.DUMMYFUNCTION("INDEX(IMPORTRANGE(""1y0FWgjbB0gVlqn-q5LMJbGIsqOrzru4yowQz67dz2yc"", ""'JUA'!BG3:BG139""),MATCH(D64,IMPORTRANGE(""1y0FWgjbB0gVlqn-q5LMJbGIsqOrzru4yowQz67dz2yc"", ""'JUA'!D3:D139""),0))"),0)</f>
        <v>0</v>
      </c>
      <c r="Z64" s="2"/>
      <c r="AA64" s="156"/>
      <c r="AB64" s="156"/>
      <c r="AC64" s="156"/>
      <c r="AD64" s="263"/>
    </row>
    <row r="65" spans="1:30">
      <c r="A65" s="155" t="s">
        <v>147</v>
      </c>
      <c r="B65" s="155" t="s">
        <v>168</v>
      </c>
      <c r="C65" s="156" t="s">
        <v>30</v>
      </c>
      <c r="D65" s="155" t="s">
        <v>193</v>
      </c>
      <c r="E65" s="155" t="s">
        <v>38</v>
      </c>
      <c r="F65" s="21" t="s">
        <v>194</v>
      </c>
      <c r="G65" s="22" t="s">
        <v>56</v>
      </c>
      <c r="H65" s="22" t="s">
        <v>57</v>
      </c>
      <c r="I65" s="22" t="s">
        <v>58</v>
      </c>
      <c r="J65" s="22" t="s">
        <v>59</v>
      </c>
      <c r="K65" s="22" t="s">
        <v>130</v>
      </c>
      <c r="L65" s="22" t="s">
        <v>61</v>
      </c>
      <c r="M65" s="22" t="s">
        <v>131</v>
      </c>
      <c r="N65" s="22" t="s">
        <v>63</v>
      </c>
      <c r="O65" s="22" t="s">
        <v>132</v>
      </c>
      <c r="P65" s="265">
        <v>0</v>
      </c>
      <c r="Q65" s="265">
        <v>0</v>
      </c>
      <c r="R65" s="290"/>
      <c r="S65" s="290"/>
      <c r="T65" s="290"/>
      <c r="U65" s="290"/>
      <c r="V65" s="290"/>
      <c r="W65" s="290"/>
      <c r="X65" s="265">
        <v>0</v>
      </c>
      <c r="Y65" s="2">
        <f ca="1">IFERROR(__xludf.DUMMYFUNCTION("INDEX(IMPORTRANGE(""1y0FWgjbB0gVlqn-q5LMJbGIsqOrzru4yowQz67dz2yc"", ""'JUA'!BG3:BG139""),MATCH(D65,IMPORTRANGE(""1y0FWgjbB0gVlqn-q5LMJbGIsqOrzru4yowQz67dz2yc"", ""'JUA'!D3:D139""),0))"),0)</f>
        <v>0</v>
      </c>
      <c r="Z65" s="2"/>
      <c r="AA65" s="156"/>
      <c r="AB65" s="156"/>
      <c r="AC65" s="156"/>
      <c r="AD65" s="263"/>
    </row>
    <row r="66" spans="1:30">
      <c r="A66" s="155" t="s">
        <v>147</v>
      </c>
      <c r="B66" s="155" t="s">
        <v>168</v>
      </c>
      <c r="C66" s="156" t="s">
        <v>30</v>
      </c>
      <c r="D66" s="155" t="s">
        <v>195</v>
      </c>
      <c r="E66" s="155" t="s">
        <v>38</v>
      </c>
      <c r="F66" s="21" t="s">
        <v>196</v>
      </c>
      <c r="G66" s="10">
        <v>44469</v>
      </c>
      <c r="H66" s="10">
        <v>44469</v>
      </c>
      <c r="I66" s="10">
        <v>44651</v>
      </c>
      <c r="J66" s="10">
        <v>44834</v>
      </c>
      <c r="K66" s="10">
        <v>45016</v>
      </c>
      <c r="L66" s="10">
        <v>45199</v>
      </c>
      <c r="M66" s="10">
        <v>45382</v>
      </c>
      <c r="N66" s="10">
        <v>45565</v>
      </c>
      <c r="O66" s="10">
        <v>45565</v>
      </c>
      <c r="P66" s="364" t="s">
        <v>435</v>
      </c>
      <c r="Q66" s="364" t="s">
        <v>435</v>
      </c>
      <c r="R66" s="290"/>
      <c r="S66" s="290"/>
      <c r="T66" s="290"/>
      <c r="U66" s="290"/>
      <c r="V66" s="290"/>
      <c r="W66" s="290"/>
      <c r="X66" s="364" t="s">
        <v>435</v>
      </c>
      <c r="Y66" s="2" t="str">
        <f ca="1">IFERROR(__xludf.DUMMYFUNCTION("INDEX(IMPORTRANGE(""1y0FWgjbB0gVlqn-q5LMJbGIsqOrzru4yowQz67dz2yc"", ""'JUA'!BG3:BG139""),MATCH(D66,IMPORTRANGE(""1y0FWgjbB0gVlqn-q5LMJbGIsqOrzru4yowQz67dz2yc"", ""'JUA'!D3:D139""),0))"),"")</f>
        <v/>
      </c>
      <c r="Z66" s="2"/>
      <c r="AA66" s="156"/>
      <c r="AB66" s="156"/>
      <c r="AC66" s="156"/>
      <c r="AD66" s="263"/>
    </row>
    <row r="67" spans="1:30">
      <c r="A67" s="155" t="s">
        <v>147</v>
      </c>
      <c r="B67" s="155" t="s">
        <v>168</v>
      </c>
      <c r="C67" s="156" t="s">
        <v>36</v>
      </c>
      <c r="D67" s="155" t="s">
        <v>197</v>
      </c>
      <c r="E67" s="155" t="s">
        <v>38</v>
      </c>
      <c r="F67" s="21" t="s">
        <v>198</v>
      </c>
      <c r="G67" s="22" t="s">
        <v>56</v>
      </c>
      <c r="H67" s="22" t="s">
        <v>57</v>
      </c>
      <c r="I67" s="22" t="s">
        <v>58</v>
      </c>
      <c r="J67" s="22" t="s">
        <v>59</v>
      </c>
      <c r="K67" s="22" t="s">
        <v>130</v>
      </c>
      <c r="L67" s="22" t="s">
        <v>61</v>
      </c>
      <c r="M67" s="22" t="s">
        <v>131</v>
      </c>
      <c r="N67" s="22" t="s">
        <v>63</v>
      </c>
      <c r="O67" s="22" t="s">
        <v>132</v>
      </c>
      <c r="P67" s="265">
        <f t="shared" ref="P67:Q67" si="19">P64+P65</f>
        <v>0</v>
      </c>
      <c r="Q67" s="265">
        <f t="shared" si="19"/>
        <v>0</v>
      </c>
      <c r="R67" s="385">
        <f t="shared" ref="R67:R68" si="20">V67/3</f>
        <v>374.7833333333333</v>
      </c>
      <c r="S67" s="385">
        <f t="shared" ref="S67:S68" si="21">R67/2</f>
        <v>187.39166666666665</v>
      </c>
      <c r="T67" s="385">
        <f t="shared" ref="T67:T68" si="22">V67/3</f>
        <v>374.7833333333333</v>
      </c>
      <c r="U67" s="385">
        <f t="shared" ref="U67:U68" si="23">R67/2</f>
        <v>187.39166666666665</v>
      </c>
      <c r="V67" s="385">
        <f>W67</f>
        <v>1124.3499999999999</v>
      </c>
      <c r="W67" s="385">
        <v>1124.3499999999999</v>
      </c>
      <c r="X67" s="265">
        <f>X64+X65</f>
        <v>0</v>
      </c>
      <c r="Y67" s="2">
        <f ca="1">IFERROR(__xludf.DUMMYFUNCTION("INDEX(IMPORTRANGE(""1y0FWgjbB0gVlqn-q5LMJbGIsqOrzru4yowQz67dz2yc"", ""'JUA'!BG3:BG139""),MATCH(D67,IMPORTRANGE(""1y0FWgjbB0gVlqn-q5LMJbGIsqOrzru4yowQz67dz2yc"", ""'JUA'!D3:D139""),0))"),0)</f>
        <v>0</v>
      </c>
      <c r="Z67" s="2"/>
      <c r="AA67" s="156"/>
      <c r="AB67" s="156"/>
      <c r="AC67" s="156"/>
      <c r="AD67" s="263"/>
    </row>
    <row r="68" spans="1:30">
      <c r="A68" s="155" t="s">
        <v>199</v>
      </c>
      <c r="B68" s="155" t="s">
        <v>200</v>
      </c>
      <c r="C68" s="156" t="s">
        <v>36</v>
      </c>
      <c r="D68" s="155" t="s">
        <v>201</v>
      </c>
      <c r="E68" s="155" t="s">
        <v>38</v>
      </c>
      <c r="F68" s="21" t="s">
        <v>202</v>
      </c>
      <c r="G68" s="10">
        <v>44469</v>
      </c>
      <c r="H68" s="10">
        <v>44469</v>
      </c>
      <c r="I68" s="10">
        <v>44651</v>
      </c>
      <c r="J68" s="10">
        <v>44834</v>
      </c>
      <c r="K68" s="10">
        <v>45016</v>
      </c>
      <c r="L68" s="10">
        <v>45199</v>
      </c>
      <c r="M68" s="10">
        <v>45382</v>
      </c>
      <c r="N68" s="10">
        <v>45565</v>
      </c>
      <c r="O68" s="10">
        <v>45565</v>
      </c>
      <c r="P68" s="265">
        <v>0</v>
      </c>
      <c r="Q68" s="265">
        <v>0</v>
      </c>
      <c r="R68" s="385">
        <f t="shared" si="20"/>
        <v>3.2166666666666668</v>
      </c>
      <c r="S68" s="385">
        <f t="shared" si="21"/>
        <v>1.6083333333333334</v>
      </c>
      <c r="T68" s="385">
        <f t="shared" si="22"/>
        <v>3.2166666666666668</v>
      </c>
      <c r="U68" s="385">
        <f t="shared" si="23"/>
        <v>1.6083333333333334</v>
      </c>
      <c r="V68" s="156">
        <f>96.5/10</f>
        <v>9.65</v>
      </c>
      <c r="W68" s="270">
        <f>V68</f>
        <v>9.65</v>
      </c>
      <c r="X68" s="265">
        <v>0.43543999999999999</v>
      </c>
      <c r="Y68" s="24">
        <f ca="1">IFERROR(__xludf.DUMMYFUNCTION("INDEX(IMPORTRANGE(""1y0FWgjbB0gVlqn-q5LMJbGIsqOrzru4yowQz67dz2yc"", ""'JUA'!BG3:BG139""),MATCH(D68,IMPORTRANGE(""1y0FWgjbB0gVlqn-q5LMJbGIsqOrzru4yowQz67dz2yc"", ""'JUA'!D3:D139""),0))"),9.71358)</f>
        <v>9.7135800000000003</v>
      </c>
      <c r="Z68" s="24"/>
      <c r="AA68" s="156"/>
      <c r="AB68" s="156"/>
      <c r="AC68" s="156"/>
      <c r="AD68" s="263"/>
    </row>
    <row r="69" spans="1:30">
      <c r="A69" s="155" t="s">
        <v>199</v>
      </c>
      <c r="B69" s="155" t="s">
        <v>200</v>
      </c>
      <c r="C69" s="156" t="s">
        <v>30</v>
      </c>
      <c r="D69" s="155" t="s">
        <v>203</v>
      </c>
      <c r="E69" s="155" t="s">
        <v>38</v>
      </c>
      <c r="F69" s="21" t="s">
        <v>204</v>
      </c>
      <c r="G69" s="22" t="s">
        <v>56</v>
      </c>
      <c r="H69" s="22" t="s">
        <v>57</v>
      </c>
      <c r="I69" s="22" t="s">
        <v>58</v>
      </c>
      <c r="J69" s="22" t="s">
        <v>59</v>
      </c>
      <c r="K69" s="22" t="s">
        <v>130</v>
      </c>
      <c r="L69" s="22" t="s">
        <v>61</v>
      </c>
      <c r="M69" s="22" t="s">
        <v>131</v>
      </c>
      <c r="N69" s="22" t="s">
        <v>63</v>
      </c>
      <c r="O69" s="22" t="s">
        <v>132</v>
      </c>
      <c r="P69" s="387"/>
      <c r="Q69" s="387"/>
      <c r="R69" s="156"/>
      <c r="S69" s="156"/>
      <c r="T69" s="156"/>
      <c r="U69" s="156"/>
      <c r="V69" s="156"/>
      <c r="W69" s="270"/>
      <c r="X69" s="266">
        <v>435.44</v>
      </c>
      <c r="Y69" s="265">
        <f ca="1">IFERROR(__xludf.DUMMYFUNCTION("INDEX(IMPORTRANGE(""1y0FWgjbB0gVlqn-q5LMJbGIsqOrzru4yowQz67dz2yc"", ""'JUA'!BG3:BG139""),MATCH(D69,IMPORTRANGE(""1y0FWgjbB0gVlqn-q5LMJbGIsqOrzru4yowQz67dz2yc"", ""'JUA'!D3:D139""),0))"),2833.35)</f>
        <v>2833.35</v>
      </c>
      <c r="Z69" s="24"/>
      <c r="AA69" s="156"/>
      <c r="AB69" s="156"/>
      <c r="AC69" s="156"/>
      <c r="AD69" s="263"/>
    </row>
    <row r="70" spans="1:30">
      <c r="A70" s="155" t="s">
        <v>199</v>
      </c>
      <c r="B70" s="155" t="s">
        <v>200</v>
      </c>
      <c r="C70" s="156" t="s">
        <v>30</v>
      </c>
      <c r="D70" s="155" t="s">
        <v>205</v>
      </c>
      <c r="E70" s="155" t="s">
        <v>38</v>
      </c>
      <c r="F70" s="21" t="s">
        <v>206</v>
      </c>
      <c r="G70" s="22" t="s">
        <v>56</v>
      </c>
      <c r="H70" s="22" t="s">
        <v>57</v>
      </c>
      <c r="I70" s="22" t="s">
        <v>58</v>
      </c>
      <c r="J70" s="22" t="s">
        <v>59</v>
      </c>
      <c r="K70" s="22" t="s">
        <v>130</v>
      </c>
      <c r="L70" s="22" t="s">
        <v>61</v>
      </c>
      <c r="M70" s="22" t="s">
        <v>131</v>
      </c>
      <c r="N70" s="22" t="s">
        <v>63</v>
      </c>
      <c r="O70" s="22" t="s">
        <v>132</v>
      </c>
      <c r="P70" s="387"/>
      <c r="Q70" s="387"/>
      <c r="R70" s="156"/>
      <c r="S70" s="156"/>
      <c r="T70" s="156"/>
      <c r="U70" s="156"/>
      <c r="V70" s="156"/>
      <c r="W70" s="358"/>
      <c r="X70" s="22">
        <v>0</v>
      </c>
      <c r="Y70" s="262">
        <f ca="1">IFERROR(__xludf.DUMMYFUNCTION("INDEX(IMPORTRANGE(""1y0FWgjbB0gVlqn-q5LMJbGIsqOrzru4yowQz67dz2yc"", ""'JUA'!BG3:BG139""),MATCH(D70,IMPORTRANGE(""1y0FWgjbB0gVlqn-q5LMJbGIsqOrzru4yowQz67dz2yc"", ""'JUA'!D3:D139""),0))"),1458)</f>
        <v>1458</v>
      </c>
      <c r="Z70" s="262"/>
      <c r="AA70" s="156"/>
      <c r="AB70" s="156"/>
      <c r="AC70" s="156"/>
      <c r="AD70" s="263"/>
    </row>
    <row r="71" spans="1:30">
      <c r="A71" s="155" t="s">
        <v>199</v>
      </c>
      <c r="B71" s="155" t="s">
        <v>200</v>
      </c>
      <c r="C71" s="156" t="s">
        <v>30</v>
      </c>
      <c r="D71" s="155" t="s">
        <v>207</v>
      </c>
      <c r="E71" s="155" t="s">
        <v>38</v>
      </c>
      <c r="F71" s="21" t="s">
        <v>208</v>
      </c>
      <c r="G71" s="22" t="s">
        <v>56</v>
      </c>
      <c r="H71" s="22" t="s">
        <v>57</v>
      </c>
      <c r="I71" s="22" t="s">
        <v>58</v>
      </c>
      <c r="J71" s="22" t="s">
        <v>59</v>
      </c>
      <c r="K71" s="22" t="s">
        <v>130</v>
      </c>
      <c r="L71" s="22" t="s">
        <v>61</v>
      </c>
      <c r="M71" s="22" t="s">
        <v>131</v>
      </c>
      <c r="N71" s="22" t="s">
        <v>63</v>
      </c>
      <c r="O71" s="22" t="s">
        <v>132</v>
      </c>
      <c r="P71" s="387"/>
      <c r="Q71" s="387"/>
      <c r="R71" s="156"/>
      <c r="S71" s="156"/>
      <c r="T71" s="156"/>
      <c r="U71" s="156"/>
      <c r="V71" s="156"/>
      <c r="W71" s="358"/>
      <c r="X71" s="266">
        <v>435.44</v>
      </c>
      <c r="Y71" s="266">
        <f ca="1">IFERROR(__xludf.DUMMYFUNCTION("INDEX(IMPORTRANGE(""1y0FWgjbB0gVlqn-q5LMJbGIsqOrzru4yowQz67dz2yc"", ""'JUA'!BG3:BG139""),MATCH(D71,IMPORTRANGE(""1y0FWgjbB0gVlqn-q5LMJbGIsqOrzru4yowQz67dz2yc"", ""'JUA'!D3:D139""),0))"),435.44)</f>
        <v>435.44</v>
      </c>
      <c r="Z71" s="266"/>
      <c r="AA71" s="156"/>
      <c r="AB71" s="156"/>
      <c r="AC71" s="156"/>
      <c r="AD71" s="263"/>
    </row>
    <row r="72" spans="1:30">
      <c r="A72" s="155" t="s">
        <v>199</v>
      </c>
      <c r="B72" s="155" t="s">
        <v>200</v>
      </c>
      <c r="C72" s="156" t="s">
        <v>36</v>
      </c>
      <c r="D72" s="155" t="s">
        <v>209</v>
      </c>
      <c r="E72" s="155" t="s">
        <v>38</v>
      </c>
      <c r="F72" s="21" t="s">
        <v>210</v>
      </c>
      <c r="G72" s="22" t="s">
        <v>56</v>
      </c>
      <c r="H72" s="22" t="s">
        <v>57</v>
      </c>
      <c r="I72" s="22" t="s">
        <v>58</v>
      </c>
      <c r="J72" s="22" t="s">
        <v>59</v>
      </c>
      <c r="K72" s="22" t="s">
        <v>130</v>
      </c>
      <c r="L72" s="22" t="s">
        <v>61</v>
      </c>
      <c r="M72" s="22" t="s">
        <v>131</v>
      </c>
      <c r="N72" s="22" t="s">
        <v>63</v>
      </c>
      <c r="O72" s="22" t="s">
        <v>132</v>
      </c>
      <c r="P72" s="387"/>
      <c r="Q72" s="387"/>
      <c r="R72" s="385">
        <f>V72/3</f>
        <v>7516.8</v>
      </c>
      <c r="S72" s="385">
        <f>R72/2</f>
        <v>3758.4</v>
      </c>
      <c r="T72" s="385">
        <f>V72/3</f>
        <v>7516.8</v>
      </c>
      <c r="U72" s="385">
        <f>R72/2</f>
        <v>3758.4</v>
      </c>
      <c r="V72" s="270">
        <f>W72</f>
        <v>22550.400000000001</v>
      </c>
      <c r="W72" s="372">
        <f>225504/10</f>
        <v>22550.400000000001</v>
      </c>
      <c r="X72" s="266">
        <f>SUM(X69:X71)</f>
        <v>870.88</v>
      </c>
      <c r="Y72" s="265">
        <f ca="1">IFERROR(__xludf.DUMMYFUNCTION("INDEX(IMPORTRANGE(""1y0FWgjbB0gVlqn-q5LMJbGIsqOrzru4yowQz67dz2yc"", ""'JUA'!BG3:BG139""),MATCH(D72,IMPORTRANGE(""1y0FWgjbB0gVlqn-q5LMJbGIsqOrzru4yowQz67dz2yc"", ""'JUA'!D3:D139""),0))"),4726.79)</f>
        <v>4726.79</v>
      </c>
      <c r="Z72" s="266"/>
      <c r="AA72" s="156"/>
      <c r="AB72" s="156"/>
      <c r="AC72" s="156"/>
      <c r="AD72" s="263"/>
    </row>
    <row r="73" spans="1:30">
      <c r="A73" s="155" t="s">
        <v>199</v>
      </c>
      <c r="B73" s="155" t="s">
        <v>200</v>
      </c>
      <c r="C73" s="156" t="s">
        <v>30</v>
      </c>
      <c r="D73" s="155" t="s">
        <v>211</v>
      </c>
      <c r="E73" s="155" t="s">
        <v>38</v>
      </c>
      <c r="F73" s="21" t="s">
        <v>212</v>
      </c>
      <c r="G73" s="155" t="s">
        <v>213</v>
      </c>
      <c r="H73" s="156" t="s">
        <v>214</v>
      </c>
      <c r="I73" s="155" t="s">
        <v>215</v>
      </c>
      <c r="J73" s="290"/>
      <c r="K73" s="155" t="s">
        <v>216</v>
      </c>
      <c r="L73" s="290"/>
      <c r="M73" s="155" t="s">
        <v>217</v>
      </c>
      <c r="N73" s="156" t="s">
        <v>218</v>
      </c>
      <c r="O73" s="156" t="s">
        <v>218</v>
      </c>
      <c r="P73" s="272">
        <v>23947022.41</v>
      </c>
      <c r="Q73" s="272">
        <v>23947022.41</v>
      </c>
      <c r="R73" s="290"/>
      <c r="S73" s="290"/>
      <c r="T73" s="290"/>
      <c r="U73" s="290"/>
      <c r="V73" s="290"/>
      <c r="W73" s="388"/>
      <c r="X73" s="272">
        <v>23947022.41</v>
      </c>
      <c r="Y73" s="4" t="str">
        <f ca="1">IFERROR(__xludf.DUMMYFUNCTION("INDEX(IMPORTRANGE(""1y0FWgjbB0gVlqn-q5LMJbGIsqOrzru4yowQz67dz2yc"", ""'JUA'!BG3:BG139""),MATCH(D73,IMPORTRANGE(""1y0FWgjbB0gVlqn-q5LMJbGIsqOrzru4yowQz67dz2yc"", ""'JUA'!D3:D139""),0))"),"")</f>
        <v/>
      </c>
      <c r="Z73" s="2"/>
      <c r="AA73" s="156"/>
      <c r="AB73" s="156"/>
      <c r="AC73" s="156"/>
      <c r="AD73" s="263"/>
    </row>
    <row r="74" spans="1:30">
      <c r="A74" s="155" t="s">
        <v>199</v>
      </c>
      <c r="B74" s="155" t="s">
        <v>200</v>
      </c>
      <c r="C74" s="156" t="s">
        <v>30</v>
      </c>
      <c r="D74" s="155" t="s">
        <v>219</v>
      </c>
      <c r="E74" s="155" t="s">
        <v>38</v>
      </c>
      <c r="F74" s="21" t="s">
        <v>220</v>
      </c>
      <c r="G74" s="155" t="s">
        <v>213</v>
      </c>
      <c r="H74" s="156" t="s">
        <v>214</v>
      </c>
      <c r="I74" s="155" t="s">
        <v>215</v>
      </c>
      <c r="J74" s="290"/>
      <c r="K74" s="155" t="s">
        <v>216</v>
      </c>
      <c r="L74" s="290"/>
      <c r="M74" s="155" t="s">
        <v>217</v>
      </c>
      <c r="N74" s="156" t="s">
        <v>218</v>
      </c>
      <c r="O74" s="156" t="s">
        <v>218</v>
      </c>
      <c r="P74" s="272">
        <v>391807.49</v>
      </c>
      <c r="Q74" s="272">
        <v>391807.49</v>
      </c>
      <c r="R74" s="290"/>
      <c r="S74" s="290"/>
      <c r="T74" s="290"/>
      <c r="U74" s="290"/>
      <c r="V74" s="290"/>
      <c r="W74" s="388"/>
      <c r="X74" s="272">
        <v>391807.49</v>
      </c>
      <c r="Y74" s="4" t="str">
        <f ca="1">IFERROR(__xludf.DUMMYFUNCTION("INDEX(IMPORTRANGE(""1y0FWgjbB0gVlqn-q5LMJbGIsqOrzru4yowQz67dz2yc"", ""'JUA'!BG3:BG139""),MATCH(D74,IMPORTRANGE(""1y0FWgjbB0gVlqn-q5LMJbGIsqOrzru4yowQz67dz2yc"", ""'JUA'!D3:D139""),0))"),"")</f>
        <v/>
      </c>
      <c r="Z74" s="2"/>
      <c r="AA74" s="156"/>
      <c r="AB74" s="156"/>
      <c r="AC74" s="156"/>
      <c r="AD74" s="263"/>
    </row>
    <row r="75" spans="1:30">
      <c r="A75" s="155" t="s">
        <v>199</v>
      </c>
      <c r="B75" s="155" t="s">
        <v>200</v>
      </c>
      <c r="C75" s="156" t="s">
        <v>36</v>
      </c>
      <c r="D75" s="155" t="s">
        <v>221</v>
      </c>
      <c r="E75" s="155" t="s">
        <v>38</v>
      </c>
      <c r="F75" s="21" t="s">
        <v>222</v>
      </c>
      <c r="G75" s="155" t="s">
        <v>213</v>
      </c>
      <c r="H75" s="156" t="s">
        <v>214</v>
      </c>
      <c r="I75" s="155" t="s">
        <v>215</v>
      </c>
      <c r="J75" s="290"/>
      <c r="K75" s="155" t="s">
        <v>216</v>
      </c>
      <c r="L75" s="290"/>
      <c r="M75" s="155" t="s">
        <v>217</v>
      </c>
      <c r="N75" s="156" t="s">
        <v>218</v>
      </c>
      <c r="O75" s="156" t="s">
        <v>218</v>
      </c>
      <c r="P75" s="25">
        <f t="shared" ref="P75:Q75" si="24">P74/P73</f>
        <v>1.636142829333077E-2</v>
      </c>
      <c r="Q75" s="25">
        <f t="shared" si="24"/>
        <v>1.636142829333077E-2</v>
      </c>
      <c r="R75" s="156"/>
      <c r="S75" s="156"/>
      <c r="T75" s="156"/>
      <c r="U75" s="156"/>
      <c r="V75" s="156"/>
      <c r="W75" s="380"/>
      <c r="X75" s="25">
        <f>X74/X73</f>
        <v>1.636142829333077E-2</v>
      </c>
      <c r="Y75" s="4" t="str">
        <f ca="1">IFERROR(__xludf.DUMMYFUNCTION("INDEX(IMPORTRANGE(""1y0FWgjbB0gVlqn-q5LMJbGIsqOrzru4yowQz67dz2yc"", ""'JUA'!BG3:BG139""),MATCH(D75,IMPORTRANGE(""1y0FWgjbB0gVlqn-q5LMJbGIsqOrzru4yowQz67dz2yc"", ""'JUA'!D3:D139""),0))"),"")</f>
        <v/>
      </c>
      <c r="Z75" s="2"/>
      <c r="AA75" s="156"/>
      <c r="AB75" s="156"/>
      <c r="AC75" s="156"/>
      <c r="AD75" s="263"/>
    </row>
    <row r="76" spans="1:30">
      <c r="A76" s="155" t="s">
        <v>199</v>
      </c>
      <c r="B76" s="155" t="s">
        <v>200</v>
      </c>
      <c r="C76" s="156" t="s">
        <v>30</v>
      </c>
      <c r="D76" s="155" t="s">
        <v>223</v>
      </c>
      <c r="E76" s="155" t="s">
        <v>38</v>
      </c>
      <c r="F76" s="21" t="s">
        <v>224</v>
      </c>
      <c r="G76" s="22" t="s">
        <v>56</v>
      </c>
      <c r="H76" s="22" t="s">
        <v>57</v>
      </c>
      <c r="I76" s="22" t="s">
        <v>58</v>
      </c>
      <c r="J76" s="22" t="s">
        <v>59</v>
      </c>
      <c r="K76" s="22" t="s">
        <v>130</v>
      </c>
      <c r="L76" s="22" t="s">
        <v>61</v>
      </c>
      <c r="M76" s="22" t="s">
        <v>131</v>
      </c>
      <c r="N76" s="22" t="s">
        <v>63</v>
      </c>
      <c r="O76" s="22" t="s">
        <v>132</v>
      </c>
      <c r="P76" s="262">
        <v>0</v>
      </c>
      <c r="Q76" s="262">
        <v>0</v>
      </c>
      <c r="R76" s="156"/>
      <c r="S76" s="156"/>
      <c r="T76" s="156"/>
      <c r="U76" s="156"/>
      <c r="V76" s="156"/>
      <c r="W76" s="358"/>
      <c r="X76" s="22">
        <v>0</v>
      </c>
      <c r="Y76" s="262">
        <f ca="1">IFERROR(__xludf.DUMMYFUNCTION("INDEX(IMPORTRANGE(""1y0FWgjbB0gVlqn-q5LMJbGIsqOrzru4yowQz67dz2yc"", ""'JUA'!BG3:BG139""),MATCH(D76,IMPORTRANGE(""1y0FWgjbB0gVlqn-q5LMJbGIsqOrzru4yowQz67dz2yc"", ""'JUA'!D3:D139""),0))"),0)</f>
        <v>0</v>
      </c>
      <c r="Z76" s="262"/>
      <c r="AA76" s="156"/>
      <c r="AB76" s="156"/>
      <c r="AC76" s="156"/>
      <c r="AD76" s="263"/>
    </row>
    <row r="77" spans="1:30">
      <c r="A77" s="155" t="s">
        <v>199</v>
      </c>
      <c r="B77" s="155" t="s">
        <v>200</v>
      </c>
      <c r="C77" s="156" t="s">
        <v>30</v>
      </c>
      <c r="D77" s="155" t="s">
        <v>225</v>
      </c>
      <c r="E77" s="155" t="s">
        <v>38</v>
      </c>
      <c r="F77" s="21" t="s">
        <v>182</v>
      </c>
      <c r="G77" s="22" t="s">
        <v>56</v>
      </c>
      <c r="H77" s="22" t="s">
        <v>57</v>
      </c>
      <c r="I77" s="22" t="s">
        <v>58</v>
      </c>
      <c r="J77" s="22" t="s">
        <v>59</v>
      </c>
      <c r="K77" s="22" t="s">
        <v>130</v>
      </c>
      <c r="L77" s="22" t="s">
        <v>61</v>
      </c>
      <c r="M77" s="22" t="s">
        <v>131</v>
      </c>
      <c r="N77" s="22" t="s">
        <v>63</v>
      </c>
      <c r="O77" s="22" t="s">
        <v>132</v>
      </c>
      <c r="P77" s="262">
        <v>0</v>
      </c>
      <c r="Q77" s="262">
        <v>0</v>
      </c>
      <c r="R77" s="156"/>
      <c r="S77" s="156"/>
      <c r="T77" s="156"/>
      <c r="U77" s="156"/>
      <c r="V77" s="156"/>
      <c r="W77" s="358"/>
      <c r="X77" s="22">
        <v>0</v>
      </c>
      <c r="Y77" s="262">
        <f ca="1">IFERROR(__xludf.DUMMYFUNCTION("INDEX(IMPORTRANGE(""1y0FWgjbB0gVlqn-q5LMJbGIsqOrzru4yowQz67dz2yc"", ""'JUA'!BG3:BG139""),MATCH(D77,IMPORTRANGE(""1y0FWgjbB0gVlqn-q5LMJbGIsqOrzru4yowQz67dz2yc"", ""'JUA'!D3:D139""),0))"),0)</f>
        <v>0</v>
      </c>
      <c r="Z77" s="262"/>
      <c r="AA77" s="156"/>
      <c r="AB77" s="156"/>
      <c r="AC77" s="156"/>
      <c r="AD77" s="263"/>
    </row>
    <row r="78" spans="1:30">
      <c r="A78" s="155" t="s">
        <v>199</v>
      </c>
      <c r="B78" s="155" t="s">
        <v>200</v>
      </c>
      <c r="C78" s="156" t="s">
        <v>36</v>
      </c>
      <c r="D78" s="155" t="s">
        <v>226</v>
      </c>
      <c r="E78" s="155" t="s">
        <v>38</v>
      </c>
      <c r="F78" s="21" t="s">
        <v>227</v>
      </c>
      <c r="G78" s="22" t="s">
        <v>56</v>
      </c>
      <c r="H78" s="22" t="s">
        <v>57</v>
      </c>
      <c r="I78" s="22" t="s">
        <v>58</v>
      </c>
      <c r="J78" s="22" t="s">
        <v>59</v>
      </c>
      <c r="K78" s="22" t="s">
        <v>130</v>
      </c>
      <c r="L78" s="22" t="s">
        <v>61</v>
      </c>
      <c r="M78" s="22" t="s">
        <v>131</v>
      </c>
      <c r="N78" s="22" t="s">
        <v>63</v>
      </c>
      <c r="O78" s="22" t="s">
        <v>132</v>
      </c>
      <c r="P78" s="262">
        <f t="shared" ref="P78:Q78" si="25">P76+P77</f>
        <v>0</v>
      </c>
      <c r="Q78" s="262">
        <f t="shared" si="25"/>
        <v>0</v>
      </c>
      <c r="R78" s="385">
        <f>V78/3</f>
        <v>24.400000000000002</v>
      </c>
      <c r="S78" s="385">
        <f>R78/2</f>
        <v>12.200000000000001</v>
      </c>
      <c r="T78" s="385">
        <f>V78/3</f>
        <v>24.400000000000002</v>
      </c>
      <c r="U78" s="385">
        <f>R78/2</f>
        <v>12.200000000000001</v>
      </c>
      <c r="V78" s="358">
        <f>W78</f>
        <v>73.2</v>
      </c>
      <c r="W78" s="373">
        <f>732/10</f>
        <v>73.2</v>
      </c>
      <c r="X78" s="22">
        <v>0</v>
      </c>
      <c r="Y78" s="262">
        <f ca="1">IFERROR(__xludf.DUMMYFUNCTION("INDEX(IMPORTRANGE(""1y0FWgjbB0gVlqn-q5LMJbGIsqOrzru4yowQz67dz2yc"", ""'JUA'!BG3:BG139""),MATCH(D78,IMPORTRANGE(""1y0FWgjbB0gVlqn-q5LMJbGIsqOrzru4yowQz67dz2yc"", ""'JUA'!D3:D139""),0))"),0)</f>
        <v>0</v>
      </c>
      <c r="Z78" s="262"/>
      <c r="AA78" s="156"/>
      <c r="AB78" s="156"/>
      <c r="AC78" s="156"/>
      <c r="AD78" s="263"/>
    </row>
    <row r="79" spans="1:30">
      <c r="A79" s="155" t="s">
        <v>199</v>
      </c>
      <c r="B79" s="155" t="s">
        <v>228</v>
      </c>
      <c r="C79" s="156" t="s">
        <v>30</v>
      </c>
      <c r="D79" s="383" t="s">
        <v>229</v>
      </c>
      <c r="E79" s="155" t="s">
        <v>38</v>
      </c>
      <c r="F79" s="21" t="s">
        <v>230</v>
      </c>
      <c r="G79" s="22" t="s">
        <v>231</v>
      </c>
      <c r="H79" s="22" t="s">
        <v>232</v>
      </c>
      <c r="I79" s="22" t="s">
        <v>58</v>
      </c>
      <c r="J79" s="22" t="s">
        <v>59</v>
      </c>
      <c r="K79" s="22" t="s">
        <v>130</v>
      </c>
      <c r="L79" s="22" t="s">
        <v>61</v>
      </c>
      <c r="M79" s="22" t="s">
        <v>131</v>
      </c>
      <c r="N79" s="22" t="s">
        <v>63</v>
      </c>
      <c r="O79" s="22" t="s">
        <v>63</v>
      </c>
      <c r="P79" s="262">
        <v>46</v>
      </c>
      <c r="Q79" s="262">
        <v>70</v>
      </c>
      <c r="R79" s="290"/>
      <c r="S79" s="290"/>
      <c r="T79" s="290"/>
      <c r="U79" s="290"/>
      <c r="V79" s="290"/>
      <c r="W79" s="377"/>
      <c r="X79" s="365">
        <v>0</v>
      </c>
      <c r="Y79" s="262">
        <f ca="1">IFERROR(__xludf.DUMMYFUNCTION("INDEX(IMPORTRANGE(""1y0FWgjbB0gVlqn-q5LMJbGIsqOrzru4yowQz67dz2yc"", ""'JUA'!BG3:BG139""),MATCH(D79,IMPORTRANGE(""1y0FWgjbB0gVlqn-q5LMJbGIsqOrzru4yowQz67dz2yc"", ""'JUA'!D3:D139""),0))"),30)</f>
        <v>30</v>
      </c>
      <c r="Z79" s="262"/>
      <c r="AA79" s="156"/>
      <c r="AB79" s="156"/>
      <c r="AC79" s="156"/>
      <c r="AD79" s="263"/>
    </row>
    <row r="80" spans="1:30">
      <c r="A80" s="155" t="s">
        <v>199</v>
      </c>
      <c r="B80" s="155" t="s">
        <v>228</v>
      </c>
      <c r="C80" s="156" t="s">
        <v>30</v>
      </c>
      <c r="D80" s="383" t="s">
        <v>233</v>
      </c>
      <c r="E80" s="155" t="s">
        <v>38</v>
      </c>
      <c r="F80" s="21" t="s">
        <v>234</v>
      </c>
      <c r="G80" s="22" t="s">
        <v>231</v>
      </c>
      <c r="H80" s="22" t="s">
        <v>232</v>
      </c>
      <c r="I80" s="22" t="s">
        <v>58</v>
      </c>
      <c r="J80" s="22" t="s">
        <v>59</v>
      </c>
      <c r="K80" s="22" t="s">
        <v>130</v>
      </c>
      <c r="L80" s="22" t="s">
        <v>61</v>
      </c>
      <c r="M80" s="22" t="s">
        <v>131</v>
      </c>
      <c r="N80" s="22" t="s">
        <v>63</v>
      </c>
      <c r="O80" s="22" t="s">
        <v>63</v>
      </c>
      <c r="P80" s="262">
        <v>4</v>
      </c>
      <c r="Q80" s="262">
        <v>8</v>
      </c>
      <c r="R80" s="290"/>
      <c r="S80" s="290"/>
      <c r="T80" s="290"/>
      <c r="U80" s="290"/>
      <c r="V80" s="290"/>
      <c r="W80" s="377"/>
      <c r="X80" s="365">
        <v>0</v>
      </c>
      <c r="Y80" s="262">
        <f ca="1">IFERROR(__xludf.DUMMYFUNCTION("INDEX(IMPORTRANGE(""1y0FWgjbB0gVlqn-q5LMJbGIsqOrzru4yowQz67dz2yc"", ""'JUA'!BG3:BG139""),MATCH(D80,IMPORTRANGE(""1y0FWgjbB0gVlqn-q5LMJbGIsqOrzru4yowQz67dz2yc"", ""'JUA'!D3:D139""),0))"),2)</f>
        <v>2</v>
      </c>
      <c r="Z80" s="262"/>
      <c r="AA80" s="156"/>
      <c r="AB80" s="156"/>
      <c r="AC80" s="156"/>
      <c r="AD80" s="263"/>
    </row>
    <row r="81" spans="1:30">
      <c r="A81" s="155" t="s">
        <v>199</v>
      </c>
      <c r="B81" s="155" t="s">
        <v>228</v>
      </c>
      <c r="C81" s="156" t="s">
        <v>30</v>
      </c>
      <c r="D81" s="383" t="s">
        <v>235</v>
      </c>
      <c r="E81" s="155" t="s">
        <v>38</v>
      </c>
      <c r="F81" s="21" t="s">
        <v>236</v>
      </c>
      <c r="G81" s="22" t="s">
        <v>231</v>
      </c>
      <c r="H81" s="22" t="s">
        <v>232</v>
      </c>
      <c r="I81" s="22" t="s">
        <v>58</v>
      </c>
      <c r="J81" s="22" t="s">
        <v>59</v>
      </c>
      <c r="K81" s="22" t="s">
        <v>130</v>
      </c>
      <c r="L81" s="22" t="s">
        <v>61</v>
      </c>
      <c r="M81" s="22" t="s">
        <v>131</v>
      </c>
      <c r="N81" s="22" t="s">
        <v>63</v>
      </c>
      <c r="O81" s="22" t="s">
        <v>63</v>
      </c>
      <c r="P81" s="262">
        <v>326</v>
      </c>
      <c r="Q81" s="262">
        <v>665</v>
      </c>
      <c r="R81" s="290"/>
      <c r="S81" s="290"/>
      <c r="T81" s="290"/>
      <c r="U81" s="290"/>
      <c r="V81" s="290"/>
      <c r="W81" s="377"/>
      <c r="X81" s="365">
        <v>0</v>
      </c>
      <c r="Y81" s="262">
        <f ca="1">IFERROR(__xludf.DUMMYFUNCTION("INDEX(IMPORTRANGE(""1y0FWgjbB0gVlqn-q5LMJbGIsqOrzru4yowQz67dz2yc"", ""'JUA'!BG3:BG139""),MATCH(D81,IMPORTRANGE(""1y0FWgjbB0gVlqn-q5LMJbGIsqOrzru4yowQz67dz2yc"", ""'JUA'!D3:D139""),0))"),337)</f>
        <v>337</v>
      </c>
      <c r="Z81" s="262"/>
      <c r="AA81" s="156"/>
      <c r="AB81" s="156"/>
      <c r="AC81" s="156"/>
      <c r="AD81" s="263"/>
    </row>
    <row r="82" spans="1:30">
      <c r="A82" s="155" t="s">
        <v>199</v>
      </c>
      <c r="B82" s="155" t="s">
        <v>228</v>
      </c>
      <c r="C82" s="156" t="s">
        <v>30</v>
      </c>
      <c r="D82" s="383" t="s">
        <v>237</v>
      </c>
      <c r="E82" s="155" t="s">
        <v>38</v>
      </c>
      <c r="F82" s="21" t="s">
        <v>238</v>
      </c>
      <c r="G82" s="22" t="s">
        <v>231</v>
      </c>
      <c r="H82" s="22" t="s">
        <v>232</v>
      </c>
      <c r="I82" s="22" t="s">
        <v>58</v>
      </c>
      <c r="J82" s="22" t="s">
        <v>59</v>
      </c>
      <c r="K82" s="22" t="s">
        <v>130</v>
      </c>
      <c r="L82" s="22" t="s">
        <v>61</v>
      </c>
      <c r="M82" s="22" t="s">
        <v>131</v>
      </c>
      <c r="N82" s="22" t="s">
        <v>63</v>
      </c>
      <c r="O82" s="22" t="s">
        <v>63</v>
      </c>
      <c r="P82" s="262">
        <v>59</v>
      </c>
      <c r="Q82" s="262">
        <v>109</v>
      </c>
      <c r="R82" s="290"/>
      <c r="S82" s="290"/>
      <c r="T82" s="290"/>
      <c r="U82" s="290"/>
      <c r="V82" s="290"/>
      <c r="W82" s="377"/>
      <c r="X82" s="365">
        <v>0</v>
      </c>
      <c r="Y82" s="262">
        <f ca="1">IFERROR(__xludf.DUMMYFUNCTION("INDEX(IMPORTRANGE(""1y0FWgjbB0gVlqn-q5LMJbGIsqOrzru4yowQz67dz2yc"", ""'JUA'!BG3:BG139""),MATCH(D82,IMPORTRANGE(""1y0FWgjbB0gVlqn-q5LMJbGIsqOrzru4yowQz67dz2yc"", ""'JUA'!D3:D139""),0))"),104)</f>
        <v>104</v>
      </c>
      <c r="Z82" s="262"/>
      <c r="AA82" s="156"/>
      <c r="AB82" s="156"/>
      <c r="AC82" s="156"/>
      <c r="AD82" s="263"/>
    </row>
    <row r="83" spans="1:30">
      <c r="A83" s="155" t="s">
        <v>199</v>
      </c>
      <c r="B83" s="155" t="s">
        <v>228</v>
      </c>
      <c r="C83" s="156" t="s">
        <v>30</v>
      </c>
      <c r="D83" s="383" t="s">
        <v>239</v>
      </c>
      <c r="E83" s="155" t="s">
        <v>38</v>
      </c>
      <c r="F83" s="21" t="s">
        <v>240</v>
      </c>
      <c r="G83" s="22" t="s">
        <v>231</v>
      </c>
      <c r="H83" s="22" t="s">
        <v>232</v>
      </c>
      <c r="I83" s="22" t="s">
        <v>58</v>
      </c>
      <c r="J83" s="22" t="s">
        <v>59</v>
      </c>
      <c r="K83" s="22" t="s">
        <v>130</v>
      </c>
      <c r="L83" s="22" t="s">
        <v>61</v>
      </c>
      <c r="M83" s="22" t="s">
        <v>131</v>
      </c>
      <c r="N83" s="22" t="s">
        <v>63</v>
      </c>
      <c r="O83" s="22" t="s">
        <v>63</v>
      </c>
      <c r="P83" s="262">
        <v>167</v>
      </c>
      <c r="Q83" s="262">
        <v>341</v>
      </c>
      <c r="R83" s="290"/>
      <c r="S83" s="290"/>
      <c r="T83" s="290"/>
      <c r="U83" s="290"/>
      <c r="V83" s="290"/>
      <c r="W83" s="377"/>
      <c r="X83" s="365">
        <v>0</v>
      </c>
      <c r="Y83" s="262">
        <f ca="1">IFERROR(__xludf.DUMMYFUNCTION("INDEX(IMPORTRANGE(""1y0FWgjbB0gVlqn-q5LMJbGIsqOrzru4yowQz67dz2yc"", ""'JUA'!BG3:BG139""),MATCH(D83,IMPORTRANGE(""1y0FWgjbB0gVlqn-q5LMJbGIsqOrzru4yowQz67dz2yc"", ""'JUA'!D3:D139""),0))"),361)</f>
        <v>361</v>
      </c>
      <c r="Z83" s="262"/>
      <c r="AA83" s="156"/>
      <c r="AB83" s="156"/>
      <c r="AC83" s="156"/>
      <c r="AD83" s="263"/>
    </row>
    <row r="84" spans="1:30">
      <c r="A84" s="155" t="s">
        <v>199</v>
      </c>
      <c r="B84" s="155" t="s">
        <v>228</v>
      </c>
      <c r="C84" s="156" t="s">
        <v>36</v>
      </c>
      <c r="D84" s="383" t="s">
        <v>241</v>
      </c>
      <c r="E84" s="155" t="s">
        <v>38</v>
      </c>
      <c r="F84" s="22" t="s">
        <v>242</v>
      </c>
      <c r="G84" s="22" t="s">
        <v>231</v>
      </c>
      <c r="H84" s="22" t="s">
        <v>232</v>
      </c>
      <c r="I84" s="22" t="s">
        <v>58</v>
      </c>
      <c r="J84" s="22" t="s">
        <v>59</v>
      </c>
      <c r="K84" s="22" t="s">
        <v>130</v>
      </c>
      <c r="L84" s="22" t="s">
        <v>61</v>
      </c>
      <c r="M84" s="22" t="s">
        <v>131</v>
      </c>
      <c r="N84" s="22" t="s">
        <v>63</v>
      </c>
      <c r="O84" s="22" t="s">
        <v>63</v>
      </c>
      <c r="P84" s="262">
        <f>SUM(P79:P83)</f>
        <v>602</v>
      </c>
      <c r="Q84" s="262">
        <v>1193</v>
      </c>
      <c r="R84" s="368">
        <f>Q84*(1-AD84*1/3)</f>
        <v>1173.1166666666666</v>
      </c>
      <c r="S84" s="368">
        <f>P84*(1-AD84*2/3)</f>
        <v>581.93333333333339</v>
      </c>
      <c r="T84" s="368">
        <f>Q84*(1-AD84*2/3)</f>
        <v>1153.2333333333333</v>
      </c>
      <c r="U84" s="368">
        <f>P84*(1-AD84)</f>
        <v>571.9</v>
      </c>
      <c r="V84" s="266">
        <f t="shared" ref="V84:V85" si="26">W84</f>
        <v>1133.3499999999999</v>
      </c>
      <c r="W84" s="266">
        <f>Q84*(1-AD84)</f>
        <v>1133.3499999999999</v>
      </c>
      <c r="X84" s="364">
        <f>SUM(X79:X83)</f>
        <v>0</v>
      </c>
      <c r="Y84" s="262">
        <f ca="1">IFERROR(__xludf.DUMMYFUNCTION("INDEX(IMPORTRANGE(""1y0FWgjbB0gVlqn-q5LMJbGIsqOrzru4yowQz67dz2yc"", ""'JUA'!BG3:BG139""),MATCH(D84,IMPORTRANGE(""1y0FWgjbB0gVlqn-q5LMJbGIsqOrzru4yowQz67dz2yc"", ""'JUA'!D3:D139""),0))"),834)</f>
        <v>834</v>
      </c>
      <c r="Z84" s="262"/>
      <c r="AA84" s="156"/>
      <c r="AB84" s="156"/>
      <c r="AC84" s="156"/>
      <c r="AD84" s="389">
        <v>0.05</v>
      </c>
    </row>
    <row r="85" spans="1:30">
      <c r="A85" s="155" t="s">
        <v>243</v>
      </c>
      <c r="B85" s="155" t="s">
        <v>244</v>
      </c>
      <c r="C85" s="156" t="s">
        <v>36</v>
      </c>
      <c r="D85" s="155" t="s">
        <v>338</v>
      </c>
      <c r="E85" s="155" t="s">
        <v>38</v>
      </c>
      <c r="F85" s="21" t="s">
        <v>246</v>
      </c>
      <c r="G85" s="22" t="s">
        <v>56</v>
      </c>
      <c r="H85" s="22" t="s">
        <v>57</v>
      </c>
      <c r="I85" s="22" t="s">
        <v>58</v>
      </c>
      <c r="J85" s="22" t="s">
        <v>59</v>
      </c>
      <c r="K85" s="22" t="s">
        <v>130</v>
      </c>
      <c r="L85" s="22" t="s">
        <v>61</v>
      </c>
      <c r="M85" s="22" t="s">
        <v>131</v>
      </c>
      <c r="N85" s="22" t="s">
        <v>63</v>
      </c>
      <c r="O85" s="22" t="s">
        <v>132</v>
      </c>
      <c r="P85" s="262">
        <v>0</v>
      </c>
      <c r="Q85" s="262">
        <v>0</v>
      </c>
      <c r="R85" s="385">
        <f>V85/3</f>
        <v>42.166666666666664</v>
      </c>
      <c r="S85" s="385">
        <f>R85/2</f>
        <v>21.083333333333332</v>
      </c>
      <c r="T85" s="385">
        <f>V85/3</f>
        <v>42.166666666666664</v>
      </c>
      <c r="U85" s="385">
        <f>R85/2</f>
        <v>21.083333333333332</v>
      </c>
      <c r="V85" s="358">
        <f t="shared" si="26"/>
        <v>126.5</v>
      </c>
      <c r="W85" s="358">
        <f>1265/10</f>
        <v>126.5</v>
      </c>
      <c r="X85" s="22">
        <v>0</v>
      </c>
      <c r="Y85" s="262">
        <f ca="1">IFERROR(__xludf.DUMMYFUNCTION("INDEX(IMPORTRANGE(""1y0FWgjbB0gVlqn-q5LMJbGIsqOrzru4yowQz67dz2yc"", ""'JUA'!BG3:BG139""),MATCH(D85,IMPORTRANGE(""1y0FWgjbB0gVlqn-q5LMJbGIsqOrzru4yowQz67dz2yc"", ""'JUA'!D3:D139""),0))"),1796)</f>
        <v>1796</v>
      </c>
      <c r="Z85" s="262"/>
      <c r="AA85" s="156"/>
      <c r="AB85" s="156"/>
      <c r="AC85" s="156"/>
      <c r="AD85" s="263"/>
    </row>
    <row r="86" spans="1:30">
      <c r="A86" s="155" t="s">
        <v>243</v>
      </c>
      <c r="B86" s="155" t="s">
        <v>247</v>
      </c>
      <c r="C86" s="156" t="s">
        <v>36</v>
      </c>
      <c r="D86" s="155" t="s">
        <v>248</v>
      </c>
      <c r="E86" s="155" t="s">
        <v>38</v>
      </c>
      <c r="F86" s="21" t="s">
        <v>249</v>
      </c>
      <c r="G86" s="10">
        <v>44469</v>
      </c>
      <c r="H86" s="10">
        <v>44469</v>
      </c>
      <c r="I86" s="10" t="s">
        <v>254</v>
      </c>
      <c r="J86" s="10">
        <v>44713</v>
      </c>
      <c r="K86" s="10" t="s">
        <v>255</v>
      </c>
      <c r="L86" s="10">
        <v>45078</v>
      </c>
      <c r="M86" s="10" t="s">
        <v>256</v>
      </c>
      <c r="N86" s="10">
        <v>45444</v>
      </c>
      <c r="O86" s="10">
        <v>45444</v>
      </c>
      <c r="P86" s="262">
        <v>0</v>
      </c>
      <c r="Q86" s="262">
        <v>0</v>
      </c>
      <c r="R86" s="156">
        <v>3</v>
      </c>
      <c r="S86" s="156">
        <f t="shared" ref="S86:U86" si="27">4+R86</f>
        <v>7</v>
      </c>
      <c r="T86" s="156">
        <f t="shared" si="27"/>
        <v>11</v>
      </c>
      <c r="U86" s="156">
        <f t="shared" si="27"/>
        <v>15</v>
      </c>
      <c r="V86" s="156">
        <v>17</v>
      </c>
      <c r="W86" s="358">
        <v>17</v>
      </c>
      <c r="X86" s="22">
        <v>0</v>
      </c>
      <c r="Y86" s="262">
        <f ca="1">IFERROR(__xludf.DUMMYFUNCTION("INDEX(IMPORTRANGE(""1y0FWgjbB0gVlqn-q5LMJbGIsqOrzru4yowQz67dz2yc"", ""'JUA'!BG3:BG139""),MATCH(D86,IMPORTRANGE(""1y0FWgjbB0gVlqn-q5LMJbGIsqOrzru4yowQz67dz2yc"", ""'JUA'!D3:D139""),0))"),0)</f>
        <v>0</v>
      </c>
      <c r="Z86" s="262"/>
      <c r="AA86" s="156"/>
      <c r="AB86" s="156"/>
      <c r="AC86" s="156"/>
      <c r="AD86" s="263"/>
    </row>
    <row r="87" spans="1:30">
      <c r="A87" s="155" t="s">
        <v>243</v>
      </c>
      <c r="B87" s="155" t="s">
        <v>250</v>
      </c>
      <c r="C87" s="156" t="s">
        <v>36</v>
      </c>
      <c r="D87" s="155" t="s">
        <v>251</v>
      </c>
      <c r="E87" s="155" t="s">
        <v>252</v>
      </c>
      <c r="F87" s="21" t="s">
        <v>253</v>
      </c>
      <c r="G87" s="10">
        <v>44469</v>
      </c>
      <c r="H87" s="10">
        <v>44469</v>
      </c>
      <c r="I87" s="10">
        <v>44651</v>
      </c>
      <c r="J87" s="10">
        <v>44834</v>
      </c>
      <c r="K87" s="10">
        <v>45016</v>
      </c>
      <c r="L87" s="10">
        <v>45199</v>
      </c>
      <c r="M87" s="10">
        <v>45382</v>
      </c>
      <c r="N87" s="10">
        <v>45565</v>
      </c>
      <c r="O87" s="10">
        <v>45565</v>
      </c>
      <c r="P87" s="262">
        <v>86.3</v>
      </c>
      <c r="Q87" s="262">
        <v>86.3</v>
      </c>
      <c r="R87" s="39">
        <v>100</v>
      </c>
      <c r="S87" s="39">
        <v>100</v>
      </c>
      <c r="T87" s="39">
        <v>100</v>
      </c>
      <c r="U87" s="39">
        <v>100</v>
      </c>
      <c r="V87" s="39">
        <v>100</v>
      </c>
      <c r="W87" s="374">
        <v>100</v>
      </c>
      <c r="X87" s="22">
        <v>98.8</v>
      </c>
      <c r="Y87" s="266">
        <f ca="1">IFERROR(__xludf.DUMMYFUNCTION("INDEX(IMPORTRANGE(""1y0FWgjbB0gVlqn-q5LMJbGIsqOrzru4yowQz67dz2yc"", ""'JUA'!BG3:BG139""),MATCH(D87,IMPORTRANGE(""1y0FWgjbB0gVlqn-q5LMJbGIsqOrzru4yowQz67dz2yc"", ""'JUA'!D3:D139""),0))"),93.71)</f>
        <v>93.71</v>
      </c>
      <c r="Z87" s="266"/>
      <c r="AA87" s="156"/>
      <c r="AB87" s="156"/>
      <c r="AC87" s="156"/>
      <c r="AD87" s="263"/>
    </row>
    <row r="88" spans="1:30">
      <c r="A88" s="155" t="s">
        <v>243</v>
      </c>
      <c r="B88" s="155" t="s">
        <v>257</v>
      </c>
      <c r="C88" s="156" t="s">
        <v>36</v>
      </c>
      <c r="D88" s="155" t="s">
        <v>258</v>
      </c>
      <c r="E88" s="155" t="s">
        <v>38</v>
      </c>
      <c r="F88" s="21" t="s">
        <v>259</v>
      </c>
      <c r="G88" s="10">
        <v>44469</v>
      </c>
      <c r="H88" s="324"/>
      <c r="I88" s="10">
        <v>44651</v>
      </c>
      <c r="J88" s="324"/>
      <c r="K88" s="10">
        <v>45016</v>
      </c>
      <c r="L88" s="324"/>
      <c r="M88" s="10">
        <v>45382</v>
      </c>
      <c r="N88" s="324"/>
      <c r="O88" s="10">
        <v>45565</v>
      </c>
      <c r="P88" s="262">
        <v>0</v>
      </c>
      <c r="Q88" s="262">
        <v>0</v>
      </c>
      <c r="R88" s="39">
        <v>4</v>
      </c>
      <c r="S88" s="39">
        <v>4</v>
      </c>
      <c r="T88" s="39">
        <v>4</v>
      </c>
      <c r="U88" s="39">
        <v>4</v>
      </c>
      <c r="V88" s="39">
        <v>4</v>
      </c>
      <c r="W88" s="39">
        <v>4</v>
      </c>
      <c r="X88" s="22">
        <v>0</v>
      </c>
      <c r="Y88" s="22">
        <f ca="1">IFERROR(__xludf.DUMMYFUNCTION("INDEX(IMPORTRANGE(""1y0FWgjbB0gVlqn-q5LMJbGIsqOrzru4yowQz67dz2yc"", ""'JUA'!BG3:BG139""),MATCH(D88,IMPORTRANGE(""1y0FWgjbB0gVlqn-q5LMJbGIsqOrzru4yowQz67dz2yc"", ""'JUA'!D3:D139""),0))"),0)</f>
        <v>0</v>
      </c>
      <c r="Z88" s="22"/>
      <c r="AA88" s="156"/>
      <c r="AB88" s="156"/>
      <c r="AC88" s="156"/>
      <c r="AD88" s="263"/>
    </row>
    <row r="89" spans="1:30">
      <c r="A89" s="155" t="s">
        <v>243</v>
      </c>
      <c r="B89" s="155" t="s">
        <v>260</v>
      </c>
      <c r="C89" s="156" t="s">
        <v>30</v>
      </c>
      <c r="D89" s="155" t="s">
        <v>261</v>
      </c>
      <c r="E89" s="155" t="s">
        <v>38</v>
      </c>
      <c r="F89" s="21" t="s">
        <v>262</v>
      </c>
      <c r="G89" s="10">
        <v>44469</v>
      </c>
      <c r="H89" s="290"/>
      <c r="I89" s="10">
        <v>44651</v>
      </c>
      <c r="J89" s="290"/>
      <c r="K89" s="10">
        <v>45016</v>
      </c>
      <c r="L89" s="290"/>
      <c r="M89" s="10">
        <v>45382</v>
      </c>
      <c r="N89" s="290"/>
      <c r="O89" s="10">
        <v>45565</v>
      </c>
      <c r="P89" s="387"/>
      <c r="Q89" s="387"/>
      <c r="R89" s="290"/>
      <c r="S89" s="290"/>
      <c r="T89" s="290"/>
      <c r="U89" s="290"/>
      <c r="V89" s="290"/>
      <c r="W89" s="290"/>
      <c r="X89" s="22">
        <v>4</v>
      </c>
      <c r="Y89" s="22">
        <f ca="1">IFERROR(__xludf.DUMMYFUNCTION("INDEX(IMPORTRANGE(""1y0FWgjbB0gVlqn-q5LMJbGIsqOrzru4yowQz67dz2yc"", ""'JUA'!BG3:BG139""),MATCH(D89,IMPORTRANGE(""1y0FWgjbB0gVlqn-q5LMJbGIsqOrzru4yowQz67dz2yc"", ""'JUA'!D3:D139""),0))"),4)</f>
        <v>4</v>
      </c>
      <c r="Z89" s="22"/>
      <c r="AA89" s="156"/>
      <c r="AB89" s="156"/>
      <c r="AC89" s="156"/>
      <c r="AD89" s="263"/>
    </row>
    <row r="90" spans="1:30">
      <c r="A90" s="155" t="s">
        <v>243</v>
      </c>
      <c r="B90" s="155" t="s">
        <v>260</v>
      </c>
      <c r="C90" s="156" t="s">
        <v>30</v>
      </c>
      <c r="D90" s="155" t="s">
        <v>263</v>
      </c>
      <c r="E90" s="155" t="s">
        <v>38</v>
      </c>
      <c r="F90" s="21" t="s">
        <v>264</v>
      </c>
      <c r="G90" s="10">
        <v>44469</v>
      </c>
      <c r="H90" s="290"/>
      <c r="I90" s="10">
        <v>44651</v>
      </c>
      <c r="J90" s="290"/>
      <c r="K90" s="10">
        <v>45016</v>
      </c>
      <c r="L90" s="290"/>
      <c r="M90" s="10">
        <v>45382</v>
      </c>
      <c r="N90" s="290"/>
      <c r="O90" s="10">
        <v>45565</v>
      </c>
      <c r="P90" s="387"/>
      <c r="Q90" s="387"/>
      <c r="R90" s="290"/>
      <c r="S90" s="290"/>
      <c r="T90" s="290"/>
      <c r="U90" s="290"/>
      <c r="V90" s="290"/>
      <c r="W90" s="290"/>
      <c r="X90" s="22">
        <v>14</v>
      </c>
      <c r="Y90" s="22">
        <f ca="1">IFERROR(__xludf.DUMMYFUNCTION("INDEX(IMPORTRANGE(""1y0FWgjbB0gVlqn-q5LMJbGIsqOrzru4yowQz67dz2yc"", ""'JUA'!BG3:BG139""),MATCH(D90,IMPORTRANGE(""1y0FWgjbB0gVlqn-q5LMJbGIsqOrzru4yowQz67dz2yc"", ""'JUA'!D3:D139""),0))"),12)</f>
        <v>12</v>
      </c>
      <c r="Z90" s="22"/>
      <c r="AA90" s="156"/>
      <c r="AB90" s="156"/>
      <c r="AC90" s="156"/>
      <c r="AD90" s="263"/>
    </row>
    <row r="91" spans="1:30">
      <c r="A91" s="155" t="s">
        <v>243</v>
      </c>
      <c r="B91" s="155" t="s">
        <v>260</v>
      </c>
      <c r="C91" s="156" t="s">
        <v>30</v>
      </c>
      <c r="D91" s="155" t="s">
        <v>265</v>
      </c>
      <c r="E91" s="155" t="s">
        <v>38</v>
      </c>
      <c r="F91" s="21" t="s">
        <v>266</v>
      </c>
      <c r="G91" s="10">
        <v>44469</v>
      </c>
      <c r="H91" s="290"/>
      <c r="I91" s="10">
        <v>44651</v>
      </c>
      <c r="J91" s="290"/>
      <c r="K91" s="10">
        <v>45016</v>
      </c>
      <c r="L91" s="290"/>
      <c r="M91" s="10">
        <v>45382</v>
      </c>
      <c r="N91" s="290"/>
      <c r="O91" s="10">
        <v>45565</v>
      </c>
      <c r="P91" s="387"/>
      <c r="Q91" s="387"/>
      <c r="R91" s="290"/>
      <c r="S91" s="290"/>
      <c r="T91" s="290"/>
      <c r="U91" s="290"/>
      <c r="V91" s="290"/>
      <c r="W91" s="290"/>
      <c r="X91" s="22">
        <v>2</v>
      </c>
      <c r="Y91" s="22">
        <f ca="1">IFERROR(__xludf.DUMMYFUNCTION("INDEX(IMPORTRANGE(""1y0FWgjbB0gVlqn-q5LMJbGIsqOrzru4yowQz67dz2yc"", ""'JUA'!BG3:BG139""),MATCH(D91,IMPORTRANGE(""1y0FWgjbB0gVlqn-q5LMJbGIsqOrzru4yowQz67dz2yc"", ""'JUA'!D3:D139""),0))"),2)</f>
        <v>2</v>
      </c>
      <c r="Z91" s="22"/>
      <c r="AA91" s="156"/>
      <c r="AB91" s="156"/>
      <c r="AC91" s="156"/>
      <c r="AD91" s="263"/>
    </row>
    <row r="92" spans="1:30">
      <c r="A92" s="155" t="s">
        <v>243</v>
      </c>
      <c r="B92" s="155" t="s">
        <v>260</v>
      </c>
      <c r="C92" s="156" t="s">
        <v>30</v>
      </c>
      <c r="D92" s="155" t="s">
        <v>267</v>
      </c>
      <c r="E92" s="155" t="s">
        <v>38</v>
      </c>
      <c r="F92" s="21" t="s">
        <v>268</v>
      </c>
      <c r="G92" s="10">
        <v>44469</v>
      </c>
      <c r="H92" s="290"/>
      <c r="I92" s="10">
        <v>44651</v>
      </c>
      <c r="J92" s="290"/>
      <c r="K92" s="10">
        <v>45016</v>
      </c>
      <c r="L92" s="290"/>
      <c r="M92" s="10">
        <v>45382</v>
      </c>
      <c r="N92" s="290"/>
      <c r="O92" s="10">
        <v>45565</v>
      </c>
      <c r="P92" s="387"/>
      <c r="Q92" s="387"/>
      <c r="R92" s="290"/>
      <c r="S92" s="290"/>
      <c r="T92" s="290"/>
      <c r="U92" s="290"/>
      <c r="V92" s="290"/>
      <c r="W92" s="290"/>
      <c r="X92" s="22">
        <v>8</v>
      </c>
      <c r="Y92" s="22">
        <f ca="1">IFERROR(__xludf.DUMMYFUNCTION("INDEX(IMPORTRANGE(""1y0FWgjbB0gVlqn-q5LMJbGIsqOrzru4yowQz67dz2yc"", ""'JUA'!BG3:BG139""),MATCH(D92,IMPORTRANGE(""1y0FWgjbB0gVlqn-q5LMJbGIsqOrzru4yowQz67dz2yc"", ""'JUA'!D3:D139""),0))"),8)</f>
        <v>8</v>
      </c>
      <c r="Z92" s="22"/>
      <c r="AA92" s="156"/>
      <c r="AB92" s="156"/>
      <c r="AC92" s="156"/>
      <c r="AD92" s="263"/>
    </row>
    <row r="93" spans="1:30">
      <c r="A93" s="155" t="s">
        <v>243</v>
      </c>
      <c r="B93" s="155" t="s">
        <v>260</v>
      </c>
      <c r="C93" s="156" t="s">
        <v>30</v>
      </c>
      <c r="D93" s="155" t="s">
        <v>269</v>
      </c>
      <c r="E93" s="155" t="s">
        <v>38</v>
      </c>
      <c r="F93" s="21" t="s">
        <v>270</v>
      </c>
      <c r="G93" s="10">
        <v>44469</v>
      </c>
      <c r="H93" s="290"/>
      <c r="I93" s="10">
        <v>44651</v>
      </c>
      <c r="J93" s="290"/>
      <c r="K93" s="10">
        <v>45016</v>
      </c>
      <c r="L93" s="290"/>
      <c r="M93" s="10">
        <v>45382</v>
      </c>
      <c r="N93" s="290"/>
      <c r="O93" s="10">
        <v>45565</v>
      </c>
      <c r="P93" s="387"/>
      <c r="Q93" s="387"/>
      <c r="R93" s="290"/>
      <c r="S93" s="290"/>
      <c r="T93" s="290"/>
      <c r="U93" s="290"/>
      <c r="V93" s="290"/>
      <c r="W93" s="290"/>
      <c r="X93" s="22">
        <v>34</v>
      </c>
      <c r="Y93" s="22">
        <f ca="1">IFERROR(__xludf.DUMMYFUNCTION("INDEX(IMPORTRANGE(""1y0FWgjbB0gVlqn-q5LMJbGIsqOrzru4yowQz67dz2yc"", ""'JUA'!BG3:BG139""),MATCH(D93,IMPORTRANGE(""1y0FWgjbB0gVlqn-q5LMJbGIsqOrzru4yowQz67dz2yc"", ""'JUA'!D3:D139""),0))"),35)</f>
        <v>35</v>
      </c>
      <c r="Z93" s="22"/>
      <c r="AA93" s="156"/>
      <c r="AB93" s="156"/>
      <c r="AC93" s="156"/>
      <c r="AD93" s="263"/>
    </row>
    <row r="94" spans="1:30">
      <c r="A94" s="155" t="s">
        <v>243</v>
      </c>
      <c r="B94" s="155" t="s">
        <v>260</v>
      </c>
      <c r="C94" s="156" t="s">
        <v>30</v>
      </c>
      <c r="D94" s="155" t="s">
        <v>271</v>
      </c>
      <c r="E94" s="155" t="s">
        <v>38</v>
      </c>
      <c r="F94" s="21" t="s">
        <v>272</v>
      </c>
      <c r="G94" s="10">
        <v>44469</v>
      </c>
      <c r="H94" s="290"/>
      <c r="I94" s="10">
        <v>44651</v>
      </c>
      <c r="J94" s="290"/>
      <c r="K94" s="10">
        <v>45016</v>
      </c>
      <c r="L94" s="290"/>
      <c r="M94" s="10">
        <v>45382</v>
      </c>
      <c r="N94" s="290"/>
      <c r="O94" s="10">
        <v>45565</v>
      </c>
      <c r="P94" s="387"/>
      <c r="Q94" s="387"/>
      <c r="R94" s="290"/>
      <c r="S94" s="290"/>
      <c r="T94" s="290"/>
      <c r="U94" s="290"/>
      <c r="V94" s="290"/>
      <c r="W94" s="390"/>
      <c r="X94" s="22">
        <v>81</v>
      </c>
      <c r="Y94" s="22">
        <f ca="1">IFERROR(__xludf.DUMMYFUNCTION("INDEX(IMPORTRANGE(""1y0FWgjbB0gVlqn-q5LMJbGIsqOrzru4yowQz67dz2yc"", ""'JUA'!BG3:BG139""),MATCH(D94,IMPORTRANGE(""1y0FWgjbB0gVlqn-q5LMJbGIsqOrzru4yowQz67dz2yc"", ""'JUA'!D3:D139""),0))"),85)</f>
        <v>85</v>
      </c>
      <c r="Z94" s="22"/>
      <c r="AA94" s="156"/>
      <c r="AB94" s="156"/>
      <c r="AC94" s="156"/>
      <c r="AD94" s="263"/>
    </row>
    <row r="95" spans="1:30">
      <c r="A95" s="155" t="s">
        <v>243</v>
      </c>
      <c r="B95" s="155" t="s">
        <v>260</v>
      </c>
      <c r="C95" s="156" t="s">
        <v>36</v>
      </c>
      <c r="D95" s="155" t="s">
        <v>273</v>
      </c>
      <c r="E95" s="155" t="s">
        <v>38</v>
      </c>
      <c r="F95" s="21" t="s">
        <v>274</v>
      </c>
      <c r="G95" s="159" t="s">
        <v>213</v>
      </c>
      <c r="H95" s="156" t="s">
        <v>214</v>
      </c>
      <c r="I95" s="159" t="s">
        <v>215</v>
      </c>
      <c r="J95" s="290"/>
      <c r="K95" s="159" t="s">
        <v>216</v>
      </c>
      <c r="L95" s="290"/>
      <c r="M95" s="159" t="s">
        <v>217</v>
      </c>
      <c r="N95" s="156" t="s">
        <v>218</v>
      </c>
      <c r="O95" s="391" t="s">
        <v>218</v>
      </c>
      <c r="P95" s="387"/>
      <c r="Q95" s="387"/>
      <c r="R95" s="290"/>
      <c r="S95" s="290"/>
      <c r="T95" s="290"/>
      <c r="U95" s="290"/>
      <c r="V95" s="290"/>
      <c r="W95" s="390"/>
      <c r="X95" s="25">
        <f>SUM(X89,X91,X93)/SUM(X90,X92,X94)</f>
        <v>0.38834951456310679</v>
      </c>
      <c r="Y95" s="25">
        <f ca="1">IFERROR(__xludf.DUMMYFUNCTION("INDEX(IMPORTRANGE(""1y0FWgjbB0gVlqn-q5LMJbGIsqOrzru4yowQz67dz2yc"", ""'JUA'!BG3:BG139""),MATCH(D95,IMPORTRANGE(""1y0FWgjbB0gVlqn-q5LMJbGIsqOrzru4yowQz67dz2yc"", ""'JUA'!D3:D139""),0))"),0.39047619047619)</f>
        <v>0.39047619047618998</v>
      </c>
      <c r="Z95" s="25"/>
      <c r="AA95" s="156"/>
      <c r="AB95" s="156"/>
      <c r="AC95" s="156"/>
      <c r="AD95" s="263"/>
    </row>
    <row r="96" spans="1:30">
      <c r="A96" s="155" t="s">
        <v>275</v>
      </c>
      <c r="B96" s="155" t="s">
        <v>276</v>
      </c>
      <c r="C96" s="156" t="s">
        <v>30</v>
      </c>
      <c r="D96" s="155" t="s">
        <v>277</v>
      </c>
      <c r="E96" s="155" t="s">
        <v>278</v>
      </c>
      <c r="F96" s="21" t="s">
        <v>279</v>
      </c>
      <c r="G96" s="155" t="s">
        <v>213</v>
      </c>
      <c r="H96" s="156" t="s">
        <v>214</v>
      </c>
      <c r="I96" s="155" t="s">
        <v>215</v>
      </c>
      <c r="J96" s="290"/>
      <c r="K96" s="155" t="s">
        <v>216</v>
      </c>
      <c r="L96" s="290"/>
      <c r="M96" s="155" t="s">
        <v>217</v>
      </c>
      <c r="N96" s="156" t="s">
        <v>218</v>
      </c>
      <c r="O96" s="156" t="s">
        <v>218</v>
      </c>
      <c r="P96" s="375">
        <v>281374098.17000002</v>
      </c>
      <c r="Q96" s="375">
        <v>281374098.17000002</v>
      </c>
      <c r="R96" s="290"/>
      <c r="S96" s="290"/>
      <c r="T96" s="290"/>
      <c r="U96" s="290"/>
      <c r="V96" s="290"/>
      <c r="W96" s="392"/>
      <c r="X96" s="375">
        <v>281374098.17000002</v>
      </c>
      <c r="Y96" s="3" t="str">
        <f ca="1">IFERROR(__xludf.DUMMYFUNCTION("INDEX(IMPORTRANGE(""1y0FWgjbB0gVlqn-q5LMJbGIsqOrzru4yowQz67dz2yc"", ""'JUA'!BG3:BG139""),MATCH(D96,IMPORTRANGE(""1y0FWgjbB0gVlqn-q5LMJbGIsqOrzru4yowQz67dz2yc"", ""'JUA'!D3:D139""),0))"),"")</f>
        <v/>
      </c>
      <c r="Z96" s="22"/>
      <c r="AA96" s="156"/>
      <c r="AB96" s="156"/>
      <c r="AC96" s="156"/>
      <c r="AD96" s="263"/>
    </row>
    <row r="97" spans="1:30">
      <c r="A97" s="155" t="s">
        <v>275</v>
      </c>
      <c r="B97" s="155" t="s">
        <v>276</v>
      </c>
      <c r="C97" s="156" t="s">
        <v>30</v>
      </c>
      <c r="D97" s="155" t="s">
        <v>280</v>
      </c>
      <c r="E97" s="155" t="s">
        <v>278</v>
      </c>
      <c r="F97" s="21" t="s">
        <v>281</v>
      </c>
      <c r="G97" s="155" t="s">
        <v>213</v>
      </c>
      <c r="H97" s="156" t="s">
        <v>214</v>
      </c>
      <c r="I97" s="155" t="s">
        <v>215</v>
      </c>
      <c r="J97" s="290"/>
      <c r="K97" s="155" t="s">
        <v>216</v>
      </c>
      <c r="L97" s="290"/>
      <c r="M97" s="155" t="s">
        <v>217</v>
      </c>
      <c r="N97" s="156" t="s">
        <v>218</v>
      </c>
      <c r="O97" s="156" t="s">
        <v>218</v>
      </c>
      <c r="P97" s="375">
        <v>1935519370.6099999</v>
      </c>
      <c r="Q97" s="375">
        <v>1935519370.6099999</v>
      </c>
      <c r="R97" s="290"/>
      <c r="S97" s="290"/>
      <c r="T97" s="290"/>
      <c r="U97" s="290"/>
      <c r="V97" s="290"/>
      <c r="W97" s="392"/>
      <c r="X97" s="375">
        <v>1935519370.6099999</v>
      </c>
      <c r="Y97" s="3" t="str">
        <f ca="1">IFERROR(__xludf.DUMMYFUNCTION("INDEX(IMPORTRANGE(""1y0FWgjbB0gVlqn-q5LMJbGIsqOrzru4yowQz67dz2yc"", ""'JUA'!BG3:BG139""),MATCH(D97,IMPORTRANGE(""1y0FWgjbB0gVlqn-q5LMJbGIsqOrzru4yowQz67dz2yc"", ""'JUA'!D3:D139""),0))"),"")</f>
        <v/>
      </c>
      <c r="Z97" s="22"/>
      <c r="AA97" s="156"/>
      <c r="AB97" s="156"/>
      <c r="AC97" s="156"/>
      <c r="AD97" s="263"/>
    </row>
    <row r="98" spans="1:30">
      <c r="A98" s="155" t="s">
        <v>275</v>
      </c>
      <c r="B98" s="155" t="s">
        <v>276</v>
      </c>
      <c r="C98" s="156" t="s">
        <v>36</v>
      </c>
      <c r="D98" s="155" t="s">
        <v>282</v>
      </c>
      <c r="E98" s="155" t="s">
        <v>278</v>
      </c>
      <c r="F98" s="21" t="s">
        <v>283</v>
      </c>
      <c r="G98" s="155" t="s">
        <v>213</v>
      </c>
      <c r="H98" s="156" t="s">
        <v>214</v>
      </c>
      <c r="I98" s="155" t="s">
        <v>215</v>
      </c>
      <c r="J98" s="290"/>
      <c r="K98" s="155" t="s">
        <v>216</v>
      </c>
      <c r="L98" s="290"/>
      <c r="M98" s="155" t="s">
        <v>217</v>
      </c>
      <c r="N98" s="156" t="s">
        <v>218</v>
      </c>
      <c r="O98" s="156" t="s">
        <v>218</v>
      </c>
      <c r="P98" s="25">
        <f t="shared" ref="P98:Q98" si="28">P96/P97</f>
        <v>0.14537395101415179</v>
      </c>
      <c r="Q98" s="25">
        <f t="shared" si="28"/>
        <v>0.14537395101415179</v>
      </c>
      <c r="R98" s="156"/>
      <c r="S98" s="156"/>
      <c r="T98" s="156"/>
      <c r="U98" s="156"/>
      <c r="V98" s="156"/>
      <c r="W98" s="380"/>
      <c r="X98" s="25">
        <f>X96/X97</f>
        <v>0.14537395101415179</v>
      </c>
      <c r="Y98" s="3" t="str">
        <f ca="1">IFERROR(__xludf.DUMMYFUNCTION("INDEX(IMPORTRANGE(""1y0FWgjbB0gVlqn-q5LMJbGIsqOrzru4yowQz67dz2yc"", ""'JUA'!BG3:BG139""),MATCH(D98,IMPORTRANGE(""1y0FWgjbB0gVlqn-q5LMJbGIsqOrzru4yowQz67dz2yc"", ""'JUA'!D3:D139""),0))"),"")</f>
        <v/>
      </c>
      <c r="Z98" s="22"/>
      <c r="AA98" s="156"/>
      <c r="AB98" s="156"/>
      <c r="AC98" s="156"/>
      <c r="AD98" s="263"/>
    </row>
    <row r="99" spans="1:30">
      <c r="A99" s="155" t="s">
        <v>275</v>
      </c>
      <c r="B99" s="155" t="s">
        <v>284</v>
      </c>
      <c r="C99" s="156" t="s">
        <v>30</v>
      </c>
      <c r="D99" s="155" t="s">
        <v>285</v>
      </c>
      <c r="E99" s="155" t="s">
        <v>278</v>
      </c>
      <c r="F99" s="21" t="s">
        <v>286</v>
      </c>
      <c r="G99" s="155" t="s">
        <v>213</v>
      </c>
      <c r="H99" s="156" t="s">
        <v>214</v>
      </c>
      <c r="I99" s="155" t="s">
        <v>215</v>
      </c>
      <c r="J99" s="290"/>
      <c r="K99" s="155" t="s">
        <v>216</v>
      </c>
      <c r="L99" s="290"/>
      <c r="M99" s="155" t="s">
        <v>217</v>
      </c>
      <c r="N99" s="156" t="s">
        <v>218</v>
      </c>
      <c r="O99" s="156" t="s">
        <v>218</v>
      </c>
      <c r="P99" s="375">
        <v>1612362381</v>
      </c>
      <c r="Q99" s="375">
        <v>1612362381</v>
      </c>
      <c r="R99" s="290"/>
      <c r="S99" s="290"/>
      <c r="T99" s="290"/>
      <c r="U99" s="290"/>
      <c r="V99" s="290"/>
      <c r="W99" s="392"/>
      <c r="X99" s="375">
        <v>1612362381</v>
      </c>
      <c r="Y99" s="3" t="str">
        <f ca="1">IFERROR(__xludf.DUMMYFUNCTION("INDEX(IMPORTRANGE(""1y0FWgjbB0gVlqn-q5LMJbGIsqOrzru4yowQz67dz2yc"", ""'JUA'!BG3:BG139""),MATCH(D99,IMPORTRANGE(""1y0FWgjbB0gVlqn-q5LMJbGIsqOrzru4yowQz67dz2yc"", ""'JUA'!D3:D139""),0))"),"")</f>
        <v/>
      </c>
      <c r="Z99" s="22"/>
      <c r="AA99" s="156"/>
      <c r="AB99" s="156"/>
      <c r="AC99" s="156"/>
      <c r="AD99" s="263"/>
    </row>
    <row r="100" spans="1:30">
      <c r="A100" s="155" t="s">
        <v>275</v>
      </c>
      <c r="B100" s="155" t="s">
        <v>276</v>
      </c>
      <c r="C100" s="156" t="s">
        <v>36</v>
      </c>
      <c r="D100" s="155" t="s">
        <v>287</v>
      </c>
      <c r="E100" s="155" t="s">
        <v>278</v>
      </c>
      <c r="F100" s="21" t="s">
        <v>288</v>
      </c>
      <c r="G100" s="155" t="s">
        <v>254</v>
      </c>
      <c r="H100" s="155" t="s">
        <v>254</v>
      </c>
      <c r="I100" s="155" t="s">
        <v>254</v>
      </c>
      <c r="J100" s="290"/>
      <c r="K100" s="155" t="s">
        <v>255</v>
      </c>
      <c r="L100" s="290"/>
      <c r="M100" s="155" t="s">
        <v>256</v>
      </c>
      <c r="N100" s="273">
        <v>45536</v>
      </c>
      <c r="O100" s="156" t="s">
        <v>218</v>
      </c>
      <c r="P100" s="25">
        <f t="shared" ref="P100:Q100" si="29">P96/P99</f>
        <v>0.17451045837195084</v>
      </c>
      <c r="Q100" s="25">
        <f t="shared" si="29"/>
        <v>0.17451045837195084</v>
      </c>
      <c r="R100" s="156"/>
      <c r="S100" s="156"/>
      <c r="T100" s="156"/>
      <c r="U100" s="156"/>
      <c r="V100" s="156"/>
      <c r="W100" s="380"/>
      <c r="X100" s="25">
        <f>X96/X99</f>
        <v>0.17451045837195084</v>
      </c>
      <c r="Y100" s="3" t="str">
        <f ca="1">IFERROR(__xludf.DUMMYFUNCTION("INDEX(IMPORTRANGE(""1y0FWgjbB0gVlqn-q5LMJbGIsqOrzru4yowQz67dz2yc"", ""'JUA'!BG3:BG139""),MATCH(D100,IMPORTRANGE(""1y0FWgjbB0gVlqn-q5LMJbGIsqOrzru4yowQz67dz2yc"", ""'JUA'!D3:D139""),0))"),"")</f>
        <v/>
      </c>
      <c r="Z100" s="22"/>
      <c r="AA100" s="156"/>
      <c r="AB100" s="156"/>
      <c r="AC100" s="156"/>
      <c r="AD100" s="263"/>
    </row>
    <row r="101" spans="1:30">
      <c r="A101" s="155" t="s">
        <v>275</v>
      </c>
      <c r="B101" s="155" t="s">
        <v>276</v>
      </c>
      <c r="C101" s="156" t="s">
        <v>30</v>
      </c>
      <c r="D101" s="155" t="s">
        <v>289</v>
      </c>
      <c r="E101" s="155" t="s">
        <v>38</v>
      </c>
      <c r="F101" s="21" t="s">
        <v>112</v>
      </c>
      <c r="G101" s="155" t="s">
        <v>213</v>
      </c>
      <c r="H101" s="156" t="s">
        <v>214</v>
      </c>
      <c r="I101" s="155" t="s">
        <v>215</v>
      </c>
      <c r="J101" s="290"/>
      <c r="K101" s="155" t="s">
        <v>216</v>
      </c>
      <c r="L101" s="290"/>
      <c r="M101" s="155" t="s">
        <v>217</v>
      </c>
      <c r="N101" s="156" t="s">
        <v>218</v>
      </c>
      <c r="O101" s="156" t="s">
        <v>218</v>
      </c>
      <c r="P101" s="262">
        <v>217568</v>
      </c>
      <c r="Q101" s="262">
        <v>217568</v>
      </c>
      <c r="R101" s="290"/>
      <c r="S101" s="290"/>
      <c r="T101" s="290"/>
      <c r="U101" s="290"/>
      <c r="V101" s="290"/>
      <c r="W101" s="377"/>
      <c r="X101" s="262">
        <v>217568</v>
      </c>
      <c r="Y101" s="3" t="str">
        <f ca="1">IFERROR(__xludf.DUMMYFUNCTION("INDEX(IMPORTRANGE(""1y0FWgjbB0gVlqn-q5LMJbGIsqOrzru4yowQz67dz2yc"", ""'JUA'!BG3:BG139""),MATCH(D101,IMPORTRANGE(""1y0FWgjbB0gVlqn-q5LMJbGIsqOrzru4yowQz67dz2yc"", ""'JUA'!D3:D139""),0))"),"")</f>
        <v/>
      </c>
      <c r="Z101" s="22"/>
      <c r="AA101" s="156"/>
      <c r="AB101" s="156"/>
      <c r="AC101" s="156"/>
      <c r="AD101" s="263"/>
    </row>
    <row r="102" spans="1:30">
      <c r="A102" s="155" t="s">
        <v>275</v>
      </c>
      <c r="B102" s="155" t="s">
        <v>276</v>
      </c>
      <c r="C102" s="156" t="s">
        <v>30</v>
      </c>
      <c r="D102" s="155" t="s">
        <v>290</v>
      </c>
      <c r="E102" s="155" t="s">
        <v>38</v>
      </c>
      <c r="F102" s="21" t="s">
        <v>291</v>
      </c>
      <c r="G102" s="155" t="s">
        <v>213</v>
      </c>
      <c r="H102" s="156" t="s">
        <v>214</v>
      </c>
      <c r="I102" s="155" t="s">
        <v>215</v>
      </c>
      <c r="J102" s="290"/>
      <c r="K102" s="155" t="s">
        <v>216</v>
      </c>
      <c r="L102" s="290"/>
      <c r="M102" s="155" t="s">
        <v>217</v>
      </c>
      <c r="N102" s="156" t="s">
        <v>218</v>
      </c>
      <c r="O102" s="156" t="s">
        <v>218</v>
      </c>
      <c r="P102" s="262">
        <v>3009</v>
      </c>
      <c r="Q102" s="262">
        <v>3009</v>
      </c>
      <c r="R102" s="156"/>
      <c r="S102" s="156"/>
      <c r="T102" s="156"/>
      <c r="U102" s="156"/>
      <c r="V102" s="156"/>
      <c r="W102" s="358"/>
      <c r="X102" s="262">
        <v>3009</v>
      </c>
      <c r="Y102" s="3" t="str">
        <f ca="1">IFERROR(__xludf.DUMMYFUNCTION("INDEX(IMPORTRANGE(""1y0FWgjbB0gVlqn-q5LMJbGIsqOrzru4yowQz67dz2yc"", ""'JUA'!BG3:BG139""),MATCH(D102,IMPORTRANGE(""1y0FWgjbB0gVlqn-q5LMJbGIsqOrzru4yowQz67dz2yc"", ""'JUA'!D3:D139""),0))"),"")</f>
        <v/>
      </c>
      <c r="Z102" s="22"/>
      <c r="AA102" s="156"/>
      <c r="AB102" s="156"/>
      <c r="AC102" s="156"/>
      <c r="AD102" s="263"/>
    </row>
    <row r="103" spans="1:30">
      <c r="A103" s="155" t="s">
        <v>275</v>
      </c>
      <c r="B103" s="155" t="s">
        <v>276</v>
      </c>
      <c r="C103" s="156" t="s">
        <v>36</v>
      </c>
      <c r="D103" s="155" t="s">
        <v>292</v>
      </c>
      <c r="E103" s="155" t="s">
        <v>38</v>
      </c>
      <c r="F103" s="21" t="s">
        <v>293</v>
      </c>
      <c r="G103" s="155" t="s">
        <v>213</v>
      </c>
      <c r="H103" s="156" t="s">
        <v>214</v>
      </c>
      <c r="I103" s="155" t="s">
        <v>215</v>
      </c>
      <c r="J103" s="290"/>
      <c r="K103" s="155" t="s">
        <v>216</v>
      </c>
      <c r="L103" s="290"/>
      <c r="M103" s="155" t="s">
        <v>217</v>
      </c>
      <c r="N103" s="156" t="s">
        <v>218</v>
      </c>
      <c r="O103" s="156" t="s">
        <v>218</v>
      </c>
      <c r="P103" s="25">
        <f t="shared" ref="P103:Q103" si="30">P102/P101</f>
        <v>1.3830158846889248E-2</v>
      </c>
      <c r="Q103" s="25">
        <f t="shared" si="30"/>
        <v>1.3830158846889248E-2</v>
      </c>
      <c r="R103" s="156"/>
      <c r="S103" s="156"/>
      <c r="T103" s="156"/>
      <c r="U103" s="156"/>
      <c r="V103" s="156"/>
      <c r="W103" s="380"/>
      <c r="X103" s="25">
        <f>X102/X101</f>
        <v>1.3830158846889248E-2</v>
      </c>
      <c r="Y103" s="3" t="str">
        <f ca="1">IFERROR(__xludf.DUMMYFUNCTION("INDEX(IMPORTRANGE(""1y0FWgjbB0gVlqn-q5LMJbGIsqOrzru4yowQz67dz2yc"", ""'JUA'!BG3:BG139""),MATCH(D103,IMPORTRANGE(""1y0FWgjbB0gVlqn-q5LMJbGIsqOrzru4yowQz67dz2yc"", ""'JUA'!D3:D139""),0))"),"")</f>
        <v/>
      </c>
      <c r="Z103" s="22"/>
      <c r="AA103" s="156"/>
      <c r="AB103" s="156"/>
      <c r="AC103" s="156"/>
      <c r="AD103" s="263"/>
    </row>
    <row r="104" spans="1:30">
      <c r="A104" s="155" t="s">
        <v>275</v>
      </c>
      <c r="B104" s="155" t="s">
        <v>276</v>
      </c>
      <c r="C104" s="155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290"/>
      <c r="K104" s="155" t="s">
        <v>216</v>
      </c>
      <c r="L104" s="290"/>
      <c r="M104" s="155" t="s">
        <v>217</v>
      </c>
      <c r="N104" s="156" t="s">
        <v>218</v>
      </c>
      <c r="O104" s="156" t="s">
        <v>218</v>
      </c>
      <c r="P104" s="272"/>
      <c r="Q104" s="272"/>
      <c r="R104" s="156"/>
      <c r="S104" s="156"/>
      <c r="T104" s="156"/>
      <c r="U104" s="156"/>
      <c r="V104" s="156"/>
      <c r="W104" s="393"/>
      <c r="X104" s="272"/>
      <c r="Y104" s="3" t="str">
        <f ca="1">IFERROR(__xludf.DUMMYFUNCTION("INDEX(IMPORTRANGE(""1y0FWgjbB0gVlqn-q5LMJbGIsqOrzru4yowQz67dz2yc"", ""'JUA'!BG3:BG139""),MATCH(D104,IMPORTRANGE(""1y0FWgjbB0gVlqn-q5LMJbGIsqOrzru4yowQz67dz2yc"", ""'JUA'!D3:D139""),0))"),"")</f>
        <v/>
      </c>
      <c r="Z104" s="22"/>
      <c r="AA104" s="156"/>
      <c r="AB104" s="156"/>
      <c r="AC104" s="156"/>
      <c r="AD104" s="263"/>
    </row>
    <row r="105" spans="1:30">
      <c r="A105" s="155" t="s">
        <v>275</v>
      </c>
      <c r="B105" s="155" t="s">
        <v>276</v>
      </c>
      <c r="C105" s="155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290"/>
      <c r="K105" s="155" t="s">
        <v>216</v>
      </c>
      <c r="L105" s="290"/>
      <c r="M105" s="155" t="s">
        <v>217</v>
      </c>
      <c r="N105" s="156" t="s">
        <v>218</v>
      </c>
      <c r="O105" s="156" t="s">
        <v>218</v>
      </c>
      <c r="P105" s="272">
        <v>104356062.22</v>
      </c>
      <c r="Q105" s="272">
        <v>104356062.22</v>
      </c>
      <c r="R105" s="156"/>
      <c r="S105" s="156"/>
      <c r="T105" s="156"/>
      <c r="U105" s="156"/>
      <c r="V105" s="156"/>
      <c r="W105" s="393"/>
      <c r="X105" s="272">
        <v>104356062.22</v>
      </c>
      <c r="Y105" s="3" t="str">
        <f ca="1">IFERROR(__xludf.DUMMYFUNCTION("INDEX(IMPORTRANGE(""1y0FWgjbB0gVlqn-q5LMJbGIsqOrzru4yowQz67dz2yc"", ""'JUA'!BG3:BG139""),MATCH(D105,IMPORTRANGE(""1y0FWgjbB0gVlqn-q5LMJbGIsqOrzru4yowQz67dz2yc"", ""'JUA'!D3:D139""),0))"),"")</f>
        <v/>
      </c>
      <c r="Z105" s="22"/>
      <c r="AA105" s="156"/>
      <c r="AB105" s="156"/>
      <c r="AC105" s="156"/>
      <c r="AD105" s="263"/>
    </row>
    <row r="106" spans="1:30">
      <c r="A106" s="155" t="s">
        <v>275</v>
      </c>
      <c r="B106" s="155" t="s">
        <v>298</v>
      </c>
      <c r="C106" s="156" t="s">
        <v>30</v>
      </c>
      <c r="D106" s="155" t="s">
        <v>299</v>
      </c>
      <c r="E106" s="155" t="s">
        <v>278</v>
      </c>
      <c r="F106" s="21" t="s">
        <v>300</v>
      </c>
      <c r="G106" s="155" t="s">
        <v>213</v>
      </c>
      <c r="H106" s="156" t="s">
        <v>214</v>
      </c>
      <c r="I106" s="155" t="s">
        <v>215</v>
      </c>
      <c r="J106" s="290"/>
      <c r="K106" s="155" t="s">
        <v>216</v>
      </c>
      <c r="L106" s="290"/>
      <c r="M106" s="155" t="s">
        <v>217</v>
      </c>
      <c r="N106" s="156" t="s">
        <v>218</v>
      </c>
      <c r="O106" s="156" t="s">
        <v>218</v>
      </c>
      <c r="P106" s="375">
        <v>2020876328.0999999</v>
      </c>
      <c r="Q106" s="375">
        <v>2020876328.0999999</v>
      </c>
      <c r="R106" s="290"/>
      <c r="S106" s="290"/>
      <c r="T106" s="290"/>
      <c r="U106" s="290"/>
      <c r="V106" s="290"/>
      <c r="W106" s="388"/>
      <c r="X106" s="375">
        <v>2020876328.0999999</v>
      </c>
      <c r="Y106" s="3" t="str">
        <f ca="1">IFERROR(__xludf.DUMMYFUNCTION("INDEX(IMPORTRANGE(""1y0FWgjbB0gVlqn-q5LMJbGIsqOrzru4yowQz67dz2yc"", ""'JUA'!BG3:BG139""),MATCH(D106,IMPORTRANGE(""1y0FWgjbB0gVlqn-q5LMJbGIsqOrzru4yowQz67dz2yc"", ""'JUA'!D3:D139""),0))"),"")</f>
        <v/>
      </c>
      <c r="Z106" s="22"/>
      <c r="AA106" s="156"/>
      <c r="AB106" s="156"/>
      <c r="AC106" s="156"/>
      <c r="AD106" s="263"/>
    </row>
    <row r="107" spans="1:30">
      <c r="A107" s="155" t="s">
        <v>275</v>
      </c>
      <c r="B107" s="155" t="s">
        <v>298</v>
      </c>
      <c r="C107" s="156" t="s">
        <v>36</v>
      </c>
      <c r="D107" s="155" t="s">
        <v>301</v>
      </c>
      <c r="E107" s="155" t="s">
        <v>278</v>
      </c>
      <c r="F107" s="21" t="s">
        <v>302</v>
      </c>
      <c r="G107" s="10" t="s">
        <v>307</v>
      </c>
      <c r="H107" s="290"/>
      <c r="I107" s="156" t="s">
        <v>254</v>
      </c>
      <c r="J107" s="290"/>
      <c r="K107" s="156" t="s">
        <v>255</v>
      </c>
      <c r="L107" s="290"/>
      <c r="M107" s="156" t="s">
        <v>256</v>
      </c>
      <c r="N107" s="275">
        <v>45473</v>
      </c>
      <c r="O107" s="156"/>
      <c r="P107" s="25">
        <f t="shared" ref="P107:Q107" si="31">P99/P106</f>
        <v>0.79785306927511046</v>
      </c>
      <c r="Q107" s="25">
        <f t="shared" si="31"/>
        <v>0.79785306927511046</v>
      </c>
      <c r="R107" s="156"/>
      <c r="S107" s="156"/>
      <c r="T107" s="156"/>
      <c r="U107" s="156"/>
      <c r="V107" s="156"/>
      <c r="W107" s="380"/>
      <c r="X107" s="25">
        <f>X99/X106</f>
        <v>0.79785306927511046</v>
      </c>
      <c r="Y107" s="3" t="str">
        <f ca="1">IFERROR(__xludf.DUMMYFUNCTION("INDEX(IMPORTRANGE(""1y0FWgjbB0gVlqn-q5LMJbGIsqOrzru4yowQz67dz2yc"", ""'JUA'!BG3:BG139""),MATCH(D107,IMPORTRANGE(""1y0FWgjbB0gVlqn-q5LMJbGIsqOrzru4yowQz67dz2yc"", ""'JUA'!D3:D139""),0))"),"")</f>
        <v/>
      </c>
      <c r="Z107" s="22"/>
      <c r="AA107" s="156"/>
      <c r="AB107" s="156"/>
      <c r="AC107" s="156"/>
      <c r="AD107" s="263"/>
    </row>
    <row r="108" spans="1:30">
      <c r="A108" s="155" t="s">
        <v>275</v>
      </c>
      <c r="B108" s="155" t="s">
        <v>303</v>
      </c>
      <c r="C108" s="156" t="s">
        <v>36</v>
      </c>
      <c r="D108" s="155" t="s">
        <v>304</v>
      </c>
      <c r="E108" s="155" t="s">
        <v>305</v>
      </c>
      <c r="F108" s="21" t="s">
        <v>306</v>
      </c>
      <c r="G108" s="10" t="s">
        <v>307</v>
      </c>
      <c r="H108" s="290"/>
      <c r="I108" s="156" t="s">
        <v>254</v>
      </c>
      <c r="J108" s="290"/>
      <c r="K108" s="156" t="s">
        <v>255</v>
      </c>
      <c r="L108" s="290"/>
      <c r="M108" s="156" t="s">
        <v>256</v>
      </c>
      <c r="N108" s="275">
        <v>45473</v>
      </c>
      <c r="O108" s="156"/>
      <c r="P108" s="269" t="s">
        <v>308</v>
      </c>
      <c r="Q108" s="269" t="s">
        <v>308</v>
      </c>
      <c r="R108" s="156" t="s">
        <v>308</v>
      </c>
      <c r="S108" s="156" t="s">
        <v>308</v>
      </c>
      <c r="T108" s="156" t="s">
        <v>308</v>
      </c>
      <c r="U108" s="156" t="s">
        <v>308</v>
      </c>
      <c r="V108" s="156" t="s">
        <v>308</v>
      </c>
      <c r="W108" s="156" t="s">
        <v>308</v>
      </c>
      <c r="X108" s="22" t="s">
        <v>308</v>
      </c>
      <c r="Y108" s="3" t="str">
        <f ca="1">IFERROR(__xludf.DUMMYFUNCTION("INDEX(IMPORTRANGE(""1y0FWgjbB0gVlqn-q5LMJbGIsqOrzru4yowQz67dz2yc"", ""'JUA'!BG3:BG139""),MATCH(D108,IMPORTRANGE(""1y0FWgjbB0gVlqn-q5LMJbGIsqOrzru4yowQz67dz2yc"", ""'JUA'!D3:D139""),0))"),"")</f>
        <v/>
      </c>
      <c r="Z108" s="22"/>
      <c r="AA108" s="156"/>
      <c r="AB108" s="156"/>
      <c r="AC108" s="156"/>
      <c r="AD108" s="26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46DB-F94C-C74E-BFD1-0F3456E9E59B}">
  <dimension ref="A1:M30"/>
  <sheetViews>
    <sheetView workbookViewId="0">
      <selection activeCell="H2" sqref="H2"/>
    </sheetView>
  </sheetViews>
  <sheetFormatPr baseColWidth="10" defaultRowHeight="16"/>
  <cols>
    <col min="1" max="1" width="10.83203125" style="118"/>
    <col min="3" max="3" width="19.33203125" customWidth="1"/>
    <col min="4" max="5" width="11.83203125" customWidth="1"/>
    <col min="7" max="7" width="11.33203125" customWidth="1"/>
    <col min="8" max="8" width="10.8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75" t="s">
        <v>437</v>
      </c>
      <c r="F2" s="75">
        <v>44834</v>
      </c>
      <c r="G2" s="75" t="s">
        <v>437</v>
      </c>
      <c r="H2" s="123">
        <f>VLOOKUP(C2,'BD EVA 1 JUA'!$D$3:$R$108,15,0)</f>
        <v>749</v>
      </c>
      <c r="I2" s="71">
        <v>0</v>
      </c>
      <c r="J2" s="72" t="s">
        <v>316</v>
      </c>
      <c r="K2" s="81">
        <v>2.7</v>
      </c>
      <c r="L2" s="81">
        <f t="shared" ref="L2:L30" si="0">IF(I2&lt;0,0,IF(I2&gt;1,K2,I2*K2))</f>
        <v>0</v>
      </c>
      <c r="M2" s="124">
        <f>SUM(L2:L4)</f>
        <v>0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75" t="s">
        <v>437</v>
      </c>
      <c r="F3" s="75">
        <v>44834</v>
      </c>
      <c r="G3" s="79" t="s">
        <v>437</v>
      </c>
      <c r="H3" s="79" t="s">
        <v>317</v>
      </c>
      <c r="I3" s="83">
        <v>0</v>
      </c>
      <c r="J3" s="75" t="s">
        <v>318</v>
      </c>
      <c r="K3" s="81">
        <v>3.8</v>
      </c>
      <c r="L3" s="81">
        <f t="shared" si="0"/>
        <v>0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75" t="s">
        <v>437</v>
      </c>
      <c r="F4" s="75">
        <v>44834</v>
      </c>
      <c r="G4" s="75" t="s">
        <v>437</v>
      </c>
      <c r="H4" s="125">
        <f>VLOOKUP(C4,'BD EVA 1 JUA'!$D$3:$R$108,15,0)</f>
        <v>0.04</v>
      </c>
      <c r="I4" s="71">
        <v>0</v>
      </c>
      <c r="J4" s="75" t="s">
        <v>318</v>
      </c>
      <c r="K4" s="81">
        <v>3.5</v>
      </c>
      <c r="L4" s="81">
        <f t="shared" si="0"/>
        <v>0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3" t="s">
        <v>437</v>
      </c>
      <c r="F5" s="72" t="s">
        <v>59</v>
      </c>
      <c r="G5" s="72">
        <f ca="1">VLOOKUP(C5,'BD EVA 1 JUA'!$D$3:$Y$108,22,0)</f>
        <v>0</v>
      </c>
      <c r="H5" s="126">
        <f>VLOOKUP(C5,'BD EVA 1 JUA'!$D$3:$R$108,15,0)</f>
        <v>4.36E-2</v>
      </c>
      <c r="I5" s="71">
        <f ca="1">G5/H5</f>
        <v>0</v>
      </c>
      <c r="J5" s="75" t="s">
        <v>318</v>
      </c>
      <c r="K5" s="129">
        <f>3.25*0.488</f>
        <v>1.5859999999999999</v>
      </c>
      <c r="L5" s="129">
        <f t="shared" ca="1" si="0"/>
        <v>0</v>
      </c>
      <c r="M5" s="130">
        <f ca="1">SUM(L5:L10)</f>
        <v>0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JUA'!$D$3:$Q$108,14,0)</f>
        <v>22.627550518466052</v>
      </c>
      <c r="F6" s="72" t="s">
        <v>59</v>
      </c>
      <c r="G6" s="132">
        <f ca="1">VLOOKUP(C6,'BD EVA 1 JUA'!$D$3:$Y$108,22,0)</f>
        <v>24.5822227149377</v>
      </c>
      <c r="H6" s="129">
        <f>VLOOKUP(C6,'BD EVA 1 JUA'!$D$3:$R$108,15,0)</f>
        <v>21.654565846172012</v>
      </c>
      <c r="I6" s="78">
        <f t="shared" ref="I6:I10" ca="1" si="1">(G6-E6)/(H6-E6)</f>
        <v>-2.0089444902179707</v>
      </c>
      <c r="J6" s="71" t="s">
        <v>319</v>
      </c>
      <c r="K6" s="129">
        <f>3.5*0.488</f>
        <v>1.708</v>
      </c>
      <c r="L6" s="12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JUA'!$D$3:$Q$108,14,0)</f>
        <v>324.41020797670348</v>
      </c>
      <c r="F7" s="72" t="s">
        <v>59</v>
      </c>
      <c r="G7" s="131">
        <f ca="1">VLOOKUP(C7,'BD EVA 1 JUA'!$D$3:$Y$108,22,0)</f>
        <v>377.65042151281801</v>
      </c>
      <c r="H7" s="129">
        <f>VLOOKUP(C7,'BD EVA 1 JUA'!$D$3:$R$108,15,0)</f>
        <v>310.46056903370521</v>
      </c>
      <c r="I7" s="78">
        <f t="shared" ca="1" si="1"/>
        <v>-3.8166015445752723</v>
      </c>
      <c r="J7" s="71" t="s">
        <v>319</v>
      </c>
      <c r="K7" s="129">
        <f>3.25*0.488</f>
        <v>1.5859999999999999</v>
      </c>
      <c r="L7" s="129">
        <f t="shared" ca="1" si="0"/>
        <v>0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JUA'!$D$3:$Q$108,14,0)</f>
        <v>780.89644452314894</v>
      </c>
      <c r="F8" s="72" t="s">
        <v>59</v>
      </c>
      <c r="G8" s="131">
        <f ca="1">VLOOKUP(C8,'BD EVA 1 JUA'!$D$3:$Y$108,22,0)</f>
        <v>891.226074508235</v>
      </c>
      <c r="H8" s="129">
        <f>VLOOKUP(C8,'BD EVA 1 JUA'!$D$3:$R$108,15,0)</f>
        <v>727.79548629557485</v>
      </c>
      <c r="I8" s="78">
        <f t="shared" ca="1" si="1"/>
        <v>-2.0777333153245139</v>
      </c>
      <c r="J8" s="71" t="s">
        <v>319</v>
      </c>
      <c r="K8" s="129">
        <f t="shared" ref="K8:K10" si="2">10/3*0.512</f>
        <v>1.7066666666666668</v>
      </c>
      <c r="L8" s="12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JUA'!$D$3:$Q$108,14,0)</f>
        <v>149.53859473073214</v>
      </c>
      <c r="F9" s="72" t="s">
        <v>59</v>
      </c>
      <c r="G9" s="131">
        <f ca="1">VLOOKUP(C9,'BD EVA 1 JUA'!$D$3:$Y$108,22,0)</f>
        <v>190.391724949028</v>
      </c>
      <c r="H9" s="129">
        <f>VLOOKUP(C9,'BD EVA 1 JUA'!$D$3:$R$108,15,0)</f>
        <v>142.75951176960561</v>
      </c>
      <c r="I9" s="78">
        <f t="shared" ca="1" si="1"/>
        <v>-6.0263505333333427</v>
      </c>
      <c r="J9" s="71" t="s">
        <v>319</v>
      </c>
      <c r="K9" s="129">
        <f t="shared" si="2"/>
        <v>1.7066666666666668</v>
      </c>
      <c r="L9" s="129">
        <f t="shared" ca="1" si="0"/>
        <v>0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JUA'!$D$3:$Q$108,14,0)</f>
        <v>20.905889065974069</v>
      </c>
      <c r="F10" s="72" t="s">
        <v>59</v>
      </c>
      <c r="G10" s="131">
        <f ca="1">VLOOKUP(C10,'BD EVA 1 JUA'!$D$3:$Y$108,22,0)</f>
        <v>34.704314421088597</v>
      </c>
      <c r="H10" s="129">
        <f>VLOOKUP(C10,'BD EVA 1 JUA'!$D$3:$R$108,15,0)</f>
        <v>19.435508201667226</v>
      </c>
      <c r="I10" s="78">
        <f t="shared" ca="1" si="1"/>
        <v>-9.3842525362429026</v>
      </c>
      <c r="J10" s="71" t="s">
        <v>319</v>
      </c>
      <c r="K10" s="129">
        <f t="shared" si="2"/>
        <v>1.7066666666666668</v>
      </c>
      <c r="L10" s="12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26" t="e">
        <f>VLOOKUP(C11,'BD EVA 1 JUA'!$D$3:$Q$108,14,0)</f>
        <v>#VALUE!</v>
      </c>
      <c r="F11" s="75">
        <v>44834</v>
      </c>
      <c r="G11" s="123"/>
      <c r="H11" s="128">
        <f>VLOOKUP(C11,'BD EVA 1 JUA'!$D$3:$R$108,15,0)</f>
        <v>1.46E-2</v>
      </c>
      <c r="I11" s="80">
        <f t="shared" ref="I11:I14" si="3">G11/H11</f>
        <v>0</v>
      </c>
      <c r="J11" s="75" t="s">
        <v>318</v>
      </c>
      <c r="K11" s="71">
        <v>2.1</v>
      </c>
      <c r="L11" s="129">
        <f t="shared" si="0"/>
        <v>0</v>
      </c>
      <c r="M11" s="130">
        <f ca="1">SUM(L11:L14)</f>
        <v>0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JUA'!$D$3:$Q$108,14,0)</f>
        <v>0</v>
      </c>
      <c r="F12" s="71" t="s">
        <v>59</v>
      </c>
      <c r="G12" s="123">
        <f ca="1">VLOOKUP(C12,'BD EVA 1 JUA'!$D$3:$Y$108,22,0)</f>
        <v>0</v>
      </c>
      <c r="H12" s="138">
        <f>VLOOKUP(C12,'BD EVA 1 JUA'!$D$3:$R$108,15,0)</f>
        <v>24.333333333333332</v>
      </c>
      <c r="I12" s="78">
        <f t="shared" ca="1" si="3"/>
        <v>0</v>
      </c>
      <c r="J12" s="75" t="s">
        <v>318</v>
      </c>
      <c r="K12" s="71">
        <v>2.4</v>
      </c>
      <c r="L12" s="129">
        <f t="shared" ca="1" si="0"/>
        <v>0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JUA'!$D$3:$Q$108,14,0)</f>
        <v>44</v>
      </c>
      <c r="F13" s="71" t="s">
        <v>59</v>
      </c>
      <c r="G13" s="123">
        <f ca="1">VLOOKUP(C13,'BD EVA 1 JUA'!$D$3:$Y$108,22,0)</f>
        <v>0</v>
      </c>
      <c r="H13" s="138">
        <f>VLOOKUP(C13,'BD EVA 1 JUA'!$D$3:$R$108,15,0)</f>
        <v>8143.333333333333</v>
      </c>
      <c r="I13" s="78">
        <f t="shared" ca="1" si="3"/>
        <v>0</v>
      </c>
      <c r="J13" s="75" t="s">
        <v>318</v>
      </c>
      <c r="K13" s="71">
        <v>2.4</v>
      </c>
      <c r="L13" s="129">
        <f t="shared" ca="1" si="0"/>
        <v>0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JUA'!$D$3:$Q$108,14,0)</f>
        <v>16</v>
      </c>
      <c r="F14" s="71" t="s">
        <v>59</v>
      </c>
      <c r="G14" s="123">
        <f ca="1">VLOOKUP(C14,'BD EVA 1 JUA'!$D$3:$Y$108,22,0)</f>
        <v>0</v>
      </c>
      <c r="H14" s="138">
        <f>VLOOKUP(C14,'BD EVA 1 JUA'!$D$3:$R$108,15,0)</f>
        <v>121.66666666666667</v>
      </c>
      <c r="I14" s="78">
        <f t="shared" ca="1" si="3"/>
        <v>0</v>
      </c>
      <c r="J14" s="75" t="s">
        <v>318</v>
      </c>
      <c r="K14" s="71">
        <v>3.1</v>
      </c>
      <c r="L14" s="129">
        <f t="shared" ca="1" si="0"/>
        <v>0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7">
        <f>VLOOKUP(C15,'BD EVA 1 JUA'!$D$3:$Q$108,14,0)</f>
        <v>0</v>
      </c>
      <c r="F15" s="75">
        <v>44834</v>
      </c>
      <c r="G15" s="123">
        <f ca="1">VLOOKUP(C15,'BD EVA 1 JUA'!$D$3:$Y$108,22,0)</f>
        <v>0</v>
      </c>
      <c r="H15" s="123" t="str">
        <f>VLOOKUP(C15,'BD EVA 1 JUA'!$D$3:$R$108,15,0)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4">G15/1</f>
        <v>0</v>
      </c>
      <c r="J15" s="75" t="s">
        <v>318</v>
      </c>
      <c r="K15" s="71">
        <v>1.5</v>
      </c>
      <c r="L15" s="129">
        <f t="shared" ca="1" si="0"/>
        <v>0</v>
      </c>
      <c r="M15" s="130">
        <f ca="1">SUM(L15:L22)</f>
        <v>0.3</v>
      </c>
    </row>
    <row r="16" spans="1:13" ht="52">
      <c r="A16" s="121" t="s">
        <v>147</v>
      </c>
      <c r="B16" s="72" t="s">
        <v>148</v>
      </c>
      <c r="C16" s="72" t="s">
        <v>351</v>
      </c>
      <c r="D16" s="75">
        <v>44469</v>
      </c>
      <c r="E16" s="137">
        <f>VLOOKUP(C16,'BD EVA 1 JUA'!$D$3:$Q$108,14,0)</f>
        <v>0</v>
      </c>
      <c r="F16" s="75">
        <v>44834</v>
      </c>
      <c r="G16" s="123">
        <f ca="1">VLOOKUP(C16,'BD EVA 1 JUA'!$D$3:$Y$108,22,0)</f>
        <v>0</v>
      </c>
      <c r="H16" s="123" t="str">
        <f>VLOOKUP(C16,'BD EVA 1 JUA'!$D$3:$R$108,15,0)</f>
        <v>Actualizado al 2017</v>
      </c>
      <c r="I16" s="125">
        <f t="shared" ca="1" si="4"/>
        <v>0</v>
      </c>
      <c r="J16" s="75" t="s">
        <v>318</v>
      </c>
      <c r="K16" s="71">
        <v>1.5</v>
      </c>
      <c r="L16" s="129">
        <f t="shared" ca="1" si="0"/>
        <v>0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23" t="str">
        <f>VLOOKUP(C17,'BD EVA 1 JUA'!$D$3:$Q$108,14,0)</f>
        <v>n/a</v>
      </c>
      <c r="F17" s="75">
        <v>44834</v>
      </c>
      <c r="G17" s="123" t="str">
        <f ca="1">VLOOKUP(C17,'BD EVA 1 JUA'!$D$3:$Y$108,22,0)</f>
        <v>NA</v>
      </c>
      <c r="H17" s="125">
        <f>VLOOKUP(C17,'BD EVA 1 JUA'!$D$3:$R$108,15,0)</f>
        <v>1</v>
      </c>
      <c r="I17" s="123">
        <v>1</v>
      </c>
      <c r="J17" s="75" t="s">
        <v>318</v>
      </c>
      <c r="K17" s="71">
        <v>0.3</v>
      </c>
      <c r="L17" s="129">
        <f t="shared" si="0"/>
        <v>0.3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3" t="str">
        <f>IFERROR(VLOOKUP(C18,'BD EVA 1 JUA'!$D$3:$Q$108,14,0), "sin dato")</f>
        <v>sin dato</v>
      </c>
      <c r="F18" s="75">
        <v>44834</v>
      </c>
      <c r="G18" s="123" t="str">
        <f ca="1">IFERROR(VLOOKUP(C18,'BD EVA 1 JUA'!$D$3:$Y$108,22,0),"sin dato")</f>
        <v>#VALUE!</v>
      </c>
      <c r="H18" s="125">
        <f>VLOOKUP(C18,'BD EVA 1 JUA'!$D$3:$R$108,15,0)</f>
        <v>1</v>
      </c>
      <c r="I18" s="125"/>
      <c r="J18" s="75" t="s">
        <v>318</v>
      </c>
      <c r="K18" s="71">
        <v>1.5</v>
      </c>
      <c r="L18" s="129">
        <f t="shared" si="0"/>
        <v>0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3" t="str">
        <f>IFERROR(VLOOKUP(C19,'BD EVA 1 JUA'!$D$3:$Q$108,14,0), "sin dato")</f>
        <v>sin dato</v>
      </c>
      <c r="F19" s="75">
        <v>44834</v>
      </c>
      <c r="G19" s="123" t="str">
        <f ca="1">IFERROR(VLOOKUP(C19,'BD EVA 1 JUA'!$D$3:$Y$108,22,0),"sin dato")</f>
        <v>#VALUE!</v>
      </c>
      <c r="H19" s="125">
        <f>VLOOKUP(C19,'BD EVA 1 JUA'!$D$3:$R$108,15,0)</f>
        <v>1</v>
      </c>
      <c r="I19" s="125"/>
      <c r="J19" s="75" t="s">
        <v>318</v>
      </c>
      <c r="K19" s="71">
        <v>1.5</v>
      </c>
      <c r="L19" s="129">
        <f t="shared" si="0"/>
        <v>0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3" t="str">
        <f>IFERROR(VLOOKUP(C20,'BD EVA 1 JUA'!$D$3:$Q$108,14,0), "sin dato")</f>
        <v>sin dato</v>
      </c>
      <c r="F20" s="75">
        <v>44834</v>
      </c>
      <c r="G20" s="123" t="str">
        <f ca="1">IFERROR(VLOOKUP(C20,'BD EVA 1 JUA'!$D$3:$Y$108,22,0),"sin dato")</f>
        <v>#VALUE!</v>
      </c>
      <c r="H20" s="125">
        <f>VLOOKUP(C20,'BD EVA 1 JUA'!$D$3:$R$108,15,0)</f>
        <v>1</v>
      </c>
      <c r="I20" s="125"/>
      <c r="J20" s="75" t="s">
        <v>318</v>
      </c>
      <c r="K20" s="71">
        <v>0.9</v>
      </c>
      <c r="L20" s="129">
        <f t="shared" si="0"/>
        <v>0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3" t="str">
        <f>IFERROR(VLOOKUP(C21,'BD EVA 1 JUA'!$D$3:$Q$108,14,0), "sin dato")</f>
        <v>sin dato</v>
      </c>
      <c r="F21" s="75">
        <v>44834</v>
      </c>
      <c r="G21" s="123" t="str">
        <f ca="1">IFERROR(VLOOKUP(C21,'BD EVA 1 JUA'!$D$3:$Y$108,22,0),"sin dato")</f>
        <v>Sin dato</v>
      </c>
      <c r="H21" s="125">
        <f>VLOOKUP(C21,'BD EVA 1 JUA'!$D$3:$R$108,15,0)</f>
        <v>1</v>
      </c>
      <c r="I21" s="125"/>
      <c r="J21" s="75" t="s">
        <v>318</v>
      </c>
      <c r="K21" s="71">
        <v>1.5</v>
      </c>
      <c r="L21" s="129">
        <f t="shared" si="0"/>
        <v>0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JUA'!$D$3:$Q$108,14,0)</f>
        <v>0</v>
      </c>
      <c r="F22" s="71" t="s">
        <v>59</v>
      </c>
      <c r="G22" s="123">
        <f ca="1">IFERROR(VLOOKUP(C22,'BD EVA 1 JUA'!$D$3:$Y$108,22,0),"")</f>
        <v>0</v>
      </c>
      <c r="H22" s="138">
        <f>VLOOKUP(C22,'BD EVA 1 JUA'!$D$3:$R$108,15,0)</f>
        <v>374.7833333333333</v>
      </c>
      <c r="I22" s="125">
        <f t="shared" ref="I22:I25" ca="1" si="5">G22/H22</f>
        <v>0</v>
      </c>
      <c r="J22" s="75" t="s">
        <v>318</v>
      </c>
      <c r="K22" s="71">
        <v>1.3</v>
      </c>
      <c r="L22" s="129">
        <f t="shared" ca="1" si="0"/>
        <v>0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1">
        <f>VLOOKUP(C23,'BD EVA 1 JUA'!$D$3:$Q$108,14,0)</f>
        <v>0</v>
      </c>
      <c r="F23" s="75">
        <v>44834</v>
      </c>
      <c r="G23" s="140">
        <f ca="1">VLOOKUP(C23,'BD EVA 1 JUA'!$D$3:$Y$108,22,0)</f>
        <v>9.7135800000000003</v>
      </c>
      <c r="H23" s="138">
        <f>VLOOKUP(C23,'BD EVA 1 JUA'!$D$3:$R$108,15,0)</f>
        <v>3.2166666666666668</v>
      </c>
      <c r="I23" s="125">
        <f t="shared" ca="1" si="5"/>
        <v>3.0197658031088084</v>
      </c>
      <c r="J23" s="75" t="s">
        <v>318</v>
      </c>
      <c r="K23" s="82">
        <v>2.645</v>
      </c>
      <c r="L23" s="129">
        <f t="shared" ca="1" si="0"/>
        <v>2.645</v>
      </c>
      <c r="M23" s="130">
        <f ca="1">SUM(L23:L26)</f>
        <v>6.3326894236909332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JUA'!$D$3:$Q$108,14,0)</f>
        <v>0</v>
      </c>
      <c r="F24" s="71" t="s">
        <v>59</v>
      </c>
      <c r="G24" s="137">
        <f ca="1">VLOOKUP(C24,'BD EVA 1 JUA'!$D$3:$Y$108,22,0)</f>
        <v>4726.79</v>
      </c>
      <c r="H24" s="137">
        <f>VLOOKUP(C24,'BD EVA 1 JUA'!$D$3:$R$108,15,0)</f>
        <v>7516.8</v>
      </c>
      <c r="I24" s="125">
        <f t="shared" ca="1" si="5"/>
        <v>0.62883008727117917</v>
      </c>
      <c r="J24" s="75" t="s">
        <v>318</v>
      </c>
      <c r="K24" s="82">
        <v>2.3340000000000001</v>
      </c>
      <c r="L24" s="129">
        <f t="shared" ca="1" si="0"/>
        <v>1.4676894236909321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JUA'!$D$3:$Q$108,14,0)</f>
        <v>0</v>
      </c>
      <c r="F25" s="71" t="s">
        <v>59</v>
      </c>
      <c r="G25" s="137">
        <f ca="1">VLOOKUP(C25,'BD EVA 1 JUA'!$D$3:$Y$108,22,0)</f>
        <v>0</v>
      </c>
      <c r="H25" s="138">
        <f>VLOOKUP(C25,'BD EVA 1 JUA'!$D$3:$R$108,15,0)</f>
        <v>24.400000000000002</v>
      </c>
      <c r="I25" s="125">
        <f t="shared" ca="1" si="5"/>
        <v>0</v>
      </c>
      <c r="J25" s="75" t="s">
        <v>318</v>
      </c>
      <c r="K25" s="82">
        <v>2.8010000000000002</v>
      </c>
      <c r="L25" s="129">
        <f t="shared" ca="1" si="0"/>
        <v>0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JUA'!$D$3:$Q$108,14,0)</f>
        <v>1193</v>
      </c>
      <c r="F26" s="71" t="s">
        <v>59</v>
      </c>
      <c r="G26" s="137">
        <f ca="1">VLOOKUP(C26,'BD EVA 1 JUA'!$D$3:$Y$108,22,0)</f>
        <v>834</v>
      </c>
      <c r="H26" s="129">
        <f>VLOOKUP(C26,'BD EVA 1 JUA'!$D$3:$R$108,15,0)</f>
        <v>1173.1166666666666</v>
      </c>
      <c r="I26" s="78">
        <f ca="1">(G26-E26)/(H26-E26)</f>
        <v>18.055322715842319</v>
      </c>
      <c r="J26" s="71" t="s">
        <v>319</v>
      </c>
      <c r="K26" s="82">
        <v>2.2200000000000002</v>
      </c>
      <c r="L26" s="129">
        <f t="shared" ca="1" si="0"/>
        <v>2.2200000000000002</v>
      </c>
      <c r="M26" s="127"/>
    </row>
    <row r="27" spans="1:13" ht="208">
      <c r="A27" s="121" t="s">
        <v>243</v>
      </c>
      <c r="B27" s="72" t="s">
        <v>244</v>
      </c>
      <c r="C27" s="72" t="s">
        <v>338</v>
      </c>
      <c r="D27" s="71" t="s">
        <v>57</v>
      </c>
      <c r="E27" s="137">
        <f>VLOOKUP(C27,'BD EVA 1 JUA'!$D$3:$Q$108,14,0)</f>
        <v>0</v>
      </c>
      <c r="F27" s="71" t="s">
        <v>59</v>
      </c>
      <c r="G27" s="137">
        <f ca="1">VLOOKUP(C27,'BD EVA 1 JUA'!$D$3:$Y$108,22,0)</f>
        <v>1796</v>
      </c>
      <c r="H27" s="138">
        <f>VLOOKUP(C27,'BD EVA 1 JUA'!$D$3:$R$108,15,0)</f>
        <v>42.166666666666664</v>
      </c>
      <c r="I27" s="71">
        <f t="shared" ref="I27:I30" ca="1" si="6">G27/H27</f>
        <v>42.59288537549407</v>
      </c>
      <c r="J27" s="75" t="s">
        <v>318</v>
      </c>
      <c r="K27" s="71">
        <v>2.5</v>
      </c>
      <c r="L27" s="129">
        <f t="shared" ca="1" si="0"/>
        <v>2.5</v>
      </c>
      <c r="M27" s="130">
        <f ca="1">SUM(L27:L30)</f>
        <v>4.8427499999999997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37">
        <f>VLOOKUP(C28,'BD EVA 1 JUA'!$D$3:$Q$108,14,0)</f>
        <v>0</v>
      </c>
      <c r="F28" s="75">
        <v>44834</v>
      </c>
      <c r="G28" s="137">
        <f ca="1">VLOOKUP(C28,'BD EVA 1 JUA'!$D$3:$Y$108,22,0)</f>
        <v>0</v>
      </c>
      <c r="H28" s="123">
        <f>VLOOKUP(C28,'BD EVA 1 JUA'!$D$3:$R$108,15,0)</f>
        <v>3</v>
      </c>
      <c r="I28" s="71">
        <f t="shared" ca="1" si="6"/>
        <v>0</v>
      </c>
      <c r="J28" s="75" t="s">
        <v>318</v>
      </c>
      <c r="K28" s="71">
        <v>2.5</v>
      </c>
      <c r="L28" s="129">
        <f t="shared" ca="1" si="0"/>
        <v>0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37">
        <f>VLOOKUP(C29,'BD EVA 1 JUA'!$D$3:$Q$108,14,0)</f>
        <v>86.3</v>
      </c>
      <c r="F29" s="75">
        <v>44713</v>
      </c>
      <c r="G29" s="129">
        <f ca="1">VLOOKUP(C29,'BD EVA 1 JUA'!$D$3:$Y$108,22,0)</f>
        <v>93.71</v>
      </c>
      <c r="H29" s="123">
        <f>VLOOKUP(C29,'BD EVA 1 JUA'!$D$3:$R$108,15,0)</f>
        <v>100</v>
      </c>
      <c r="I29" s="71">
        <f t="shared" ca="1" si="6"/>
        <v>0.93709999999999993</v>
      </c>
      <c r="J29" s="75" t="s">
        <v>318</v>
      </c>
      <c r="K29" s="71">
        <v>2.5</v>
      </c>
      <c r="L29" s="129">
        <f t="shared" ca="1" si="0"/>
        <v>2.3427499999999997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JUA'!$D$3:$Q$108,14,0)</f>
        <v>0</v>
      </c>
      <c r="F30" s="75">
        <v>44834</v>
      </c>
      <c r="G30" s="123">
        <f ca="1">VLOOKUP(C30,'BD EVA 1 JUA'!$D$3:$Y$108,22,0)</f>
        <v>0</v>
      </c>
      <c r="H30" s="123">
        <f>VLOOKUP(C30,'BD EVA 1 JUA'!$D$3:$R$108,15,0)</f>
        <v>4</v>
      </c>
      <c r="I30" s="71">
        <f t="shared" ca="1" si="6"/>
        <v>0</v>
      </c>
      <c r="J30" s="75" t="s">
        <v>318</v>
      </c>
      <c r="K30" s="71">
        <v>2.5</v>
      </c>
      <c r="L30" s="129">
        <f t="shared" ca="1" si="0"/>
        <v>0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034D-5BE3-A248-89F3-7B3209C7F640}">
  <dimension ref="A1:AD111"/>
  <sheetViews>
    <sheetView workbookViewId="0">
      <selection sqref="A1:XFD1"/>
    </sheetView>
  </sheetViews>
  <sheetFormatPr baseColWidth="10" defaultRowHeight="16"/>
  <sheetData>
    <row r="1" spans="1:30" s="111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  <c r="AD1" s="65"/>
    </row>
    <row r="2" spans="1:30">
      <c r="A2" s="155" t="s">
        <v>29</v>
      </c>
      <c r="B2" s="155" t="s">
        <v>29</v>
      </c>
      <c r="C2" s="156" t="s">
        <v>30</v>
      </c>
      <c r="D2" s="156" t="s">
        <v>31</v>
      </c>
      <c r="E2" s="155" t="s">
        <v>32</v>
      </c>
      <c r="F2" s="21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366">
        <v>406584</v>
      </c>
      <c r="Q2" s="366">
        <v>406584</v>
      </c>
      <c r="R2" s="397"/>
      <c r="S2" s="397"/>
      <c r="T2" s="397"/>
      <c r="U2" s="397"/>
      <c r="V2" s="397"/>
      <c r="W2" s="397"/>
      <c r="X2" s="366">
        <v>414934</v>
      </c>
      <c r="Y2" s="271">
        <v>414934</v>
      </c>
      <c r="Z2" s="22">
        <v>421798</v>
      </c>
      <c r="AA2" s="156">
        <v>421798</v>
      </c>
      <c r="AB2" s="156">
        <v>427063</v>
      </c>
      <c r="AC2" s="156">
        <v>427063</v>
      </c>
      <c r="AD2" s="156"/>
    </row>
    <row r="3" spans="1:30">
      <c r="A3" s="155" t="s">
        <v>34</v>
      </c>
      <c r="B3" s="155" t="s">
        <v>35</v>
      </c>
      <c r="C3" s="156" t="s">
        <v>36</v>
      </c>
      <c r="D3" s="156" t="s">
        <v>37</v>
      </c>
      <c r="E3" s="155" t="s">
        <v>38</v>
      </c>
      <c r="F3" s="21" t="s">
        <v>39</v>
      </c>
      <c r="G3" s="10">
        <v>44469</v>
      </c>
      <c r="H3" s="10">
        <v>44469</v>
      </c>
      <c r="I3" s="10">
        <v>44651</v>
      </c>
      <c r="J3" s="10">
        <v>44834</v>
      </c>
      <c r="K3" s="10">
        <v>45016</v>
      </c>
      <c r="L3" s="10">
        <v>45199</v>
      </c>
      <c r="M3" s="10">
        <v>45382</v>
      </c>
      <c r="N3" s="10">
        <v>45565</v>
      </c>
      <c r="O3" s="10">
        <v>45565</v>
      </c>
      <c r="P3" s="378"/>
      <c r="Q3" s="379"/>
      <c r="R3" s="156">
        <v>638</v>
      </c>
      <c r="S3" s="156">
        <v>664.875</v>
      </c>
      <c r="T3" s="156">
        <v>685</v>
      </c>
      <c r="U3" s="156">
        <v>712.5</v>
      </c>
      <c r="V3" s="156">
        <v>737.25</v>
      </c>
      <c r="W3" s="156">
        <v>737.25</v>
      </c>
      <c r="X3" s="379"/>
      <c r="Y3" s="271" t="str">
        <f ca="1">IFERROR(__xludf.DUMMYFUNCTION("INDEX(IMPORTRANGE(""1y0FWgjbB0gVlqn-q5LMJbGIsqOrzru4yowQz67dz2yc"", ""'JUA'!BH3:BH139""),MATCH(D3,IMPORTRANGE(""1y0FWgjbB0gVlqn-q5LMJbGIsqOrzru4yowQz67dz2yc"", ""'JUA'!D3:D139""),0))"),"Reservada")</f>
        <v>Reservada</v>
      </c>
      <c r="Z3" s="22" t="str">
        <f ca="1">IFERROR(__xludf.DUMMYFUNCTION("INDEX(IMPORTRANGE(""1y0FWgjbB0gVlqn-q5LMJbGIsqOrzru4yowQz67dz2yc"", ""'JUA'!BI3:BI139""),MATCH(D3,IMPORTRANGE(""1y0FWgjbB0gVlqn-q5LMJbGIsqOrzru4yowQz67dz2yc"", ""'JUA'!D3:D139""),0))"),"Reservada")</f>
        <v>Reservada</v>
      </c>
      <c r="AA3" s="156"/>
      <c r="AB3" s="156"/>
      <c r="AC3" s="156"/>
      <c r="AD3" s="156"/>
    </row>
    <row r="4" spans="1:30">
      <c r="A4" s="155" t="s">
        <v>34</v>
      </c>
      <c r="B4" s="155" t="s">
        <v>40</v>
      </c>
      <c r="C4" s="156" t="s">
        <v>30</v>
      </c>
      <c r="D4" s="155" t="s">
        <v>41</v>
      </c>
      <c r="E4" s="155" t="s">
        <v>38</v>
      </c>
      <c r="F4" s="21" t="s">
        <v>42</v>
      </c>
      <c r="G4" s="10">
        <v>44469</v>
      </c>
      <c r="H4" s="10">
        <v>44469</v>
      </c>
      <c r="I4" s="10">
        <v>44651</v>
      </c>
      <c r="J4" s="10">
        <v>44834</v>
      </c>
      <c r="K4" s="10">
        <v>45016</v>
      </c>
      <c r="L4" s="10">
        <v>45199</v>
      </c>
      <c r="M4" s="10">
        <v>45382</v>
      </c>
      <c r="N4" s="10">
        <v>45565</v>
      </c>
      <c r="O4" s="10">
        <v>45565</v>
      </c>
      <c r="P4" s="364"/>
      <c r="Q4" s="364"/>
      <c r="R4" s="290"/>
      <c r="S4" s="290"/>
      <c r="T4" s="290"/>
      <c r="U4" s="290"/>
      <c r="V4" s="290"/>
      <c r="W4" s="377"/>
      <c r="X4" s="365"/>
      <c r="Y4" s="271" t="str">
        <f ca="1">IFERROR(__xludf.DUMMYFUNCTION("INDEX(IMPORTRANGE(""1y0FWgjbB0gVlqn-q5LMJbGIsqOrzru4yowQz67dz2yc"", ""'JUA'!BH3:BH139""),MATCH(D4,IMPORTRANGE(""1y0FWgjbB0gVlqn-q5LMJbGIsqOrzru4yowQz67dz2yc"", ""'JUA'!D3:D139""),0))"),"Reservada")</f>
        <v>Reservada</v>
      </c>
      <c r="Z4" s="22" t="str">
        <f ca="1">IFERROR(__xludf.DUMMYFUNCTION("INDEX(IMPORTRANGE(""1y0FWgjbB0gVlqn-q5LMJbGIsqOrzru4yowQz67dz2yc"", ""'JUA'!BI3:BI139""),MATCH(D4,IMPORTRANGE(""1y0FWgjbB0gVlqn-q5LMJbGIsqOrzru4yowQz67dz2yc"", ""'JUA'!D3:D139""),0))"),"Reservada")</f>
        <v>Reservada</v>
      </c>
      <c r="AA4" s="156"/>
      <c r="AB4" s="156"/>
      <c r="AC4" s="156"/>
      <c r="AD4" s="156"/>
    </row>
    <row r="5" spans="1:30">
      <c r="A5" s="155" t="s">
        <v>34</v>
      </c>
      <c r="B5" s="155" t="s">
        <v>40</v>
      </c>
      <c r="C5" s="156" t="s">
        <v>36</v>
      </c>
      <c r="D5" s="156" t="s">
        <v>43</v>
      </c>
      <c r="E5" s="155" t="s">
        <v>38</v>
      </c>
      <c r="F5" s="21" t="s">
        <v>44</v>
      </c>
      <c r="G5" s="10">
        <v>44469</v>
      </c>
      <c r="H5" s="10">
        <v>44469</v>
      </c>
      <c r="I5" s="10">
        <v>44651</v>
      </c>
      <c r="J5" s="10">
        <v>44834</v>
      </c>
      <c r="K5" s="10">
        <v>45016</v>
      </c>
      <c r="L5" s="10">
        <v>45199</v>
      </c>
      <c r="M5" s="10">
        <v>45382</v>
      </c>
      <c r="N5" s="10">
        <v>45565</v>
      </c>
      <c r="O5" s="10">
        <v>45565</v>
      </c>
      <c r="P5" s="366" t="e">
        <f t="shared" ref="P5:Q5" si="0">P4/P3</f>
        <v>#DIV/0!</v>
      </c>
      <c r="Q5" s="366" t="e">
        <f t="shared" si="0"/>
        <v>#DIV/0!</v>
      </c>
      <c r="R5" s="397" t="s">
        <v>327</v>
      </c>
      <c r="S5" s="397" t="s">
        <v>327</v>
      </c>
      <c r="T5" s="397" t="s">
        <v>327</v>
      </c>
      <c r="U5" s="397" t="s">
        <v>327</v>
      </c>
      <c r="V5" s="397" t="s">
        <v>327</v>
      </c>
      <c r="W5" s="397" t="s">
        <v>327</v>
      </c>
      <c r="X5" s="366" t="e">
        <f>X4/X3</f>
        <v>#DIV/0!</v>
      </c>
      <c r="Y5" s="271" t="str">
        <f ca="1">IFERROR(__xludf.DUMMYFUNCTION("INDEX(IMPORTRANGE(""1y0FWgjbB0gVlqn-q5LMJbGIsqOrzru4yowQz67dz2yc"", ""'JUA'!BH3:BH139""),MATCH(D5,IMPORTRANGE(""1y0FWgjbB0gVlqn-q5LMJbGIsqOrzru4yowQz67dz2yc"", ""'JUA'!D3:D139""),0))"),"#VALUE!")</f>
        <v>#VALUE!</v>
      </c>
      <c r="Z5" s="22" t="str">
        <f ca="1">IFERROR(__xludf.DUMMYFUNCTION("INDEX(IMPORTRANGE(""1y0FWgjbB0gVlqn-q5LMJbGIsqOrzru4yowQz67dz2yc"", ""'JUA'!BI3:BI139""),MATCH(D5,IMPORTRANGE(""1y0FWgjbB0gVlqn-q5LMJbGIsqOrzru4yowQz67dz2yc"", ""'JUA'!D3:D139""),0))"),"#VALUE!")</f>
        <v>#VALUE!</v>
      </c>
      <c r="AA5" s="156"/>
      <c r="AB5" s="156"/>
      <c r="AC5" s="156"/>
      <c r="AD5" s="156"/>
    </row>
    <row r="6" spans="1:30">
      <c r="A6" s="155" t="s">
        <v>34</v>
      </c>
      <c r="B6" s="155" t="s">
        <v>45</v>
      </c>
      <c r="C6" s="156" t="s">
        <v>30</v>
      </c>
      <c r="D6" s="156" t="s">
        <v>328</v>
      </c>
      <c r="E6" s="155" t="s">
        <v>38</v>
      </c>
      <c r="F6" s="21" t="s">
        <v>47</v>
      </c>
      <c r="G6" s="10">
        <v>44469</v>
      </c>
      <c r="H6" s="10">
        <v>44469</v>
      </c>
      <c r="I6" s="10">
        <v>44651</v>
      </c>
      <c r="J6" s="10">
        <v>44834</v>
      </c>
      <c r="K6" s="10">
        <v>45016</v>
      </c>
      <c r="L6" s="10">
        <v>45199</v>
      </c>
      <c r="M6" s="10">
        <v>45382</v>
      </c>
      <c r="N6" s="10">
        <v>45565</v>
      </c>
      <c r="O6" s="10">
        <v>45565</v>
      </c>
      <c r="P6" s="378"/>
      <c r="Q6" s="379"/>
      <c r="R6" s="156"/>
      <c r="S6" s="156"/>
      <c r="T6" s="156"/>
      <c r="U6" s="156"/>
      <c r="V6" s="156"/>
      <c r="W6" s="156"/>
      <c r="X6" s="379"/>
      <c r="Y6" s="271">
        <f ca="1">IFERROR(__xludf.DUMMYFUNCTION("INDEX(IMPORTRANGE(""1y0FWgjbB0gVlqn-q5LMJbGIsqOrzru4yowQz67dz2yc"", ""'JUA'!BH3:BH139""),MATCH(D6,IMPORTRANGE(""1y0FWgjbB0gVlqn-q5LMJbGIsqOrzru4yowQz67dz2yc"", ""'JUA'!D3:D139""),0))"),0)</f>
        <v>0</v>
      </c>
      <c r="Z6" s="22">
        <f ca="1">IFERROR(__xludf.DUMMYFUNCTION("INDEX(IMPORTRANGE(""1y0FWgjbB0gVlqn-q5LMJbGIsqOrzru4yowQz67dz2yc"", ""'JUA'!BI3:BI139""),MATCH(D6,IMPORTRANGE(""1y0FWgjbB0gVlqn-q5LMJbGIsqOrzru4yowQz67dz2yc"", ""'JUA'!D3:D139""),0))"),0)</f>
        <v>0</v>
      </c>
      <c r="AA6" s="156"/>
      <c r="AB6" s="156"/>
      <c r="AC6" s="156"/>
      <c r="AD6" s="156"/>
    </row>
    <row r="7" spans="1:30">
      <c r="A7" s="155" t="s">
        <v>34</v>
      </c>
      <c r="B7" s="155" t="s">
        <v>45</v>
      </c>
      <c r="C7" s="156" t="s">
        <v>30</v>
      </c>
      <c r="D7" s="156" t="s">
        <v>329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367"/>
      <c r="Q7" s="367"/>
      <c r="R7" s="156"/>
      <c r="S7" s="156"/>
      <c r="T7" s="156"/>
      <c r="U7" s="156"/>
      <c r="V7" s="156"/>
      <c r="W7" s="380"/>
      <c r="X7" s="367"/>
      <c r="Y7" s="271">
        <f ca="1">IFERROR(__xludf.DUMMYFUNCTION("INDEX(IMPORTRANGE(""1y0FWgjbB0gVlqn-q5LMJbGIsqOrzru4yowQz67dz2yc"", ""'JUA'!BH3:BH139""),MATCH(D7,IMPORTRANGE(""1y0FWgjbB0gVlqn-q5LMJbGIsqOrzru4yowQz67dz2yc"", ""'JUA'!D3:D139""),0))"),0)</f>
        <v>0</v>
      </c>
      <c r="Z7" s="22">
        <f ca="1">IFERROR(__xludf.DUMMYFUNCTION("INDEX(IMPORTRANGE(""1y0FWgjbB0gVlqn-q5LMJbGIsqOrzru4yowQz67dz2yc"", ""'JUA'!BI3:BI139""),MATCH(D7,IMPORTRANGE(""1y0FWgjbB0gVlqn-q5LMJbGIsqOrzru4yowQz67dz2yc"", ""'JUA'!D3:D139""),0))"),0)</f>
        <v>0</v>
      </c>
      <c r="AA7" s="156"/>
      <c r="AB7" s="156"/>
      <c r="AC7" s="156"/>
      <c r="AD7" s="156"/>
    </row>
    <row r="8" spans="1:30">
      <c r="A8" s="155" t="s">
        <v>34</v>
      </c>
      <c r="B8" s="155" t="s">
        <v>45</v>
      </c>
      <c r="C8" s="156" t="s">
        <v>36</v>
      </c>
      <c r="D8" s="156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0">
        <v>44651</v>
      </c>
      <c r="J8" s="10">
        <v>44834</v>
      </c>
      <c r="K8" s="10">
        <v>45016</v>
      </c>
      <c r="L8" s="10">
        <v>45199</v>
      </c>
      <c r="M8" s="10">
        <v>45382</v>
      </c>
      <c r="N8" s="10">
        <v>45565</v>
      </c>
      <c r="O8" s="10">
        <v>45565</v>
      </c>
      <c r="P8" s="367" t="e">
        <f t="shared" ref="P8:Q8" si="1">P6/P3</f>
        <v>#DIV/0!</v>
      </c>
      <c r="Q8" s="367" t="e">
        <f t="shared" si="1"/>
        <v>#DIV/0!</v>
      </c>
      <c r="R8" s="398">
        <v>2.3E-2</v>
      </c>
      <c r="S8" s="398">
        <v>2.7E-2</v>
      </c>
      <c r="T8" s="398">
        <v>3.1E-2</v>
      </c>
      <c r="U8" s="398">
        <v>3.5000000000000003E-2</v>
      </c>
      <c r="V8" s="398">
        <v>4.1000000000000002E-2</v>
      </c>
      <c r="W8" s="398">
        <v>4.1000000000000002E-2</v>
      </c>
      <c r="X8" s="367" t="e">
        <f>X6/X3</f>
        <v>#DIV/0!</v>
      </c>
      <c r="Y8" s="271" t="str">
        <f ca="1">IFERROR(__xludf.DUMMYFUNCTION("INDEX(IMPORTRANGE(""1y0FWgjbB0gVlqn-q5LMJbGIsqOrzru4yowQz67dz2yc"", ""'JUA'!BH3:BH139""),MATCH(D8,IMPORTRANGE(""1y0FWgjbB0gVlqn-q5LMJbGIsqOrzru4yowQz67dz2yc"", ""'JUA'!D3:D139""),0))"),"#VALUE!")</f>
        <v>#VALUE!</v>
      </c>
      <c r="Z8" s="22" t="str">
        <f ca="1">IFERROR(__xludf.DUMMYFUNCTION("INDEX(IMPORTRANGE(""1y0FWgjbB0gVlqn-q5LMJbGIsqOrzru4yowQz67dz2yc"", ""'JUA'!BI3:BI139""),MATCH(D8,IMPORTRANGE(""1y0FWgjbB0gVlqn-q5LMJbGIsqOrzru4yowQz67dz2yc"", ""'JUA'!D3:D139""),0))"),"#VALUE!")</f>
        <v>#VALUE!</v>
      </c>
      <c r="AA8" s="156"/>
      <c r="AB8" s="156"/>
      <c r="AC8" s="156"/>
      <c r="AD8" s="156"/>
    </row>
    <row r="9" spans="1:30">
      <c r="A9" s="155" t="s">
        <v>52</v>
      </c>
      <c r="B9" s="155" t="s">
        <v>53</v>
      </c>
      <c r="C9" s="156" t="s">
        <v>30</v>
      </c>
      <c r="D9" s="156" t="s">
        <v>54</v>
      </c>
      <c r="E9" s="155" t="s">
        <v>38</v>
      </c>
      <c r="F9" s="21" t="s">
        <v>55</v>
      </c>
      <c r="G9" s="21" t="s">
        <v>56</v>
      </c>
      <c r="H9" s="21" t="s">
        <v>57</v>
      </c>
      <c r="I9" s="21" t="s">
        <v>58</v>
      </c>
      <c r="J9" s="21" t="s">
        <v>59</v>
      </c>
      <c r="K9" s="21" t="s">
        <v>60</v>
      </c>
      <c r="L9" s="21" t="s">
        <v>61</v>
      </c>
      <c r="M9" s="21" t="s">
        <v>62</v>
      </c>
      <c r="N9" s="21" t="s">
        <v>63</v>
      </c>
      <c r="O9" s="21" t="s">
        <v>63</v>
      </c>
      <c r="P9" s="262">
        <v>0</v>
      </c>
      <c r="Q9" s="22">
        <v>0</v>
      </c>
      <c r="R9" s="290"/>
      <c r="S9" s="290"/>
      <c r="T9" s="290"/>
      <c r="U9" s="290"/>
      <c r="V9" s="290"/>
      <c r="W9" s="377"/>
      <c r="X9" s="262">
        <v>0</v>
      </c>
      <c r="Y9" s="262">
        <f ca="1">IFERROR(__xludf.DUMMYFUNCTION("INDEX(IMPORTRANGE(""1y0FWgjbB0gVlqn-q5LMJbGIsqOrzru4yowQz67dz2yc"", ""'JUA'!BH3:BH139""),MATCH(D9,IMPORTRANGE(""1y0FWgjbB0gVlqn-q5LMJbGIsqOrzru4yowQz67dz2yc"", ""'JUA'!D3:D139""),0))"),0)</f>
        <v>0</v>
      </c>
      <c r="Z9" s="22">
        <f ca="1">IFERROR(__xludf.DUMMYFUNCTION("INDEX(IMPORTRANGE(""1y0FWgjbB0gVlqn-q5LMJbGIsqOrzru4yowQz67dz2yc"", ""'JUA'!BI3:BI139""),MATCH(D9,IMPORTRANGE(""1y0FWgjbB0gVlqn-q5LMJbGIsqOrzru4yowQz67dz2yc"", ""'JUA'!D3:D139""),0))"),88)</f>
        <v>88</v>
      </c>
      <c r="AA9" s="156"/>
      <c r="AB9" s="156"/>
      <c r="AC9" s="156"/>
      <c r="AD9" s="156"/>
    </row>
    <row r="10" spans="1:30">
      <c r="A10" s="155" t="s">
        <v>52</v>
      </c>
      <c r="B10" s="155" t="s">
        <v>53</v>
      </c>
      <c r="C10" s="156" t="s">
        <v>30</v>
      </c>
      <c r="D10" s="156" t="s">
        <v>64</v>
      </c>
      <c r="E10" s="155" t="s">
        <v>38</v>
      </c>
      <c r="F10" s="21" t="s">
        <v>65</v>
      </c>
      <c r="G10" s="21" t="s">
        <v>56</v>
      </c>
      <c r="H10" s="21" t="s">
        <v>57</v>
      </c>
      <c r="I10" s="21" t="s">
        <v>58</v>
      </c>
      <c r="J10" s="21" t="s">
        <v>59</v>
      </c>
      <c r="K10" s="21" t="s">
        <v>60</v>
      </c>
      <c r="L10" s="21" t="s">
        <v>61</v>
      </c>
      <c r="M10" s="21" t="s">
        <v>62</v>
      </c>
      <c r="N10" s="21" t="s">
        <v>63</v>
      </c>
      <c r="O10" s="21" t="s">
        <v>63</v>
      </c>
      <c r="P10" s="262">
        <v>1183</v>
      </c>
      <c r="Q10" s="22">
        <v>2633</v>
      </c>
      <c r="R10" s="290"/>
      <c r="S10" s="290"/>
      <c r="T10" s="290"/>
      <c r="U10" s="290"/>
      <c r="V10" s="290"/>
      <c r="W10" s="377"/>
      <c r="X10" s="262">
        <v>1970</v>
      </c>
      <c r="Y10" s="262">
        <f ca="1">IFERROR(__xludf.DUMMYFUNCTION("INDEX(IMPORTRANGE(""1y0FWgjbB0gVlqn-q5LMJbGIsqOrzru4yowQz67dz2yc"", ""'JUA'!BH3:BH139""),MATCH(D10,IMPORTRANGE(""1y0FWgjbB0gVlqn-q5LMJbGIsqOrzru4yowQz67dz2yc"", ""'JUA'!D3:D139""),0))"),3205)</f>
        <v>3205</v>
      </c>
      <c r="Z10" s="22">
        <f ca="1">IFERROR(__xludf.DUMMYFUNCTION("INDEX(IMPORTRANGE(""1y0FWgjbB0gVlqn-q5LMJbGIsqOrzru4yowQz67dz2yc"", ""'JUA'!BI3:BI139""),MATCH(D10,IMPORTRANGE(""1y0FWgjbB0gVlqn-q5LMJbGIsqOrzru4yowQz67dz2yc"", ""'JUA'!D3:D139""),0))"),1443)</f>
        <v>1443</v>
      </c>
      <c r="AA10" s="156"/>
      <c r="AB10" s="156"/>
      <c r="AC10" s="156"/>
      <c r="AD10" s="156"/>
    </row>
    <row r="11" spans="1:30">
      <c r="A11" s="155" t="s">
        <v>52</v>
      </c>
      <c r="B11" s="155" t="s">
        <v>53</v>
      </c>
      <c r="C11" s="156" t="s">
        <v>36</v>
      </c>
      <c r="D11" s="156" t="s">
        <v>66</v>
      </c>
      <c r="E11" s="155" t="s">
        <v>38</v>
      </c>
      <c r="F11" s="21" t="s">
        <v>67</v>
      </c>
      <c r="G11" s="21" t="s">
        <v>56</v>
      </c>
      <c r="H11" s="21" t="s">
        <v>57</v>
      </c>
      <c r="I11" s="21" t="s">
        <v>58</v>
      </c>
      <c r="J11" s="21" t="s">
        <v>59</v>
      </c>
      <c r="K11" s="21" t="s">
        <v>60</v>
      </c>
      <c r="L11" s="21" t="s">
        <v>61</v>
      </c>
      <c r="M11" s="21" t="s">
        <v>62</v>
      </c>
      <c r="N11" s="21" t="s">
        <v>63</v>
      </c>
      <c r="O11" s="21" t="s">
        <v>63</v>
      </c>
      <c r="P11" s="25">
        <f t="shared" ref="P11:Q11" si="2">P9/P10</f>
        <v>0</v>
      </c>
      <c r="Q11" s="25">
        <f t="shared" si="2"/>
        <v>0</v>
      </c>
      <c r="R11" s="399">
        <v>5.1999999999999998E-2</v>
      </c>
      <c r="S11" s="399">
        <v>0.129</v>
      </c>
      <c r="T11" s="399">
        <v>0.16600000000000001</v>
      </c>
      <c r="U11" s="399">
        <v>0.20399999999999999</v>
      </c>
      <c r="V11" s="399">
        <v>0.24399999999999999</v>
      </c>
      <c r="W11" s="399">
        <v>0.24399999999999999</v>
      </c>
      <c r="X11" s="25">
        <f>X9/X10</f>
        <v>0</v>
      </c>
      <c r="Y11" s="25">
        <f ca="1">IFERROR(__xludf.DUMMYFUNCTION("INDEX(IMPORTRANGE(""1y0FWgjbB0gVlqn-q5LMJbGIsqOrzru4yowQz67dz2yc"", ""'JUA'!BH3:BH139""),MATCH(D11,IMPORTRANGE(""1y0FWgjbB0gVlqn-q5LMJbGIsqOrzru4yowQz67dz2yc"", ""'JUA'!D3:D139""),0))"),0)</f>
        <v>0</v>
      </c>
      <c r="Z11" s="25">
        <f ca="1">IFERROR(__xludf.DUMMYFUNCTION("INDEX(IMPORTRANGE(""1y0FWgjbB0gVlqn-q5LMJbGIsqOrzru4yowQz67dz2yc"", ""'JUA'!BI3:BI139""),MATCH(D11,IMPORTRANGE(""1y0FWgjbB0gVlqn-q5LMJbGIsqOrzru4yowQz67dz2yc"", ""'JUA'!D3:D139""),0))"),0.0609840609840609)</f>
        <v>6.0984060984060902E-2</v>
      </c>
      <c r="AA11" s="156"/>
      <c r="AB11" s="156"/>
      <c r="AC11" s="156"/>
      <c r="AD11" s="156"/>
    </row>
    <row r="12" spans="1:30">
      <c r="A12" s="155" t="s">
        <v>52</v>
      </c>
      <c r="B12" s="155" t="s">
        <v>68</v>
      </c>
      <c r="C12" s="156" t="s">
        <v>30</v>
      </c>
      <c r="D12" s="155" t="s">
        <v>69</v>
      </c>
      <c r="E12" s="155" t="s">
        <v>70</v>
      </c>
      <c r="F12" s="21" t="s">
        <v>71</v>
      </c>
      <c r="G12" s="21" t="s">
        <v>56</v>
      </c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1" t="s">
        <v>62</v>
      </c>
      <c r="N12" s="21" t="s">
        <v>63</v>
      </c>
      <c r="O12" s="21" t="s">
        <v>63</v>
      </c>
      <c r="P12" s="262">
        <v>49</v>
      </c>
      <c r="Q12" s="262">
        <v>92</v>
      </c>
      <c r="R12" s="290"/>
      <c r="S12" s="290"/>
      <c r="T12" s="290"/>
      <c r="U12" s="290"/>
      <c r="V12" s="290"/>
      <c r="W12" s="377"/>
      <c r="X12" s="262">
        <v>31</v>
      </c>
      <c r="Y12" s="262">
        <f ca="1">IFERROR(__xludf.DUMMYFUNCTION("INDEX(IMPORTRANGE(""1y0FWgjbB0gVlqn-q5LMJbGIsqOrzru4yowQz67dz2yc"", ""'JUA'!BH3:BH139""),MATCH(D12,IMPORTRANGE(""1y0FWgjbB0gVlqn-q5LMJbGIsqOrzru4yowQz67dz2yc"", ""'JUA'!D3:D139""),0))"),102)</f>
        <v>102</v>
      </c>
      <c r="Z12" s="22">
        <f ca="1">IFERROR(__xludf.DUMMYFUNCTION("INDEX(IMPORTRANGE(""1y0FWgjbB0gVlqn-q5LMJbGIsqOrzru4yowQz67dz2yc"", ""'JUA'!BI3:BI139""),MATCH(D12,IMPORTRANGE(""1y0FWgjbB0gVlqn-q5LMJbGIsqOrzru4yowQz67dz2yc"", ""'JUA'!D3:D139""),0))"),71)</f>
        <v>71</v>
      </c>
      <c r="AA12" s="156"/>
      <c r="AB12" s="156"/>
      <c r="AC12" s="156"/>
      <c r="AD12" s="156"/>
    </row>
    <row r="13" spans="1:30">
      <c r="A13" s="155" t="s">
        <v>52</v>
      </c>
      <c r="B13" s="155" t="s">
        <v>68</v>
      </c>
      <c r="C13" s="156" t="s">
        <v>36</v>
      </c>
      <c r="D13" s="155" t="s">
        <v>72</v>
      </c>
      <c r="E13" s="155" t="s">
        <v>73</v>
      </c>
      <c r="F13" s="21" t="s">
        <v>74</v>
      </c>
      <c r="G13" s="22" t="s">
        <v>56</v>
      </c>
      <c r="H13" s="22" t="s">
        <v>57</v>
      </c>
      <c r="I13" s="21" t="s">
        <v>58</v>
      </c>
      <c r="J13" s="21" t="s">
        <v>59</v>
      </c>
      <c r="K13" s="21" t="s">
        <v>60</v>
      </c>
      <c r="L13" s="21" t="s">
        <v>61</v>
      </c>
      <c r="M13" s="21" t="s">
        <v>62</v>
      </c>
      <c r="N13" s="21" t="s">
        <v>63</v>
      </c>
      <c r="O13" s="21" t="s">
        <v>63</v>
      </c>
      <c r="P13" s="265">
        <f t="shared" ref="P13:Q13" si="3">(P12/P$2)*100000</f>
        <v>12.051630167443873</v>
      </c>
      <c r="Q13" s="265">
        <f t="shared" si="3"/>
        <v>22.627550518466052</v>
      </c>
      <c r="R13" s="400">
        <v>21.7</v>
      </c>
      <c r="S13" s="400">
        <v>11</v>
      </c>
      <c r="T13" s="400">
        <v>20.7</v>
      </c>
      <c r="U13" s="400">
        <v>10.5</v>
      </c>
      <c r="V13" s="400">
        <v>19.7</v>
      </c>
      <c r="W13" s="400">
        <v>19.7</v>
      </c>
      <c r="X13" s="265">
        <f>(X12/X$2)*100000</f>
        <v>7.4710676878732514</v>
      </c>
      <c r="Y13" s="265">
        <f ca="1">IFERROR(__xludf.DUMMYFUNCTION("INDEX(IMPORTRANGE(""1y0FWgjbB0gVlqn-q5LMJbGIsqOrzru4yowQz67dz2yc"", ""'JUA'!BH3:BH139""),MATCH(D13,IMPORTRANGE(""1y0FWgjbB0gVlqn-q5LMJbGIsqOrzru4yowQz67dz2yc"", ""'JUA'!D3:D139""),0))"),24.5822227149377)</f>
        <v>24.5822227149377</v>
      </c>
      <c r="Z13" s="266">
        <f ca="1">IFERROR(__xludf.DUMMYFUNCTION("INDEX(IMPORTRANGE(""1y0FWgjbB0gVlqn-q5LMJbGIsqOrzru4yowQz67dz2yc"", ""'JUA'!BI3:BI139""),MATCH(D13,IMPORTRANGE(""1y0FWgjbB0gVlqn-q5LMJbGIsqOrzru4yowQz67dz2yc"", ""'JUA'!D3:D139""),0))"),16.8327019094448)</f>
        <v>16.8327019094448</v>
      </c>
      <c r="AA13" s="156"/>
      <c r="AB13" s="156"/>
      <c r="AC13" s="156"/>
      <c r="AD13" s="156"/>
    </row>
    <row r="14" spans="1:30">
      <c r="A14" s="155" t="s">
        <v>52</v>
      </c>
      <c r="B14" s="155" t="s">
        <v>68</v>
      </c>
      <c r="C14" s="156" t="s">
        <v>30</v>
      </c>
      <c r="D14" s="155" t="s">
        <v>75</v>
      </c>
      <c r="E14" s="155" t="s">
        <v>76</v>
      </c>
      <c r="F14" s="21" t="s">
        <v>77</v>
      </c>
      <c r="G14" s="22" t="s">
        <v>56</v>
      </c>
      <c r="H14" s="22" t="s">
        <v>57</v>
      </c>
      <c r="I14" s="21" t="s">
        <v>58</v>
      </c>
      <c r="J14" s="21" t="s">
        <v>59</v>
      </c>
      <c r="K14" s="21" t="s">
        <v>60</v>
      </c>
      <c r="L14" s="21" t="s">
        <v>61</v>
      </c>
      <c r="M14" s="21" t="s">
        <v>62</v>
      </c>
      <c r="N14" s="21" t="s">
        <v>63</v>
      </c>
      <c r="O14" s="21" t="s">
        <v>63</v>
      </c>
      <c r="P14" s="262">
        <v>157</v>
      </c>
      <c r="Q14" s="262">
        <v>423</v>
      </c>
      <c r="R14" s="290"/>
      <c r="S14" s="290"/>
      <c r="T14" s="290"/>
      <c r="U14" s="290"/>
      <c r="V14" s="290"/>
      <c r="W14" s="377"/>
      <c r="X14" s="262">
        <v>207</v>
      </c>
      <c r="Y14" s="262">
        <f ca="1">IFERROR(__xludf.DUMMYFUNCTION("INDEX(IMPORTRANGE(""1y0FWgjbB0gVlqn-q5LMJbGIsqOrzru4yowQz67dz2yc"", ""'JUA'!BH3:BH139""),MATCH(D14,IMPORTRANGE(""1y0FWgjbB0gVlqn-q5LMJbGIsqOrzru4yowQz67dz2yc"", ""'JUA'!D3:D139""),0))"),301)</f>
        <v>301</v>
      </c>
      <c r="Z14" s="22">
        <f ca="1">IFERROR(__xludf.DUMMYFUNCTION("INDEX(IMPORTRANGE(""1y0FWgjbB0gVlqn-q5LMJbGIsqOrzru4yowQz67dz2yc"", ""'JUA'!BI3:BI139""),MATCH(D14,IMPORTRANGE(""1y0FWgjbB0gVlqn-q5LMJbGIsqOrzru4yowQz67dz2yc"", ""'JUA'!D3:D139""),0))"),86)</f>
        <v>86</v>
      </c>
      <c r="AA14" s="156"/>
      <c r="AB14" s="156"/>
      <c r="AC14" s="156"/>
      <c r="AD14" s="156"/>
    </row>
    <row r="15" spans="1:30">
      <c r="A15" s="155" t="s">
        <v>52</v>
      </c>
      <c r="B15" s="155" t="s">
        <v>68</v>
      </c>
      <c r="C15" s="156" t="s">
        <v>30</v>
      </c>
      <c r="D15" s="155" t="s">
        <v>78</v>
      </c>
      <c r="E15" s="155" t="s">
        <v>76</v>
      </c>
      <c r="F15" s="21" t="s">
        <v>79</v>
      </c>
      <c r="G15" s="22" t="s">
        <v>56</v>
      </c>
      <c r="H15" s="22" t="s">
        <v>57</v>
      </c>
      <c r="I15" s="21" t="s">
        <v>58</v>
      </c>
      <c r="J15" s="21" t="s">
        <v>59</v>
      </c>
      <c r="K15" s="21" t="s">
        <v>60</v>
      </c>
      <c r="L15" s="21" t="s">
        <v>61</v>
      </c>
      <c r="M15" s="21" t="s">
        <v>62</v>
      </c>
      <c r="N15" s="21" t="s">
        <v>63</v>
      </c>
      <c r="O15" s="21" t="s">
        <v>63</v>
      </c>
      <c r="P15" s="262">
        <v>241</v>
      </c>
      <c r="Q15" s="262">
        <v>541</v>
      </c>
      <c r="R15" s="290"/>
      <c r="S15" s="290"/>
      <c r="T15" s="290"/>
      <c r="U15" s="290"/>
      <c r="V15" s="290"/>
      <c r="W15" s="377"/>
      <c r="X15" s="262">
        <v>411</v>
      </c>
      <c r="Y15" s="262">
        <f ca="1">IFERROR(__xludf.DUMMYFUNCTION("INDEX(IMPORTRANGE(""1y0FWgjbB0gVlqn-q5LMJbGIsqOrzru4yowQz67dz2yc"", ""'JUA'!BH3:BH139""),MATCH(D15,IMPORTRANGE(""1y0FWgjbB0gVlqn-q5LMJbGIsqOrzru4yowQz67dz2yc"", ""'JUA'!D3:D139""),0))"),784)</f>
        <v>784</v>
      </c>
      <c r="Z15" s="22">
        <f ca="1">IFERROR(__xludf.DUMMYFUNCTION("INDEX(IMPORTRANGE(""1y0FWgjbB0gVlqn-q5LMJbGIsqOrzru4yowQz67dz2yc"", ""'JUA'!BI3:BI139""),MATCH(D15,IMPORTRANGE(""1y0FWgjbB0gVlqn-q5LMJbGIsqOrzru4yowQz67dz2yc"", ""'JUA'!D3:D139""),0))"),265)</f>
        <v>265</v>
      </c>
      <c r="AA15" s="156"/>
      <c r="AB15" s="156"/>
      <c r="AC15" s="156"/>
      <c r="AD15" s="156"/>
    </row>
    <row r="16" spans="1:30">
      <c r="A16" s="155" t="s">
        <v>52</v>
      </c>
      <c r="B16" s="155" t="s">
        <v>68</v>
      </c>
      <c r="C16" s="156" t="s">
        <v>30</v>
      </c>
      <c r="D16" s="155" t="s">
        <v>80</v>
      </c>
      <c r="E16" s="155" t="s">
        <v>76</v>
      </c>
      <c r="F16" s="21" t="s">
        <v>81</v>
      </c>
      <c r="G16" s="22" t="s">
        <v>56</v>
      </c>
      <c r="H16" s="22" t="s">
        <v>57</v>
      </c>
      <c r="I16" s="21" t="s">
        <v>58</v>
      </c>
      <c r="J16" s="21" t="s">
        <v>59</v>
      </c>
      <c r="K16" s="21" t="s">
        <v>60</v>
      </c>
      <c r="L16" s="21" t="s">
        <v>61</v>
      </c>
      <c r="M16" s="21" t="s">
        <v>62</v>
      </c>
      <c r="N16" s="21" t="s">
        <v>63</v>
      </c>
      <c r="O16" s="21" t="s">
        <v>63</v>
      </c>
      <c r="P16" s="262">
        <v>123</v>
      </c>
      <c r="Q16" s="262">
        <v>256</v>
      </c>
      <c r="R16" s="290"/>
      <c r="S16" s="290"/>
      <c r="T16" s="290"/>
      <c r="U16" s="290"/>
      <c r="V16" s="290"/>
      <c r="W16" s="377"/>
      <c r="X16" s="262">
        <v>193</v>
      </c>
      <c r="Y16" s="262">
        <f ca="1">IFERROR(__xludf.DUMMYFUNCTION("INDEX(IMPORTRANGE(""1y0FWgjbB0gVlqn-q5LMJbGIsqOrzru4yowQz67dz2yc"", ""'JUA'!BH3:BH139""),MATCH(D16,IMPORTRANGE(""1y0FWgjbB0gVlqn-q5LMJbGIsqOrzru4yowQz67dz2yc"", ""'JUA'!D3:D139""),0))"),435)</f>
        <v>435</v>
      </c>
      <c r="Z16" s="22">
        <f ca="1">IFERROR(__xludf.DUMMYFUNCTION("INDEX(IMPORTRANGE(""1y0FWgjbB0gVlqn-q5LMJbGIsqOrzru4yowQz67dz2yc"", ""'JUA'!BI3:BI139""),MATCH(D16,IMPORTRANGE(""1y0FWgjbB0gVlqn-q5LMJbGIsqOrzru4yowQz67dz2yc"", ""'JUA'!D3:D139""),0))"),227)</f>
        <v>227</v>
      </c>
      <c r="AA16" s="156"/>
      <c r="AB16" s="156"/>
      <c r="AC16" s="156"/>
      <c r="AD16" s="156"/>
    </row>
    <row r="17" spans="1:30">
      <c r="A17" s="155" t="s">
        <v>52</v>
      </c>
      <c r="B17" s="155" t="s">
        <v>68</v>
      </c>
      <c r="C17" s="156" t="s">
        <v>30</v>
      </c>
      <c r="D17" s="7" t="s">
        <v>82</v>
      </c>
      <c r="E17" s="155" t="s">
        <v>76</v>
      </c>
      <c r="F17" s="21" t="s">
        <v>83</v>
      </c>
      <c r="G17" s="22" t="s">
        <v>56</v>
      </c>
      <c r="H17" s="22" t="s">
        <v>57</v>
      </c>
      <c r="I17" s="21" t="s">
        <v>58</v>
      </c>
      <c r="J17" s="21" t="s">
        <v>59</v>
      </c>
      <c r="K17" s="21" t="s">
        <v>60</v>
      </c>
      <c r="L17" s="21" t="s">
        <v>61</v>
      </c>
      <c r="M17" s="21" t="s">
        <v>62</v>
      </c>
      <c r="N17" s="21" t="s">
        <v>63</v>
      </c>
      <c r="O17" s="21" t="s">
        <v>63</v>
      </c>
      <c r="P17" s="262">
        <v>48</v>
      </c>
      <c r="Q17" s="262">
        <v>99</v>
      </c>
      <c r="R17" s="290"/>
      <c r="S17" s="290"/>
      <c r="T17" s="290"/>
      <c r="U17" s="290"/>
      <c r="V17" s="290"/>
      <c r="W17" s="377"/>
      <c r="X17" s="262"/>
      <c r="Y17" s="262">
        <f ca="1">IFERROR(__xludf.DUMMYFUNCTION("INDEX(IMPORTRANGE(""1y0FWgjbB0gVlqn-q5LMJbGIsqOrzru4yowQz67dz2yc"", ""'JUA'!BH3:BH139""),MATCH(D17,IMPORTRANGE(""1y0FWgjbB0gVlqn-q5LMJbGIsqOrzru4yowQz67dz2yc"", ""'JUA'!D3:D139""),0))"),47)</f>
        <v>47</v>
      </c>
      <c r="Z17" s="22">
        <f ca="1">IFERROR(__xludf.DUMMYFUNCTION("INDEX(IMPORTRANGE(""1y0FWgjbB0gVlqn-q5LMJbGIsqOrzru4yowQz67dz2yc"", ""'JUA'!BI3:BI139""),MATCH(D17,IMPORTRANGE(""1y0FWgjbB0gVlqn-q5LMJbGIsqOrzru4yowQz67dz2yc"", ""'JUA'!D3:D139""),0))"),9)</f>
        <v>9</v>
      </c>
      <c r="AA17" s="156"/>
      <c r="AB17" s="156"/>
      <c r="AC17" s="156"/>
      <c r="AD17" s="401"/>
    </row>
    <row r="18" spans="1:30">
      <c r="A18" s="155" t="s">
        <v>52</v>
      </c>
      <c r="B18" s="155" t="s">
        <v>68</v>
      </c>
      <c r="C18" s="156" t="s">
        <v>36</v>
      </c>
      <c r="D18" s="155" t="s">
        <v>84</v>
      </c>
      <c r="E18" s="155" t="s">
        <v>76</v>
      </c>
      <c r="F18" s="21" t="s">
        <v>85</v>
      </c>
      <c r="G18" s="22" t="s">
        <v>56</v>
      </c>
      <c r="H18" s="22" t="s">
        <v>57</v>
      </c>
      <c r="I18" s="21" t="s">
        <v>58</v>
      </c>
      <c r="J18" s="21" t="s">
        <v>59</v>
      </c>
      <c r="K18" s="21" t="s">
        <v>60</v>
      </c>
      <c r="L18" s="21" t="s">
        <v>61</v>
      </c>
      <c r="M18" s="21" t="s">
        <v>62</v>
      </c>
      <c r="N18" s="21" t="s">
        <v>63</v>
      </c>
      <c r="O18" s="21" t="s">
        <v>63</v>
      </c>
      <c r="P18" s="265">
        <f t="shared" ref="P18:Q18" si="4">(SUM(P14:P17)/P2)*100000</f>
        <v>139.94648092399109</v>
      </c>
      <c r="Q18" s="265">
        <f t="shared" si="4"/>
        <v>324.41020797670348</v>
      </c>
      <c r="R18" s="402">
        <v>310.5</v>
      </c>
      <c r="S18" s="402">
        <v>127.9</v>
      </c>
      <c r="T18" s="402">
        <v>296.5</v>
      </c>
      <c r="U18" s="402">
        <v>121.9</v>
      </c>
      <c r="V18" s="402">
        <v>282.60000000000002</v>
      </c>
      <c r="W18" s="402">
        <v>282.60000000000002</v>
      </c>
      <c r="X18" s="265">
        <f>SUM(X14:X17)/X2*100000</f>
        <v>195.45277080210349</v>
      </c>
      <c r="Y18" s="265">
        <f ca="1">IFERROR(__xludf.DUMMYFUNCTION("INDEX(IMPORTRANGE(""1y0FWgjbB0gVlqn-q5LMJbGIsqOrzru4yowQz67dz2yc"", ""'JUA'!BH3:BH139""),MATCH(D18,IMPORTRANGE(""1y0FWgjbB0gVlqn-q5LMJbGIsqOrzru4yowQz67dz2yc"", ""'JUA'!D3:D139""),0))"),377.650421512818)</f>
        <v>377.65042151281801</v>
      </c>
      <c r="Z18" s="265">
        <f ca="1">IFERROR(__xludf.DUMMYFUNCTION("INDEX(IMPORTRANGE(""1y0FWgjbB0gVlqn-q5LMJbGIsqOrzru4yowQz67dz2yc"", ""'JUA'!BI3:BI139""),MATCH(D18,IMPORTRANGE(""1y0FWgjbB0gVlqn-q5LMJbGIsqOrzru4yowQz67dz2yc"", ""'JUA'!D3:D139""),0))"),139.166141138649)</f>
        <v>139.16614113864901</v>
      </c>
      <c r="AA18" s="156"/>
      <c r="AB18" s="156"/>
      <c r="AC18" s="156"/>
      <c r="AD18" s="401">
        <v>0.129</v>
      </c>
    </row>
    <row r="19" spans="1:30">
      <c r="A19" s="155" t="s">
        <v>52</v>
      </c>
      <c r="B19" s="155" t="s">
        <v>86</v>
      </c>
      <c r="C19" s="156" t="s">
        <v>30</v>
      </c>
      <c r="D19" s="155" t="s">
        <v>87</v>
      </c>
      <c r="E19" s="155" t="s">
        <v>76</v>
      </c>
      <c r="F19" s="21" t="s">
        <v>88</v>
      </c>
      <c r="G19" s="22" t="s">
        <v>56</v>
      </c>
      <c r="H19" s="22" t="s">
        <v>57</v>
      </c>
      <c r="I19" s="21" t="s">
        <v>58</v>
      </c>
      <c r="J19" s="21" t="s">
        <v>59</v>
      </c>
      <c r="K19" s="21" t="s">
        <v>60</v>
      </c>
      <c r="L19" s="21" t="s">
        <v>61</v>
      </c>
      <c r="M19" s="21" t="s">
        <v>62</v>
      </c>
      <c r="N19" s="21" t="s">
        <v>63</v>
      </c>
      <c r="O19" s="21" t="s">
        <v>63</v>
      </c>
      <c r="P19" s="262">
        <v>1486</v>
      </c>
      <c r="Q19" s="262">
        <v>3175</v>
      </c>
      <c r="R19" s="290"/>
      <c r="S19" s="290"/>
      <c r="T19" s="290"/>
      <c r="U19" s="290"/>
      <c r="V19" s="290"/>
      <c r="W19" s="377"/>
      <c r="X19" s="262">
        <v>1702</v>
      </c>
      <c r="Y19" s="262">
        <f ca="1">IFERROR(__xludf.DUMMYFUNCTION("INDEX(IMPORTRANGE(""1y0FWgjbB0gVlqn-q5LMJbGIsqOrzru4yowQz67dz2yc"", ""'JUA'!BH3:BH139""),MATCH(D19,IMPORTRANGE(""1y0FWgjbB0gVlqn-q5LMJbGIsqOrzru4yowQz67dz2yc"", ""'JUA'!D3:D139""),0))"),3698)</f>
        <v>3698</v>
      </c>
      <c r="Z19" s="22">
        <f ca="1">IFERROR(__xludf.DUMMYFUNCTION("INDEX(IMPORTRANGE(""1y0FWgjbB0gVlqn-q5LMJbGIsqOrzru4yowQz67dz2yc"", ""'JUA'!BI3:BI139""),MATCH(D19,IMPORTRANGE(""1y0FWgjbB0gVlqn-q5LMJbGIsqOrzru4yowQz67dz2yc"", ""'JUA'!D3:D139""),0))"),1409)</f>
        <v>1409</v>
      </c>
      <c r="AA19" s="156"/>
      <c r="AB19" s="156"/>
      <c r="AC19" s="156"/>
      <c r="AD19" s="54"/>
    </row>
    <row r="20" spans="1:30">
      <c r="A20" s="155" t="s">
        <v>52</v>
      </c>
      <c r="B20" s="155" t="s">
        <v>86</v>
      </c>
      <c r="C20" s="156" t="s">
        <v>36</v>
      </c>
      <c r="D20" s="155" t="s">
        <v>89</v>
      </c>
      <c r="E20" s="155" t="s">
        <v>76</v>
      </c>
      <c r="F20" s="21" t="s">
        <v>90</v>
      </c>
      <c r="G20" s="22" t="s">
        <v>56</v>
      </c>
      <c r="H20" s="22" t="s">
        <v>57</v>
      </c>
      <c r="I20" s="21" t="s">
        <v>58</v>
      </c>
      <c r="J20" s="21" t="s">
        <v>59</v>
      </c>
      <c r="K20" s="21" t="s">
        <v>60</v>
      </c>
      <c r="L20" s="21" t="s">
        <v>61</v>
      </c>
      <c r="M20" s="21" t="s">
        <v>62</v>
      </c>
      <c r="N20" s="21" t="s">
        <v>63</v>
      </c>
      <c r="O20" s="21" t="s">
        <v>63</v>
      </c>
      <c r="P20" s="265">
        <f t="shared" ref="P20:Q20" si="5">(P19/P$2)*100000</f>
        <v>365.48413120044074</v>
      </c>
      <c r="Q20" s="265">
        <f t="shared" si="5"/>
        <v>780.89644452314894</v>
      </c>
      <c r="R20" s="402">
        <v>727.8</v>
      </c>
      <c r="S20" s="402">
        <v>315.8</v>
      </c>
      <c r="T20" s="402">
        <v>674.7</v>
      </c>
      <c r="U20" s="402">
        <v>290.89999999999998</v>
      </c>
      <c r="V20" s="402">
        <v>621.6</v>
      </c>
      <c r="W20" s="402">
        <v>621.6</v>
      </c>
      <c r="X20" s="265">
        <f>(X19/X$2)*100000</f>
        <v>410.18571628258957</v>
      </c>
      <c r="Y20" s="265">
        <f ca="1">IFERROR(__xludf.DUMMYFUNCTION("INDEX(IMPORTRANGE(""1y0FWgjbB0gVlqn-q5LMJbGIsqOrzru4yowQz67dz2yc"", ""'JUA'!BH3:BH139""),MATCH(D20,IMPORTRANGE(""1y0FWgjbB0gVlqn-q5LMJbGIsqOrzru4yowQz67dz2yc"", ""'JUA'!D3:D139""),0))"),891.226074508235)</f>
        <v>891.226074508235</v>
      </c>
      <c r="Z20" s="265">
        <f ca="1">IFERROR(__xludf.DUMMYFUNCTION("INDEX(IMPORTRANGE(""1y0FWgjbB0gVlqn-q5LMJbGIsqOrzru4yowQz67dz2yc"", ""'JUA'!BI3:BI139""),MATCH(D20,IMPORTRANGE(""1y0FWgjbB0gVlqn-q5LMJbGIsqOrzru4yowQz67dz2yc"", ""'JUA'!D3:D139""),0))"),334.046154794475)</f>
        <v>334.046154794475</v>
      </c>
      <c r="AA20" s="156"/>
      <c r="AB20" s="156"/>
      <c r="AC20" s="156"/>
      <c r="AD20" s="54">
        <v>0.20399999999999999</v>
      </c>
    </row>
    <row r="21" spans="1:30">
      <c r="A21" s="155" t="s">
        <v>52</v>
      </c>
      <c r="B21" s="155" t="s">
        <v>86</v>
      </c>
      <c r="C21" s="156" t="s">
        <v>30</v>
      </c>
      <c r="D21" s="155" t="s">
        <v>91</v>
      </c>
      <c r="E21" s="155" t="s">
        <v>76</v>
      </c>
      <c r="F21" s="21" t="s">
        <v>92</v>
      </c>
      <c r="G21" s="22" t="s">
        <v>56</v>
      </c>
      <c r="H21" s="22" t="s">
        <v>57</v>
      </c>
      <c r="I21" s="21" t="s">
        <v>58</v>
      </c>
      <c r="J21" s="21" t="s">
        <v>59</v>
      </c>
      <c r="K21" s="21" t="s">
        <v>60</v>
      </c>
      <c r="L21" s="21" t="s">
        <v>61</v>
      </c>
      <c r="M21" s="21" t="s">
        <v>62</v>
      </c>
      <c r="N21" s="21" t="s">
        <v>63</v>
      </c>
      <c r="O21" s="21" t="s">
        <v>63</v>
      </c>
      <c r="P21" s="262">
        <v>283</v>
      </c>
      <c r="Q21" s="262">
        <v>608</v>
      </c>
      <c r="R21" s="290"/>
      <c r="S21" s="290"/>
      <c r="T21" s="290"/>
      <c r="U21" s="290"/>
      <c r="V21" s="290"/>
      <c r="W21" s="377"/>
      <c r="X21" s="262">
        <v>300</v>
      </c>
      <c r="Y21" s="262">
        <f ca="1">IFERROR(__xludf.DUMMYFUNCTION("INDEX(IMPORTRANGE(""1y0FWgjbB0gVlqn-q5LMJbGIsqOrzru4yowQz67dz2yc"", ""'JUA'!BH3:BH139""),MATCH(D21,IMPORTRANGE(""1y0FWgjbB0gVlqn-q5LMJbGIsqOrzru4yowQz67dz2yc"", ""'JUA'!D3:D139""),0))"),790)</f>
        <v>790</v>
      </c>
      <c r="Z21" s="22">
        <f ca="1">IFERROR(__xludf.DUMMYFUNCTION("INDEX(IMPORTRANGE(""1y0FWgjbB0gVlqn-q5LMJbGIsqOrzru4yowQz67dz2yc"", ""'JUA'!BI3:BI139""),MATCH(D21,IMPORTRANGE(""1y0FWgjbB0gVlqn-q5LMJbGIsqOrzru4yowQz67dz2yc"", ""'JUA'!D3:D139""),0))"),279)</f>
        <v>279</v>
      </c>
      <c r="AA21" s="156"/>
      <c r="AB21" s="156"/>
      <c r="AC21" s="156"/>
      <c r="AD21" s="22"/>
    </row>
    <row r="22" spans="1:30">
      <c r="A22" s="155" t="s">
        <v>52</v>
      </c>
      <c r="B22" s="155" t="s">
        <v>86</v>
      </c>
      <c r="C22" s="156" t="s">
        <v>36</v>
      </c>
      <c r="D22" s="155" t="s">
        <v>93</v>
      </c>
      <c r="E22" s="155" t="s">
        <v>76</v>
      </c>
      <c r="F22" s="21" t="s">
        <v>94</v>
      </c>
      <c r="G22" s="22" t="s">
        <v>56</v>
      </c>
      <c r="H22" s="22" t="s">
        <v>57</v>
      </c>
      <c r="I22" s="21" t="s">
        <v>58</v>
      </c>
      <c r="J22" s="21" t="s">
        <v>59</v>
      </c>
      <c r="K22" s="21" t="s">
        <v>60</v>
      </c>
      <c r="L22" s="21" t="s">
        <v>61</v>
      </c>
      <c r="M22" s="21" t="s">
        <v>62</v>
      </c>
      <c r="N22" s="21" t="s">
        <v>63</v>
      </c>
      <c r="O22" s="21" t="s">
        <v>63</v>
      </c>
      <c r="P22" s="265">
        <f t="shared" ref="P22:Q22" si="6">(P21/P$2)*100000</f>
        <v>69.604313007890127</v>
      </c>
      <c r="Q22" s="265">
        <f t="shared" si="6"/>
        <v>149.53859473073214</v>
      </c>
      <c r="R22" s="402">
        <v>142.80000000000001</v>
      </c>
      <c r="S22" s="402">
        <v>63.3</v>
      </c>
      <c r="T22" s="402">
        <v>136</v>
      </c>
      <c r="U22" s="402">
        <v>60.1</v>
      </c>
      <c r="V22" s="402">
        <v>129.19999999999999</v>
      </c>
      <c r="W22" s="402">
        <v>129.19999999999999</v>
      </c>
      <c r="X22" s="265">
        <f>(X21/X$2)*100000</f>
        <v>72.300655043934697</v>
      </c>
      <c r="Y22" s="265">
        <f ca="1">IFERROR(__xludf.DUMMYFUNCTION("INDEX(IMPORTRANGE(""1y0FWgjbB0gVlqn-q5LMJbGIsqOrzru4yowQz67dz2yc"", ""'JUA'!BH3:BH139""),MATCH(D22,IMPORTRANGE(""1y0FWgjbB0gVlqn-q5LMJbGIsqOrzru4yowQz67dz2yc"", ""'JUA'!D3:D139""),0))"),190.391724949028)</f>
        <v>190.391724949028</v>
      </c>
      <c r="Z22" s="265">
        <f ca="1">IFERROR(__xludf.DUMMYFUNCTION("INDEX(IMPORTRANGE(""1y0FWgjbB0gVlqn-q5LMJbGIsqOrzru4yowQz67dz2yc"", ""'JUA'!BI3:BI139""),MATCH(D22,IMPORTRANGE(""1y0FWgjbB0gVlqn-q5LMJbGIsqOrzru4yowQz67dz2yc"", ""'JUA'!D3:D139""),0))"),66.1454060948605)</f>
        <v>66.145406094860505</v>
      </c>
      <c r="AA22" s="156"/>
      <c r="AB22" s="156"/>
      <c r="AC22" s="156"/>
      <c r="AD22" s="54">
        <v>0.13600000000000001</v>
      </c>
    </row>
    <row r="23" spans="1:30">
      <c r="A23" s="155" t="s">
        <v>52</v>
      </c>
      <c r="B23" s="155" t="s">
        <v>86</v>
      </c>
      <c r="C23" s="156" t="s">
        <v>30</v>
      </c>
      <c r="D23" s="155" t="s">
        <v>95</v>
      </c>
      <c r="E23" s="155" t="s">
        <v>76</v>
      </c>
      <c r="F23" s="21" t="s">
        <v>96</v>
      </c>
      <c r="G23" s="22" t="s">
        <v>56</v>
      </c>
      <c r="H23" s="22" t="s">
        <v>57</v>
      </c>
      <c r="I23" s="21" t="s">
        <v>58</v>
      </c>
      <c r="J23" s="21" t="s">
        <v>59</v>
      </c>
      <c r="K23" s="21" t="s">
        <v>60</v>
      </c>
      <c r="L23" s="21" t="s">
        <v>61</v>
      </c>
      <c r="M23" s="21" t="s">
        <v>62</v>
      </c>
      <c r="N23" s="21" t="s">
        <v>63</v>
      </c>
      <c r="O23" s="21" t="s">
        <v>63</v>
      </c>
      <c r="P23" s="262">
        <v>13</v>
      </c>
      <c r="Q23" s="262">
        <v>26</v>
      </c>
      <c r="R23" s="290"/>
      <c r="S23" s="290"/>
      <c r="T23" s="290"/>
      <c r="U23" s="290"/>
      <c r="V23" s="290"/>
      <c r="W23" s="377"/>
      <c r="X23" s="22">
        <v>22</v>
      </c>
      <c r="Y23" s="22">
        <f ca="1">IFERROR(__xludf.DUMMYFUNCTION("INDEX(IMPORTRANGE(""1y0FWgjbB0gVlqn-q5LMJbGIsqOrzru4yowQz67dz2yc"", ""'JUA'!BH3:BH139""),MATCH(D23,IMPORTRANGE(""1y0FWgjbB0gVlqn-q5LMJbGIsqOrzru4yowQz67dz2yc"", ""'JUA'!D3:D139""),0))"),60)</f>
        <v>60</v>
      </c>
      <c r="Z23" s="22">
        <f ca="1">IFERROR(__xludf.DUMMYFUNCTION("INDEX(IMPORTRANGE(""1y0FWgjbB0gVlqn-q5LMJbGIsqOrzru4yowQz67dz2yc"", ""'JUA'!BI3:BI139""),MATCH(D23,IMPORTRANGE(""1y0FWgjbB0gVlqn-q5LMJbGIsqOrzru4yowQz67dz2yc"", ""'JUA'!D3:D139""),0))"),40)</f>
        <v>40</v>
      </c>
      <c r="AA23" s="156"/>
      <c r="AB23" s="156"/>
      <c r="AC23" s="156"/>
      <c r="AD23" s="156"/>
    </row>
    <row r="24" spans="1:30">
      <c r="A24" s="155" t="s">
        <v>52</v>
      </c>
      <c r="B24" s="155" t="s">
        <v>86</v>
      </c>
      <c r="C24" s="156" t="s">
        <v>30</v>
      </c>
      <c r="D24" s="155" t="s">
        <v>97</v>
      </c>
      <c r="E24" s="155" t="s">
        <v>76</v>
      </c>
      <c r="F24" s="21" t="s">
        <v>98</v>
      </c>
      <c r="G24" s="22" t="s">
        <v>56</v>
      </c>
      <c r="H24" s="22" t="s">
        <v>57</v>
      </c>
      <c r="I24" s="21" t="s">
        <v>58</v>
      </c>
      <c r="J24" s="21" t="s">
        <v>59</v>
      </c>
      <c r="K24" s="21" t="s">
        <v>60</v>
      </c>
      <c r="L24" s="21" t="s">
        <v>61</v>
      </c>
      <c r="M24" s="21" t="s">
        <v>62</v>
      </c>
      <c r="N24" s="21" t="s">
        <v>63</v>
      </c>
      <c r="O24" s="21" t="s">
        <v>63</v>
      </c>
      <c r="P24" s="262">
        <v>12</v>
      </c>
      <c r="Q24" s="262">
        <v>24</v>
      </c>
      <c r="R24" s="290"/>
      <c r="S24" s="290"/>
      <c r="T24" s="290"/>
      <c r="U24" s="290"/>
      <c r="V24" s="290"/>
      <c r="W24" s="377"/>
      <c r="X24" s="22">
        <v>11</v>
      </c>
      <c r="Y24" s="22">
        <f ca="1">IFERROR(__xludf.DUMMYFUNCTION("INDEX(IMPORTRANGE(""1y0FWgjbB0gVlqn-q5LMJbGIsqOrzru4yowQz67dz2yc"", ""'JUA'!BH3:BH139""),MATCH(D24,IMPORTRANGE(""1y0FWgjbB0gVlqn-q5LMJbGIsqOrzru4yowQz67dz2yc"", ""'JUA'!D3:D139""),0))"),29)</f>
        <v>29</v>
      </c>
      <c r="Z24" s="22">
        <f ca="1">IFERROR(__xludf.DUMMYFUNCTION("INDEX(IMPORTRANGE(""1y0FWgjbB0gVlqn-q5LMJbGIsqOrzru4yowQz67dz2yc"", ""'JUA'!BI3:BI139""),MATCH(D24,IMPORTRANGE(""1y0FWgjbB0gVlqn-q5LMJbGIsqOrzru4yowQz67dz2yc"", ""'JUA'!D3:D139""),0))"),14)</f>
        <v>14</v>
      </c>
      <c r="AA24" s="156"/>
      <c r="AB24" s="156"/>
      <c r="AC24" s="156"/>
      <c r="AD24" s="156"/>
    </row>
    <row r="25" spans="1:30">
      <c r="A25" s="155" t="s">
        <v>52</v>
      </c>
      <c r="B25" s="155" t="s">
        <v>86</v>
      </c>
      <c r="C25" s="156" t="s">
        <v>30</v>
      </c>
      <c r="D25" s="155" t="s">
        <v>99</v>
      </c>
      <c r="E25" s="155" t="s">
        <v>76</v>
      </c>
      <c r="F25" s="21" t="s">
        <v>100</v>
      </c>
      <c r="G25" s="22" t="s">
        <v>56</v>
      </c>
      <c r="H25" s="22" t="s">
        <v>57</v>
      </c>
      <c r="I25" s="21" t="s">
        <v>58</v>
      </c>
      <c r="J25" s="21" t="s">
        <v>59</v>
      </c>
      <c r="K25" s="21" t="s">
        <v>60</v>
      </c>
      <c r="L25" s="21" t="s">
        <v>61</v>
      </c>
      <c r="M25" s="21" t="s">
        <v>62</v>
      </c>
      <c r="N25" s="21" t="s">
        <v>63</v>
      </c>
      <c r="O25" s="21" t="s">
        <v>63</v>
      </c>
      <c r="P25" s="262">
        <v>3</v>
      </c>
      <c r="Q25" s="262">
        <v>4</v>
      </c>
      <c r="R25" s="290"/>
      <c r="S25" s="290"/>
      <c r="T25" s="290"/>
      <c r="U25" s="290"/>
      <c r="V25" s="290"/>
      <c r="W25" s="377"/>
      <c r="X25" s="22">
        <v>2</v>
      </c>
      <c r="Y25" s="22">
        <f ca="1">IFERROR(__xludf.DUMMYFUNCTION("INDEX(IMPORTRANGE(""1y0FWgjbB0gVlqn-q5LMJbGIsqOrzru4yowQz67dz2yc"", ""'JUA'!BH3:BH139""),MATCH(D25,IMPORTRANGE(""1y0FWgjbB0gVlqn-q5LMJbGIsqOrzru4yowQz67dz2yc"", ""'JUA'!D3:D139""),0))"),3)</f>
        <v>3</v>
      </c>
      <c r="Z25" s="22">
        <f ca="1">IFERROR(__xludf.DUMMYFUNCTION("INDEX(IMPORTRANGE(""1y0FWgjbB0gVlqn-q5LMJbGIsqOrzru4yowQz67dz2yc"", ""'JUA'!BI3:BI139""),MATCH(D25,IMPORTRANGE(""1y0FWgjbB0gVlqn-q5LMJbGIsqOrzru4yowQz67dz2yc"", ""'JUA'!D3:D139""),0))"),1)</f>
        <v>1</v>
      </c>
      <c r="AA25" s="156"/>
      <c r="AB25" s="156"/>
      <c r="AC25" s="156"/>
      <c r="AD25" s="156"/>
    </row>
    <row r="26" spans="1:30">
      <c r="A26" s="155" t="s">
        <v>52</v>
      </c>
      <c r="B26" s="155" t="s">
        <v>86</v>
      </c>
      <c r="C26" s="156" t="s">
        <v>30</v>
      </c>
      <c r="D26" s="155" t="s">
        <v>101</v>
      </c>
      <c r="E26" s="155" t="s">
        <v>76</v>
      </c>
      <c r="F26" s="21" t="s">
        <v>102</v>
      </c>
      <c r="G26" s="22" t="s">
        <v>56</v>
      </c>
      <c r="H26" s="22" t="s">
        <v>57</v>
      </c>
      <c r="I26" s="21" t="s">
        <v>58</v>
      </c>
      <c r="J26" s="21" t="s">
        <v>59</v>
      </c>
      <c r="K26" s="21" t="s">
        <v>60</v>
      </c>
      <c r="L26" s="21" t="s">
        <v>61</v>
      </c>
      <c r="M26" s="21" t="s">
        <v>62</v>
      </c>
      <c r="N26" s="21" t="s">
        <v>63</v>
      </c>
      <c r="O26" s="21" t="s">
        <v>63</v>
      </c>
      <c r="P26" s="262">
        <v>0</v>
      </c>
      <c r="Q26" s="262">
        <v>0</v>
      </c>
      <c r="R26" s="290"/>
      <c r="S26" s="290"/>
      <c r="T26" s="290"/>
      <c r="U26" s="290"/>
      <c r="V26" s="290"/>
      <c r="W26" s="377"/>
      <c r="X26" s="22">
        <v>0</v>
      </c>
      <c r="Y26" s="22">
        <f ca="1">IFERROR(__xludf.DUMMYFUNCTION("INDEX(IMPORTRANGE(""1y0FWgjbB0gVlqn-q5LMJbGIsqOrzru4yowQz67dz2yc"", ""'JUA'!BH3:BH139""),MATCH(D26,IMPORTRANGE(""1y0FWgjbB0gVlqn-q5LMJbGIsqOrzru4yowQz67dz2yc"", ""'JUA'!D3:D139""),0))"),1)</f>
        <v>1</v>
      </c>
      <c r="Z26" s="22">
        <f ca="1">IFERROR(__xludf.DUMMYFUNCTION("INDEX(IMPORTRANGE(""1y0FWgjbB0gVlqn-q5LMJbGIsqOrzru4yowQz67dz2yc"", ""'JUA'!BI3:BI139""),MATCH(D26,IMPORTRANGE(""1y0FWgjbB0gVlqn-q5LMJbGIsqOrzru4yowQz67dz2yc"", ""'JUA'!D3:D139""),0))"),2)</f>
        <v>2</v>
      </c>
      <c r="AA26" s="156"/>
      <c r="AB26" s="156"/>
      <c r="AC26" s="156"/>
      <c r="AD26" s="156"/>
    </row>
    <row r="27" spans="1:30">
      <c r="A27" s="155" t="s">
        <v>52</v>
      </c>
      <c r="B27" s="155" t="s">
        <v>86</v>
      </c>
      <c r="C27" s="156" t="s">
        <v>30</v>
      </c>
      <c r="D27" s="155" t="s">
        <v>103</v>
      </c>
      <c r="E27" s="155" t="s">
        <v>76</v>
      </c>
      <c r="F27" s="21" t="s">
        <v>104</v>
      </c>
      <c r="G27" s="22" t="s">
        <v>56</v>
      </c>
      <c r="H27" s="22" t="s">
        <v>57</v>
      </c>
      <c r="I27" s="21" t="s">
        <v>58</v>
      </c>
      <c r="J27" s="21" t="s">
        <v>59</v>
      </c>
      <c r="K27" s="21" t="s">
        <v>60</v>
      </c>
      <c r="L27" s="21" t="s">
        <v>61</v>
      </c>
      <c r="M27" s="21" t="s">
        <v>62</v>
      </c>
      <c r="N27" s="21" t="s">
        <v>63</v>
      </c>
      <c r="O27" s="21" t="s">
        <v>63</v>
      </c>
      <c r="P27" s="262">
        <v>0</v>
      </c>
      <c r="Q27" s="262">
        <v>0</v>
      </c>
      <c r="R27" s="290"/>
      <c r="S27" s="290"/>
      <c r="T27" s="290"/>
      <c r="U27" s="290"/>
      <c r="V27" s="290"/>
      <c r="W27" s="377"/>
      <c r="X27" s="262">
        <v>0</v>
      </c>
      <c r="Y27" s="262">
        <f ca="1">IFERROR(__xludf.DUMMYFUNCTION("INDEX(IMPORTRANGE(""1y0FWgjbB0gVlqn-q5LMJbGIsqOrzru4yowQz67dz2yc"", ""'JUA'!BH3:BH139""),MATCH(D27,IMPORTRANGE(""1y0FWgjbB0gVlqn-q5LMJbGIsqOrzru4yowQz67dz2yc"", ""'JUA'!D3:D139""),0))"),0)</f>
        <v>0</v>
      </c>
      <c r="Z27" s="22">
        <f ca="1">IFERROR(__xludf.DUMMYFUNCTION("INDEX(IMPORTRANGE(""1y0FWgjbB0gVlqn-q5LMJbGIsqOrzru4yowQz67dz2yc"", ""'JUA'!BI3:BI139""),MATCH(D27,IMPORTRANGE(""1y0FWgjbB0gVlqn-q5LMJbGIsqOrzru4yowQz67dz2yc"", ""'JUA'!D3:D139""),0))"),0)</f>
        <v>0</v>
      </c>
      <c r="AA27" s="156"/>
      <c r="AB27" s="156"/>
      <c r="AC27" s="156"/>
      <c r="AD27" s="156"/>
    </row>
    <row r="28" spans="1:30">
      <c r="A28" s="155" t="s">
        <v>52</v>
      </c>
      <c r="B28" s="155" t="s">
        <v>86</v>
      </c>
      <c r="C28" s="156" t="s">
        <v>30</v>
      </c>
      <c r="D28" s="155" t="s">
        <v>105</v>
      </c>
      <c r="E28" s="155" t="s">
        <v>76</v>
      </c>
      <c r="F28" s="21" t="s">
        <v>106</v>
      </c>
      <c r="G28" s="22" t="s">
        <v>56</v>
      </c>
      <c r="H28" s="22" t="s">
        <v>57</v>
      </c>
      <c r="I28" s="21" t="s">
        <v>58</v>
      </c>
      <c r="J28" s="21" t="s">
        <v>59</v>
      </c>
      <c r="K28" s="21" t="s">
        <v>60</v>
      </c>
      <c r="L28" s="21" t="s">
        <v>61</v>
      </c>
      <c r="M28" s="21" t="s">
        <v>62</v>
      </c>
      <c r="N28" s="21" t="s">
        <v>63</v>
      </c>
      <c r="O28" s="21" t="s">
        <v>63</v>
      </c>
      <c r="P28" s="262">
        <v>0</v>
      </c>
      <c r="Q28" s="262">
        <v>0</v>
      </c>
      <c r="R28" s="290"/>
      <c r="S28" s="290"/>
      <c r="T28" s="290"/>
      <c r="U28" s="290"/>
      <c r="V28" s="290"/>
      <c r="W28" s="377"/>
      <c r="X28" s="262">
        <v>0</v>
      </c>
      <c r="Y28" s="262">
        <f ca="1">IFERROR(__xludf.DUMMYFUNCTION("INDEX(IMPORTRANGE(""1y0FWgjbB0gVlqn-q5LMJbGIsqOrzru4yowQz67dz2yc"", ""'JUA'!BH3:BH139""),MATCH(D28,IMPORTRANGE(""1y0FWgjbB0gVlqn-q5LMJbGIsqOrzru4yowQz67dz2yc"", ""'JUA'!D3:D139""),0))"),0)</f>
        <v>0</v>
      </c>
      <c r="Z28" s="22">
        <f ca="1">IFERROR(__xludf.DUMMYFUNCTION("INDEX(IMPORTRANGE(""1y0FWgjbB0gVlqn-q5LMJbGIsqOrzru4yowQz67dz2yc"", ""'JUA'!BI3:BI139""),MATCH(D28,IMPORTRANGE(""1y0FWgjbB0gVlqn-q5LMJbGIsqOrzru4yowQz67dz2yc"", ""'JUA'!D3:D139""),0))"),0)</f>
        <v>0</v>
      </c>
      <c r="AA28" s="156"/>
      <c r="AB28" s="156"/>
      <c r="AC28" s="156"/>
      <c r="AD28" s="156"/>
    </row>
    <row r="29" spans="1:30">
      <c r="A29" s="155" t="s">
        <v>52</v>
      </c>
      <c r="B29" s="155" t="s">
        <v>86</v>
      </c>
      <c r="C29" s="156" t="s">
        <v>30</v>
      </c>
      <c r="D29" s="155" t="s">
        <v>107</v>
      </c>
      <c r="E29" s="155" t="s">
        <v>76</v>
      </c>
      <c r="F29" s="21" t="s">
        <v>108</v>
      </c>
      <c r="G29" s="22" t="s">
        <v>56</v>
      </c>
      <c r="H29" s="22" t="s">
        <v>57</v>
      </c>
      <c r="I29" s="21" t="s">
        <v>58</v>
      </c>
      <c r="J29" s="21" t="s">
        <v>59</v>
      </c>
      <c r="K29" s="21" t="s">
        <v>60</v>
      </c>
      <c r="L29" s="21" t="s">
        <v>61</v>
      </c>
      <c r="M29" s="21" t="s">
        <v>62</v>
      </c>
      <c r="N29" s="21" t="s">
        <v>63</v>
      </c>
      <c r="O29" s="21" t="s">
        <v>63</v>
      </c>
      <c r="P29" s="262">
        <v>3</v>
      </c>
      <c r="Q29" s="262">
        <v>20</v>
      </c>
      <c r="R29" s="290"/>
      <c r="S29" s="290"/>
      <c r="T29" s="290"/>
      <c r="U29" s="290"/>
      <c r="V29" s="290"/>
      <c r="W29" s="377"/>
      <c r="X29" s="262">
        <v>9</v>
      </c>
      <c r="Y29" s="262">
        <f ca="1">IFERROR(__xludf.DUMMYFUNCTION("INDEX(IMPORTRANGE(""1y0FWgjbB0gVlqn-q5LMJbGIsqOrzru4yowQz67dz2yc"", ""'JUA'!BH3:BH139""),MATCH(D29,IMPORTRANGE(""1y0FWgjbB0gVlqn-q5LMJbGIsqOrzru4yowQz67dz2yc"", ""'JUA'!D3:D139""),0))"),26)</f>
        <v>26</v>
      </c>
      <c r="Z29" s="22">
        <f ca="1">IFERROR(__xludf.DUMMYFUNCTION("INDEX(IMPORTRANGE(""1y0FWgjbB0gVlqn-q5LMJbGIsqOrzru4yowQz67dz2yc"", ""'JUA'!BI3:BI139""),MATCH(D29,IMPORTRANGE(""1y0FWgjbB0gVlqn-q5LMJbGIsqOrzru4yowQz67dz2yc"", ""'JUA'!D3:D139""),0))"),14)</f>
        <v>14</v>
      </c>
      <c r="AA29" s="156"/>
      <c r="AB29" s="156"/>
      <c r="AC29" s="156"/>
      <c r="AD29" s="156"/>
    </row>
    <row r="30" spans="1:30">
      <c r="A30" s="155" t="s">
        <v>52</v>
      </c>
      <c r="B30" s="155" t="s">
        <v>86</v>
      </c>
      <c r="C30" s="156" t="s">
        <v>30</v>
      </c>
      <c r="D30" s="155" t="s">
        <v>109</v>
      </c>
      <c r="E30" s="155" t="s">
        <v>76</v>
      </c>
      <c r="F30" s="21" t="s">
        <v>110</v>
      </c>
      <c r="G30" s="22" t="s">
        <v>56</v>
      </c>
      <c r="H30" s="22" t="s">
        <v>57</v>
      </c>
      <c r="I30" s="21" t="s">
        <v>58</v>
      </c>
      <c r="J30" s="21" t="s">
        <v>59</v>
      </c>
      <c r="K30" s="21" t="s">
        <v>60</v>
      </c>
      <c r="L30" s="21" t="s">
        <v>61</v>
      </c>
      <c r="M30" s="21" t="s">
        <v>62</v>
      </c>
      <c r="N30" s="21" t="s">
        <v>63</v>
      </c>
      <c r="O30" s="21" t="s">
        <v>63</v>
      </c>
      <c r="P30" s="262">
        <v>1</v>
      </c>
      <c r="Q30" s="262">
        <v>2</v>
      </c>
      <c r="R30" s="290"/>
      <c r="S30" s="290"/>
      <c r="T30" s="290"/>
      <c r="U30" s="290"/>
      <c r="V30" s="290"/>
      <c r="W30" s="377"/>
      <c r="X30" s="262">
        <v>2</v>
      </c>
      <c r="Y30" s="262">
        <f ca="1">IFERROR(__xludf.DUMMYFUNCTION("INDEX(IMPORTRANGE(""1y0FWgjbB0gVlqn-q5LMJbGIsqOrzru4yowQz67dz2yc"", ""'JUA'!BH3:BH139""),MATCH(D30,IMPORTRANGE(""1y0FWgjbB0gVlqn-q5LMJbGIsqOrzru4yowQz67dz2yc"", ""'JUA'!D3:D139""),0))"),2)</f>
        <v>2</v>
      </c>
      <c r="Z30" s="22">
        <f ca="1">IFERROR(__xludf.DUMMYFUNCTION("INDEX(IMPORTRANGE(""1y0FWgjbB0gVlqn-q5LMJbGIsqOrzru4yowQz67dz2yc"", ""'JUA'!BI3:BI139""),MATCH(D30,IMPORTRANGE(""1y0FWgjbB0gVlqn-q5LMJbGIsqOrzru4yowQz67dz2yc"", ""'JUA'!D3:D139""),0))"),0)</f>
        <v>0</v>
      </c>
      <c r="AA30" s="156"/>
      <c r="AB30" s="156"/>
      <c r="AC30" s="156"/>
      <c r="AD30" s="156"/>
    </row>
    <row r="31" spans="1:30">
      <c r="A31" s="155" t="s">
        <v>52</v>
      </c>
      <c r="B31" s="155" t="s">
        <v>86</v>
      </c>
      <c r="C31" s="156" t="s">
        <v>30</v>
      </c>
      <c r="D31" s="155" t="s">
        <v>111</v>
      </c>
      <c r="E31" s="155" t="s">
        <v>76</v>
      </c>
      <c r="F31" s="21" t="s">
        <v>112</v>
      </c>
      <c r="G31" s="22" t="s">
        <v>56</v>
      </c>
      <c r="H31" s="22" t="s">
        <v>57</v>
      </c>
      <c r="I31" s="21" t="s">
        <v>58</v>
      </c>
      <c r="J31" s="21" t="s">
        <v>59</v>
      </c>
      <c r="K31" s="21" t="s">
        <v>60</v>
      </c>
      <c r="L31" s="21" t="s">
        <v>61</v>
      </c>
      <c r="M31" s="21" t="s">
        <v>62</v>
      </c>
      <c r="N31" s="21" t="s">
        <v>63</v>
      </c>
      <c r="O31" s="21" t="s">
        <v>63</v>
      </c>
      <c r="P31" s="262">
        <v>0</v>
      </c>
      <c r="Q31" s="262">
        <v>0</v>
      </c>
      <c r="R31" s="290"/>
      <c r="S31" s="290"/>
      <c r="T31" s="290"/>
      <c r="U31" s="290"/>
      <c r="V31" s="290"/>
      <c r="W31" s="377"/>
      <c r="X31" s="262">
        <v>0</v>
      </c>
      <c r="Y31" s="262">
        <f ca="1">IFERROR(__xludf.DUMMYFUNCTION("INDEX(IMPORTRANGE(""1y0FWgjbB0gVlqn-q5LMJbGIsqOrzru4yowQz67dz2yc"", ""'JUA'!BH3:BH139""),MATCH(D31,IMPORTRANGE(""1y0FWgjbB0gVlqn-q5LMJbGIsqOrzru4yowQz67dz2yc"", ""'JUA'!D3:D139""),0))"),0)</f>
        <v>0</v>
      </c>
      <c r="Z31" s="22">
        <f ca="1">IFERROR(__xludf.DUMMYFUNCTION("INDEX(IMPORTRANGE(""1y0FWgjbB0gVlqn-q5LMJbGIsqOrzru4yowQz67dz2yc"", ""'JUA'!BI3:BI139""),MATCH(D31,IMPORTRANGE(""1y0FWgjbB0gVlqn-q5LMJbGIsqOrzru4yowQz67dz2yc"", ""'JUA'!D3:D139""),0))"),0)</f>
        <v>0</v>
      </c>
      <c r="AA31" s="156"/>
      <c r="AB31" s="156"/>
      <c r="AC31" s="156"/>
      <c r="AD31" s="156"/>
    </row>
    <row r="32" spans="1:30">
      <c r="A32" s="155" t="s">
        <v>52</v>
      </c>
      <c r="B32" s="155" t="s">
        <v>86</v>
      </c>
      <c r="C32" s="156" t="s">
        <v>30</v>
      </c>
      <c r="D32" s="155" t="s">
        <v>113</v>
      </c>
      <c r="E32" s="155" t="s">
        <v>76</v>
      </c>
      <c r="F32" s="21" t="s">
        <v>114</v>
      </c>
      <c r="G32" s="22" t="s">
        <v>56</v>
      </c>
      <c r="H32" s="22" t="s">
        <v>57</v>
      </c>
      <c r="I32" s="21" t="s">
        <v>58</v>
      </c>
      <c r="J32" s="21" t="s">
        <v>59</v>
      </c>
      <c r="K32" s="21" t="s">
        <v>60</v>
      </c>
      <c r="L32" s="21" t="s">
        <v>61</v>
      </c>
      <c r="M32" s="21" t="s">
        <v>62</v>
      </c>
      <c r="N32" s="21" t="s">
        <v>63</v>
      </c>
      <c r="O32" s="21" t="s">
        <v>63</v>
      </c>
      <c r="P32" s="262">
        <v>0</v>
      </c>
      <c r="Q32" s="262">
        <v>9</v>
      </c>
      <c r="R32" s="290"/>
      <c r="S32" s="290"/>
      <c r="T32" s="290"/>
      <c r="U32" s="290"/>
      <c r="V32" s="290"/>
      <c r="W32" s="377"/>
      <c r="X32" s="262">
        <v>4</v>
      </c>
      <c r="Y32" s="262">
        <f ca="1">IFERROR(__xludf.DUMMYFUNCTION("INDEX(IMPORTRANGE(""1y0FWgjbB0gVlqn-q5LMJbGIsqOrzru4yowQz67dz2yc"", ""'JUA'!BH3:BH139""),MATCH(D32,IMPORTRANGE(""1y0FWgjbB0gVlqn-q5LMJbGIsqOrzru4yowQz67dz2yc"", ""'JUA'!D3:D139""),0))"),21)</f>
        <v>21</v>
      </c>
      <c r="Z32" s="22">
        <f ca="1">IFERROR(__xludf.DUMMYFUNCTION("INDEX(IMPORTRANGE(""1y0FWgjbB0gVlqn-q5LMJbGIsqOrzru4yowQz67dz2yc"", ""'JUA'!BI3:BI139""),MATCH(D32,IMPORTRANGE(""1y0FWgjbB0gVlqn-q5LMJbGIsqOrzru4yowQz67dz2yc"", ""'JUA'!D3:D139""),0))"),2)</f>
        <v>2</v>
      </c>
      <c r="AA32" s="156"/>
      <c r="AB32" s="156"/>
      <c r="AC32" s="156"/>
      <c r="AD32" s="156"/>
    </row>
    <row r="33" spans="1:30">
      <c r="A33" s="155" t="s">
        <v>52</v>
      </c>
      <c r="B33" s="155" t="s">
        <v>86</v>
      </c>
      <c r="C33" s="156" t="s">
        <v>30</v>
      </c>
      <c r="D33" s="155" t="s">
        <v>115</v>
      </c>
      <c r="E33" s="155" t="s">
        <v>76</v>
      </c>
      <c r="F33" s="21" t="s">
        <v>116</v>
      </c>
      <c r="G33" s="22" t="s">
        <v>56</v>
      </c>
      <c r="H33" s="22" t="s">
        <v>57</v>
      </c>
      <c r="I33" s="21" t="s">
        <v>58</v>
      </c>
      <c r="J33" s="21" t="s">
        <v>59</v>
      </c>
      <c r="K33" s="21" t="s">
        <v>60</v>
      </c>
      <c r="L33" s="21" t="s">
        <v>61</v>
      </c>
      <c r="M33" s="21" t="s">
        <v>62</v>
      </c>
      <c r="N33" s="21" t="s">
        <v>63</v>
      </c>
      <c r="O33" s="21" t="s">
        <v>63</v>
      </c>
      <c r="P33" s="262">
        <v>0</v>
      </c>
      <c r="Q33" s="262">
        <v>0</v>
      </c>
      <c r="R33" s="290"/>
      <c r="S33" s="290"/>
      <c r="T33" s="290"/>
      <c r="U33" s="290"/>
      <c r="V33" s="290"/>
      <c r="W33" s="377"/>
      <c r="X33" s="262">
        <v>1</v>
      </c>
      <c r="Y33" s="262">
        <f ca="1">IFERROR(__xludf.DUMMYFUNCTION("INDEX(IMPORTRANGE(""1y0FWgjbB0gVlqn-q5LMJbGIsqOrzru4yowQz67dz2yc"", ""'JUA'!BH3:BH139""),MATCH(D33,IMPORTRANGE(""1y0FWgjbB0gVlqn-q5LMJbGIsqOrzru4yowQz67dz2yc"", ""'JUA'!D3:D139""),0))"),2)</f>
        <v>2</v>
      </c>
      <c r="Z33" s="22">
        <f ca="1">IFERROR(__xludf.DUMMYFUNCTION("INDEX(IMPORTRANGE(""1y0FWgjbB0gVlqn-q5LMJbGIsqOrzru4yowQz67dz2yc"", ""'JUA'!BI3:BI139""),MATCH(D33,IMPORTRANGE(""1y0FWgjbB0gVlqn-q5LMJbGIsqOrzru4yowQz67dz2yc"", ""'JUA'!D3:D139""),0))"),0)</f>
        <v>0</v>
      </c>
      <c r="AA33" s="156"/>
      <c r="AB33" s="156"/>
      <c r="AC33" s="156"/>
      <c r="AD33" s="156"/>
    </row>
    <row r="34" spans="1:30">
      <c r="A34" s="155" t="s">
        <v>52</v>
      </c>
      <c r="B34" s="155" t="s">
        <v>86</v>
      </c>
      <c r="C34" s="156" t="s">
        <v>36</v>
      </c>
      <c r="D34" s="155" t="s">
        <v>117</v>
      </c>
      <c r="E34" s="155" t="s">
        <v>76</v>
      </c>
      <c r="F34" s="21" t="s">
        <v>118</v>
      </c>
      <c r="G34" s="22" t="s">
        <v>56</v>
      </c>
      <c r="H34" s="22" t="s">
        <v>57</v>
      </c>
      <c r="I34" s="21" t="s">
        <v>58</v>
      </c>
      <c r="J34" s="21" t="s">
        <v>59</v>
      </c>
      <c r="K34" s="21" t="s">
        <v>60</v>
      </c>
      <c r="L34" s="21" t="s">
        <v>61</v>
      </c>
      <c r="M34" s="21" t="s">
        <v>62</v>
      </c>
      <c r="N34" s="21" t="s">
        <v>63</v>
      </c>
      <c r="O34" s="21" t="s">
        <v>63</v>
      </c>
      <c r="P34" s="265">
        <f t="shared" ref="P34:Q34" si="7">(SUM(P23:P33)/P$2)*100000</f>
        <v>7.8704523542490605</v>
      </c>
      <c r="Q34" s="265">
        <f t="shared" si="7"/>
        <v>20.905889065974069</v>
      </c>
      <c r="R34" s="402">
        <v>19.399999999999999</v>
      </c>
      <c r="S34" s="402">
        <v>6.8</v>
      </c>
      <c r="T34" s="402">
        <v>18</v>
      </c>
      <c r="U34" s="402">
        <v>6.2</v>
      </c>
      <c r="V34" s="402">
        <v>16.5</v>
      </c>
      <c r="W34" s="402">
        <v>16.5</v>
      </c>
      <c r="X34" s="265">
        <f>(SUM(X23:X33)/X$2)*100000</f>
        <v>12.291111357468898</v>
      </c>
      <c r="Y34" s="265">
        <f ca="1">IFERROR(__xludf.DUMMYFUNCTION("INDEX(IMPORTRANGE(""1y0FWgjbB0gVlqn-q5LMJbGIsqOrzru4yowQz67dz2yc"", ""'JUA'!BH3:BH139""),MATCH(D34,IMPORTRANGE(""1y0FWgjbB0gVlqn-q5LMJbGIsqOrzru4yowQz67dz2yc"", ""'JUA'!D3:D139""),0))"),34.7043144210886)</f>
        <v>34.704314421088597</v>
      </c>
      <c r="Z34" s="265">
        <f ca="1">IFERROR(__xludf.DUMMYFUNCTION("INDEX(IMPORTRANGE(""1y0FWgjbB0gVlqn-q5LMJbGIsqOrzru4yowQz67dz2yc"", ""'JUA'!BI3:BI139""),MATCH(D34,IMPORTRANGE(""1y0FWgjbB0gVlqn-q5LMJbGIsqOrzru4yowQz67dz2yc"", ""'JUA'!D3:D139""),0))"),17.3068625266122)</f>
        <v>17.3068625266122</v>
      </c>
      <c r="AA34" s="156"/>
      <c r="AB34" s="156"/>
      <c r="AC34" s="156"/>
      <c r="AD34" s="384">
        <v>0.21099999999999999</v>
      </c>
    </row>
    <row r="35" spans="1:30">
      <c r="A35" s="155" t="s">
        <v>119</v>
      </c>
      <c r="B35" s="155" t="s">
        <v>120</v>
      </c>
      <c r="C35" s="156" t="s">
        <v>30</v>
      </c>
      <c r="D35" s="383" t="s">
        <v>121</v>
      </c>
      <c r="E35" s="155" t="s">
        <v>38</v>
      </c>
      <c r="F35" s="22" t="s">
        <v>122</v>
      </c>
      <c r="G35" s="10">
        <v>44469</v>
      </c>
      <c r="H35" s="10">
        <v>44469</v>
      </c>
      <c r="I35" s="10">
        <v>44651</v>
      </c>
      <c r="J35" s="10">
        <v>44834</v>
      </c>
      <c r="K35" s="10">
        <v>45016</v>
      </c>
      <c r="L35" s="10">
        <v>45199</v>
      </c>
      <c r="M35" s="10">
        <v>45382</v>
      </c>
      <c r="N35" s="10">
        <v>45565</v>
      </c>
      <c r="O35" s="10">
        <v>45565</v>
      </c>
      <c r="P35" s="378"/>
      <c r="Q35" s="378"/>
      <c r="R35" s="290"/>
      <c r="S35" s="290"/>
      <c r="T35" s="290"/>
      <c r="U35" s="290"/>
      <c r="V35" s="290"/>
      <c r="W35" s="377"/>
      <c r="X35" s="378"/>
      <c r="Y35" s="403" t="str">
        <f ca="1">IFERROR(__xludf.DUMMYFUNCTION("INDEX(IMPORTRANGE(""1y0FWgjbB0gVlqn-q5LMJbGIsqOrzru4yowQz67dz2yc"", ""'JUA'!BH3:BH139""),MATCH(D35,IMPORTRANGE(""1y0FWgjbB0gVlqn-q5LMJbGIsqOrzru4yowQz67dz2yc"", ""'JUA'!D3:D139""),0))"),"")</f>
        <v/>
      </c>
      <c r="Z35" s="22" t="str">
        <f ca="1">IFERROR(__xludf.DUMMYFUNCTION("INDEX(IMPORTRANGE(""1y0FWgjbB0gVlqn-q5LMJbGIsqOrzru4yowQz67dz2yc"", ""'JUA'!BI3:BI139""),MATCH(D35,IMPORTRANGE(""1y0FWgjbB0gVlqn-q5LMJbGIsqOrzru4yowQz67dz2yc"", ""'JUA'!D3:D139""),0))"),"Sin dato")</f>
        <v>Sin dato</v>
      </c>
      <c r="AA35" s="156"/>
      <c r="AB35" s="156"/>
      <c r="AC35" s="156"/>
      <c r="AD35" s="156"/>
    </row>
    <row r="36" spans="1:30">
      <c r="A36" s="155" t="s">
        <v>119</v>
      </c>
      <c r="B36" s="155" t="s">
        <v>120</v>
      </c>
      <c r="C36" s="156" t="s">
        <v>30</v>
      </c>
      <c r="D36" s="383" t="s">
        <v>123</v>
      </c>
      <c r="E36" s="155" t="s">
        <v>38</v>
      </c>
      <c r="F36" s="22" t="s">
        <v>124</v>
      </c>
      <c r="G36" s="10">
        <v>44469</v>
      </c>
      <c r="H36" s="10">
        <v>44469</v>
      </c>
      <c r="I36" s="10">
        <v>44651</v>
      </c>
      <c r="J36" s="10">
        <v>44834</v>
      </c>
      <c r="K36" s="10">
        <v>45016</v>
      </c>
      <c r="L36" s="10">
        <v>45199</v>
      </c>
      <c r="M36" s="10">
        <v>45382</v>
      </c>
      <c r="N36" s="10">
        <v>45565</v>
      </c>
      <c r="O36" s="10">
        <v>45565</v>
      </c>
      <c r="P36" s="364" t="s">
        <v>435</v>
      </c>
      <c r="Q36" s="364" t="s">
        <v>435</v>
      </c>
      <c r="R36" s="156"/>
      <c r="S36" s="156"/>
      <c r="T36" s="156"/>
      <c r="U36" s="156"/>
      <c r="V36" s="156"/>
      <c r="W36" s="358"/>
      <c r="X36" s="364" t="s">
        <v>435</v>
      </c>
      <c r="Y36" s="403" t="str">
        <f ca="1">IFERROR(__xludf.DUMMYFUNCTION("INDEX(IMPORTRANGE(""1y0FWgjbB0gVlqn-q5LMJbGIsqOrzru4yowQz67dz2yc"", ""'JUA'!BH3:BH139""),MATCH(D36,IMPORTRANGE(""1y0FWgjbB0gVlqn-q5LMJbGIsqOrzru4yowQz67dz2yc"", ""'JUA'!D3:D139""),0))"),"Sin dato")</f>
        <v>Sin dato</v>
      </c>
      <c r="Z36" s="22">
        <f ca="1">IFERROR(__xludf.DUMMYFUNCTION("INDEX(IMPORTRANGE(""1y0FWgjbB0gVlqn-q5LMJbGIsqOrzru4yowQz67dz2yc"", ""'JUA'!BI3:BI139""),MATCH(D36,IMPORTRANGE(""1y0FWgjbB0gVlqn-q5LMJbGIsqOrzru4yowQz67dz2yc"", ""'JUA'!D3:D139""),0))"),167000)</f>
        <v>167000</v>
      </c>
      <c r="AA36" s="156"/>
      <c r="AB36" s="156"/>
      <c r="AC36" s="156"/>
      <c r="AD36" s="156"/>
    </row>
    <row r="37" spans="1:30">
      <c r="A37" s="155" t="s">
        <v>119</v>
      </c>
      <c r="B37" s="155" t="s">
        <v>120</v>
      </c>
      <c r="C37" s="156" t="s">
        <v>36</v>
      </c>
      <c r="D37" s="383" t="s">
        <v>125</v>
      </c>
      <c r="E37" s="155" t="s">
        <v>38</v>
      </c>
      <c r="F37" s="22" t="s">
        <v>126</v>
      </c>
      <c r="G37" s="10">
        <v>44469</v>
      </c>
      <c r="H37" s="10">
        <v>44469</v>
      </c>
      <c r="I37" s="10">
        <v>44651</v>
      </c>
      <c r="J37" s="10">
        <v>44834</v>
      </c>
      <c r="K37" s="10">
        <v>45016</v>
      </c>
      <c r="L37" s="10">
        <v>45199</v>
      </c>
      <c r="M37" s="10">
        <v>45382</v>
      </c>
      <c r="N37" s="10">
        <v>45565</v>
      </c>
      <c r="O37" s="10">
        <v>45565</v>
      </c>
      <c r="P37" s="367" t="e">
        <f t="shared" ref="P37:Q37" si="8">P36/P35</f>
        <v>#VALUE!</v>
      </c>
      <c r="Q37" s="367" t="e">
        <f t="shared" si="8"/>
        <v>#VALUE!</v>
      </c>
      <c r="R37" s="404">
        <v>1.49E-2</v>
      </c>
      <c r="S37" s="404">
        <v>1.67E-2</v>
      </c>
      <c r="T37" s="404">
        <v>1.89E-2</v>
      </c>
      <c r="U37" s="404">
        <v>2.0799999999999999E-2</v>
      </c>
      <c r="V37" s="404">
        <v>2.3300000000000001E-2</v>
      </c>
      <c r="W37" s="404">
        <v>2.3300000000000001E-2</v>
      </c>
      <c r="X37" s="367" t="e">
        <f>X36/X35</f>
        <v>#VALUE!</v>
      </c>
      <c r="Y37" s="367" t="str">
        <f ca="1">IFERROR(__xludf.DUMMYFUNCTION("INDEX(IMPORTRANGE(""1y0FWgjbB0gVlqn-q5LMJbGIsqOrzru4yowQz67dz2yc"", ""'JUA'!BH3:BH139""),MATCH(D37,IMPORTRANGE(""1y0FWgjbB0gVlqn-q5LMJbGIsqOrzru4yowQz67dz2yc"", ""'JUA'!D3:D139""),0))"),"#VALUE!")</f>
        <v>#VALUE!</v>
      </c>
      <c r="Z37" s="22" t="str">
        <f ca="1">IFERROR(__xludf.DUMMYFUNCTION("INDEX(IMPORTRANGE(""1y0FWgjbB0gVlqn-q5LMJbGIsqOrzru4yowQz67dz2yc"", ""'JUA'!BI3:BI139""),MATCH(D37,IMPORTRANGE(""1y0FWgjbB0gVlqn-q5LMJbGIsqOrzru4yowQz67dz2yc"", ""'JUA'!D3:D139""),0))"),"#VALUE!")</f>
        <v>#VALUE!</v>
      </c>
      <c r="AA37" s="156"/>
      <c r="AB37" s="156"/>
      <c r="AC37" s="156"/>
      <c r="AD37" s="156"/>
    </row>
    <row r="38" spans="1:30">
      <c r="A38" s="155" t="s">
        <v>119</v>
      </c>
      <c r="B38" s="155" t="s">
        <v>120</v>
      </c>
      <c r="C38" s="156" t="s">
        <v>30</v>
      </c>
      <c r="D38" s="155" t="s">
        <v>330</v>
      </c>
      <c r="E38" s="155" t="s">
        <v>38</v>
      </c>
      <c r="F38" s="22" t="s">
        <v>176</v>
      </c>
      <c r="G38" s="22" t="s">
        <v>56</v>
      </c>
      <c r="H38" s="22" t="s">
        <v>57</v>
      </c>
      <c r="I38" s="21" t="s">
        <v>58</v>
      </c>
      <c r="J38" s="21" t="s">
        <v>59</v>
      </c>
      <c r="K38" s="21" t="s">
        <v>60</v>
      </c>
      <c r="L38" s="21" t="s">
        <v>61</v>
      </c>
      <c r="M38" s="21" t="s">
        <v>62</v>
      </c>
      <c r="N38" s="21" t="s">
        <v>63</v>
      </c>
      <c r="O38" s="21" t="s">
        <v>63</v>
      </c>
      <c r="P38" s="262"/>
      <c r="Q38" s="262"/>
      <c r="R38" s="385"/>
      <c r="S38" s="385"/>
      <c r="T38" s="385"/>
      <c r="U38" s="385"/>
      <c r="V38" s="358"/>
      <c r="W38" s="358"/>
      <c r="X38" s="22"/>
      <c r="Y38" s="22" t="str">
        <f ca="1">IFERROR(__xludf.DUMMYFUNCTION("INDEX(IMPORTRANGE(""1y0FWgjbB0gVlqn-q5LMJbGIsqOrzru4yowQz67dz2yc"", ""'JUA'!BH3:BH139""),MATCH(D38,IMPORTRANGE(""1y0FWgjbB0gVlqn-q5LMJbGIsqOrzru4yowQz67dz2yc"", ""'JUA'!D3:D139""),0))"),"")</f>
        <v/>
      </c>
      <c r="Z38" s="22">
        <f ca="1">IFERROR(__xludf.DUMMYFUNCTION("INDEX(IMPORTRANGE(""1y0FWgjbB0gVlqn-q5LMJbGIsqOrzru4yowQz67dz2yc"", ""'JUA'!BI3:BI139""),MATCH(D38,IMPORTRANGE(""1y0FWgjbB0gVlqn-q5LMJbGIsqOrzru4yowQz67dz2yc"", ""'JUA'!D3:D139""),0))"),0)</f>
        <v>0</v>
      </c>
      <c r="AA38" s="156"/>
      <c r="AB38" s="156"/>
      <c r="AC38" s="156"/>
      <c r="AD38" s="156"/>
    </row>
    <row r="39" spans="1:30">
      <c r="A39" s="155" t="s">
        <v>119</v>
      </c>
      <c r="B39" s="155" t="s">
        <v>120</v>
      </c>
      <c r="C39" s="156" t="s">
        <v>30</v>
      </c>
      <c r="D39" s="155" t="s">
        <v>331</v>
      </c>
      <c r="E39" s="155" t="s">
        <v>38</v>
      </c>
      <c r="F39" s="22" t="s">
        <v>332</v>
      </c>
      <c r="G39" s="22" t="s">
        <v>56</v>
      </c>
      <c r="H39" s="22" t="s">
        <v>57</v>
      </c>
      <c r="I39" s="21" t="s">
        <v>58</v>
      </c>
      <c r="J39" s="21" t="s">
        <v>59</v>
      </c>
      <c r="K39" s="21" t="s">
        <v>60</v>
      </c>
      <c r="L39" s="21" t="s">
        <v>61</v>
      </c>
      <c r="M39" s="21" t="s">
        <v>62</v>
      </c>
      <c r="N39" s="21" t="s">
        <v>63</v>
      </c>
      <c r="O39" s="21" t="s">
        <v>63</v>
      </c>
      <c r="P39" s="262"/>
      <c r="Q39" s="262"/>
      <c r="R39" s="385"/>
      <c r="S39" s="385"/>
      <c r="T39" s="385"/>
      <c r="U39" s="385"/>
      <c r="V39" s="358"/>
      <c r="W39" s="358"/>
      <c r="X39" s="22"/>
      <c r="Y39" s="22" t="str">
        <f ca="1">IFERROR(__xludf.DUMMYFUNCTION("INDEX(IMPORTRANGE(""1y0FWgjbB0gVlqn-q5LMJbGIsqOrzru4yowQz67dz2yc"", ""'JUA'!BH3:BH139""),MATCH(D39,IMPORTRANGE(""1y0FWgjbB0gVlqn-q5LMJbGIsqOrzru4yowQz67dz2yc"", ""'JUA'!D3:D139""),0))"),"")</f>
        <v/>
      </c>
      <c r="Z39" s="265">
        <f ca="1">IFERROR(__xludf.DUMMYFUNCTION("INDEX(IMPORTRANGE(""1y0FWgjbB0gVlqn-q5LMJbGIsqOrzru4yowQz67dz2yc"", ""'JUA'!BI3:BI139""),MATCH(D39,IMPORTRANGE(""1y0FWgjbB0gVlqn-q5LMJbGIsqOrzru4yowQz67dz2yc"", ""'JUA'!D3:D139""),0))"),56769.6)</f>
        <v>56769.599999999999</v>
      </c>
      <c r="AA39" s="156"/>
      <c r="AB39" s="156"/>
      <c r="AC39" s="156"/>
      <c r="AD39" s="156"/>
    </row>
    <row r="40" spans="1:30">
      <c r="A40" s="155" t="s">
        <v>119</v>
      </c>
      <c r="B40" s="155" t="s">
        <v>120</v>
      </c>
      <c r="C40" s="156" t="s">
        <v>36</v>
      </c>
      <c r="D40" s="155" t="s">
        <v>333</v>
      </c>
      <c r="E40" s="155" t="s">
        <v>38</v>
      </c>
      <c r="F40" s="22" t="s">
        <v>334</v>
      </c>
      <c r="G40" s="22" t="s">
        <v>56</v>
      </c>
      <c r="H40" s="22" t="s">
        <v>57</v>
      </c>
      <c r="I40" s="21" t="s">
        <v>58</v>
      </c>
      <c r="J40" s="21" t="s">
        <v>59</v>
      </c>
      <c r="K40" s="21" t="s">
        <v>60</v>
      </c>
      <c r="L40" s="21" t="s">
        <v>61</v>
      </c>
      <c r="M40" s="21" t="s">
        <v>62</v>
      </c>
      <c r="N40" s="21" t="s">
        <v>63</v>
      </c>
      <c r="O40" s="21" t="s">
        <v>63</v>
      </c>
      <c r="P40" s="262"/>
      <c r="Q40" s="262"/>
      <c r="R40" s="405"/>
      <c r="S40" s="404">
        <v>3.3999999999999998E-3</v>
      </c>
      <c r="T40" s="404">
        <v>4.3E-3</v>
      </c>
      <c r="U40" s="404">
        <v>4.4000000000000003E-3</v>
      </c>
      <c r="V40" s="404">
        <v>4.7999999999999996E-3</v>
      </c>
      <c r="W40" s="404">
        <v>4.7999999999999996E-3</v>
      </c>
      <c r="X40" s="22"/>
      <c r="Y40" s="22" t="str">
        <f ca="1">IFERROR(__xludf.DUMMYFUNCTION("INDEX(IMPORTRANGE(""1y0FWgjbB0gVlqn-q5LMJbGIsqOrzru4yowQz67dz2yc"", ""'JUA'!BH3:BH139""),MATCH(D40,IMPORTRANGE(""1y0FWgjbB0gVlqn-q5LMJbGIsqOrzru4yowQz67dz2yc"", ""'JUA'!D3:D139""),0))"),"")</f>
        <v/>
      </c>
      <c r="Z40" s="22">
        <f ca="1">IFERROR(__xludf.DUMMYFUNCTION("INDEX(IMPORTRANGE(""1y0FWgjbB0gVlqn-q5LMJbGIsqOrzru4yowQz67dz2yc"", ""'JUA'!BI3:BI139""),MATCH(D40,IMPORTRANGE(""1y0FWgjbB0gVlqn-q5LMJbGIsqOrzru4yowQz67dz2yc"", ""'JUA'!D3:D139""),0))"),0)</f>
        <v>0</v>
      </c>
      <c r="AA40" s="156"/>
      <c r="AB40" s="156"/>
      <c r="AC40" s="156"/>
      <c r="AD40" s="156"/>
    </row>
    <row r="41" spans="1:30">
      <c r="A41" s="155" t="s">
        <v>119</v>
      </c>
      <c r="B41" s="155" t="s">
        <v>127</v>
      </c>
      <c r="C41" s="156" t="s">
        <v>36</v>
      </c>
      <c r="D41" s="155" t="s">
        <v>128</v>
      </c>
      <c r="E41" s="155" t="s">
        <v>38</v>
      </c>
      <c r="F41" s="22" t="s">
        <v>129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335</v>
      </c>
      <c r="L41" s="22" t="s">
        <v>336</v>
      </c>
      <c r="M41" s="22" t="s">
        <v>337</v>
      </c>
      <c r="N41" s="262" t="s">
        <v>132</v>
      </c>
      <c r="O41" s="262" t="s">
        <v>132</v>
      </c>
      <c r="P41" s="262">
        <v>0</v>
      </c>
      <c r="Q41" s="262">
        <v>0</v>
      </c>
      <c r="R41" s="405">
        <v>4</v>
      </c>
      <c r="S41" s="405">
        <v>6</v>
      </c>
      <c r="T41" s="405">
        <v>7</v>
      </c>
      <c r="U41" s="405">
        <v>8</v>
      </c>
      <c r="V41" s="406">
        <v>10</v>
      </c>
      <c r="W41" s="406">
        <v>10</v>
      </c>
      <c r="X41" s="22">
        <v>0</v>
      </c>
      <c r="Y41" s="22">
        <f ca="1">IFERROR(__xludf.DUMMYFUNCTION("INDEX(IMPORTRANGE(""1y0FWgjbB0gVlqn-q5LMJbGIsqOrzru4yowQz67dz2yc"", ""'JUA'!BH3:BH139""),MATCH(D41,IMPORTRANGE(""1y0FWgjbB0gVlqn-q5LMJbGIsqOrzru4yowQz67dz2yc"", ""'JUA'!D3:D139""),0))"),0)</f>
        <v>0</v>
      </c>
      <c r="Z41" s="22">
        <f ca="1">IFERROR(__xludf.DUMMYFUNCTION("INDEX(IMPORTRANGE(""1y0FWgjbB0gVlqn-q5LMJbGIsqOrzru4yowQz67dz2yc"", ""'JUA'!BI3:BI139""),MATCH(D41,IMPORTRANGE(""1y0FWgjbB0gVlqn-q5LMJbGIsqOrzru4yowQz67dz2yc"", ""'JUA'!D3:D139""),0))"),0)</f>
        <v>0</v>
      </c>
      <c r="AA41" s="156"/>
      <c r="AB41" s="156"/>
      <c r="AC41" s="156"/>
      <c r="AD41" s="156"/>
    </row>
    <row r="42" spans="1:30">
      <c r="A42" s="155" t="s">
        <v>119</v>
      </c>
      <c r="B42" s="155" t="s">
        <v>133</v>
      </c>
      <c r="C42" s="156" t="s">
        <v>36</v>
      </c>
      <c r="D42" s="7" t="s">
        <v>134</v>
      </c>
      <c r="E42" s="155" t="s">
        <v>38</v>
      </c>
      <c r="F42" s="22" t="s">
        <v>135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335</v>
      </c>
      <c r="L42" s="22" t="s">
        <v>336</v>
      </c>
      <c r="M42" s="22" t="s">
        <v>337</v>
      </c>
      <c r="N42" s="262" t="s">
        <v>132</v>
      </c>
      <c r="O42" s="262" t="s">
        <v>132</v>
      </c>
      <c r="P42" s="262">
        <v>27</v>
      </c>
      <c r="Q42" s="262">
        <v>44</v>
      </c>
      <c r="R42" s="405">
        <v>1036</v>
      </c>
      <c r="S42" s="405">
        <v>1576</v>
      </c>
      <c r="T42" s="405">
        <v>2061</v>
      </c>
      <c r="U42" s="405">
        <v>2538</v>
      </c>
      <c r="V42" s="406">
        <v>3054</v>
      </c>
      <c r="W42" s="406">
        <v>3054</v>
      </c>
      <c r="X42" s="22">
        <v>0</v>
      </c>
      <c r="Y42" s="22">
        <f ca="1">IFERROR(__xludf.DUMMYFUNCTION("INDEX(IMPORTRANGE(""1y0FWgjbB0gVlqn-q5LMJbGIsqOrzru4yowQz67dz2yc"", ""'JUA'!BH3:BH139""),MATCH(D42,IMPORTRANGE(""1y0FWgjbB0gVlqn-q5LMJbGIsqOrzru4yowQz67dz2yc"", ""'JUA'!D3:D139""),0))"),0)</f>
        <v>0</v>
      </c>
      <c r="Z42" s="22">
        <f ca="1">IFERROR(__xludf.DUMMYFUNCTION("INDEX(IMPORTRANGE(""1y0FWgjbB0gVlqn-q5LMJbGIsqOrzru4yowQz67dz2yc"", ""'JUA'!BI3:BI139""),MATCH(D42,IMPORTRANGE(""1y0FWgjbB0gVlqn-q5LMJbGIsqOrzru4yowQz67dz2yc"", ""'JUA'!D3:D139""),0))"),450)</f>
        <v>450</v>
      </c>
      <c r="AA42" s="156"/>
      <c r="AB42" s="156"/>
      <c r="AC42" s="156"/>
      <c r="AD42" s="156"/>
    </row>
    <row r="43" spans="1:30">
      <c r="A43" s="155" t="s">
        <v>119</v>
      </c>
      <c r="B43" s="155" t="s">
        <v>136</v>
      </c>
      <c r="C43" s="156" t="s">
        <v>30</v>
      </c>
      <c r="D43" s="155" t="s">
        <v>137</v>
      </c>
      <c r="E43" s="155" t="s">
        <v>38</v>
      </c>
      <c r="F43" s="22" t="s">
        <v>138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262">
        <v>0</v>
      </c>
      <c r="Q43" s="262">
        <v>6</v>
      </c>
      <c r="R43" s="290"/>
      <c r="S43" s="290"/>
      <c r="T43" s="290"/>
      <c r="U43" s="290"/>
      <c r="V43" s="290"/>
      <c r="W43" s="377"/>
      <c r="X43" s="22">
        <v>0</v>
      </c>
      <c r="Y43" s="22">
        <f ca="1">IFERROR(__xludf.DUMMYFUNCTION("INDEX(IMPORTRANGE(""1y0FWgjbB0gVlqn-q5LMJbGIsqOrzru4yowQz67dz2yc"", ""'JUA'!BH3:BH139""),MATCH(D43,IMPORTRANGE(""1y0FWgjbB0gVlqn-q5LMJbGIsqOrzru4yowQz67dz2yc"", ""'JUA'!D3:D139""),0))"),0)</f>
        <v>0</v>
      </c>
      <c r="Z43" s="22">
        <f ca="1">IFERROR(__xludf.DUMMYFUNCTION("INDEX(IMPORTRANGE(""1y0FWgjbB0gVlqn-q5LMJbGIsqOrzru4yowQz67dz2yc"", ""'JUA'!BI3:BI139""),MATCH(D43,IMPORTRANGE(""1y0FWgjbB0gVlqn-q5LMJbGIsqOrzru4yowQz67dz2yc"", ""'JUA'!D3:D139""),0))"),0)</f>
        <v>0</v>
      </c>
      <c r="AA43" s="156"/>
      <c r="AB43" s="156"/>
      <c r="AC43" s="156"/>
      <c r="AD43" s="156"/>
    </row>
    <row r="44" spans="1:30">
      <c r="A44" s="155" t="s">
        <v>119</v>
      </c>
      <c r="B44" s="155" t="s">
        <v>136</v>
      </c>
      <c r="C44" s="156" t="s">
        <v>30</v>
      </c>
      <c r="D44" s="155" t="s">
        <v>139</v>
      </c>
      <c r="E44" s="155" t="s">
        <v>38</v>
      </c>
      <c r="F44" s="22" t="s">
        <v>140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262"/>
      <c r="Q44" s="262"/>
      <c r="R44" s="290"/>
      <c r="S44" s="290"/>
      <c r="T44" s="290"/>
      <c r="U44" s="290"/>
      <c r="V44" s="290"/>
      <c r="W44" s="377"/>
      <c r="X44" s="22"/>
      <c r="Y44" s="22">
        <f ca="1">IFERROR(__xludf.DUMMYFUNCTION("INDEX(IMPORTRANGE(""1y0FWgjbB0gVlqn-q5LMJbGIsqOrzru4yowQz67dz2yc"", ""'JUA'!BH3:BH139""),MATCH(D44,IMPORTRANGE(""1y0FWgjbB0gVlqn-q5LMJbGIsqOrzru4yowQz67dz2yc"", ""'JUA'!D3:D139""),0))"),0)</f>
        <v>0</v>
      </c>
      <c r="Z44" s="22">
        <f ca="1">IFERROR(__xludf.DUMMYFUNCTION("INDEX(IMPORTRANGE(""1y0FWgjbB0gVlqn-q5LMJbGIsqOrzru4yowQz67dz2yc"", ""'JUA'!BI3:BI139""),MATCH(D44,IMPORTRANGE(""1y0FWgjbB0gVlqn-q5LMJbGIsqOrzru4yowQz67dz2yc"", ""'JUA'!D3:D139""),0))"),0)</f>
        <v>0</v>
      </c>
      <c r="AA44" s="156"/>
      <c r="AB44" s="156"/>
      <c r="AC44" s="156"/>
      <c r="AD44" s="156"/>
    </row>
    <row r="45" spans="1:30">
      <c r="A45" s="155" t="s">
        <v>119</v>
      </c>
      <c r="B45" s="155" t="s">
        <v>136</v>
      </c>
      <c r="C45" s="156" t="s">
        <v>30</v>
      </c>
      <c r="D45" s="155" t="s">
        <v>141</v>
      </c>
      <c r="E45" s="155" t="s">
        <v>38</v>
      </c>
      <c r="F45" s="22" t="s">
        <v>142</v>
      </c>
      <c r="G45" s="2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262">
        <v>10</v>
      </c>
      <c r="Q45" s="262">
        <v>10</v>
      </c>
      <c r="R45" s="290"/>
      <c r="S45" s="290"/>
      <c r="T45" s="290"/>
      <c r="U45" s="290"/>
      <c r="V45" s="290"/>
      <c r="W45" s="377"/>
      <c r="X45" s="22">
        <v>0</v>
      </c>
      <c r="Y45" s="22">
        <f ca="1">IFERROR(__xludf.DUMMYFUNCTION("INDEX(IMPORTRANGE(""1y0FWgjbB0gVlqn-q5LMJbGIsqOrzru4yowQz67dz2yc"", ""'JUA'!BH3:BH139""),MATCH(D45,IMPORTRANGE(""1y0FWgjbB0gVlqn-q5LMJbGIsqOrzru4yowQz67dz2yc"", ""'JUA'!D3:D139""),0))"),0)</f>
        <v>0</v>
      </c>
      <c r="Z45" s="22">
        <f ca="1">IFERROR(__xludf.DUMMYFUNCTION("INDEX(IMPORTRANGE(""1y0FWgjbB0gVlqn-q5LMJbGIsqOrzru4yowQz67dz2yc"", ""'JUA'!BI3:BI139""),MATCH(D45,IMPORTRANGE(""1y0FWgjbB0gVlqn-q5LMJbGIsqOrzru4yowQz67dz2yc"", ""'JUA'!D3:D139""),0))"),0)</f>
        <v>0</v>
      </c>
      <c r="AA45" s="156"/>
      <c r="AB45" s="156"/>
      <c r="AC45" s="156"/>
      <c r="AD45" s="156"/>
    </row>
    <row r="46" spans="1:30">
      <c r="A46" s="155" t="s">
        <v>119</v>
      </c>
      <c r="B46" s="155" t="s">
        <v>136</v>
      </c>
      <c r="C46" s="156" t="s">
        <v>30</v>
      </c>
      <c r="D46" s="155" t="s">
        <v>143</v>
      </c>
      <c r="E46" s="155" t="s">
        <v>38</v>
      </c>
      <c r="F46" s="22" t="s">
        <v>144</v>
      </c>
      <c r="G46" s="2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262"/>
      <c r="Q46" s="262"/>
      <c r="R46" s="290"/>
      <c r="S46" s="290"/>
      <c r="T46" s="290"/>
      <c r="U46" s="290"/>
      <c r="V46" s="290"/>
      <c r="W46" s="377"/>
      <c r="X46" s="262"/>
      <c r="Y46" s="262">
        <f ca="1">IFERROR(__xludf.DUMMYFUNCTION("INDEX(IMPORTRANGE(""1y0FWgjbB0gVlqn-q5LMJbGIsqOrzru4yowQz67dz2yc"", ""'JUA'!BH3:BH139""),MATCH(D46,IMPORTRANGE(""1y0FWgjbB0gVlqn-q5LMJbGIsqOrzru4yowQz67dz2yc"", ""'JUA'!D3:D139""),0))"),0)</f>
        <v>0</v>
      </c>
      <c r="Z46" s="22">
        <f ca="1">IFERROR(__xludf.DUMMYFUNCTION("INDEX(IMPORTRANGE(""1y0FWgjbB0gVlqn-q5LMJbGIsqOrzru4yowQz67dz2yc"", ""'JUA'!BI3:BI139""),MATCH(D46,IMPORTRANGE(""1y0FWgjbB0gVlqn-q5LMJbGIsqOrzru4yowQz67dz2yc"", ""'JUA'!D3:D139""),0))"),0)</f>
        <v>0</v>
      </c>
      <c r="AA46" s="156"/>
      <c r="AB46" s="156"/>
      <c r="AC46" s="156"/>
      <c r="AD46" s="156"/>
    </row>
    <row r="47" spans="1:30">
      <c r="A47" s="155" t="s">
        <v>119</v>
      </c>
      <c r="B47" s="155" t="s">
        <v>136</v>
      </c>
      <c r="C47" s="156" t="s">
        <v>36</v>
      </c>
      <c r="D47" s="155" t="s">
        <v>145</v>
      </c>
      <c r="E47" s="155" t="s">
        <v>38</v>
      </c>
      <c r="F47" s="22" t="s">
        <v>146</v>
      </c>
      <c r="G47" s="2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262">
        <v>10</v>
      </c>
      <c r="Q47" s="262">
        <v>16</v>
      </c>
      <c r="R47" s="405">
        <v>16</v>
      </c>
      <c r="S47" s="405">
        <v>23</v>
      </c>
      <c r="T47" s="405">
        <v>31</v>
      </c>
      <c r="U47" s="405">
        <v>38</v>
      </c>
      <c r="V47" s="406">
        <v>46</v>
      </c>
      <c r="W47" s="406">
        <v>46</v>
      </c>
      <c r="X47" s="262">
        <f>SUM(X43:X45)</f>
        <v>0</v>
      </c>
      <c r="Y47" s="262">
        <f ca="1">IFERROR(__xludf.DUMMYFUNCTION("INDEX(IMPORTRANGE(""1y0FWgjbB0gVlqn-q5LMJbGIsqOrzru4yowQz67dz2yc"", ""'JUA'!BH3:BH139""),MATCH(D47,IMPORTRANGE(""1y0FWgjbB0gVlqn-q5LMJbGIsqOrzru4yowQz67dz2yc"", ""'JUA'!D3:D139""),0))"),0)</f>
        <v>0</v>
      </c>
      <c r="Z47" s="22">
        <f ca="1">IFERROR(__xludf.DUMMYFUNCTION("INDEX(IMPORTRANGE(""1y0FWgjbB0gVlqn-q5LMJbGIsqOrzru4yowQz67dz2yc"", ""'JUA'!BI3:BI139""),MATCH(D47,IMPORTRANGE(""1y0FWgjbB0gVlqn-q5LMJbGIsqOrzru4yowQz67dz2yc"", ""'JUA'!D3:D139""),0))"),0)</f>
        <v>0</v>
      </c>
      <c r="AA47" s="156"/>
      <c r="AB47" s="156"/>
      <c r="AC47" s="156"/>
      <c r="AD47" s="156"/>
    </row>
    <row r="48" spans="1:30">
      <c r="A48" s="155" t="s">
        <v>147</v>
      </c>
      <c r="B48" s="155" t="s">
        <v>148</v>
      </c>
      <c r="C48" s="156" t="s">
        <v>30</v>
      </c>
      <c r="D48" s="155" t="s">
        <v>149</v>
      </c>
      <c r="E48" s="155" t="s">
        <v>38</v>
      </c>
      <c r="F48" s="22"/>
      <c r="G48" s="10">
        <v>44469</v>
      </c>
      <c r="H48" s="10">
        <v>44469</v>
      </c>
      <c r="I48" s="10">
        <v>44651</v>
      </c>
      <c r="J48" s="10">
        <v>44834</v>
      </c>
      <c r="K48" s="10">
        <v>45016</v>
      </c>
      <c r="L48" s="10">
        <v>45199</v>
      </c>
      <c r="M48" s="10">
        <v>45382</v>
      </c>
      <c r="N48" s="10">
        <v>45565</v>
      </c>
      <c r="O48" s="10">
        <v>45565</v>
      </c>
      <c r="P48" s="269" t="s">
        <v>150</v>
      </c>
      <c r="Q48" s="269" t="s">
        <v>150</v>
      </c>
      <c r="R48" s="156" t="s">
        <v>151</v>
      </c>
      <c r="S48" s="156" t="s">
        <v>151</v>
      </c>
      <c r="T48" s="156" t="s">
        <v>151</v>
      </c>
      <c r="U48" s="156" t="s">
        <v>151</v>
      </c>
      <c r="V48" s="156" t="s">
        <v>151</v>
      </c>
      <c r="W48" s="156" t="s">
        <v>151</v>
      </c>
      <c r="X48" s="22" t="s">
        <v>150</v>
      </c>
      <c r="Y48" s="22" t="str">
        <f ca="1">IFERROR(__xludf.DUMMYFUNCTION("INDEX(IMPORTRANGE(""1y0FWgjbB0gVlqn-q5LMJbGIsqOrzru4yowQz67dz2yc"", ""'JUA'!BH3:BH139""),MATCH(D48,IMPORTRANGE(""1y0FWgjbB0gVlqn-q5LMJbGIsqOrzru4yowQz67dz2yc"", ""'JUA'!D3:D139""),0))"),"No")</f>
        <v>No</v>
      </c>
      <c r="Z48" s="22" t="str">
        <f ca="1">IFERROR(__xludf.DUMMYFUNCTION("INDEX(IMPORTRANGE(""1y0FWgjbB0gVlqn-q5LMJbGIsqOrzru4yowQz67dz2yc"", ""'JUA'!BI3:BI139""),MATCH(D48,IMPORTRANGE(""1y0FWgjbB0gVlqn-q5LMJbGIsqOrzru4yowQz67dz2yc"", ""'JUA'!D3:D139""),0))"),"No")</f>
        <v>No</v>
      </c>
      <c r="AA48" s="156"/>
      <c r="AB48" s="156"/>
      <c r="AC48" s="156"/>
      <c r="AD48" s="156"/>
    </row>
    <row r="49" spans="1:30">
      <c r="A49" s="155" t="s">
        <v>147</v>
      </c>
      <c r="B49" s="155" t="s">
        <v>148</v>
      </c>
      <c r="C49" s="156" t="s">
        <v>30</v>
      </c>
      <c r="D49" s="155" t="s">
        <v>152</v>
      </c>
      <c r="E49" s="155" t="s">
        <v>38</v>
      </c>
      <c r="F49" s="22"/>
      <c r="G49" s="10">
        <v>44469</v>
      </c>
      <c r="H49" s="10">
        <v>44469</v>
      </c>
      <c r="I49" s="10">
        <v>44651</v>
      </c>
      <c r="J49" s="10">
        <v>44834</v>
      </c>
      <c r="K49" s="10">
        <v>45016</v>
      </c>
      <c r="L49" s="10">
        <v>45199</v>
      </c>
      <c r="M49" s="10">
        <v>45382</v>
      </c>
      <c r="N49" s="10">
        <v>45565</v>
      </c>
      <c r="O49" s="10">
        <v>45565</v>
      </c>
      <c r="P49" s="269" t="s">
        <v>150</v>
      </c>
      <c r="Q49" s="269" t="s">
        <v>150</v>
      </c>
      <c r="R49" s="156" t="s">
        <v>151</v>
      </c>
      <c r="S49" s="156" t="s">
        <v>151</v>
      </c>
      <c r="T49" s="156" t="s">
        <v>151</v>
      </c>
      <c r="U49" s="156" t="s">
        <v>151</v>
      </c>
      <c r="V49" s="156" t="s">
        <v>151</v>
      </c>
      <c r="W49" s="156" t="s">
        <v>151</v>
      </c>
      <c r="X49" s="22" t="s">
        <v>150</v>
      </c>
      <c r="Y49" s="22" t="str">
        <f ca="1">IFERROR(__xludf.DUMMYFUNCTION("INDEX(IMPORTRANGE(""1y0FWgjbB0gVlqn-q5LMJbGIsqOrzru4yowQz67dz2yc"", ""'JUA'!BH3:BH139""),MATCH(D49,IMPORTRANGE(""1y0FWgjbB0gVlqn-q5LMJbGIsqOrzru4yowQz67dz2yc"", ""'JUA'!D3:D139""),0))"),"No")</f>
        <v>No</v>
      </c>
      <c r="Z49" s="22" t="str">
        <f ca="1">IFERROR(__xludf.DUMMYFUNCTION("INDEX(IMPORTRANGE(""1y0FWgjbB0gVlqn-q5LMJbGIsqOrzru4yowQz67dz2yc"", ""'JUA'!BI3:BI139""),MATCH(D49,IMPORTRANGE(""1y0FWgjbB0gVlqn-q5LMJbGIsqOrzru4yowQz67dz2yc"", ""'JUA'!D3:D139""),0))"),"No")</f>
        <v>No</v>
      </c>
      <c r="AA49" s="156"/>
      <c r="AB49" s="156"/>
      <c r="AC49" s="156"/>
      <c r="AD49" s="156"/>
    </row>
    <row r="50" spans="1:30">
      <c r="A50" s="155" t="s">
        <v>147</v>
      </c>
      <c r="B50" s="155" t="s">
        <v>148</v>
      </c>
      <c r="C50" s="156" t="s">
        <v>30</v>
      </c>
      <c r="D50" s="155" t="s">
        <v>154</v>
      </c>
      <c r="E50" s="155" t="s">
        <v>38</v>
      </c>
      <c r="F50" s="22"/>
      <c r="G50" s="10">
        <v>44469</v>
      </c>
      <c r="H50" s="10">
        <v>44469</v>
      </c>
      <c r="I50" s="10">
        <v>44651</v>
      </c>
      <c r="J50" s="10">
        <v>44834</v>
      </c>
      <c r="K50" s="10">
        <v>45016</v>
      </c>
      <c r="L50" s="10">
        <v>45199</v>
      </c>
      <c r="M50" s="10">
        <v>45382</v>
      </c>
      <c r="N50" s="10">
        <v>45565</v>
      </c>
      <c r="O50" s="10">
        <v>45565</v>
      </c>
      <c r="P50" s="269" t="s">
        <v>150</v>
      </c>
      <c r="Q50" s="269" t="s">
        <v>150</v>
      </c>
      <c r="R50" s="22" t="s">
        <v>155</v>
      </c>
      <c r="S50" s="156" t="s">
        <v>155</v>
      </c>
      <c r="T50" s="156" t="s">
        <v>155</v>
      </c>
      <c r="U50" s="156" t="s">
        <v>155</v>
      </c>
      <c r="V50" s="156" t="s">
        <v>155</v>
      </c>
      <c r="W50" s="22" t="s">
        <v>155</v>
      </c>
      <c r="X50" s="22" t="s">
        <v>150</v>
      </c>
      <c r="Y50" s="22" t="str">
        <f ca="1">IFERROR(__xludf.DUMMYFUNCTION("INDEX(IMPORTRANGE(""1y0FWgjbB0gVlqn-q5LMJbGIsqOrzru4yowQz67dz2yc"", ""'JUA'!BH3:BH139""),MATCH(D50,IMPORTRANGE(""1y0FWgjbB0gVlqn-q5LMJbGIsqOrzru4yowQz67dz2yc"", ""'JUA'!D3:D139""),0))"),"No")</f>
        <v>No</v>
      </c>
      <c r="Z50" s="22" t="str">
        <f ca="1">IFERROR(__xludf.DUMMYFUNCTION("INDEX(IMPORTRANGE(""1y0FWgjbB0gVlqn-q5LMJbGIsqOrzru4yowQz67dz2yc"", ""'JUA'!BI3:BI139""),MATCH(D50,IMPORTRANGE(""1y0FWgjbB0gVlqn-q5LMJbGIsqOrzru4yowQz67dz2yc"", ""'JUA'!D3:D139""),0))"),"No")</f>
        <v>No</v>
      </c>
      <c r="AA50" s="156"/>
      <c r="AB50" s="156"/>
      <c r="AC50" s="156"/>
      <c r="AD50" s="156"/>
    </row>
    <row r="51" spans="1:30">
      <c r="A51" s="155" t="s">
        <v>147</v>
      </c>
      <c r="B51" s="155" t="s">
        <v>148</v>
      </c>
      <c r="C51" s="156" t="s">
        <v>36</v>
      </c>
      <c r="D51" s="155" t="s">
        <v>156</v>
      </c>
      <c r="E51" s="155" t="s">
        <v>38</v>
      </c>
      <c r="F51" s="22"/>
      <c r="G51" s="10">
        <v>44469</v>
      </c>
      <c r="H51" s="10">
        <v>44469</v>
      </c>
      <c r="I51" s="10">
        <v>44651</v>
      </c>
      <c r="J51" s="10">
        <v>44834</v>
      </c>
      <c r="K51" s="10">
        <v>45016</v>
      </c>
      <c r="L51" s="10">
        <v>45199</v>
      </c>
      <c r="M51" s="10">
        <v>45382</v>
      </c>
      <c r="N51" s="10">
        <v>45565</v>
      </c>
      <c r="O51" s="10">
        <v>45565</v>
      </c>
      <c r="P51" s="262">
        <f t="shared" ref="P51:Q51" si="9">COUNTIF(P48:P50,"Sí")*(1/3)</f>
        <v>0</v>
      </c>
      <c r="Q51" s="262">
        <f t="shared" si="9"/>
        <v>0</v>
      </c>
      <c r="R51" s="407" t="s">
        <v>157</v>
      </c>
      <c r="S51" s="22" t="s">
        <v>157</v>
      </c>
      <c r="T51" s="22" t="s">
        <v>157</v>
      </c>
      <c r="U51" s="22" t="s">
        <v>157</v>
      </c>
      <c r="V51" s="22" t="s">
        <v>157</v>
      </c>
      <c r="W51" s="262" t="s">
        <v>157</v>
      </c>
      <c r="X51" s="262">
        <f>COUNTIF(X48:X50,"Sí")*(1/3)</f>
        <v>0</v>
      </c>
      <c r="Y51" s="262">
        <f ca="1">IFERROR(__xludf.DUMMYFUNCTION("INDEX(IMPORTRANGE(""1y0FWgjbB0gVlqn-q5LMJbGIsqOrzru4yowQz67dz2yc"", ""'JUA'!BH3:BH139""),MATCH(D51,IMPORTRANGE(""1y0FWgjbB0gVlqn-q5LMJbGIsqOrzru4yowQz67dz2yc"", ""'JUA'!D3:D139""),0))"),0)</f>
        <v>0</v>
      </c>
      <c r="Z51" s="22">
        <f ca="1">IFERROR(__xludf.DUMMYFUNCTION("INDEX(IMPORTRANGE(""1y0FWgjbB0gVlqn-q5LMJbGIsqOrzru4yowQz67dz2yc"", ""'JUA'!BI3:BI139""),MATCH(D51,IMPORTRANGE(""1y0FWgjbB0gVlqn-q5LMJbGIsqOrzru4yowQz67dz2yc"", ""'JUA'!D3:D139""),0))"),0)</f>
        <v>0</v>
      </c>
      <c r="AA51" s="156"/>
      <c r="AB51" s="156"/>
      <c r="AC51" s="156"/>
      <c r="AD51" s="156"/>
    </row>
    <row r="52" spans="1:30">
      <c r="A52" s="155" t="s">
        <v>147</v>
      </c>
      <c r="B52" s="155" t="s">
        <v>148</v>
      </c>
      <c r="C52" s="156" t="s">
        <v>36</v>
      </c>
      <c r="D52" s="155" t="s">
        <v>158</v>
      </c>
      <c r="E52" s="155" t="s">
        <v>38</v>
      </c>
      <c r="F52" s="22"/>
      <c r="G52" s="10">
        <v>44469</v>
      </c>
      <c r="H52" s="10">
        <v>44469</v>
      </c>
      <c r="I52" s="10">
        <v>44651</v>
      </c>
      <c r="J52" s="10">
        <v>44834</v>
      </c>
      <c r="K52" s="10">
        <v>45016</v>
      </c>
      <c r="L52" s="10">
        <v>45199</v>
      </c>
      <c r="M52" s="10">
        <v>45382</v>
      </c>
      <c r="N52" s="10">
        <v>45565</v>
      </c>
      <c r="O52" s="10">
        <v>45565</v>
      </c>
      <c r="P52" s="262">
        <v>0</v>
      </c>
      <c r="Q52" s="262">
        <v>0</v>
      </c>
      <c r="R52" s="407" t="s">
        <v>159</v>
      </c>
      <c r="S52" s="22" t="s">
        <v>160</v>
      </c>
      <c r="T52" s="22" t="s">
        <v>160</v>
      </c>
      <c r="U52" s="22" t="s">
        <v>161</v>
      </c>
      <c r="V52" s="22" t="s">
        <v>161</v>
      </c>
      <c r="W52" s="262" t="s">
        <v>161</v>
      </c>
      <c r="X52" s="22">
        <v>0</v>
      </c>
      <c r="Y52" s="22">
        <f ca="1">IFERROR(__xludf.DUMMYFUNCTION("INDEX(IMPORTRANGE(""1y0FWgjbB0gVlqn-q5LMJbGIsqOrzru4yowQz67dz2yc"", ""'JUA'!BH3:BH139""),MATCH(D52,IMPORTRANGE(""1y0FWgjbB0gVlqn-q5LMJbGIsqOrzru4yowQz67dz2yc"", ""'JUA'!D3:D139""),0))"),0)</f>
        <v>0</v>
      </c>
      <c r="Z52" s="22">
        <f ca="1">IFERROR(__xludf.DUMMYFUNCTION("INDEX(IMPORTRANGE(""1y0FWgjbB0gVlqn-q5LMJbGIsqOrzru4yowQz67dz2yc"", ""'JUA'!BI3:BI139""),MATCH(D52,IMPORTRANGE(""1y0FWgjbB0gVlqn-q5LMJbGIsqOrzru4yowQz67dz2yc"", ""'JUA'!D3:D139""),0))"),0)</f>
        <v>0</v>
      </c>
      <c r="AA52" s="156"/>
      <c r="AB52" s="156"/>
      <c r="AC52" s="156"/>
      <c r="AD52" s="156"/>
    </row>
    <row r="53" spans="1:30">
      <c r="A53" s="155" t="s">
        <v>147</v>
      </c>
      <c r="B53" s="155" t="s">
        <v>148</v>
      </c>
      <c r="C53" s="156" t="s">
        <v>30</v>
      </c>
      <c r="D53" s="155" t="s">
        <v>162</v>
      </c>
      <c r="E53" s="155" t="s">
        <v>38</v>
      </c>
      <c r="F53" s="22" t="s">
        <v>163</v>
      </c>
      <c r="G53" s="10">
        <v>44469</v>
      </c>
      <c r="H53" s="10">
        <v>44469</v>
      </c>
      <c r="I53" s="10">
        <v>44651</v>
      </c>
      <c r="J53" s="10">
        <v>44834</v>
      </c>
      <c r="K53" s="10">
        <v>45016</v>
      </c>
      <c r="L53" s="10">
        <v>45199</v>
      </c>
      <c r="M53" s="10">
        <v>45382</v>
      </c>
      <c r="N53" s="10">
        <v>45565</v>
      </c>
      <c r="O53" s="10">
        <v>45565</v>
      </c>
      <c r="P53" s="262">
        <v>0</v>
      </c>
      <c r="Q53" s="262">
        <v>0</v>
      </c>
      <c r="R53" s="290"/>
      <c r="S53" s="290"/>
      <c r="T53" s="290"/>
      <c r="U53" s="290"/>
      <c r="V53" s="290"/>
      <c r="W53" s="377"/>
      <c r="X53" s="22">
        <v>0</v>
      </c>
      <c r="Y53" s="22">
        <f ca="1">IFERROR(__xludf.DUMMYFUNCTION("INDEX(IMPORTRANGE(""1y0FWgjbB0gVlqn-q5LMJbGIsqOrzru4yowQz67dz2yc"", ""'JUA'!BH3:BH139""),MATCH(D53,IMPORTRANGE(""1y0FWgjbB0gVlqn-q5LMJbGIsqOrzru4yowQz67dz2yc"", ""'JUA'!D3:D139""),0))"),0)</f>
        <v>0</v>
      </c>
      <c r="Z53" s="22" t="str">
        <f ca="1">IFERROR(__xludf.DUMMYFUNCTION("INDEX(IMPORTRANGE(""1y0FWgjbB0gVlqn-q5LMJbGIsqOrzru4yowQz67dz2yc"", ""'JUA'!BI3:BI139""),MATCH(D53,IMPORTRANGE(""1y0FWgjbB0gVlqn-q5LMJbGIsqOrzru4yowQz67dz2yc"", ""'JUA'!D3:D139""),0))"),"No tienen información ")</f>
        <v xml:space="preserve">No tienen información </v>
      </c>
      <c r="AA53" s="156"/>
      <c r="AB53" s="156"/>
      <c r="AC53" s="156"/>
      <c r="AD53" s="156"/>
    </row>
    <row r="54" spans="1:30">
      <c r="A54" s="155" t="s">
        <v>147</v>
      </c>
      <c r="B54" s="155" t="s">
        <v>148</v>
      </c>
      <c r="C54" s="156" t="s">
        <v>30</v>
      </c>
      <c r="D54" s="155" t="s">
        <v>164</v>
      </c>
      <c r="E54" s="155" t="s">
        <v>38</v>
      </c>
      <c r="F54" s="22" t="s">
        <v>165</v>
      </c>
      <c r="G54" s="10">
        <v>44469</v>
      </c>
      <c r="H54" s="10">
        <v>44469</v>
      </c>
      <c r="I54" s="10">
        <v>44651</v>
      </c>
      <c r="J54" s="10">
        <v>44834</v>
      </c>
      <c r="K54" s="10">
        <v>45016</v>
      </c>
      <c r="L54" s="10">
        <v>45199</v>
      </c>
      <c r="M54" s="10">
        <v>45382</v>
      </c>
      <c r="N54" s="10">
        <v>45565</v>
      </c>
      <c r="O54" s="10">
        <v>45565</v>
      </c>
      <c r="P54" s="262">
        <v>0</v>
      </c>
      <c r="Q54" s="262">
        <v>0</v>
      </c>
      <c r="R54" s="290"/>
      <c r="S54" s="290"/>
      <c r="T54" s="290"/>
      <c r="U54" s="290"/>
      <c r="V54" s="290"/>
      <c r="W54" s="377"/>
      <c r="X54" s="22">
        <v>0</v>
      </c>
      <c r="Y54" s="22">
        <f ca="1">IFERROR(__xludf.DUMMYFUNCTION("INDEX(IMPORTRANGE(""1y0FWgjbB0gVlqn-q5LMJbGIsqOrzru4yowQz67dz2yc"", ""'JUA'!BH3:BH139""),MATCH(D54,IMPORTRANGE(""1y0FWgjbB0gVlqn-q5LMJbGIsqOrzru4yowQz67dz2yc"", ""'JUA'!D3:D139""),0))"),0)</f>
        <v>0</v>
      </c>
      <c r="Z54" s="22" t="str">
        <f ca="1">IFERROR(__xludf.DUMMYFUNCTION("INDEX(IMPORTRANGE(""1y0FWgjbB0gVlqn-q5LMJbGIsqOrzru4yowQz67dz2yc"", ""'JUA'!BI3:BI139""),MATCH(D54,IMPORTRANGE(""1y0FWgjbB0gVlqn-q5LMJbGIsqOrzru4yowQz67dz2yc"", ""'JUA'!D3:D139""),0))"),"No tienen información ")</f>
        <v xml:space="preserve">No tienen información </v>
      </c>
      <c r="AA54" s="156"/>
      <c r="AB54" s="156"/>
      <c r="AC54" s="156"/>
      <c r="AD54" s="156"/>
    </row>
    <row r="55" spans="1:30">
      <c r="A55" s="155" t="s">
        <v>147</v>
      </c>
      <c r="B55" s="155" t="s">
        <v>148</v>
      </c>
      <c r="C55" s="156" t="s">
        <v>36</v>
      </c>
      <c r="D55" s="155" t="s">
        <v>166</v>
      </c>
      <c r="E55" s="155" t="s">
        <v>38</v>
      </c>
      <c r="F55" s="22" t="s">
        <v>167</v>
      </c>
      <c r="G55" s="10">
        <v>44469</v>
      </c>
      <c r="H55" s="10">
        <v>44469</v>
      </c>
      <c r="I55" s="10">
        <v>44651</v>
      </c>
      <c r="J55" s="10">
        <v>44834</v>
      </c>
      <c r="K55" s="10">
        <v>45016</v>
      </c>
      <c r="L55" s="10">
        <v>45199</v>
      </c>
      <c r="M55" s="10">
        <v>45382</v>
      </c>
      <c r="N55" s="10">
        <v>45565</v>
      </c>
      <c r="O55" s="10">
        <v>45565</v>
      </c>
      <c r="P55" s="22" t="s">
        <v>436</v>
      </c>
      <c r="Q55" s="22" t="s">
        <v>436</v>
      </c>
      <c r="R55" s="398">
        <v>1</v>
      </c>
      <c r="S55" s="398">
        <v>1</v>
      </c>
      <c r="T55" s="398">
        <v>1</v>
      </c>
      <c r="U55" s="398">
        <v>1</v>
      </c>
      <c r="V55" s="398">
        <v>1</v>
      </c>
      <c r="W55" s="398">
        <v>1</v>
      </c>
      <c r="X55" s="22" t="s">
        <v>436</v>
      </c>
      <c r="Y55" s="22" t="str">
        <f ca="1">IFERROR(__xludf.DUMMYFUNCTION("INDEX(IMPORTRANGE(""1y0FWgjbB0gVlqn-q5LMJbGIsqOrzru4yowQz67dz2yc"", ""'JUA'!BH3:BH139""),MATCH(D55,IMPORTRANGE(""1y0FWgjbB0gVlqn-q5LMJbGIsqOrzru4yowQz67dz2yc"", ""'JUA'!D3:D139""),0))"),"NA")</f>
        <v>NA</v>
      </c>
      <c r="Z55" s="22" t="str">
        <f ca="1">IFERROR(__xludf.DUMMYFUNCTION("INDEX(IMPORTRANGE(""1y0FWgjbB0gVlqn-q5LMJbGIsqOrzru4yowQz67dz2yc"", ""'JUA'!BI3:BI139""),MATCH(D55,IMPORTRANGE(""1y0FWgjbB0gVlqn-q5LMJbGIsqOrzru4yowQz67dz2yc"", ""'JUA'!D3:D139""),0))"),"#VALUE!")</f>
        <v>#VALUE!</v>
      </c>
      <c r="AA55" s="156"/>
      <c r="AB55" s="156"/>
      <c r="AC55" s="156"/>
      <c r="AD55" s="156"/>
    </row>
    <row r="56" spans="1:30">
      <c r="A56" s="155" t="s">
        <v>147</v>
      </c>
      <c r="B56" s="155" t="s">
        <v>168</v>
      </c>
      <c r="C56" s="156" t="s">
        <v>30</v>
      </c>
      <c r="D56" s="386" t="s">
        <v>169</v>
      </c>
      <c r="E56" s="155" t="s">
        <v>38</v>
      </c>
      <c r="F56" s="22" t="s">
        <v>170</v>
      </c>
      <c r="G56" s="10">
        <v>44469</v>
      </c>
      <c r="H56" s="10">
        <v>44469</v>
      </c>
      <c r="I56" s="10">
        <v>44651</v>
      </c>
      <c r="J56" s="10">
        <v>44834</v>
      </c>
      <c r="K56" s="10">
        <v>45016</v>
      </c>
      <c r="L56" s="10">
        <v>45199</v>
      </c>
      <c r="M56" s="10">
        <v>45382</v>
      </c>
      <c r="N56" s="10">
        <v>45565</v>
      </c>
      <c r="O56" s="10">
        <v>45565</v>
      </c>
      <c r="P56" s="262">
        <v>35753</v>
      </c>
      <c r="Q56" s="262">
        <v>35753</v>
      </c>
      <c r="R56" s="290"/>
      <c r="S56" s="290"/>
      <c r="T56" s="290"/>
      <c r="U56" s="290"/>
      <c r="V56" s="290"/>
      <c r="W56" s="377"/>
      <c r="X56" s="262">
        <v>35753</v>
      </c>
      <c r="Y56" s="262">
        <f ca="1">IFERROR(__xludf.DUMMYFUNCTION("INDEX(IMPORTRANGE(""1y0FWgjbB0gVlqn-q5LMJbGIsqOrzru4yowQz67dz2yc"", ""'JUA'!BH3:BH139""),MATCH(D56,IMPORTRANGE(""1y0FWgjbB0gVlqn-q5LMJbGIsqOrzru4yowQz67dz2yc"", ""'JUA'!D3:D139""),0))"),35753)</f>
        <v>35753</v>
      </c>
      <c r="Z56" s="262">
        <f ca="1">IFERROR(__xludf.DUMMYFUNCTION("INDEX(IMPORTRANGE(""1y0FWgjbB0gVlqn-q5LMJbGIsqOrzru4yowQz67dz2yc"", ""'JUA'!BI3:BI139""),MATCH(D56,IMPORTRANGE(""1y0FWgjbB0gVlqn-q5LMJbGIsqOrzru4yowQz67dz2yc"", ""'JUA'!D3:D139""),0))"),36217)</f>
        <v>36217</v>
      </c>
      <c r="AA56" s="156"/>
      <c r="AB56" s="156"/>
      <c r="AC56" s="156"/>
      <c r="AD56" s="156"/>
    </row>
    <row r="57" spans="1:30">
      <c r="A57" s="155" t="s">
        <v>147</v>
      </c>
      <c r="B57" s="155" t="s">
        <v>168</v>
      </c>
      <c r="C57" s="156" t="s">
        <v>30</v>
      </c>
      <c r="D57" s="386" t="s">
        <v>171</v>
      </c>
      <c r="E57" s="155" t="s">
        <v>38</v>
      </c>
      <c r="F57" s="22" t="s">
        <v>172</v>
      </c>
      <c r="G57" s="10">
        <v>44469</v>
      </c>
      <c r="H57" s="10">
        <v>44469</v>
      </c>
      <c r="I57" s="10">
        <v>44651</v>
      </c>
      <c r="J57" s="10">
        <v>44834</v>
      </c>
      <c r="K57" s="10">
        <v>45016</v>
      </c>
      <c r="L57" s="10">
        <v>45199</v>
      </c>
      <c r="M57" s="10">
        <v>45382</v>
      </c>
      <c r="N57" s="10">
        <v>45565</v>
      </c>
      <c r="O57" s="10">
        <v>45565</v>
      </c>
      <c r="P57" s="364" t="s">
        <v>435</v>
      </c>
      <c r="Q57" s="364" t="s">
        <v>435</v>
      </c>
      <c r="R57" s="290"/>
      <c r="S57" s="290"/>
      <c r="T57" s="290"/>
      <c r="U57" s="290"/>
      <c r="V57" s="290"/>
      <c r="W57" s="377"/>
      <c r="X57" s="364" t="s">
        <v>435</v>
      </c>
      <c r="Y57" s="403" t="str">
        <f ca="1">IFERROR(__xludf.DUMMYFUNCTION("INDEX(IMPORTRANGE(""1y0FWgjbB0gVlqn-q5LMJbGIsqOrzru4yowQz67dz2yc"", ""'JUA'!BH3:BH139""),MATCH(D57,IMPORTRANGE(""1y0FWgjbB0gVlqn-q5LMJbGIsqOrzru4yowQz67dz2yc"", ""'JUA'!D3:D139""),0))"),"Sin dato")</f>
        <v>Sin dato</v>
      </c>
      <c r="Z57" s="22">
        <f ca="1">IFERROR(__xludf.DUMMYFUNCTION("INDEX(IMPORTRANGE(""1y0FWgjbB0gVlqn-q5LMJbGIsqOrzru4yowQz67dz2yc"", ""'JUA'!BI3:BI139""),MATCH(D57,IMPORTRANGE(""1y0FWgjbB0gVlqn-q5LMJbGIsqOrzru4yowQz67dz2yc"", ""'JUA'!D3:D139""),0))"),67363.62)</f>
        <v>67363.62</v>
      </c>
      <c r="AA57" s="156"/>
      <c r="AB57" s="156"/>
      <c r="AC57" s="156"/>
      <c r="AD57" s="156"/>
    </row>
    <row r="58" spans="1:30">
      <c r="A58" s="155" t="s">
        <v>147</v>
      </c>
      <c r="B58" s="155" t="s">
        <v>168</v>
      </c>
      <c r="C58" s="156" t="s">
        <v>36</v>
      </c>
      <c r="D58" s="383" t="s">
        <v>173</v>
      </c>
      <c r="E58" s="155" t="s">
        <v>38</v>
      </c>
      <c r="F58" s="22" t="s">
        <v>174</v>
      </c>
      <c r="G58" s="10">
        <v>44469</v>
      </c>
      <c r="H58" s="10">
        <v>44469</v>
      </c>
      <c r="I58" s="10">
        <v>44651</v>
      </c>
      <c r="J58" s="10">
        <v>44834</v>
      </c>
      <c r="K58" s="10">
        <v>45016</v>
      </c>
      <c r="L58" s="10">
        <v>45199</v>
      </c>
      <c r="M58" s="10">
        <v>45382</v>
      </c>
      <c r="N58" s="10">
        <v>45565</v>
      </c>
      <c r="O58" s="10">
        <v>45565</v>
      </c>
      <c r="P58" s="366" t="e">
        <f t="shared" ref="P58:Q58" si="10">P56/P57</f>
        <v>#VALUE!</v>
      </c>
      <c r="Q58" s="366" t="e">
        <f t="shared" si="10"/>
        <v>#VALUE!</v>
      </c>
      <c r="R58" s="398">
        <v>1</v>
      </c>
      <c r="S58" s="398">
        <v>1</v>
      </c>
      <c r="T58" s="398">
        <v>1</v>
      </c>
      <c r="U58" s="398">
        <v>1</v>
      </c>
      <c r="V58" s="398">
        <v>1</v>
      </c>
      <c r="W58" s="398">
        <v>1</v>
      </c>
      <c r="X58" s="366" t="e">
        <f>X56/X57</f>
        <v>#VALUE!</v>
      </c>
      <c r="Y58" s="367" t="str">
        <f ca="1">IFERROR(__xludf.DUMMYFUNCTION("INDEX(IMPORTRANGE(""1y0FWgjbB0gVlqn-q5LMJbGIsqOrzru4yowQz67dz2yc"", ""'JUA'!BH3:BH139""),MATCH(D58,IMPORTRANGE(""1y0FWgjbB0gVlqn-q5LMJbGIsqOrzru4yowQz67dz2yc"", ""'JUA'!D3:D139""),0))"),"#VALUE!")</f>
        <v>#VALUE!</v>
      </c>
      <c r="Z58" s="25">
        <f ca="1">IFERROR(__xludf.DUMMYFUNCTION("INDEX(IMPORTRANGE(""1y0FWgjbB0gVlqn-q5LMJbGIsqOrzru4yowQz67dz2yc"", ""'JUA'!BI3:BI139""),MATCH(D58,IMPORTRANGE(""1y0FWgjbB0gVlqn-q5LMJbGIsqOrzru4yowQz67dz2yc"", ""'JUA'!D3:D139""),0))"),0.53763440860215)</f>
        <v>0.53763440860214995</v>
      </c>
      <c r="AA58" s="156"/>
      <c r="AB58" s="156"/>
      <c r="AC58" s="156"/>
      <c r="AD58" s="156"/>
    </row>
    <row r="59" spans="1:30">
      <c r="A59" s="155" t="s">
        <v>147</v>
      </c>
      <c r="B59" s="155" t="s">
        <v>168</v>
      </c>
      <c r="C59" s="156" t="s">
        <v>30</v>
      </c>
      <c r="D59" s="383" t="s">
        <v>175</v>
      </c>
      <c r="E59" s="155" t="s">
        <v>38</v>
      </c>
      <c r="F59" s="22" t="s">
        <v>176</v>
      </c>
      <c r="G59" s="10">
        <v>44469</v>
      </c>
      <c r="H59" s="10">
        <v>44469</v>
      </c>
      <c r="I59" s="10">
        <v>44651</v>
      </c>
      <c r="J59" s="10">
        <v>44834</v>
      </c>
      <c r="K59" s="10">
        <v>45016</v>
      </c>
      <c r="L59" s="10">
        <v>45199</v>
      </c>
      <c r="M59" s="10">
        <v>45382</v>
      </c>
      <c r="N59" s="10">
        <v>45565</v>
      </c>
      <c r="O59" s="10">
        <v>45565</v>
      </c>
      <c r="P59" s="364" t="s">
        <v>435</v>
      </c>
      <c r="Q59" s="364" t="s">
        <v>435</v>
      </c>
      <c r="R59" s="290"/>
      <c r="S59" s="290"/>
      <c r="T59" s="290"/>
      <c r="U59" s="290"/>
      <c r="V59" s="290"/>
      <c r="W59" s="377"/>
      <c r="X59" s="364" t="s">
        <v>435</v>
      </c>
      <c r="Y59" s="403" t="str">
        <f ca="1">IFERROR(__xludf.DUMMYFUNCTION("INDEX(IMPORTRANGE(""1y0FWgjbB0gVlqn-q5LMJbGIsqOrzru4yowQz67dz2yc"", ""'JUA'!BH3:BH139""),MATCH(D59,IMPORTRANGE(""1y0FWgjbB0gVlqn-q5LMJbGIsqOrzru4yowQz67dz2yc"", ""'JUA'!D3:D139""),0))"),"Sin dato")</f>
        <v>Sin dato</v>
      </c>
      <c r="Z59" s="22" t="str">
        <f ca="1">IFERROR(__xludf.DUMMYFUNCTION("INDEX(IMPORTRANGE(""1y0FWgjbB0gVlqn-q5LMJbGIsqOrzru4yowQz67dz2yc"", ""'JUA'!BI3:BI139""),MATCH(D59,IMPORTRANGE(""1y0FWgjbB0gVlqn-q5LMJbGIsqOrzru4yowQz67dz2yc"", ""'JUA'!D3:D139""),0))"),"")</f>
        <v/>
      </c>
      <c r="AA59" s="156"/>
      <c r="AB59" s="156"/>
      <c r="AC59" s="156"/>
      <c r="AD59" s="156"/>
    </row>
    <row r="60" spans="1:30">
      <c r="A60" s="155" t="s">
        <v>147</v>
      </c>
      <c r="B60" s="155" t="s">
        <v>168</v>
      </c>
      <c r="C60" s="156" t="s">
        <v>36</v>
      </c>
      <c r="D60" s="383" t="s">
        <v>177</v>
      </c>
      <c r="E60" s="155" t="s">
        <v>38</v>
      </c>
      <c r="F60" s="22" t="s">
        <v>178</v>
      </c>
      <c r="G60" s="10">
        <v>44469</v>
      </c>
      <c r="H60" s="10">
        <v>44469</v>
      </c>
      <c r="I60" s="10">
        <v>44651</v>
      </c>
      <c r="J60" s="10">
        <v>44834</v>
      </c>
      <c r="K60" s="10">
        <v>45016</v>
      </c>
      <c r="L60" s="10">
        <v>45199</v>
      </c>
      <c r="M60" s="10">
        <v>45382</v>
      </c>
      <c r="N60" s="10">
        <v>45565</v>
      </c>
      <c r="O60" s="10">
        <v>45565</v>
      </c>
      <c r="P60" s="367" t="e">
        <f t="shared" ref="P60:Q60" si="11">P59/P35</f>
        <v>#VALUE!</v>
      </c>
      <c r="Q60" s="367" t="e">
        <f t="shared" si="11"/>
        <v>#VALUE!</v>
      </c>
      <c r="R60" s="398">
        <v>1</v>
      </c>
      <c r="S60" s="398">
        <v>1</v>
      </c>
      <c r="T60" s="398">
        <v>1</v>
      </c>
      <c r="U60" s="398">
        <v>1</v>
      </c>
      <c r="V60" s="398">
        <v>1</v>
      </c>
      <c r="W60" s="398">
        <v>1</v>
      </c>
      <c r="X60" s="367" t="e">
        <f>X59/X35</f>
        <v>#VALUE!</v>
      </c>
      <c r="Y60" s="367" t="str">
        <f ca="1">IFERROR(__xludf.DUMMYFUNCTION("INDEX(IMPORTRANGE(""1y0FWgjbB0gVlqn-q5LMJbGIsqOrzru4yowQz67dz2yc"", ""'JUA'!BH3:BH139""),MATCH(D60,IMPORTRANGE(""1y0FWgjbB0gVlqn-q5LMJbGIsqOrzru4yowQz67dz2yc"", ""'JUA'!D3:D139""),0))"),"#VALUE!")</f>
        <v>#VALUE!</v>
      </c>
      <c r="Z60" s="22" t="str">
        <f ca="1">IFERROR(__xludf.DUMMYFUNCTION("INDEX(IMPORTRANGE(""1y0FWgjbB0gVlqn-q5LMJbGIsqOrzru4yowQz67dz2yc"", ""'JUA'!BI3:BI139""),MATCH(D60,IMPORTRANGE(""1y0FWgjbB0gVlqn-q5LMJbGIsqOrzru4yowQz67dz2yc"", ""'JUA'!D3:D139""),0))"),"#VALUE!")</f>
        <v>#VALUE!</v>
      </c>
      <c r="AA60" s="156"/>
      <c r="AB60" s="156"/>
      <c r="AC60" s="156"/>
      <c r="AD60" s="156"/>
    </row>
    <row r="61" spans="1:30">
      <c r="A61" s="155" t="s">
        <v>147</v>
      </c>
      <c r="B61" s="155" t="s">
        <v>168</v>
      </c>
      <c r="C61" s="156" t="s">
        <v>30</v>
      </c>
      <c r="D61" s="383" t="s">
        <v>179</v>
      </c>
      <c r="E61" s="155" t="s">
        <v>38</v>
      </c>
      <c r="F61" s="22" t="s">
        <v>180</v>
      </c>
      <c r="G61" s="10">
        <v>44469</v>
      </c>
      <c r="H61" s="10">
        <v>44469</v>
      </c>
      <c r="I61" s="10">
        <v>44651</v>
      </c>
      <c r="J61" s="10">
        <v>44834</v>
      </c>
      <c r="K61" s="10">
        <v>45016</v>
      </c>
      <c r="L61" s="10">
        <v>45199</v>
      </c>
      <c r="M61" s="10">
        <v>45382</v>
      </c>
      <c r="N61" s="10">
        <v>45565</v>
      </c>
      <c r="O61" s="10">
        <v>45565</v>
      </c>
      <c r="P61" s="364" t="s">
        <v>435</v>
      </c>
      <c r="Q61" s="364" t="s">
        <v>435</v>
      </c>
      <c r="R61" s="290"/>
      <c r="S61" s="290"/>
      <c r="T61" s="290"/>
      <c r="U61" s="290"/>
      <c r="V61" s="290"/>
      <c r="W61" s="377"/>
      <c r="X61" s="364" t="s">
        <v>435</v>
      </c>
      <c r="Y61" s="403" t="str">
        <f ca="1">IFERROR(__xludf.DUMMYFUNCTION("INDEX(IMPORTRANGE(""1y0FWgjbB0gVlqn-q5LMJbGIsqOrzru4yowQz67dz2yc"", ""'JUA'!BH3:BH139""),MATCH(D61,IMPORTRANGE(""1y0FWgjbB0gVlqn-q5LMJbGIsqOrzru4yowQz67dz2yc"", ""'JUA'!D3:D139""),0))"),"Sin dato")</f>
        <v>Sin dato</v>
      </c>
      <c r="Z61" s="22" t="str">
        <f ca="1">IFERROR(__xludf.DUMMYFUNCTION("INDEX(IMPORTRANGE(""1y0FWgjbB0gVlqn-q5LMJbGIsqOrzru4yowQz67dz2yc"", ""'JUA'!BI3:BI139""),MATCH(D61,IMPORTRANGE(""1y0FWgjbB0gVlqn-q5LMJbGIsqOrzru4yowQz67dz2yc"", ""'JUA'!D3:D139""),0))"),"Sin dato")</f>
        <v>Sin dato</v>
      </c>
      <c r="AA61" s="156"/>
      <c r="AB61" s="156"/>
      <c r="AC61" s="156"/>
      <c r="AD61" s="156"/>
    </row>
    <row r="62" spans="1:30">
      <c r="A62" s="155" t="s">
        <v>147</v>
      </c>
      <c r="B62" s="155" t="s">
        <v>168</v>
      </c>
      <c r="C62" s="156" t="s">
        <v>30</v>
      </c>
      <c r="D62" s="383" t="s">
        <v>181</v>
      </c>
      <c r="E62" s="155" t="s">
        <v>38</v>
      </c>
      <c r="F62" s="21" t="s">
        <v>182</v>
      </c>
      <c r="G62" s="10">
        <v>44469</v>
      </c>
      <c r="H62" s="10">
        <v>44469</v>
      </c>
      <c r="I62" s="10">
        <v>44651</v>
      </c>
      <c r="J62" s="10">
        <v>44834</v>
      </c>
      <c r="K62" s="10">
        <v>45016</v>
      </c>
      <c r="L62" s="10">
        <v>45199</v>
      </c>
      <c r="M62" s="10">
        <v>45382</v>
      </c>
      <c r="N62" s="10">
        <v>45565</v>
      </c>
      <c r="O62" s="10">
        <v>45565</v>
      </c>
      <c r="P62" s="364" t="s">
        <v>435</v>
      </c>
      <c r="Q62" s="364" t="s">
        <v>435</v>
      </c>
      <c r="R62" s="290"/>
      <c r="S62" s="290"/>
      <c r="T62" s="290"/>
      <c r="U62" s="290"/>
      <c r="V62" s="290"/>
      <c r="W62" s="377"/>
      <c r="X62" s="364" t="s">
        <v>435</v>
      </c>
      <c r="Y62" s="403" t="str">
        <f ca="1">IFERROR(__xludf.DUMMYFUNCTION("INDEX(IMPORTRANGE(""1y0FWgjbB0gVlqn-q5LMJbGIsqOrzru4yowQz67dz2yc"", ""'JUA'!BH3:BH139""),MATCH(D62,IMPORTRANGE(""1y0FWgjbB0gVlqn-q5LMJbGIsqOrzru4yowQz67dz2yc"", ""'JUA'!D3:D139""),0))"),"Sin dato")</f>
        <v>Sin dato</v>
      </c>
      <c r="Z62" s="22" t="str">
        <f ca="1">IFERROR(__xludf.DUMMYFUNCTION("INDEX(IMPORTRANGE(""1y0FWgjbB0gVlqn-q5LMJbGIsqOrzru4yowQz67dz2yc"", ""'JUA'!BI3:BI139""),MATCH(D62,IMPORTRANGE(""1y0FWgjbB0gVlqn-q5LMJbGIsqOrzru4yowQz67dz2yc"", ""'JUA'!D3:D139""),0))"),"Sin dato")</f>
        <v>Sin dato</v>
      </c>
      <c r="AA62" s="156"/>
      <c r="AB62" s="156"/>
      <c r="AC62" s="156"/>
      <c r="AD62" s="156"/>
    </row>
    <row r="63" spans="1:30">
      <c r="A63" s="155" t="s">
        <v>147</v>
      </c>
      <c r="B63" s="155" t="s">
        <v>168</v>
      </c>
      <c r="C63" s="156" t="s">
        <v>36</v>
      </c>
      <c r="D63" s="383" t="s">
        <v>183</v>
      </c>
      <c r="E63" s="155" t="s">
        <v>38</v>
      </c>
      <c r="F63" s="21" t="s">
        <v>184</v>
      </c>
      <c r="G63" s="10">
        <v>44469</v>
      </c>
      <c r="H63" s="10">
        <v>44469</v>
      </c>
      <c r="I63" s="10">
        <v>44651</v>
      </c>
      <c r="J63" s="10">
        <v>44834</v>
      </c>
      <c r="K63" s="10">
        <v>45016</v>
      </c>
      <c r="L63" s="10">
        <v>45199</v>
      </c>
      <c r="M63" s="10">
        <v>45382</v>
      </c>
      <c r="N63" s="10">
        <v>45565</v>
      </c>
      <c r="O63" s="10">
        <v>45565</v>
      </c>
      <c r="P63" s="371" t="e">
        <f t="shared" ref="P63:Q63" si="12">P61/P62</f>
        <v>#VALUE!</v>
      </c>
      <c r="Q63" s="371" t="e">
        <f t="shared" si="12"/>
        <v>#VALUE!</v>
      </c>
      <c r="R63" s="398">
        <v>1</v>
      </c>
      <c r="S63" s="398">
        <v>1</v>
      </c>
      <c r="T63" s="398">
        <v>1</v>
      </c>
      <c r="U63" s="398">
        <v>1</v>
      </c>
      <c r="V63" s="398">
        <v>1</v>
      </c>
      <c r="W63" s="398">
        <v>1</v>
      </c>
      <c r="X63" s="371" t="e">
        <f>X61/X62</f>
        <v>#VALUE!</v>
      </c>
      <c r="Y63" s="408" t="str">
        <f ca="1">IFERROR(__xludf.DUMMYFUNCTION("INDEX(IMPORTRANGE(""1y0FWgjbB0gVlqn-q5LMJbGIsqOrzru4yowQz67dz2yc"", ""'JUA'!BH3:BH139""),MATCH(D63,IMPORTRANGE(""1y0FWgjbB0gVlqn-q5LMJbGIsqOrzru4yowQz67dz2yc"", ""'JUA'!D3:D139""),0))"),"#VALUE!")</f>
        <v>#VALUE!</v>
      </c>
      <c r="Z63" s="22" t="str">
        <f ca="1">IFERROR(__xludf.DUMMYFUNCTION("INDEX(IMPORTRANGE(""1y0FWgjbB0gVlqn-q5LMJbGIsqOrzru4yowQz67dz2yc"", ""'JUA'!BI3:BI139""),MATCH(D63,IMPORTRANGE(""1y0FWgjbB0gVlqn-q5LMJbGIsqOrzru4yowQz67dz2yc"", ""'JUA'!D3:D139""),0))"),"#VALUE!")</f>
        <v>#VALUE!</v>
      </c>
      <c r="AA63" s="156"/>
      <c r="AB63" s="156"/>
      <c r="AC63" s="156"/>
      <c r="AD63" s="156"/>
    </row>
    <row r="64" spans="1:30">
      <c r="A64" s="155" t="s">
        <v>147</v>
      </c>
      <c r="B64" s="155" t="s">
        <v>168</v>
      </c>
      <c r="C64" s="156" t="s">
        <v>30</v>
      </c>
      <c r="D64" s="383" t="s">
        <v>185</v>
      </c>
      <c r="E64" s="155" t="s">
        <v>38</v>
      </c>
      <c r="F64" s="21" t="s">
        <v>186</v>
      </c>
      <c r="G64" s="10">
        <v>44469</v>
      </c>
      <c r="H64" s="10">
        <v>44469</v>
      </c>
      <c r="I64" s="10">
        <v>44651</v>
      </c>
      <c r="J64" s="10">
        <v>44834</v>
      </c>
      <c r="K64" s="10">
        <v>45016</v>
      </c>
      <c r="L64" s="10">
        <v>45199</v>
      </c>
      <c r="M64" s="10">
        <v>45382</v>
      </c>
      <c r="N64" s="10">
        <v>45565</v>
      </c>
      <c r="O64" s="10">
        <v>45565</v>
      </c>
      <c r="P64" s="364" t="s">
        <v>435</v>
      </c>
      <c r="Q64" s="364" t="s">
        <v>435</v>
      </c>
      <c r="R64" s="290"/>
      <c r="S64" s="290"/>
      <c r="T64" s="290"/>
      <c r="U64" s="290"/>
      <c r="V64" s="290"/>
      <c r="W64" s="377"/>
      <c r="X64" s="364" t="s">
        <v>435</v>
      </c>
      <c r="Y64" s="403" t="str">
        <f ca="1">IFERROR(__xludf.DUMMYFUNCTION("INDEX(IMPORTRANGE(""1y0FWgjbB0gVlqn-q5LMJbGIsqOrzru4yowQz67dz2yc"", ""'JUA'!BH3:BH139""),MATCH(D64,IMPORTRANGE(""1y0FWgjbB0gVlqn-q5LMJbGIsqOrzru4yowQz67dz2yc"", ""'JUA'!D3:D139""),0))"),"Sin dato")</f>
        <v>Sin dato</v>
      </c>
      <c r="Z64" s="22" t="str">
        <f ca="1">IFERROR(__xludf.DUMMYFUNCTION("INDEX(IMPORTRANGE(""1y0FWgjbB0gVlqn-q5LMJbGIsqOrzru4yowQz67dz2yc"", ""'JUA'!BI3:BI139""),MATCH(D64,IMPORTRANGE(""1y0FWgjbB0gVlqn-q5LMJbGIsqOrzru4yowQz67dz2yc"", ""'JUA'!D3:D139""),0))"),"Sin dato")</f>
        <v>Sin dato</v>
      </c>
      <c r="AA64" s="156"/>
      <c r="AB64" s="156"/>
      <c r="AC64" s="156"/>
      <c r="AD64" s="156"/>
    </row>
    <row r="65" spans="1:30">
      <c r="A65" s="155" t="s">
        <v>147</v>
      </c>
      <c r="B65" s="155" t="s">
        <v>168</v>
      </c>
      <c r="C65" s="156" t="s">
        <v>30</v>
      </c>
      <c r="D65" s="383" t="s">
        <v>187</v>
      </c>
      <c r="E65" s="155" t="s">
        <v>38</v>
      </c>
      <c r="F65" s="21" t="s">
        <v>188</v>
      </c>
      <c r="G65" s="10">
        <v>44469</v>
      </c>
      <c r="H65" s="10">
        <v>44469</v>
      </c>
      <c r="I65" s="10">
        <v>44651</v>
      </c>
      <c r="J65" s="10">
        <v>44834</v>
      </c>
      <c r="K65" s="10">
        <v>45016</v>
      </c>
      <c r="L65" s="10">
        <v>45199</v>
      </c>
      <c r="M65" s="10">
        <v>45382</v>
      </c>
      <c r="N65" s="10">
        <v>45565</v>
      </c>
      <c r="O65" s="10">
        <v>45565</v>
      </c>
      <c r="P65" s="364" t="s">
        <v>435</v>
      </c>
      <c r="Q65" s="364" t="s">
        <v>435</v>
      </c>
      <c r="R65" s="290"/>
      <c r="S65" s="290"/>
      <c r="T65" s="290"/>
      <c r="U65" s="290"/>
      <c r="V65" s="290"/>
      <c r="W65" s="377"/>
      <c r="X65" s="364" t="s">
        <v>435</v>
      </c>
      <c r="Y65" s="403" t="str">
        <f ca="1">IFERROR(__xludf.DUMMYFUNCTION("INDEX(IMPORTRANGE(""1y0FWgjbB0gVlqn-q5LMJbGIsqOrzru4yowQz67dz2yc"", ""'JUA'!BH3:BH139""),MATCH(D65,IMPORTRANGE(""1y0FWgjbB0gVlqn-q5LMJbGIsqOrzru4yowQz67dz2yc"", ""'JUA'!D3:D139""),0))"),"Sin dato")</f>
        <v>Sin dato</v>
      </c>
      <c r="Z65" s="22" t="str">
        <f ca="1">IFERROR(__xludf.DUMMYFUNCTION("INDEX(IMPORTRANGE(""1y0FWgjbB0gVlqn-q5LMJbGIsqOrzru4yowQz67dz2yc"", ""'JUA'!BI3:BI139""),MATCH(D65,IMPORTRANGE(""1y0FWgjbB0gVlqn-q5LMJbGIsqOrzru4yowQz67dz2yc"", ""'JUA'!D3:D139""),0))"),"Sin dato")</f>
        <v>Sin dato</v>
      </c>
      <c r="AA65" s="156"/>
      <c r="AB65" s="156"/>
      <c r="AC65" s="156"/>
      <c r="AD65" s="156"/>
    </row>
    <row r="66" spans="1:30">
      <c r="A66" s="155" t="s">
        <v>147</v>
      </c>
      <c r="B66" s="155" t="s">
        <v>168</v>
      </c>
      <c r="C66" s="156" t="s">
        <v>36</v>
      </c>
      <c r="D66" s="383" t="s">
        <v>189</v>
      </c>
      <c r="E66" s="155" t="s">
        <v>38</v>
      </c>
      <c r="F66" s="21" t="s">
        <v>190</v>
      </c>
      <c r="G66" s="10">
        <v>44469</v>
      </c>
      <c r="H66" s="10">
        <v>44469</v>
      </c>
      <c r="I66" s="10">
        <v>44651</v>
      </c>
      <c r="J66" s="10">
        <v>44834</v>
      </c>
      <c r="K66" s="10">
        <v>45016</v>
      </c>
      <c r="L66" s="10">
        <v>45199</v>
      </c>
      <c r="M66" s="10">
        <v>45382</v>
      </c>
      <c r="N66" s="10">
        <v>45565</v>
      </c>
      <c r="O66" s="10">
        <v>45565</v>
      </c>
      <c r="P66" s="366" t="e">
        <f t="shared" ref="P66:Q66" si="13">P64/P65</f>
        <v>#VALUE!</v>
      </c>
      <c r="Q66" s="366" t="e">
        <f t="shared" si="13"/>
        <v>#VALUE!</v>
      </c>
      <c r="R66" s="398">
        <v>1</v>
      </c>
      <c r="S66" s="398">
        <v>1</v>
      </c>
      <c r="T66" s="398">
        <v>1</v>
      </c>
      <c r="U66" s="398">
        <v>1</v>
      </c>
      <c r="V66" s="398">
        <v>1</v>
      </c>
      <c r="W66" s="398">
        <v>1</v>
      </c>
      <c r="X66" s="366" t="e">
        <f>X64/X65</f>
        <v>#VALUE!</v>
      </c>
      <c r="Y66" s="367" t="str">
        <f ca="1">IFERROR(__xludf.DUMMYFUNCTION("INDEX(IMPORTRANGE(""1y0FWgjbB0gVlqn-q5LMJbGIsqOrzru4yowQz67dz2yc"", ""'JUA'!BH3:BH139""),MATCH(D66,IMPORTRANGE(""1y0FWgjbB0gVlqn-q5LMJbGIsqOrzru4yowQz67dz2yc"", ""'JUA'!D3:D139""),0))"),"#VALUE!")</f>
        <v>#VALUE!</v>
      </c>
      <c r="Z66" s="22" t="str">
        <f ca="1">IFERROR(__xludf.DUMMYFUNCTION("INDEX(IMPORTRANGE(""1y0FWgjbB0gVlqn-q5LMJbGIsqOrzru4yowQz67dz2yc"", ""'JUA'!BI3:BI139""),MATCH(D66,IMPORTRANGE(""1y0FWgjbB0gVlqn-q5LMJbGIsqOrzru4yowQz67dz2yc"", ""'JUA'!D3:D139""),0))"),"#VALUE!")</f>
        <v>#VALUE!</v>
      </c>
      <c r="AA66" s="156"/>
      <c r="AB66" s="156"/>
      <c r="AC66" s="156"/>
      <c r="AD66" s="156"/>
    </row>
    <row r="67" spans="1:30">
      <c r="A67" s="155" t="s">
        <v>147</v>
      </c>
      <c r="B67" s="155" t="s">
        <v>168</v>
      </c>
      <c r="C67" s="156" t="s">
        <v>30</v>
      </c>
      <c r="D67" s="155" t="s">
        <v>191</v>
      </c>
      <c r="E67" s="155" t="s">
        <v>38</v>
      </c>
      <c r="F67" s="21" t="s">
        <v>192</v>
      </c>
      <c r="G67" s="22" t="s">
        <v>56</v>
      </c>
      <c r="H67" s="22" t="s">
        <v>57</v>
      </c>
      <c r="I67" s="22" t="s">
        <v>58</v>
      </c>
      <c r="J67" s="22" t="s">
        <v>59</v>
      </c>
      <c r="K67" s="22" t="s">
        <v>130</v>
      </c>
      <c r="L67" s="22" t="s">
        <v>61</v>
      </c>
      <c r="M67" s="22" t="s">
        <v>131</v>
      </c>
      <c r="N67" s="22" t="s">
        <v>63</v>
      </c>
      <c r="O67" s="22" t="s">
        <v>132</v>
      </c>
      <c r="P67" s="266">
        <v>0</v>
      </c>
      <c r="Q67" s="266">
        <v>0</v>
      </c>
      <c r="R67" s="290"/>
      <c r="S67" s="290"/>
      <c r="T67" s="290"/>
      <c r="U67" s="290"/>
      <c r="V67" s="290"/>
      <c r="W67" s="290"/>
      <c r="X67" s="266">
        <v>0</v>
      </c>
      <c r="Y67" s="266">
        <f ca="1">IFERROR(__xludf.DUMMYFUNCTION("INDEX(IMPORTRANGE(""1y0FWgjbB0gVlqn-q5LMJbGIsqOrzru4yowQz67dz2yc"", ""'JUA'!BH3:BH139""),MATCH(D67,IMPORTRANGE(""1y0FWgjbB0gVlqn-q5LMJbGIsqOrzru4yowQz67dz2yc"", ""'JUA'!D3:D139""),0))"),0)</f>
        <v>0</v>
      </c>
      <c r="Z67" s="22">
        <f ca="1">IFERROR(__xludf.DUMMYFUNCTION("INDEX(IMPORTRANGE(""1y0FWgjbB0gVlqn-q5LMJbGIsqOrzru4yowQz67dz2yc"", ""'JUA'!BI3:BI139""),MATCH(D67,IMPORTRANGE(""1y0FWgjbB0gVlqn-q5LMJbGIsqOrzru4yowQz67dz2yc"", ""'JUA'!D3:D139""),0))"),0)</f>
        <v>0</v>
      </c>
      <c r="AA67" s="156"/>
      <c r="AB67" s="156"/>
      <c r="AC67" s="156"/>
      <c r="AD67" s="156"/>
    </row>
    <row r="68" spans="1:30">
      <c r="A68" s="155" t="s">
        <v>147</v>
      </c>
      <c r="B68" s="155" t="s">
        <v>168</v>
      </c>
      <c r="C68" s="156" t="s">
        <v>30</v>
      </c>
      <c r="D68" s="155" t="s">
        <v>193</v>
      </c>
      <c r="E68" s="155" t="s">
        <v>38</v>
      </c>
      <c r="F68" s="21" t="s">
        <v>194</v>
      </c>
      <c r="G68" s="22" t="s">
        <v>56</v>
      </c>
      <c r="H68" s="22" t="s">
        <v>57</v>
      </c>
      <c r="I68" s="22" t="s">
        <v>58</v>
      </c>
      <c r="J68" s="22" t="s">
        <v>59</v>
      </c>
      <c r="K68" s="22" t="s">
        <v>130</v>
      </c>
      <c r="L68" s="22" t="s">
        <v>61</v>
      </c>
      <c r="M68" s="22" t="s">
        <v>131</v>
      </c>
      <c r="N68" s="22" t="s">
        <v>63</v>
      </c>
      <c r="O68" s="22" t="s">
        <v>132</v>
      </c>
      <c r="P68" s="265">
        <v>0</v>
      </c>
      <c r="Q68" s="265">
        <v>0</v>
      </c>
      <c r="R68" s="290"/>
      <c r="S68" s="290"/>
      <c r="T68" s="290"/>
      <c r="U68" s="290"/>
      <c r="V68" s="290"/>
      <c r="W68" s="290"/>
      <c r="X68" s="265">
        <v>0</v>
      </c>
      <c r="Y68" s="265">
        <f ca="1">IFERROR(__xludf.DUMMYFUNCTION("INDEX(IMPORTRANGE(""1y0FWgjbB0gVlqn-q5LMJbGIsqOrzru4yowQz67dz2yc"", ""'JUA'!BH3:BH139""),MATCH(D68,IMPORTRANGE(""1y0FWgjbB0gVlqn-q5LMJbGIsqOrzru4yowQz67dz2yc"", ""'JUA'!D3:D139""),0))"),0)</f>
        <v>0</v>
      </c>
      <c r="Z68" s="22">
        <f ca="1">IFERROR(__xludf.DUMMYFUNCTION("INDEX(IMPORTRANGE(""1y0FWgjbB0gVlqn-q5LMJbGIsqOrzru4yowQz67dz2yc"", ""'JUA'!BI3:BI139""),MATCH(D68,IMPORTRANGE(""1y0FWgjbB0gVlqn-q5LMJbGIsqOrzru4yowQz67dz2yc"", ""'JUA'!D3:D139""),0))"),0)</f>
        <v>0</v>
      </c>
      <c r="AA68" s="156"/>
      <c r="AB68" s="156"/>
      <c r="AC68" s="156"/>
      <c r="AD68" s="156"/>
    </row>
    <row r="69" spans="1:30">
      <c r="A69" s="155" t="s">
        <v>147</v>
      </c>
      <c r="B69" s="155" t="s">
        <v>168</v>
      </c>
      <c r="C69" s="156" t="s">
        <v>30</v>
      </c>
      <c r="D69" s="155" t="s">
        <v>195</v>
      </c>
      <c r="E69" s="155" t="s">
        <v>38</v>
      </c>
      <c r="F69" s="21" t="s">
        <v>196</v>
      </c>
      <c r="G69" s="10">
        <v>44469</v>
      </c>
      <c r="H69" s="10">
        <v>44469</v>
      </c>
      <c r="I69" s="10">
        <v>44651</v>
      </c>
      <c r="J69" s="10">
        <v>44834</v>
      </c>
      <c r="K69" s="10">
        <v>45016</v>
      </c>
      <c r="L69" s="10">
        <v>45199</v>
      </c>
      <c r="M69" s="10">
        <v>45382</v>
      </c>
      <c r="N69" s="10">
        <v>45565</v>
      </c>
      <c r="O69" s="10">
        <v>45565</v>
      </c>
      <c r="P69" s="364" t="s">
        <v>435</v>
      </c>
      <c r="Q69" s="364" t="s">
        <v>435</v>
      </c>
      <c r="R69" s="290"/>
      <c r="S69" s="290"/>
      <c r="T69" s="290"/>
      <c r="U69" s="290"/>
      <c r="V69" s="290"/>
      <c r="W69" s="290"/>
      <c r="X69" s="364" t="s">
        <v>435</v>
      </c>
      <c r="Y69" s="22" t="str">
        <f ca="1">IFERROR(__xludf.DUMMYFUNCTION("INDEX(IMPORTRANGE(""1y0FWgjbB0gVlqn-q5LMJbGIsqOrzru4yowQz67dz2yc"", ""'JUA'!BH3:BH139""),MATCH(D69,IMPORTRANGE(""1y0FWgjbB0gVlqn-q5LMJbGIsqOrzru4yowQz67dz2yc"", ""'JUA'!D3:D139""),0))"),"")</f>
        <v/>
      </c>
      <c r="Z69" s="22" t="str">
        <f ca="1">IFERROR(__xludf.DUMMYFUNCTION("INDEX(IMPORTRANGE(""1y0FWgjbB0gVlqn-q5LMJbGIsqOrzru4yowQz67dz2yc"", ""'JUA'!BI3:BI139""),MATCH(D69,IMPORTRANGE(""1y0FWgjbB0gVlqn-q5LMJbGIsqOrzru4yowQz67dz2yc"", ""'JUA'!D3:D139""),0))"),"Sin documento")</f>
        <v>Sin documento</v>
      </c>
      <c r="AA69" s="156"/>
      <c r="AB69" s="156"/>
      <c r="AC69" s="156"/>
      <c r="AD69" s="156"/>
    </row>
    <row r="70" spans="1:30">
      <c r="A70" s="155" t="s">
        <v>147</v>
      </c>
      <c r="B70" s="155" t="s">
        <v>168</v>
      </c>
      <c r="C70" s="156" t="s">
        <v>36</v>
      </c>
      <c r="D70" s="155" t="s">
        <v>197</v>
      </c>
      <c r="E70" s="155" t="s">
        <v>38</v>
      </c>
      <c r="F70" s="21" t="s">
        <v>198</v>
      </c>
      <c r="G70" s="22" t="s">
        <v>56</v>
      </c>
      <c r="H70" s="22" t="s">
        <v>57</v>
      </c>
      <c r="I70" s="22" t="s">
        <v>58</v>
      </c>
      <c r="J70" s="22" t="s">
        <v>59</v>
      </c>
      <c r="K70" s="22" t="s">
        <v>130</v>
      </c>
      <c r="L70" s="22" t="s">
        <v>61</v>
      </c>
      <c r="M70" s="22" t="s">
        <v>131</v>
      </c>
      <c r="N70" s="22" t="s">
        <v>63</v>
      </c>
      <c r="O70" s="22" t="s">
        <v>132</v>
      </c>
      <c r="P70" s="265">
        <f t="shared" ref="P70:Q70" si="14">P67+P68</f>
        <v>0</v>
      </c>
      <c r="Q70" s="265">
        <f t="shared" si="14"/>
        <v>0</v>
      </c>
      <c r="R70" s="405">
        <v>45</v>
      </c>
      <c r="S70" s="405">
        <v>23</v>
      </c>
      <c r="T70" s="405">
        <v>46</v>
      </c>
      <c r="U70" s="405">
        <v>23</v>
      </c>
      <c r="V70" s="405">
        <v>46</v>
      </c>
      <c r="W70" s="405">
        <v>141</v>
      </c>
      <c r="X70" s="265">
        <f>X67+X68</f>
        <v>0</v>
      </c>
      <c r="Y70" s="265">
        <f ca="1">IFERROR(__xludf.DUMMYFUNCTION("INDEX(IMPORTRANGE(""1y0FWgjbB0gVlqn-q5LMJbGIsqOrzru4yowQz67dz2yc"", ""'JUA'!BH3:BH139""),MATCH(D70,IMPORTRANGE(""1y0FWgjbB0gVlqn-q5LMJbGIsqOrzru4yowQz67dz2yc"", ""'JUA'!D3:D139""),0))"),0)</f>
        <v>0</v>
      </c>
      <c r="Z70" s="22">
        <f ca="1">IFERROR(__xludf.DUMMYFUNCTION("INDEX(IMPORTRANGE(""1y0FWgjbB0gVlqn-q5LMJbGIsqOrzru4yowQz67dz2yc"", ""'JUA'!BI3:BI139""),MATCH(D70,IMPORTRANGE(""1y0FWgjbB0gVlqn-q5LMJbGIsqOrzru4yowQz67dz2yc"", ""'JUA'!D3:D139""),0))"),0)</f>
        <v>0</v>
      </c>
      <c r="AA70" s="156"/>
      <c r="AB70" s="156"/>
      <c r="AC70" s="156"/>
      <c r="AD70" s="156"/>
    </row>
    <row r="71" spans="1:30">
      <c r="A71" s="155" t="s">
        <v>199</v>
      </c>
      <c r="B71" s="155" t="s">
        <v>200</v>
      </c>
      <c r="C71" s="156" t="s">
        <v>36</v>
      </c>
      <c r="D71" s="155" t="s">
        <v>201</v>
      </c>
      <c r="E71" s="155" t="s">
        <v>38</v>
      </c>
      <c r="F71" s="21" t="s">
        <v>202</v>
      </c>
      <c r="G71" s="10">
        <v>44469</v>
      </c>
      <c r="H71" s="10">
        <v>44469</v>
      </c>
      <c r="I71" s="10">
        <v>44651</v>
      </c>
      <c r="J71" s="10">
        <v>44834</v>
      </c>
      <c r="K71" s="10">
        <v>45016</v>
      </c>
      <c r="L71" s="10">
        <v>45199</v>
      </c>
      <c r="M71" s="10">
        <v>45382</v>
      </c>
      <c r="N71" s="10">
        <v>45565</v>
      </c>
      <c r="O71" s="10">
        <v>45565</v>
      </c>
      <c r="P71" s="265">
        <v>0</v>
      </c>
      <c r="Q71" s="265">
        <v>0</v>
      </c>
      <c r="R71" s="405">
        <v>6</v>
      </c>
      <c r="S71" s="405">
        <v>7</v>
      </c>
      <c r="T71" s="405">
        <v>9</v>
      </c>
      <c r="U71" s="405">
        <v>10</v>
      </c>
      <c r="V71" s="397">
        <v>12</v>
      </c>
      <c r="W71" s="409">
        <v>12</v>
      </c>
      <c r="X71" s="265">
        <v>0.43543999999999999</v>
      </c>
      <c r="Y71" s="266">
        <f ca="1">IFERROR(__xludf.DUMMYFUNCTION("INDEX(IMPORTRANGE(""1y0FWgjbB0gVlqn-q5LMJbGIsqOrzru4yowQz67dz2yc"", ""'JUA'!BH3:BH139""),MATCH(D71,IMPORTRANGE(""1y0FWgjbB0gVlqn-q5LMJbGIsqOrzru4yowQz67dz2yc"", ""'JUA'!D3:D139""),0))"),9.71358)</f>
        <v>9.7135800000000003</v>
      </c>
      <c r="Z71" s="22">
        <f ca="1">IFERROR(__xludf.DUMMYFUNCTION("INDEX(IMPORTRANGE(""1y0FWgjbB0gVlqn-q5LMJbGIsqOrzru4yowQz67dz2yc"", ""'JUA'!BI3:BI139""),MATCH(D71,IMPORTRANGE(""1y0FWgjbB0gVlqn-q5LMJbGIsqOrzru4yowQz67dz2yc"", ""'JUA'!D3:D139""),0))"),0)</f>
        <v>0</v>
      </c>
      <c r="AA71" s="156"/>
      <c r="AB71" s="156"/>
      <c r="AC71" s="156"/>
      <c r="AD71" s="156"/>
    </row>
    <row r="72" spans="1:30">
      <c r="A72" s="155" t="s">
        <v>199</v>
      </c>
      <c r="B72" s="155" t="s">
        <v>200</v>
      </c>
      <c r="C72" s="156" t="s">
        <v>30</v>
      </c>
      <c r="D72" s="155" t="s">
        <v>203</v>
      </c>
      <c r="E72" s="155" t="s">
        <v>38</v>
      </c>
      <c r="F72" s="21" t="s">
        <v>204</v>
      </c>
      <c r="G72" s="22" t="s">
        <v>56</v>
      </c>
      <c r="H72" s="22" t="s">
        <v>57</v>
      </c>
      <c r="I72" s="22" t="s">
        <v>58</v>
      </c>
      <c r="J72" s="22" t="s">
        <v>59</v>
      </c>
      <c r="K72" s="22" t="s">
        <v>130</v>
      </c>
      <c r="L72" s="22" t="s">
        <v>61</v>
      </c>
      <c r="M72" s="22" t="s">
        <v>131</v>
      </c>
      <c r="N72" s="22" t="s">
        <v>63</v>
      </c>
      <c r="O72" s="22" t="s">
        <v>132</v>
      </c>
      <c r="P72" s="387"/>
      <c r="Q72" s="387"/>
      <c r="R72" s="156"/>
      <c r="S72" s="156"/>
      <c r="T72" s="156"/>
      <c r="U72" s="156"/>
      <c r="V72" s="156"/>
      <c r="W72" s="270"/>
      <c r="X72" s="266">
        <v>435.44</v>
      </c>
      <c r="Y72" s="265">
        <f ca="1">IFERROR(__xludf.DUMMYFUNCTION("INDEX(IMPORTRANGE(""1y0FWgjbB0gVlqn-q5LMJbGIsqOrzru4yowQz67dz2yc"", ""'JUA'!BH3:BH139""),MATCH(D72,IMPORTRANGE(""1y0FWgjbB0gVlqn-q5LMJbGIsqOrzru4yowQz67dz2yc"", ""'JUA'!D3:D139""),0))"),2833.35)</f>
        <v>2833.35</v>
      </c>
      <c r="Z72" s="265">
        <f ca="1">IFERROR(__xludf.DUMMYFUNCTION("INDEX(IMPORTRANGE(""1y0FWgjbB0gVlqn-q5LMJbGIsqOrzru4yowQz67dz2yc"", ""'JUA'!BI3:BI139""),MATCH(D72,IMPORTRANGE(""1y0FWgjbB0gVlqn-q5LMJbGIsqOrzru4yowQz67dz2yc"", ""'JUA'!D3:D139""),0))"),490.72)</f>
        <v>490.72</v>
      </c>
      <c r="AA72" s="156"/>
      <c r="AB72" s="156"/>
      <c r="AC72" s="156"/>
      <c r="AD72" s="156"/>
    </row>
    <row r="73" spans="1:30">
      <c r="A73" s="155" t="s">
        <v>199</v>
      </c>
      <c r="B73" s="155" t="s">
        <v>200</v>
      </c>
      <c r="C73" s="156" t="s">
        <v>30</v>
      </c>
      <c r="D73" s="155" t="s">
        <v>205</v>
      </c>
      <c r="E73" s="155" t="s">
        <v>38</v>
      </c>
      <c r="F73" s="21" t="s">
        <v>206</v>
      </c>
      <c r="G73" s="22" t="s">
        <v>56</v>
      </c>
      <c r="H73" s="22" t="s">
        <v>57</v>
      </c>
      <c r="I73" s="22" t="s">
        <v>58</v>
      </c>
      <c r="J73" s="22" t="s">
        <v>59</v>
      </c>
      <c r="K73" s="22" t="s">
        <v>130</v>
      </c>
      <c r="L73" s="22" t="s">
        <v>61</v>
      </c>
      <c r="M73" s="22" t="s">
        <v>131</v>
      </c>
      <c r="N73" s="22" t="s">
        <v>63</v>
      </c>
      <c r="O73" s="22" t="s">
        <v>132</v>
      </c>
      <c r="P73" s="387"/>
      <c r="Q73" s="387"/>
      <c r="R73" s="156"/>
      <c r="S73" s="156"/>
      <c r="T73" s="156"/>
      <c r="U73" s="156"/>
      <c r="V73" s="156"/>
      <c r="W73" s="358"/>
      <c r="X73" s="22">
        <v>0</v>
      </c>
      <c r="Y73" s="262">
        <f ca="1">IFERROR(__xludf.DUMMYFUNCTION("INDEX(IMPORTRANGE(""1y0FWgjbB0gVlqn-q5LMJbGIsqOrzru4yowQz67dz2yc"", ""'JUA'!BH3:BH139""),MATCH(D73,IMPORTRANGE(""1y0FWgjbB0gVlqn-q5LMJbGIsqOrzru4yowQz67dz2yc"", ""'JUA'!D3:D139""),0))"),1458)</f>
        <v>1458</v>
      </c>
      <c r="Z73" s="22">
        <f ca="1">IFERROR(__xludf.DUMMYFUNCTION("INDEX(IMPORTRANGE(""1y0FWgjbB0gVlqn-q5LMJbGIsqOrzru4yowQz67dz2yc"", ""'JUA'!BI3:BI139""),MATCH(D73,IMPORTRANGE(""1y0FWgjbB0gVlqn-q5LMJbGIsqOrzru4yowQz67dz2yc"", ""'JUA'!D3:D139""),0))"),0)</f>
        <v>0</v>
      </c>
      <c r="AA73" s="156"/>
      <c r="AB73" s="156"/>
      <c r="AC73" s="156"/>
      <c r="AD73" s="156"/>
    </row>
    <row r="74" spans="1:30">
      <c r="A74" s="155" t="s">
        <v>199</v>
      </c>
      <c r="B74" s="155" t="s">
        <v>200</v>
      </c>
      <c r="C74" s="156" t="s">
        <v>30</v>
      </c>
      <c r="D74" s="155" t="s">
        <v>207</v>
      </c>
      <c r="E74" s="155" t="s">
        <v>38</v>
      </c>
      <c r="F74" s="21" t="s">
        <v>208</v>
      </c>
      <c r="G74" s="22" t="s">
        <v>56</v>
      </c>
      <c r="H74" s="22" t="s">
        <v>57</v>
      </c>
      <c r="I74" s="22" t="s">
        <v>58</v>
      </c>
      <c r="J74" s="22" t="s">
        <v>59</v>
      </c>
      <c r="K74" s="22" t="s">
        <v>130</v>
      </c>
      <c r="L74" s="22" t="s">
        <v>61</v>
      </c>
      <c r="M74" s="22" t="s">
        <v>131</v>
      </c>
      <c r="N74" s="22" t="s">
        <v>63</v>
      </c>
      <c r="O74" s="22" t="s">
        <v>132</v>
      </c>
      <c r="P74" s="387"/>
      <c r="Q74" s="387"/>
      <c r="R74" s="156"/>
      <c r="S74" s="156"/>
      <c r="T74" s="156"/>
      <c r="U74" s="156"/>
      <c r="V74" s="156"/>
      <c r="W74" s="358"/>
      <c r="X74" s="266">
        <v>435.44</v>
      </c>
      <c r="Y74" s="266">
        <f ca="1">IFERROR(__xludf.DUMMYFUNCTION("INDEX(IMPORTRANGE(""1y0FWgjbB0gVlqn-q5LMJbGIsqOrzru4yowQz67dz2yc"", ""'JUA'!BH3:BH139""),MATCH(D74,IMPORTRANGE(""1y0FWgjbB0gVlqn-q5LMJbGIsqOrzru4yowQz67dz2yc"", ""'JUA'!D3:D139""),0))"),435.44)</f>
        <v>435.44</v>
      </c>
      <c r="Z74" s="22">
        <f ca="1">IFERROR(__xludf.DUMMYFUNCTION("INDEX(IMPORTRANGE(""1y0FWgjbB0gVlqn-q5LMJbGIsqOrzru4yowQz67dz2yc"", ""'JUA'!BI3:BI139""),MATCH(D74,IMPORTRANGE(""1y0FWgjbB0gVlqn-q5LMJbGIsqOrzru4yowQz67dz2yc"", ""'JUA'!D3:D139""),0))"),0)</f>
        <v>0</v>
      </c>
      <c r="AA74" s="156"/>
      <c r="AB74" s="156"/>
      <c r="AC74" s="156"/>
      <c r="AD74" s="156"/>
    </row>
    <row r="75" spans="1:30">
      <c r="A75" s="155" t="s">
        <v>199</v>
      </c>
      <c r="B75" s="155" t="s">
        <v>200</v>
      </c>
      <c r="C75" s="156" t="s">
        <v>36</v>
      </c>
      <c r="D75" s="155" t="s">
        <v>209</v>
      </c>
      <c r="E75" s="155" t="s">
        <v>38</v>
      </c>
      <c r="F75" s="21" t="s">
        <v>210</v>
      </c>
      <c r="G75" s="22" t="s">
        <v>56</v>
      </c>
      <c r="H75" s="22" t="s">
        <v>57</v>
      </c>
      <c r="I75" s="22" t="s">
        <v>58</v>
      </c>
      <c r="J75" s="22" t="s">
        <v>59</v>
      </c>
      <c r="K75" s="22" t="s">
        <v>130</v>
      </c>
      <c r="L75" s="22" t="s">
        <v>61</v>
      </c>
      <c r="M75" s="22" t="s">
        <v>131</v>
      </c>
      <c r="N75" s="22" t="s">
        <v>63</v>
      </c>
      <c r="O75" s="22" t="s">
        <v>132</v>
      </c>
      <c r="P75" s="387"/>
      <c r="Q75" s="387"/>
      <c r="R75" s="405">
        <v>10194</v>
      </c>
      <c r="S75" s="405">
        <v>4422</v>
      </c>
      <c r="T75" s="405">
        <v>9446</v>
      </c>
      <c r="U75" s="405">
        <v>4172</v>
      </c>
      <c r="V75" s="397">
        <v>8447</v>
      </c>
      <c r="W75" s="410">
        <v>27529</v>
      </c>
      <c r="X75" s="266">
        <f>SUM(X72:X74)</f>
        <v>870.88</v>
      </c>
      <c r="Y75" s="265">
        <f ca="1">IFERROR(__xludf.DUMMYFUNCTION("INDEX(IMPORTRANGE(""1y0FWgjbB0gVlqn-q5LMJbGIsqOrzru4yowQz67dz2yc"", ""'JUA'!BH3:BH139""),MATCH(D75,IMPORTRANGE(""1y0FWgjbB0gVlqn-q5LMJbGIsqOrzru4yowQz67dz2yc"", ""'JUA'!D3:D139""),0))"),4726.79)</f>
        <v>4726.79</v>
      </c>
      <c r="Z75" s="265">
        <f ca="1">IFERROR(__xludf.DUMMYFUNCTION("INDEX(IMPORTRANGE(""1y0FWgjbB0gVlqn-q5LMJbGIsqOrzru4yowQz67dz2yc"", ""'JUA'!BI3:BI139""),MATCH(D75,IMPORTRANGE(""1y0FWgjbB0gVlqn-q5LMJbGIsqOrzru4yowQz67dz2yc"", ""'JUA'!D3:D139""),0))"),490.72)</f>
        <v>490.72</v>
      </c>
      <c r="AA75" s="156"/>
      <c r="AB75" s="156"/>
      <c r="AC75" s="156"/>
      <c r="AD75" s="156"/>
    </row>
    <row r="76" spans="1:30">
      <c r="A76" s="155" t="s">
        <v>199</v>
      </c>
      <c r="B76" s="155" t="s">
        <v>200</v>
      </c>
      <c r="C76" s="156" t="s">
        <v>30</v>
      </c>
      <c r="D76" s="155" t="s">
        <v>211</v>
      </c>
      <c r="E76" s="155" t="s">
        <v>38</v>
      </c>
      <c r="F76" s="21" t="s">
        <v>212</v>
      </c>
      <c r="G76" s="155" t="s">
        <v>213</v>
      </c>
      <c r="H76" s="156" t="s">
        <v>214</v>
      </c>
      <c r="I76" s="155" t="s">
        <v>215</v>
      </c>
      <c r="J76" s="290"/>
      <c r="K76" s="155" t="s">
        <v>216</v>
      </c>
      <c r="L76" s="290"/>
      <c r="M76" s="155" t="s">
        <v>217</v>
      </c>
      <c r="N76" s="156" t="s">
        <v>218</v>
      </c>
      <c r="O76" s="156" t="s">
        <v>218</v>
      </c>
      <c r="P76" s="272">
        <v>23947022.41</v>
      </c>
      <c r="Q76" s="272">
        <v>23947022.41</v>
      </c>
      <c r="R76" s="290"/>
      <c r="S76" s="290"/>
      <c r="T76" s="290"/>
      <c r="U76" s="290"/>
      <c r="V76" s="290"/>
      <c r="W76" s="388"/>
      <c r="X76" s="272">
        <v>23947022.41</v>
      </c>
      <c r="Y76" s="388" t="str">
        <f ca="1">IFERROR(__xludf.DUMMYFUNCTION("INDEX(IMPORTRANGE(""1y0FWgjbB0gVlqn-q5LMJbGIsqOrzru4yowQz67dz2yc"", ""'JUA'!BH3:BH139""),MATCH(D76,IMPORTRANGE(""1y0FWgjbB0gVlqn-q5LMJbGIsqOrzru4yowQz67dz2yc"", ""'JUA'!D3:D139""),0))"),"")</f>
        <v/>
      </c>
      <c r="Z76" s="272">
        <f ca="1">IFERROR(__xludf.DUMMYFUNCTION("INDEX(IMPORTRANGE(""1y0FWgjbB0gVlqn-q5LMJbGIsqOrzru4yowQz67dz2yc"", ""'JUA'!BI3:BI139""),MATCH(D76,IMPORTRANGE(""1y0FWgjbB0gVlqn-q5LMJbGIsqOrzru4yowQz67dz2yc"", ""'JUA'!D3:D139""),0))"),112983769.169999)</f>
        <v>112983769.169999</v>
      </c>
      <c r="AA76" s="156"/>
      <c r="AB76" s="156"/>
      <c r="AC76" s="156"/>
      <c r="AD76" s="156"/>
    </row>
    <row r="77" spans="1:30">
      <c r="A77" s="155" t="s">
        <v>199</v>
      </c>
      <c r="B77" s="155" t="s">
        <v>200</v>
      </c>
      <c r="C77" s="156" t="s">
        <v>30</v>
      </c>
      <c r="D77" s="155" t="s">
        <v>219</v>
      </c>
      <c r="E77" s="155" t="s">
        <v>38</v>
      </c>
      <c r="F77" s="21" t="s">
        <v>220</v>
      </c>
      <c r="G77" s="155" t="s">
        <v>213</v>
      </c>
      <c r="H77" s="156" t="s">
        <v>214</v>
      </c>
      <c r="I77" s="155" t="s">
        <v>215</v>
      </c>
      <c r="J77" s="290"/>
      <c r="K77" s="155" t="s">
        <v>216</v>
      </c>
      <c r="L77" s="290"/>
      <c r="M77" s="155" t="s">
        <v>217</v>
      </c>
      <c r="N77" s="156" t="s">
        <v>218</v>
      </c>
      <c r="O77" s="156" t="s">
        <v>218</v>
      </c>
      <c r="P77" s="272">
        <v>391807.49</v>
      </c>
      <c r="Q77" s="272">
        <v>391807.49</v>
      </c>
      <c r="R77" s="290"/>
      <c r="S77" s="290"/>
      <c r="T77" s="290"/>
      <c r="U77" s="290"/>
      <c r="V77" s="290"/>
      <c r="W77" s="388"/>
      <c r="X77" s="272">
        <v>391807.49</v>
      </c>
      <c r="Y77" s="388" t="str">
        <f ca="1">IFERROR(__xludf.DUMMYFUNCTION("INDEX(IMPORTRANGE(""1y0FWgjbB0gVlqn-q5LMJbGIsqOrzru4yowQz67dz2yc"", ""'JUA'!BH3:BH139""),MATCH(D77,IMPORTRANGE(""1y0FWgjbB0gVlqn-q5LMJbGIsqOrzru4yowQz67dz2yc"", ""'JUA'!D3:D139""),0))"),"")</f>
        <v/>
      </c>
      <c r="Z77" s="272">
        <f ca="1">IFERROR(__xludf.DUMMYFUNCTION("INDEX(IMPORTRANGE(""1y0FWgjbB0gVlqn-q5LMJbGIsqOrzru4yowQz67dz2yc"", ""'JUA'!BI3:BI139""),MATCH(D77,IMPORTRANGE(""1y0FWgjbB0gVlqn-q5LMJbGIsqOrzru4yowQz67dz2yc"", ""'JUA'!D3:D139""),0))"),2622121.44)</f>
        <v>2622121.44</v>
      </c>
      <c r="AA77" s="156"/>
      <c r="AB77" s="156"/>
      <c r="AC77" s="156"/>
      <c r="AD77" s="156"/>
    </row>
    <row r="78" spans="1:30">
      <c r="A78" s="155" t="s">
        <v>199</v>
      </c>
      <c r="B78" s="155" t="s">
        <v>200</v>
      </c>
      <c r="C78" s="156" t="s">
        <v>36</v>
      </c>
      <c r="D78" s="155" t="s">
        <v>221</v>
      </c>
      <c r="E78" s="155" t="s">
        <v>38</v>
      </c>
      <c r="F78" s="21" t="s">
        <v>222</v>
      </c>
      <c r="G78" s="155" t="s">
        <v>213</v>
      </c>
      <c r="H78" s="156" t="s">
        <v>214</v>
      </c>
      <c r="I78" s="155" t="s">
        <v>215</v>
      </c>
      <c r="J78" s="290"/>
      <c r="K78" s="155" t="s">
        <v>216</v>
      </c>
      <c r="L78" s="290"/>
      <c r="M78" s="155" t="s">
        <v>217</v>
      </c>
      <c r="N78" s="156" t="s">
        <v>218</v>
      </c>
      <c r="O78" s="156" t="s">
        <v>218</v>
      </c>
      <c r="P78" s="25">
        <f t="shared" ref="P78:Q78" si="15">P77/P76</f>
        <v>1.636142829333077E-2</v>
      </c>
      <c r="Q78" s="25">
        <f t="shared" si="15"/>
        <v>1.636142829333077E-2</v>
      </c>
      <c r="R78" s="397"/>
      <c r="S78" s="399">
        <v>0.15129999999999999</v>
      </c>
      <c r="T78" s="399"/>
      <c r="U78" s="399">
        <v>0.16539999999999999</v>
      </c>
      <c r="V78" s="399">
        <v>0.18129999999999999</v>
      </c>
      <c r="W78" s="399">
        <v>0.18129999999999999</v>
      </c>
      <c r="X78" s="25">
        <f>X77/X76</f>
        <v>1.636142829333077E-2</v>
      </c>
      <c r="Y78" s="390" t="str">
        <f ca="1">IFERROR(__xludf.DUMMYFUNCTION("INDEX(IMPORTRANGE(""1y0FWgjbB0gVlqn-q5LMJbGIsqOrzru4yowQz67dz2yc"", ""'JUA'!BH3:BH139""),MATCH(D78,IMPORTRANGE(""1y0FWgjbB0gVlqn-q5LMJbGIsqOrzru4yowQz67dz2yc"", ""'JUA'!D3:D139""),0))"),"")</f>
        <v/>
      </c>
      <c r="Z78" s="25">
        <f ca="1">IFERROR(__xludf.DUMMYFUNCTION("INDEX(IMPORTRANGE(""1y0FWgjbB0gVlqn-q5LMJbGIsqOrzru4yowQz67dz2yc"", ""'JUA'!BI3:BI139""),MATCH(D78,IMPORTRANGE(""1y0FWgjbB0gVlqn-q5LMJbGIsqOrzru4yowQz67dz2yc"", ""'JUA'!D3:D139""),0))"),0.0232079480022891)</f>
        <v>2.3207948002289099E-2</v>
      </c>
      <c r="AA78" s="156"/>
      <c r="AB78" s="156"/>
      <c r="AC78" s="156"/>
      <c r="AD78" s="156"/>
    </row>
    <row r="79" spans="1:30">
      <c r="A79" s="155" t="s">
        <v>199</v>
      </c>
      <c r="B79" s="155" t="s">
        <v>200</v>
      </c>
      <c r="C79" s="156" t="s">
        <v>30</v>
      </c>
      <c r="D79" s="155" t="s">
        <v>223</v>
      </c>
      <c r="E79" s="155" t="s">
        <v>38</v>
      </c>
      <c r="F79" s="21" t="s">
        <v>224</v>
      </c>
      <c r="G79" s="22" t="s">
        <v>56</v>
      </c>
      <c r="H79" s="22" t="s">
        <v>57</v>
      </c>
      <c r="I79" s="22" t="s">
        <v>58</v>
      </c>
      <c r="J79" s="22" t="s">
        <v>59</v>
      </c>
      <c r="K79" s="22" t="s">
        <v>130</v>
      </c>
      <c r="L79" s="22" t="s">
        <v>61</v>
      </c>
      <c r="M79" s="22" t="s">
        <v>131</v>
      </c>
      <c r="N79" s="22" t="s">
        <v>63</v>
      </c>
      <c r="O79" s="22" t="s">
        <v>132</v>
      </c>
      <c r="P79" s="262">
        <v>0</v>
      </c>
      <c r="Q79" s="262">
        <v>0</v>
      </c>
      <c r="R79" s="156"/>
      <c r="S79" s="156"/>
      <c r="T79" s="156"/>
      <c r="U79" s="156"/>
      <c r="V79" s="156"/>
      <c r="W79" s="358"/>
      <c r="X79" s="22">
        <v>0</v>
      </c>
      <c r="Y79" s="262">
        <f ca="1">IFERROR(__xludf.DUMMYFUNCTION("INDEX(IMPORTRANGE(""1y0FWgjbB0gVlqn-q5LMJbGIsqOrzru4yowQz67dz2yc"", ""'JUA'!BH3:BH139""),MATCH(D79,IMPORTRANGE(""1y0FWgjbB0gVlqn-q5LMJbGIsqOrzru4yowQz67dz2yc"", ""'JUA'!D3:D139""),0))"),0)</f>
        <v>0</v>
      </c>
      <c r="Z79" s="262">
        <f ca="1">IFERROR(__xludf.DUMMYFUNCTION("INDEX(IMPORTRANGE(""1y0FWgjbB0gVlqn-q5LMJbGIsqOrzru4yowQz67dz2yc"", ""'JUA'!BI3:BI139""),MATCH(D79,IMPORTRANGE(""1y0FWgjbB0gVlqn-q5LMJbGIsqOrzru4yowQz67dz2yc"", ""'JUA'!D3:D139""),0))"),3)</f>
        <v>3</v>
      </c>
      <c r="AA79" s="156"/>
      <c r="AB79" s="156"/>
      <c r="AC79" s="156"/>
      <c r="AD79" s="156"/>
    </row>
    <row r="80" spans="1:30">
      <c r="A80" s="155" t="s">
        <v>199</v>
      </c>
      <c r="B80" s="155" t="s">
        <v>200</v>
      </c>
      <c r="C80" s="156" t="s">
        <v>30</v>
      </c>
      <c r="D80" s="155" t="s">
        <v>225</v>
      </c>
      <c r="E80" s="155" t="s">
        <v>38</v>
      </c>
      <c r="F80" s="21" t="s">
        <v>182</v>
      </c>
      <c r="G80" s="22" t="s">
        <v>56</v>
      </c>
      <c r="H80" s="22" t="s">
        <v>57</v>
      </c>
      <c r="I80" s="22" t="s">
        <v>58</v>
      </c>
      <c r="J80" s="22" t="s">
        <v>59</v>
      </c>
      <c r="K80" s="22" t="s">
        <v>130</v>
      </c>
      <c r="L80" s="22" t="s">
        <v>61</v>
      </c>
      <c r="M80" s="22" t="s">
        <v>131</v>
      </c>
      <c r="N80" s="22" t="s">
        <v>63</v>
      </c>
      <c r="O80" s="22" t="s">
        <v>132</v>
      </c>
      <c r="P80" s="262">
        <v>0</v>
      </c>
      <c r="Q80" s="262">
        <v>0</v>
      </c>
      <c r="R80" s="156"/>
      <c r="S80" s="156"/>
      <c r="T80" s="156"/>
      <c r="U80" s="156"/>
      <c r="V80" s="156"/>
      <c r="W80" s="358"/>
      <c r="X80" s="22">
        <v>0</v>
      </c>
      <c r="Y80" s="262">
        <f ca="1">IFERROR(__xludf.DUMMYFUNCTION("INDEX(IMPORTRANGE(""1y0FWgjbB0gVlqn-q5LMJbGIsqOrzru4yowQz67dz2yc"", ""'JUA'!BH3:BH139""),MATCH(D80,IMPORTRANGE(""1y0FWgjbB0gVlqn-q5LMJbGIsqOrzru4yowQz67dz2yc"", ""'JUA'!D3:D139""),0))"),0)</f>
        <v>0</v>
      </c>
      <c r="Z80" s="262">
        <f ca="1">IFERROR(__xludf.DUMMYFUNCTION("INDEX(IMPORTRANGE(""1y0FWgjbB0gVlqn-q5LMJbGIsqOrzru4yowQz67dz2yc"", ""'JUA'!BI3:BI139""),MATCH(D80,IMPORTRANGE(""1y0FWgjbB0gVlqn-q5LMJbGIsqOrzru4yowQz67dz2yc"", ""'JUA'!D3:D139""),0))"),0)</f>
        <v>0</v>
      </c>
      <c r="AA80" s="156"/>
      <c r="AB80" s="156"/>
      <c r="AC80" s="156"/>
      <c r="AD80" s="156"/>
    </row>
    <row r="81" spans="1:30">
      <c r="A81" s="155" t="s">
        <v>199</v>
      </c>
      <c r="B81" s="155" t="s">
        <v>200</v>
      </c>
      <c r="C81" s="156" t="s">
        <v>36</v>
      </c>
      <c r="D81" s="155" t="s">
        <v>226</v>
      </c>
      <c r="E81" s="155" t="s">
        <v>38</v>
      </c>
      <c r="F81" s="21" t="s">
        <v>227</v>
      </c>
      <c r="G81" s="22" t="s">
        <v>56</v>
      </c>
      <c r="H81" s="22" t="s">
        <v>57</v>
      </c>
      <c r="I81" s="22" t="s">
        <v>58</v>
      </c>
      <c r="J81" s="22" t="s">
        <v>59</v>
      </c>
      <c r="K81" s="22" t="s">
        <v>130</v>
      </c>
      <c r="L81" s="22" t="s">
        <v>61</v>
      </c>
      <c r="M81" s="22" t="s">
        <v>131</v>
      </c>
      <c r="N81" s="22" t="s">
        <v>63</v>
      </c>
      <c r="O81" s="22" t="s">
        <v>132</v>
      </c>
      <c r="P81" s="262">
        <f t="shared" ref="P81:Q81" si="16">P79+P80</f>
        <v>0</v>
      </c>
      <c r="Q81" s="262">
        <f t="shared" si="16"/>
        <v>0</v>
      </c>
      <c r="R81" s="405">
        <v>41</v>
      </c>
      <c r="S81" s="405">
        <v>14</v>
      </c>
      <c r="T81" s="405">
        <v>26</v>
      </c>
      <c r="U81" s="405">
        <v>14</v>
      </c>
      <c r="V81" s="397">
        <v>23</v>
      </c>
      <c r="W81" s="411">
        <v>92</v>
      </c>
      <c r="X81" s="22">
        <v>0</v>
      </c>
      <c r="Y81" s="262">
        <f ca="1">IFERROR(__xludf.DUMMYFUNCTION("INDEX(IMPORTRANGE(""1y0FWgjbB0gVlqn-q5LMJbGIsqOrzru4yowQz67dz2yc"", ""'JUA'!BH3:BH139""),MATCH(D81,IMPORTRANGE(""1y0FWgjbB0gVlqn-q5LMJbGIsqOrzru4yowQz67dz2yc"", ""'JUA'!D3:D139""),0))"),0)</f>
        <v>0</v>
      </c>
      <c r="Z81" s="262">
        <f ca="1">IFERROR(__xludf.DUMMYFUNCTION("INDEX(IMPORTRANGE(""1y0FWgjbB0gVlqn-q5LMJbGIsqOrzru4yowQz67dz2yc"", ""'JUA'!BI3:BI139""),MATCH(D81,IMPORTRANGE(""1y0FWgjbB0gVlqn-q5LMJbGIsqOrzru4yowQz67dz2yc"", ""'JUA'!D3:D139""),0))"),3)</f>
        <v>3</v>
      </c>
      <c r="AA81" s="156"/>
      <c r="AB81" s="156"/>
      <c r="AC81" s="156"/>
      <c r="AD81" s="156"/>
    </row>
    <row r="82" spans="1:30">
      <c r="A82" s="155" t="s">
        <v>199</v>
      </c>
      <c r="B82" s="155" t="s">
        <v>228</v>
      </c>
      <c r="C82" s="156" t="s">
        <v>30</v>
      </c>
      <c r="D82" s="383" t="s">
        <v>229</v>
      </c>
      <c r="E82" s="155" t="s">
        <v>38</v>
      </c>
      <c r="F82" s="21" t="s">
        <v>230</v>
      </c>
      <c r="G82" s="22" t="s">
        <v>231</v>
      </c>
      <c r="H82" s="22" t="s">
        <v>232</v>
      </c>
      <c r="I82" s="22" t="s">
        <v>58</v>
      </c>
      <c r="J82" s="22" t="s">
        <v>59</v>
      </c>
      <c r="K82" s="22" t="s">
        <v>130</v>
      </c>
      <c r="L82" s="22" t="s">
        <v>61</v>
      </c>
      <c r="M82" s="22" t="s">
        <v>131</v>
      </c>
      <c r="N82" s="22" t="s">
        <v>63</v>
      </c>
      <c r="O82" s="22" t="s">
        <v>63</v>
      </c>
      <c r="P82" s="262">
        <v>46</v>
      </c>
      <c r="Q82" s="262">
        <v>70</v>
      </c>
      <c r="R82" s="290"/>
      <c r="S82" s="290"/>
      <c r="T82" s="290"/>
      <c r="U82" s="290"/>
      <c r="V82" s="290"/>
      <c r="W82" s="377"/>
      <c r="X82" s="365">
        <v>0</v>
      </c>
      <c r="Y82" s="262">
        <f ca="1">IFERROR(__xludf.DUMMYFUNCTION("INDEX(IMPORTRANGE(""1y0FWgjbB0gVlqn-q5LMJbGIsqOrzru4yowQz67dz2yc"", ""'JUA'!BH3:BH139""),MATCH(D82,IMPORTRANGE(""1y0FWgjbB0gVlqn-q5LMJbGIsqOrzru4yowQz67dz2yc"", ""'JUA'!D3:D139""),0))"),30)</f>
        <v>30</v>
      </c>
      <c r="Z82" s="262">
        <f ca="1">IFERROR(__xludf.DUMMYFUNCTION("INDEX(IMPORTRANGE(""1y0FWgjbB0gVlqn-q5LMJbGIsqOrzru4yowQz67dz2yc"", ""'JUA'!BI3:BI139""),MATCH(D82,IMPORTRANGE(""1y0FWgjbB0gVlqn-q5LMJbGIsqOrzru4yowQz67dz2yc"", ""'JUA'!D3:D139""),0))"),40)</f>
        <v>40</v>
      </c>
      <c r="AA82" s="156"/>
      <c r="AB82" s="156"/>
      <c r="AC82" s="156"/>
      <c r="AD82" s="156"/>
    </row>
    <row r="83" spans="1:30">
      <c r="A83" s="155" t="s">
        <v>199</v>
      </c>
      <c r="B83" s="155" t="s">
        <v>228</v>
      </c>
      <c r="C83" s="156" t="s">
        <v>30</v>
      </c>
      <c r="D83" s="383" t="s">
        <v>233</v>
      </c>
      <c r="E83" s="155" t="s">
        <v>38</v>
      </c>
      <c r="F83" s="21" t="s">
        <v>234</v>
      </c>
      <c r="G83" s="22" t="s">
        <v>231</v>
      </c>
      <c r="H83" s="22" t="s">
        <v>232</v>
      </c>
      <c r="I83" s="22" t="s">
        <v>58</v>
      </c>
      <c r="J83" s="22" t="s">
        <v>59</v>
      </c>
      <c r="K83" s="22" t="s">
        <v>130</v>
      </c>
      <c r="L83" s="22" t="s">
        <v>61</v>
      </c>
      <c r="M83" s="22" t="s">
        <v>131</v>
      </c>
      <c r="N83" s="22" t="s">
        <v>63</v>
      </c>
      <c r="O83" s="22" t="s">
        <v>63</v>
      </c>
      <c r="P83" s="262">
        <v>4</v>
      </c>
      <c r="Q83" s="262">
        <v>8</v>
      </c>
      <c r="R83" s="290"/>
      <c r="S83" s="290"/>
      <c r="T83" s="290"/>
      <c r="U83" s="290"/>
      <c r="V83" s="290"/>
      <c r="W83" s="377"/>
      <c r="X83" s="365">
        <v>0</v>
      </c>
      <c r="Y83" s="262">
        <f ca="1">IFERROR(__xludf.DUMMYFUNCTION("INDEX(IMPORTRANGE(""1y0FWgjbB0gVlqn-q5LMJbGIsqOrzru4yowQz67dz2yc"", ""'JUA'!BH3:BH139""),MATCH(D83,IMPORTRANGE(""1y0FWgjbB0gVlqn-q5LMJbGIsqOrzru4yowQz67dz2yc"", ""'JUA'!D3:D139""),0))"),2)</f>
        <v>2</v>
      </c>
      <c r="Z83" s="262">
        <f ca="1">IFERROR(__xludf.DUMMYFUNCTION("INDEX(IMPORTRANGE(""1y0FWgjbB0gVlqn-q5LMJbGIsqOrzru4yowQz67dz2yc"", ""'JUA'!BI3:BI139""),MATCH(D83,IMPORTRANGE(""1y0FWgjbB0gVlqn-q5LMJbGIsqOrzru4yowQz67dz2yc"", ""'JUA'!D3:D139""),0))"),3)</f>
        <v>3</v>
      </c>
      <c r="AA83" s="156"/>
      <c r="AB83" s="156"/>
      <c r="AC83" s="156"/>
      <c r="AD83" s="156"/>
    </row>
    <row r="84" spans="1:30">
      <c r="A84" s="155" t="s">
        <v>199</v>
      </c>
      <c r="B84" s="155" t="s">
        <v>228</v>
      </c>
      <c r="C84" s="156" t="s">
        <v>30</v>
      </c>
      <c r="D84" s="383" t="s">
        <v>235</v>
      </c>
      <c r="E84" s="155" t="s">
        <v>38</v>
      </c>
      <c r="F84" s="21" t="s">
        <v>236</v>
      </c>
      <c r="G84" s="22" t="s">
        <v>231</v>
      </c>
      <c r="H84" s="22" t="s">
        <v>232</v>
      </c>
      <c r="I84" s="22" t="s">
        <v>58</v>
      </c>
      <c r="J84" s="22" t="s">
        <v>59</v>
      </c>
      <c r="K84" s="22" t="s">
        <v>130</v>
      </c>
      <c r="L84" s="22" t="s">
        <v>61</v>
      </c>
      <c r="M84" s="22" t="s">
        <v>131</v>
      </c>
      <c r="N84" s="22" t="s">
        <v>63</v>
      </c>
      <c r="O84" s="22" t="s">
        <v>63</v>
      </c>
      <c r="P84" s="262">
        <v>326</v>
      </c>
      <c r="Q84" s="262">
        <v>665</v>
      </c>
      <c r="R84" s="290"/>
      <c r="S84" s="290"/>
      <c r="T84" s="290"/>
      <c r="U84" s="290"/>
      <c r="V84" s="290"/>
      <c r="W84" s="377"/>
      <c r="X84" s="365">
        <v>0</v>
      </c>
      <c r="Y84" s="262">
        <f ca="1">IFERROR(__xludf.DUMMYFUNCTION("INDEX(IMPORTRANGE(""1y0FWgjbB0gVlqn-q5LMJbGIsqOrzru4yowQz67dz2yc"", ""'JUA'!BH3:BH139""),MATCH(D84,IMPORTRANGE(""1y0FWgjbB0gVlqn-q5LMJbGIsqOrzru4yowQz67dz2yc"", ""'JUA'!D3:D139""),0))"),337)</f>
        <v>337</v>
      </c>
      <c r="Z84" s="262">
        <f ca="1">IFERROR(__xludf.DUMMYFUNCTION("INDEX(IMPORTRANGE(""1y0FWgjbB0gVlqn-q5LMJbGIsqOrzru4yowQz67dz2yc"", ""'JUA'!BI3:BI139""),MATCH(D84,IMPORTRANGE(""1y0FWgjbB0gVlqn-q5LMJbGIsqOrzru4yowQz67dz2yc"", ""'JUA'!D3:D139""),0))"),302)</f>
        <v>302</v>
      </c>
      <c r="AA84" s="156"/>
      <c r="AB84" s="156"/>
      <c r="AC84" s="156"/>
      <c r="AD84" s="156"/>
    </row>
    <row r="85" spans="1:30">
      <c r="A85" s="155" t="s">
        <v>199</v>
      </c>
      <c r="B85" s="155" t="s">
        <v>228</v>
      </c>
      <c r="C85" s="156" t="s">
        <v>30</v>
      </c>
      <c r="D85" s="383" t="s">
        <v>237</v>
      </c>
      <c r="E85" s="155" t="s">
        <v>38</v>
      </c>
      <c r="F85" s="21" t="s">
        <v>238</v>
      </c>
      <c r="G85" s="22" t="s">
        <v>231</v>
      </c>
      <c r="H85" s="22" t="s">
        <v>232</v>
      </c>
      <c r="I85" s="22" t="s">
        <v>58</v>
      </c>
      <c r="J85" s="22" t="s">
        <v>59</v>
      </c>
      <c r="K85" s="22" t="s">
        <v>130</v>
      </c>
      <c r="L85" s="22" t="s">
        <v>61</v>
      </c>
      <c r="M85" s="22" t="s">
        <v>131</v>
      </c>
      <c r="N85" s="22" t="s">
        <v>63</v>
      </c>
      <c r="O85" s="22" t="s">
        <v>63</v>
      </c>
      <c r="P85" s="262">
        <v>59</v>
      </c>
      <c r="Q85" s="262">
        <v>109</v>
      </c>
      <c r="R85" s="290"/>
      <c r="S85" s="290"/>
      <c r="T85" s="290"/>
      <c r="U85" s="290"/>
      <c r="V85" s="290"/>
      <c r="W85" s="377"/>
      <c r="X85" s="365">
        <v>0</v>
      </c>
      <c r="Y85" s="262">
        <f ca="1">IFERROR(__xludf.DUMMYFUNCTION("INDEX(IMPORTRANGE(""1y0FWgjbB0gVlqn-q5LMJbGIsqOrzru4yowQz67dz2yc"", ""'JUA'!BH3:BH139""),MATCH(D85,IMPORTRANGE(""1y0FWgjbB0gVlqn-q5LMJbGIsqOrzru4yowQz67dz2yc"", ""'JUA'!D3:D139""),0))"),104)</f>
        <v>104</v>
      </c>
      <c r="Z85" s="262">
        <f ca="1">IFERROR(__xludf.DUMMYFUNCTION("INDEX(IMPORTRANGE(""1y0FWgjbB0gVlqn-q5LMJbGIsqOrzru4yowQz67dz2yc"", ""'JUA'!BI3:BI139""),MATCH(D85,IMPORTRANGE(""1y0FWgjbB0gVlqn-q5LMJbGIsqOrzru4yowQz67dz2yc"", ""'JUA'!D3:D139""),0))"),71)</f>
        <v>71</v>
      </c>
      <c r="AA85" s="156"/>
      <c r="AB85" s="156"/>
      <c r="AC85" s="156"/>
      <c r="AD85" s="156"/>
    </row>
    <row r="86" spans="1:30">
      <c r="A86" s="155" t="s">
        <v>199</v>
      </c>
      <c r="B86" s="155" t="s">
        <v>228</v>
      </c>
      <c r="C86" s="156" t="s">
        <v>30</v>
      </c>
      <c r="D86" s="383" t="s">
        <v>239</v>
      </c>
      <c r="E86" s="155" t="s">
        <v>38</v>
      </c>
      <c r="F86" s="21" t="s">
        <v>240</v>
      </c>
      <c r="G86" s="22" t="s">
        <v>231</v>
      </c>
      <c r="H86" s="22" t="s">
        <v>232</v>
      </c>
      <c r="I86" s="22" t="s">
        <v>58</v>
      </c>
      <c r="J86" s="22" t="s">
        <v>59</v>
      </c>
      <c r="K86" s="22" t="s">
        <v>130</v>
      </c>
      <c r="L86" s="22" t="s">
        <v>61</v>
      </c>
      <c r="M86" s="22" t="s">
        <v>131</v>
      </c>
      <c r="N86" s="22" t="s">
        <v>63</v>
      </c>
      <c r="O86" s="22" t="s">
        <v>63</v>
      </c>
      <c r="P86" s="262">
        <v>167</v>
      </c>
      <c r="Q86" s="262">
        <v>341</v>
      </c>
      <c r="R86" s="290"/>
      <c r="S86" s="290"/>
      <c r="T86" s="290"/>
      <c r="U86" s="290"/>
      <c r="V86" s="290"/>
      <c r="W86" s="377"/>
      <c r="X86" s="365">
        <v>0</v>
      </c>
      <c r="Y86" s="262">
        <f ca="1">IFERROR(__xludf.DUMMYFUNCTION("INDEX(IMPORTRANGE(""1y0FWgjbB0gVlqn-q5LMJbGIsqOrzru4yowQz67dz2yc"", ""'JUA'!BH3:BH139""),MATCH(D86,IMPORTRANGE(""1y0FWgjbB0gVlqn-q5LMJbGIsqOrzru4yowQz67dz2yc"", ""'JUA'!D3:D139""),0))"),361)</f>
        <v>361</v>
      </c>
      <c r="Z86" s="262">
        <f ca="1">IFERROR(__xludf.DUMMYFUNCTION("INDEX(IMPORTRANGE(""1y0FWgjbB0gVlqn-q5LMJbGIsqOrzru4yowQz67dz2yc"", ""'JUA'!BI3:BI139""),MATCH(D86,IMPORTRANGE(""1y0FWgjbB0gVlqn-q5LMJbGIsqOrzru4yowQz67dz2yc"", ""'JUA'!D3:D139""),0))"),50)</f>
        <v>50</v>
      </c>
      <c r="AA86" s="156"/>
      <c r="AB86" s="156"/>
      <c r="AC86" s="156"/>
      <c r="AD86" s="156"/>
    </row>
    <row r="87" spans="1:30">
      <c r="A87" s="155" t="s">
        <v>199</v>
      </c>
      <c r="B87" s="155" t="s">
        <v>228</v>
      </c>
      <c r="C87" s="156" t="s">
        <v>36</v>
      </c>
      <c r="D87" s="383" t="s">
        <v>241</v>
      </c>
      <c r="E87" s="155" t="s">
        <v>38</v>
      </c>
      <c r="F87" s="22" t="s">
        <v>242</v>
      </c>
      <c r="G87" s="22" t="s">
        <v>231</v>
      </c>
      <c r="H87" s="22" t="s">
        <v>232</v>
      </c>
      <c r="I87" s="22" t="s">
        <v>58</v>
      </c>
      <c r="J87" s="22" t="s">
        <v>59</v>
      </c>
      <c r="K87" s="22" t="s">
        <v>130</v>
      </c>
      <c r="L87" s="22" t="s">
        <v>61</v>
      </c>
      <c r="M87" s="22" t="s">
        <v>131</v>
      </c>
      <c r="N87" s="22" t="s">
        <v>63</v>
      </c>
      <c r="O87" s="22" t="s">
        <v>63</v>
      </c>
      <c r="P87" s="262">
        <f>SUM(P82:P86)</f>
        <v>602</v>
      </c>
      <c r="Q87" s="262">
        <v>1193</v>
      </c>
      <c r="R87" s="402">
        <v>1173</v>
      </c>
      <c r="S87" s="402">
        <v>582</v>
      </c>
      <c r="T87" s="402">
        <v>1153</v>
      </c>
      <c r="U87" s="402">
        <v>572</v>
      </c>
      <c r="V87" s="402">
        <v>1133</v>
      </c>
      <c r="W87" s="402">
        <v>1133</v>
      </c>
      <c r="X87" s="364">
        <f>SUM(X82:X86)</f>
        <v>0</v>
      </c>
      <c r="Y87" s="262">
        <f ca="1">IFERROR(__xludf.DUMMYFUNCTION("INDEX(IMPORTRANGE(""1y0FWgjbB0gVlqn-q5LMJbGIsqOrzru4yowQz67dz2yc"", ""'JUA'!BH3:BH139""),MATCH(D87,IMPORTRANGE(""1y0FWgjbB0gVlqn-q5LMJbGIsqOrzru4yowQz67dz2yc"", ""'JUA'!D3:D139""),0))"),834)</f>
        <v>834</v>
      </c>
      <c r="Z87" s="262">
        <f ca="1">IFERROR(__xludf.DUMMYFUNCTION("INDEX(IMPORTRANGE(""1y0FWgjbB0gVlqn-q5LMJbGIsqOrzru4yowQz67dz2yc"", ""'JUA'!BI3:BI139""),MATCH(D87,IMPORTRANGE(""1y0FWgjbB0gVlqn-q5LMJbGIsqOrzru4yowQz67dz2yc"", ""'JUA'!D3:D139""),0))"),466)</f>
        <v>466</v>
      </c>
      <c r="AA87" s="156"/>
      <c r="AB87" s="156"/>
      <c r="AC87" s="156"/>
      <c r="AD87" s="264">
        <v>0.05</v>
      </c>
    </row>
    <row r="88" spans="1:30">
      <c r="A88" s="155" t="s">
        <v>243</v>
      </c>
      <c r="B88" s="155" t="s">
        <v>244</v>
      </c>
      <c r="C88" s="156" t="s">
        <v>36</v>
      </c>
      <c r="D88" s="155" t="s">
        <v>338</v>
      </c>
      <c r="E88" s="155" t="s">
        <v>38</v>
      </c>
      <c r="F88" s="21" t="s">
        <v>246</v>
      </c>
      <c r="G88" s="22" t="s">
        <v>56</v>
      </c>
      <c r="H88" s="22" t="s">
        <v>57</v>
      </c>
      <c r="I88" s="22" t="s">
        <v>58</v>
      </c>
      <c r="J88" s="22" t="s">
        <v>59</v>
      </c>
      <c r="K88" s="22" t="s">
        <v>130</v>
      </c>
      <c r="L88" s="22" t="s">
        <v>61</v>
      </c>
      <c r="M88" s="22" t="s">
        <v>131</v>
      </c>
      <c r="N88" s="22" t="s">
        <v>63</v>
      </c>
      <c r="O88" s="22" t="s">
        <v>132</v>
      </c>
      <c r="P88" s="262">
        <v>0</v>
      </c>
      <c r="Q88" s="262">
        <v>0</v>
      </c>
      <c r="R88" s="405">
        <v>50</v>
      </c>
      <c r="S88" s="405">
        <v>35</v>
      </c>
      <c r="T88" s="405">
        <v>61</v>
      </c>
      <c r="U88" s="405">
        <v>45</v>
      </c>
      <c r="V88" s="397">
        <v>72</v>
      </c>
      <c r="W88" s="406">
        <v>158</v>
      </c>
      <c r="X88" s="22">
        <v>0</v>
      </c>
      <c r="Y88" s="262">
        <f ca="1">IFERROR(__xludf.DUMMYFUNCTION("INDEX(IMPORTRANGE(""1y0FWgjbB0gVlqn-q5LMJbGIsqOrzru4yowQz67dz2yc"", ""'JUA'!BH3:BH139""),MATCH(D88,IMPORTRANGE(""1y0FWgjbB0gVlqn-q5LMJbGIsqOrzru4yowQz67dz2yc"", ""'JUA'!D3:D139""),0))"),1796)</f>
        <v>1796</v>
      </c>
      <c r="Z88" s="262">
        <f ca="1">IFERROR(__xludf.DUMMYFUNCTION("INDEX(IMPORTRANGE(""1y0FWgjbB0gVlqn-q5LMJbGIsqOrzru4yowQz67dz2yc"", ""'JUA'!BI3:BI139""),MATCH(D88,IMPORTRANGE(""1y0FWgjbB0gVlqn-q5LMJbGIsqOrzru4yowQz67dz2yc"", ""'JUA'!D3:D139""),0))"),1530)</f>
        <v>1530</v>
      </c>
      <c r="AA88" s="156"/>
      <c r="AB88" s="156"/>
      <c r="AC88" s="156"/>
      <c r="AD88" s="156"/>
    </row>
    <row r="89" spans="1:30">
      <c r="A89" s="155" t="s">
        <v>243</v>
      </c>
      <c r="B89" s="155" t="s">
        <v>247</v>
      </c>
      <c r="C89" s="156" t="s">
        <v>36</v>
      </c>
      <c r="D89" s="155" t="s">
        <v>248</v>
      </c>
      <c r="E89" s="155" t="s">
        <v>38</v>
      </c>
      <c r="F89" s="21" t="s">
        <v>249</v>
      </c>
      <c r="G89" s="10">
        <v>44469</v>
      </c>
      <c r="H89" s="10">
        <v>44469</v>
      </c>
      <c r="I89" s="10" t="s">
        <v>254</v>
      </c>
      <c r="J89" s="10">
        <v>44713</v>
      </c>
      <c r="K89" s="10" t="s">
        <v>255</v>
      </c>
      <c r="L89" s="10">
        <v>45078</v>
      </c>
      <c r="M89" s="10" t="s">
        <v>256</v>
      </c>
      <c r="N89" s="10">
        <v>45444</v>
      </c>
      <c r="O89" s="10">
        <v>45444</v>
      </c>
      <c r="P89" s="262">
        <v>0</v>
      </c>
      <c r="Q89" s="262">
        <v>0</v>
      </c>
      <c r="R89" s="397">
        <v>5</v>
      </c>
      <c r="S89" s="397">
        <v>11</v>
      </c>
      <c r="T89" s="397">
        <v>15</v>
      </c>
      <c r="U89" s="397">
        <v>19</v>
      </c>
      <c r="V89" s="397">
        <v>22</v>
      </c>
      <c r="W89" s="406">
        <v>22</v>
      </c>
      <c r="X89" s="22">
        <v>0</v>
      </c>
      <c r="Y89" s="262">
        <f ca="1">IFERROR(__xludf.DUMMYFUNCTION("INDEX(IMPORTRANGE(""1y0FWgjbB0gVlqn-q5LMJbGIsqOrzru4yowQz67dz2yc"", ""'JUA'!BH3:BH139""),MATCH(D89,IMPORTRANGE(""1y0FWgjbB0gVlqn-q5LMJbGIsqOrzru4yowQz67dz2yc"", ""'JUA'!D3:D139""),0))"),0)</f>
        <v>0</v>
      </c>
      <c r="Z89" s="262">
        <f ca="1">IFERROR(__xludf.DUMMYFUNCTION("INDEX(IMPORTRANGE(""1y0FWgjbB0gVlqn-q5LMJbGIsqOrzru4yowQz67dz2yc"", ""'JUA'!BI3:BI139""),MATCH(D89,IMPORTRANGE(""1y0FWgjbB0gVlqn-q5LMJbGIsqOrzru4yowQz67dz2yc"", ""'JUA'!D3:D139""),0))"),0)</f>
        <v>0</v>
      </c>
      <c r="AA89" s="156"/>
      <c r="AB89" s="156"/>
      <c r="AC89" s="156"/>
      <c r="AD89" s="156"/>
    </row>
    <row r="90" spans="1:30">
      <c r="A90" s="155" t="s">
        <v>243</v>
      </c>
      <c r="B90" s="155" t="s">
        <v>250</v>
      </c>
      <c r="C90" s="156" t="s">
        <v>36</v>
      </c>
      <c r="D90" s="155" t="s">
        <v>251</v>
      </c>
      <c r="E90" s="155" t="s">
        <v>252</v>
      </c>
      <c r="F90" s="21" t="s">
        <v>253</v>
      </c>
      <c r="G90" s="10">
        <v>44469</v>
      </c>
      <c r="H90" s="10">
        <v>44469</v>
      </c>
      <c r="I90" s="10">
        <v>44651</v>
      </c>
      <c r="J90" s="10">
        <v>44834</v>
      </c>
      <c r="K90" s="10">
        <v>45016</v>
      </c>
      <c r="L90" s="10">
        <v>45199</v>
      </c>
      <c r="M90" s="10">
        <v>45382</v>
      </c>
      <c r="N90" s="10">
        <v>45565</v>
      </c>
      <c r="O90" s="10">
        <v>45565</v>
      </c>
      <c r="P90" s="262">
        <v>86.3</v>
      </c>
      <c r="Q90" s="262">
        <v>86.3</v>
      </c>
      <c r="R90" s="397">
        <v>100</v>
      </c>
      <c r="S90" s="397">
        <v>100</v>
      </c>
      <c r="T90" s="397">
        <v>100</v>
      </c>
      <c r="U90" s="397">
        <v>100</v>
      </c>
      <c r="V90" s="397">
        <v>100</v>
      </c>
      <c r="W90" s="406">
        <v>100</v>
      </c>
      <c r="X90" s="22">
        <v>98.8</v>
      </c>
      <c r="Y90" s="266">
        <f ca="1">IFERROR(__xludf.DUMMYFUNCTION("INDEX(IMPORTRANGE(""1y0FWgjbB0gVlqn-q5LMJbGIsqOrzru4yowQz67dz2yc"", ""'JUA'!BH3:BH139""),MATCH(D90,IMPORTRANGE(""1y0FWgjbB0gVlqn-q5LMJbGIsqOrzru4yowQz67dz2yc"", ""'JUA'!D3:D139""),0))"),93.71)</f>
        <v>93.71</v>
      </c>
      <c r="Z90" s="266">
        <f ca="1">IFERROR(__xludf.DUMMYFUNCTION("INDEX(IMPORTRANGE(""1y0FWgjbB0gVlqn-q5LMJbGIsqOrzru4yowQz67dz2yc"", ""'JUA'!BI3:BI139""),MATCH(D90,IMPORTRANGE(""1y0FWgjbB0gVlqn-q5LMJbGIsqOrzru4yowQz67dz2yc"", ""'JUA'!D3:D139""),0))"),97.53)</f>
        <v>97.53</v>
      </c>
      <c r="AA90" s="156"/>
      <c r="AB90" s="156"/>
      <c r="AC90" s="156"/>
      <c r="AD90" s="156"/>
    </row>
    <row r="91" spans="1:30">
      <c r="A91" s="155" t="s">
        <v>243</v>
      </c>
      <c r="B91" s="155" t="s">
        <v>257</v>
      </c>
      <c r="C91" s="156" t="s">
        <v>36</v>
      </c>
      <c r="D91" s="155" t="s">
        <v>258</v>
      </c>
      <c r="E91" s="155" t="s">
        <v>38</v>
      </c>
      <c r="F91" s="21" t="s">
        <v>259</v>
      </c>
      <c r="G91" s="10">
        <v>44469</v>
      </c>
      <c r="H91" s="324"/>
      <c r="I91" s="10">
        <v>44651</v>
      </c>
      <c r="J91" s="324"/>
      <c r="K91" s="10">
        <v>45016</v>
      </c>
      <c r="L91" s="324"/>
      <c r="M91" s="10">
        <v>45382</v>
      </c>
      <c r="N91" s="324"/>
      <c r="O91" s="10">
        <v>45565</v>
      </c>
      <c r="P91" s="262">
        <v>0</v>
      </c>
      <c r="Q91" s="262">
        <v>0</v>
      </c>
      <c r="R91" s="397">
        <v>4</v>
      </c>
      <c r="S91" s="397">
        <v>4</v>
      </c>
      <c r="T91" s="397">
        <v>4</v>
      </c>
      <c r="U91" s="397">
        <v>4</v>
      </c>
      <c r="V91" s="397">
        <v>4</v>
      </c>
      <c r="W91" s="397">
        <v>4</v>
      </c>
      <c r="X91" s="22">
        <v>0</v>
      </c>
      <c r="Y91" s="22">
        <f ca="1">IFERROR(__xludf.DUMMYFUNCTION("INDEX(IMPORTRANGE(""1y0FWgjbB0gVlqn-q5LMJbGIsqOrzru4yowQz67dz2yc"", ""'JUA'!BH3:BH139""),MATCH(D91,IMPORTRANGE(""1y0FWgjbB0gVlqn-q5LMJbGIsqOrzru4yowQz67dz2yc"", ""'JUA'!D3:D139""),0))"),0)</f>
        <v>0</v>
      </c>
      <c r="Z91" s="22">
        <f ca="1">IFERROR(__xludf.DUMMYFUNCTION("INDEX(IMPORTRANGE(""1y0FWgjbB0gVlqn-q5LMJbGIsqOrzru4yowQz67dz2yc"", ""'JUA'!BI3:BI139""),MATCH(D91,IMPORTRANGE(""1y0FWgjbB0gVlqn-q5LMJbGIsqOrzru4yowQz67dz2yc"", ""'JUA'!D3:D139""),0))"),0)</f>
        <v>0</v>
      </c>
      <c r="AA91" s="156"/>
      <c r="AB91" s="156"/>
      <c r="AC91" s="156"/>
      <c r="AD91" s="156"/>
    </row>
    <row r="92" spans="1:30">
      <c r="A92" s="155" t="s">
        <v>243</v>
      </c>
      <c r="B92" s="155" t="s">
        <v>260</v>
      </c>
      <c r="C92" s="156" t="s">
        <v>30</v>
      </c>
      <c r="D92" s="155" t="s">
        <v>261</v>
      </c>
      <c r="E92" s="155" t="s">
        <v>38</v>
      </c>
      <c r="F92" s="21" t="s">
        <v>262</v>
      </c>
      <c r="G92" s="10">
        <v>44469</v>
      </c>
      <c r="H92" s="290"/>
      <c r="I92" s="10">
        <v>44651</v>
      </c>
      <c r="J92" s="290"/>
      <c r="K92" s="10">
        <v>45016</v>
      </c>
      <c r="L92" s="290"/>
      <c r="M92" s="10">
        <v>45382</v>
      </c>
      <c r="N92" s="290"/>
      <c r="O92" s="10">
        <v>45565</v>
      </c>
      <c r="P92" s="387"/>
      <c r="Q92" s="387"/>
      <c r="R92" s="290"/>
      <c r="S92" s="290"/>
      <c r="T92" s="290"/>
      <c r="U92" s="290"/>
      <c r="V92" s="290"/>
      <c r="W92" s="290"/>
      <c r="X92" s="22">
        <v>4</v>
      </c>
      <c r="Y92" s="22">
        <f ca="1">IFERROR(__xludf.DUMMYFUNCTION("INDEX(IMPORTRANGE(""1y0FWgjbB0gVlqn-q5LMJbGIsqOrzru4yowQz67dz2yc"", ""'JUA'!BH3:BH139""),MATCH(D92,IMPORTRANGE(""1y0FWgjbB0gVlqn-q5LMJbGIsqOrzru4yowQz67dz2yc"", ""'JUA'!D3:D139""),0))"),4)</f>
        <v>4</v>
      </c>
      <c r="Z92" s="22">
        <f ca="1">IFERROR(__xludf.DUMMYFUNCTION("INDEX(IMPORTRANGE(""1y0FWgjbB0gVlqn-q5LMJbGIsqOrzru4yowQz67dz2yc"", ""'JUA'!BI3:BI139""),MATCH(D92,IMPORTRANGE(""1y0FWgjbB0gVlqn-q5LMJbGIsqOrzru4yowQz67dz2yc"", ""'JUA'!D3:D139""),0))"),9)</f>
        <v>9</v>
      </c>
      <c r="AA92" s="156"/>
      <c r="AB92" s="156"/>
      <c r="AC92" s="156"/>
      <c r="AD92" s="156"/>
    </row>
    <row r="93" spans="1:30">
      <c r="A93" s="155" t="s">
        <v>243</v>
      </c>
      <c r="B93" s="155" t="s">
        <v>260</v>
      </c>
      <c r="C93" s="156" t="s">
        <v>30</v>
      </c>
      <c r="D93" s="155" t="s">
        <v>263</v>
      </c>
      <c r="E93" s="155" t="s">
        <v>38</v>
      </c>
      <c r="F93" s="21" t="s">
        <v>264</v>
      </c>
      <c r="G93" s="10">
        <v>44469</v>
      </c>
      <c r="H93" s="290"/>
      <c r="I93" s="10">
        <v>44651</v>
      </c>
      <c r="J93" s="290"/>
      <c r="K93" s="10">
        <v>45016</v>
      </c>
      <c r="L93" s="290"/>
      <c r="M93" s="10">
        <v>45382</v>
      </c>
      <c r="N93" s="290"/>
      <c r="O93" s="10">
        <v>45565</v>
      </c>
      <c r="P93" s="387"/>
      <c r="Q93" s="387"/>
      <c r="R93" s="290"/>
      <c r="S93" s="290"/>
      <c r="T93" s="290"/>
      <c r="U93" s="290"/>
      <c r="V93" s="290"/>
      <c r="W93" s="290"/>
      <c r="X93" s="22">
        <v>14</v>
      </c>
      <c r="Y93" s="22">
        <f ca="1">IFERROR(__xludf.DUMMYFUNCTION("INDEX(IMPORTRANGE(""1y0FWgjbB0gVlqn-q5LMJbGIsqOrzru4yowQz67dz2yc"", ""'JUA'!BH3:BH139""),MATCH(D93,IMPORTRANGE(""1y0FWgjbB0gVlqn-q5LMJbGIsqOrzru4yowQz67dz2yc"", ""'JUA'!D3:D139""),0))"),12)</f>
        <v>12</v>
      </c>
      <c r="Z93" s="22">
        <f ca="1">IFERROR(__xludf.DUMMYFUNCTION("INDEX(IMPORTRANGE(""1y0FWgjbB0gVlqn-q5LMJbGIsqOrzru4yowQz67dz2yc"", ""'JUA'!BI3:BI139""),MATCH(D93,IMPORTRANGE(""1y0FWgjbB0gVlqn-q5LMJbGIsqOrzru4yowQz67dz2yc"", ""'JUA'!D3:D139""),0))"),14)</f>
        <v>14</v>
      </c>
      <c r="AA93" s="156"/>
      <c r="AB93" s="156"/>
      <c r="AC93" s="156"/>
      <c r="AD93" s="156"/>
    </row>
    <row r="94" spans="1:30">
      <c r="A94" s="155" t="s">
        <v>243</v>
      </c>
      <c r="B94" s="155" t="s">
        <v>260</v>
      </c>
      <c r="C94" s="156" t="s">
        <v>30</v>
      </c>
      <c r="D94" s="155" t="s">
        <v>265</v>
      </c>
      <c r="E94" s="155" t="s">
        <v>38</v>
      </c>
      <c r="F94" s="21" t="s">
        <v>266</v>
      </c>
      <c r="G94" s="10">
        <v>44469</v>
      </c>
      <c r="H94" s="290"/>
      <c r="I94" s="10">
        <v>44651</v>
      </c>
      <c r="J94" s="290"/>
      <c r="K94" s="10">
        <v>45016</v>
      </c>
      <c r="L94" s="290"/>
      <c r="M94" s="10">
        <v>45382</v>
      </c>
      <c r="N94" s="290"/>
      <c r="O94" s="10">
        <v>45565</v>
      </c>
      <c r="P94" s="387"/>
      <c r="Q94" s="387"/>
      <c r="R94" s="290"/>
      <c r="S94" s="290"/>
      <c r="T94" s="290"/>
      <c r="U94" s="290"/>
      <c r="V94" s="290"/>
      <c r="W94" s="290"/>
      <c r="X94" s="22">
        <v>2</v>
      </c>
      <c r="Y94" s="22">
        <f ca="1">IFERROR(__xludf.DUMMYFUNCTION("INDEX(IMPORTRANGE(""1y0FWgjbB0gVlqn-q5LMJbGIsqOrzru4yowQz67dz2yc"", ""'JUA'!BH3:BH139""),MATCH(D94,IMPORTRANGE(""1y0FWgjbB0gVlqn-q5LMJbGIsqOrzru4yowQz67dz2yc"", ""'JUA'!D3:D139""),0))"),2)</f>
        <v>2</v>
      </c>
      <c r="Z94" s="22">
        <f ca="1">IFERROR(__xludf.DUMMYFUNCTION("INDEX(IMPORTRANGE(""1y0FWgjbB0gVlqn-q5LMJbGIsqOrzru4yowQz67dz2yc"", ""'JUA'!BI3:BI139""),MATCH(D94,IMPORTRANGE(""1y0FWgjbB0gVlqn-q5LMJbGIsqOrzru4yowQz67dz2yc"", ""'JUA'!D3:D139""),0))"),6)</f>
        <v>6</v>
      </c>
      <c r="AA94" s="156"/>
      <c r="AB94" s="156"/>
      <c r="AC94" s="156"/>
      <c r="AD94" s="156"/>
    </row>
    <row r="95" spans="1:30">
      <c r="A95" s="155" t="s">
        <v>243</v>
      </c>
      <c r="B95" s="155" t="s">
        <v>260</v>
      </c>
      <c r="C95" s="156" t="s">
        <v>30</v>
      </c>
      <c r="D95" s="155" t="s">
        <v>267</v>
      </c>
      <c r="E95" s="155" t="s">
        <v>38</v>
      </c>
      <c r="F95" s="21" t="s">
        <v>268</v>
      </c>
      <c r="G95" s="10">
        <v>44469</v>
      </c>
      <c r="H95" s="290"/>
      <c r="I95" s="10">
        <v>44651</v>
      </c>
      <c r="J95" s="290"/>
      <c r="K95" s="10">
        <v>45016</v>
      </c>
      <c r="L95" s="290"/>
      <c r="M95" s="10">
        <v>45382</v>
      </c>
      <c r="N95" s="290"/>
      <c r="O95" s="10">
        <v>45565</v>
      </c>
      <c r="P95" s="387"/>
      <c r="Q95" s="387"/>
      <c r="R95" s="290"/>
      <c r="S95" s="290"/>
      <c r="T95" s="290"/>
      <c r="U95" s="290"/>
      <c r="V95" s="290"/>
      <c r="W95" s="290"/>
      <c r="X95" s="22">
        <v>8</v>
      </c>
      <c r="Y95" s="22">
        <f ca="1">IFERROR(__xludf.DUMMYFUNCTION("INDEX(IMPORTRANGE(""1y0FWgjbB0gVlqn-q5LMJbGIsqOrzru4yowQz67dz2yc"", ""'JUA'!BH3:BH139""),MATCH(D95,IMPORTRANGE(""1y0FWgjbB0gVlqn-q5LMJbGIsqOrzru4yowQz67dz2yc"", ""'JUA'!D3:D139""),0))"),8)</f>
        <v>8</v>
      </c>
      <c r="Z95" s="22">
        <f ca="1">IFERROR(__xludf.DUMMYFUNCTION("INDEX(IMPORTRANGE(""1y0FWgjbB0gVlqn-q5LMJbGIsqOrzru4yowQz67dz2yc"", ""'JUA'!BI3:BI139""),MATCH(D95,IMPORTRANGE(""1y0FWgjbB0gVlqn-q5LMJbGIsqOrzru4yowQz67dz2yc"", ""'JUA'!D3:D139""),0))"),8)</f>
        <v>8</v>
      </c>
      <c r="AA95" s="156"/>
      <c r="AB95" s="156"/>
      <c r="AC95" s="156"/>
      <c r="AD95" s="156"/>
    </row>
    <row r="96" spans="1:30">
      <c r="A96" s="155" t="s">
        <v>243</v>
      </c>
      <c r="B96" s="155" t="s">
        <v>260</v>
      </c>
      <c r="C96" s="156" t="s">
        <v>30</v>
      </c>
      <c r="D96" s="155" t="s">
        <v>269</v>
      </c>
      <c r="E96" s="155" t="s">
        <v>38</v>
      </c>
      <c r="F96" s="21" t="s">
        <v>270</v>
      </c>
      <c r="G96" s="10">
        <v>44469</v>
      </c>
      <c r="H96" s="290"/>
      <c r="I96" s="10">
        <v>44651</v>
      </c>
      <c r="J96" s="290"/>
      <c r="K96" s="10">
        <v>45016</v>
      </c>
      <c r="L96" s="290"/>
      <c r="M96" s="10">
        <v>45382</v>
      </c>
      <c r="N96" s="290"/>
      <c r="O96" s="10">
        <v>45565</v>
      </c>
      <c r="P96" s="387"/>
      <c r="Q96" s="387"/>
      <c r="R96" s="290"/>
      <c r="S96" s="290"/>
      <c r="T96" s="290"/>
      <c r="U96" s="290"/>
      <c r="V96" s="290"/>
      <c r="W96" s="290"/>
      <c r="X96" s="22">
        <v>34</v>
      </c>
      <c r="Y96" s="22">
        <f ca="1">IFERROR(__xludf.DUMMYFUNCTION("INDEX(IMPORTRANGE(""1y0FWgjbB0gVlqn-q5LMJbGIsqOrzru4yowQz67dz2yc"", ""'JUA'!BH3:BH139""),MATCH(D96,IMPORTRANGE(""1y0FWgjbB0gVlqn-q5LMJbGIsqOrzru4yowQz67dz2yc"", ""'JUA'!D3:D139""),0))"),35)</f>
        <v>35</v>
      </c>
      <c r="Z96" s="22">
        <f ca="1">IFERROR(__xludf.DUMMYFUNCTION("INDEX(IMPORTRANGE(""1y0FWgjbB0gVlqn-q5LMJbGIsqOrzru4yowQz67dz2yc"", ""'JUA'!BI3:BI139""),MATCH(D96,IMPORTRANGE(""1y0FWgjbB0gVlqn-q5LMJbGIsqOrzru4yowQz67dz2yc"", ""'JUA'!D3:D139""),0))"),50)</f>
        <v>50</v>
      </c>
      <c r="AA96" s="156"/>
      <c r="AB96" s="156"/>
      <c r="AC96" s="156"/>
      <c r="AD96" s="156"/>
    </row>
    <row r="97" spans="1:30">
      <c r="A97" s="155" t="s">
        <v>243</v>
      </c>
      <c r="B97" s="155" t="s">
        <v>260</v>
      </c>
      <c r="C97" s="156" t="s">
        <v>30</v>
      </c>
      <c r="D97" s="155" t="s">
        <v>271</v>
      </c>
      <c r="E97" s="155" t="s">
        <v>38</v>
      </c>
      <c r="F97" s="21" t="s">
        <v>272</v>
      </c>
      <c r="G97" s="10">
        <v>44469</v>
      </c>
      <c r="H97" s="290"/>
      <c r="I97" s="10">
        <v>44651</v>
      </c>
      <c r="J97" s="290"/>
      <c r="K97" s="10">
        <v>45016</v>
      </c>
      <c r="L97" s="290"/>
      <c r="M97" s="10">
        <v>45382</v>
      </c>
      <c r="N97" s="290"/>
      <c r="O97" s="10">
        <v>45565</v>
      </c>
      <c r="P97" s="387"/>
      <c r="Q97" s="387"/>
      <c r="R97" s="290"/>
      <c r="S97" s="290"/>
      <c r="T97" s="290"/>
      <c r="U97" s="290"/>
      <c r="V97" s="290"/>
      <c r="W97" s="390"/>
      <c r="X97" s="22">
        <v>81</v>
      </c>
      <c r="Y97" s="22">
        <f ca="1">IFERROR(__xludf.DUMMYFUNCTION("INDEX(IMPORTRANGE(""1y0FWgjbB0gVlqn-q5LMJbGIsqOrzru4yowQz67dz2yc"", ""'JUA'!BH3:BH139""),MATCH(D97,IMPORTRANGE(""1y0FWgjbB0gVlqn-q5LMJbGIsqOrzru4yowQz67dz2yc"", ""'JUA'!D3:D139""),0))"),85)</f>
        <v>85</v>
      </c>
      <c r="Z97" s="22">
        <f ca="1">IFERROR(__xludf.DUMMYFUNCTION("INDEX(IMPORTRANGE(""1y0FWgjbB0gVlqn-q5LMJbGIsqOrzru4yowQz67dz2yc"", ""'JUA'!BI3:BI139""),MATCH(D97,IMPORTRANGE(""1y0FWgjbB0gVlqn-q5LMJbGIsqOrzru4yowQz67dz2yc"", ""'JUA'!D3:D139""),0))"),84)</f>
        <v>84</v>
      </c>
      <c r="AA97" s="156"/>
      <c r="AB97" s="156"/>
      <c r="AC97" s="156"/>
      <c r="AD97" s="156"/>
    </row>
    <row r="98" spans="1:30">
      <c r="A98" s="155" t="s">
        <v>243</v>
      </c>
      <c r="B98" s="155" t="s">
        <v>260</v>
      </c>
      <c r="C98" s="156" t="s">
        <v>36</v>
      </c>
      <c r="D98" s="155" t="s">
        <v>273</v>
      </c>
      <c r="E98" s="155" t="s">
        <v>38</v>
      </c>
      <c r="F98" s="21" t="s">
        <v>274</v>
      </c>
      <c r="G98" s="159" t="s">
        <v>213</v>
      </c>
      <c r="H98" s="156" t="s">
        <v>214</v>
      </c>
      <c r="I98" s="159" t="s">
        <v>215</v>
      </c>
      <c r="J98" s="290"/>
      <c r="K98" s="159" t="s">
        <v>216</v>
      </c>
      <c r="L98" s="290"/>
      <c r="M98" s="159" t="s">
        <v>217</v>
      </c>
      <c r="N98" s="156" t="s">
        <v>218</v>
      </c>
      <c r="O98" s="391" t="s">
        <v>218</v>
      </c>
      <c r="P98" s="387"/>
      <c r="Q98" s="387"/>
      <c r="R98" s="412"/>
      <c r="S98" s="413">
        <v>0.5</v>
      </c>
      <c r="T98" s="413"/>
      <c r="U98" s="413">
        <v>0.5</v>
      </c>
      <c r="V98" s="413">
        <v>0.5</v>
      </c>
      <c r="W98" s="413">
        <v>0.5</v>
      </c>
      <c r="X98" s="25">
        <f>SUM(X92,X94,X96)/SUM(X93,X95,X97)</f>
        <v>0.38834951456310679</v>
      </c>
      <c r="Y98" s="25">
        <f ca="1">IFERROR(__xludf.DUMMYFUNCTION("INDEX(IMPORTRANGE(""1y0FWgjbB0gVlqn-q5LMJbGIsqOrzru4yowQz67dz2yc"", ""'JUA'!BH3:BH139""),MATCH(D98,IMPORTRANGE(""1y0FWgjbB0gVlqn-q5LMJbGIsqOrzru4yowQz67dz2yc"", ""'JUA'!D3:D139""),0))"),0.39047619047619)</f>
        <v>0.39047619047618998</v>
      </c>
      <c r="Z98" s="25">
        <f ca="1">IFERROR(__xludf.DUMMYFUNCTION("INDEX(IMPORTRANGE(""1y0FWgjbB0gVlqn-q5LMJbGIsqOrzru4yowQz67dz2yc"", ""'JUA'!BI3:BI139""),MATCH(D98,IMPORTRANGE(""1y0FWgjbB0gVlqn-q5LMJbGIsqOrzru4yowQz67dz2yc"", ""'JUA'!D3:D139""),0))"),0.613207547169811)</f>
        <v>0.61320754716981096</v>
      </c>
      <c r="AA98" s="156"/>
      <c r="AB98" s="156"/>
      <c r="AC98" s="156"/>
      <c r="AD98" s="156"/>
    </row>
    <row r="99" spans="1:30">
      <c r="A99" s="155" t="s">
        <v>275</v>
      </c>
      <c r="B99" s="155" t="s">
        <v>276</v>
      </c>
      <c r="C99" s="156" t="s">
        <v>30</v>
      </c>
      <c r="D99" s="155" t="s">
        <v>277</v>
      </c>
      <c r="E99" s="155" t="s">
        <v>278</v>
      </c>
      <c r="F99" s="21" t="s">
        <v>279</v>
      </c>
      <c r="G99" s="155" t="s">
        <v>213</v>
      </c>
      <c r="H99" s="156" t="s">
        <v>214</v>
      </c>
      <c r="I99" s="155" t="s">
        <v>215</v>
      </c>
      <c r="J99" s="290"/>
      <c r="K99" s="155" t="s">
        <v>216</v>
      </c>
      <c r="L99" s="290"/>
      <c r="M99" s="155" t="s">
        <v>217</v>
      </c>
      <c r="N99" s="156" t="s">
        <v>218</v>
      </c>
      <c r="O99" s="156" t="s">
        <v>218</v>
      </c>
      <c r="P99" s="375">
        <v>281374098.17000002</v>
      </c>
      <c r="Q99" s="375">
        <v>281374098.17000002</v>
      </c>
      <c r="R99" s="290"/>
      <c r="S99" s="290"/>
      <c r="T99" s="290"/>
      <c r="U99" s="290"/>
      <c r="V99" s="290"/>
      <c r="W99" s="392"/>
      <c r="X99" s="375">
        <v>281374098.17000002</v>
      </c>
      <c r="Y99" s="392" t="str">
        <f ca="1">IFERROR(__xludf.DUMMYFUNCTION("INDEX(IMPORTRANGE(""1y0FWgjbB0gVlqn-q5LMJbGIsqOrzru4yowQz67dz2yc"", ""'JUA'!BH3:BH139""),MATCH(D99,IMPORTRANGE(""1y0FWgjbB0gVlqn-q5LMJbGIsqOrzru4yowQz67dz2yc"", ""'JUA'!D3:D139""),0))"),"")</f>
        <v/>
      </c>
      <c r="Z99" s="375">
        <f ca="1">IFERROR(__xludf.DUMMYFUNCTION("INDEX(IMPORTRANGE(""1y0FWgjbB0gVlqn-q5LMJbGIsqOrzru4yowQz67dz2yc"", ""'JUA'!BI3:BI139""),MATCH(D99,IMPORTRANGE(""1y0FWgjbB0gVlqn-q5LMJbGIsqOrzru4yowQz67dz2yc"", ""'JUA'!D3:D139""),0))"),291784292.42)</f>
        <v>291784292.42000002</v>
      </c>
      <c r="AA99" s="156"/>
      <c r="AB99" s="156"/>
      <c r="AC99" s="156"/>
      <c r="AD99" s="156"/>
    </row>
    <row r="100" spans="1:30">
      <c r="A100" s="155" t="s">
        <v>275</v>
      </c>
      <c r="B100" s="155" t="s">
        <v>276</v>
      </c>
      <c r="C100" s="156" t="s">
        <v>30</v>
      </c>
      <c r="D100" s="155" t="s">
        <v>280</v>
      </c>
      <c r="E100" s="155" t="s">
        <v>278</v>
      </c>
      <c r="F100" s="21" t="s">
        <v>281</v>
      </c>
      <c r="G100" s="155" t="s">
        <v>213</v>
      </c>
      <c r="H100" s="156" t="s">
        <v>214</v>
      </c>
      <c r="I100" s="155" t="s">
        <v>215</v>
      </c>
      <c r="J100" s="290"/>
      <c r="K100" s="155" t="s">
        <v>216</v>
      </c>
      <c r="L100" s="290"/>
      <c r="M100" s="155" t="s">
        <v>217</v>
      </c>
      <c r="N100" s="156" t="s">
        <v>218</v>
      </c>
      <c r="O100" s="156" t="s">
        <v>218</v>
      </c>
      <c r="P100" s="375">
        <v>1935519370.6099999</v>
      </c>
      <c r="Q100" s="375">
        <v>1935519370.6099999</v>
      </c>
      <c r="R100" s="290"/>
      <c r="S100" s="290"/>
      <c r="T100" s="290"/>
      <c r="U100" s="290"/>
      <c r="V100" s="290"/>
      <c r="W100" s="392"/>
      <c r="X100" s="375">
        <v>1935519370.6099999</v>
      </c>
      <c r="Y100" s="392" t="str">
        <f ca="1">IFERROR(__xludf.DUMMYFUNCTION("INDEX(IMPORTRANGE(""1y0FWgjbB0gVlqn-q5LMJbGIsqOrzru4yowQz67dz2yc"", ""'JUA'!BH3:BH139""),MATCH(D100,IMPORTRANGE(""1y0FWgjbB0gVlqn-q5LMJbGIsqOrzru4yowQz67dz2yc"", ""'JUA'!D3:D139""),0))"),"")</f>
        <v/>
      </c>
      <c r="Z100" s="375">
        <f ca="1">IFERROR(__xludf.DUMMYFUNCTION("INDEX(IMPORTRANGE(""1y0FWgjbB0gVlqn-q5LMJbGIsqOrzru4yowQz67dz2yc"", ""'JUA'!BI3:BI139""),MATCH(D100,IMPORTRANGE(""1y0FWgjbB0gVlqn-q5LMJbGIsqOrzru4yowQz67dz2yc"", ""'JUA'!D3:D139""),0))"),1904889253.01)</f>
        <v>1904889253.01</v>
      </c>
      <c r="AA100" s="156"/>
      <c r="AB100" s="156"/>
      <c r="AC100" s="156"/>
      <c r="AD100" s="156"/>
    </row>
    <row r="101" spans="1:30">
      <c r="A101" s="155" t="s">
        <v>275</v>
      </c>
      <c r="B101" s="155" t="s">
        <v>276</v>
      </c>
      <c r="C101" s="156" t="s">
        <v>36</v>
      </c>
      <c r="D101" s="155" t="s">
        <v>282</v>
      </c>
      <c r="E101" s="155" t="s">
        <v>278</v>
      </c>
      <c r="F101" s="21" t="s">
        <v>283</v>
      </c>
      <c r="G101" s="155" t="s">
        <v>213</v>
      </c>
      <c r="H101" s="156" t="s">
        <v>214</v>
      </c>
      <c r="I101" s="155" t="s">
        <v>215</v>
      </c>
      <c r="J101" s="290"/>
      <c r="K101" s="155" t="s">
        <v>216</v>
      </c>
      <c r="L101" s="290"/>
      <c r="M101" s="155" t="s">
        <v>217</v>
      </c>
      <c r="N101" s="156" t="s">
        <v>218</v>
      </c>
      <c r="O101" s="156" t="s">
        <v>218</v>
      </c>
      <c r="P101" s="25">
        <f t="shared" ref="P101:Q101" si="17">P99/P100</f>
        <v>0.14537395101415179</v>
      </c>
      <c r="Q101" s="25">
        <f t="shared" si="17"/>
        <v>0.14537395101415179</v>
      </c>
      <c r="R101" s="397"/>
      <c r="S101" s="404">
        <v>0.3896</v>
      </c>
      <c r="T101" s="397"/>
      <c r="U101" s="414">
        <v>0.40010000000000001</v>
      </c>
      <c r="V101" s="414">
        <v>0.40810000000000002</v>
      </c>
      <c r="W101" s="414">
        <v>0.40789999999999998</v>
      </c>
      <c r="X101" s="25">
        <f>X99/X100</f>
        <v>0.14537395101415179</v>
      </c>
      <c r="Y101" s="390" t="str">
        <f ca="1">IFERROR(__xludf.DUMMYFUNCTION("INDEX(IMPORTRANGE(""1y0FWgjbB0gVlqn-q5LMJbGIsqOrzru4yowQz67dz2yc"", ""'JUA'!BH3:BH139""),MATCH(D101,IMPORTRANGE(""1y0FWgjbB0gVlqn-q5LMJbGIsqOrzru4yowQz67dz2yc"", ""'JUA'!D3:D139""),0))"),"")</f>
        <v/>
      </c>
      <c r="Z101" s="25">
        <f ca="1">IFERROR(__xludf.DUMMYFUNCTION("INDEX(IMPORTRANGE(""1y0FWgjbB0gVlqn-q5LMJbGIsqOrzru4yowQz67dz2yc"", ""'JUA'!BI3:BI139""),MATCH(D101,IMPORTRANGE(""1y0FWgjbB0gVlqn-q5LMJbGIsqOrzru4yowQz67dz2yc"", ""'JUA'!D3:D139""),0))"),0.15317651247123)</f>
        <v>0.15317651247122999</v>
      </c>
      <c r="AA101" s="156"/>
      <c r="AB101" s="156"/>
      <c r="AC101" s="156"/>
      <c r="AD101" s="156"/>
    </row>
    <row r="102" spans="1:30">
      <c r="A102" s="155" t="s">
        <v>275</v>
      </c>
      <c r="B102" s="155" t="s">
        <v>284</v>
      </c>
      <c r="C102" s="156" t="s">
        <v>30</v>
      </c>
      <c r="D102" s="155" t="s">
        <v>285</v>
      </c>
      <c r="E102" s="155" t="s">
        <v>278</v>
      </c>
      <c r="F102" s="21" t="s">
        <v>286</v>
      </c>
      <c r="G102" s="155" t="s">
        <v>213</v>
      </c>
      <c r="H102" s="156" t="s">
        <v>214</v>
      </c>
      <c r="I102" s="155" t="s">
        <v>215</v>
      </c>
      <c r="J102" s="290"/>
      <c r="K102" s="155" t="s">
        <v>216</v>
      </c>
      <c r="L102" s="290"/>
      <c r="M102" s="155" t="s">
        <v>217</v>
      </c>
      <c r="N102" s="156" t="s">
        <v>218</v>
      </c>
      <c r="O102" s="156" t="s">
        <v>218</v>
      </c>
      <c r="P102" s="375">
        <v>1612362381</v>
      </c>
      <c r="Q102" s="375">
        <v>1612362381</v>
      </c>
      <c r="R102" s="290"/>
      <c r="S102" s="290"/>
      <c r="T102" s="290"/>
      <c r="U102" s="290"/>
      <c r="V102" s="290"/>
      <c r="W102" s="392"/>
      <c r="X102" s="375">
        <v>1612362381</v>
      </c>
      <c r="Y102" s="392" t="str">
        <f ca="1">IFERROR(__xludf.DUMMYFUNCTION("INDEX(IMPORTRANGE(""1y0FWgjbB0gVlqn-q5LMJbGIsqOrzru4yowQz67dz2yc"", ""'JUA'!BH3:BH139""),MATCH(D102,IMPORTRANGE(""1y0FWgjbB0gVlqn-q5LMJbGIsqOrzru4yowQz67dz2yc"", ""'JUA'!D3:D139""),0))"),"")</f>
        <v/>
      </c>
      <c r="Z102" s="375">
        <f ca="1">IFERROR(__xludf.DUMMYFUNCTION("INDEX(IMPORTRANGE(""1y0FWgjbB0gVlqn-q5LMJbGIsqOrzru4yowQz67dz2yc"", ""'JUA'!BI3:BI139""),MATCH(D102,IMPORTRANGE(""1y0FWgjbB0gVlqn-q5LMJbGIsqOrzru4yowQz67dz2yc"", ""'JUA'!D3:D139""),0))"),1572696639.48)</f>
        <v>1572696639.48</v>
      </c>
      <c r="AA102" s="156"/>
      <c r="AB102" s="156"/>
      <c r="AC102" s="156"/>
      <c r="AD102" s="156"/>
    </row>
    <row r="103" spans="1:30">
      <c r="A103" s="155" t="s">
        <v>275</v>
      </c>
      <c r="B103" s="155" t="s">
        <v>276</v>
      </c>
      <c r="C103" s="156" t="s">
        <v>36</v>
      </c>
      <c r="D103" s="155" t="s">
        <v>287</v>
      </c>
      <c r="E103" s="155" t="s">
        <v>278</v>
      </c>
      <c r="F103" s="21" t="s">
        <v>288</v>
      </c>
      <c r="G103" s="155" t="s">
        <v>254</v>
      </c>
      <c r="H103" s="155" t="s">
        <v>254</v>
      </c>
      <c r="I103" s="155" t="s">
        <v>254</v>
      </c>
      <c r="J103" s="290"/>
      <c r="K103" s="155" t="s">
        <v>255</v>
      </c>
      <c r="L103" s="290"/>
      <c r="M103" s="155" t="s">
        <v>256</v>
      </c>
      <c r="N103" s="273">
        <v>45536</v>
      </c>
      <c r="O103" s="156" t="s">
        <v>218</v>
      </c>
      <c r="P103" s="25">
        <f t="shared" ref="P103:Q103" si="18">P99/P102</f>
        <v>0.17451045837195084</v>
      </c>
      <c r="Q103" s="25">
        <f t="shared" si="18"/>
        <v>0.17451045837195084</v>
      </c>
      <c r="R103" s="397"/>
      <c r="S103" s="404">
        <v>0.51829999999999998</v>
      </c>
      <c r="T103" s="397"/>
      <c r="U103" s="414">
        <v>0.52939999999999998</v>
      </c>
      <c r="V103" s="414">
        <v>0.53939999999999999</v>
      </c>
      <c r="W103" s="414">
        <v>0.53959999999999997</v>
      </c>
      <c r="X103" s="25">
        <f>X99/X102</f>
        <v>0.17451045837195084</v>
      </c>
      <c r="Y103" s="390" t="str">
        <f ca="1">IFERROR(__xludf.DUMMYFUNCTION("INDEX(IMPORTRANGE(""1y0FWgjbB0gVlqn-q5LMJbGIsqOrzru4yowQz67dz2yc"", ""'JUA'!BH3:BH139""),MATCH(D103,IMPORTRANGE(""1y0FWgjbB0gVlqn-q5LMJbGIsqOrzru4yowQz67dz2yc"", ""'JUA'!D3:D139""),0))"),"")</f>
        <v/>
      </c>
      <c r="Z103" s="25">
        <f ca="1">IFERROR(__xludf.DUMMYFUNCTION("INDEX(IMPORTRANGE(""1y0FWgjbB0gVlqn-q5LMJbGIsqOrzru4yowQz67dz2yc"", ""'JUA'!BI3:BI139""),MATCH(D103,IMPORTRANGE(""1y0FWgjbB0gVlqn-q5LMJbGIsqOrzru4yowQz67dz2yc"", ""'JUA'!D3:D139""),0))"),0.185531198512941)</f>
        <v>0.185531198512941</v>
      </c>
      <c r="AA103" s="156"/>
      <c r="AB103" s="156"/>
      <c r="AC103" s="156"/>
      <c r="AD103" s="156"/>
    </row>
    <row r="104" spans="1:30">
      <c r="A104" s="155" t="s">
        <v>275</v>
      </c>
      <c r="B104" s="155" t="s">
        <v>276</v>
      </c>
      <c r="C104" s="156" t="s">
        <v>30</v>
      </c>
      <c r="D104" s="155" t="s">
        <v>289</v>
      </c>
      <c r="E104" s="155" t="s">
        <v>38</v>
      </c>
      <c r="F104" s="21" t="s">
        <v>112</v>
      </c>
      <c r="G104" s="155" t="s">
        <v>213</v>
      </c>
      <c r="H104" s="156" t="s">
        <v>214</v>
      </c>
      <c r="I104" s="155" t="s">
        <v>215</v>
      </c>
      <c r="J104" s="290"/>
      <c r="K104" s="155" t="s">
        <v>216</v>
      </c>
      <c r="L104" s="290"/>
      <c r="M104" s="155" t="s">
        <v>217</v>
      </c>
      <c r="N104" s="156" t="s">
        <v>218</v>
      </c>
      <c r="O104" s="156" t="s">
        <v>218</v>
      </c>
      <c r="P104" s="262">
        <v>217568</v>
      </c>
      <c r="Q104" s="262">
        <v>217568</v>
      </c>
      <c r="R104" s="290"/>
      <c r="S104" s="290"/>
      <c r="T104" s="290"/>
      <c r="U104" s="290"/>
      <c r="V104" s="290"/>
      <c r="W104" s="377"/>
      <c r="X104" s="262">
        <v>217568</v>
      </c>
      <c r="Y104" s="377" t="str">
        <f ca="1">IFERROR(__xludf.DUMMYFUNCTION("INDEX(IMPORTRANGE(""1y0FWgjbB0gVlqn-q5LMJbGIsqOrzru4yowQz67dz2yc"", ""'JUA'!BH3:BH139""),MATCH(D104,IMPORTRANGE(""1y0FWgjbB0gVlqn-q5LMJbGIsqOrzru4yowQz67dz2yc"", ""'JUA'!D3:D139""),0))"),"")</f>
        <v/>
      </c>
      <c r="Z104" s="262">
        <f ca="1">IFERROR(__xludf.DUMMYFUNCTION("INDEX(IMPORTRANGE(""1y0FWgjbB0gVlqn-q5LMJbGIsqOrzru4yowQz67dz2yc"", ""'JUA'!BI3:BI139""),MATCH(D104,IMPORTRANGE(""1y0FWgjbB0gVlqn-q5LMJbGIsqOrzru4yowQz67dz2yc"", ""'JUA'!D3:D139""),0))"),227977)</f>
        <v>227977</v>
      </c>
      <c r="AA104" s="156"/>
      <c r="AB104" s="156"/>
      <c r="AC104" s="156"/>
      <c r="AD104" s="156"/>
    </row>
    <row r="105" spans="1:30">
      <c r="A105" s="155" t="s">
        <v>275</v>
      </c>
      <c r="B105" s="155" t="s">
        <v>276</v>
      </c>
      <c r="C105" s="156" t="s">
        <v>30</v>
      </c>
      <c r="D105" s="155" t="s">
        <v>290</v>
      </c>
      <c r="E105" s="155" t="s">
        <v>38</v>
      </c>
      <c r="F105" s="21" t="s">
        <v>291</v>
      </c>
      <c r="G105" s="155" t="s">
        <v>213</v>
      </c>
      <c r="H105" s="156" t="s">
        <v>214</v>
      </c>
      <c r="I105" s="155" t="s">
        <v>215</v>
      </c>
      <c r="J105" s="290"/>
      <c r="K105" s="155" t="s">
        <v>216</v>
      </c>
      <c r="L105" s="290"/>
      <c r="M105" s="155" t="s">
        <v>217</v>
      </c>
      <c r="N105" s="156" t="s">
        <v>218</v>
      </c>
      <c r="O105" s="156" t="s">
        <v>218</v>
      </c>
      <c r="P105" s="262">
        <v>3009</v>
      </c>
      <c r="Q105" s="262">
        <v>3009</v>
      </c>
      <c r="R105" s="156"/>
      <c r="S105" s="156"/>
      <c r="T105" s="156"/>
      <c r="U105" s="156"/>
      <c r="V105" s="156"/>
      <c r="W105" s="358"/>
      <c r="X105" s="262">
        <v>3009</v>
      </c>
      <c r="Y105" s="377" t="str">
        <f ca="1">IFERROR(__xludf.DUMMYFUNCTION("INDEX(IMPORTRANGE(""1y0FWgjbB0gVlqn-q5LMJbGIsqOrzru4yowQz67dz2yc"", ""'JUA'!BH3:BH139""),MATCH(D105,IMPORTRANGE(""1y0FWgjbB0gVlqn-q5LMJbGIsqOrzru4yowQz67dz2yc"", ""'JUA'!D3:D139""),0))"),"")</f>
        <v/>
      </c>
      <c r="Z105" s="262">
        <f ca="1">IFERROR(__xludf.DUMMYFUNCTION("INDEX(IMPORTRANGE(""1y0FWgjbB0gVlqn-q5LMJbGIsqOrzru4yowQz67dz2yc"", ""'JUA'!BI3:BI139""),MATCH(D105,IMPORTRANGE(""1y0FWgjbB0gVlqn-q5LMJbGIsqOrzru4yowQz67dz2yc"", ""'JUA'!D3:D139""),0))"),65668)</f>
        <v>65668</v>
      </c>
      <c r="AA105" s="156"/>
      <c r="AB105" s="156"/>
      <c r="AC105" s="156"/>
      <c r="AD105" s="156"/>
    </row>
    <row r="106" spans="1:30">
      <c r="A106" s="155" t="s">
        <v>275</v>
      </c>
      <c r="B106" s="155" t="s">
        <v>276</v>
      </c>
      <c r="C106" s="156" t="s">
        <v>36</v>
      </c>
      <c r="D106" s="155" t="s">
        <v>292</v>
      </c>
      <c r="E106" s="155" t="s">
        <v>38</v>
      </c>
      <c r="F106" s="21" t="s">
        <v>293</v>
      </c>
      <c r="G106" s="155" t="s">
        <v>213</v>
      </c>
      <c r="H106" s="156" t="s">
        <v>214</v>
      </c>
      <c r="I106" s="155" t="s">
        <v>215</v>
      </c>
      <c r="J106" s="290"/>
      <c r="K106" s="155" t="s">
        <v>216</v>
      </c>
      <c r="L106" s="290"/>
      <c r="M106" s="155" t="s">
        <v>217</v>
      </c>
      <c r="N106" s="156" t="s">
        <v>218</v>
      </c>
      <c r="O106" s="156" t="s">
        <v>218</v>
      </c>
      <c r="P106" s="25">
        <f t="shared" ref="P106:Q106" si="19">P105/P104</f>
        <v>1.3830158846889248E-2</v>
      </c>
      <c r="Q106" s="25">
        <f t="shared" si="19"/>
        <v>1.3830158846889248E-2</v>
      </c>
      <c r="R106" s="397"/>
      <c r="S106" s="399">
        <v>0.58089999999999997</v>
      </c>
      <c r="T106" s="397"/>
      <c r="U106" s="414">
        <v>0.58989999999999998</v>
      </c>
      <c r="V106" s="414">
        <v>0.58530000000000004</v>
      </c>
      <c r="W106" s="414">
        <v>0.58530000000000004</v>
      </c>
      <c r="X106" s="25">
        <f>X105/X104</f>
        <v>1.3830158846889248E-2</v>
      </c>
      <c r="Y106" s="390" t="str">
        <f ca="1">IFERROR(__xludf.DUMMYFUNCTION("INDEX(IMPORTRANGE(""1y0FWgjbB0gVlqn-q5LMJbGIsqOrzru4yowQz67dz2yc"", ""'JUA'!BH3:BH139""),MATCH(D106,IMPORTRANGE(""1y0FWgjbB0gVlqn-q5LMJbGIsqOrzru4yowQz67dz2yc"", ""'JUA'!D3:D139""),0))"),"")</f>
        <v/>
      </c>
      <c r="Z106" s="25">
        <f ca="1">IFERROR(__xludf.DUMMYFUNCTION("INDEX(IMPORTRANGE(""1y0FWgjbB0gVlqn-q5LMJbGIsqOrzru4yowQz67dz2yc"", ""'JUA'!BI3:BI139""),MATCH(D106,IMPORTRANGE(""1y0FWgjbB0gVlqn-q5LMJbGIsqOrzru4yowQz67dz2yc"", ""'JUA'!D3:D139""),0))"),0.288046601192225)</f>
        <v>0.28804660119222503</v>
      </c>
      <c r="AA106" s="156"/>
      <c r="AB106" s="156"/>
      <c r="AC106" s="156"/>
      <c r="AD106" s="156"/>
    </row>
    <row r="107" spans="1:30">
      <c r="A107" s="155" t="s">
        <v>275</v>
      </c>
      <c r="B107" s="155" t="s">
        <v>276</v>
      </c>
      <c r="C107" s="155" t="s">
        <v>30</v>
      </c>
      <c r="D107" s="155" t="s">
        <v>294</v>
      </c>
      <c r="E107" s="155" t="s">
        <v>38</v>
      </c>
      <c r="F107" s="21" t="s">
        <v>295</v>
      </c>
      <c r="G107" s="155" t="s">
        <v>213</v>
      </c>
      <c r="H107" s="156" t="s">
        <v>214</v>
      </c>
      <c r="I107" s="155" t="s">
        <v>215</v>
      </c>
      <c r="J107" s="290"/>
      <c r="K107" s="155" t="s">
        <v>216</v>
      </c>
      <c r="L107" s="290"/>
      <c r="M107" s="155" t="s">
        <v>217</v>
      </c>
      <c r="N107" s="156" t="s">
        <v>218</v>
      </c>
      <c r="O107" s="156" t="s">
        <v>218</v>
      </c>
      <c r="P107" s="272"/>
      <c r="Q107" s="272"/>
      <c r="R107" s="156"/>
      <c r="S107" s="156"/>
      <c r="T107" s="156"/>
      <c r="U107" s="156"/>
      <c r="V107" s="156"/>
      <c r="W107" s="393"/>
      <c r="X107" s="272"/>
      <c r="Y107" s="388" t="str">
        <f ca="1">IFERROR(__xludf.DUMMYFUNCTION("INDEX(IMPORTRANGE(""1y0FWgjbB0gVlqn-q5LMJbGIsqOrzru4yowQz67dz2yc"", ""'JUA'!BH3:BH139""),MATCH(D107,IMPORTRANGE(""1y0FWgjbB0gVlqn-q5LMJbGIsqOrzru4yowQz67dz2yc"", ""'JUA'!D3:D139""),0))"),"")</f>
        <v/>
      </c>
      <c r="Z107" s="272">
        <f ca="1">IFERROR(__xludf.DUMMYFUNCTION("INDEX(IMPORTRANGE(""1y0FWgjbB0gVlqn-q5LMJbGIsqOrzru4yowQz67dz2yc"", ""'JUA'!BI3:BI139""),MATCH(D107,IMPORTRANGE(""1y0FWgjbB0gVlqn-q5LMJbGIsqOrzru4yowQz67dz2yc"", ""'JUA'!D3:D139""),0))"),74978109.8)</f>
        <v>74978109.799999997</v>
      </c>
      <c r="AA107" s="156"/>
      <c r="AB107" s="156"/>
      <c r="AC107" s="156"/>
      <c r="AD107" s="156"/>
    </row>
    <row r="108" spans="1:30">
      <c r="A108" s="155" t="s">
        <v>275</v>
      </c>
      <c r="B108" s="155" t="s">
        <v>276</v>
      </c>
      <c r="C108" s="155" t="s">
        <v>36</v>
      </c>
      <c r="D108" s="155" t="s">
        <v>296</v>
      </c>
      <c r="E108" s="155" t="s">
        <v>38</v>
      </c>
      <c r="F108" s="21" t="s">
        <v>297</v>
      </c>
      <c r="G108" s="155" t="s">
        <v>213</v>
      </c>
      <c r="H108" s="156" t="s">
        <v>214</v>
      </c>
      <c r="I108" s="155" t="s">
        <v>215</v>
      </c>
      <c r="J108" s="290"/>
      <c r="K108" s="155" t="s">
        <v>216</v>
      </c>
      <c r="L108" s="290"/>
      <c r="M108" s="155" t="s">
        <v>217</v>
      </c>
      <c r="N108" s="156" t="s">
        <v>218</v>
      </c>
      <c r="O108" s="156" t="s">
        <v>218</v>
      </c>
      <c r="P108" s="272">
        <v>104356062.22</v>
      </c>
      <c r="Q108" s="272">
        <v>104356062.22</v>
      </c>
      <c r="R108" s="397"/>
      <c r="S108" s="415">
        <v>106443183.45999999</v>
      </c>
      <c r="T108" s="397"/>
      <c r="U108" s="415">
        <v>108530304.70999999</v>
      </c>
      <c r="V108" s="415">
        <v>110617425.95</v>
      </c>
      <c r="W108" s="415">
        <v>110617425.95</v>
      </c>
      <c r="X108" s="272">
        <v>104356062.22</v>
      </c>
      <c r="Y108" s="388" t="str">
        <f ca="1">IFERROR(__xludf.DUMMYFUNCTION("INDEX(IMPORTRANGE(""1y0FWgjbB0gVlqn-q5LMJbGIsqOrzru4yowQz67dz2yc"", ""'JUA'!BH3:BH139""),MATCH(D108,IMPORTRANGE(""1y0FWgjbB0gVlqn-q5LMJbGIsqOrzru4yowQz67dz2yc"", ""'JUA'!D3:D139""),0))"),"")</f>
        <v/>
      </c>
      <c r="Z108" s="272">
        <f ca="1">IFERROR(__xludf.DUMMYFUNCTION("INDEX(IMPORTRANGE(""1y0FWgjbB0gVlqn-q5LMJbGIsqOrzru4yowQz67dz2yc"", ""'JUA'!BI3:BI139""),MATCH(D108,IMPORTRANGE(""1y0FWgjbB0gVlqn-q5LMJbGIsqOrzru4yowQz67dz2yc"", ""'JUA'!D3:D139""),0))"),96299808.46)</f>
        <v>96299808.459999993</v>
      </c>
      <c r="AA108" s="156"/>
      <c r="AB108" s="156"/>
      <c r="AC108" s="156"/>
      <c r="AD108" s="156"/>
    </row>
    <row r="109" spans="1:30">
      <c r="A109" s="155" t="s">
        <v>275</v>
      </c>
      <c r="B109" s="155" t="s">
        <v>298</v>
      </c>
      <c r="C109" s="156" t="s">
        <v>30</v>
      </c>
      <c r="D109" s="155" t="s">
        <v>299</v>
      </c>
      <c r="E109" s="155" t="s">
        <v>278</v>
      </c>
      <c r="F109" s="21" t="s">
        <v>300</v>
      </c>
      <c r="G109" s="155" t="s">
        <v>213</v>
      </c>
      <c r="H109" s="156" t="s">
        <v>214</v>
      </c>
      <c r="I109" s="155" t="s">
        <v>215</v>
      </c>
      <c r="J109" s="290"/>
      <c r="K109" s="155" t="s">
        <v>216</v>
      </c>
      <c r="L109" s="290"/>
      <c r="M109" s="155" t="s">
        <v>217</v>
      </c>
      <c r="N109" s="156" t="s">
        <v>218</v>
      </c>
      <c r="O109" s="156" t="s">
        <v>218</v>
      </c>
      <c r="P109" s="375">
        <v>2020876328.0999999</v>
      </c>
      <c r="Q109" s="375">
        <v>2020876328.0999999</v>
      </c>
      <c r="R109" s="290"/>
      <c r="S109" s="290"/>
      <c r="T109" s="290"/>
      <c r="U109" s="290"/>
      <c r="V109" s="290"/>
      <c r="W109" s="388"/>
      <c r="X109" s="375">
        <v>2020876328.0999999</v>
      </c>
      <c r="Y109" s="392" t="str">
        <f ca="1">IFERROR(__xludf.DUMMYFUNCTION("INDEX(IMPORTRANGE(""1y0FWgjbB0gVlqn-q5LMJbGIsqOrzru4yowQz67dz2yc"", ""'JUA'!BH3:BH139""),MATCH(D109,IMPORTRANGE(""1y0FWgjbB0gVlqn-q5LMJbGIsqOrzru4yowQz67dz2yc"", ""'JUA'!D3:D139""),0))"),"")</f>
        <v/>
      </c>
      <c r="Z109" s="272">
        <f ca="1">IFERROR(__xludf.DUMMYFUNCTION("INDEX(IMPORTRANGE(""1y0FWgjbB0gVlqn-q5LMJbGIsqOrzru4yowQz67dz2yc"", ""'JUA'!BI3:BI139""),MATCH(D109,IMPORTRANGE(""1y0FWgjbB0gVlqn-q5LMJbGIsqOrzru4yowQz67dz2yc"", ""'JUA'!D3:D139""),0))"),1840841828.8)</f>
        <v>1840841828.8</v>
      </c>
      <c r="AA109" s="156"/>
      <c r="AB109" s="156"/>
      <c r="AC109" s="156"/>
      <c r="AD109" s="156"/>
    </row>
    <row r="110" spans="1:30">
      <c r="A110" s="155" t="s">
        <v>275</v>
      </c>
      <c r="B110" s="155" t="s">
        <v>298</v>
      </c>
      <c r="C110" s="156" t="s">
        <v>36</v>
      </c>
      <c r="D110" s="155" t="s">
        <v>301</v>
      </c>
      <c r="E110" s="155" t="s">
        <v>278</v>
      </c>
      <c r="F110" s="21" t="s">
        <v>302</v>
      </c>
      <c r="G110" s="10" t="s">
        <v>307</v>
      </c>
      <c r="H110" s="290"/>
      <c r="I110" s="156" t="s">
        <v>254</v>
      </c>
      <c r="J110" s="290"/>
      <c r="K110" s="156" t="s">
        <v>255</v>
      </c>
      <c r="L110" s="290"/>
      <c r="M110" s="156" t="s">
        <v>256</v>
      </c>
      <c r="N110" s="275">
        <v>45473</v>
      </c>
      <c r="O110" s="156"/>
      <c r="P110" s="25">
        <f t="shared" ref="P110:Q110" si="20">P102/P109</f>
        <v>0.79785306927511046</v>
      </c>
      <c r="Q110" s="25">
        <f t="shared" si="20"/>
        <v>0.79785306927511046</v>
      </c>
      <c r="R110" s="404"/>
      <c r="S110" s="404">
        <v>0.09</v>
      </c>
      <c r="T110" s="404"/>
      <c r="U110" s="416">
        <v>0.09</v>
      </c>
      <c r="V110" s="416">
        <v>0.09</v>
      </c>
      <c r="W110" s="404">
        <v>0.09</v>
      </c>
      <c r="X110" s="25">
        <f>X102/X109</f>
        <v>0.79785306927511046</v>
      </c>
      <c r="Y110" s="390" t="str">
        <f ca="1">IFERROR(__xludf.DUMMYFUNCTION("INDEX(IMPORTRANGE(""1y0FWgjbB0gVlqn-q5LMJbGIsqOrzru4yowQz67dz2yc"", ""'JUA'!BH3:BH139""),MATCH(D110,IMPORTRANGE(""1y0FWgjbB0gVlqn-q5LMJbGIsqOrzru4yowQz67dz2yc"", ""'JUA'!D3:D139""),0))"),"")</f>
        <v/>
      </c>
      <c r="Z110" s="25">
        <f ca="1">IFERROR(__xludf.DUMMYFUNCTION("INDEX(IMPORTRANGE(""1y0FWgjbB0gVlqn-q5LMJbGIsqOrzru4yowQz67dz2yc"", ""'JUA'!BI3:BI139""),MATCH(D110,IMPORTRANGE(""1y0FWgjbB0gVlqn-q5LMJbGIsqOrzru4yowQz67dz2yc"", ""'JUA'!D3:D139""),0))"),0.854335562607898)</f>
        <v>0.854335562607898</v>
      </c>
      <c r="AA110" s="156"/>
      <c r="AB110" s="156"/>
      <c r="AC110" s="156"/>
      <c r="AD110" s="156"/>
    </row>
    <row r="111" spans="1:30">
      <c r="A111" s="155" t="s">
        <v>275</v>
      </c>
      <c r="B111" s="155" t="s">
        <v>303</v>
      </c>
      <c r="C111" s="156" t="s">
        <v>36</v>
      </c>
      <c r="D111" s="155" t="s">
        <v>304</v>
      </c>
      <c r="E111" s="155" t="s">
        <v>305</v>
      </c>
      <c r="F111" s="21" t="s">
        <v>306</v>
      </c>
      <c r="G111" s="10" t="s">
        <v>307</v>
      </c>
      <c r="H111" s="290"/>
      <c r="I111" s="156" t="s">
        <v>254</v>
      </c>
      <c r="J111" s="290"/>
      <c r="K111" s="156" t="s">
        <v>255</v>
      </c>
      <c r="L111" s="290"/>
      <c r="M111" s="156" t="s">
        <v>256</v>
      </c>
      <c r="N111" s="275">
        <v>45473</v>
      </c>
      <c r="O111" s="156"/>
      <c r="P111" s="269" t="s">
        <v>308</v>
      </c>
      <c r="Q111" s="269" t="s">
        <v>308</v>
      </c>
      <c r="R111" s="397"/>
      <c r="S111" s="397" t="s">
        <v>438</v>
      </c>
      <c r="T111" s="397"/>
      <c r="U111" s="397" t="s">
        <v>438</v>
      </c>
      <c r="V111" s="397" t="s">
        <v>438</v>
      </c>
      <c r="W111" s="397" t="s">
        <v>438</v>
      </c>
      <c r="X111" s="22" t="s">
        <v>308</v>
      </c>
      <c r="Y111" s="290" t="str">
        <f ca="1">IFERROR(__xludf.DUMMYFUNCTION("INDEX(IMPORTRANGE(""1y0FWgjbB0gVlqn-q5LMJbGIsqOrzru4yowQz67dz2yc"", ""'JUA'!BH3:BH139""),MATCH(D111,IMPORTRANGE(""1y0FWgjbB0gVlqn-q5LMJbGIsqOrzru4yowQz67dz2yc"", ""'JUA'!D3:D139""),0))"),"")</f>
        <v/>
      </c>
      <c r="Z111" s="22" t="str">
        <f ca="1">IFERROR(__xludf.DUMMYFUNCTION("INDEX(IMPORTRANGE(""1y0FWgjbB0gVlqn-q5LMJbGIsqOrzru4yowQz67dz2yc"", ""'JUA'!BI3:BI139""),MATCH(D111,IMPORTRANGE(""1y0FWgjbB0gVlqn-q5LMJbGIsqOrzru4yowQz67dz2yc"", ""'JUA'!D3:D139""),0))"),"Verde")</f>
        <v>Verde</v>
      </c>
      <c r="AA111" s="156"/>
      <c r="AB111" s="156"/>
      <c r="AC111" s="156"/>
      <c r="AD111" s="156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CFEB4-4576-7347-A758-E1B85193B57B}">
  <dimension ref="A1:M39"/>
  <sheetViews>
    <sheetView workbookViewId="0">
      <selection activeCell="F2" sqref="F2"/>
    </sheetView>
  </sheetViews>
  <sheetFormatPr baseColWidth="10" defaultRowHeight="16"/>
  <cols>
    <col min="1" max="1" width="10.83203125" style="118"/>
    <col min="3" max="3" width="19.33203125" customWidth="1"/>
    <col min="4" max="5" width="12.1640625" customWidth="1"/>
    <col min="7" max="8" width="11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JUA'!$D$3:$Y$114,4,0)</f>
        <v>44469</v>
      </c>
      <c r="E2" s="72" t="s">
        <v>429</v>
      </c>
      <c r="F2" s="75">
        <f>VLOOKUP(C2,'BD EVA 2 JUA'!$D$3:$Y$114,8,0)</f>
        <v>45016</v>
      </c>
      <c r="G2" s="75" t="str">
        <f ca="1">VLOOKUP(C2,'BD EVA 2 JUA'!$D$3:$AC$114,23,0)</f>
        <v>Reservada</v>
      </c>
      <c r="H2" s="72">
        <f>VLOOKUP(C2,'BD EVA 2 JUA'!$D$3:$AC$114,16,0)</f>
        <v>664.875</v>
      </c>
      <c r="I2" s="78">
        <v>0</v>
      </c>
      <c r="J2" s="72" t="s">
        <v>316</v>
      </c>
      <c r="K2" s="81">
        <v>2.7</v>
      </c>
      <c r="L2" s="81">
        <f t="shared" ref="L2:L39" si="0">IF(I2&lt;0,0,IF(I2&gt;1,K2,I2*K2))</f>
        <v>0</v>
      </c>
      <c r="M2" s="124">
        <f>SUM(L2:L4)</f>
        <v>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JUA'!$D$3:$Y$114,4,0)</f>
        <v>44469</v>
      </c>
      <c r="E3" s="72" t="s">
        <v>429</v>
      </c>
      <c r="F3" s="75">
        <f>VLOOKUP(C3,'BD EVA 2 JUA'!$D$3:$Y$114,8,0)</f>
        <v>45016</v>
      </c>
      <c r="G3" s="72" t="s">
        <v>429</v>
      </c>
      <c r="H3" s="207" t="str">
        <f>VLOOKUP(C3,'BD EVA 2 JUA'!$D$3:$AC$114,16,0)</f>
        <v>&gt;=97%</v>
      </c>
      <c r="I3" s="78">
        <v>0</v>
      </c>
      <c r="J3" s="75" t="s">
        <v>318</v>
      </c>
      <c r="K3" s="81">
        <v>3.8</v>
      </c>
      <c r="L3" s="81">
        <f t="shared" si="0"/>
        <v>0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JUA'!$D$3:$Y$114,4,0)</f>
        <v>44469</v>
      </c>
      <c r="E4" s="72" t="s">
        <v>429</v>
      </c>
      <c r="F4" s="75">
        <f>VLOOKUP(C4,'BD EVA 2 JUA'!$D$3:$Y$114,8,0)</f>
        <v>45016</v>
      </c>
      <c r="G4" s="72" t="s">
        <v>429</v>
      </c>
      <c r="H4" s="207">
        <f>VLOOKUP(C4,'BD EVA 2 JUA'!$D$3:$AC$114,16,0)</f>
        <v>2.7E-2</v>
      </c>
      <c r="I4" s="78">
        <v>0</v>
      </c>
      <c r="J4" s="75" t="s">
        <v>318</v>
      </c>
      <c r="K4" s="81">
        <v>3.5</v>
      </c>
      <c r="L4" s="81">
        <f t="shared" si="0"/>
        <v>0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JUA'!$D$3:$Y$114,4,0)</f>
        <v>octubre 20 - mar 21</v>
      </c>
      <c r="E5" s="72" t="s">
        <v>429</v>
      </c>
      <c r="F5" s="72" t="str">
        <f>VLOOKUP(C5,'BD EVA 2 JUA'!$D$3:$Y$114,8,0)</f>
        <v>octubre 22- mar 23</v>
      </c>
      <c r="G5" s="207">
        <f ca="1">VLOOKUP(C5,'BD EVA 2 JUA'!$D$3:$AC$114,23,0)</f>
        <v>6.0984060984060902E-2</v>
      </c>
      <c r="H5" s="207">
        <f>VLOOKUP(C5,'BD EVA 2 JUA'!$D$3:$AC$114,16,0)</f>
        <v>0.129</v>
      </c>
      <c r="I5" s="77">
        <f ca="1">G5/H5</f>
        <v>0.47274465879116978</v>
      </c>
      <c r="J5" s="75" t="s">
        <v>318</v>
      </c>
      <c r="K5" s="209">
        <v>1.6</v>
      </c>
      <c r="L5" s="209">
        <f t="shared" ca="1" si="0"/>
        <v>0.75639145406587172</v>
      </c>
      <c r="M5" s="130">
        <f ca="1">SUM(L5:L10)</f>
        <v>2.8684393101399523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JUA'!$D$3:$Y$114,4,0)</f>
        <v>octubre 20 - mar 21</v>
      </c>
      <c r="E6" s="211">
        <f>VLOOKUP(C6,'BD EVA 2 JUA'!$D$3:$Q$114,13,0)</f>
        <v>12.051630167443873</v>
      </c>
      <c r="F6" s="72" t="str">
        <f>VLOOKUP(C6,'BD EVA 2 JUA'!$D$3:$Y$114,8,0)</f>
        <v>octubre 22- mar 23</v>
      </c>
      <c r="G6" s="211">
        <f ca="1">VLOOKUP(C6,'BD EVA 2 JUA'!$D$3:$AC$114,23,0)</f>
        <v>16.8327019094448</v>
      </c>
      <c r="H6" s="211">
        <f>VLOOKUP(C6,'BD EVA 2 JUA'!$D$3:$AC$114,16,0)</f>
        <v>11</v>
      </c>
      <c r="I6" s="78">
        <f t="shared" ref="I6:I10" ca="1" si="1">(G6-E6)/(H6-E6)</f>
        <v>-4.5463432773348034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JUA'!$D$3:$Y$114,4,0)</f>
        <v>octubre 20 - mar 21</v>
      </c>
      <c r="E7" s="208">
        <f>VLOOKUP(C7,'BD EVA 2 JUA'!$D$3:$Q$114,13,0)</f>
        <v>139.94648092399109</v>
      </c>
      <c r="F7" s="72" t="str">
        <f>VLOOKUP(C7,'BD EVA 2 JUA'!$D$3:$Y$114,8,0)</f>
        <v>octubre 22- mar 23</v>
      </c>
      <c r="G7" s="208">
        <f ca="1">VLOOKUP(C7,'BD EVA 2 JUA'!$D$3:$AC$114,23,0)</f>
        <v>139.16614113864901</v>
      </c>
      <c r="H7" s="208">
        <f>VLOOKUP(C7,'BD EVA 2 JUA'!$D$3:$AC$114,16,0)</f>
        <v>127.9</v>
      </c>
      <c r="I7" s="78">
        <f t="shared" ca="1" si="1"/>
        <v>6.4777405971564603E-2</v>
      </c>
      <c r="J7" s="71" t="s">
        <v>319</v>
      </c>
      <c r="K7" s="209">
        <v>1.6</v>
      </c>
      <c r="L7" s="209">
        <f t="shared" ca="1" si="0"/>
        <v>0.10364384955450337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JUA'!$D$3:$Y$114,4,0)</f>
        <v>octubre 20 - mar 21</v>
      </c>
      <c r="E8" s="208">
        <f>VLOOKUP(C8,'BD EVA 2 JUA'!$D$3:$Q$114,13,0)</f>
        <v>365.48413120044074</v>
      </c>
      <c r="F8" s="72" t="str">
        <f>VLOOKUP(C8,'BD EVA 2 JUA'!$D$3:$Y$114,8,0)</f>
        <v>octubre 22- mar 23</v>
      </c>
      <c r="G8" s="208">
        <f ca="1">VLOOKUP(C8,'BD EVA 2 JUA'!$D$3:$AC$114,23,0)</f>
        <v>334.046154794475</v>
      </c>
      <c r="H8" s="208">
        <f>VLOOKUP(C8,'BD EVA 2 JUA'!$D$3:$AC$114,16,0)</f>
        <v>315.8</v>
      </c>
      <c r="I8" s="78">
        <f t="shared" ca="1" si="1"/>
        <v>0.63275689131275115</v>
      </c>
      <c r="J8" s="71" t="s">
        <v>319</v>
      </c>
      <c r="K8" s="209">
        <v>1.7</v>
      </c>
      <c r="L8" s="209">
        <f t="shared" ca="1" si="0"/>
        <v>1.0756867152316769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JUA'!$D$3:$Y$114,4,0)</f>
        <v>octubre 20 - mar 21</v>
      </c>
      <c r="E9" s="208">
        <f>VLOOKUP(C9,'BD EVA 2 JUA'!$D$3:$Q$114,13,0)</f>
        <v>69.604313007890127</v>
      </c>
      <c r="F9" s="72" t="str">
        <f>VLOOKUP(C9,'BD EVA 2 JUA'!$D$3:$Y$114,8,0)</f>
        <v>octubre 22- mar 23</v>
      </c>
      <c r="G9" s="208">
        <f ca="1">VLOOKUP(C9,'BD EVA 2 JUA'!$D$3:$AC$114,23,0)</f>
        <v>66.145406094860505</v>
      </c>
      <c r="H9" s="208">
        <f>VLOOKUP(C9,'BD EVA 2 JUA'!$D$3:$AC$114,16,0)</f>
        <v>63.3</v>
      </c>
      <c r="I9" s="78">
        <f t="shared" ca="1" si="1"/>
        <v>0.54865723016935319</v>
      </c>
      <c r="J9" s="71" t="s">
        <v>319</v>
      </c>
      <c r="K9" s="209">
        <v>1.7</v>
      </c>
      <c r="L9" s="209">
        <f t="shared" ca="1" si="0"/>
        <v>0.93271729128790037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JUA'!$D$3:$Y$114,4,0)</f>
        <v>octubre 20 - mar 21</v>
      </c>
      <c r="E10" s="208">
        <f>VLOOKUP(C10,'BD EVA 2 JUA'!$D$3:$Q$114,13,0)</f>
        <v>7.8704523542490605</v>
      </c>
      <c r="F10" s="72" t="str">
        <f>VLOOKUP(C10,'BD EVA 2 JUA'!$D$3:$Y$114,8,0)</f>
        <v>octubre 22- mar 23</v>
      </c>
      <c r="G10" s="208">
        <f ca="1">VLOOKUP(C10,'BD EVA 2 JUA'!$D$3:$AC$114,23,0)</f>
        <v>17.3068625266122</v>
      </c>
      <c r="H10" s="208">
        <f>VLOOKUP(C10,'BD EVA 2 JUA'!$D$3:$AC$114,16,0)</f>
        <v>6.8</v>
      </c>
      <c r="I10" s="78">
        <f t="shared" ca="1" si="1"/>
        <v>-8.8153481422187454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JUA'!$D$3:$Y$114,4,0)</f>
        <v>44469</v>
      </c>
      <c r="E11" s="71" t="s">
        <v>429</v>
      </c>
      <c r="F11" s="89">
        <f>VLOOKUP(C11,'BD EVA 2 JUA'!$D$3:$Y$114,8,0)</f>
        <v>45016</v>
      </c>
      <c r="G11" s="71" t="s">
        <v>429</v>
      </c>
      <c r="H11" s="78">
        <f>VLOOKUP(C11,'BD EVA 2 JUA'!$D$3:$AC$114,16,0)</f>
        <v>1.67E-2</v>
      </c>
      <c r="I11" s="77">
        <v>0</v>
      </c>
      <c r="J11" s="89" t="s">
        <v>318</v>
      </c>
      <c r="K11" s="71">
        <v>1.1000000000000001</v>
      </c>
      <c r="L11" s="209">
        <f t="shared" si="0"/>
        <v>0</v>
      </c>
      <c r="M11" s="130">
        <f ca="1">SUM(L11:L15)</f>
        <v>0.68527918781725883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JUA'!$D$3:$Y$114,4,0)</f>
        <v>octubre 20 - mar 21</v>
      </c>
      <c r="E12" s="212">
        <f>VLOOKUP(C12,'BD EVA 2 JUA'!$D$3:$Q$114,13,0)</f>
        <v>0</v>
      </c>
      <c r="F12" s="71" t="str">
        <f>VLOOKUP(C12,'BD EVA 2 JUA'!$D$3:$Y$114,8,0)</f>
        <v>octubre 22- mar 23</v>
      </c>
      <c r="G12" s="210">
        <f ca="1">VLOOKUP(C12,'BD EVA 2 JUA'!$D$3:$AC$114,23,0)</f>
        <v>0</v>
      </c>
      <c r="H12" s="80">
        <f>VLOOKUP(C12,'BD EVA 2 JUA'!$D$3:$AC$114,16,0)</f>
        <v>3.3999999999999998E-3</v>
      </c>
      <c r="I12" s="78">
        <f t="shared" ref="I12:I15" ca="1" si="2">G12/H12</f>
        <v>0</v>
      </c>
      <c r="J12" s="75" t="s">
        <v>318</v>
      </c>
      <c r="K12" s="71">
        <v>1.1000000000000001</v>
      </c>
      <c r="L12" s="209">
        <f t="shared" ca="1" si="0"/>
        <v>0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JUA'!$D$3:$Y$114,4,0)</f>
        <v>octubre 20 - mar 21</v>
      </c>
      <c r="E13" s="212">
        <f>VLOOKUP(C13,'BD EVA 2 JUA'!$D$3:$Q$114,13,0)</f>
        <v>0</v>
      </c>
      <c r="F13" s="71" t="str">
        <f>VLOOKUP(C13,'BD EVA 2 JUA'!$D$3:$Y$114,8,0)</f>
        <v>octubre 21 - mar 23</v>
      </c>
      <c r="G13" s="212">
        <f ca="1">VLOOKUP(C13,'BD EVA 2 JUA'!$D$3:$AC$114,23,0)</f>
        <v>0</v>
      </c>
      <c r="H13" s="76">
        <f>VLOOKUP(C13,'BD EVA 2 JUA'!$D$3:$AC$114,16,0)</f>
        <v>6</v>
      </c>
      <c r="I13" s="78">
        <f t="shared" ca="1" si="2"/>
        <v>0</v>
      </c>
      <c r="J13" s="75" t="s">
        <v>318</v>
      </c>
      <c r="K13" s="71">
        <v>2.4</v>
      </c>
      <c r="L13" s="209">
        <f t="shared" ca="1" si="0"/>
        <v>0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JUA'!$D$3:$Y$114,4,0)</f>
        <v>octubre 20 - mar 21</v>
      </c>
      <c r="E14" s="212">
        <f>VLOOKUP(C14,'BD EVA 2 JUA'!$D$3:$Q$114,13,0)</f>
        <v>27</v>
      </c>
      <c r="F14" s="71" t="str">
        <f>VLOOKUP(C14,'BD EVA 2 JUA'!$D$3:$Y$114,8,0)</f>
        <v>octubre 21 - mar 23</v>
      </c>
      <c r="G14" s="212">
        <f ca="1">VLOOKUP(C14,'BD EVA 2 JUA'!$D$3:$AC$114,23,0)</f>
        <v>450</v>
      </c>
      <c r="H14" s="76">
        <f>VLOOKUP(C14,'BD EVA 2 JUA'!$D$3:$AC$114,16,0)</f>
        <v>1576</v>
      </c>
      <c r="I14" s="78">
        <f t="shared" ca="1" si="2"/>
        <v>0.28553299492385786</v>
      </c>
      <c r="J14" s="75" t="s">
        <v>318</v>
      </c>
      <c r="K14" s="71">
        <v>2.4</v>
      </c>
      <c r="L14" s="209">
        <f t="shared" ca="1" si="0"/>
        <v>0.68527918781725883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JUA'!$D$3:$Y$114,4,0)</f>
        <v>octubre 20 - mar 21</v>
      </c>
      <c r="E15" s="212">
        <f>VLOOKUP(C15,'BD EVA 2 JUA'!$D$3:$Q$114,13,0)</f>
        <v>10</v>
      </c>
      <c r="F15" s="89" t="str">
        <f>VLOOKUP(C15,'BD EVA 2 JUA'!$D$3:$Y$114,8,0)</f>
        <v>octubre 21 - mar 23</v>
      </c>
      <c r="G15" s="212">
        <f ca="1">VLOOKUP(C15,'BD EVA 2 JUA'!$D$3:$AC$114,23,0)</f>
        <v>0</v>
      </c>
      <c r="H15" s="76">
        <f>VLOOKUP(C15,'BD EVA 2 JUA'!$D$3:$AC$114,16,0)</f>
        <v>23</v>
      </c>
      <c r="I15" s="78">
        <f t="shared" ca="1" si="2"/>
        <v>0</v>
      </c>
      <c r="J15" s="75" t="s">
        <v>318</v>
      </c>
      <c r="K15" s="71">
        <v>3.1</v>
      </c>
      <c r="L15" s="209">
        <f t="shared" ca="1" si="0"/>
        <v>0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JUA'!$D$3:$Y$114,4,0)</f>
        <v>44469</v>
      </c>
      <c r="E16" s="213">
        <f>VLOOKUP(C16,'BD EVA 2 JUA'!$D$3:$Q$114,13,0)</f>
        <v>0</v>
      </c>
      <c r="F16" s="75">
        <f>VLOOKUP(C16,'BD EVA 2 JUA'!$D$3:$Y$114,8,0)</f>
        <v>45016</v>
      </c>
      <c r="G16" s="213">
        <f ca="1">VLOOKUP(C16,'BD EVA 2 JUA'!$D$3:$AC$114,23,0)</f>
        <v>0</v>
      </c>
      <c r="H16" s="213" t="str">
        <f>VLOOKUP(C16,'BD EVA 2 JUA'!$D$3:$AC$114,16,0)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3">G16/1</f>
        <v>0</v>
      </c>
      <c r="J16" s="75" t="s">
        <v>318</v>
      </c>
      <c r="K16" s="71">
        <v>1.5</v>
      </c>
      <c r="L16" s="209">
        <f t="shared" ca="1" si="0"/>
        <v>0</v>
      </c>
      <c r="M16" s="130">
        <f ca="1">SUM(L16:L23)</f>
        <v>1.1064516129032249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JUA'!$D$3:$Y$114,4,0)</f>
        <v>44469</v>
      </c>
      <c r="E17" s="212">
        <f>VLOOKUP(C17,'BD EVA 2 JUA'!$D$3:$Q$114,13,0)</f>
        <v>0</v>
      </c>
      <c r="F17" s="75">
        <f>VLOOKUP(C17,'BD EVA 2 JUA'!$D$3:$Y$114,8,0)</f>
        <v>45016</v>
      </c>
      <c r="G17" s="212">
        <f ca="1">VLOOKUP(C17,'BD EVA 2 JUA'!$D$3:$AC$114,23,0)</f>
        <v>0</v>
      </c>
      <c r="H17" s="212" t="str">
        <f>VLOOKUP(C17,'BD EVA 2 JUA'!$D$3:$AC$114,16,0)</f>
        <v>Actualizado al 2018</v>
      </c>
      <c r="I17" s="214">
        <f t="shared" ca="1" si="3"/>
        <v>0</v>
      </c>
      <c r="J17" s="75" t="s">
        <v>318</v>
      </c>
      <c r="K17" s="7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JUA'!$D$3:$Y$114,4,0)</f>
        <v>44469</v>
      </c>
      <c r="E18" s="207" t="str">
        <f>VLOOKUP(C18,'BD EVA 2 JUA'!$D$3:$Q$114,13,0)</f>
        <v>n/a</v>
      </c>
      <c r="F18" s="75">
        <f>VLOOKUP(C18,'BD EVA 2 JUA'!$D$3:$Y$114,8,0)</f>
        <v>45016</v>
      </c>
      <c r="G18" s="72" t="s">
        <v>439</v>
      </c>
      <c r="H18" s="207">
        <f>VLOOKUP(C18,'BD EVA 2 JUA'!$D$3:$AC$114,16,0)</f>
        <v>1</v>
      </c>
      <c r="I18" s="72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JUA'!$D$3:$Y$114,4,0)</f>
        <v>44469</v>
      </c>
      <c r="E19" s="207" t="e">
        <f>VLOOKUP(C19,'BD EVA 2 JUA'!$D$3:$Q$114,13,0)</f>
        <v>#VALUE!</v>
      </c>
      <c r="F19" s="75">
        <f>VLOOKUP(C19,'BD EVA 2 JUA'!$D$3:$Y$114,8,0)</f>
        <v>45016</v>
      </c>
      <c r="G19" s="207">
        <f ca="1">VLOOKUP(C19,'BD EVA 2 JUA'!$D$3:$AC$114,23,0)</f>
        <v>0.53763440860214995</v>
      </c>
      <c r="H19" s="207">
        <f>VLOOKUP(C19,'BD EVA 2 JUA'!$D$3:$AC$114,16,0)</f>
        <v>1</v>
      </c>
      <c r="I19" s="214">
        <f ca="1">G19/H19</f>
        <v>0.53763440860214995</v>
      </c>
      <c r="J19" s="75" t="s">
        <v>318</v>
      </c>
      <c r="K19" s="71">
        <v>1.5</v>
      </c>
      <c r="L19" s="209">
        <f t="shared" ca="1" si="0"/>
        <v>0.80645161290322487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JUA'!$D$3:$Y$114,4,0)</f>
        <v>44469</v>
      </c>
      <c r="E20" s="72" t="s">
        <v>429</v>
      </c>
      <c r="F20" s="75">
        <f>VLOOKUP(C20,'BD EVA 2 JUA'!$D$3:$Y$114,8,0)</f>
        <v>45016</v>
      </c>
      <c r="G20" s="72" t="s">
        <v>429</v>
      </c>
      <c r="H20" s="214">
        <f>VLOOKUP(C20,'BD EVA 2 JUA'!$D$3:$AC$114,16,0)</f>
        <v>1</v>
      </c>
      <c r="I20" s="214">
        <v>0</v>
      </c>
      <c r="J20" s="75" t="s">
        <v>318</v>
      </c>
      <c r="K20" s="71">
        <v>1.5</v>
      </c>
      <c r="L20" s="209">
        <f t="shared" si="0"/>
        <v>0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JUA'!$D$3:$Y$114,4,0)</f>
        <v>44469</v>
      </c>
      <c r="E21" s="72" t="s">
        <v>429</v>
      </c>
      <c r="F21" s="75">
        <f>VLOOKUP(C21,'BD EVA 2 JUA'!$D$3:$Y$114,8,0)</f>
        <v>45016</v>
      </c>
      <c r="G21" s="72" t="s">
        <v>429</v>
      </c>
      <c r="H21" s="207">
        <f>VLOOKUP(C21,'BD EVA 2 JUA'!$D$3:$AC$114,16,0)</f>
        <v>1</v>
      </c>
      <c r="I21" s="214">
        <v>0</v>
      </c>
      <c r="J21" s="75" t="s">
        <v>318</v>
      </c>
      <c r="K21" s="71">
        <v>0.9</v>
      </c>
      <c r="L21" s="209">
        <f t="shared" si="0"/>
        <v>0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JUA'!$D$3:$Y$114,4,0)</f>
        <v>44469</v>
      </c>
      <c r="E22" s="72" t="s">
        <v>429</v>
      </c>
      <c r="F22" s="75">
        <f>VLOOKUP(C22,'BD EVA 2 JUA'!$D$3:$Y$114,8,0)</f>
        <v>45016</v>
      </c>
      <c r="G22" s="72" t="s">
        <v>429</v>
      </c>
      <c r="H22" s="207">
        <f>VLOOKUP(C22,'BD EVA 2 JUA'!$D$3:$AC$114,16,0)</f>
        <v>1</v>
      </c>
      <c r="I22" s="214">
        <v>0</v>
      </c>
      <c r="J22" s="75" t="s">
        <v>318</v>
      </c>
      <c r="K22" s="71">
        <v>1.5</v>
      </c>
      <c r="L22" s="209">
        <f t="shared" si="0"/>
        <v>0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JUA'!$D$3:$Y$114,4,0)</f>
        <v>octubre 20 - mar 21</v>
      </c>
      <c r="E23" s="208">
        <f>VLOOKUP(C23,'BD EVA 2 JUA'!$D$3:$Q$114,13,0)</f>
        <v>0</v>
      </c>
      <c r="F23" s="89" t="str">
        <f>VLOOKUP(C23,'BD EVA 2 JUA'!$D$3:$Y$114,8,0)</f>
        <v>octubre 22 - mar 23</v>
      </c>
      <c r="G23" s="208">
        <f ca="1">VLOOKUP(C23,'BD EVA 2 JUA'!$D$3:$AC$114,23,0)</f>
        <v>0</v>
      </c>
      <c r="H23" s="81">
        <f>VLOOKUP(C23,'BD EVA 2 JUA'!$D$3:$AC$114,16,0)</f>
        <v>23</v>
      </c>
      <c r="I23" s="214">
        <f ca="1">G23/H23</f>
        <v>0</v>
      </c>
      <c r="J23" s="75" t="s">
        <v>318</v>
      </c>
      <c r="K23" s="82">
        <v>1.3</v>
      </c>
      <c r="L23" s="209">
        <f t="shared" ca="1" si="0"/>
        <v>0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JUA'!$D$3:$Y$114,4,0)</f>
        <v>44469</v>
      </c>
      <c r="E24" s="171">
        <f>VLOOKUP(C24,'BD EVA 2 JUA'!$D$3:$Q$114,13,0)</f>
        <v>0</v>
      </c>
      <c r="F24" s="75">
        <f>VLOOKUP(C24,'BD EVA 2 JUA'!$D$3:$Y$114,8,0)</f>
        <v>45016</v>
      </c>
      <c r="G24" s="171" t="s">
        <v>429</v>
      </c>
      <c r="H24" s="171">
        <f>VLOOKUP(C24,'BD EVA 2 JUA'!$D$3:$AC$114,16,0)</f>
        <v>7</v>
      </c>
      <c r="I24" s="214">
        <v>0</v>
      </c>
      <c r="J24" s="75" t="s">
        <v>318</v>
      </c>
      <c r="K24" s="82">
        <v>1.9</v>
      </c>
      <c r="L24" s="209">
        <f t="shared" si="0"/>
        <v>0</v>
      </c>
      <c r="M24" s="130">
        <f ca="1">SUM(L24:L28)</f>
        <v>3.1496754261780939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JUA'!$D$3:$Y$114,4,0)</f>
        <v>octubre 20 - mar 21</v>
      </c>
      <c r="E25" s="212">
        <f>VLOOKUP(C25,'BD EVA 2 JUA'!$D$3:$Q$114,13,0)</f>
        <v>0</v>
      </c>
      <c r="F25" s="71" t="str">
        <f>VLOOKUP(C25,'BD EVA 2 JUA'!$D$3:$Y$114,8,0)</f>
        <v>octubre 22 - mar 23</v>
      </c>
      <c r="G25" s="212">
        <f ca="1">VLOOKUP(C25,'BD EVA 2 JUA'!$D$3:$AC$114,23,0)</f>
        <v>490.72</v>
      </c>
      <c r="H25" s="212">
        <f>VLOOKUP(C25,'BD EVA 2 JUA'!$D$3:$AC$114,16,0)</f>
        <v>4422</v>
      </c>
      <c r="I25" s="214">
        <f t="shared" ref="I25:I27" ca="1" si="4">G25/H25</f>
        <v>0.11097241067390322</v>
      </c>
      <c r="J25" s="75" t="s">
        <v>318</v>
      </c>
      <c r="K25" s="82">
        <v>1.6</v>
      </c>
      <c r="L25" s="209">
        <f t="shared" ca="1" si="0"/>
        <v>0.17755585707824517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JUA'!$D$3:$Y$114,4,0)</f>
        <v>enero - diciembre 2021</v>
      </c>
      <c r="E26" s="212">
        <f>VLOOKUP(C26,'BD EVA 2 JUA'!$D$3:$Q$114,13,0)</f>
        <v>1.636142829333077E-2</v>
      </c>
      <c r="F26" s="71" t="str">
        <f>VLOOKUP(C26,'BD EVA 2 JUA'!$D$3:$Y$114,8,0)</f>
        <v>enero- diciembre 2022</v>
      </c>
      <c r="G26" s="210">
        <f ca="1">VLOOKUP(C26,'BD EVA 2 JUA'!$D$3:$AC$114,23,0)</f>
        <v>2.3207948002289099E-2</v>
      </c>
      <c r="H26" s="210">
        <f>VLOOKUP(C26,'BD EVA 2 JUA'!$D$3:$AC$114,16,0)</f>
        <v>0.15129999999999999</v>
      </c>
      <c r="I26" s="214">
        <f t="shared" ca="1" si="4"/>
        <v>0.15339027099992797</v>
      </c>
      <c r="J26" s="75" t="s">
        <v>318</v>
      </c>
      <c r="K26" s="82">
        <v>2.1</v>
      </c>
      <c r="L26" s="209">
        <f t="shared" ca="1" si="0"/>
        <v>0.32211956909984873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JUA'!$D$3:$Y$114,4,0)</f>
        <v>octubre 20 - mar 21</v>
      </c>
      <c r="E27" s="212">
        <f>VLOOKUP(C27,'BD EVA 2 JUA'!$D$3:$Q$114,13,0)</f>
        <v>0</v>
      </c>
      <c r="F27" s="71" t="str">
        <f>VLOOKUP(C27,'BD EVA 2 JUA'!$D$3:$Y$114,8,0)</f>
        <v>octubre 22 - mar 23</v>
      </c>
      <c r="G27" s="212">
        <f ca="1">VLOOKUP(C27,'BD EVA 2 JUA'!$D$3:$AC$114,23,0)</f>
        <v>3</v>
      </c>
      <c r="H27" s="212">
        <f>VLOOKUP(C27,'BD EVA 2 JUA'!$D$3:$AC$114,16,0)</f>
        <v>14</v>
      </c>
      <c r="I27" s="214">
        <f t="shared" ca="1" si="4"/>
        <v>0.21428571428571427</v>
      </c>
      <c r="J27" s="75" t="s">
        <v>318</v>
      </c>
      <c r="K27" s="82">
        <v>2.1</v>
      </c>
      <c r="L27" s="209">
        <f t="shared" ca="1" si="0"/>
        <v>0.45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JUA'!$D$3:$Y$114,4,0)</f>
        <v>octubre 2018 - marzo 2019</v>
      </c>
      <c r="E28" s="212">
        <f>VLOOKUP(C28,'BD EVA 2 JUA'!$D$3:$Q$114,13,0)</f>
        <v>602</v>
      </c>
      <c r="F28" s="89" t="str">
        <f>VLOOKUP(C28,'BD EVA 2 JUA'!$D$3:$Y$114,8,0)</f>
        <v>octubre 22 - mar 23</v>
      </c>
      <c r="G28" s="212">
        <f ca="1">VLOOKUP(C28,'BD EVA 2 JUA'!$D$3:$AC$114,23,0)</f>
        <v>466</v>
      </c>
      <c r="H28" s="212">
        <f>VLOOKUP(C28,'BD EVA 2 JUA'!$D$3:$AC$114,16,0)</f>
        <v>582</v>
      </c>
      <c r="I28" s="78">
        <f ca="1">(G28-E28)/(H28-E28)</f>
        <v>6.8</v>
      </c>
      <c r="J28" s="89" t="s">
        <v>319</v>
      </c>
      <c r="K28" s="82">
        <v>2.2000000000000002</v>
      </c>
      <c r="L28" s="209">
        <f t="shared" ca="1" si="0"/>
        <v>2.2000000000000002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JUA'!$D$3:$Y$114,4,0)</f>
        <v>octubre 20 - mar 21</v>
      </c>
      <c r="E29" s="212">
        <f>VLOOKUP(C29,'BD EVA 2 JUA'!$D$3:$Q$114,13,0)</f>
        <v>0</v>
      </c>
      <c r="F29" s="89" t="str">
        <f>VLOOKUP(C29,'BD EVA 2 JUA'!$D$3:$Y$114,8,0)</f>
        <v>octubre 22 - mar 23</v>
      </c>
      <c r="G29" s="212">
        <f ca="1">VLOOKUP(C29,'BD EVA 2 JUA'!$D$3:$AC$114,23,0)</f>
        <v>1530</v>
      </c>
      <c r="H29" s="212">
        <f>VLOOKUP(C29,'BD EVA 2 JUA'!$D$3:$AC$114,16,0)</f>
        <v>35</v>
      </c>
      <c r="I29" s="80">
        <f t="shared" ref="I29:I33" ca="1" si="5">G29/H29</f>
        <v>43.714285714285715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5.9505999999999997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JUA'!$D$3:$Y$114,4,0)</f>
        <v>44469</v>
      </c>
      <c r="E30" s="212">
        <f>VLOOKUP(C30,'BD EVA 2 JUA'!$D$3:$Q$114,13,0)</f>
        <v>0</v>
      </c>
      <c r="F30" s="75" t="str">
        <f>VLOOKUP(C30,'BD EVA 2 JUA'!$D$3:$Y$114,8,0)</f>
        <v>Dic 2022</v>
      </c>
      <c r="G30" s="212">
        <f ca="1">VLOOKUP(C30,'BD EVA 2 JUA'!$D$3:$AC$114,23,0)</f>
        <v>0</v>
      </c>
      <c r="H30" s="212">
        <f>VLOOKUP(C30,'BD EVA 2 JUA'!$D$3:$AC$114,16,0)</f>
        <v>11</v>
      </c>
      <c r="I30" s="80">
        <f t="shared" ca="1" si="5"/>
        <v>0</v>
      </c>
      <c r="J30" s="75" t="s">
        <v>318</v>
      </c>
      <c r="K30" s="71">
        <v>2</v>
      </c>
      <c r="L30" s="209">
        <f t="shared" ca="1" si="0"/>
        <v>0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JUA'!$D$3:$Y$114,4,0)</f>
        <v>44469</v>
      </c>
      <c r="E31" s="212">
        <f>VLOOKUP(C31,'BD EVA 2 JUA'!$D$3:$Q$114,13,0)</f>
        <v>86.3</v>
      </c>
      <c r="F31" s="75">
        <f>VLOOKUP(C31,'BD EVA 2 JUA'!$D$3:$Y$114,8,0)</f>
        <v>45016</v>
      </c>
      <c r="G31" s="212">
        <f ca="1">VLOOKUP(C31,'BD EVA 2 JUA'!$D$3:$AC$114,23,0)</f>
        <v>97.53</v>
      </c>
      <c r="H31" s="212">
        <f>VLOOKUP(C31,'BD EVA 2 JUA'!$D$3:$AC$114,16,0)</f>
        <v>100</v>
      </c>
      <c r="I31" s="80">
        <f t="shared" ca="1" si="5"/>
        <v>0.97530000000000006</v>
      </c>
      <c r="J31" s="75" t="s">
        <v>318</v>
      </c>
      <c r="K31" s="71">
        <v>2</v>
      </c>
      <c r="L31" s="209">
        <f t="shared" ca="1" si="0"/>
        <v>1.9506000000000001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JUA'!$D$3:$Y$114,4,0)</f>
        <v>44469</v>
      </c>
      <c r="E32" s="209">
        <f>VLOOKUP(C32,'BD EVA 2 JUA'!$D$3:$Q$114,13,0)</f>
        <v>0</v>
      </c>
      <c r="F32" s="75">
        <f>VLOOKUP(C32,'BD EVA 2 JUA'!$D$3:$Y$114,8,0)</f>
        <v>45016</v>
      </c>
      <c r="G32" s="209">
        <f ca="1">VLOOKUP(C32,'BD EVA 2 JUA'!$D$3:$AC$114,23,0)</f>
        <v>0</v>
      </c>
      <c r="H32" s="209">
        <f>VLOOKUP(C32,'BD EVA 2 JUA'!$D$3:$AC$114,16,0)</f>
        <v>4</v>
      </c>
      <c r="I32" s="80">
        <f t="shared" ca="1" si="5"/>
        <v>0</v>
      </c>
      <c r="J32" s="75" t="s">
        <v>318</v>
      </c>
      <c r="K32" s="71">
        <v>2</v>
      </c>
      <c r="L32" s="209">
        <f t="shared" ca="1" si="0"/>
        <v>0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 t="str">
        <f>VLOOKUP(C33,'BD EVA 2 JUA'!$D$3:$Y$114,4,0)</f>
        <v>enero - diciembre 2021</v>
      </c>
      <c r="E33" s="417">
        <f>VLOOKUP(C33,'BD EVA 2 JUA'!$D$3:$Q$114,13,0)</f>
        <v>0</v>
      </c>
      <c r="F33" s="75" t="str">
        <f>VLOOKUP(C33,'BD EVA 2 JUA'!$D$3:$Y$114,8,0)</f>
        <v>enero- diciembre 2022</v>
      </c>
      <c r="G33" s="207">
        <f ca="1">VLOOKUP(C33,'BD EVA 2 JUA'!$D$3:$AC$114,23,0)</f>
        <v>0.61320754716981096</v>
      </c>
      <c r="H33" s="207">
        <f>VLOOKUP(C33,'BD EVA 2 JUA'!$D$3:$AC$114,16,0)</f>
        <v>0.5</v>
      </c>
      <c r="I33" s="80">
        <f t="shared" ca="1" si="5"/>
        <v>1.2264150943396219</v>
      </c>
      <c r="J33" s="75" t="s">
        <v>318</v>
      </c>
      <c r="K33" s="71">
        <v>2</v>
      </c>
      <c r="L33" s="209">
        <f t="shared" ca="1" si="0"/>
        <v>2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JUA'!$D$3:$Y$114,4,0)</f>
        <v>enero - diciembre 2021</v>
      </c>
      <c r="E34" s="78">
        <f>VLOOKUP(C34,'BD EVA 2 JUA'!$D$3:$Q$114,13,0)</f>
        <v>0.14537395101415179</v>
      </c>
      <c r="F34" s="71" t="str">
        <f>VLOOKUP(C34,'BD EVA 2 JUA'!$D$3:$Y$114,8,0)</f>
        <v>enero- diciembre 2022</v>
      </c>
      <c r="G34" s="78">
        <f ca="1">VLOOKUP(C34,'BD EVA 2 JUA'!$D$3:$AC$114,23,0)</f>
        <v>0.15317651247122999</v>
      </c>
      <c r="H34" s="78">
        <f>VLOOKUP(C34,'BD EVA 2 JUA'!$D$3:$AC$114,16,0)</f>
        <v>0.3896</v>
      </c>
      <c r="I34" s="83">
        <f ca="1">(G34/H34)</f>
        <v>0.39316353303703794</v>
      </c>
      <c r="J34" s="75" t="s">
        <v>318</v>
      </c>
      <c r="K34" s="82">
        <v>2.1631999999999998</v>
      </c>
      <c r="L34" s="209">
        <f t="shared" ca="1" si="0"/>
        <v>0.85049135466572034</v>
      </c>
      <c r="M34" s="130">
        <f ca="1">SUM(L34:L39)</f>
        <v>5.1762938661715019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2 JUA'!$D$3:$Y$114,4,0)</f>
        <v>Dic 2021</v>
      </c>
      <c r="E35" s="78">
        <f>VLOOKUP(C35,'BD EVA 2 JUA'!$D$3:$Q$114,13,0)</f>
        <v>0.17451045837195084</v>
      </c>
      <c r="F35" s="71" t="str">
        <f>VLOOKUP(C35,'BD EVA 2 JUA'!$D$3:$Y$114,8,0)</f>
        <v>Dic 2022</v>
      </c>
      <c r="G35" s="78">
        <f ca="1">VLOOKUP(C35,'BD EVA 2 JUA'!$D$3:$AC$114,23,0)</f>
        <v>0.185531198512941</v>
      </c>
      <c r="H35" s="78">
        <f>VLOOKUP(C35,'BD EVA 2 JUA'!$D$3:$AC$114,16,0)</f>
        <v>0.51829999999999998</v>
      </c>
      <c r="I35" s="83">
        <f ca="1">G35/H35</f>
        <v>0.35796102356345938</v>
      </c>
      <c r="J35" s="75" t="s">
        <v>318</v>
      </c>
      <c r="K35" s="82">
        <v>1.3520000000000001</v>
      </c>
      <c r="L35" s="209">
        <f t="shared" ca="1" si="0"/>
        <v>0.48396330385779712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2 JUA'!$D$3:$Y$114,4,0)</f>
        <v>enero - diciembre 2021</v>
      </c>
      <c r="E36" s="78">
        <f>VLOOKUP(C36,'BD EVA 2 JUA'!$D$3:$Q$114,13,0)</f>
        <v>1.3830158846889248E-2</v>
      </c>
      <c r="F36" s="71" t="str">
        <f>VLOOKUP(C36,'BD EVA 2 JUA'!$D$3:$Y$114,8,0)</f>
        <v>enero- diciembre 2022</v>
      </c>
      <c r="G36" s="78">
        <f ca="1">VLOOKUP(C36,'BD EVA 2 JUA'!$D$3:$AC$114,23,0)</f>
        <v>0.28804660119222503</v>
      </c>
      <c r="H36" s="78">
        <f>VLOOKUP(C36,'BD EVA 2 JUA'!$D$3:$AC$114,16,0)</f>
        <v>0.58089999999999997</v>
      </c>
      <c r="I36" s="78">
        <f ca="1">IF(G36&lt;E36,0,G36/H36)</f>
        <v>0.49586262901054406</v>
      </c>
      <c r="J36" s="72" t="s">
        <v>316</v>
      </c>
      <c r="K36" s="82">
        <v>2.1631999999999998</v>
      </c>
      <c r="L36" s="209">
        <f t="shared" ca="1" si="0"/>
        <v>1.0726500390756089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2 JUA'!$D$3:$Y$114,4,0)</f>
        <v>enero - diciembre 2021</v>
      </c>
      <c r="E37" s="90">
        <f>VLOOKUP(C37,'BD EVA 2 JUA'!$D$3:$Q$114,13,0)</f>
        <v>104356062.22</v>
      </c>
      <c r="F37" s="89" t="str">
        <f>VLOOKUP(C37,'BD EVA 2 JUA'!$D$3:$Y$114,8,0)</f>
        <v>enero- diciembre 2022</v>
      </c>
      <c r="G37" s="90">
        <f ca="1">VLOOKUP(C37,'BD EVA 2 JUA'!$D$3:$AC$114,23,0)</f>
        <v>96299808.459999993</v>
      </c>
      <c r="H37" s="90">
        <f>VLOOKUP(C37,'BD EVA 2 JUA'!$D$3:$AC$114,16,0)</f>
        <v>106443183.45999999</v>
      </c>
      <c r="I37" s="83">
        <f ca="1">G37/H37</f>
        <v>0.90470620409608704</v>
      </c>
      <c r="J37" s="75" t="s">
        <v>318</v>
      </c>
      <c r="K37" s="82">
        <v>1.0815999999999999</v>
      </c>
      <c r="L37" s="209">
        <f t="shared" ca="1" si="0"/>
        <v>0.9785302303503276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2 JUA'!$D$3:$Y$114,4,0)</f>
        <v>Dic 2020</v>
      </c>
      <c r="E38" s="78">
        <f>VLOOKUP(C38,'BD EVA 2 JUA'!$D$3:$Q$114,13,0)</f>
        <v>0.79785306927511046</v>
      </c>
      <c r="F38" s="89" t="str">
        <f>VLOOKUP(C38,'BD EVA 2 JUA'!$D$3:$Y$114,8,0)</f>
        <v>Dic 2022</v>
      </c>
      <c r="G38" s="78">
        <f ca="1">VLOOKUP(C38,'BD EVA 2 JUA'!$D$3:$AC$114,23,0)</f>
        <v>0.854335562607898</v>
      </c>
      <c r="H38" s="78">
        <f>VLOOKUP(C38,'BD EVA 2 JUA'!$D$3:$AC$114,16,0)</f>
        <v>0.09</v>
      </c>
      <c r="I38" s="83">
        <f ca="1">(H38/G38)</f>
        <v>0.10534502359385686</v>
      </c>
      <c r="J38" s="71" t="s">
        <v>341</v>
      </c>
      <c r="K38" s="82">
        <v>1.62</v>
      </c>
      <c r="L38" s="209">
        <f t="shared" ca="1" si="0"/>
        <v>0.17065893822204814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JUA'!$D$3:$Y$114,4,0)</f>
        <v>Dic 2020</v>
      </c>
      <c r="E39" s="76" t="str">
        <f>VLOOKUP(C39,'BD EVA 2 JUA'!$D$3:$Q$114,13,0)</f>
        <v>Verde</v>
      </c>
      <c r="F39" s="89" t="str">
        <f>VLOOKUP(C39,'BD EVA 2 JUA'!$D$3:$Y$114,8,0)</f>
        <v>Dic 2022</v>
      </c>
      <c r="G39" s="76" t="str">
        <f ca="1">VLOOKUP(C39,'BD EVA 2 JUA'!$D$3:$AC$114,23,0)</f>
        <v>Verde</v>
      </c>
      <c r="H39" s="76" t="str">
        <f>VLOOKUP(C39,'BD EVA 2 JUA'!$D$3:$AC$114,16,0)</f>
        <v>verde</v>
      </c>
      <c r="I39" s="173">
        <f ca="1">IF(G39="Verde",1,0)</f>
        <v>1</v>
      </c>
      <c r="J39" s="75" t="s">
        <v>318</v>
      </c>
      <c r="K39" s="82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D3B74-C3BE-5440-84C8-3D8AEE73F31E}">
  <dimension ref="A1:M39"/>
  <sheetViews>
    <sheetView workbookViewId="0"/>
  </sheetViews>
  <sheetFormatPr baseColWidth="10" defaultRowHeight="16"/>
  <cols>
    <col min="1" max="1" width="10.83203125" style="118"/>
    <col min="3" max="3" width="18.83203125" customWidth="1"/>
    <col min="4" max="4" width="12" customWidth="1"/>
    <col min="5" max="5" width="11.83203125" customWidth="1"/>
    <col min="7" max="7" width="12.83203125" customWidth="1"/>
    <col min="8" max="8" width="11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APO'!$D$3:$Y$111,4,0)</f>
        <v>44469</v>
      </c>
      <c r="E2" s="166">
        <f ca="1">'BD EVA 2 APO'!Y3</f>
        <v>818</v>
      </c>
      <c r="F2" s="75">
        <f>VLOOKUP(C2,'BD EVA 2 APO'!$D$3:$Y$111,8,0)</f>
        <v>45016</v>
      </c>
      <c r="G2" s="123">
        <f ca="1">VLOOKUP(C2,'BD EVA 2 APO'!$D$3:$AC$111,23,0)</f>
        <v>817</v>
      </c>
      <c r="H2" s="123">
        <f>VLOOKUP(C2,'BD EVA 2 APO'!$D$3:$AC$111,16,0)</f>
        <v>840</v>
      </c>
      <c r="I2" s="78">
        <f ca="1">IF(G2&gt;=E2,G2/H2,0)</f>
        <v>0</v>
      </c>
      <c r="J2" s="72" t="s">
        <v>316</v>
      </c>
      <c r="K2" s="81">
        <v>2.7</v>
      </c>
      <c r="L2" s="81">
        <f t="shared" ref="L2:L39" ca="1" si="0">IF(I2&lt;0,0,IF(I2&gt;1,K2,I2*K2))</f>
        <v>0</v>
      </c>
      <c r="M2" s="124">
        <f ca="1">SUM(L2:L4)</f>
        <v>7.3</v>
      </c>
    </row>
    <row r="3" spans="1:13" ht="26">
      <c r="A3" s="121" t="s">
        <v>34</v>
      </c>
      <c r="B3" s="72" t="s">
        <v>40</v>
      </c>
      <c r="C3" s="71" t="s">
        <v>43</v>
      </c>
      <c r="D3" s="75">
        <f>VLOOKUP(C3,'BD EVA 2 APO'!$D$3:$Y$111,4,0)</f>
        <v>44469</v>
      </c>
      <c r="E3" s="126">
        <f>VLOOKUP(C3,'BD EVA 2 APO'!$D$3:$Q$111,13,0)</f>
        <v>1</v>
      </c>
      <c r="F3" s="75">
        <f>VLOOKUP(C3,'BD EVA 2 APO'!$D$3:$Y$111,8,0)</f>
        <v>45016</v>
      </c>
      <c r="G3" s="126">
        <f ca="1">VLOOKUP(C3,'BD EVA 2 APO'!$D$3:$AC$111,23,0)</f>
        <v>1</v>
      </c>
      <c r="H3" s="126" t="str">
        <f>VLOOKUP(C3,'BD EVA 2 APO'!$D$3:$AC$111,16,0)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47"/>
    </row>
    <row r="4" spans="1:13" ht="78">
      <c r="A4" s="121" t="s">
        <v>34</v>
      </c>
      <c r="B4" s="72" t="s">
        <v>45</v>
      </c>
      <c r="C4" s="71" t="s">
        <v>50</v>
      </c>
      <c r="D4" s="75">
        <f>VLOOKUP(C4,'BD EVA 2 APO'!$D$3:$Y$111,4,0)</f>
        <v>44469</v>
      </c>
      <c r="E4" s="126">
        <f>VLOOKUP(C4,'BD EVA 2 APO'!$D$3:$Q$111,13,0)</f>
        <v>0</v>
      </c>
      <c r="F4" s="75">
        <f>VLOOKUP(C4,'BD EVA 2 APO'!$D$3:$Y$111,8,0)</f>
        <v>45016</v>
      </c>
      <c r="G4" s="126">
        <f ca="1">VLOOKUP(C4,'BD EVA 2 APO'!$D$3:$AC$111,23,0)</f>
        <v>1.2239902080783301E-2</v>
      </c>
      <c r="H4" s="126">
        <f>VLOOKUP(C4,'BD EVA 2 APO'!$D$3:$AC$111,16,0)</f>
        <v>3.3E-3</v>
      </c>
      <c r="I4" s="77">
        <f t="shared" ref="I4:I5" ca="1" si="1">G4/H4</f>
        <v>3.7090612366010003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APO'!$D$3:$Y$111,4,0)</f>
        <v>octubre 20 - mar 21</v>
      </c>
      <c r="E5" s="126">
        <f>VLOOKUP(C5,'BD EVA 2 APO'!$D$3:$Q$111,13,0)</f>
        <v>0</v>
      </c>
      <c r="F5" s="72" t="str">
        <f>VLOOKUP(C5,'BD EVA 2 APO'!$D$3:$Y$111,8,0)</f>
        <v>octubre 22- mar 23</v>
      </c>
      <c r="G5" s="126">
        <f ca="1">VLOOKUP(C5,'BD EVA 2 APO'!$D$3:$AC$111,23,0)</f>
        <v>0.146341463414634</v>
      </c>
      <c r="H5" s="126">
        <f>VLOOKUP(C5,'BD EVA 2 APO'!$D$3:$AC$111,16,0)</f>
        <v>0.13300000000000001</v>
      </c>
      <c r="I5" s="77">
        <f t="shared" ca="1" si="1"/>
        <v>1.1003117549972481</v>
      </c>
      <c r="J5" s="75" t="s">
        <v>318</v>
      </c>
      <c r="K5" s="129">
        <v>1.6</v>
      </c>
      <c r="L5" s="12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APO'!$D$3:$Y$111,4,0)</f>
        <v>octubre 20 - mar 21</v>
      </c>
      <c r="E6" s="132">
        <f>VLOOKUP(C6,'BD EVA 2 APO'!$D$3:$Q$111,13,0)</f>
        <v>4.5063043197433208</v>
      </c>
      <c r="F6" s="72" t="str">
        <f>VLOOKUP(C6,'BD EVA 2 APO'!$D$3:$Y$111,8,0)</f>
        <v>octubre 22- mar 23</v>
      </c>
      <c r="G6" s="132">
        <f ca="1">VLOOKUP(C6,'BD EVA 2 APO'!$D$3:$AC$111,23,0)</f>
        <v>5.4830494412339696</v>
      </c>
      <c r="H6" s="132">
        <f>VLOOKUP(C6,'BD EVA 2 APO'!$D$3:$AC$111,16,0)</f>
        <v>3.7</v>
      </c>
      <c r="I6" s="78">
        <f t="shared" ref="I6:I10" ca="1" si="2">(G6-E6)/(H6-E6)</f>
        <v>-1.2113852023037486</v>
      </c>
      <c r="J6" s="71" t="s">
        <v>319</v>
      </c>
      <c r="K6" s="129">
        <v>1.7</v>
      </c>
      <c r="L6" s="12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APO'!$D$3:$Y$111,4,0)</f>
        <v>octubre 20 - mar 21</v>
      </c>
      <c r="E7" s="131">
        <f>VLOOKUP(C7,'BD EVA 2 APO'!$D$3:$Q$111,13,0)</f>
        <v>146.90552082363226</v>
      </c>
      <c r="F7" s="72" t="str">
        <f>VLOOKUP(C7,'BD EVA 2 APO'!$D$3:$Y$111,8,0)</f>
        <v>octubre 22- mar 23</v>
      </c>
      <c r="G7" s="131">
        <f ca="1">VLOOKUP(C7,'BD EVA 2 APO'!$D$3:$AC$111,23,0)</f>
        <v>89.893152681283297</v>
      </c>
      <c r="H7" s="131">
        <f>VLOOKUP(C7,'BD EVA 2 APO'!$D$3:$AC$111,16,0)</f>
        <v>134.6</v>
      </c>
      <c r="I7" s="78">
        <f t="shared" ca="1" si="2"/>
        <v>4.6330723387878852</v>
      </c>
      <c r="J7" s="71" t="s">
        <v>319</v>
      </c>
      <c r="K7" s="129">
        <v>1.6</v>
      </c>
      <c r="L7" s="129">
        <f t="shared" ca="1" si="0"/>
        <v>1.6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APO'!$D$3:$Y$111,4,0)</f>
        <v>octubre 20 - mar 21</v>
      </c>
      <c r="E8" s="131">
        <f>VLOOKUP(C8,'BD EVA 2 APO'!$D$3:$Q$111,13,0)</f>
        <v>332.41504865306564</v>
      </c>
      <c r="F8" s="72" t="str">
        <f>VLOOKUP(C8,'BD EVA 2 APO'!$D$3:$Y$111,8,0)</f>
        <v>octubre 22- mar 23</v>
      </c>
      <c r="G8" s="131">
        <f ca="1">VLOOKUP(C8,'BD EVA 2 APO'!$D$3:$AC$111,23,0)</f>
        <v>307.91651335771797</v>
      </c>
      <c r="H8" s="131">
        <f>VLOOKUP(C8,'BD EVA 2 APO'!$D$3:$AC$111,16,0)</f>
        <v>309.79000000000002</v>
      </c>
      <c r="I8" s="78">
        <f t="shared" ca="1" si="2"/>
        <v>1.082805861371184</v>
      </c>
      <c r="J8" s="71" t="s">
        <v>319</v>
      </c>
      <c r="K8" s="129">
        <v>1.7</v>
      </c>
      <c r="L8" s="129">
        <f t="shared" ca="1" si="0"/>
        <v>1.7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APO'!$D$3:$Y$111,4,0)</f>
        <v>octubre 20 - mar 21</v>
      </c>
      <c r="E9" s="131">
        <f>VLOOKUP(C9,'BD EVA 2 APO'!$D$3:$Q$111,13,0)</f>
        <v>55.127122844859954</v>
      </c>
      <c r="F9" s="72" t="str">
        <f>VLOOKUP(C9,'BD EVA 2 APO'!$D$3:$Y$111,8,0)</f>
        <v>octubre 22- mar 23</v>
      </c>
      <c r="G9" s="131">
        <f ca="1">VLOOKUP(C9,'BD EVA 2 APO'!$D$3:$AC$111,23,0)</f>
        <v>42.7100693317172</v>
      </c>
      <c r="H9" s="131">
        <f>VLOOKUP(C9,'BD EVA 2 APO'!$D$3:$AC$111,16,0)</f>
        <v>51.36</v>
      </c>
      <c r="I9" s="78">
        <f t="shared" ca="1" si="2"/>
        <v>3.2961636836678112</v>
      </c>
      <c r="J9" s="71" t="s">
        <v>319</v>
      </c>
      <c r="K9" s="129">
        <v>1.7</v>
      </c>
      <c r="L9" s="129">
        <f t="shared" ca="1" si="0"/>
        <v>1.7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APO'!$D$3:$Y$111,4,0)</f>
        <v>octubre 20 - mar 21</v>
      </c>
      <c r="E10" s="131">
        <f>VLOOKUP(C10,'BD EVA 2 APO'!$D$3:$Q$111,13,0)</f>
        <v>6.1586159036492054</v>
      </c>
      <c r="F10" s="72" t="str">
        <f>VLOOKUP(C10,'BD EVA 2 APO'!$D$3:$Y$111,8,0)</f>
        <v>octubre 22- mar 23</v>
      </c>
      <c r="G10" s="131">
        <f ca="1">VLOOKUP(C10,'BD EVA 2 APO'!$D$3:$AC$111,23,0)</f>
        <v>4.1844324683101304</v>
      </c>
      <c r="H10" s="131">
        <f>VLOOKUP(C10,'BD EVA 2 APO'!$D$3:$AC$111,16,0)</f>
        <v>5.77</v>
      </c>
      <c r="I10" s="78">
        <f t="shared" ca="1" si="2"/>
        <v>5.0800376845130932</v>
      </c>
      <c r="J10" s="71" t="s">
        <v>319</v>
      </c>
      <c r="K10" s="129">
        <v>1.7</v>
      </c>
      <c r="L10" s="129">
        <f t="shared" ca="1" si="0"/>
        <v>1.7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APO'!$D$3:$Y$111,4,0)</f>
        <v>44469</v>
      </c>
      <c r="E11" s="170">
        <f>VLOOKUP(C11,'BD EVA 2 APO'!$D$3:$Q$111,13,0)</f>
        <v>0</v>
      </c>
      <c r="F11" s="89">
        <f>VLOOKUP(C11,'BD EVA 2 APO'!$D$3:$Y$111,8,0)</f>
        <v>45016</v>
      </c>
      <c r="G11" s="170">
        <f ca="1">VLOOKUP(C11,'BD EVA 2 APO'!$D$3:$AC$111,23,0)</f>
        <v>0</v>
      </c>
      <c r="H11" s="170">
        <f>VLOOKUP(C11,'BD EVA 2 APO'!$D$3:$AC$111,16,0)</f>
        <v>3.7000000000000002E-3</v>
      </c>
      <c r="I11" s="77">
        <f t="shared" ref="I11:I15" ca="1" si="3">G11/H11</f>
        <v>0</v>
      </c>
      <c r="J11" s="89" t="s">
        <v>318</v>
      </c>
      <c r="K11" s="71">
        <v>1.1000000000000001</v>
      </c>
      <c r="L11" s="132">
        <f t="shared" ca="1" si="0"/>
        <v>0</v>
      </c>
      <c r="M11" s="130">
        <f ca="1">SUM(L11:L15)</f>
        <v>7.5437499999999993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APO'!$D$3:$Y$111,4,0)</f>
        <v>octubre 20 - mar 21</v>
      </c>
      <c r="E12" s="137">
        <f>VLOOKUP(C12,'BD EVA 2 APO'!$D$3:$Q$111,13,0)</f>
        <v>0</v>
      </c>
      <c r="F12" s="71" t="str">
        <f>VLOOKUP(C12,'BD EVA 2 APO'!$D$3:$Y$111,8,0)</f>
        <v>octubre 22- mar 23</v>
      </c>
      <c r="G12" s="128">
        <f ca="1">VLOOKUP(C12,'BD EVA 2 APO'!$D$3:$AC$111,23,0)</f>
        <v>5.4858398731855195E-4</v>
      </c>
      <c r="H12" s="128">
        <f>VLOOKUP(C12,'BD EVA 2 APO'!$D$3:$AC$111,16,0)</f>
        <v>5.4858398731855249E-4</v>
      </c>
      <c r="I12" s="78">
        <f t="shared" ca="1" si="3"/>
        <v>0.999999999999999</v>
      </c>
      <c r="J12" s="75" t="s">
        <v>318</v>
      </c>
      <c r="K12" s="71">
        <v>1.1000000000000001</v>
      </c>
      <c r="L12" s="132">
        <f t="shared" ca="1" si="0"/>
        <v>1.099999999999999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APO'!$D$3:$Y$111,4,0)</f>
        <v>octubre 20 - mar 21</v>
      </c>
      <c r="E13" s="137">
        <f>VLOOKUP(C13,'BD EVA 2 APO'!$D$3:$Q$111,13,0)</f>
        <v>0</v>
      </c>
      <c r="F13" s="71" t="str">
        <f>VLOOKUP(C13,'BD EVA 2 APO'!$D$3:$Y$111,8,0)</f>
        <v>octubre 21 - mar 23</v>
      </c>
      <c r="G13" s="137">
        <f ca="1">VLOOKUP(C13,'BD EVA 2 APO'!$D$3:$AC$111,23,0)</f>
        <v>2</v>
      </c>
      <c r="H13" s="137">
        <f>VLOOKUP(C13,'BD EVA 2 APO'!$D$3:$AC$111,16,0)</f>
        <v>1</v>
      </c>
      <c r="I13" s="78">
        <f t="shared" ca="1" si="3"/>
        <v>2</v>
      </c>
      <c r="J13" s="75" t="s">
        <v>318</v>
      </c>
      <c r="K13" s="82">
        <v>2.35</v>
      </c>
      <c r="L13" s="132">
        <f t="shared" ca="1" si="0"/>
        <v>2.35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APO'!$D$3:$Y$111,4,0)</f>
        <v>octubre 20 - mar 21</v>
      </c>
      <c r="E14" s="137">
        <f>VLOOKUP(C14,'BD EVA 2 APO'!$D$3:$Q$111,13,0)</f>
        <v>348</v>
      </c>
      <c r="F14" s="71" t="str">
        <f>VLOOKUP(C14,'BD EVA 2 APO'!$D$3:$Y$111,8,0)</f>
        <v>octubre 21 - mar 23</v>
      </c>
      <c r="G14" s="137">
        <f ca="1">VLOOKUP(C14,'BD EVA 2 APO'!$D$3:$AC$111,23,0)</f>
        <v>8722</v>
      </c>
      <c r="H14" s="137">
        <f>VLOOKUP(C14,'BD EVA 2 APO'!$D$3:$AC$111,16,0)</f>
        <v>2644</v>
      </c>
      <c r="I14" s="78">
        <f t="shared" ca="1" si="3"/>
        <v>3.298789712556732</v>
      </c>
      <c r="J14" s="75" t="s">
        <v>318</v>
      </c>
      <c r="K14" s="82">
        <v>2.35</v>
      </c>
      <c r="L14" s="132">
        <f t="shared" ca="1" si="0"/>
        <v>2.35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71" t="str">
        <f>VLOOKUP(C15,'BD EVA 2 APO'!$D$3:$Y$111,4,0)</f>
        <v>octubre 20 - mar 21</v>
      </c>
      <c r="E15" s="137">
        <f>VLOOKUP(C15,'BD EVA 2 APO'!$D$3:$Q$111,13,0)</f>
        <v>1</v>
      </c>
      <c r="F15" s="71" t="str">
        <f>VLOOKUP(C15,'BD EVA 2 APO'!$D$3:$Y$111,8,0)</f>
        <v>octubre 21 - mar 23</v>
      </c>
      <c r="G15" s="137">
        <f ca="1">VLOOKUP(C15,'BD EVA 2 APO'!$D$3:$AC$111,23,0)</f>
        <v>9</v>
      </c>
      <c r="H15" s="137">
        <f>VLOOKUP(C15,'BD EVA 2 APO'!$D$3:$AC$111,16,0)</f>
        <v>16</v>
      </c>
      <c r="I15" s="78">
        <f t="shared" ca="1" si="3"/>
        <v>0.5625</v>
      </c>
      <c r="J15" s="75" t="s">
        <v>318</v>
      </c>
      <c r="K15" s="71">
        <v>3.1</v>
      </c>
      <c r="L15" s="132">
        <f t="shared" ca="1" si="0"/>
        <v>1.7437500000000001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APO'!$D$3:$Y$111,4,0)</f>
        <v>44469</v>
      </c>
      <c r="E16" s="139">
        <f>VLOOKUP(C16,'BD EVA 2 APO'!$D$3:$Q$111,13,0)</f>
        <v>0.66666666666666663</v>
      </c>
      <c r="F16" s="75">
        <f>VLOOKUP(C16,'BD EVA 2 APO'!$D$3:$Y$111,8,0)</f>
        <v>45016</v>
      </c>
      <c r="G16" s="139">
        <f ca="1">VLOOKUP(C16,'BD EVA 2 APO'!$D$3:$AC$111,23,0)</f>
        <v>1</v>
      </c>
      <c r="H16" s="139" t="str">
        <f>VLOOKUP(C16,'BD EVA 2 APO'!$D$3:$AC$111,16,0)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171">
        <v>1.5</v>
      </c>
      <c r="L16" s="132">
        <f t="shared" ca="1" si="0"/>
        <v>1.5</v>
      </c>
      <c r="M16" s="130">
        <f ca="1">SUM(L16:L23)</f>
        <v>8.6078874765289157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APO'!$D$3:$Y$111,4,0)</f>
        <v>44469</v>
      </c>
      <c r="E17" s="137">
        <f>VLOOKUP(C17,'BD EVA 2 APO'!$D$3:$Q$111,13,0)</f>
        <v>1</v>
      </c>
      <c r="F17" s="75">
        <f>VLOOKUP(C17,'BD EVA 2 APO'!$D$3:$Y$111,8,0)</f>
        <v>45016</v>
      </c>
      <c r="G17" s="137">
        <f ca="1">VLOOKUP(C17,'BD EVA 2 APO'!$D$3:$AC$111,23,0)</f>
        <v>1</v>
      </c>
      <c r="H17" s="137" t="str">
        <f>VLOOKUP(C17,'BD EVA 2 APO'!$D$3:$AC$111,16,0)</f>
        <v>Actualizado al 2018</v>
      </c>
      <c r="I17" s="125">
        <f t="shared" ca="1" si="4"/>
        <v>1</v>
      </c>
      <c r="J17" s="75" t="s">
        <v>318</v>
      </c>
      <c r="K17" s="71">
        <v>1.5</v>
      </c>
      <c r="L17" s="132">
        <f t="shared" ca="1" si="0"/>
        <v>1.5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APO'!$D$3:$Y$111,4,0)</f>
        <v>44469</v>
      </c>
      <c r="E18" s="126">
        <f>VLOOKUP(C18,'BD EVA 2 APO'!$D$3:$Q$111,13,0)</f>
        <v>0</v>
      </c>
      <c r="F18" s="75">
        <f>VLOOKUP(C18,'BD EVA 2 APO'!$D$3:$Y$111,8,0)</f>
        <v>45016</v>
      </c>
      <c r="G18" s="126">
        <f ca="1">VLOOKUP(C18,'BD EVA 2 APO'!$D$3:$AC$111,23,0)</f>
        <v>0</v>
      </c>
      <c r="H18" s="126">
        <f>VLOOKUP(C18,'BD EVA 2 APO'!$D$3:$AC$111,16,0)</f>
        <v>1</v>
      </c>
      <c r="I18" s="125">
        <f t="shared" ref="I18:I27" ca="1" si="5">G18/H18</f>
        <v>0</v>
      </c>
      <c r="J18" s="75" t="s">
        <v>318</v>
      </c>
      <c r="K18" s="71">
        <v>0.3</v>
      </c>
      <c r="L18" s="132">
        <f t="shared" ca="1" si="0"/>
        <v>0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APO'!$D$3:$Y$111,4,0)</f>
        <v>44469</v>
      </c>
      <c r="E19" s="126">
        <f>VLOOKUP(C19,'BD EVA 2 APO'!$D$3:$Q$111,13,0)</f>
        <v>0.99790476190476185</v>
      </c>
      <c r="F19" s="75">
        <f>VLOOKUP(C19,'BD EVA 2 APO'!$D$3:$Y$111,8,0)</f>
        <v>45016</v>
      </c>
      <c r="G19" s="126">
        <f ca="1">VLOOKUP(C19,'BD EVA 2 APO'!$D$3:$AC$111,23,0)</f>
        <v>0.98148820326678698</v>
      </c>
      <c r="H19" s="126">
        <f>VLOOKUP(C19,'BD EVA 2 APO'!$D$3:$AC$111,16,0)</f>
        <v>1</v>
      </c>
      <c r="I19" s="125">
        <f t="shared" ca="1" si="5"/>
        <v>0.98148820326678698</v>
      </c>
      <c r="J19" s="75" t="s">
        <v>318</v>
      </c>
      <c r="K19" s="71">
        <v>1.5</v>
      </c>
      <c r="L19" s="132">
        <f t="shared" ca="1" si="0"/>
        <v>1.4722323049001804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APO'!$D$3:$Y$111,4,0)</f>
        <v>44469</v>
      </c>
      <c r="E20" s="125">
        <f>VLOOKUP(C20,'BD EVA 2 APO'!$D$3:$Q$111,13,0)</f>
        <v>1</v>
      </c>
      <c r="F20" s="75">
        <f>VLOOKUP(C20,'BD EVA 2 APO'!$D$3:$Y$111,8,0)</f>
        <v>45016</v>
      </c>
      <c r="G20" s="125">
        <f ca="1">VLOOKUP(C20,'BD EVA 2 APO'!$D$3:$AC$111,23,0)</f>
        <v>1</v>
      </c>
      <c r="H20" s="125">
        <f>VLOOKUP(C20,'BD EVA 2 APO'!$D$3:$AC$111,16,0)</f>
        <v>1</v>
      </c>
      <c r="I20" s="125">
        <f t="shared" ca="1" si="5"/>
        <v>1</v>
      </c>
      <c r="J20" s="75" t="s">
        <v>318</v>
      </c>
      <c r="K20" s="71">
        <v>1.5</v>
      </c>
      <c r="L20" s="132">
        <f t="shared" ca="1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APO'!$D$3:$Y$111,4,0)</f>
        <v>44469</v>
      </c>
      <c r="E21" s="126">
        <f>VLOOKUP(C21,'BD EVA 2 APO'!$D$3:$Q$111,13,0)</f>
        <v>0.52489848972141995</v>
      </c>
      <c r="F21" s="75">
        <f>VLOOKUP(C21,'BD EVA 2 APO'!$D$3:$Y$111,8,0)</f>
        <v>45016</v>
      </c>
      <c r="G21" s="126">
        <f ca="1">VLOOKUP(C21,'BD EVA 2 APO'!$D$3:$AC$111,23,0)</f>
        <v>0.66104967595032205</v>
      </c>
      <c r="H21" s="126">
        <f>VLOOKUP(C21,'BD EVA 2 APO'!$D$3:$AC$111,16,0)</f>
        <v>1</v>
      </c>
      <c r="I21" s="125">
        <f t="shared" ca="1" si="5"/>
        <v>0.66104967595032205</v>
      </c>
      <c r="J21" s="75" t="s">
        <v>318</v>
      </c>
      <c r="K21" s="71">
        <v>0.9</v>
      </c>
      <c r="L21" s="132">
        <f t="shared" ca="1" si="0"/>
        <v>0.5949447083552899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APO'!$D$3:$Y$111,4,0)</f>
        <v>44469</v>
      </c>
      <c r="E22" s="126">
        <f>VLOOKUP(C22,'BD EVA 2 APO'!$D$3:$Q$111,13,0)</f>
        <v>0.69675834672650638</v>
      </c>
      <c r="F22" s="75">
        <f>VLOOKUP(C22,'BD EVA 2 APO'!$D$3:$Y$111,8,0)</f>
        <v>45016</v>
      </c>
      <c r="G22" s="126">
        <f ca="1">VLOOKUP(C22,'BD EVA 2 APO'!$D$3:$AC$111,23,0)</f>
        <v>0.71275434393668302</v>
      </c>
      <c r="H22" s="126">
        <f>VLOOKUP(C22,'BD EVA 2 APO'!$D$3:$AC$111,16,0)</f>
        <v>1</v>
      </c>
      <c r="I22" s="125">
        <f t="shared" ca="1" si="5"/>
        <v>0.71275434393668302</v>
      </c>
      <c r="J22" s="75" t="s">
        <v>318</v>
      </c>
      <c r="K22" s="71">
        <v>1.5</v>
      </c>
      <c r="L22" s="132">
        <f t="shared" ca="1" si="0"/>
        <v>1.0691315159050245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71" t="str">
        <f>VLOOKUP(C23,'BD EVA 2 APO'!$D$3:$Y$111,4,0)</f>
        <v>octubre 20 - mar 21</v>
      </c>
      <c r="E23" s="131">
        <f>VLOOKUP(C23,'BD EVA 2 APO'!$D$3:$Q$111,13,0)</f>
        <v>0</v>
      </c>
      <c r="F23" s="71" t="str">
        <f>VLOOKUP(C23,'BD EVA 2 APO'!$D$3:$Y$111,8,0)</f>
        <v>octubre 22 - mar 23</v>
      </c>
      <c r="G23" s="131">
        <f ca="1">VLOOKUP(C23,'BD EVA 2 APO'!$D$3:$AC$111,23,0)</f>
        <v>7.1</v>
      </c>
      <c r="H23" s="131">
        <f>VLOOKUP(C23,'BD EVA 2 APO'!$D$3:$AC$111,16,0)</f>
        <v>9.5</v>
      </c>
      <c r="I23" s="125">
        <f t="shared" ca="1" si="5"/>
        <v>0.74736842105263157</v>
      </c>
      <c r="J23" s="75" t="s">
        <v>318</v>
      </c>
      <c r="K23" s="71">
        <v>1.3</v>
      </c>
      <c r="L23" s="132">
        <f t="shared" ca="1" si="0"/>
        <v>0.9715789473684211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APO'!$D$3:$Y$111,4,0)</f>
        <v>44469</v>
      </c>
      <c r="E24" s="140">
        <f>VLOOKUP(C24,'BD EVA 2 APO'!$D$3:$Q$111,13,0)</f>
        <v>6.0339999999999998</v>
      </c>
      <c r="F24" s="75">
        <f>VLOOKUP(C24,'BD EVA 2 APO'!$D$3:$Y$111,8,0)</f>
        <v>45016</v>
      </c>
      <c r="G24" s="140">
        <f ca="1">VLOOKUP(C24,'BD EVA 2 APO'!$D$3:$AC$111,23,0)</f>
        <v>9.5</v>
      </c>
      <c r="H24" s="140">
        <f>VLOOKUP(C24,'BD EVA 2 APO'!$D$3:$AC$111,16,0)</f>
        <v>6.8340000000000005</v>
      </c>
      <c r="I24" s="125">
        <f t="shared" ca="1" si="5"/>
        <v>1.3901082821188175</v>
      </c>
      <c r="J24" s="75" t="s">
        <v>318</v>
      </c>
      <c r="K24" s="171">
        <v>1.9450000000000001</v>
      </c>
      <c r="L24" s="82">
        <f t="shared" ca="1" si="0"/>
        <v>1.9450000000000001</v>
      </c>
      <c r="M24" s="130">
        <f ca="1">SUM(L24:L28)</f>
        <v>10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APO'!$D$3:$Y$111,4,0)</f>
        <v>octubre 20 - mar 21</v>
      </c>
      <c r="E25" s="137">
        <f>VLOOKUP(C25,'BD EVA 2 APO'!$D$3:$Q$111,13,0)</f>
        <v>0</v>
      </c>
      <c r="F25" s="71" t="str">
        <f>VLOOKUP(C25,'BD EVA 2 APO'!$D$3:$Y$111,8,0)</f>
        <v>octubre 22 - mar 23</v>
      </c>
      <c r="G25" s="137">
        <f ca="1">VLOOKUP(C25,'BD EVA 2 APO'!$D$3:$AC$111,23,0)</f>
        <v>2799</v>
      </c>
      <c r="H25" s="137">
        <f>VLOOKUP(C25,'BD EVA 2 APO'!$D$3:$AC$111,16,0)</f>
        <v>675</v>
      </c>
      <c r="I25" s="125">
        <f t="shared" ca="1" si="5"/>
        <v>4.1466666666666665</v>
      </c>
      <c r="J25" s="75" t="s">
        <v>318</v>
      </c>
      <c r="K25" s="171">
        <v>1.6337999999999999</v>
      </c>
      <c r="L25" s="129">
        <f t="shared" ca="1" si="0"/>
        <v>1.6337999999999999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APO'!$D$3:$Y$111,4,0)</f>
        <v>enero - diciembre 2021</v>
      </c>
      <c r="E26" s="137">
        <f>VLOOKUP(C26,'BD EVA 2 APO'!$D$3:$Q$111,13,0)</f>
        <v>0.14974251745121794</v>
      </c>
      <c r="F26" s="71" t="str">
        <f>VLOOKUP(C26,'BD EVA 2 APO'!$D$3:$Y$111,8,0)</f>
        <v>enero- diciembre 2022</v>
      </c>
      <c r="G26" s="128">
        <f ca="1">VLOOKUP(C26,'BD EVA 2 APO'!$D$3:$AC$111,23,0)</f>
        <v>0.52528892949213601</v>
      </c>
      <c r="H26" s="128">
        <f>VLOOKUP(C26,'BD EVA 2 APO'!$D$3:$AC$111,16,0)</f>
        <v>0.16</v>
      </c>
      <c r="I26" s="125">
        <f t="shared" ca="1" si="5"/>
        <v>3.2830558093258499</v>
      </c>
      <c r="J26" s="75" t="s">
        <v>318</v>
      </c>
      <c r="K26" s="171">
        <v>2.1006</v>
      </c>
      <c r="L26" s="129">
        <f t="shared" ca="1" si="0"/>
        <v>2.1006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APO'!$D$3:$Y$111,4,0)</f>
        <v>octubre 20 - mar 21</v>
      </c>
      <c r="E27" s="137">
        <f>VLOOKUP(C27,'BD EVA 2 APO'!$D$3:$Q$111,13,0)</f>
        <v>4</v>
      </c>
      <c r="F27" s="71" t="str">
        <f>VLOOKUP(C27,'BD EVA 2 APO'!$D$3:$Y$111,8,0)</f>
        <v>octubre 22 - mar 23</v>
      </c>
      <c r="G27" s="137">
        <f ca="1">VLOOKUP(C27,'BD EVA 2 APO'!$D$3:$AC$111,23,0)</f>
        <v>5</v>
      </c>
      <c r="H27" s="137">
        <f>VLOOKUP(C27,'BD EVA 2 APO'!$D$3:$AC$111,16,0)</f>
        <v>4</v>
      </c>
      <c r="I27" s="125">
        <f t="shared" ca="1" si="5"/>
        <v>1.25</v>
      </c>
      <c r="J27" s="75" t="s">
        <v>318</v>
      </c>
      <c r="K27" s="171">
        <v>2.1006</v>
      </c>
      <c r="L27" s="129">
        <f t="shared" ca="1" si="0"/>
        <v>2.1006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71" t="str">
        <f>VLOOKUP(C28,'BD EVA 2 APO'!$D$3:$Y$111,4,0)</f>
        <v>octubre 2018 - marzo 2019</v>
      </c>
      <c r="E28" s="137">
        <f>VLOOKUP(C28,'BD EVA 2 APO'!$D$3:$Q$111,13,0)</f>
        <v>2257</v>
      </c>
      <c r="F28" s="71" t="str">
        <f>VLOOKUP(C28,'BD EVA 2 APO'!$D$3:$Y$111,8,0)</f>
        <v>octubre 22 - mar 23</v>
      </c>
      <c r="G28" s="137">
        <f ca="1">VLOOKUP(C28,'BD EVA 2 APO'!$D$3:$AC$111,23,0)</f>
        <v>2058</v>
      </c>
      <c r="H28" s="137">
        <f>VLOOKUP(C28,'BD EVA 2 APO'!$D$3:$AC$111,16,0)</f>
        <v>2212</v>
      </c>
      <c r="I28" s="78">
        <f ca="1">(G28-E28)/(H28-E28)</f>
        <v>4.4222222222222225</v>
      </c>
      <c r="J28" s="71" t="s">
        <v>319</v>
      </c>
      <c r="K28" s="171">
        <v>2.2200000000000002</v>
      </c>
      <c r="L28" s="129">
        <f t="shared" ca="1" si="0"/>
        <v>2.2200000000000002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71" t="str">
        <f>VLOOKUP(C29,'BD EVA 2 APO'!$D$3:$Y$111,4,0)</f>
        <v>octubre 20 - mar 21</v>
      </c>
      <c r="E29" s="137">
        <f>VLOOKUP(C29,'BD EVA 2 APO'!$D$3:$Q$111,13,0)</f>
        <v>3</v>
      </c>
      <c r="F29" s="71" t="str">
        <f>VLOOKUP(C29,'BD EVA 2 APO'!$D$3:$Y$111,8,0)</f>
        <v>octubre 22 - mar 23</v>
      </c>
      <c r="G29" s="137">
        <f ca="1">VLOOKUP(C29,'BD EVA 2 APO'!$D$3:$AC$111,23,0)</f>
        <v>7</v>
      </c>
      <c r="H29" s="137">
        <f>VLOOKUP(C29,'BD EVA 2 APO'!$D$3:$AC$111,16,0)</f>
        <v>3</v>
      </c>
      <c r="I29" s="78">
        <f t="shared" ref="I29:I33" ca="1" si="6">G29/H29</f>
        <v>2.3333333333333335</v>
      </c>
      <c r="J29" s="75" t="s">
        <v>318</v>
      </c>
      <c r="K29" s="82">
        <v>2</v>
      </c>
      <c r="L29" s="129">
        <f t="shared" ca="1" si="0"/>
        <v>2</v>
      </c>
      <c r="M29" s="130">
        <f ca="1">SUM(L29:L33)</f>
        <v>8.9341977184143744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APO'!$D$3:$Y$111,4,0)</f>
        <v>44469</v>
      </c>
      <c r="E30" s="137">
        <f>VLOOKUP(C30,'BD EVA 2 APO'!$D$3:$Q$111,13,0)</f>
        <v>3</v>
      </c>
      <c r="F30" s="75">
        <f>VLOOKUP(C30,'BD EVA 2 APO'!$D$3:$Y$111,8,0)</f>
        <v>45016</v>
      </c>
      <c r="G30" s="137">
        <f ca="1">VLOOKUP(C30,'BD EVA 2 APO'!$D$3:$AC$111,23,0)</f>
        <v>5</v>
      </c>
      <c r="H30" s="137">
        <f>VLOOKUP(C30,'BD EVA 2 APO'!$D$3:$AC$111,16,0)</f>
        <v>5</v>
      </c>
      <c r="I30" s="78">
        <f t="shared" ca="1" si="6"/>
        <v>1</v>
      </c>
      <c r="J30" s="75" t="s">
        <v>318</v>
      </c>
      <c r="K30" s="82">
        <v>2</v>
      </c>
      <c r="L30" s="12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APO'!$D$3:$Y$111,4,0)</f>
        <v>44469</v>
      </c>
      <c r="E31" s="137">
        <f>VLOOKUP(C31,'BD EVA 2 APO'!$D$3:$Q$111,13,0)</f>
        <v>100</v>
      </c>
      <c r="F31" s="75" t="str">
        <f>VLOOKUP(C31,'BD EVA 2 APO'!$D$3:$Y$111,8,0)</f>
        <v>Dic 2022</v>
      </c>
      <c r="G31" s="137">
        <f ca="1">VLOOKUP(C31,'BD EVA 2 APO'!$D$3:$AC$111,23,0)</f>
        <v>100</v>
      </c>
      <c r="H31" s="137">
        <f>VLOOKUP(C31,'BD EVA 2 APO'!$D$3:$AC$111,16,0)</f>
        <v>100</v>
      </c>
      <c r="I31" s="78">
        <f t="shared" ca="1" si="6"/>
        <v>1</v>
      </c>
      <c r="J31" s="75" t="s">
        <v>318</v>
      </c>
      <c r="K31" s="82">
        <v>2</v>
      </c>
      <c r="L31" s="129">
        <f t="shared" ca="1" si="0"/>
        <v>2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APO'!$D$3:$Y$111,4,0)</f>
        <v>44469</v>
      </c>
      <c r="E32" s="129">
        <f>VLOOKUP(C32,'BD EVA 2 APO'!$D$3:$Q$111,13,0)</f>
        <v>0</v>
      </c>
      <c r="F32" s="75">
        <f>VLOOKUP(C32,'BD EVA 2 APO'!$D$3:$Y$111,8,0)</f>
        <v>45016</v>
      </c>
      <c r="G32" s="129">
        <f ca="1">VLOOKUP(C32,'BD EVA 2 APO'!$D$3:$AC$111,23,0)</f>
        <v>2.8584944467297402</v>
      </c>
      <c r="H32" s="129">
        <f>VLOOKUP(C32,'BD EVA 2 APO'!$D$3:$AC$111,16,0)</f>
        <v>4</v>
      </c>
      <c r="I32" s="78">
        <f t="shared" ca="1" si="6"/>
        <v>0.71462361168243504</v>
      </c>
      <c r="J32" s="75" t="s">
        <v>318</v>
      </c>
      <c r="K32" s="82">
        <v>2</v>
      </c>
      <c r="L32" s="129">
        <f t="shared" ca="1" si="0"/>
        <v>1.4292472233648701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APO'!$D$3:$Y$111,4,0)</f>
        <v>44469</v>
      </c>
      <c r="E33" s="129">
        <f>VLOOKUP(C33,'BD EVA 2 APO'!$D$3:$Q$111,13,0)</f>
        <v>0</v>
      </c>
      <c r="F33" s="75">
        <f>VLOOKUP(C33,'BD EVA 2 APO'!$D$3:$Y$111,8,0)</f>
        <v>45016</v>
      </c>
      <c r="G33" s="126">
        <f ca="1">VLOOKUP(C33,'BD EVA 2 APO'!$D$3:$AC$111,23,0)</f>
        <v>0.37623762376237602</v>
      </c>
      <c r="H33" s="126">
        <f>VLOOKUP(C33,'BD EVA 2 APO'!$D$3:$AC$111,16,0)</f>
        <v>0.5</v>
      </c>
      <c r="I33" s="78">
        <f t="shared" ca="1" si="6"/>
        <v>0.75247524752475203</v>
      </c>
      <c r="J33" s="75" t="s">
        <v>318</v>
      </c>
      <c r="K33" s="82">
        <v>2</v>
      </c>
      <c r="L33" s="129">
        <f t="shared" ca="1" si="0"/>
        <v>1.5049504950495041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APO'!$D$3:$Y$111,4,0)</f>
        <v>enero - diciembre 2021</v>
      </c>
      <c r="E34" s="78">
        <f>VLOOKUP(C34,'BD EVA 2 APO'!$D$3:$Q$111,13,0)</f>
        <v>0.44489675065612877</v>
      </c>
      <c r="F34" s="71" t="str">
        <f>VLOOKUP(C34,'BD EVA 2 APO'!$D$3:$Y$111,8,0)</f>
        <v>enero- diciembre 2022</v>
      </c>
      <c r="G34" s="78">
        <f ca="1">VLOOKUP(C34,'BD EVA 2 APO'!$D$3:$AC$111,23,0)</f>
        <v>0.42028459895929798</v>
      </c>
      <c r="H34" s="78">
        <f>VLOOKUP(C34,'BD EVA 2 APO'!$D$3:$AC$111,16,0)</f>
        <v>0.46326450043741918</v>
      </c>
      <c r="I34" s="78">
        <f ca="1">(G34/H34)</f>
        <v>0.90722383986353561</v>
      </c>
      <c r="J34" s="75" t="s">
        <v>318</v>
      </c>
      <c r="K34" s="82">
        <v>2.2000000000000002</v>
      </c>
      <c r="L34" s="129">
        <f t="shared" ca="1" si="0"/>
        <v>1.9958924476997786</v>
      </c>
      <c r="M34" s="130">
        <f ca="1">SUM(L34:L39)</f>
        <v>9.7905212539058084</v>
      </c>
    </row>
    <row r="35" spans="1:13" ht="117">
      <c r="A35" s="121" t="s">
        <v>275</v>
      </c>
      <c r="B35" s="72" t="s">
        <v>276</v>
      </c>
      <c r="C35" s="72" t="s">
        <v>287</v>
      </c>
      <c r="D35" s="71" t="str">
        <f>VLOOKUP(C35,'BD EVA 2 APO'!$D$3:$Y$111,4,0)</f>
        <v>enero - diciembre 2021</v>
      </c>
      <c r="E35" s="78">
        <f>VLOOKUP(C35,'BD EVA 2 APO'!$D$3:$Q$111,13,0)</f>
        <v>0.54200847224788795</v>
      </c>
      <c r="F35" s="71" t="str">
        <f>VLOOKUP(C35,'BD EVA 2 APO'!$D$3:$Y$111,8,0)</f>
        <v>enero- diciembre 2022</v>
      </c>
      <c r="G35" s="78">
        <f ca="1">VLOOKUP(C35,'BD EVA 2 APO'!$D$3:$AC$111,23,0)</f>
        <v>0.527640308659452</v>
      </c>
      <c r="H35" s="78">
        <f>VLOOKUP(C35,'BD EVA 2 APO'!$D$3:$AC$111,16,0)</f>
        <v>0.55800000000000005</v>
      </c>
      <c r="I35" s="78">
        <f ca="1">G35/H35</f>
        <v>0.94559195100260207</v>
      </c>
      <c r="J35" s="75" t="s">
        <v>318</v>
      </c>
      <c r="K35" s="82">
        <v>1.4</v>
      </c>
      <c r="L35" s="129">
        <f t="shared" ca="1" si="0"/>
        <v>1.3238287314036428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1" t="str">
        <f>VLOOKUP(C36,'BD EVA 2 APO'!$D$3:$Y$111,4,0)</f>
        <v>enero - diciembre 2021</v>
      </c>
      <c r="E36" s="78">
        <f>VLOOKUP(C36,'BD EVA 2 APO'!$D$3:$Q$111,13,0)</f>
        <v>0.49541559297656856</v>
      </c>
      <c r="F36" s="71" t="str">
        <f>VLOOKUP(C36,'BD EVA 2 APO'!$D$3:$Y$111,8,0)</f>
        <v>enero- diciembre 2022</v>
      </c>
      <c r="G36" s="78">
        <f ca="1">VLOOKUP(C36,'BD EVA 2 APO'!$D$3:$AC$111,23,0)</f>
        <v>0.51152042760791006</v>
      </c>
      <c r="H36" s="78">
        <f>VLOOKUP(C36,'BD EVA 2 APO'!$D$3:$AC$111,16,0)</f>
        <v>0.50700000000000001</v>
      </c>
      <c r="I36" s="78">
        <f ca="1">IF(G36&lt;E36,0,G36/H36)</f>
        <v>1.0089160307848324</v>
      </c>
      <c r="J36" s="72" t="s">
        <v>316</v>
      </c>
      <c r="K36" s="82">
        <v>2.2000000000000002</v>
      </c>
      <c r="L36" s="129">
        <f t="shared" ca="1" si="0"/>
        <v>2.2000000000000002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1" t="str">
        <f>VLOOKUP(C37,'BD EVA 2 APO'!$D$3:$Y$111,4,0)</f>
        <v>enero - diciembre 2021</v>
      </c>
      <c r="E37" s="90">
        <f>VLOOKUP(C37,'BD EVA 2 APO'!$D$3:$Q$111,13,0)</f>
        <v>325523993.34999996</v>
      </c>
      <c r="F37" s="71" t="str">
        <f>VLOOKUP(C37,'BD EVA 2 APO'!$D$3:$Y$111,8,0)</f>
        <v>enero- diciembre 2022</v>
      </c>
      <c r="G37" s="90">
        <f ca="1">VLOOKUP(C37,'BD EVA 2 APO'!$D$3:$AC$111,23,0)</f>
        <v>369978124.25999898</v>
      </c>
      <c r="H37" s="90">
        <f>VLOOKUP(C37,'BD EVA 2 APO'!$D$3:$AC$111,16,0)</f>
        <v>328825456.89999998</v>
      </c>
      <c r="I37" s="78">
        <f ca="1">G37/H37</f>
        <v>1.1251504909259931</v>
      </c>
      <c r="J37" s="75" t="s">
        <v>318</v>
      </c>
      <c r="K37" s="82">
        <v>1.1000000000000001</v>
      </c>
      <c r="L37" s="129">
        <f t="shared" ca="1" si="0"/>
        <v>1.1000000000000001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1" t="str">
        <f>VLOOKUP(C38,'BD EVA 2 APO'!$D$3:$Y$111,4,0)</f>
        <v>enero - diciembre 2021</v>
      </c>
      <c r="E38" s="78">
        <f>VLOOKUP(C38,'BD EVA 2 APO'!$D$3:$Q$111,13,0)</f>
        <v>0.81743848971462973</v>
      </c>
      <c r="F38" s="71" t="str">
        <f>VLOOKUP(C38,'BD EVA 2 APO'!$D$3:$Y$111,8,0)</f>
        <v>enero- diciembre 2022</v>
      </c>
      <c r="G38" s="78">
        <f ca="1">VLOOKUP(C38,'BD EVA 2 APO'!$D$3:$AC$111,23,0)</f>
        <v>0.81487136430206097</v>
      </c>
      <c r="H38" s="78">
        <f>VLOOKUP(C38,'BD EVA 2 APO'!$D$3:$AC$111,16,0)</f>
        <v>0.8</v>
      </c>
      <c r="I38" s="78">
        <f ca="1">(H38/G38)</f>
        <v>0.98175004675149158</v>
      </c>
      <c r="J38" s="71" t="s">
        <v>341</v>
      </c>
      <c r="K38" s="82">
        <v>1.6</v>
      </c>
      <c r="L38" s="129">
        <f t="shared" ca="1" si="0"/>
        <v>1.5708000748023867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APO'!$D$3:$Y$111,4,0)</f>
        <v>Dic 2020</v>
      </c>
      <c r="E39" s="76" t="str">
        <f>VLOOKUP(C39,'BD EVA 2 APO'!$D$3:$Q$111,13,0)</f>
        <v>Verde</v>
      </c>
      <c r="F39" s="89" t="str">
        <f>VLOOKUP(C39,'BD EVA 2 APO'!$D$3:$Y$111,8,0)</f>
        <v>Dic 2022</v>
      </c>
      <c r="G39" s="76" t="str">
        <f ca="1">VLOOKUP(C39,'BD EVA 2 APO'!$D$3:$AC$111,23,0)</f>
        <v>Verde</v>
      </c>
      <c r="H39" s="76" t="str">
        <f>VLOOKUP(C39,'BD EVA 2 APO'!$D$3:$AC$111,16,0)</f>
        <v>Verde</v>
      </c>
      <c r="I39" s="76">
        <f ca="1">IF(G39="Verde",1,0)</f>
        <v>1</v>
      </c>
      <c r="J39" s="75" t="s">
        <v>318</v>
      </c>
      <c r="K39" s="82">
        <v>1.6</v>
      </c>
      <c r="L39" s="129">
        <f t="shared" ca="1" si="0"/>
        <v>1.6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7BED9-C337-C34F-8813-E84D8DD807A3}">
  <dimension ref="A1:AC113"/>
  <sheetViews>
    <sheetView workbookViewId="0">
      <selection sqref="A1:XFD1"/>
    </sheetView>
  </sheetViews>
  <sheetFormatPr baseColWidth="10" defaultRowHeight="16"/>
  <sheetData>
    <row r="1" spans="1:29" s="120" customFormat="1" ht="78">
      <c r="A1" s="395" t="s">
        <v>0</v>
      </c>
      <c r="B1" s="395" t="s">
        <v>1</v>
      </c>
      <c r="C1" s="395" t="s">
        <v>2</v>
      </c>
      <c r="D1" s="395" t="s">
        <v>3</v>
      </c>
      <c r="E1" s="395" t="s">
        <v>4</v>
      </c>
      <c r="F1" s="395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6">
        <v>406584</v>
      </c>
      <c r="Q2" s="6">
        <v>406584</v>
      </c>
      <c r="R2" s="13"/>
      <c r="S2" s="316"/>
      <c r="T2" s="316"/>
      <c r="U2" s="316"/>
      <c r="V2" s="316"/>
      <c r="W2" s="316"/>
      <c r="X2" s="12">
        <v>414934</v>
      </c>
      <c r="Y2" s="12">
        <v>414934</v>
      </c>
      <c r="Z2" s="12">
        <v>421798</v>
      </c>
      <c r="AA2" s="12">
        <v>421798</v>
      </c>
      <c r="AB2" s="12">
        <v>427063</v>
      </c>
      <c r="AC2" s="12">
        <v>427063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418">
        <v>376</v>
      </c>
      <c r="Q3" s="418">
        <v>376</v>
      </c>
      <c r="R3" s="419">
        <f>$Q$3+1.085</f>
        <v>377.08499999999998</v>
      </c>
      <c r="S3" s="419">
        <f>Q3*1.05</f>
        <v>394.8</v>
      </c>
      <c r="T3" s="419">
        <f>Q3*1.083</f>
        <v>407.20799999999997</v>
      </c>
      <c r="U3" s="419">
        <f>Q3*1.123</f>
        <v>422.24799999999999</v>
      </c>
      <c r="V3" s="419">
        <f>Q3*1.1654</f>
        <v>438.19040000000001</v>
      </c>
      <c r="W3" s="419">
        <f>V3</f>
        <v>438.19040000000001</v>
      </c>
      <c r="X3" s="418">
        <v>431</v>
      </c>
      <c r="Y3" s="18">
        <f ca="1">IFERROR(__xludf.DUMMYFUNCTION("INDEX(IMPORTRANGE(""1y0FWgjbB0gVlqn-q5LMJbGIsqOrzru4yowQz67dz2yc"", ""'JUA'!BG3:BG139""),MATCH(D3,IMPORTRANGE(""1y0FWgjbB0gVlqn-q5LMJbGIsqOrzru4yowQz67dz2yc"", ""'JUA'!D3:D139""),0))"),433)</f>
        <v>433</v>
      </c>
      <c r="Z3" s="18" t="str">
        <f ca="1">IFERROR(__xludf.DUMMYFUNCTION("INDEX(IMPORTRANGE(""1y0FWgjbB0gVlqn-q5LMJbGIsqOrzru4yowQz67dz2yc"", ""'JUA'!BH3:BH139""),MATCH($D3,IMPORTRANGE(""1y0FWgjbB0gVlqn-q5LMJbGIsqOrzru4yowQz67dz2yc"", ""'JUA'!D3:D139""),0))"),"Reservada")</f>
        <v>Reservada</v>
      </c>
      <c r="AA3" s="2">
        <f ca="1">IFERROR(__xludf.DUMMYFUNCTION("INDEX(IMPORTRANGE(""1y0FWgjbB0gVlqn-q5LMJbGIsqOrzru4yowQz67dz2yc"", ""'JUA'!BI3:BI139""),MATCH($D3,IMPORTRANGE(""1y0FWgjbB0gVlqn-q5LMJbGIsqOrzru4yowQz67dz2yc"", ""'JUA'!D3:D139""),0))"),492)</f>
        <v>492</v>
      </c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418">
        <v>290</v>
      </c>
      <c r="Q4" s="418">
        <v>290</v>
      </c>
      <c r="R4" s="13"/>
      <c r="S4" s="13"/>
      <c r="T4" s="13"/>
      <c r="U4" s="1"/>
      <c r="V4" s="13"/>
      <c r="W4" s="316"/>
      <c r="X4" s="418">
        <v>334</v>
      </c>
      <c r="Y4" s="18">
        <f ca="1">IFERROR(__xludf.DUMMYFUNCTION("INDEX(IMPORTRANGE(""1y0FWgjbB0gVlqn-q5LMJbGIsqOrzru4yowQz67dz2yc"", ""'JUA'!BG3:BG139""),MATCH(D4,IMPORTRANGE(""1y0FWgjbB0gVlqn-q5LMJbGIsqOrzru4yowQz67dz2yc"", ""'JUA'!D3:D139""),0))"),334)</f>
        <v>334</v>
      </c>
      <c r="Z4" s="18" t="str">
        <f ca="1">IFERROR(__xludf.DUMMYFUNCTION("INDEX(IMPORTRANGE(""1y0FWgjbB0gVlqn-q5LMJbGIsqOrzru4yowQz67dz2yc"", ""'JUA'!BH3:BH139""),MATCH(D4,IMPORTRANGE(""1y0FWgjbB0gVlqn-q5LMJbGIsqOrzru4yowQz67dz2yc"", ""'JUA'!D3:D139""),0))"),"Reservada")</f>
        <v>Reservada</v>
      </c>
      <c r="AA4" s="2">
        <f ca="1">IFERROR(__xludf.DUMMYFUNCTION("INDEX(IMPORTRANGE(""1y0FWgjbB0gVlqn-q5LMJbGIsqOrzru4yowQz67dz2yc"", ""'JUA'!BI3:BI139""),MATCH($D4,IMPORTRANGE(""1y0FWgjbB0gVlqn-q5LMJbGIsqOrzru4yowQz67dz2yc"", ""'JUA'!D3:D139""),0))"),492)</f>
        <v>492</v>
      </c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420">
        <f t="shared" ref="P5:Q5" si="0">P4/P3</f>
        <v>0.77127659574468088</v>
      </c>
      <c r="Q5" s="420">
        <f t="shared" si="0"/>
        <v>0.77127659574468088</v>
      </c>
      <c r="R5" s="421" t="s">
        <v>327</v>
      </c>
      <c r="S5" s="421" t="s">
        <v>327</v>
      </c>
      <c r="T5" s="421" t="s">
        <v>327</v>
      </c>
      <c r="U5" s="421" t="s">
        <v>327</v>
      </c>
      <c r="V5" s="421" t="s">
        <v>327</v>
      </c>
      <c r="W5" s="421" t="s">
        <v>327</v>
      </c>
      <c r="X5" s="420">
        <f>X4/X3</f>
        <v>0.77494199535962882</v>
      </c>
      <c r="Y5" s="420">
        <f ca="1">IFERROR(__xludf.DUMMYFUNCTION("INDEX(IMPORTRANGE(""1y0FWgjbB0gVlqn-q5LMJbGIsqOrzru4yowQz67dz2yc"", ""'JUA'!BG3:BG139""),MATCH(D5,IMPORTRANGE(""1y0FWgjbB0gVlqn-q5LMJbGIsqOrzru4yowQz67dz2yc"", ""'JUA'!D3:D139""),0))"),0.77136258660508)</f>
        <v>0.77136258660507995</v>
      </c>
      <c r="Z5" s="18" t="str">
        <f ca="1">IFERROR(__xludf.DUMMYFUNCTION("INDEX(IMPORTRANGE(""1y0FWgjbB0gVlqn-q5LMJbGIsqOrzru4yowQz67dz2yc"", ""'JUA'!BH3:BH139""),MATCH(D5,IMPORTRANGE(""1y0FWgjbB0gVlqn-q5LMJbGIsqOrzru4yowQz67dz2yc"", ""'JUA'!D3:D139""),0))"),"#VALUE!")</f>
        <v>#VALUE!</v>
      </c>
      <c r="AA5" s="420">
        <f ca="1">IFERROR(__xludf.DUMMYFUNCTION("INDEX(IMPORTRANGE(""1y0FWgjbB0gVlqn-q5LMJbGIsqOrzru4yowQz67dz2yc"", ""'JUA'!BI3:BI139""),MATCH($D5,IMPORTRANGE(""1y0FWgjbB0gVlqn-q5LMJbGIsqOrzru4yowQz67dz2yc"", ""'JUA'!D3:D139""),0))"),1)</f>
        <v>1</v>
      </c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422"/>
      <c r="Q6" s="423"/>
      <c r="R6" s="1"/>
      <c r="S6" s="1"/>
      <c r="T6" s="1"/>
      <c r="U6" s="1"/>
      <c r="V6" s="1"/>
      <c r="W6" s="1"/>
      <c r="X6" s="423"/>
      <c r="Y6" s="18">
        <f ca="1">IFERROR(__xludf.DUMMYFUNCTION("INDEX(IMPORTRANGE(""1y0FWgjbB0gVlqn-q5LMJbGIsqOrzru4yowQz67dz2yc"", ""'JUA'!BG3:BG139""),MATCH(D6,IMPORTRANGE(""1y0FWgjbB0gVlqn-q5LMJbGIsqOrzru4yowQz67dz2yc"", ""'JUA'!D3:D139""),0))"),0)</f>
        <v>0</v>
      </c>
      <c r="Z6" s="18">
        <f ca="1">IFERROR(__xludf.DUMMYFUNCTION("INDEX(IMPORTRANGE(""1y0FWgjbB0gVlqn-q5LMJbGIsqOrzru4yowQz67dz2yc"", ""'JUA'!BH3:BH139""),MATCH(D6,IMPORTRANGE(""1y0FWgjbB0gVlqn-q5LMJbGIsqOrzru4yowQz67dz2yc"", ""'JUA'!D3:D139""),0))"),0)</f>
        <v>0</v>
      </c>
      <c r="AA6" s="2">
        <f ca="1">IFERROR(__xludf.DUMMYFUNCTION("INDEX(IMPORTRANGE(""1y0FWgjbB0gVlqn-q5LMJbGIsqOrzru4yowQz67dz2yc"", ""'JUA'!BI3:BI139""),MATCH($D6,IMPORTRANGE(""1y0FWgjbB0gVlqn-q5LMJbGIsqOrzru4yowQz67dz2yc"", ""'JUA'!D3:D139""),0))"),10)</f>
        <v>10</v>
      </c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47"/>
      <c r="X7" s="19"/>
      <c r="Y7" s="18">
        <f ca="1">IFERROR(__xludf.DUMMYFUNCTION("INDEX(IMPORTRANGE(""1y0FWgjbB0gVlqn-q5LMJbGIsqOrzru4yowQz67dz2yc"", ""'JUA'!BG3:BG139""),MATCH(D7,IMPORTRANGE(""1y0FWgjbB0gVlqn-q5LMJbGIsqOrzru4yowQz67dz2yc"", ""'JUA'!D3:D139""),0))"),0)</f>
        <v>0</v>
      </c>
      <c r="Z7" s="18">
        <f ca="1">IFERROR(__xludf.DUMMYFUNCTION("INDEX(IMPORTRANGE(""1y0FWgjbB0gVlqn-q5LMJbGIsqOrzru4yowQz67dz2yc"", ""'JUA'!BH3:BH139""),MATCH(D7,IMPORTRANGE(""1y0FWgjbB0gVlqn-q5LMJbGIsqOrzru4yowQz67dz2yc"", ""'JUA'!D3:D139""),0))"),0)</f>
        <v>0</v>
      </c>
      <c r="AA7" s="2">
        <f ca="1">IFERROR(__xludf.DUMMYFUNCTION("INDEX(IMPORTRANGE(""1y0FWgjbB0gVlqn-q5LMJbGIsqOrzru4yowQz67dz2yc"", ""'JUA'!BI3:BI139""),MATCH($D7,IMPORTRANGE(""1y0FWgjbB0gVlqn-q5LMJbGIsqOrzru4yowQz67dz2yc"", ""'JUA'!D3:D139""),0))"),0)</f>
        <v>0</v>
      </c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424">
        <v>2.3E-2</v>
      </c>
      <c r="S8" s="424">
        <v>2.7E-2</v>
      </c>
      <c r="T8" s="424">
        <v>3.1E-2</v>
      </c>
      <c r="U8" s="424">
        <v>3.5000000000000003E-2</v>
      </c>
      <c r="V8" s="424">
        <v>4.1000000000000002E-2</v>
      </c>
      <c r="W8" s="424">
        <v>4.1000000000000002E-2</v>
      </c>
      <c r="X8" s="19">
        <f>X6/X3</f>
        <v>0</v>
      </c>
      <c r="Y8" s="18">
        <f ca="1">IFERROR(__xludf.DUMMYFUNCTION("INDEX(IMPORTRANGE(""1y0FWgjbB0gVlqn-q5LMJbGIsqOrzru4yowQz67dz2yc"", ""'JUA'!BG3:BG139""),MATCH(D8,IMPORTRANGE(""1y0FWgjbB0gVlqn-q5LMJbGIsqOrzru4yowQz67dz2yc"", ""'JUA'!D3:D139""),0))"),0)</f>
        <v>0</v>
      </c>
      <c r="Z8" s="18" t="str">
        <f ca="1">IFERROR(__xludf.DUMMYFUNCTION("INDEX(IMPORTRANGE(""1y0FWgjbB0gVlqn-q5LMJbGIsqOrzru4yowQz67dz2yc"", ""'JUA'!BH3:BH139""),MATCH(D8,IMPORTRANGE(""1y0FWgjbB0gVlqn-q5LMJbGIsqOrzru4yowQz67dz2yc"", ""'JUA'!D3:D139""),0))"),"#VALUE!")</f>
        <v>#VALUE!</v>
      </c>
      <c r="AA8" s="425">
        <f ca="1">IFERROR(__xludf.DUMMYFUNCTION("INDEX(IMPORTRANGE(""1y0FWgjbB0gVlqn-q5LMJbGIsqOrzru4yowQz67dz2yc"", ""'JUA'!BI3:BI139""),MATCH($D8,IMPORTRANGE(""1y0FWgjbB0gVlqn-q5LMJbGIsqOrzru4yowQz67dz2yc"", ""'JUA'!D3:D139""),0))"),0.0203252032520325)</f>
        <v>2.0325203252032499E-2</v>
      </c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2">
        <v>0</v>
      </c>
      <c r="R9" s="13"/>
      <c r="S9" s="13"/>
      <c r="T9" s="13"/>
      <c r="U9" s="13"/>
      <c r="V9" s="13"/>
      <c r="W9" s="316"/>
      <c r="X9" s="12">
        <v>0</v>
      </c>
      <c r="Y9" s="12">
        <f ca="1">IFERROR(__xludf.DUMMYFUNCTION("INDEX(IMPORTRANGE(""1y0FWgjbB0gVlqn-q5LMJbGIsqOrzru4yowQz67dz2yc"", ""'JUA'!BG3:BG139""),MATCH(D9,IMPORTRANGE(""1y0FWgjbB0gVlqn-q5LMJbGIsqOrzru4yowQz67dz2yc"", ""'JUA'!D3:D139""),0))"),0)</f>
        <v>0</v>
      </c>
      <c r="Z9" s="12">
        <f ca="1">IFERROR(__xludf.DUMMYFUNCTION("INDEX(IMPORTRANGE(""1y0FWgjbB0gVlqn-q5LMJbGIsqOrzru4yowQz67dz2yc"", ""'JUA'!BH3:BH139""),MATCH(D9,IMPORTRANGE(""1y0FWgjbB0gVlqn-q5LMJbGIsqOrzru4yowQz67dz2yc"", ""'JUA'!D3:D139""),0))"),88)</f>
        <v>88</v>
      </c>
      <c r="AA9" s="12">
        <f ca="1">IFERROR(__xludf.DUMMYFUNCTION("INDEX(IMPORTRANGE(""1y0FWgjbB0gVlqn-q5LMJbGIsqOrzru4yowQz67dz2yc"", ""'JUA'!BI3:BI139""),MATCH($D9,IMPORTRANGE(""1y0FWgjbB0gVlqn-q5LMJbGIsqOrzru4yowQz67dz2yc"", ""'JUA'!D3:D139""),0))"),556)</f>
        <v>556</v>
      </c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1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1183</v>
      </c>
      <c r="Q10" s="2">
        <v>2633</v>
      </c>
      <c r="R10" s="13"/>
      <c r="S10" s="13"/>
      <c r="T10" s="13"/>
      <c r="U10" s="13"/>
      <c r="V10" s="13"/>
      <c r="W10" s="316"/>
      <c r="X10" s="12">
        <v>1970</v>
      </c>
      <c r="Y10" s="12">
        <f ca="1">IFERROR(__xludf.DUMMYFUNCTION("INDEX(IMPORTRANGE(""1y0FWgjbB0gVlqn-q5LMJbGIsqOrzru4yowQz67dz2yc"", ""'JUA'!BG3:BG139""),MATCH(D10,IMPORTRANGE(""1y0FWgjbB0gVlqn-q5LMJbGIsqOrzru4yowQz67dz2yc"", ""'JUA'!D3:D139""),0))"),3205)</f>
        <v>3205</v>
      </c>
      <c r="Z10" s="12">
        <f ca="1">IFERROR(__xludf.DUMMYFUNCTION("INDEX(IMPORTRANGE(""1y0FWgjbB0gVlqn-q5LMJbGIsqOrzru4yowQz67dz2yc"", ""'JUA'!BH3:BH139""),MATCH(D10,IMPORTRANGE(""1y0FWgjbB0gVlqn-q5LMJbGIsqOrzru4yowQz67dz2yc"", ""'JUA'!D3:D139""),0))"),1443)</f>
        <v>1443</v>
      </c>
      <c r="AA10" s="12">
        <f ca="1">IFERROR(__xludf.DUMMYFUNCTION("INDEX(IMPORTRANGE(""1y0FWgjbB0gVlqn-q5LMJbGIsqOrzru4yowQz67dz2yc"", ""'JUA'!BI3:BI139""),MATCH($D10,IMPORTRANGE(""1y0FWgjbB0gVlqn-q5LMJbGIsqOrzru4yowQz67dz2yc"", ""'JUA'!D3:D139""),0))"),3062)</f>
        <v>3062</v>
      </c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1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426">
        <v>5.1999999999999998E-2</v>
      </c>
      <c r="S11" s="426">
        <v>0.129</v>
      </c>
      <c r="T11" s="426">
        <v>0.16600000000000001</v>
      </c>
      <c r="U11" s="426">
        <v>0.20399999999999999</v>
      </c>
      <c r="V11" s="426">
        <v>0.24399999999999999</v>
      </c>
      <c r="W11" s="426">
        <v>0.24399999999999999</v>
      </c>
      <c r="X11" s="15">
        <f>X9/X10</f>
        <v>0</v>
      </c>
      <c r="Y11" s="15">
        <f ca="1">IFERROR(__xludf.DUMMYFUNCTION("INDEX(IMPORTRANGE(""1y0FWgjbB0gVlqn-q5LMJbGIsqOrzru4yowQz67dz2yc"", ""'JUA'!BG3:BG139""),MATCH(D11,IMPORTRANGE(""1y0FWgjbB0gVlqn-q5LMJbGIsqOrzru4yowQz67dz2yc"", ""'JUA'!D3:D139""),0))"),0)</f>
        <v>0</v>
      </c>
      <c r="Z11" s="15">
        <f ca="1">IFERROR(__xludf.DUMMYFUNCTION("INDEX(IMPORTRANGE(""1y0FWgjbB0gVlqn-q5LMJbGIsqOrzru4yowQz67dz2yc"", ""'JUA'!BH3:BH139""),MATCH(D11,IMPORTRANGE(""1y0FWgjbB0gVlqn-q5LMJbGIsqOrzru4yowQz67dz2yc"", ""'JUA'!D3:D139""),0))"),0.0609840609840609)</f>
        <v>6.0984060984060902E-2</v>
      </c>
      <c r="AA11" s="15">
        <f ca="1">IFERROR(__xludf.DUMMYFUNCTION("INDEX(IMPORTRANGE(""1y0FWgjbB0gVlqn-q5LMJbGIsqOrzru4yowQz67dz2yc"", ""'JUA'!BI3:BI139""),MATCH($D11,IMPORTRANGE(""1y0FWgjbB0gVlqn-q5LMJbGIsqOrzru4yowQz67dz2yc"", ""'JUA'!D3:D139""),0))"),0.181580666231221)</f>
        <v>0.18158066623122099</v>
      </c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49</v>
      </c>
      <c r="Q12" s="12">
        <v>92</v>
      </c>
      <c r="R12" s="13"/>
      <c r="S12" s="13"/>
      <c r="T12" s="13"/>
      <c r="U12" s="13"/>
      <c r="V12" s="13"/>
      <c r="W12" s="316"/>
      <c r="X12" s="12">
        <v>31</v>
      </c>
      <c r="Y12" s="12">
        <f ca="1">IFERROR(__xludf.DUMMYFUNCTION("INDEX(IMPORTRANGE(""1y0FWgjbB0gVlqn-q5LMJbGIsqOrzru4yowQz67dz2yc"", ""'JUA'!BG3:BG139""),MATCH(D12,IMPORTRANGE(""1y0FWgjbB0gVlqn-q5LMJbGIsqOrzru4yowQz67dz2yc"", ""'JUA'!D3:D139""),0))"),102)</f>
        <v>102</v>
      </c>
      <c r="Z12" s="12">
        <f ca="1">IFERROR(__xludf.DUMMYFUNCTION("INDEX(IMPORTRANGE(""1y0FWgjbB0gVlqn-q5LMJbGIsqOrzru4yowQz67dz2yc"", ""'JUA'!BH3:BH139""),MATCH(D12,IMPORTRANGE(""1y0FWgjbB0gVlqn-q5LMJbGIsqOrzru4yowQz67dz2yc"", ""'JUA'!D3:D139""),0))"),71)</f>
        <v>71</v>
      </c>
      <c r="AA12" s="12">
        <f ca="1">IFERROR(__xludf.DUMMYFUNCTION("INDEX(IMPORTRANGE(""1y0FWgjbB0gVlqn-q5LMJbGIsqOrzru4yowQz67dz2yc"", ""'JUA'!BI3:BI139""),MATCH($D12,IMPORTRANGE(""1y0FWgjbB0gVlqn-q5LMJbGIsqOrzru4yowQz67dz2yc"", ""'JUA'!D3:D139""),0))"),148)</f>
        <v>148</v>
      </c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12.051630167443873</v>
      </c>
      <c r="Q13" s="23">
        <f t="shared" si="3"/>
        <v>22.627550518466052</v>
      </c>
      <c r="R13" s="427">
        <v>21.7</v>
      </c>
      <c r="S13" s="427">
        <v>11</v>
      </c>
      <c r="T13" s="427">
        <v>20.7</v>
      </c>
      <c r="U13" s="427">
        <v>10.5</v>
      </c>
      <c r="V13" s="427">
        <v>19.7</v>
      </c>
      <c r="W13" s="427">
        <v>19.7</v>
      </c>
      <c r="X13" s="23">
        <f>(X12/X$2)*100000</f>
        <v>7.4710676878732514</v>
      </c>
      <c r="Y13" s="23">
        <f ca="1">IFERROR(__xludf.DUMMYFUNCTION("INDEX(IMPORTRANGE(""1y0FWgjbB0gVlqn-q5LMJbGIsqOrzru4yowQz67dz2yc"", ""'JUA'!BG3:BG139""),MATCH(D13,IMPORTRANGE(""1y0FWgjbB0gVlqn-q5LMJbGIsqOrzru4yowQz67dz2yc"", ""'JUA'!D3:D139""),0))"),24.5822227149377)</f>
        <v>24.5822227149377</v>
      </c>
      <c r="Z13" s="23">
        <f ca="1">IFERROR(__xludf.DUMMYFUNCTION("INDEX(IMPORTRANGE(""1y0FWgjbB0gVlqn-q5LMJbGIsqOrzru4yowQz67dz2yc"", ""'JUA'!BH3:BH139""),MATCH(D13,IMPORTRANGE(""1y0FWgjbB0gVlqn-q5LMJbGIsqOrzru4yowQz67dz2yc"", ""'JUA'!D3:D139""),0))"),16.8327019094448)</f>
        <v>16.8327019094448</v>
      </c>
      <c r="AA13" s="23">
        <f ca="1">IFERROR(__xludf.DUMMYFUNCTION("INDEX(IMPORTRANGE(""1y0FWgjbB0gVlqn-q5LMJbGIsqOrzru4yowQz67dz2yc"", ""'JUA'!BI3:BI139""),MATCH($D13,IMPORTRANGE(""1y0FWgjbB0gVlqn-q5LMJbGIsqOrzru4yowQz67dz2yc"", ""'JUA'!D3:D139""),0))"),35.0878856703919)</f>
        <v>35.087885670391898</v>
      </c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157</v>
      </c>
      <c r="Q14" s="12">
        <v>423</v>
      </c>
      <c r="R14" s="13"/>
      <c r="S14" s="13"/>
      <c r="T14" s="13"/>
      <c r="U14" s="13"/>
      <c r="V14" s="13"/>
      <c r="W14" s="316"/>
      <c r="X14" s="12">
        <v>207</v>
      </c>
      <c r="Y14" s="12">
        <f ca="1">IFERROR(__xludf.DUMMYFUNCTION("INDEX(IMPORTRANGE(""1y0FWgjbB0gVlqn-q5LMJbGIsqOrzru4yowQz67dz2yc"", ""'JUA'!BG3:BG139""),MATCH(D14,IMPORTRANGE(""1y0FWgjbB0gVlqn-q5LMJbGIsqOrzru4yowQz67dz2yc"", ""'JUA'!D3:D139""),0))"),301)</f>
        <v>301</v>
      </c>
      <c r="Z14" s="12">
        <f ca="1">IFERROR(__xludf.DUMMYFUNCTION("INDEX(IMPORTRANGE(""1y0FWgjbB0gVlqn-q5LMJbGIsqOrzru4yowQz67dz2yc"", ""'JUA'!BH3:BH139""),MATCH(D14,IMPORTRANGE(""1y0FWgjbB0gVlqn-q5LMJbGIsqOrzru4yowQz67dz2yc"", ""'JUA'!D3:D139""),0))"),86)</f>
        <v>86</v>
      </c>
      <c r="AA14" s="12">
        <f ca="1">IFERROR(__xludf.DUMMYFUNCTION("INDEX(IMPORTRANGE(""1y0FWgjbB0gVlqn-q5LMJbGIsqOrzru4yowQz67dz2yc"", ""'JUA'!BI3:BI139""),MATCH($D14,IMPORTRANGE(""1y0FWgjbB0gVlqn-q5LMJbGIsqOrzru4yowQz67dz2yc"", ""'JUA'!D3:D139""),0))"),168)</f>
        <v>168</v>
      </c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241</v>
      </c>
      <c r="Q15" s="12">
        <v>541</v>
      </c>
      <c r="R15" s="13"/>
      <c r="S15" s="13"/>
      <c r="T15" s="13"/>
      <c r="U15" s="13"/>
      <c r="V15" s="13"/>
      <c r="W15" s="316"/>
      <c r="X15" s="12">
        <v>411</v>
      </c>
      <c r="Y15" s="12">
        <f ca="1">IFERROR(__xludf.DUMMYFUNCTION("INDEX(IMPORTRANGE(""1y0FWgjbB0gVlqn-q5LMJbGIsqOrzru4yowQz67dz2yc"", ""'JUA'!BG3:BG139""),MATCH(D15,IMPORTRANGE(""1y0FWgjbB0gVlqn-q5LMJbGIsqOrzru4yowQz67dz2yc"", ""'JUA'!D3:D139""),0))"),784)</f>
        <v>784</v>
      </c>
      <c r="Z15" s="12">
        <f ca="1">IFERROR(__xludf.DUMMYFUNCTION("INDEX(IMPORTRANGE(""1y0FWgjbB0gVlqn-q5LMJbGIsqOrzru4yowQz67dz2yc"", ""'JUA'!BH3:BH139""),MATCH(D15,IMPORTRANGE(""1y0FWgjbB0gVlqn-q5LMJbGIsqOrzru4yowQz67dz2yc"", ""'JUA'!D3:D139""),0))"),265)</f>
        <v>265</v>
      </c>
      <c r="AA15" s="12">
        <f ca="1">IFERROR(__xludf.DUMMYFUNCTION("INDEX(IMPORTRANGE(""1y0FWgjbB0gVlqn-q5LMJbGIsqOrzru4yowQz67dz2yc"", ""'JUA'!BI3:BI139""),MATCH($D15,IMPORTRANGE(""1y0FWgjbB0gVlqn-q5LMJbGIsqOrzru4yowQz67dz2yc"", ""'JUA'!D3:D139""),0))"),487)</f>
        <v>487</v>
      </c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123</v>
      </c>
      <c r="Q16" s="12">
        <v>256</v>
      </c>
      <c r="R16" s="13"/>
      <c r="S16" s="13"/>
      <c r="T16" s="13"/>
      <c r="U16" s="13"/>
      <c r="V16" s="13"/>
      <c r="W16" s="316"/>
      <c r="X16" s="12">
        <v>193</v>
      </c>
      <c r="Y16" s="12">
        <f ca="1">IFERROR(__xludf.DUMMYFUNCTION("INDEX(IMPORTRANGE(""1y0FWgjbB0gVlqn-q5LMJbGIsqOrzru4yowQz67dz2yc"", ""'JUA'!BG3:BG139""),MATCH(D16,IMPORTRANGE(""1y0FWgjbB0gVlqn-q5LMJbGIsqOrzru4yowQz67dz2yc"", ""'JUA'!D3:D139""),0))"),435)</f>
        <v>435</v>
      </c>
      <c r="Z16" s="12">
        <f ca="1">IFERROR(__xludf.DUMMYFUNCTION("INDEX(IMPORTRANGE(""1y0FWgjbB0gVlqn-q5LMJbGIsqOrzru4yowQz67dz2yc"", ""'JUA'!BH3:BH139""),MATCH(D16,IMPORTRANGE(""1y0FWgjbB0gVlqn-q5LMJbGIsqOrzru4yowQz67dz2yc"", ""'JUA'!D3:D139""),0))"),227)</f>
        <v>227</v>
      </c>
      <c r="AA16" s="12">
        <f ca="1">IFERROR(__xludf.DUMMYFUNCTION("INDEX(IMPORTRANGE(""1y0FWgjbB0gVlqn-q5LMJbGIsqOrzru4yowQz67dz2yc"", ""'JUA'!BI3:BI139""),MATCH($D16,IMPORTRANGE(""1y0FWgjbB0gVlqn-q5LMJbGIsqOrzru4yowQz67dz2yc"", ""'JUA'!D3:D139""),0))"),470)</f>
        <v>470</v>
      </c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48</v>
      </c>
      <c r="Q17" s="12">
        <v>99</v>
      </c>
      <c r="R17" s="13"/>
      <c r="S17" s="13"/>
      <c r="T17" s="13"/>
      <c r="U17" s="13"/>
      <c r="V17" s="13"/>
      <c r="W17" s="316"/>
      <c r="X17" s="12"/>
      <c r="Y17" s="12">
        <f ca="1">IFERROR(__xludf.DUMMYFUNCTION("INDEX(IMPORTRANGE(""1y0FWgjbB0gVlqn-q5LMJbGIsqOrzru4yowQz67dz2yc"", ""'JUA'!BG3:BG139""),MATCH(D17,IMPORTRANGE(""1y0FWgjbB0gVlqn-q5LMJbGIsqOrzru4yowQz67dz2yc"", ""'JUA'!D3:D139""),0))"),47)</f>
        <v>47</v>
      </c>
      <c r="Z17" s="12">
        <f ca="1">IFERROR(__xludf.DUMMYFUNCTION("INDEX(IMPORTRANGE(""1y0FWgjbB0gVlqn-q5LMJbGIsqOrzru4yowQz67dz2yc"", ""'JUA'!BH3:BH139""),MATCH(D17,IMPORTRANGE(""1y0FWgjbB0gVlqn-q5LMJbGIsqOrzru4yowQz67dz2yc"", ""'JUA'!D3:D139""),0))"),9)</f>
        <v>9</v>
      </c>
      <c r="AA17" s="12">
        <f ca="1">IFERROR(__xludf.DUMMYFUNCTION("INDEX(IMPORTRANGE(""1y0FWgjbB0gVlqn-q5LMJbGIsqOrzru4yowQz67dz2yc"", ""'JUA'!BI3:BI139""),MATCH($D17,IMPORTRANGE(""1y0FWgjbB0gVlqn-q5LMJbGIsqOrzru4yowQz67dz2yc"", ""'JUA'!D3:D139""),0))"),36)</f>
        <v>36</v>
      </c>
      <c r="AB17" s="1"/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155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569</v>
      </c>
      <c r="Q18" s="262">
        <f t="shared" si="4"/>
        <v>1319</v>
      </c>
      <c r="R18" s="357"/>
      <c r="S18" s="357"/>
      <c r="T18" s="357"/>
      <c r="U18" s="357"/>
      <c r="V18" s="357"/>
      <c r="W18" s="357"/>
      <c r="X18" s="262">
        <f t="shared" ref="X18:AA18" si="5">SUM(X14:X17)</f>
        <v>811</v>
      </c>
      <c r="Y18" s="262">
        <f t="shared" ca="1" si="5"/>
        <v>1567</v>
      </c>
      <c r="Z18" s="262">
        <f t="shared" ca="1" si="5"/>
        <v>587</v>
      </c>
      <c r="AA18" s="262">
        <f t="shared" ca="1" si="5"/>
        <v>1161</v>
      </c>
      <c r="AB18" s="358"/>
      <c r="AC18" s="358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139.94648092399109</v>
      </c>
      <c r="Q19" s="23">
        <f t="shared" si="6"/>
        <v>324.41020797670348</v>
      </c>
      <c r="R19" s="428">
        <v>310.5</v>
      </c>
      <c r="S19" s="428">
        <v>127.9</v>
      </c>
      <c r="T19" s="428">
        <v>296.5</v>
      </c>
      <c r="U19" s="428">
        <v>121.9</v>
      </c>
      <c r="V19" s="429">
        <v>282.60000000000002</v>
      </c>
      <c r="W19" s="429">
        <v>282.60000000000002</v>
      </c>
      <c r="X19" s="23">
        <f>SUM(X14:X17)/X2*100000</f>
        <v>195.45277080210349</v>
      </c>
      <c r="Y19" s="23">
        <f ca="1">IFERROR(__xludf.DUMMYFUNCTION("INDEX(IMPORTRANGE(""1y0FWgjbB0gVlqn-q5LMJbGIsqOrzru4yowQz67dz2yc"", ""'JUA'!BG3:BG139""),MATCH(D19,IMPORTRANGE(""1y0FWgjbB0gVlqn-q5LMJbGIsqOrzru4yowQz67dz2yc"", ""'JUA'!D3:D139""),0))"),377.650421512818)</f>
        <v>377.65042151281801</v>
      </c>
      <c r="Z19" s="23">
        <f ca="1">IFERROR(__xludf.DUMMYFUNCTION("INDEX(IMPORTRANGE(""1y0FWgjbB0gVlqn-q5LMJbGIsqOrzru4yowQz67dz2yc"", ""'JUA'!BH3:BH139""),MATCH(D19,IMPORTRANGE(""1y0FWgjbB0gVlqn-q5LMJbGIsqOrzru4yowQz67dz2yc"", ""'JUA'!D3:D139""),0))"),139.166141138649)</f>
        <v>139.16614113864901</v>
      </c>
      <c r="AA19" s="23">
        <f ca="1">IFERROR(__xludf.DUMMYFUNCTION("INDEX(IMPORTRANGE(""1y0FWgjbB0gVlqn-q5LMJbGIsqOrzru4yowQz67dz2yc"", ""'JUA'!BI3:BI139""),MATCH($D19,IMPORTRANGE(""1y0FWgjbB0gVlqn-q5LMJbGIsqOrzru4yowQz67dz2yc"", ""'JUA'!D3:D139""),0))"),275.25023826571)</f>
        <v>275.25023826570998</v>
      </c>
      <c r="AB19" s="1"/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1486</v>
      </c>
      <c r="Q20" s="12">
        <v>3175</v>
      </c>
      <c r="R20" s="13"/>
      <c r="S20" s="13"/>
      <c r="T20" s="13"/>
      <c r="U20" s="13"/>
      <c r="V20" s="13"/>
      <c r="W20" s="316"/>
      <c r="X20" s="12">
        <v>1702</v>
      </c>
      <c r="Y20" s="12">
        <f ca="1">IFERROR(__xludf.DUMMYFUNCTION("INDEX(IMPORTRANGE(""1y0FWgjbB0gVlqn-q5LMJbGIsqOrzru4yowQz67dz2yc"", ""'JUA'!BG3:BG139""),MATCH(D20,IMPORTRANGE(""1y0FWgjbB0gVlqn-q5LMJbGIsqOrzru4yowQz67dz2yc"", ""'JUA'!D3:D139""),0))"),3698)</f>
        <v>3698</v>
      </c>
      <c r="Z20" s="12">
        <f ca="1">IFERROR(__xludf.DUMMYFUNCTION("INDEX(IMPORTRANGE(""1y0FWgjbB0gVlqn-q5LMJbGIsqOrzru4yowQz67dz2yc"", ""'JUA'!BH3:BH139""),MATCH(D20,IMPORTRANGE(""1y0FWgjbB0gVlqn-q5LMJbGIsqOrzru4yowQz67dz2yc"", ""'JUA'!D3:D139""),0))"),1409)</f>
        <v>1409</v>
      </c>
      <c r="AA20" s="12">
        <f ca="1">IFERROR(__xludf.DUMMYFUNCTION("INDEX(IMPORTRANGE(""1y0FWgjbB0gVlqn-q5LMJbGIsqOrzru4yowQz67dz2yc"", ""'JUA'!BI3:BI139""),MATCH($D20,IMPORTRANGE(""1y0FWgjbB0gVlqn-q5LMJbGIsqOrzru4yowQz67dz2yc"", ""'JUA'!D3:D139""),0))"),2606)</f>
        <v>2606</v>
      </c>
      <c r="AB20" s="1"/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365.48413120044074</v>
      </c>
      <c r="Q21" s="23">
        <f t="shared" si="7"/>
        <v>780.89644452314894</v>
      </c>
      <c r="R21" s="428">
        <v>727.8</v>
      </c>
      <c r="S21" s="428">
        <v>315.8</v>
      </c>
      <c r="T21" s="428">
        <v>674.7</v>
      </c>
      <c r="U21" s="428">
        <v>290.89999999999998</v>
      </c>
      <c r="V21" s="429">
        <v>621.6</v>
      </c>
      <c r="W21" s="429">
        <v>621.6</v>
      </c>
      <c r="X21" s="23">
        <f>(X20/X$2)*100000</f>
        <v>410.18571628258957</v>
      </c>
      <c r="Y21" s="23">
        <f ca="1">IFERROR(__xludf.DUMMYFUNCTION("INDEX(IMPORTRANGE(""1y0FWgjbB0gVlqn-q5LMJbGIsqOrzru4yowQz67dz2yc"", ""'JUA'!BG3:BG139""),MATCH(D21,IMPORTRANGE(""1y0FWgjbB0gVlqn-q5LMJbGIsqOrzru4yowQz67dz2yc"", ""'JUA'!D3:D139""),0))"),891.226074508235)</f>
        <v>891.226074508235</v>
      </c>
      <c r="Z21" s="23">
        <f ca="1">IFERROR(__xludf.DUMMYFUNCTION("INDEX(IMPORTRANGE(""1y0FWgjbB0gVlqn-q5LMJbGIsqOrzru4yowQz67dz2yc"", ""'JUA'!BH3:BH139""),MATCH(D21,IMPORTRANGE(""1y0FWgjbB0gVlqn-q5LMJbGIsqOrzru4yowQz67dz2yc"", ""'JUA'!D3:D139""),0))"),334.046154794475)</f>
        <v>334.046154794475</v>
      </c>
      <c r="AA21" s="23">
        <f ca="1">IFERROR(__xludf.DUMMYFUNCTION("INDEX(IMPORTRANGE(""1y0FWgjbB0gVlqn-q5LMJbGIsqOrzru4yowQz67dz2yc"", ""'JUA'!BI3:BI139""),MATCH($D21,IMPORTRANGE(""1y0FWgjbB0gVlqn-q5LMJbGIsqOrzru4yowQz67dz2yc"", ""'JUA'!D3:D139""),0))"),617.831284169199)</f>
        <v>617.83128416919897</v>
      </c>
      <c r="AB21" s="1"/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283</v>
      </c>
      <c r="Q22" s="12">
        <v>608</v>
      </c>
      <c r="R22" s="13"/>
      <c r="S22" s="13"/>
      <c r="T22" s="13"/>
      <c r="U22" s="13"/>
      <c r="V22" s="13"/>
      <c r="W22" s="316"/>
      <c r="X22" s="12">
        <v>300</v>
      </c>
      <c r="Y22" s="12">
        <f ca="1">IFERROR(__xludf.DUMMYFUNCTION("INDEX(IMPORTRANGE(""1y0FWgjbB0gVlqn-q5LMJbGIsqOrzru4yowQz67dz2yc"", ""'JUA'!BG3:BG139""),MATCH(D22,IMPORTRANGE(""1y0FWgjbB0gVlqn-q5LMJbGIsqOrzru4yowQz67dz2yc"", ""'JUA'!D3:D139""),0))"),790)</f>
        <v>790</v>
      </c>
      <c r="Z22" s="12">
        <f ca="1">IFERROR(__xludf.DUMMYFUNCTION("INDEX(IMPORTRANGE(""1y0FWgjbB0gVlqn-q5LMJbGIsqOrzru4yowQz67dz2yc"", ""'JUA'!BH3:BH139""),MATCH(D22,IMPORTRANGE(""1y0FWgjbB0gVlqn-q5LMJbGIsqOrzru4yowQz67dz2yc"", ""'JUA'!D3:D139""),0))"),279)</f>
        <v>279</v>
      </c>
      <c r="AA22" s="12">
        <f ca="1">IFERROR(__xludf.DUMMYFUNCTION("INDEX(IMPORTRANGE(""1y0FWgjbB0gVlqn-q5LMJbGIsqOrzru4yowQz67dz2yc"", ""'JUA'!BI3:BI139""),MATCH($D22,IMPORTRANGE(""1y0FWgjbB0gVlqn-q5LMJbGIsqOrzru4yowQz67dz2yc"", ""'JUA'!D3:D139""),0))"),430)</f>
        <v>430</v>
      </c>
      <c r="AB22" s="1"/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69.604313007890127</v>
      </c>
      <c r="Q23" s="23">
        <f t="shared" si="8"/>
        <v>149.53859473073214</v>
      </c>
      <c r="R23" s="428">
        <v>142.80000000000001</v>
      </c>
      <c r="S23" s="428">
        <v>63.3</v>
      </c>
      <c r="T23" s="428">
        <v>136</v>
      </c>
      <c r="U23" s="428">
        <v>60.1</v>
      </c>
      <c r="V23" s="429">
        <v>129.19999999999999</v>
      </c>
      <c r="W23" s="429">
        <v>129.19999999999999</v>
      </c>
      <c r="X23" s="23">
        <f>(X22/X$2)*100000</f>
        <v>72.300655043934697</v>
      </c>
      <c r="Y23" s="23">
        <f ca="1">IFERROR(__xludf.DUMMYFUNCTION("INDEX(IMPORTRANGE(""1y0FWgjbB0gVlqn-q5LMJbGIsqOrzru4yowQz67dz2yc"", ""'JUA'!BG3:BG139""),MATCH(D23,IMPORTRANGE(""1y0FWgjbB0gVlqn-q5LMJbGIsqOrzru4yowQz67dz2yc"", ""'JUA'!D3:D139""),0))"),190.391724949028)</f>
        <v>190.391724949028</v>
      </c>
      <c r="Z23" s="23">
        <f ca="1">IFERROR(__xludf.DUMMYFUNCTION("INDEX(IMPORTRANGE(""1y0FWgjbB0gVlqn-q5LMJbGIsqOrzru4yowQz67dz2yc"", ""'JUA'!BH3:BH139""),MATCH(D23,IMPORTRANGE(""1y0FWgjbB0gVlqn-q5LMJbGIsqOrzru4yowQz67dz2yc"", ""'JUA'!D3:D139""),0))"),66.1454060948605)</f>
        <v>66.145406094860505</v>
      </c>
      <c r="AA23" s="23">
        <f ca="1">IFERROR(__xludf.DUMMYFUNCTION("INDEX(IMPORTRANGE(""1y0FWgjbB0gVlqn-q5LMJbGIsqOrzru4yowQz67dz2yc"", ""'JUA'!BI3:BI139""),MATCH($D23,IMPORTRANGE(""1y0FWgjbB0gVlqn-q5LMJbGIsqOrzru4yowQz67dz2yc"", ""'JUA'!D3:D139""),0))"),101.944532691003)</f>
        <v>101.944532691003</v>
      </c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13</v>
      </c>
      <c r="Q24" s="12">
        <v>26</v>
      </c>
      <c r="R24" s="13"/>
      <c r="S24" s="13"/>
      <c r="T24" s="13"/>
      <c r="U24" s="13"/>
      <c r="V24" s="13"/>
      <c r="W24" s="316"/>
      <c r="X24" s="2">
        <v>22</v>
      </c>
      <c r="Y24" s="2">
        <f ca="1">IFERROR(__xludf.DUMMYFUNCTION("INDEX(IMPORTRANGE(""1y0FWgjbB0gVlqn-q5LMJbGIsqOrzru4yowQz67dz2yc"", ""'JUA'!BG3:BG139""),MATCH(D24,IMPORTRANGE(""1y0FWgjbB0gVlqn-q5LMJbGIsqOrzru4yowQz67dz2yc"", ""'JUA'!D3:D139""),0))"),60)</f>
        <v>60</v>
      </c>
      <c r="Z24" s="2">
        <f ca="1">IFERROR(__xludf.DUMMYFUNCTION("INDEX(IMPORTRANGE(""1y0FWgjbB0gVlqn-q5LMJbGIsqOrzru4yowQz67dz2yc"", ""'JUA'!BH3:BH139""),MATCH(D24,IMPORTRANGE(""1y0FWgjbB0gVlqn-q5LMJbGIsqOrzru4yowQz67dz2yc"", ""'JUA'!D3:D139""),0))"),40)</f>
        <v>40</v>
      </c>
      <c r="AA24" s="2">
        <f ca="1">IFERROR(__xludf.DUMMYFUNCTION("INDEX(IMPORTRANGE(""1y0FWgjbB0gVlqn-q5LMJbGIsqOrzru4yowQz67dz2yc"", ""'JUA'!BI3:BI139""),MATCH($D24,IMPORTRANGE(""1y0FWgjbB0gVlqn-q5LMJbGIsqOrzru4yowQz67dz2yc"", ""'JUA'!D3:D139""),0))"),97)</f>
        <v>97</v>
      </c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12</v>
      </c>
      <c r="Q25" s="12">
        <v>24</v>
      </c>
      <c r="R25" s="13"/>
      <c r="S25" s="13"/>
      <c r="T25" s="13"/>
      <c r="U25" s="13"/>
      <c r="V25" s="13"/>
      <c r="W25" s="316"/>
      <c r="X25" s="2">
        <v>11</v>
      </c>
      <c r="Y25" s="2">
        <f ca="1">IFERROR(__xludf.DUMMYFUNCTION("INDEX(IMPORTRANGE(""1y0FWgjbB0gVlqn-q5LMJbGIsqOrzru4yowQz67dz2yc"", ""'JUA'!BG3:BG139""),MATCH(D25,IMPORTRANGE(""1y0FWgjbB0gVlqn-q5LMJbGIsqOrzru4yowQz67dz2yc"", ""'JUA'!D3:D139""),0))"),29)</f>
        <v>29</v>
      </c>
      <c r="Z25" s="2">
        <f ca="1">IFERROR(__xludf.DUMMYFUNCTION("INDEX(IMPORTRANGE(""1y0FWgjbB0gVlqn-q5LMJbGIsqOrzru4yowQz67dz2yc"", ""'JUA'!BH3:BH139""),MATCH(D25,IMPORTRANGE(""1y0FWgjbB0gVlqn-q5LMJbGIsqOrzru4yowQz67dz2yc"", ""'JUA'!D3:D139""),0))"),14)</f>
        <v>14</v>
      </c>
      <c r="AA25" s="2">
        <f ca="1">IFERROR(__xludf.DUMMYFUNCTION("INDEX(IMPORTRANGE(""1y0FWgjbB0gVlqn-q5LMJbGIsqOrzru4yowQz67dz2yc"", ""'JUA'!BI3:BI139""),MATCH($D25,IMPORTRANGE(""1y0FWgjbB0gVlqn-q5LMJbGIsqOrzru4yowQz67dz2yc"", ""'JUA'!D3:D139""),0))"),44)</f>
        <v>44</v>
      </c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3</v>
      </c>
      <c r="Q26" s="12">
        <v>4</v>
      </c>
      <c r="R26" s="13"/>
      <c r="S26" s="13"/>
      <c r="T26" s="13"/>
      <c r="U26" s="13"/>
      <c r="V26" s="13"/>
      <c r="W26" s="316"/>
      <c r="X26" s="2">
        <v>2</v>
      </c>
      <c r="Y26" s="2">
        <f ca="1">IFERROR(__xludf.DUMMYFUNCTION("INDEX(IMPORTRANGE(""1y0FWgjbB0gVlqn-q5LMJbGIsqOrzru4yowQz67dz2yc"", ""'JUA'!BG3:BG139""),MATCH(D26,IMPORTRANGE(""1y0FWgjbB0gVlqn-q5LMJbGIsqOrzru4yowQz67dz2yc"", ""'JUA'!D3:D139""),0))"),3)</f>
        <v>3</v>
      </c>
      <c r="Z26" s="2">
        <f ca="1">IFERROR(__xludf.DUMMYFUNCTION("INDEX(IMPORTRANGE(""1y0FWgjbB0gVlqn-q5LMJbGIsqOrzru4yowQz67dz2yc"", ""'JUA'!BH3:BH139""),MATCH(D26,IMPORTRANGE(""1y0FWgjbB0gVlqn-q5LMJbGIsqOrzru4yowQz67dz2yc"", ""'JUA'!D3:D139""),0))"),1)</f>
        <v>1</v>
      </c>
      <c r="AA26" s="2">
        <f ca="1">IFERROR(__xludf.DUMMYFUNCTION("INDEX(IMPORTRANGE(""1y0FWgjbB0gVlqn-q5LMJbGIsqOrzru4yowQz67dz2yc"", ""'JUA'!BI3:BI139""),MATCH($D26,IMPORTRANGE(""1y0FWgjbB0gVlqn-q5LMJbGIsqOrzru4yowQz67dz2yc"", ""'JUA'!D3:D139""),0))"),4)</f>
        <v>4</v>
      </c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0</v>
      </c>
      <c r="R27" s="13"/>
      <c r="S27" s="13"/>
      <c r="T27" s="13"/>
      <c r="U27" s="13"/>
      <c r="V27" s="13"/>
      <c r="W27" s="316"/>
      <c r="X27" s="2">
        <v>0</v>
      </c>
      <c r="Y27" s="2">
        <f ca="1">IFERROR(__xludf.DUMMYFUNCTION("INDEX(IMPORTRANGE(""1y0FWgjbB0gVlqn-q5LMJbGIsqOrzru4yowQz67dz2yc"", ""'JUA'!BG3:BG139""),MATCH(D27,IMPORTRANGE(""1y0FWgjbB0gVlqn-q5LMJbGIsqOrzru4yowQz67dz2yc"", ""'JUA'!D3:D139""),0))"),1)</f>
        <v>1</v>
      </c>
      <c r="Z27" s="2">
        <f ca="1">IFERROR(__xludf.DUMMYFUNCTION("INDEX(IMPORTRANGE(""1y0FWgjbB0gVlqn-q5LMJbGIsqOrzru4yowQz67dz2yc"", ""'JUA'!BH3:BH139""),MATCH(D27,IMPORTRANGE(""1y0FWgjbB0gVlqn-q5LMJbGIsqOrzru4yowQz67dz2yc"", ""'JUA'!D3:D139""),0))"),2)</f>
        <v>2</v>
      </c>
      <c r="AA27" s="2">
        <f ca="1">IFERROR(__xludf.DUMMYFUNCTION("INDEX(IMPORTRANGE(""1y0FWgjbB0gVlqn-q5LMJbGIsqOrzru4yowQz67dz2yc"", ""'JUA'!BI3:BI139""),MATCH($D27,IMPORTRANGE(""1y0FWgjbB0gVlqn-q5LMJbGIsqOrzru4yowQz67dz2yc"", ""'JUA'!D3:D139""),0))"),4)</f>
        <v>4</v>
      </c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316"/>
      <c r="X28" s="12">
        <v>0</v>
      </c>
      <c r="Y28" s="12">
        <f ca="1">IFERROR(__xludf.DUMMYFUNCTION("INDEX(IMPORTRANGE(""1y0FWgjbB0gVlqn-q5LMJbGIsqOrzru4yowQz67dz2yc"", ""'JUA'!BG3:BG139""),MATCH(D28,IMPORTRANGE(""1y0FWgjbB0gVlqn-q5LMJbGIsqOrzru4yowQz67dz2yc"", ""'JUA'!D3:D139""),0))"),0)</f>
        <v>0</v>
      </c>
      <c r="Z28" s="12">
        <f ca="1">IFERROR(__xludf.DUMMYFUNCTION("INDEX(IMPORTRANGE(""1y0FWgjbB0gVlqn-q5LMJbGIsqOrzru4yowQz67dz2yc"", ""'JUA'!BH3:BH139""),MATCH(D28,IMPORTRANGE(""1y0FWgjbB0gVlqn-q5LMJbGIsqOrzru4yowQz67dz2yc"", ""'JUA'!D3:D139""),0))"),0)</f>
        <v>0</v>
      </c>
      <c r="AA28" s="12">
        <f ca="1">IFERROR(__xludf.DUMMYFUNCTION("INDEX(IMPORTRANGE(""1y0FWgjbB0gVlqn-q5LMJbGIsqOrzru4yowQz67dz2yc"", ""'JUA'!BI3:BI139""),MATCH($D28,IMPORTRANGE(""1y0FWgjbB0gVlqn-q5LMJbGIsqOrzru4yowQz67dz2yc"", ""'JUA'!D3:D139""),0))"),0)</f>
        <v>0</v>
      </c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316"/>
      <c r="X29" s="12">
        <v>0</v>
      </c>
      <c r="Y29" s="12">
        <f ca="1">IFERROR(__xludf.DUMMYFUNCTION("INDEX(IMPORTRANGE(""1y0FWgjbB0gVlqn-q5LMJbGIsqOrzru4yowQz67dz2yc"", ""'JUA'!BG3:BG139""),MATCH(D29,IMPORTRANGE(""1y0FWgjbB0gVlqn-q5LMJbGIsqOrzru4yowQz67dz2yc"", ""'JUA'!D3:D139""),0))"),0)</f>
        <v>0</v>
      </c>
      <c r="Z29" s="12">
        <f ca="1">IFERROR(__xludf.DUMMYFUNCTION("INDEX(IMPORTRANGE(""1y0FWgjbB0gVlqn-q5LMJbGIsqOrzru4yowQz67dz2yc"", ""'JUA'!BH3:BH139""),MATCH(D29,IMPORTRANGE(""1y0FWgjbB0gVlqn-q5LMJbGIsqOrzru4yowQz67dz2yc"", ""'JUA'!D3:D139""),0))"),0)</f>
        <v>0</v>
      </c>
      <c r="AA29" s="12">
        <f ca="1">IFERROR(__xludf.DUMMYFUNCTION("INDEX(IMPORTRANGE(""1y0FWgjbB0gVlqn-q5LMJbGIsqOrzru4yowQz67dz2yc"", ""'JUA'!BI3:BI139""),MATCH($D29,IMPORTRANGE(""1y0FWgjbB0gVlqn-q5LMJbGIsqOrzru4yowQz67dz2yc"", ""'JUA'!D3:D139""),0))"),0)</f>
        <v>0</v>
      </c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12">
        <v>20</v>
      </c>
      <c r="R30" s="13"/>
      <c r="S30" s="13"/>
      <c r="T30" s="13"/>
      <c r="U30" s="13"/>
      <c r="V30" s="13"/>
      <c r="W30" s="316"/>
      <c r="X30" s="12">
        <v>9</v>
      </c>
      <c r="Y30" s="12">
        <f ca="1">IFERROR(__xludf.DUMMYFUNCTION("INDEX(IMPORTRANGE(""1y0FWgjbB0gVlqn-q5LMJbGIsqOrzru4yowQz67dz2yc"", ""'JUA'!BG3:BG139""),MATCH(D30,IMPORTRANGE(""1y0FWgjbB0gVlqn-q5LMJbGIsqOrzru4yowQz67dz2yc"", ""'JUA'!D3:D139""),0))"),26)</f>
        <v>26</v>
      </c>
      <c r="Z30" s="12">
        <f ca="1">IFERROR(__xludf.DUMMYFUNCTION("INDEX(IMPORTRANGE(""1y0FWgjbB0gVlqn-q5LMJbGIsqOrzru4yowQz67dz2yc"", ""'JUA'!BH3:BH139""),MATCH(D30,IMPORTRANGE(""1y0FWgjbB0gVlqn-q5LMJbGIsqOrzru4yowQz67dz2yc"", ""'JUA'!D3:D139""),0))"),14)</f>
        <v>14</v>
      </c>
      <c r="AA30" s="12">
        <f ca="1">IFERROR(__xludf.DUMMYFUNCTION("INDEX(IMPORTRANGE(""1y0FWgjbB0gVlqn-q5LMJbGIsqOrzru4yowQz67dz2yc"", ""'JUA'!BI3:BI139""),MATCH($D30,IMPORTRANGE(""1y0FWgjbB0gVlqn-q5LMJbGIsqOrzru4yowQz67dz2yc"", ""'JUA'!D3:D139""),0))"),32)</f>
        <v>32</v>
      </c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1</v>
      </c>
      <c r="Q31" s="12">
        <v>2</v>
      </c>
      <c r="R31" s="13"/>
      <c r="S31" s="13"/>
      <c r="T31" s="13"/>
      <c r="U31" s="13"/>
      <c r="V31" s="13"/>
      <c r="W31" s="316"/>
      <c r="X31" s="12">
        <v>2</v>
      </c>
      <c r="Y31" s="12">
        <f ca="1">IFERROR(__xludf.DUMMYFUNCTION("INDEX(IMPORTRANGE(""1y0FWgjbB0gVlqn-q5LMJbGIsqOrzru4yowQz67dz2yc"", ""'JUA'!BG3:BG139""),MATCH(D31,IMPORTRANGE(""1y0FWgjbB0gVlqn-q5LMJbGIsqOrzru4yowQz67dz2yc"", ""'JUA'!D3:D139""),0))"),2)</f>
        <v>2</v>
      </c>
      <c r="Z31" s="12">
        <f ca="1">IFERROR(__xludf.DUMMYFUNCTION("INDEX(IMPORTRANGE(""1y0FWgjbB0gVlqn-q5LMJbGIsqOrzru4yowQz67dz2yc"", ""'JUA'!BH3:BH139""),MATCH(D31,IMPORTRANGE(""1y0FWgjbB0gVlqn-q5LMJbGIsqOrzru4yowQz67dz2yc"", ""'JUA'!D3:D139""),0))"),0)</f>
        <v>0</v>
      </c>
      <c r="AA31" s="12">
        <f ca="1">IFERROR(__xludf.DUMMYFUNCTION("INDEX(IMPORTRANGE(""1y0FWgjbB0gVlqn-q5LMJbGIsqOrzru4yowQz67dz2yc"", ""'JUA'!BI3:BI139""),MATCH($D31,IMPORTRANGE(""1y0FWgjbB0gVlqn-q5LMJbGIsqOrzru4yowQz67dz2yc"", ""'JUA'!D3:D139""),0))"),5)</f>
        <v>5</v>
      </c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316"/>
      <c r="X32" s="12">
        <v>0</v>
      </c>
      <c r="Y32" s="12">
        <f ca="1">IFERROR(__xludf.DUMMYFUNCTION("INDEX(IMPORTRANGE(""1y0FWgjbB0gVlqn-q5LMJbGIsqOrzru4yowQz67dz2yc"", ""'JUA'!BG3:BG139""),MATCH(D32,IMPORTRANGE(""1y0FWgjbB0gVlqn-q5LMJbGIsqOrzru4yowQz67dz2yc"", ""'JUA'!D3:D139""),0))"),0)</f>
        <v>0</v>
      </c>
      <c r="Z32" s="12">
        <f ca="1">IFERROR(__xludf.DUMMYFUNCTION("INDEX(IMPORTRANGE(""1y0FWgjbB0gVlqn-q5LMJbGIsqOrzru4yowQz67dz2yc"", ""'JUA'!BH3:BH139""),MATCH(D32,IMPORTRANGE(""1y0FWgjbB0gVlqn-q5LMJbGIsqOrzru4yowQz67dz2yc"", ""'JUA'!D3:D139""),0))"),0)</f>
        <v>0</v>
      </c>
      <c r="AA32" s="12">
        <f ca="1">IFERROR(__xludf.DUMMYFUNCTION("INDEX(IMPORTRANGE(""1y0FWgjbB0gVlqn-q5LMJbGIsqOrzru4yowQz67dz2yc"", ""'JUA'!BI3:BI139""),MATCH($D32,IMPORTRANGE(""1y0FWgjbB0gVlqn-q5LMJbGIsqOrzru4yowQz67dz2yc"", ""'JUA'!D3:D139""),0))"),0)</f>
        <v>0</v>
      </c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9</v>
      </c>
      <c r="R33" s="13"/>
      <c r="S33" s="13"/>
      <c r="T33" s="13"/>
      <c r="U33" s="13"/>
      <c r="V33" s="13"/>
      <c r="W33" s="316"/>
      <c r="X33" s="12">
        <v>4</v>
      </c>
      <c r="Y33" s="12">
        <f ca="1">IFERROR(__xludf.DUMMYFUNCTION("INDEX(IMPORTRANGE(""1y0FWgjbB0gVlqn-q5LMJbGIsqOrzru4yowQz67dz2yc"", ""'JUA'!BG3:BG139""),MATCH(D33,IMPORTRANGE(""1y0FWgjbB0gVlqn-q5LMJbGIsqOrzru4yowQz67dz2yc"", ""'JUA'!D3:D139""),0))"),21)</f>
        <v>21</v>
      </c>
      <c r="Z33" s="12">
        <f ca="1">IFERROR(__xludf.DUMMYFUNCTION("INDEX(IMPORTRANGE(""1y0FWgjbB0gVlqn-q5LMJbGIsqOrzru4yowQz67dz2yc"", ""'JUA'!BH3:BH139""),MATCH(D33,IMPORTRANGE(""1y0FWgjbB0gVlqn-q5LMJbGIsqOrzru4yowQz67dz2yc"", ""'JUA'!D3:D139""),0))"),2)</f>
        <v>2</v>
      </c>
      <c r="AA33" s="12">
        <f ca="1">IFERROR(__xludf.DUMMYFUNCTION("INDEX(IMPORTRANGE(""1y0FWgjbB0gVlqn-q5LMJbGIsqOrzru4yowQz67dz2yc"", ""'JUA'!BI3:BI139""),MATCH($D33,IMPORTRANGE(""1y0FWgjbB0gVlqn-q5LMJbGIsqOrzru4yowQz67dz2yc"", ""'JUA'!D3:D139""),0))"),3)</f>
        <v>3</v>
      </c>
      <c r="AB33" s="1"/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13"/>
      <c r="S34" s="13"/>
      <c r="T34" s="13"/>
      <c r="U34" s="13"/>
      <c r="V34" s="13"/>
      <c r="W34" s="316"/>
      <c r="X34" s="12">
        <v>1</v>
      </c>
      <c r="Y34" s="12">
        <f ca="1">IFERROR(__xludf.DUMMYFUNCTION("INDEX(IMPORTRANGE(""1y0FWgjbB0gVlqn-q5LMJbGIsqOrzru4yowQz67dz2yc"", ""'JUA'!BG3:BG139""),MATCH(D34,IMPORTRANGE(""1y0FWgjbB0gVlqn-q5LMJbGIsqOrzru4yowQz67dz2yc"", ""'JUA'!D3:D139""),0))"),2)</f>
        <v>2</v>
      </c>
      <c r="Z34" s="12">
        <f ca="1">IFERROR(__xludf.DUMMYFUNCTION("INDEX(IMPORTRANGE(""1y0FWgjbB0gVlqn-q5LMJbGIsqOrzru4yowQz67dz2yc"", ""'JUA'!BH3:BH139""),MATCH(D34,IMPORTRANGE(""1y0FWgjbB0gVlqn-q5LMJbGIsqOrzru4yowQz67dz2yc"", ""'JUA'!D3:D139""),0))"),0)</f>
        <v>0</v>
      </c>
      <c r="AA34" s="12">
        <f ca="1">IFERROR(__xludf.DUMMYFUNCTION("INDEX(IMPORTRANGE(""1y0FWgjbB0gVlqn-q5LMJbGIsqOrzru4yowQz67dz2yc"", ""'JUA'!BI3:BI139""),MATCH($D34,IMPORTRANGE(""1y0FWgjbB0gVlqn-q5LMJbGIsqOrzru4yowQz67dz2yc"", ""'JUA'!D3:D139""),0))"),0)</f>
        <v>0</v>
      </c>
      <c r="AB34" s="1"/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156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32</v>
      </c>
      <c r="Q35" s="262">
        <f t="shared" si="9"/>
        <v>85</v>
      </c>
      <c r="R35" s="357"/>
      <c r="S35" s="357"/>
      <c r="T35" s="357"/>
      <c r="U35" s="357"/>
      <c r="V35" s="357"/>
      <c r="W35" s="357"/>
      <c r="X35" s="262">
        <f t="shared" ref="X35:AA35" si="10">SUM(X24:X34)</f>
        <v>51</v>
      </c>
      <c r="Y35" s="262">
        <f t="shared" ca="1" si="10"/>
        <v>144</v>
      </c>
      <c r="Z35" s="262">
        <f t="shared" ca="1" si="10"/>
        <v>73</v>
      </c>
      <c r="AA35" s="262">
        <f t="shared" ca="1" si="10"/>
        <v>189</v>
      </c>
      <c r="AB35" s="359"/>
      <c r="AC35" s="359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7.8704523542490605</v>
      </c>
      <c r="Q36" s="23">
        <f t="shared" si="11"/>
        <v>20.905889065974069</v>
      </c>
      <c r="R36" s="428">
        <v>19.399999999999999</v>
      </c>
      <c r="S36" s="428">
        <v>6.8</v>
      </c>
      <c r="T36" s="428">
        <v>18</v>
      </c>
      <c r="U36" s="428">
        <v>6.2</v>
      </c>
      <c r="V36" s="429">
        <v>16.5</v>
      </c>
      <c r="W36" s="429">
        <v>16.5</v>
      </c>
      <c r="X36" s="23">
        <f>(SUM(X24:X34)/X$2)*100000</f>
        <v>12.291111357468898</v>
      </c>
      <c r="Y36" s="23">
        <f ca="1">IFERROR(__xludf.DUMMYFUNCTION("INDEX(IMPORTRANGE(""1y0FWgjbB0gVlqn-q5LMJbGIsqOrzru4yowQz67dz2yc"", ""'JUA'!BG3:BG139""),MATCH(D36,IMPORTRANGE(""1y0FWgjbB0gVlqn-q5LMJbGIsqOrzru4yowQz67dz2yc"", ""'JUA'!D3:D139""),0))"),34.7043144210886)</f>
        <v>34.704314421088597</v>
      </c>
      <c r="Z36" s="12">
        <f ca="1">IFERROR(__xludf.DUMMYFUNCTION("INDEX(IMPORTRANGE(""1y0FWgjbB0gVlqn-q5LMJbGIsqOrzru4yowQz67dz2yc"", ""'JUA'!BH3:BH139""),MATCH(D36,IMPORTRANGE(""1y0FWgjbB0gVlqn-q5LMJbGIsqOrzru4yowQz67dz2yc"", ""'JUA'!D3:D139""),0))"),17.3068625266122)</f>
        <v>17.3068625266122</v>
      </c>
      <c r="AA36" s="23">
        <f ca="1">IFERROR(__xludf.DUMMYFUNCTION("INDEX(IMPORTRANGE(""1y0FWgjbB0gVlqn-q5LMJbGIsqOrzru4yowQz67dz2yc"", ""'JUA'!BI3:BI139""),MATCH($D36,IMPORTRANGE(""1y0FWgjbB0gVlqn-q5LMJbGIsqOrzru4yowQz67dz2yc"", ""'JUA'!D3:D139""),0))"),44.8081783223249)</f>
        <v>44.808178322324899</v>
      </c>
      <c r="AB36" s="1"/>
      <c r="AC36" s="1"/>
    </row>
    <row r="37" spans="1:29">
      <c r="A37" s="7" t="s">
        <v>119</v>
      </c>
      <c r="B37" s="7" t="s">
        <v>120</v>
      </c>
      <c r="C37" s="1" t="s">
        <v>30</v>
      </c>
      <c r="D37" s="447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422"/>
      <c r="Q37" s="422"/>
      <c r="R37" s="13"/>
      <c r="S37" s="13"/>
      <c r="T37" s="13"/>
      <c r="U37" s="13"/>
      <c r="V37" s="13"/>
      <c r="W37" s="316"/>
      <c r="X37" s="422"/>
      <c r="Y37" s="422" t="str">
        <f ca="1">IFERROR(__xludf.DUMMYFUNCTION("INDEX(IMPORTRANGE(""1y0FWgjbB0gVlqn-q5LMJbGIsqOrzru4yowQz67dz2yc"", ""'JUA'!BG3:BG139""),MATCH(D37,IMPORTRANGE(""1y0FWgjbB0gVlqn-q5LMJbGIsqOrzru4yowQz67dz2yc"", ""'JUA'!D3:D139""),0))"),"")</f>
        <v/>
      </c>
      <c r="Z37" s="17" t="str">
        <f ca="1">IFERROR(__xludf.DUMMYFUNCTION("INDEX(IMPORTRANGE(""1y0FWgjbB0gVlqn-q5LMJbGIsqOrzru4yowQz67dz2yc"", ""'JUA'!BH3:BH139""),MATCH(D37,IMPORTRANGE(""1y0FWgjbB0gVlqn-q5LMJbGIsqOrzru4yowQz67dz2yc"", ""'JUA'!D3:D139""),0))"),"Sin dato")</f>
        <v>Sin dato</v>
      </c>
      <c r="AA37" s="28">
        <f ca="1">IFERROR(__xludf.DUMMYFUNCTION("INDEX(IMPORTRANGE(""1y0FWgjbB0gVlqn-q5LMJbGIsqOrzru4yowQz67dz2yc"", ""'JUA'!BI3:BI139""),MATCH($D37,IMPORTRANGE(""1y0FWgjbB0gVlqn-q5LMJbGIsqOrzru4yowQz67dz2yc"", ""'JUA'!D3:D139""),0))"),134383)</f>
        <v>134383</v>
      </c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447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430" t="s">
        <v>435</v>
      </c>
      <c r="Q38" s="430" t="s">
        <v>435</v>
      </c>
      <c r="R38" s="1"/>
      <c r="S38" s="1"/>
      <c r="T38" s="1"/>
      <c r="U38" s="1"/>
      <c r="V38" s="1"/>
      <c r="W38" s="28"/>
      <c r="X38" s="430" t="s">
        <v>435</v>
      </c>
      <c r="Y38" s="17" t="str">
        <f ca="1">IFERROR(__xludf.DUMMYFUNCTION("INDEX(IMPORTRANGE(""1y0FWgjbB0gVlqn-q5LMJbGIsqOrzru4yowQz67dz2yc"", ""'JUA'!BG3:BG139""),MATCH(D38,IMPORTRANGE(""1y0FWgjbB0gVlqn-q5LMJbGIsqOrzru4yowQz67dz2yc"", ""'JUA'!D3:D139""),0))"),"Sin dato")</f>
        <v>Sin dato</v>
      </c>
      <c r="Z38" s="17">
        <f ca="1">IFERROR(__xludf.DUMMYFUNCTION("INDEX(IMPORTRANGE(""1y0FWgjbB0gVlqn-q5LMJbGIsqOrzru4yowQz67dz2yc"", ""'JUA'!BH3:BH139""),MATCH(D38,IMPORTRANGE(""1y0FWgjbB0gVlqn-q5LMJbGIsqOrzru4yowQz67dz2yc"", ""'JUA'!D3:D139""),0))"),167000)</f>
        <v>167000</v>
      </c>
      <c r="AA38" s="12">
        <f ca="1">IFERROR(__xludf.DUMMYFUNCTION("INDEX(IMPORTRANGE(""1y0FWgjbB0gVlqn-q5LMJbGIsqOrzru4yowQz67dz2yc"", ""'JUA'!BI3:BI139""),MATCH($D38,IMPORTRANGE(""1y0FWgjbB0gVlqn-q5LMJbGIsqOrzru4yowQz67dz2yc"", ""'JUA'!D3:D139""),0))"),0)</f>
        <v>0</v>
      </c>
      <c r="AB38" s="1"/>
      <c r="AC38" s="1"/>
    </row>
    <row r="39" spans="1:29">
      <c r="A39" s="7" t="s">
        <v>119</v>
      </c>
      <c r="B39" s="7" t="s">
        <v>120</v>
      </c>
      <c r="C39" s="1" t="s">
        <v>36</v>
      </c>
      <c r="D39" s="447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9" t="e">
        <f t="shared" ref="P39:Q39" si="12">P38/P37</f>
        <v>#VALUE!</v>
      </c>
      <c r="Q39" s="19" t="e">
        <f t="shared" si="12"/>
        <v>#VALUE!</v>
      </c>
      <c r="R39" s="431">
        <v>1.49E-2</v>
      </c>
      <c r="S39" s="431">
        <v>1.67E-2</v>
      </c>
      <c r="T39" s="431">
        <v>1.89E-2</v>
      </c>
      <c r="U39" s="431">
        <v>2.0799999999999999E-2</v>
      </c>
      <c r="V39" s="431">
        <v>2.3300000000000001E-2</v>
      </c>
      <c r="W39" s="431">
        <v>2.3300000000000001E-2</v>
      </c>
      <c r="X39" s="19" t="e">
        <f>X38/X37</f>
        <v>#VALUE!</v>
      </c>
      <c r="Y39" s="19" t="str">
        <f ca="1">IFERROR(__xludf.DUMMYFUNCTION("INDEX(IMPORTRANGE(""1y0FWgjbB0gVlqn-q5LMJbGIsqOrzru4yowQz67dz2yc"", ""'JUA'!BG3:BG139""),MATCH(D39,IMPORTRANGE(""1y0FWgjbB0gVlqn-q5LMJbGIsqOrzru4yowQz67dz2yc"", ""'JUA'!D3:D139""),0))"),"#VALUE!")</f>
        <v>#VALUE!</v>
      </c>
      <c r="Z39" s="19" t="str">
        <f ca="1">IFERROR(__xludf.DUMMYFUNCTION("INDEX(IMPORTRANGE(""1y0FWgjbB0gVlqn-q5LMJbGIsqOrzru4yowQz67dz2yc"", ""'JUA'!BH3:BH139""),MATCH(D39,IMPORTRANGE(""1y0FWgjbB0gVlqn-q5LMJbGIsqOrzru4yowQz67dz2yc"", ""'JUA'!D3:D139""),0))"),"#VALUE!")</f>
        <v>#VALUE!</v>
      </c>
      <c r="AA39" s="15">
        <f ca="1">IFERROR(__xludf.DUMMYFUNCTION("INDEX(IMPORTRANGE(""1y0FWgjbB0gVlqn-q5LMJbGIsqOrzru4yowQz67dz2yc"", ""'JUA'!BI3:BI139""),MATCH($D39,IMPORTRANGE(""1y0FWgjbB0gVlqn-q5LMJbGIsqOrzru4yowQz67dz2yc"", ""'JUA'!D3:D139""),0))"),0)</f>
        <v>0</v>
      </c>
      <c r="AB39" s="1"/>
      <c r="AC39" s="1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432"/>
      <c r="S40" s="432"/>
      <c r="T40" s="432"/>
      <c r="U40" s="432"/>
      <c r="V40" s="28"/>
      <c r="W40" s="28"/>
      <c r="X40" s="2"/>
      <c r="Y40" s="1" t="str">
        <f ca="1">IFERROR(__xludf.DUMMYFUNCTION("INDEX(IMPORTRANGE(""1y0FWgjbB0gVlqn-q5LMJbGIsqOrzru4yowQz67dz2yc"", ""'JUA'!BG3:BG139""),MATCH(D40,IMPORTRANGE(""1y0FWgjbB0gVlqn-q5LMJbGIsqOrzru4yowQz67dz2yc"", ""'JUA'!D3:D139""),0))"),"")</f>
        <v/>
      </c>
      <c r="Z40" s="12">
        <f ca="1">IFERROR(__xludf.DUMMYFUNCTION("INDEX(IMPORTRANGE(""1y0FWgjbB0gVlqn-q5LMJbGIsqOrzru4yowQz67dz2yc"", ""'JUA'!BH3:BH139""),MATCH(D40,IMPORTRANGE(""1y0FWgjbB0gVlqn-q5LMJbGIsqOrzru4yowQz67dz2yc"", ""'JUA'!D3:D139""),0))"),0)</f>
        <v>0</v>
      </c>
      <c r="AA40" s="1">
        <f ca="1">IFERROR(__xludf.DUMMYFUNCTION("INDEX(IMPORTRANGE(""1y0FWgjbB0gVlqn-q5LMJbGIsqOrzru4yowQz67dz2yc"", ""'JUA'!BI3:BI139""),MATCH($D40,IMPORTRANGE(""1y0FWgjbB0gVlqn-q5LMJbGIsqOrzru4yowQz67dz2yc"", ""'JUA'!D3:D139""),0))"),0)</f>
        <v>0</v>
      </c>
      <c r="AB40" s="1"/>
      <c r="AC40" s="1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432"/>
      <c r="S41" s="432"/>
      <c r="T41" s="432"/>
      <c r="U41" s="432"/>
      <c r="V41" s="28"/>
      <c r="W41" s="28"/>
      <c r="X41" s="2"/>
      <c r="Y41" s="1" t="str">
        <f ca="1">IFERROR(__xludf.DUMMYFUNCTION("INDEX(IMPORTRANGE(""1y0FWgjbB0gVlqn-q5LMJbGIsqOrzru4yowQz67dz2yc"", ""'JUA'!BG3:BG139""),MATCH(D41,IMPORTRANGE(""1y0FWgjbB0gVlqn-q5LMJbGIsqOrzru4yowQz67dz2yc"", ""'JUA'!D3:D139""),0))"),"")</f>
        <v/>
      </c>
      <c r="Z41" s="12">
        <f ca="1">IFERROR(__xludf.DUMMYFUNCTION("INDEX(IMPORTRANGE(""1y0FWgjbB0gVlqn-q5LMJbGIsqOrzru4yowQz67dz2yc"", ""'JUA'!BH3:BH139""),MATCH(D41,IMPORTRANGE(""1y0FWgjbB0gVlqn-q5LMJbGIsqOrzru4yowQz67dz2yc"", ""'JUA'!D3:D139""),0))"),56769.6)</f>
        <v>56769.599999999999</v>
      </c>
      <c r="AA41" s="1">
        <f ca="1">IFERROR(__xludf.DUMMYFUNCTION("INDEX(IMPORTRANGE(""1y0FWgjbB0gVlqn-q5LMJbGIsqOrzru4yowQz67dz2yc"", ""'JUA'!BI3:BI139""),MATCH($D41,IMPORTRANGE(""1y0FWgjbB0gVlqn-q5LMJbGIsqOrzru4yowQz67dz2yc"", ""'JUA'!D3:D139""),0))"),117084.079999999)</f>
        <v>117084.079999999</v>
      </c>
      <c r="AB41" s="1"/>
      <c r="AC41" s="1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433"/>
      <c r="S42" s="431">
        <v>3.3999999999999998E-3</v>
      </c>
      <c r="T42" s="431">
        <v>4.3E-3</v>
      </c>
      <c r="U42" s="431">
        <v>4.4000000000000003E-3</v>
      </c>
      <c r="V42" s="431">
        <v>4.7999999999999996E-3</v>
      </c>
      <c r="W42" s="431">
        <v>4.7999999999999996E-3</v>
      </c>
      <c r="X42" s="2"/>
      <c r="Y42" s="1" t="str">
        <f ca="1">IFERROR(__xludf.DUMMYFUNCTION("INDEX(IMPORTRANGE(""1y0FWgjbB0gVlqn-q5LMJbGIsqOrzru4yowQz67dz2yc"", ""'JUA'!BG3:BG139""),MATCH(D42,IMPORTRANGE(""1y0FWgjbB0gVlqn-q5LMJbGIsqOrzru4yowQz67dz2yc"", ""'JUA'!D3:D139""),0))"),"")</f>
        <v/>
      </c>
      <c r="Z42" s="12">
        <f ca="1">IFERROR(__xludf.DUMMYFUNCTION("INDEX(IMPORTRANGE(""1y0FWgjbB0gVlqn-q5LMJbGIsqOrzru4yowQz67dz2yc"", ""'JUA'!BH3:BH139""),MATCH(D42,IMPORTRANGE(""1y0FWgjbB0gVlqn-q5LMJbGIsqOrzru4yowQz67dz2yc"", ""'JUA'!D3:D139""),0))"),0)</f>
        <v>0</v>
      </c>
      <c r="AA42" s="1">
        <f ca="1">IFERROR(__xludf.DUMMYFUNCTION("INDEX(IMPORTRANGE(""1y0FWgjbB0gVlqn-q5LMJbGIsqOrzru4yowQz67dz2yc"", ""'JUA'!BI3:BI139""),MATCH($D42,IMPORTRANGE(""1y0FWgjbB0gVlqn-q5LMJbGIsqOrzru4yowQz67dz2yc"", ""'JUA'!D3:D139""),0))"),0)</f>
        <v>0</v>
      </c>
      <c r="AB42" s="1"/>
      <c r="AC42" s="1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433">
        <v>4</v>
      </c>
      <c r="S43" s="433">
        <v>6</v>
      </c>
      <c r="T43" s="433">
        <v>7</v>
      </c>
      <c r="U43" s="433">
        <v>8</v>
      </c>
      <c r="V43" s="434">
        <v>10</v>
      </c>
      <c r="W43" s="434">
        <v>10</v>
      </c>
      <c r="X43" s="2">
        <v>0</v>
      </c>
      <c r="Y43" s="2">
        <f ca="1">IFERROR(__xludf.DUMMYFUNCTION("INDEX(IMPORTRANGE(""1y0FWgjbB0gVlqn-q5LMJbGIsqOrzru4yowQz67dz2yc"", ""'JUA'!BG3:BG139""),MATCH(D43,IMPORTRANGE(""1y0FWgjbB0gVlqn-q5LMJbGIsqOrzru4yowQz67dz2yc"", ""'JUA'!D3:D139""),0))"),0)</f>
        <v>0</v>
      </c>
      <c r="Z43" s="12">
        <f ca="1">IFERROR(__xludf.DUMMYFUNCTION("INDEX(IMPORTRANGE(""1y0FWgjbB0gVlqn-q5LMJbGIsqOrzru4yowQz67dz2yc"", ""'JUA'!BH3:BH139""),MATCH(D43,IMPORTRANGE(""1y0FWgjbB0gVlqn-q5LMJbGIsqOrzru4yowQz67dz2yc"", ""'JUA'!D3:D139""),0))"),0)</f>
        <v>0</v>
      </c>
      <c r="AA43" s="2">
        <f ca="1">IFERROR(__xludf.DUMMYFUNCTION("INDEX(IMPORTRANGE(""1y0FWgjbB0gVlqn-q5LMJbGIsqOrzru4yowQz67dz2yc"", ""'JUA'!BI3:BI139""),MATCH($D43,IMPORTRANGE(""1y0FWgjbB0gVlqn-q5LMJbGIsqOrzru4yowQz67dz2yc"", ""'JUA'!D3:D139""),0))"),0)</f>
        <v>0</v>
      </c>
      <c r="AB43" s="1"/>
      <c r="AC43" s="1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27</v>
      </c>
      <c r="Q44" s="12">
        <v>44</v>
      </c>
      <c r="R44" s="433">
        <v>1036</v>
      </c>
      <c r="S44" s="433">
        <v>1576</v>
      </c>
      <c r="T44" s="433">
        <v>2061</v>
      </c>
      <c r="U44" s="433">
        <v>2538</v>
      </c>
      <c r="V44" s="434">
        <v>3054</v>
      </c>
      <c r="W44" s="434">
        <v>3054</v>
      </c>
      <c r="X44" s="2">
        <v>0</v>
      </c>
      <c r="Y44" s="2">
        <f ca="1">IFERROR(__xludf.DUMMYFUNCTION("INDEX(IMPORTRANGE(""1y0FWgjbB0gVlqn-q5LMJbGIsqOrzru4yowQz67dz2yc"", ""'JUA'!BG3:BG139""),MATCH(D44,IMPORTRANGE(""1y0FWgjbB0gVlqn-q5LMJbGIsqOrzru4yowQz67dz2yc"", ""'JUA'!D3:D139""),0))"),0)</f>
        <v>0</v>
      </c>
      <c r="Z44" s="12">
        <f ca="1">IFERROR(__xludf.DUMMYFUNCTION("INDEX(IMPORTRANGE(""1y0FWgjbB0gVlqn-q5LMJbGIsqOrzru4yowQz67dz2yc"", ""'JUA'!BH3:BH139""),MATCH(D44,IMPORTRANGE(""1y0FWgjbB0gVlqn-q5LMJbGIsqOrzru4yowQz67dz2yc"", ""'JUA'!D3:D139""),0))"),450)</f>
        <v>450</v>
      </c>
      <c r="AA44" s="2">
        <f ca="1">IFERROR(__xludf.DUMMYFUNCTION("INDEX(IMPORTRANGE(""1y0FWgjbB0gVlqn-q5LMJbGIsqOrzru4yowQz67dz2yc"", ""'JUA'!BI3:BI139""),MATCH($D44,IMPORTRANGE(""1y0FWgjbB0gVlqn-q5LMJbGIsqOrzru4yowQz67dz2yc"", ""'JUA'!D3:D139""),0))"),481)</f>
        <v>481</v>
      </c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6</v>
      </c>
      <c r="R45" s="13"/>
      <c r="S45" s="13"/>
      <c r="T45" s="13"/>
      <c r="U45" s="13"/>
      <c r="V45" s="13"/>
      <c r="W45" s="316"/>
      <c r="X45" s="2">
        <v>0</v>
      </c>
      <c r="Y45" s="2">
        <f ca="1">IFERROR(__xludf.DUMMYFUNCTION("INDEX(IMPORTRANGE(""1y0FWgjbB0gVlqn-q5LMJbGIsqOrzru4yowQz67dz2yc"", ""'JUA'!BG3:BG139""),MATCH(D45,IMPORTRANGE(""1y0FWgjbB0gVlqn-q5LMJbGIsqOrzru4yowQz67dz2yc"", ""'JUA'!D3:D139""),0))"),0)</f>
        <v>0</v>
      </c>
      <c r="Z45" s="12">
        <f ca="1">IFERROR(__xludf.DUMMYFUNCTION("INDEX(IMPORTRANGE(""1y0FWgjbB0gVlqn-q5LMJbGIsqOrzru4yowQz67dz2yc"", ""'JUA'!BH3:BH139""),MATCH(D45,IMPORTRANGE(""1y0FWgjbB0gVlqn-q5LMJbGIsqOrzru4yowQz67dz2yc"", ""'JUA'!D3:D139""),0))"),0)</f>
        <v>0</v>
      </c>
      <c r="AA45" s="2">
        <f ca="1">IFERROR(__xludf.DUMMYFUNCTION("INDEX(IMPORTRANGE(""1y0FWgjbB0gVlqn-q5LMJbGIsqOrzru4yowQz67dz2yc"", ""'JUA'!BI3:BI139""),MATCH($D45,IMPORTRANGE(""1y0FWgjbB0gVlqn-q5LMJbGIsqOrzru4yowQz67dz2yc"", ""'JUA'!D3:D139""),0))"),1)</f>
        <v>1</v>
      </c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3"/>
      <c r="S46" s="13"/>
      <c r="T46" s="13"/>
      <c r="U46" s="13"/>
      <c r="V46" s="13"/>
      <c r="W46" s="316"/>
      <c r="X46" s="2"/>
      <c r="Y46" s="2">
        <f ca="1">IFERROR(__xludf.DUMMYFUNCTION("INDEX(IMPORTRANGE(""1y0FWgjbB0gVlqn-q5LMJbGIsqOrzru4yowQz67dz2yc"", ""'JUA'!BG3:BG139""),MATCH(D46,IMPORTRANGE(""1y0FWgjbB0gVlqn-q5LMJbGIsqOrzru4yowQz67dz2yc"", ""'JUA'!D3:D139""),0))"),0)</f>
        <v>0</v>
      </c>
      <c r="Z46" s="12">
        <f ca="1">IFERROR(__xludf.DUMMYFUNCTION("INDEX(IMPORTRANGE(""1y0FWgjbB0gVlqn-q5LMJbGIsqOrzru4yowQz67dz2yc"", ""'JUA'!BH3:BH139""),MATCH(D46,IMPORTRANGE(""1y0FWgjbB0gVlqn-q5LMJbGIsqOrzru4yowQz67dz2yc"", ""'JUA'!D3:D139""),0))"),0)</f>
        <v>0</v>
      </c>
      <c r="AA46" s="2">
        <f ca="1">IFERROR(__xludf.DUMMYFUNCTION("INDEX(IMPORTRANGE(""1y0FWgjbB0gVlqn-q5LMJbGIsqOrzru4yowQz67dz2yc"", ""'JUA'!BI3:BI139""),MATCH($D46,IMPORTRANGE(""1y0FWgjbB0gVlqn-q5LMJbGIsqOrzru4yowQz67dz2yc"", ""'JUA'!D3:D139""),0))"),0)</f>
        <v>0</v>
      </c>
      <c r="AB46" s="1"/>
      <c r="AC46" s="1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10</v>
      </c>
      <c r="Q47" s="12">
        <v>10</v>
      </c>
      <c r="R47" s="13"/>
      <c r="S47" s="13"/>
      <c r="T47" s="13"/>
      <c r="U47" s="13"/>
      <c r="V47" s="13"/>
      <c r="W47" s="316"/>
      <c r="X47" s="2">
        <v>0</v>
      </c>
      <c r="Y47" s="2">
        <f ca="1">IFERROR(__xludf.DUMMYFUNCTION("INDEX(IMPORTRANGE(""1y0FWgjbB0gVlqn-q5LMJbGIsqOrzru4yowQz67dz2yc"", ""'JUA'!BG3:BG139""),MATCH(D47,IMPORTRANGE(""1y0FWgjbB0gVlqn-q5LMJbGIsqOrzru4yowQz67dz2yc"", ""'JUA'!D3:D139""),0))"),0)</f>
        <v>0</v>
      </c>
      <c r="Z47" s="12">
        <f ca="1">IFERROR(__xludf.DUMMYFUNCTION("INDEX(IMPORTRANGE(""1y0FWgjbB0gVlqn-q5LMJbGIsqOrzru4yowQz67dz2yc"", ""'JUA'!BH3:BH139""),MATCH(D47,IMPORTRANGE(""1y0FWgjbB0gVlqn-q5LMJbGIsqOrzru4yowQz67dz2yc"", ""'JUA'!D3:D139""),0))"),0)</f>
        <v>0</v>
      </c>
      <c r="AA47" s="2">
        <f ca="1">IFERROR(__xludf.DUMMYFUNCTION("INDEX(IMPORTRANGE(""1y0FWgjbB0gVlqn-q5LMJbGIsqOrzru4yowQz67dz2yc"", ""'JUA'!BI3:BI139""),MATCH($D47,IMPORTRANGE(""1y0FWgjbB0gVlqn-q5LMJbGIsqOrzru4yowQz67dz2yc"", ""'JUA'!D3:D139""),0))"),2)</f>
        <v>2</v>
      </c>
      <c r="AB47" s="1"/>
      <c r="AC47" s="1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3"/>
      <c r="S48" s="13"/>
      <c r="T48" s="13"/>
      <c r="U48" s="13"/>
      <c r="V48" s="13"/>
      <c r="W48" s="316"/>
      <c r="X48" s="12"/>
      <c r="Y48" s="12">
        <f ca="1">IFERROR(__xludf.DUMMYFUNCTION("INDEX(IMPORTRANGE(""1y0FWgjbB0gVlqn-q5LMJbGIsqOrzru4yowQz67dz2yc"", ""'JUA'!BG3:BG139""),MATCH(D48,IMPORTRANGE(""1y0FWgjbB0gVlqn-q5LMJbGIsqOrzru4yowQz67dz2yc"", ""'JUA'!D3:D139""),0))"),0)</f>
        <v>0</v>
      </c>
      <c r="Z48" s="12">
        <f ca="1">IFERROR(__xludf.DUMMYFUNCTION("INDEX(IMPORTRANGE(""1y0FWgjbB0gVlqn-q5LMJbGIsqOrzru4yowQz67dz2yc"", ""'JUA'!BH3:BH139""),MATCH(D48,IMPORTRANGE(""1y0FWgjbB0gVlqn-q5LMJbGIsqOrzru4yowQz67dz2yc"", ""'JUA'!D3:D139""),0))"),0)</f>
        <v>0</v>
      </c>
      <c r="AA48" s="12">
        <f ca="1">IFERROR(__xludf.DUMMYFUNCTION("INDEX(IMPORTRANGE(""1y0FWgjbB0gVlqn-q5LMJbGIsqOrzru4yowQz67dz2yc"", ""'JUA'!BI3:BI139""),MATCH($D48,IMPORTRANGE(""1y0FWgjbB0gVlqn-q5LMJbGIsqOrzru4yowQz67dz2yc"", ""'JUA'!D3:D139""),0))"),0)</f>
        <v>0</v>
      </c>
      <c r="AB48" s="1"/>
      <c r="AC48" s="1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v>10</v>
      </c>
      <c r="Q49" s="12">
        <v>16</v>
      </c>
      <c r="R49" s="433">
        <v>16</v>
      </c>
      <c r="S49" s="433">
        <v>23</v>
      </c>
      <c r="T49" s="433">
        <v>31</v>
      </c>
      <c r="U49" s="433">
        <v>38</v>
      </c>
      <c r="V49" s="434">
        <v>46</v>
      </c>
      <c r="W49" s="434">
        <v>46</v>
      </c>
      <c r="X49" s="12">
        <f>SUM(X45:X47)</f>
        <v>0</v>
      </c>
      <c r="Y49" s="12">
        <f ca="1">IFERROR(__xludf.DUMMYFUNCTION("INDEX(IMPORTRANGE(""1y0FWgjbB0gVlqn-q5LMJbGIsqOrzru4yowQz67dz2yc"", ""'JUA'!BG3:BG139""),MATCH(D49,IMPORTRANGE(""1y0FWgjbB0gVlqn-q5LMJbGIsqOrzru4yowQz67dz2yc"", ""'JUA'!D3:D139""),0))"),0)</f>
        <v>0</v>
      </c>
      <c r="Z49" s="12">
        <f ca="1">IFERROR(__xludf.DUMMYFUNCTION("INDEX(IMPORTRANGE(""1y0FWgjbB0gVlqn-q5LMJbGIsqOrzru4yowQz67dz2yc"", ""'JUA'!BH3:BH139""),MATCH(D49,IMPORTRANGE(""1y0FWgjbB0gVlqn-q5LMJbGIsqOrzru4yowQz67dz2yc"", ""'JUA'!D3:D139""),0))"),0)</f>
        <v>0</v>
      </c>
      <c r="AA49" s="12">
        <f ca="1">IFERROR(__xludf.DUMMYFUNCTION("INDEX(IMPORTRANGE(""1y0FWgjbB0gVlqn-q5LMJbGIsqOrzru4yowQz67dz2yc"", ""'JUA'!BI3:BI139""),MATCH($D49,IMPORTRANGE(""1y0FWgjbB0gVlqn-q5LMJbGIsqOrzru4yowQz67dz2yc"", ""'JUA'!D3:D139""),0))"),3)</f>
        <v>3</v>
      </c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""'JUA'!BG3:BG139""),MATCH(D50,IMPORTRANGE(""1y0FWgjbB0gVlqn-q5LMJbGIsqOrzru4yowQz67dz2yc"", ""'JUA'!D3:D139""),0))"),"No")</f>
        <v>No</v>
      </c>
      <c r="Z50" s="12" t="str">
        <f ca="1">IFERROR(__xludf.DUMMYFUNCTION("INDEX(IMPORTRANGE(""1y0FWgjbB0gVlqn-q5LMJbGIsqOrzru4yowQz67dz2yc"", ""'JUA'!BH3:BH139""),MATCH(D50,IMPORTRANGE(""1y0FWgjbB0gVlqn-q5LMJbGIsqOrzru4yowQz67dz2yc"", ""'JUA'!D3:D139""),0))"),"No")</f>
        <v>No</v>
      </c>
      <c r="AA50" s="2" t="str">
        <f ca="1">IFERROR(__xludf.DUMMYFUNCTION("INDEX(IMPORTRANGE(""1y0FWgjbB0gVlqn-q5LMJbGIsqOrzru4yowQz67dz2yc"", ""'JUA'!BI3:BI139""),MATCH($D50,IMPORTRANGE(""1y0FWgjbB0gVlqn-q5LMJbGIsqOrzru4yowQz67dz2yc"", ""'JUA'!D3:D139""),0))"),"No")</f>
        <v>No</v>
      </c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30" t="s">
        <v>150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150</v>
      </c>
      <c r="Y51" s="2" t="str">
        <f ca="1">IFERROR(__xludf.DUMMYFUNCTION("INDEX(IMPORTRANGE(""1y0FWgjbB0gVlqn-q5LMJbGIsqOrzru4yowQz67dz2yc"", ""'JUA'!BG3:BG139""),MATCH(D51,IMPORTRANGE(""1y0FWgjbB0gVlqn-q5LMJbGIsqOrzru4yowQz67dz2yc"", ""'JUA'!D3:D139""),0))"),"No")</f>
        <v>No</v>
      </c>
      <c r="Z51" s="12" t="str">
        <f ca="1">IFERROR(__xludf.DUMMYFUNCTION("INDEX(IMPORTRANGE(""1y0FWgjbB0gVlqn-q5LMJbGIsqOrzru4yowQz67dz2yc"", ""'JUA'!BH3:BH139""),MATCH(D51,IMPORTRANGE(""1y0FWgjbB0gVlqn-q5LMJbGIsqOrzru4yowQz67dz2yc"", ""'JUA'!D3:D139""),0))"),"No")</f>
        <v>No</v>
      </c>
      <c r="AA51" s="2" t="str">
        <f ca="1">IFERROR(__xludf.DUMMYFUNCTION("INDEX(IMPORTRANGE(""1y0FWgjbB0gVlqn-q5LMJbGIsqOrzru4yowQz67dz2yc"", ""'JUA'!BI3:BI139""),MATCH($D51,IMPORTRANGE(""1y0FWgjbB0gVlqn-q5LMJbGIsqOrzru4yowQz67dz2yc"", ""'JUA'!D3:D139""),0))"),"No")</f>
        <v>No</v>
      </c>
      <c r="AB51" s="1"/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150</v>
      </c>
      <c r="Q52" s="30" t="s">
        <v>150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150</v>
      </c>
      <c r="Y52" s="2" t="str">
        <f ca="1">IFERROR(__xludf.DUMMYFUNCTION("INDEX(IMPORTRANGE(""1y0FWgjbB0gVlqn-q5LMJbGIsqOrzru4yowQz67dz2yc"", ""'JUA'!BG3:BG139""),MATCH(D52,IMPORTRANGE(""1y0FWgjbB0gVlqn-q5LMJbGIsqOrzru4yowQz67dz2yc"", ""'JUA'!D3:D139""),0))"),"No")</f>
        <v>No</v>
      </c>
      <c r="Z52" s="12" t="str">
        <f ca="1">IFERROR(__xludf.DUMMYFUNCTION("INDEX(IMPORTRANGE(""1y0FWgjbB0gVlqn-q5LMJbGIsqOrzru4yowQz67dz2yc"", ""'JUA'!BH3:BH139""),MATCH(D52,IMPORTRANGE(""1y0FWgjbB0gVlqn-q5LMJbGIsqOrzru4yowQz67dz2yc"", ""'JUA'!D3:D139""),0))"),"No")</f>
        <v>No</v>
      </c>
      <c r="AA52" s="2" t="str">
        <f ca="1">IFERROR(__xludf.DUMMYFUNCTION("INDEX(IMPORTRANGE(""1y0FWgjbB0gVlqn-q5LMJbGIsqOrzru4yowQz67dz2yc"", ""'JUA'!BI3:BI139""),MATCH($D52,IMPORTRANGE(""1y0FWgjbB0gVlqn-q5LMJbGIsqOrzru4yowQz67dz2yc"", ""'JUA'!D3:D139""),0))"),"No")</f>
        <v>No</v>
      </c>
      <c r="AB52" s="1"/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f t="shared" ref="P53:Q53" si="13">COUNTIF(P50:P52,"Sí")*(1/3)</f>
        <v>0</v>
      </c>
      <c r="Q53" s="12">
        <f t="shared" si="13"/>
        <v>0</v>
      </c>
      <c r="R53" s="276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12" t="s">
        <v>157</v>
      </c>
      <c r="X53" s="12">
        <f>COUNTIF(X50:X52,"Sí")*(1/3)</f>
        <v>0</v>
      </c>
      <c r="Y53" s="12">
        <f ca="1">IFERROR(__xludf.DUMMYFUNCTION("INDEX(IMPORTRANGE(""1y0FWgjbB0gVlqn-q5LMJbGIsqOrzru4yowQz67dz2yc"", ""'JUA'!BG3:BG139""),MATCH(D53,IMPORTRANGE(""1y0FWgjbB0gVlqn-q5LMJbGIsqOrzru4yowQz67dz2yc"", ""'JUA'!D3:D139""),0))"),0)</f>
        <v>0</v>
      </c>
      <c r="Z53" s="12">
        <f ca="1">IFERROR(__xludf.DUMMYFUNCTION("INDEX(IMPORTRANGE(""1y0FWgjbB0gVlqn-q5LMJbGIsqOrzru4yowQz67dz2yc"", ""'JUA'!BH3:BH139""),MATCH(D53,IMPORTRANGE(""1y0FWgjbB0gVlqn-q5LMJbGIsqOrzru4yowQz67dz2yc"", ""'JUA'!D3:D139""),0))"),0)</f>
        <v>0</v>
      </c>
      <c r="AA53" s="12">
        <f ca="1">IFERROR(__xludf.DUMMYFUNCTION("INDEX(IMPORTRANGE(""1y0FWgjbB0gVlqn-q5LMJbGIsqOrzru4yowQz67dz2yc"", ""'JUA'!BI3:BI139""),MATCH($D53,IMPORTRANGE(""1y0FWgjbB0gVlqn-q5LMJbGIsqOrzru4yowQz67dz2yc"", ""'JUA'!D3:D139""),0))"),0)</f>
        <v>0</v>
      </c>
      <c r="AB53" s="1"/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22" t="s">
        <v>159</v>
      </c>
      <c r="S54" s="22" t="s">
        <v>160</v>
      </c>
      <c r="T54" s="22" t="s">
        <v>160</v>
      </c>
      <c r="U54" s="22" t="s">
        <v>161</v>
      </c>
      <c r="V54" s="22" t="s">
        <v>161</v>
      </c>
      <c r="W54" s="262" t="s">
        <v>161</v>
      </c>
      <c r="X54" s="2">
        <v>0</v>
      </c>
      <c r="Y54" s="2">
        <f ca="1">IFERROR(__xludf.DUMMYFUNCTION("INDEX(IMPORTRANGE(""1y0FWgjbB0gVlqn-q5LMJbGIsqOrzru4yowQz67dz2yc"", ""'JUA'!BG3:BG139""),MATCH(D54,IMPORTRANGE(""1y0FWgjbB0gVlqn-q5LMJbGIsqOrzru4yowQz67dz2yc"", ""'JUA'!D3:D139""),0))"),0)</f>
        <v>0</v>
      </c>
      <c r="Z54" s="19">
        <f ca="1">IFERROR(__xludf.DUMMYFUNCTION("INDEX(IMPORTRANGE(""1y0FWgjbB0gVlqn-q5LMJbGIsqOrzru4yowQz67dz2yc"", ""'JUA'!BH3:BH139""),MATCH(D54,IMPORTRANGE(""1y0FWgjbB0gVlqn-q5LMJbGIsqOrzru4yowQz67dz2yc"", ""'JUA'!D3:D139""),0))"),0)</f>
        <v>0</v>
      </c>
      <c r="AA54" s="2">
        <f ca="1">IFERROR(__xludf.DUMMYFUNCTION("INDEX(IMPORTRANGE(""1y0FWgjbB0gVlqn-q5LMJbGIsqOrzru4yowQz67dz2yc"", ""'JUA'!BI3:BI139""),MATCH($D54,IMPORTRANGE(""1y0FWgjbB0gVlqn-q5LMJbGIsqOrzru4yowQz67dz2yc"", ""'JUA'!D3:D139""),0))"),0)</f>
        <v>0</v>
      </c>
      <c r="AB54" s="1"/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13"/>
      <c r="S55" s="13"/>
      <c r="T55" s="13"/>
      <c r="U55" s="13"/>
      <c r="V55" s="13"/>
      <c r="W55" s="316"/>
      <c r="X55" s="2">
        <v>0</v>
      </c>
      <c r="Y55" s="2">
        <f ca="1">IFERROR(__xludf.DUMMYFUNCTION("INDEX(IMPORTRANGE(""1y0FWgjbB0gVlqn-q5LMJbGIsqOrzru4yowQz67dz2yc"", ""'JUA'!BG3:BG139""),MATCH(D55,IMPORTRANGE(""1y0FWgjbB0gVlqn-q5LMJbGIsqOrzru4yowQz67dz2yc"", ""'JUA'!D3:D139""),0))"),0)</f>
        <v>0</v>
      </c>
      <c r="Z55" s="17" t="str">
        <f ca="1">IFERROR(__xludf.DUMMYFUNCTION("INDEX(IMPORTRANGE(""1y0FWgjbB0gVlqn-q5LMJbGIsqOrzru4yowQz67dz2yc"", ""'JUA'!BH3:BH139""),MATCH(D55,IMPORTRANGE(""1y0FWgjbB0gVlqn-q5LMJbGIsqOrzru4yowQz67dz2yc"", ""'JUA'!D3:D139""),0))"),"No tienen información ")</f>
        <v xml:space="preserve">No tienen información </v>
      </c>
      <c r="AA55" s="2" t="str">
        <f ca="1">IFERROR(__xludf.DUMMYFUNCTION("INDEX(IMPORTRANGE(""1y0FWgjbB0gVlqn-q5LMJbGIsqOrzru4yowQz67dz2yc"", ""'JUA'!BI3:BI139""),MATCH($D55,IMPORTRANGE(""1y0FWgjbB0gVlqn-q5LMJbGIsqOrzru4yowQz67dz2yc"", ""'JUA'!D3:D139""),0))"),"")</f>
        <v/>
      </c>
      <c r="AB55" s="1"/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316"/>
      <c r="X56" s="2">
        <v>0</v>
      </c>
      <c r="Y56" s="2">
        <f ca="1">IFERROR(__xludf.DUMMYFUNCTION("INDEX(IMPORTRANGE(""1y0FWgjbB0gVlqn-q5LMJbGIsqOrzru4yowQz67dz2yc"", ""'JUA'!BG3:BG139""),MATCH(D56,IMPORTRANGE(""1y0FWgjbB0gVlqn-q5LMJbGIsqOrzru4yowQz67dz2yc"", ""'JUA'!D3:D139""),0))"),0)</f>
        <v>0</v>
      </c>
      <c r="Z56" s="17" t="str">
        <f ca="1">IFERROR(__xludf.DUMMYFUNCTION("INDEX(IMPORTRANGE(""1y0FWgjbB0gVlqn-q5LMJbGIsqOrzru4yowQz67dz2yc"", ""'JUA'!BH3:BH139""),MATCH(D56,IMPORTRANGE(""1y0FWgjbB0gVlqn-q5LMJbGIsqOrzru4yowQz67dz2yc"", ""'JUA'!D3:D139""),0))"),"No tienen información ")</f>
        <v xml:space="preserve">No tienen información </v>
      </c>
      <c r="AA56" s="2" t="str">
        <f ca="1">IFERROR(__xludf.DUMMYFUNCTION("INDEX(IMPORTRANGE(""1y0FWgjbB0gVlqn-q5LMJbGIsqOrzru4yowQz67dz2yc"", ""'JUA'!BI3:BI139""),MATCH($D56,IMPORTRANGE(""1y0FWgjbB0gVlqn-q5LMJbGIsqOrzru4yowQz67dz2yc"", ""'JUA'!D3:D139""),0))"),"")</f>
        <v/>
      </c>
      <c r="AB56" s="1"/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2" t="s">
        <v>436</v>
      </c>
      <c r="Q57" s="2" t="s">
        <v>436</v>
      </c>
      <c r="R57" s="424">
        <v>1</v>
      </c>
      <c r="S57" s="424">
        <v>1</v>
      </c>
      <c r="T57" s="424">
        <v>1</v>
      </c>
      <c r="U57" s="424">
        <v>1</v>
      </c>
      <c r="V57" s="424">
        <v>1</v>
      </c>
      <c r="W57" s="424">
        <v>1</v>
      </c>
      <c r="X57" s="2" t="s">
        <v>436</v>
      </c>
      <c r="Y57" s="2" t="str">
        <f ca="1">IFERROR(__xludf.DUMMYFUNCTION("INDEX(IMPORTRANGE(""1y0FWgjbB0gVlqn-q5LMJbGIsqOrzru4yowQz67dz2yc"", ""'JUA'!BG3:BG139""),MATCH(D57,IMPORTRANGE(""1y0FWgjbB0gVlqn-q5LMJbGIsqOrzru4yowQz67dz2yc"", ""'JUA'!D3:D139""),0))"),"NA")</f>
        <v>NA</v>
      </c>
      <c r="Z57" s="435" t="str">
        <f ca="1">IFERROR(__xludf.DUMMYFUNCTION("INDEX(IMPORTRANGE(""1y0FWgjbB0gVlqn-q5LMJbGIsqOrzru4yowQz67dz2yc"", ""'JUA'!BH3:BH139""),MATCH(D57,IMPORTRANGE(""1y0FWgjbB0gVlqn-q5LMJbGIsqOrzru4yowQz67dz2yc"", ""'JUA'!D3:D139""),0))"),"#VALUE!")</f>
        <v>#VALUE!</v>
      </c>
      <c r="AA57" s="2" t="str">
        <f ca="1">IFERROR(__xludf.DUMMYFUNCTION("INDEX(IMPORTRANGE(""1y0FWgjbB0gVlqn-q5LMJbGIsqOrzru4yowQz67dz2yc"", ""'JUA'!BI3:BI139""),MATCH($D57,IMPORTRANGE(""1y0FWgjbB0gVlqn-q5LMJbGIsqOrzru4yowQz67dz2yc"", ""'JUA'!D3:D139""),0))"),"NA")</f>
        <v>NA</v>
      </c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448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35753</v>
      </c>
      <c r="Q58" s="12">
        <v>35753</v>
      </c>
      <c r="R58" s="13"/>
      <c r="S58" s="13"/>
      <c r="T58" s="13"/>
      <c r="U58" s="13"/>
      <c r="V58" s="13"/>
      <c r="W58" s="316"/>
      <c r="X58" s="12">
        <v>35753</v>
      </c>
      <c r="Y58" s="12">
        <f ca="1">IFERROR(__xludf.DUMMYFUNCTION("INDEX(IMPORTRANGE(""1y0FWgjbB0gVlqn-q5LMJbGIsqOrzru4yowQz67dz2yc"", ""'JUA'!BG3:BG139""),MATCH(D58,IMPORTRANGE(""1y0FWgjbB0gVlqn-q5LMJbGIsqOrzru4yowQz67dz2yc"", ""'JUA'!D3:D139""),0))"),35753)</f>
        <v>35753</v>
      </c>
      <c r="Z58" s="12">
        <f ca="1">IFERROR(__xludf.DUMMYFUNCTION("INDEX(IMPORTRANGE(""1y0FWgjbB0gVlqn-q5LMJbGIsqOrzru4yowQz67dz2yc"", ""'JUA'!BH3:BH139""),MATCH(D58,IMPORTRANGE(""1y0FWgjbB0gVlqn-q5LMJbGIsqOrzru4yowQz67dz2yc"", ""'JUA'!D3:D139""),0))"),36217)</f>
        <v>36217</v>
      </c>
      <c r="AA58" s="12">
        <f ca="1">IFERROR(__xludf.DUMMYFUNCTION("INDEX(IMPORTRANGE(""1y0FWgjbB0gVlqn-q5LMJbGIsqOrzru4yowQz67dz2yc"", ""'JUA'!BI3:BI139""),MATCH($D58,IMPORTRANGE(""1y0FWgjbB0gVlqn-q5LMJbGIsqOrzru4yowQz67dz2yc"", ""'JUA'!D3:D139""),0))"),38517)</f>
        <v>38517</v>
      </c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448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430" t="s">
        <v>435</v>
      </c>
      <c r="Q59" s="430" t="s">
        <v>435</v>
      </c>
      <c r="R59" s="13"/>
      <c r="S59" s="13"/>
      <c r="T59" s="13"/>
      <c r="U59" s="13"/>
      <c r="V59" s="13"/>
      <c r="W59" s="316"/>
      <c r="X59" s="430" t="s">
        <v>435</v>
      </c>
      <c r="Y59" s="17" t="str">
        <f ca="1">IFERROR(__xludf.DUMMYFUNCTION("INDEX(IMPORTRANGE(""1y0FWgjbB0gVlqn-q5LMJbGIsqOrzru4yowQz67dz2yc"", ""'JUA'!BG3:BG139""),MATCH(D59,IMPORTRANGE(""1y0FWgjbB0gVlqn-q5LMJbGIsqOrzru4yowQz67dz2yc"", ""'JUA'!D3:D139""),0))"),"Sin dato")</f>
        <v>Sin dato</v>
      </c>
      <c r="Z59" s="12">
        <f ca="1">IFERROR(__xludf.DUMMYFUNCTION("INDEX(IMPORTRANGE(""1y0FWgjbB0gVlqn-q5LMJbGIsqOrzru4yowQz67dz2yc"", ""'JUA'!BH3:BH139""),MATCH(D59,IMPORTRANGE(""1y0FWgjbB0gVlqn-q5LMJbGIsqOrzru4yowQz67dz2yc"", ""'JUA'!D3:D139""),0))"),67363.62)</f>
        <v>67363.62</v>
      </c>
      <c r="AA59" s="12">
        <f ca="1">IFERROR(__xludf.DUMMYFUNCTION("INDEX(IMPORTRANGE(""1y0FWgjbB0gVlqn-q5LMJbGIsqOrzru4yowQz67dz2yc"", ""'JUA'!BI3:BI139""),MATCH($D59,IMPORTRANGE(""1y0FWgjbB0gVlqn-q5LMJbGIsqOrzru4yowQz67dz2yc"", ""'JUA'!D3:D139""),0))"),38917)</f>
        <v>38917</v>
      </c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44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420" t="e">
        <f t="shared" ref="P60:Q60" si="14">P58/P59</f>
        <v>#VALUE!</v>
      </c>
      <c r="Q60" s="420" t="e">
        <f t="shared" si="14"/>
        <v>#VALUE!</v>
      </c>
      <c r="R60" s="424">
        <v>1</v>
      </c>
      <c r="S60" s="424">
        <v>1</v>
      </c>
      <c r="T60" s="424">
        <v>1</v>
      </c>
      <c r="U60" s="424">
        <v>1</v>
      </c>
      <c r="V60" s="424">
        <v>1</v>
      </c>
      <c r="W60" s="424">
        <v>1</v>
      </c>
      <c r="X60" s="420" t="e">
        <f>X58/X59</f>
        <v>#VALUE!</v>
      </c>
      <c r="Y60" s="19" t="str">
        <f ca="1">IFERROR(__xludf.DUMMYFUNCTION("INDEX(IMPORTRANGE(""1y0FWgjbB0gVlqn-q5LMJbGIsqOrzru4yowQz67dz2yc"", ""'JUA'!BG3:BG139""),MATCH(D60,IMPORTRANGE(""1y0FWgjbB0gVlqn-q5LMJbGIsqOrzru4yowQz67dz2yc"", ""'JUA'!D3:D139""),0))"),"#VALUE!")</f>
        <v>#VALUE!</v>
      </c>
      <c r="Z60" s="15">
        <f ca="1">IFERROR(__xludf.DUMMYFUNCTION("INDEX(IMPORTRANGE(""1y0FWgjbB0gVlqn-q5LMJbGIsqOrzru4yowQz67dz2yc"", ""'JUA'!BH3:BH139""),MATCH(D60,IMPORTRANGE(""1y0FWgjbB0gVlqn-q5LMJbGIsqOrzru4yowQz67dz2yc"", ""'JUA'!D3:D139""),0))"),0.53763440860215)</f>
        <v>0.53763440860214995</v>
      </c>
      <c r="AA60" s="15">
        <f ca="1">IFERROR(__xludf.DUMMYFUNCTION("INDEX(IMPORTRANGE(""1y0FWgjbB0gVlqn-q5LMJbGIsqOrzru4yowQz67dz2yc"", ""'JUA'!BI3:BI139""),MATCH($D60,IMPORTRANGE(""1y0FWgjbB0gVlqn-q5LMJbGIsqOrzru4yowQz67dz2yc"", ""'JUA'!D3:D139""),0))"),0.989721715445692)</f>
        <v>0.98972171544569199</v>
      </c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44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430" t="s">
        <v>435</v>
      </c>
      <c r="Q61" s="430" t="s">
        <v>435</v>
      </c>
      <c r="R61" s="13"/>
      <c r="S61" s="13"/>
      <c r="T61" s="13"/>
      <c r="U61" s="13"/>
      <c r="V61" s="13"/>
      <c r="W61" s="316"/>
      <c r="X61" s="430" t="s">
        <v>435</v>
      </c>
      <c r="Y61" s="17" t="str">
        <f ca="1">IFERROR(__xludf.DUMMYFUNCTION("INDEX(IMPORTRANGE(""1y0FWgjbB0gVlqn-q5LMJbGIsqOrzru4yowQz67dz2yc"", ""'JUA'!BG3:BG139""),MATCH(D61,IMPORTRANGE(""1y0FWgjbB0gVlqn-q5LMJbGIsqOrzru4yowQz67dz2yc"", ""'JUA'!D3:D139""),0))"),"Sin dato")</f>
        <v>Sin dato</v>
      </c>
      <c r="Z61" s="28" t="str">
        <f ca="1">IFERROR(__xludf.DUMMYFUNCTION("INDEX(IMPORTRANGE(""1y0FWgjbB0gVlqn-q5LMJbGIsqOrzru4yowQz67dz2yc"", ""'JUA'!BH3:BH139""),MATCH(D61,IMPORTRANGE(""1y0FWgjbB0gVlqn-q5LMJbGIsqOrzru4yowQz67dz2yc"", ""'JUA'!D3:D139""),0))"),"")</f>
        <v/>
      </c>
      <c r="AA61" s="12">
        <f ca="1">IFERROR(__xludf.DUMMYFUNCTION("INDEX(IMPORTRANGE(""1y0FWgjbB0gVlqn-q5LMJbGIsqOrzru4yowQz67dz2yc"", ""'JUA'!BI3:BI139""),MATCH($D61,IMPORTRANGE(""1y0FWgjbB0gVlqn-q5LMJbGIsqOrzru4yowQz67dz2yc"", ""'JUA'!D3:D139""),0))"),29596)</f>
        <v>29596</v>
      </c>
      <c r="AB61" s="1"/>
      <c r="AC61" s="1"/>
    </row>
    <row r="62" spans="1:29">
      <c r="A62" s="7" t="s">
        <v>147</v>
      </c>
      <c r="B62" s="7" t="s">
        <v>168</v>
      </c>
      <c r="C62" s="1" t="s">
        <v>36</v>
      </c>
      <c r="D62" s="447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9" t="e">
        <f t="shared" ref="P62:Q62" si="15">P61/P37</f>
        <v>#VALUE!</v>
      </c>
      <c r="Q62" s="19" t="e">
        <f t="shared" si="15"/>
        <v>#VALUE!</v>
      </c>
      <c r="R62" s="424">
        <v>1</v>
      </c>
      <c r="S62" s="424">
        <v>1</v>
      </c>
      <c r="T62" s="424">
        <v>1</v>
      </c>
      <c r="U62" s="424">
        <v>1</v>
      </c>
      <c r="V62" s="424">
        <v>1</v>
      </c>
      <c r="W62" s="424">
        <v>1</v>
      </c>
      <c r="X62" s="19" t="e">
        <f>X61/X37</f>
        <v>#VALUE!</v>
      </c>
      <c r="Y62" s="19" t="str">
        <f ca="1">IFERROR(__xludf.DUMMYFUNCTION("INDEX(IMPORTRANGE(""1y0FWgjbB0gVlqn-q5LMJbGIsqOrzru4yowQz67dz2yc"", ""'JUA'!BG3:BG139""),MATCH(D62,IMPORTRANGE(""1y0FWgjbB0gVlqn-q5LMJbGIsqOrzru4yowQz67dz2yc"", ""'JUA'!D3:D139""),0))"),"#VALUE!")</f>
        <v>#VALUE!</v>
      </c>
      <c r="Z62" s="19" t="str">
        <f ca="1">IFERROR(__xludf.DUMMYFUNCTION("INDEX(IMPORTRANGE(""1y0FWgjbB0gVlqn-q5LMJbGIsqOrzru4yowQz67dz2yc"", ""'JUA'!BH3:BH139""),MATCH(D62,IMPORTRANGE(""1y0FWgjbB0gVlqn-q5LMJbGIsqOrzru4yowQz67dz2yc"", ""'JUA'!D3:D139""),0))"),"#VALUE!")</f>
        <v>#VALUE!</v>
      </c>
      <c r="AA62" s="15">
        <f ca="1">IFERROR(__xludf.DUMMYFUNCTION("INDEX(IMPORTRANGE(""1y0FWgjbB0gVlqn-q5LMJbGIsqOrzru4yowQz67dz2yc"", ""'JUA'!BI3:BI139""),MATCH($D62,IMPORTRANGE(""1y0FWgjbB0gVlqn-q5LMJbGIsqOrzru4yowQz67dz2yc"", ""'JUA'!D3:D139""),0))"),0.220236190589583)</f>
        <v>0.22023619058958299</v>
      </c>
      <c r="AB62" s="1"/>
      <c r="AC62" s="1"/>
    </row>
    <row r="63" spans="1:29">
      <c r="A63" s="7" t="s">
        <v>147</v>
      </c>
      <c r="B63" s="7" t="s">
        <v>168</v>
      </c>
      <c r="C63" s="1" t="s">
        <v>30</v>
      </c>
      <c r="D63" s="44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430" t="s">
        <v>435</v>
      </c>
      <c r="Q63" s="430" t="s">
        <v>435</v>
      </c>
      <c r="R63" s="13"/>
      <c r="S63" s="13"/>
      <c r="T63" s="13"/>
      <c r="U63" s="13"/>
      <c r="V63" s="13"/>
      <c r="W63" s="316"/>
      <c r="X63" s="430" t="s">
        <v>435</v>
      </c>
      <c r="Y63" s="17" t="str">
        <f ca="1">IFERROR(__xludf.DUMMYFUNCTION("INDEX(IMPORTRANGE(""1y0FWgjbB0gVlqn-q5LMJbGIsqOrzru4yowQz67dz2yc"", ""'JUA'!BG3:BG139""),MATCH(D63,IMPORTRANGE(""1y0FWgjbB0gVlqn-q5LMJbGIsqOrzru4yowQz67dz2yc"", ""'JUA'!D3:D139""),0))"),"Sin dato")</f>
        <v>Sin dato</v>
      </c>
      <c r="Z63" s="17" t="str">
        <f ca="1">IFERROR(__xludf.DUMMYFUNCTION("INDEX(IMPORTRANGE(""1y0FWgjbB0gVlqn-q5LMJbGIsqOrzru4yowQz67dz2yc"", ""'JUA'!BH3:BH139""),MATCH(D63,IMPORTRANGE(""1y0FWgjbB0gVlqn-q5LMJbGIsqOrzru4yowQz67dz2yc"", ""'JUA'!D3:D139""),0))"),"Sin dato")</f>
        <v>Sin dato</v>
      </c>
      <c r="AA63" s="12">
        <f ca="1">IFERROR(__xludf.DUMMYFUNCTION("INDEX(IMPORTRANGE(""1y0FWgjbB0gVlqn-q5LMJbGIsqOrzru4yowQz67dz2yc"", ""'JUA'!BI3:BI139""),MATCH($D63,IMPORTRANGE(""1y0FWgjbB0gVlqn-q5LMJbGIsqOrzru4yowQz67dz2yc"", ""'JUA'!D3:D139""),0))"),29822352)</f>
        <v>29822352</v>
      </c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447" t="s">
        <v>181</v>
      </c>
      <c r="E64" s="7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430" t="s">
        <v>435</v>
      </c>
      <c r="Q64" s="430" t="s">
        <v>435</v>
      </c>
      <c r="R64" s="13"/>
      <c r="S64" s="13"/>
      <c r="T64" s="13"/>
      <c r="U64" s="13"/>
      <c r="V64" s="13"/>
      <c r="W64" s="316"/>
      <c r="X64" s="430" t="s">
        <v>435</v>
      </c>
      <c r="Y64" s="17" t="str">
        <f ca="1">IFERROR(__xludf.DUMMYFUNCTION("INDEX(IMPORTRANGE(""1y0FWgjbB0gVlqn-q5LMJbGIsqOrzru4yowQz67dz2yc"", ""'JUA'!BG3:BG139""),MATCH(D64,IMPORTRANGE(""1y0FWgjbB0gVlqn-q5LMJbGIsqOrzru4yowQz67dz2yc"", ""'JUA'!D3:D139""),0))"),"Sin dato")</f>
        <v>Sin dato</v>
      </c>
      <c r="Z64" s="17" t="str">
        <f ca="1">IFERROR(__xludf.DUMMYFUNCTION("INDEX(IMPORTRANGE(""1y0FWgjbB0gVlqn-q5LMJbGIsqOrzru4yowQz67dz2yc"", ""'JUA'!BH3:BH139""),MATCH(D64,IMPORTRANGE(""1y0FWgjbB0gVlqn-q5LMJbGIsqOrzru4yowQz67dz2yc"", ""'JUA'!D3:D139""),0))"),"Sin dato")</f>
        <v>Sin dato</v>
      </c>
      <c r="AA64" s="12">
        <f ca="1">IFERROR(__xludf.DUMMYFUNCTION("INDEX(IMPORTRANGE(""1y0FWgjbB0gVlqn-q5LMJbGIsqOrzru4yowQz67dz2yc"", ""'JUA'!BI3:BI139""),MATCH($D64,IMPORTRANGE(""1y0FWgjbB0gVlqn-q5LMJbGIsqOrzru4yowQz67dz2yc"", ""'JUA'!D3:D139""),0))"),31313469.6)</f>
        <v>31313469.600000001</v>
      </c>
      <c r="AB64" s="1"/>
      <c r="AC64" s="1"/>
    </row>
    <row r="65" spans="1:29">
      <c r="A65" s="7" t="s">
        <v>147</v>
      </c>
      <c r="B65" s="7" t="s">
        <v>168</v>
      </c>
      <c r="C65" s="1" t="s">
        <v>36</v>
      </c>
      <c r="D65" s="447" t="s">
        <v>183</v>
      </c>
      <c r="E65" s="7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436" t="e">
        <f t="shared" ref="P65:Q65" si="16">P63/P64</f>
        <v>#VALUE!</v>
      </c>
      <c r="Q65" s="436" t="e">
        <f t="shared" si="16"/>
        <v>#VALUE!</v>
      </c>
      <c r="R65" s="424">
        <v>1</v>
      </c>
      <c r="S65" s="424">
        <v>1</v>
      </c>
      <c r="T65" s="424">
        <v>1</v>
      </c>
      <c r="U65" s="424">
        <v>1</v>
      </c>
      <c r="V65" s="424">
        <v>1</v>
      </c>
      <c r="W65" s="424">
        <v>1</v>
      </c>
      <c r="X65" s="436" t="e">
        <f>X63/X64</f>
        <v>#VALUE!</v>
      </c>
      <c r="Y65" s="435" t="str">
        <f ca="1">IFERROR(__xludf.DUMMYFUNCTION("INDEX(IMPORTRANGE(""1y0FWgjbB0gVlqn-q5LMJbGIsqOrzru4yowQz67dz2yc"", ""'JUA'!BG3:BG139""),MATCH(D65,IMPORTRANGE(""1y0FWgjbB0gVlqn-q5LMJbGIsqOrzru4yowQz67dz2yc"", ""'JUA'!D3:D139""),0))"),"#VALUE!")</f>
        <v>#VALUE!</v>
      </c>
      <c r="Z65" s="435" t="str">
        <f ca="1">IFERROR(__xludf.DUMMYFUNCTION("INDEX(IMPORTRANGE(""1y0FWgjbB0gVlqn-q5LMJbGIsqOrzru4yowQz67dz2yc"", ""'JUA'!BH3:BH139""),MATCH(D65,IMPORTRANGE(""1y0FWgjbB0gVlqn-q5LMJbGIsqOrzru4yowQz67dz2yc"", ""'JUA'!D3:D139""),0))"),"#VALUE!")</f>
        <v>#VALUE!</v>
      </c>
      <c r="AA65" s="26">
        <f ca="1">IFERROR(__xludf.DUMMYFUNCTION("INDEX(IMPORTRANGE(""1y0FWgjbB0gVlqn-q5LMJbGIsqOrzru4yowQz67dz2yc"", ""'JUA'!BI3:BI139""),MATCH($D65,IMPORTRANGE(""1y0FWgjbB0gVlqn-q5LMJbGIsqOrzru4yowQz67dz2yc"", ""'JUA'!D3:D139""),0))"),0.952380952380952)</f>
        <v>0.952380952380952</v>
      </c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447" t="s">
        <v>185</v>
      </c>
      <c r="E66" s="7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430" t="s">
        <v>435</v>
      </c>
      <c r="Q66" s="430" t="s">
        <v>435</v>
      </c>
      <c r="R66" s="13"/>
      <c r="S66" s="13"/>
      <c r="T66" s="13"/>
      <c r="U66" s="13"/>
      <c r="V66" s="13"/>
      <c r="W66" s="316"/>
      <c r="X66" s="430" t="s">
        <v>435</v>
      </c>
      <c r="Y66" s="17" t="str">
        <f ca="1">IFERROR(__xludf.DUMMYFUNCTION("INDEX(IMPORTRANGE(""1y0FWgjbB0gVlqn-q5LMJbGIsqOrzru4yowQz67dz2yc"", ""'JUA'!BG3:BG139""),MATCH(D66,IMPORTRANGE(""1y0FWgjbB0gVlqn-q5LMJbGIsqOrzru4yowQz67dz2yc"", ""'JUA'!D3:D139""),0))"),"Sin dato")</f>
        <v>Sin dato</v>
      </c>
      <c r="Z66" s="17" t="str">
        <f ca="1">IFERROR(__xludf.DUMMYFUNCTION("INDEX(IMPORTRANGE(""1y0FWgjbB0gVlqn-q5LMJbGIsqOrzru4yowQz67dz2yc"", ""'JUA'!BH3:BH139""),MATCH(D66,IMPORTRANGE(""1y0FWgjbB0gVlqn-q5LMJbGIsqOrzru4yowQz67dz2yc"", ""'JUA'!D3:D139""),0))"),"Sin dato")</f>
        <v>Sin dato</v>
      </c>
      <c r="AA66" s="12" t="str">
        <f ca="1">IFERROR(__xludf.DUMMYFUNCTION("INDEX(IMPORTRANGE(""1y0FWgjbB0gVlqn-q5LMJbGIsqOrzru4yowQz67dz2yc"", ""'JUA'!BI3:BI139""),MATCH($D66,IMPORTRANGE(""1y0FWgjbB0gVlqn-q5LMJbGIsqOrzru4yowQz67dz2yc"", ""'JUA'!D3:D139""),0))"),"Sin dato")</f>
        <v>Sin dato</v>
      </c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447" t="s">
        <v>187</v>
      </c>
      <c r="E67" s="7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430" t="s">
        <v>435</v>
      </c>
      <c r="Q67" s="430" t="s">
        <v>435</v>
      </c>
      <c r="R67" s="13"/>
      <c r="S67" s="13"/>
      <c r="T67" s="13"/>
      <c r="U67" s="13"/>
      <c r="V67" s="13"/>
      <c r="W67" s="316"/>
      <c r="X67" s="430" t="s">
        <v>435</v>
      </c>
      <c r="Y67" s="17" t="str">
        <f ca="1">IFERROR(__xludf.DUMMYFUNCTION("INDEX(IMPORTRANGE(""1y0FWgjbB0gVlqn-q5LMJbGIsqOrzru4yowQz67dz2yc"", ""'JUA'!BG3:BG139""),MATCH(D67,IMPORTRANGE(""1y0FWgjbB0gVlqn-q5LMJbGIsqOrzru4yowQz67dz2yc"", ""'JUA'!D3:D139""),0))"),"Sin dato")</f>
        <v>Sin dato</v>
      </c>
      <c r="Z67" s="17" t="str">
        <f ca="1">IFERROR(__xludf.DUMMYFUNCTION("INDEX(IMPORTRANGE(""1y0FWgjbB0gVlqn-q5LMJbGIsqOrzru4yowQz67dz2yc"", ""'JUA'!BH3:BH139""),MATCH(D67,IMPORTRANGE(""1y0FWgjbB0gVlqn-q5LMJbGIsqOrzru4yowQz67dz2yc"", ""'JUA'!D3:D139""),0))"),"Sin dato")</f>
        <v>Sin dato</v>
      </c>
      <c r="AA67" s="12" t="str">
        <f ca="1">IFERROR(__xludf.DUMMYFUNCTION("INDEX(IMPORTRANGE(""1y0FWgjbB0gVlqn-q5LMJbGIsqOrzru4yowQz67dz2yc"", ""'JUA'!BI3:BI139""),MATCH($D67,IMPORTRANGE(""1y0FWgjbB0gVlqn-q5LMJbGIsqOrzru4yowQz67dz2yc"", ""'JUA'!D3:D139""),0))"),"Sin dato")</f>
        <v>Sin dato</v>
      </c>
      <c r="AB67" s="1"/>
      <c r="AC67" s="1"/>
    </row>
    <row r="68" spans="1:29">
      <c r="A68" s="7" t="s">
        <v>147</v>
      </c>
      <c r="B68" s="7" t="s">
        <v>168</v>
      </c>
      <c r="C68" s="1" t="s">
        <v>36</v>
      </c>
      <c r="D68" s="447" t="s">
        <v>189</v>
      </c>
      <c r="E68" s="7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420" t="e">
        <f t="shared" ref="P68:Q68" si="17">P66/P67</f>
        <v>#VALUE!</v>
      </c>
      <c r="Q68" s="420" t="e">
        <f t="shared" si="17"/>
        <v>#VALUE!</v>
      </c>
      <c r="R68" s="424">
        <v>1</v>
      </c>
      <c r="S68" s="424">
        <v>1</v>
      </c>
      <c r="T68" s="424">
        <v>1</v>
      </c>
      <c r="U68" s="424">
        <v>1</v>
      </c>
      <c r="V68" s="424">
        <v>1</v>
      </c>
      <c r="W68" s="424">
        <v>1</v>
      </c>
      <c r="X68" s="420" t="e">
        <f>X66/X67</f>
        <v>#VALUE!</v>
      </c>
      <c r="Y68" s="19" t="str">
        <f ca="1">IFERROR(__xludf.DUMMYFUNCTION("INDEX(IMPORTRANGE(""1y0FWgjbB0gVlqn-q5LMJbGIsqOrzru4yowQz67dz2yc"", ""'JUA'!BG3:BG139""),MATCH(D68,IMPORTRANGE(""1y0FWgjbB0gVlqn-q5LMJbGIsqOrzru4yowQz67dz2yc"", ""'JUA'!D3:D139""),0))"),"Sin dato")</f>
        <v>Sin dato</v>
      </c>
      <c r="Z68" s="19" t="str">
        <f ca="1">IFERROR(__xludf.DUMMYFUNCTION("INDEX(IMPORTRANGE(""1y0FWgjbB0gVlqn-q5LMJbGIsqOrzru4yowQz67dz2yc"", ""'JUA'!BH3:BH139""),MATCH(D68,IMPORTRANGE(""1y0FWgjbB0gVlqn-q5LMJbGIsqOrzru4yowQz67dz2yc"", ""'JUA'!D3:D139""),0))"),"Sin dato")</f>
        <v>Sin dato</v>
      </c>
      <c r="AA68" s="15" t="str">
        <f ca="1">IFERROR(__xludf.DUMMYFUNCTION("INDEX(IMPORTRANGE(""1y0FWgjbB0gVlqn-q5LMJbGIsqOrzru4yowQz67dz2yc"", ""'JUA'!BI3:BI139""),MATCH($D68,IMPORTRANGE(""1y0FWgjbB0gVlqn-q5LMJbGIsqOrzru4yowQz67dz2yc"", ""'JUA'!D3:D139""),0))"),"Sin dato")</f>
        <v>Sin dato</v>
      </c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4">
        <v>0</v>
      </c>
      <c r="Q69" s="24">
        <v>0</v>
      </c>
      <c r="R69" s="13"/>
      <c r="S69" s="13"/>
      <c r="T69" s="13"/>
      <c r="U69" s="13"/>
      <c r="V69" s="13"/>
      <c r="W69" s="13"/>
      <c r="X69" s="24">
        <v>0</v>
      </c>
      <c r="Y69" s="24">
        <f ca="1">IFERROR(__xludf.DUMMYFUNCTION("INDEX(IMPORTRANGE(""1y0FWgjbB0gVlqn-q5LMJbGIsqOrzru4yowQz67dz2yc"", ""'JUA'!BG3:BG139""),MATCH(D69,IMPORTRANGE(""1y0FWgjbB0gVlqn-q5LMJbGIsqOrzru4yowQz67dz2yc"", ""'JUA'!D3:D139""),0))"),0)</f>
        <v>0</v>
      </c>
      <c r="Z69" s="24">
        <f ca="1">IFERROR(__xludf.DUMMYFUNCTION("INDEX(IMPORTRANGE(""1y0FWgjbB0gVlqn-q5LMJbGIsqOrzru4yowQz67dz2yc"", ""'JUA'!BH3:BH139""),MATCH(D69,IMPORTRANGE(""1y0FWgjbB0gVlqn-q5LMJbGIsqOrzru4yowQz67dz2yc"", ""'JUA'!D3:D139""),0))"),0)</f>
        <v>0</v>
      </c>
      <c r="AA69" s="24">
        <f ca="1">IFERROR(__xludf.DUMMYFUNCTION("INDEX(IMPORTRANGE(""1y0FWgjbB0gVlqn-q5LMJbGIsqOrzru4yowQz67dz2yc"", ""'JUA'!BI3:BI139""),MATCH($D69,IMPORTRANGE(""1y0FWgjbB0gVlqn-q5LMJbGIsqOrzru4yowQz67dz2yc"", ""'JUA'!D3:D139""),0))"),0)</f>
        <v>0</v>
      </c>
      <c r="AB69" s="1"/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0</v>
      </c>
      <c r="R70" s="13"/>
      <c r="S70" s="13"/>
      <c r="T70" s="13"/>
      <c r="U70" s="13"/>
      <c r="V70" s="13"/>
      <c r="W70" s="13"/>
      <c r="X70" s="23">
        <v>0</v>
      </c>
      <c r="Y70" s="23">
        <f ca="1">IFERROR(__xludf.DUMMYFUNCTION("INDEX(IMPORTRANGE(""1y0FWgjbB0gVlqn-q5LMJbGIsqOrzru4yowQz67dz2yc"", ""'JUA'!BG3:BG139""),MATCH(D70,IMPORTRANGE(""1y0FWgjbB0gVlqn-q5LMJbGIsqOrzru4yowQz67dz2yc"", ""'JUA'!D3:D139""),0))"),0)</f>
        <v>0</v>
      </c>
      <c r="Z70" s="23">
        <f ca="1">IFERROR(__xludf.DUMMYFUNCTION("INDEX(IMPORTRANGE(""1y0FWgjbB0gVlqn-q5LMJbGIsqOrzru4yowQz67dz2yc"", ""'JUA'!BH3:BH139""),MATCH(D70,IMPORTRANGE(""1y0FWgjbB0gVlqn-q5LMJbGIsqOrzru4yowQz67dz2yc"", ""'JUA'!D3:D139""),0))"),0)</f>
        <v>0</v>
      </c>
      <c r="AA70" s="23">
        <f ca="1">IFERROR(__xludf.DUMMYFUNCTION("INDEX(IMPORTRANGE(""1y0FWgjbB0gVlqn-q5LMJbGIsqOrzru4yowQz67dz2yc"", ""'JUA'!BI3:BI139""),MATCH($D70,IMPORTRANGE(""1y0FWgjbB0gVlqn-q5LMJbGIsqOrzru4yowQz67dz2yc"", ""'JUA'!D3:D139""),0))"),0)</f>
        <v>0</v>
      </c>
      <c r="AB70" s="1"/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430" t="s">
        <v>435</v>
      </c>
      <c r="Q71" s="430" t="s">
        <v>435</v>
      </c>
      <c r="R71" s="13"/>
      <c r="S71" s="13"/>
      <c r="T71" s="13"/>
      <c r="U71" s="13"/>
      <c r="V71" s="13"/>
      <c r="W71" s="13"/>
      <c r="X71" s="430" t="s">
        <v>435</v>
      </c>
      <c r="Y71" s="1" t="str">
        <f ca="1">IFERROR(__xludf.DUMMYFUNCTION("INDEX(IMPORTRANGE(""1y0FWgjbB0gVlqn-q5LMJbGIsqOrzru4yowQz67dz2yc"", ""'JUA'!BG3:BG139""),MATCH(D71,IMPORTRANGE(""1y0FWgjbB0gVlqn-q5LMJbGIsqOrzru4yowQz67dz2yc"", ""'JUA'!D3:D139""),0))"),"")</f>
        <v/>
      </c>
      <c r="Z71" s="12" t="str">
        <f ca="1">IFERROR(__xludf.DUMMYFUNCTION("INDEX(IMPORTRANGE(""1y0FWgjbB0gVlqn-q5LMJbGIsqOrzru4yowQz67dz2yc"", ""'JUA'!BH3:BH139""),MATCH(D71,IMPORTRANGE(""1y0FWgjbB0gVlqn-q5LMJbGIsqOrzru4yowQz67dz2yc"", ""'JUA'!D3:D139""),0))"),"Sin documento")</f>
        <v>Sin documento</v>
      </c>
      <c r="AA71" s="1" t="str">
        <f ca="1">IFERROR(__xludf.DUMMYFUNCTION("INDEX(IMPORTRANGE(""1y0FWgjbB0gVlqn-q5LMJbGIsqOrzru4yowQz67dz2yc"", ""'JUA'!BI3:BI139""),MATCH($D71,IMPORTRANGE(""1y0FWgjbB0gVlqn-q5LMJbGIsqOrzru4yowQz67dz2yc"", ""'JUA'!D3:D139""),0))"),"")</f>
        <v/>
      </c>
      <c r="AB71" s="1"/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18">P69+P70</f>
        <v>0</v>
      </c>
      <c r="Q72" s="23">
        <f t="shared" si="18"/>
        <v>0</v>
      </c>
      <c r="R72" s="433">
        <v>45</v>
      </c>
      <c r="S72" s="433">
        <v>23</v>
      </c>
      <c r="T72" s="433">
        <v>46</v>
      </c>
      <c r="U72" s="433">
        <v>23</v>
      </c>
      <c r="V72" s="433">
        <v>46</v>
      </c>
      <c r="W72" s="433">
        <v>141</v>
      </c>
      <c r="X72" s="23">
        <f>X69+X70</f>
        <v>0</v>
      </c>
      <c r="Y72" s="23">
        <f ca="1">IFERROR(__xludf.DUMMYFUNCTION("INDEX(IMPORTRANGE(""1y0FWgjbB0gVlqn-q5LMJbGIsqOrzru4yowQz67dz2yc"", ""'JUA'!BG3:BG139""),MATCH(D72,IMPORTRANGE(""1y0FWgjbB0gVlqn-q5LMJbGIsqOrzru4yowQz67dz2yc"", ""'JUA'!D3:D139""),0))"),0)</f>
        <v>0</v>
      </c>
      <c r="Z72" s="23">
        <f ca="1">IFERROR(__xludf.DUMMYFUNCTION("INDEX(IMPORTRANGE(""1y0FWgjbB0gVlqn-q5LMJbGIsqOrzru4yowQz67dz2yc"", ""'JUA'!BH3:BH139""),MATCH(D72,IMPORTRANGE(""1y0FWgjbB0gVlqn-q5LMJbGIsqOrzru4yowQz67dz2yc"", ""'JUA'!D3:D139""),0))"),0)</f>
        <v>0</v>
      </c>
      <c r="AA72" s="23">
        <f ca="1">IFERROR(__xludf.DUMMYFUNCTION("INDEX(IMPORTRANGE(""1y0FWgjbB0gVlqn-q5LMJbGIsqOrzru4yowQz67dz2yc"", ""'JUA'!BI3:BI139""),MATCH($D72,IMPORTRANGE(""1y0FWgjbB0gVlqn-q5LMJbGIsqOrzru4yowQz67dz2yc"", ""'JUA'!D3:D139""),0))"),0)</f>
        <v>0</v>
      </c>
      <c r="AB72" s="1"/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0</v>
      </c>
      <c r="Q73" s="23">
        <v>0</v>
      </c>
      <c r="R73" s="433">
        <v>6</v>
      </c>
      <c r="S73" s="433">
        <v>7</v>
      </c>
      <c r="T73" s="433">
        <v>9</v>
      </c>
      <c r="U73" s="433">
        <v>10</v>
      </c>
      <c r="V73" s="421">
        <v>12</v>
      </c>
      <c r="W73" s="437">
        <v>12</v>
      </c>
      <c r="X73" s="23">
        <v>0.43543999999999999</v>
      </c>
      <c r="Y73" s="23">
        <f ca="1">IFERROR(__xludf.DUMMYFUNCTION("INDEX(IMPORTRANGE(""1y0FWgjbB0gVlqn-q5LMJbGIsqOrzru4yowQz67dz2yc"", ""'JUA'!BG3:BG139""),MATCH(D73,IMPORTRANGE(""1y0FWgjbB0gVlqn-q5LMJbGIsqOrzru4yowQz67dz2yc"", ""'JUA'!D3:D139""),0))"),9.71358)</f>
        <v>9.7135800000000003</v>
      </c>
      <c r="Z73" s="23">
        <f ca="1">IFERROR(__xludf.DUMMYFUNCTION("INDEX(IMPORTRANGE(""1y0FWgjbB0gVlqn-q5LMJbGIsqOrzru4yowQz67dz2yc"", ""'JUA'!BH3:BH139""),MATCH(D73,IMPORTRANGE(""1y0FWgjbB0gVlqn-q5LMJbGIsqOrzru4yowQz67dz2yc"", ""'JUA'!D3:D139""),0))"),0)</f>
        <v>0</v>
      </c>
      <c r="AA73" s="23">
        <f ca="1">IFERROR(__xludf.DUMMYFUNCTION("INDEX(IMPORTRANGE(""1y0FWgjbB0gVlqn-q5LMJbGIsqOrzru4yowQz67dz2yc"", ""'JUA'!BI3:BI139""),MATCH($D73,IMPORTRANGE(""1y0FWgjbB0gVlqn-q5LMJbGIsqOrzru4yowQz67dz2yc"", ""'JUA'!D3:D139""),0))"),0)</f>
        <v>0</v>
      </c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438"/>
      <c r="Q74" s="438"/>
      <c r="R74" s="1"/>
      <c r="S74" s="1"/>
      <c r="T74" s="1"/>
      <c r="U74" s="1"/>
      <c r="V74" s="1"/>
      <c r="W74" s="255"/>
      <c r="X74" s="24">
        <v>435.44</v>
      </c>
      <c r="Y74" s="24">
        <f ca="1">IFERROR(__xludf.DUMMYFUNCTION("INDEX(IMPORTRANGE(""1y0FWgjbB0gVlqn-q5LMJbGIsqOrzru4yowQz67dz2yc"", ""'JUA'!BG3:BG139""),MATCH(D74,IMPORTRANGE(""1y0FWgjbB0gVlqn-q5LMJbGIsqOrzru4yowQz67dz2yc"", ""'JUA'!D3:D139""),0))"),2833.35)</f>
        <v>2833.35</v>
      </c>
      <c r="Z74" s="24">
        <f ca="1">IFERROR(__xludf.DUMMYFUNCTION("INDEX(IMPORTRANGE(""1y0FWgjbB0gVlqn-q5LMJbGIsqOrzru4yowQz67dz2yc"", ""'JUA'!BH3:BH139""),MATCH(D74,IMPORTRANGE(""1y0FWgjbB0gVlqn-q5LMJbGIsqOrzru4yowQz67dz2yc"", ""'JUA'!D3:D139""),0))"),490.72)</f>
        <v>490.72</v>
      </c>
      <c r="AA74" s="24">
        <f ca="1">IFERROR(__xludf.DUMMYFUNCTION("INDEX(IMPORTRANGE(""1y0FWgjbB0gVlqn-q5LMJbGIsqOrzru4yowQz67dz2yc"", ""'JUA'!BI3:BI139""),MATCH($D74,IMPORTRANGE(""1y0FWgjbB0gVlqn-q5LMJbGIsqOrzru4yowQz67dz2yc"", ""'JUA'!D3:D139""),0))"),3830.43)</f>
        <v>3830.43</v>
      </c>
      <c r="AB74" s="1"/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438"/>
      <c r="Q75" s="438"/>
      <c r="R75" s="1"/>
      <c r="S75" s="1"/>
      <c r="T75" s="1"/>
      <c r="U75" s="1"/>
      <c r="V75" s="1"/>
      <c r="W75" s="28"/>
      <c r="X75" s="2">
        <v>0</v>
      </c>
      <c r="Y75" s="12">
        <f ca="1">IFERROR(__xludf.DUMMYFUNCTION("INDEX(IMPORTRANGE(""1y0FWgjbB0gVlqn-q5LMJbGIsqOrzru4yowQz67dz2yc"", ""'JUA'!BG3:BG139""),MATCH(D75,IMPORTRANGE(""1y0FWgjbB0gVlqn-q5LMJbGIsqOrzru4yowQz67dz2yc"", ""'JUA'!D3:D139""),0))"),1458)</f>
        <v>1458</v>
      </c>
      <c r="Z75" s="2">
        <f ca="1">IFERROR(__xludf.DUMMYFUNCTION("INDEX(IMPORTRANGE(""1y0FWgjbB0gVlqn-q5LMJbGIsqOrzru4yowQz67dz2yc"", ""'JUA'!BH3:BH139""),MATCH(D75,IMPORTRANGE(""1y0FWgjbB0gVlqn-q5LMJbGIsqOrzru4yowQz67dz2yc"", ""'JUA'!D3:D139""),0))"),0)</f>
        <v>0</v>
      </c>
      <c r="AA75" s="12">
        <f ca="1">IFERROR(__xludf.DUMMYFUNCTION("INDEX(IMPORTRANGE(""1y0FWgjbB0gVlqn-q5LMJbGIsqOrzru4yowQz67dz2yc"", ""'JUA'!BI3:BI139""),MATCH($D75,IMPORTRANGE(""1y0FWgjbB0gVlqn-q5LMJbGIsqOrzru4yowQz67dz2yc"", ""'JUA'!D3:D139""),0))"),0)</f>
        <v>0</v>
      </c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438"/>
      <c r="Q76" s="438"/>
      <c r="R76" s="1"/>
      <c r="S76" s="1"/>
      <c r="T76" s="1"/>
      <c r="U76" s="1"/>
      <c r="V76" s="1"/>
      <c r="W76" s="28"/>
      <c r="X76" s="24">
        <v>435.44</v>
      </c>
      <c r="Y76" s="24">
        <f ca="1">IFERROR(__xludf.DUMMYFUNCTION("INDEX(IMPORTRANGE(""1y0FWgjbB0gVlqn-q5LMJbGIsqOrzru4yowQz67dz2yc"", ""'JUA'!BG3:BG139""),MATCH(D76,IMPORTRANGE(""1y0FWgjbB0gVlqn-q5LMJbGIsqOrzru4yowQz67dz2yc"", ""'JUA'!D3:D139""),0))"),435.44)</f>
        <v>435.44</v>
      </c>
      <c r="Z76" s="24">
        <f ca="1">IFERROR(__xludf.DUMMYFUNCTION("INDEX(IMPORTRANGE(""1y0FWgjbB0gVlqn-q5LMJbGIsqOrzru4yowQz67dz2yc"", ""'JUA'!BH3:BH139""),MATCH(D76,IMPORTRANGE(""1y0FWgjbB0gVlqn-q5LMJbGIsqOrzru4yowQz67dz2yc"", ""'JUA'!D3:D139""),0))"),0)</f>
        <v>0</v>
      </c>
      <c r="AA76" s="24">
        <f ca="1">IFERROR(__xludf.DUMMYFUNCTION("INDEX(IMPORTRANGE(""1y0FWgjbB0gVlqn-q5LMJbGIsqOrzru4yowQz67dz2yc"", ""'JUA'!BI3:BI139""),MATCH($D76,IMPORTRANGE(""1y0FWgjbB0gVlqn-q5LMJbGIsqOrzru4yowQz67dz2yc"", ""'JUA'!D3:D139""),0))"),0)</f>
        <v>0</v>
      </c>
      <c r="AB76" s="1"/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438"/>
      <c r="Q77" s="438"/>
      <c r="R77" s="433">
        <v>10194</v>
      </c>
      <c r="S77" s="433">
        <v>4422</v>
      </c>
      <c r="T77" s="433">
        <v>9446</v>
      </c>
      <c r="U77" s="433">
        <v>4172</v>
      </c>
      <c r="V77" s="421">
        <v>8447</v>
      </c>
      <c r="W77" s="439">
        <v>27529</v>
      </c>
      <c r="X77" s="24">
        <f>SUM(X74:X76)</f>
        <v>870.88</v>
      </c>
      <c r="Y77" s="24">
        <f ca="1">IFERROR(__xludf.DUMMYFUNCTION("INDEX(IMPORTRANGE(""1y0FWgjbB0gVlqn-q5LMJbGIsqOrzru4yowQz67dz2yc"", ""'JUA'!BG3:BG139""),MATCH(D77,IMPORTRANGE(""1y0FWgjbB0gVlqn-q5LMJbGIsqOrzru4yowQz67dz2yc"", ""'JUA'!D3:D139""),0))"),4726.79)</f>
        <v>4726.79</v>
      </c>
      <c r="Z77" s="24">
        <f ca="1">IFERROR(__xludf.DUMMYFUNCTION("INDEX(IMPORTRANGE(""1y0FWgjbB0gVlqn-q5LMJbGIsqOrzru4yowQz67dz2yc"", ""'JUA'!BH3:BH139""),MATCH(D77,IMPORTRANGE(""1y0FWgjbB0gVlqn-q5LMJbGIsqOrzru4yowQz67dz2yc"", ""'JUA'!D3:D139""),0))"),490.72)</f>
        <v>490.72</v>
      </c>
      <c r="AA77" s="24">
        <f ca="1">IFERROR(__xludf.DUMMYFUNCTION("INDEX(IMPORTRANGE(""1y0FWgjbB0gVlqn-q5LMJbGIsqOrzru4yowQz67dz2yc"", ""'JUA'!BI3:BI139""),MATCH($D77,IMPORTRANGE(""1y0FWgjbB0gVlqn-q5LMJbGIsqOrzru4yowQz67dz2yc"", ""'JUA'!D3:D139""),0))"),3830.43)</f>
        <v>3830.43</v>
      </c>
      <c r="AB77" s="1"/>
      <c r="AC77" s="1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36">
        <v>23947022.41</v>
      </c>
      <c r="Q78" s="36">
        <v>23947022.41</v>
      </c>
      <c r="R78" s="13"/>
      <c r="S78" s="13"/>
      <c r="T78" s="13"/>
      <c r="U78" s="13"/>
      <c r="V78" s="13"/>
      <c r="W78" s="330"/>
      <c r="X78" s="36">
        <v>23947022.41</v>
      </c>
      <c r="Y78" s="330" t="str">
        <f ca="1">IFERROR(__xludf.DUMMYFUNCTION("INDEX(IMPORTRANGE(""1y0FWgjbB0gVlqn-q5LMJbGIsqOrzru4yowQz67dz2yc"", ""'JUA'!BG3:BG139""),MATCH(D78,IMPORTRANGE(""1y0FWgjbB0gVlqn-q5LMJbGIsqOrzru4yowQz67dz2yc"", ""'JUA'!D3:D139""),0))"),"")</f>
        <v/>
      </c>
      <c r="Z78" s="36">
        <f ca="1">IFERROR(__xludf.DUMMYFUNCTION("INDEX(IMPORTRANGE(""1y0FWgjbB0gVlqn-q5LMJbGIsqOrzru4yowQz67dz2yc"", ""'JUA'!BH3:BH139""),MATCH(D78,IMPORTRANGE(""1y0FWgjbB0gVlqn-q5LMJbGIsqOrzru4yowQz67dz2yc"", ""'JUA'!D3:D139""),0))"),112983769.169999)</f>
        <v>112983769.169999</v>
      </c>
      <c r="AA78" s="330" t="str">
        <f ca="1">IFERROR(__xludf.DUMMYFUNCTION("INDEX(IMPORTRANGE(""1y0FWgjbB0gVlqn-q5LMJbGIsqOrzru4yowQz67dz2yc"", ""'JUA'!BI3:BI139""),MATCH($D78,IMPORTRANGE(""1y0FWgjbB0gVlqn-q5LMJbGIsqOrzru4yowQz67dz2yc"", ""'JUA'!D3:D139""),0))"),"")</f>
        <v/>
      </c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36">
        <v>391807.49</v>
      </c>
      <c r="Q79" s="36">
        <v>391807.49</v>
      </c>
      <c r="R79" s="13"/>
      <c r="S79" s="13"/>
      <c r="T79" s="13"/>
      <c r="U79" s="13"/>
      <c r="V79" s="13"/>
      <c r="W79" s="330"/>
      <c r="X79" s="36">
        <v>391807.49</v>
      </c>
      <c r="Y79" s="330" t="str">
        <f ca="1">IFERROR(__xludf.DUMMYFUNCTION("INDEX(IMPORTRANGE(""1y0FWgjbB0gVlqn-q5LMJbGIsqOrzru4yowQz67dz2yc"", ""'JUA'!BG3:BG139""),MATCH(D79,IMPORTRANGE(""1y0FWgjbB0gVlqn-q5LMJbGIsqOrzru4yowQz67dz2yc"", ""'JUA'!D3:D139""),0))"),"")</f>
        <v/>
      </c>
      <c r="Z79" s="36">
        <f ca="1">IFERROR(__xludf.DUMMYFUNCTION("INDEX(IMPORTRANGE(""1y0FWgjbB0gVlqn-q5LMJbGIsqOrzru4yowQz67dz2yc"", ""'JUA'!BH3:BH139""),MATCH(D79,IMPORTRANGE(""1y0FWgjbB0gVlqn-q5LMJbGIsqOrzru4yowQz67dz2yc"", ""'JUA'!D3:D139""),0))"),2622121.44)</f>
        <v>2622121.44</v>
      </c>
      <c r="AA79" s="330" t="str">
        <f ca="1">IFERROR(__xludf.DUMMYFUNCTION("INDEX(IMPORTRANGE(""1y0FWgjbB0gVlqn-q5LMJbGIsqOrzru4yowQz67dz2yc"", ""'JUA'!BI3:BI139""),MATCH($D79,IMPORTRANGE(""1y0FWgjbB0gVlqn-q5LMJbGIsqOrzru4yowQz67dz2yc"", ""'JUA'!D3:D139""),0))"),"")</f>
        <v/>
      </c>
      <c r="AB79" s="1"/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15">
        <f t="shared" ref="P80:Q80" si="19">P79/P78</f>
        <v>1.636142829333077E-2</v>
      </c>
      <c r="Q80" s="15">
        <f t="shared" si="19"/>
        <v>1.636142829333077E-2</v>
      </c>
      <c r="R80" s="421"/>
      <c r="S80" s="426">
        <v>0.15129999999999999</v>
      </c>
      <c r="T80" s="426"/>
      <c r="U80" s="426">
        <v>0.16539999999999999</v>
      </c>
      <c r="V80" s="426">
        <v>0.18129999999999999</v>
      </c>
      <c r="W80" s="426">
        <v>0.18129999999999999</v>
      </c>
      <c r="X80" s="15">
        <f>X79/X78</f>
        <v>1.636142829333077E-2</v>
      </c>
      <c r="Y80" s="440" t="str">
        <f ca="1">IFERROR(__xludf.DUMMYFUNCTION("INDEX(IMPORTRANGE(""1y0FWgjbB0gVlqn-q5LMJbGIsqOrzru4yowQz67dz2yc"", ""'JUA'!BG3:BG139""),MATCH(D80,IMPORTRANGE(""1y0FWgjbB0gVlqn-q5LMJbGIsqOrzru4yowQz67dz2yc"", ""'JUA'!D3:D139""),0))"),"")</f>
        <v/>
      </c>
      <c r="Z80" s="15">
        <f ca="1">IFERROR(__xludf.DUMMYFUNCTION("INDEX(IMPORTRANGE(""1y0FWgjbB0gVlqn-q5LMJbGIsqOrzru4yowQz67dz2yc"", ""'JUA'!BH3:BH139""),MATCH(D80,IMPORTRANGE(""1y0FWgjbB0gVlqn-q5LMJbGIsqOrzru4yowQz67dz2yc"", ""'JUA'!D3:D139""),0))"),0.0232079480022891)</f>
        <v>2.3207948002289099E-2</v>
      </c>
      <c r="AA80" s="440" t="str">
        <f ca="1">IFERROR(__xludf.DUMMYFUNCTION("INDEX(IMPORTRANGE(""1y0FWgjbB0gVlqn-q5LMJbGIsqOrzru4yowQz67dz2yc"", ""'JUA'!BI3:BI139""),MATCH($D80,IMPORTRANGE(""1y0FWgjbB0gVlqn-q5LMJbGIsqOrzru4yowQz67dz2yc"", ""'JUA'!D3:D139""),0))"),"")</f>
        <v/>
      </c>
      <c r="AB80" s="1"/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12">
        <v>0</v>
      </c>
      <c r="R81" s="1"/>
      <c r="S81" s="1"/>
      <c r="T81" s="1"/>
      <c r="U81" s="1"/>
      <c r="V81" s="1"/>
      <c r="W81" s="28"/>
      <c r="X81" s="2">
        <v>0</v>
      </c>
      <c r="Y81" s="12">
        <f ca="1">IFERROR(__xludf.DUMMYFUNCTION("INDEX(IMPORTRANGE(""1y0FWgjbB0gVlqn-q5LMJbGIsqOrzru4yowQz67dz2yc"", ""'JUA'!BG3:BG139""),MATCH(D81,IMPORTRANGE(""1y0FWgjbB0gVlqn-q5LMJbGIsqOrzru4yowQz67dz2yc"", ""'JUA'!D3:D139""),0))"),0)</f>
        <v>0</v>
      </c>
      <c r="Z81" s="12">
        <f ca="1">IFERROR(__xludf.DUMMYFUNCTION("INDEX(IMPORTRANGE(""1y0FWgjbB0gVlqn-q5LMJbGIsqOrzru4yowQz67dz2yc"", ""'JUA'!BH3:BH139""),MATCH(D81,IMPORTRANGE(""1y0FWgjbB0gVlqn-q5LMJbGIsqOrzru4yowQz67dz2yc"", ""'JUA'!D3:D139""),0))"),3)</f>
        <v>3</v>
      </c>
      <c r="AA81" s="12">
        <f ca="1">IFERROR(__xludf.DUMMYFUNCTION("INDEX(IMPORTRANGE(""1y0FWgjbB0gVlqn-q5LMJbGIsqOrzru4yowQz67dz2yc"", ""'JUA'!BI3:BI139""),MATCH($D81,IMPORTRANGE(""1y0FWgjbB0gVlqn-q5LMJbGIsqOrzru4yowQz67dz2yc"", ""'JUA'!D3:D139""),0))"),5)</f>
        <v>5</v>
      </c>
      <c r="AB81" s="1"/>
      <c r="AC81" s="1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0</v>
      </c>
      <c r="Q82" s="12">
        <v>0</v>
      </c>
      <c r="R82" s="1"/>
      <c r="S82" s="1"/>
      <c r="T82" s="1"/>
      <c r="U82" s="1"/>
      <c r="V82" s="1"/>
      <c r="W82" s="28"/>
      <c r="X82" s="2">
        <v>0</v>
      </c>
      <c r="Y82" s="12">
        <f ca="1">IFERROR(__xludf.DUMMYFUNCTION("INDEX(IMPORTRANGE(""1y0FWgjbB0gVlqn-q5LMJbGIsqOrzru4yowQz67dz2yc"", ""'JUA'!BG3:BG139""),MATCH(D82,IMPORTRANGE(""1y0FWgjbB0gVlqn-q5LMJbGIsqOrzru4yowQz67dz2yc"", ""'JUA'!D3:D139""),0))"),0)</f>
        <v>0</v>
      </c>
      <c r="Z82" s="12">
        <f ca="1">IFERROR(__xludf.DUMMYFUNCTION("INDEX(IMPORTRANGE(""1y0FWgjbB0gVlqn-q5LMJbGIsqOrzru4yowQz67dz2yc"", ""'JUA'!BH3:BH139""),MATCH(D82,IMPORTRANGE(""1y0FWgjbB0gVlqn-q5LMJbGIsqOrzru4yowQz67dz2yc"", ""'JUA'!D3:D139""),0))"),0)</f>
        <v>0</v>
      </c>
      <c r="AA82" s="12">
        <f ca="1">IFERROR(__xludf.DUMMYFUNCTION("INDEX(IMPORTRANGE(""1y0FWgjbB0gVlqn-q5LMJbGIsqOrzru4yowQz67dz2yc"", ""'JUA'!BI3:BI139""),MATCH($D82,IMPORTRANGE(""1y0FWgjbB0gVlqn-q5LMJbGIsqOrzru4yowQz67dz2yc"", ""'JUA'!D3:D139""),0))"),0)</f>
        <v>0</v>
      </c>
      <c r="AB82" s="1"/>
      <c r="AC82" s="1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0">P81+P82</f>
        <v>0</v>
      </c>
      <c r="Q83" s="12">
        <f t="shared" si="20"/>
        <v>0</v>
      </c>
      <c r="R83" s="433">
        <v>41</v>
      </c>
      <c r="S83" s="433">
        <v>14</v>
      </c>
      <c r="T83" s="433">
        <v>26</v>
      </c>
      <c r="U83" s="433">
        <v>14</v>
      </c>
      <c r="V83" s="421">
        <v>23</v>
      </c>
      <c r="W83" s="441">
        <v>92</v>
      </c>
      <c r="X83" s="2">
        <v>0</v>
      </c>
      <c r="Y83" s="12">
        <f ca="1">IFERROR(__xludf.DUMMYFUNCTION("INDEX(IMPORTRANGE(""1y0FWgjbB0gVlqn-q5LMJbGIsqOrzru4yowQz67dz2yc"", ""'JUA'!BG3:BG139""),MATCH(D83,IMPORTRANGE(""1y0FWgjbB0gVlqn-q5LMJbGIsqOrzru4yowQz67dz2yc"", ""'JUA'!D3:D139""),0))"),0)</f>
        <v>0</v>
      </c>
      <c r="Z83" s="12">
        <f ca="1">IFERROR(__xludf.DUMMYFUNCTION("INDEX(IMPORTRANGE(""1y0FWgjbB0gVlqn-q5LMJbGIsqOrzru4yowQz67dz2yc"", ""'JUA'!BH3:BH139""),MATCH(D83,IMPORTRANGE(""1y0FWgjbB0gVlqn-q5LMJbGIsqOrzru4yowQz67dz2yc"", ""'JUA'!D3:D139""),0))"),3)</f>
        <v>3</v>
      </c>
      <c r="AA83" s="12">
        <f ca="1">IFERROR(__xludf.DUMMYFUNCTION("INDEX(IMPORTRANGE(""1y0FWgjbB0gVlqn-q5LMJbGIsqOrzru4yowQz67dz2yc"", ""'JUA'!BI3:BI139""),MATCH($D83,IMPORTRANGE(""1y0FWgjbB0gVlqn-q5LMJbGIsqOrzru4yowQz67dz2yc"", ""'JUA'!D3:D139""),0))"),5)</f>
        <v>5</v>
      </c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44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46</v>
      </c>
      <c r="Q84" s="12">
        <v>70</v>
      </c>
      <c r="R84" s="13"/>
      <c r="S84" s="13"/>
      <c r="T84" s="13"/>
      <c r="U84" s="13"/>
      <c r="V84" s="13"/>
      <c r="W84" s="316"/>
      <c r="X84" s="418">
        <v>0</v>
      </c>
      <c r="Y84" s="12">
        <f ca="1">IFERROR(__xludf.DUMMYFUNCTION("INDEX(IMPORTRANGE(""1y0FWgjbB0gVlqn-q5LMJbGIsqOrzru4yowQz67dz2yc"", ""'JUA'!BG3:BG139""),MATCH(D84,IMPORTRANGE(""1y0FWgjbB0gVlqn-q5LMJbGIsqOrzru4yowQz67dz2yc"", ""'JUA'!D3:D139""),0))"),30)</f>
        <v>30</v>
      </c>
      <c r="Z84" s="12">
        <f ca="1">IFERROR(__xludf.DUMMYFUNCTION("INDEX(IMPORTRANGE(""1y0FWgjbB0gVlqn-q5LMJbGIsqOrzru4yowQz67dz2yc"", ""'JUA'!BH3:BH139""),MATCH(D84,IMPORTRANGE(""1y0FWgjbB0gVlqn-q5LMJbGIsqOrzru4yowQz67dz2yc"", ""'JUA'!D3:D139""),0))"),40)</f>
        <v>40</v>
      </c>
      <c r="AA84" s="12">
        <f ca="1">IFERROR(__xludf.DUMMYFUNCTION("INDEX(IMPORTRANGE(""1y0FWgjbB0gVlqn-q5LMJbGIsqOrzru4yowQz67dz2yc"", ""'JUA'!BI3:BI139""),MATCH($D84,IMPORTRANGE(""1y0FWgjbB0gVlqn-q5LMJbGIsqOrzru4yowQz67dz2yc"", ""'JUA'!D3:D139""),0))"),73)</f>
        <v>73</v>
      </c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44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4</v>
      </c>
      <c r="Q85" s="12">
        <v>8</v>
      </c>
      <c r="R85" s="13"/>
      <c r="S85" s="13"/>
      <c r="T85" s="13"/>
      <c r="U85" s="13"/>
      <c r="V85" s="13"/>
      <c r="W85" s="316"/>
      <c r="X85" s="418">
        <v>0</v>
      </c>
      <c r="Y85" s="12">
        <f ca="1">IFERROR(__xludf.DUMMYFUNCTION("INDEX(IMPORTRANGE(""1y0FWgjbB0gVlqn-q5LMJbGIsqOrzru4yowQz67dz2yc"", ""'JUA'!BG3:BG139""),MATCH(D85,IMPORTRANGE(""1y0FWgjbB0gVlqn-q5LMJbGIsqOrzru4yowQz67dz2yc"", ""'JUA'!D3:D139""),0))"),2)</f>
        <v>2</v>
      </c>
      <c r="Z85" s="12">
        <f ca="1">IFERROR(__xludf.DUMMYFUNCTION("INDEX(IMPORTRANGE(""1y0FWgjbB0gVlqn-q5LMJbGIsqOrzru4yowQz67dz2yc"", ""'JUA'!BH3:BH139""),MATCH(D85,IMPORTRANGE(""1y0FWgjbB0gVlqn-q5LMJbGIsqOrzru4yowQz67dz2yc"", ""'JUA'!D3:D139""),0))"),3)</f>
        <v>3</v>
      </c>
      <c r="AA85" s="12">
        <f ca="1">IFERROR(__xludf.DUMMYFUNCTION("INDEX(IMPORTRANGE(""1y0FWgjbB0gVlqn-q5LMJbGIsqOrzru4yowQz67dz2yc"", ""'JUA'!BI3:BI139""),MATCH($D85,IMPORTRANGE(""1y0FWgjbB0gVlqn-q5LMJbGIsqOrzru4yowQz67dz2yc"", ""'JUA'!D3:D139""),0))"),8)</f>
        <v>8</v>
      </c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44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326</v>
      </c>
      <c r="Q86" s="12">
        <v>665</v>
      </c>
      <c r="R86" s="13"/>
      <c r="S86" s="13"/>
      <c r="T86" s="13"/>
      <c r="U86" s="13"/>
      <c r="V86" s="13"/>
      <c r="W86" s="316"/>
      <c r="X86" s="418">
        <v>0</v>
      </c>
      <c r="Y86" s="12">
        <f ca="1">IFERROR(__xludf.DUMMYFUNCTION("INDEX(IMPORTRANGE(""1y0FWgjbB0gVlqn-q5LMJbGIsqOrzru4yowQz67dz2yc"", ""'JUA'!BG3:BG139""),MATCH(D86,IMPORTRANGE(""1y0FWgjbB0gVlqn-q5LMJbGIsqOrzru4yowQz67dz2yc"", ""'JUA'!D3:D139""),0))"),337)</f>
        <v>337</v>
      </c>
      <c r="Z86" s="12">
        <f ca="1">IFERROR(__xludf.DUMMYFUNCTION("INDEX(IMPORTRANGE(""1y0FWgjbB0gVlqn-q5LMJbGIsqOrzru4yowQz67dz2yc"", ""'JUA'!BH3:BH139""),MATCH(D86,IMPORTRANGE(""1y0FWgjbB0gVlqn-q5LMJbGIsqOrzru4yowQz67dz2yc"", ""'JUA'!D3:D139""),0))"),302)</f>
        <v>302</v>
      </c>
      <c r="AA86" s="12">
        <f ca="1">IFERROR(__xludf.DUMMYFUNCTION("INDEX(IMPORTRANGE(""1y0FWgjbB0gVlqn-q5LMJbGIsqOrzru4yowQz67dz2yc"", ""'JUA'!BI3:BI139""),MATCH($D86,IMPORTRANGE(""1y0FWgjbB0gVlqn-q5LMJbGIsqOrzru4yowQz67dz2yc"", ""'JUA'!D3:D139""),0))"),671)</f>
        <v>671</v>
      </c>
      <c r="AB86" s="1"/>
      <c r="AC86" s="1"/>
    </row>
    <row r="87" spans="1:29">
      <c r="A87" s="7" t="s">
        <v>199</v>
      </c>
      <c r="B87" s="7" t="s">
        <v>228</v>
      </c>
      <c r="C87" s="1" t="s">
        <v>30</v>
      </c>
      <c r="D87" s="44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59</v>
      </c>
      <c r="Q87" s="12">
        <v>109</v>
      </c>
      <c r="R87" s="13"/>
      <c r="S87" s="13"/>
      <c r="T87" s="13"/>
      <c r="U87" s="13"/>
      <c r="V87" s="13"/>
      <c r="W87" s="316"/>
      <c r="X87" s="418">
        <v>0</v>
      </c>
      <c r="Y87" s="12">
        <f ca="1">IFERROR(__xludf.DUMMYFUNCTION("INDEX(IMPORTRANGE(""1y0FWgjbB0gVlqn-q5LMJbGIsqOrzru4yowQz67dz2yc"", ""'JUA'!BG3:BG139""),MATCH(D87,IMPORTRANGE(""1y0FWgjbB0gVlqn-q5LMJbGIsqOrzru4yowQz67dz2yc"", ""'JUA'!D3:D139""),0))"),104)</f>
        <v>104</v>
      </c>
      <c r="Z87" s="12">
        <f ca="1">IFERROR(__xludf.DUMMYFUNCTION("INDEX(IMPORTRANGE(""1y0FWgjbB0gVlqn-q5LMJbGIsqOrzru4yowQz67dz2yc"", ""'JUA'!BH3:BH139""),MATCH(D87,IMPORTRANGE(""1y0FWgjbB0gVlqn-q5LMJbGIsqOrzru4yowQz67dz2yc"", ""'JUA'!D3:D139""),0))"),71)</f>
        <v>71</v>
      </c>
      <c r="AA87" s="12">
        <f ca="1">IFERROR(__xludf.DUMMYFUNCTION("INDEX(IMPORTRANGE(""1y0FWgjbB0gVlqn-q5LMJbGIsqOrzru4yowQz67dz2yc"", ""'JUA'!BI3:BI139""),MATCH($D87,IMPORTRANGE(""1y0FWgjbB0gVlqn-q5LMJbGIsqOrzru4yowQz67dz2yc"", ""'JUA'!D3:D139""),0))"),192)</f>
        <v>192</v>
      </c>
      <c r="AB87" s="1"/>
      <c r="AC87" s="1"/>
    </row>
    <row r="88" spans="1:29">
      <c r="A88" s="7" t="s">
        <v>199</v>
      </c>
      <c r="B88" s="7" t="s">
        <v>228</v>
      </c>
      <c r="C88" s="1" t="s">
        <v>30</v>
      </c>
      <c r="D88" s="44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167</v>
      </c>
      <c r="Q88" s="12">
        <v>341</v>
      </c>
      <c r="R88" s="13"/>
      <c r="S88" s="13"/>
      <c r="T88" s="13"/>
      <c r="U88" s="13"/>
      <c r="V88" s="13"/>
      <c r="W88" s="316"/>
      <c r="X88" s="418">
        <v>0</v>
      </c>
      <c r="Y88" s="12">
        <f ca="1">IFERROR(__xludf.DUMMYFUNCTION("INDEX(IMPORTRANGE(""1y0FWgjbB0gVlqn-q5LMJbGIsqOrzru4yowQz67dz2yc"", ""'JUA'!BG3:BG139""),MATCH(D88,IMPORTRANGE(""1y0FWgjbB0gVlqn-q5LMJbGIsqOrzru4yowQz67dz2yc"", ""'JUA'!D3:D139""),0))"),361)</f>
        <v>361</v>
      </c>
      <c r="Z88" s="12">
        <f ca="1">IFERROR(__xludf.DUMMYFUNCTION("INDEX(IMPORTRANGE(""1y0FWgjbB0gVlqn-q5LMJbGIsqOrzru4yowQz67dz2yc"", ""'JUA'!BH3:BH139""),MATCH(D88,IMPORTRANGE(""1y0FWgjbB0gVlqn-q5LMJbGIsqOrzru4yowQz67dz2yc"", ""'JUA'!D3:D139""),0))"),50)</f>
        <v>50</v>
      </c>
      <c r="AA88" s="12">
        <f ca="1">IFERROR(__xludf.DUMMYFUNCTION("INDEX(IMPORTRANGE(""1y0FWgjbB0gVlqn-q5LMJbGIsqOrzru4yowQz67dz2yc"", ""'JUA'!BI3:BI139""),MATCH($D88,IMPORTRANGE(""1y0FWgjbB0gVlqn-q5LMJbGIsqOrzru4yowQz67dz2yc"", ""'JUA'!D3:D139""),0))"),388)</f>
        <v>388</v>
      </c>
      <c r="AB88" s="1"/>
      <c r="AC88" s="1"/>
    </row>
    <row r="89" spans="1:29">
      <c r="A89" s="7" t="s">
        <v>199</v>
      </c>
      <c r="B89" s="7" t="s">
        <v>228</v>
      </c>
      <c r="C89" s="1" t="s">
        <v>36</v>
      </c>
      <c r="D89" s="44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>SUM(P84:P88)</f>
        <v>602</v>
      </c>
      <c r="Q89" s="12">
        <v>1193</v>
      </c>
      <c r="R89" s="429">
        <v>1173</v>
      </c>
      <c r="S89" s="429">
        <v>582</v>
      </c>
      <c r="T89" s="429">
        <v>1153</v>
      </c>
      <c r="U89" s="429">
        <v>572</v>
      </c>
      <c r="V89" s="429">
        <v>1133</v>
      </c>
      <c r="W89" s="429">
        <v>1133</v>
      </c>
      <c r="X89" s="430">
        <f>SUM(X84:X88)</f>
        <v>0</v>
      </c>
      <c r="Y89" s="12">
        <f ca="1">IFERROR(__xludf.DUMMYFUNCTION("INDEX(IMPORTRANGE(""1y0FWgjbB0gVlqn-q5LMJbGIsqOrzru4yowQz67dz2yc"", ""'JUA'!BG3:BG139""),MATCH(D89,IMPORTRANGE(""1y0FWgjbB0gVlqn-q5LMJbGIsqOrzru4yowQz67dz2yc"", ""'JUA'!D3:D139""),0))"),834)</f>
        <v>834</v>
      </c>
      <c r="Z89" s="12">
        <f ca="1">IFERROR(__xludf.DUMMYFUNCTION("INDEX(IMPORTRANGE(""1y0FWgjbB0gVlqn-q5LMJbGIsqOrzru4yowQz67dz2yc"", ""'JUA'!BH3:BH139""),MATCH(D89,IMPORTRANGE(""1y0FWgjbB0gVlqn-q5LMJbGIsqOrzru4yowQz67dz2yc"", ""'JUA'!D3:D139""),0))"),466)</f>
        <v>466</v>
      </c>
      <c r="AA89" s="12">
        <f ca="1">IFERROR(__xludf.DUMMYFUNCTION("INDEX(IMPORTRANGE(""1y0FWgjbB0gVlqn-q5LMJbGIsqOrzru4yowQz67dz2yc"", ""'JUA'!BI3:BI139""),MATCH($D89,IMPORTRANGE(""1y0FWgjbB0gVlqn-q5LMJbGIsqOrzru4yowQz67dz2yc"", ""'JUA'!D3:D139""),0))"),1332)</f>
        <v>1332</v>
      </c>
      <c r="AB89" s="1"/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0</v>
      </c>
      <c r="Q90" s="12">
        <v>0</v>
      </c>
      <c r="R90" s="433">
        <v>50</v>
      </c>
      <c r="S90" s="433">
        <v>35</v>
      </c>
      <c r="T90" s="433">
        <v>61</v>
      </c>
      <c r="U90" s="433">
        <v>45</v>
      </c>
      <c r="V90" s="421">
        <v>72</v>
      </c>
      <c r="W90" s="434">
        <v>158</v>
      </c>
      <c r="X90" s="2">
        <v>0</v>
      </c>
      <c r="Y90" s="12">
        <f ca="1">IFERROR(__xludf.DUMMYFUNCTION("INDEX(IMPORTRANGE(""1y0FWgjbB0gVlqn-q5LMJbGIsqOrzru4yowQz67dz2yc"", ""'JUA'!BG3:BG139""),MATCH(D90,IMPORTRANGE(""1y0FWgjbB0gVlqn-q5LMJbGIsqOrzru4yowQz67dz2yc"", ""'JUA'!D3:D139""),0))"),1796)</f>
        <v>1796</v>
      </c>
      <c r="Z90" s="12">
        <f ca="1">IFERROR(__xludf.DUMMYFUNCTION("INDEX(IMPORTRANGE(""1y0FWgjbB0gVlqn-q5LMJbGIsqOrzru4yowQz67dz2yc"", ""'JUA'!BH3:BH139""),MATCH(D90,IMPORTRANGE(""1y0FWgjbB0gVlqn-q5LMJbGIsqOrzru4yowQz67dz2yc"", ""'JUA'!D3:D139""),0))"),1530)</f>
        <v>1530</v>
      </c>
      <c r="AA90" s="12">
        <f ca="1">IFERROR(__xludf.DUMMYFUNCTION("INDEX(IMPORTRANGE(""1y0FWgjbB0gVlqn-q5LMJbGIsqOrzru4yowQz67dz2yc"", ""'JUA'!BI3:BI139""),MATCH($D90,IMPORTRANGE(""1y0FWgjbB0gVlqn-q5LMJbGIsqOrzru4yowQz67dz2yc"", ""'JUA'!D3:D139""),0))"),1530)</f>
        <v>1530</v>
      </c>
      <c r="AB90" s="1"/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 t="s">
        <v>254</v>
      </c>
      <c r="J91" s="11">
        <v>44713</v>
      </c>
      <c r="K91" s="11" t="s">
        <v>255</v>
      </c>
      <c r="L91" s="11">
        <v>45078</v>
      </c>
      <c r="M91" s="11" t="s">
        <v>256</v>
      </c>
      <c r="N91" s="11">
        <v>45444</v>
      </c>
      <c r="O91" s="11">
        <v>45444</v>
      </c>
      <c r="P91" s="12">
        <v>0</v>
      </c>
      <c r="Q91" s="12">
        <v>0</v>
      </c>
      <c r="R91" s="421">
        <v>5</v>
      </c>
      <c r="S91" s="421">
        <v>11</v>
      </c>
      <c r="T91" s="421">
        <v>15</v>
      </c>
      <c r="U91" s="421">
        <v>19</v>
      </c>
      <c r="V91" s="421">
        <v>22</v>
      </c>
      <c r="W91" s="434">
        <v>22</v>
      </c>
      <c r="X91" s="2">
        <v>0</v>
      </c>
      <c r="Y91" s="12">
        <f ca="1">IFERROR(__xludf.DUMMYFUNCTION("INDEX(IMPORTRANGE(""1y0FWgjbB0gVlqn-q5LMJbGIsqOrzru4yowQz67dz2yc"", ""'JUA'!BG3:BG139""),MATCH(D91,IMPORTRANGE(""1y0FWgjbB0gVlqn-q5LMJbGIsqOrzru4yowQz67dz2yc"", ""'JUA'!D3:D139""),0))"),0)</f>
        <v>0</v>
      </c>
      <c r="Z91" s="12">
        <f ca="1">IFERROR(__xludf.DUMMYFUNCTION("INDEX(IMPORTRANGE(""1y0FWgjbB0gVlqn-q5LMJbGIsqOrzru4yowQz67dz2yc"", ""'JUA'!BH3:BH139""),MATCH(D91,IMPORTRANGE(""1y0FWgjbB0gVlqn-q5LMJbGIsqOrzru4yowQz67dz2yc"", ""'JUA'!D3:D139""),0))"),0)</f>
        <v>0</v>
      </c>
      <c r="AA91" s="12">
        <f ca="1">IFERROR(__xludf.DUMMYFUNCTION("INDEX(IMPORTRANGE(""1y0FWgjbB0gVlqn-q5LMJbGIsqOrzru4yowQz67dz2yc"", ""'JUA'!BI3:BI139""),MATCH($D91,IMPORTRANGE(""1y0FWgjbB0gVlqn-q5LMJbGIsqOrzru4yowQz67dz2yc"", ""'JUA'!D3:D139""),0))"),0)</f>
        <v>0</v>
      </c>
      <c r="AB91" s="1"/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11">
        <v>44651</v>
      </c>
      <c r="J92" s="11">
        <v>44834</v>
      </c>
      <c r="K92" s="11">
        <v>45016</v>
      </c>
      <c r="L92" s="11">
        <v>45199</v>
      </c>
      <c r="M92" s="11">
        <v>45382</v>
      </c>
      <c r="N92" s="11">
        <v>45565</v>
      </c>
      <c r="O92" s="11">
        <v>45565</v>
      </c>
      <c r="P92" s="12">
        <v>86.3</v>
      </c>
      <c r="Q92" s="12">
        <v>86.3</v>
      </c>
      <c r="R92" s="421">
        <v>100</v>
      </c>
      <c r="S92" s="421">
        <v>100</v>
      </c>
      <c r="T92" s="421">
        <v>100</v>
      </c>
      <c r="U92" s="421">
        <v>100</v>
      </c>
      <c r="V92" s="421">
        <v>100</v>
      </c>
      <c r="W92" s="434">
        <v>100</v>
      </c>
      <c r="X92" s="2">
        <v>98.8</v>
      </c>
      <c r="Y92" s="24">
        <f ca="1">IFERROR(__xludf.DUMMYFUNCTION("INDEX(IMPORTRANGE(""1y0FWgjbB0gVlqn-q5LMJbGIsqOrzru4yowQz67dz2yc"", ""'JUA'!BG3:BG139""),MATCH(D92,IMPORTRANGE(""1y0FWgjbB0gVlqn-q5LMJbGIsqOrzru4yowQz67dz2yc"", ""'JUA'!D3:D139""),0))"),93.71)</f>
        <v>93.71</v>
      </c>
      <c r="Z92" s="24">
        <f ca="1">IFERROR(__xludf.DUMMYFUNCTION("INDEX(IMPORTRANGE(""1y0FWgjbB0gVlqn-q5LMJbGIsqOrzru4yowQz67dz2yc"", ""'JUA'!BH3:BH139""),MATCH(D92,IMPORTRANGE(""1y0FWgjbB0gVlqn-q5LMJbGIsqOrzru4yowQz67dz2yc"", ""'JUA'!D3:D139""),0))"),97.53)</f>
        <v>97.53</v>
      </c>
      <c r="AA92" s="24">
        <f ca="1">IFERROR(__xludf.DUMMYFUNCTION("INDEX(IMPORTRANGE(""1y0FWgjbB0gVlqn-q5LMJbGIsqOrzru4yowQz67dz2yc"", ""'JUA'!BI3:BI139""),MATCH($D92,IMPORTRANGE(""1y0FWgjbB0gVlqn-q5LMJbGIsqOrzru4yowQz67dz2yc"", ""'JUA'!D3:D139""),0))"),99.53)</f>
        <v>99.53</v>
      </c>
      <c r="AB92" s="1"/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287"/>
      <c r="I93" s="11">
        <v>44651</v>
      </c>
      <c r="J93" s="287"/>
      <c r="K93" s="11">
        <v>45016</v>
      </c>
      <c r="L93" s="287"/>
      <c r="M93" s="11">
        <v>45382</v>
      </c>
      <c r="N93" s="287"/>
      <c r="O93" s="11">
        <v>45565</v>
      </c>
      <c r="P93" s="12">
        <v>0</v>
      </c>
      <c r="Q93" s="12">
        <v>0</v>
      </c>
      <c r="R93" s="421">
        <v>4</v>
      </c>
      <c r="S93" s="421">
        <v>4</v>
      </c>
      <c r="T93" s="421">
        <v>4</v>
      </c>
      <c r="U93" s="421">
        <v>4</v>
      </c>
      <c r="V93" s="421">
        <v>4</v>
      </c>
      <c r="W93" s="421">
        <v>4</v>
      </c>
      <c r="X93" s="2">
        <v>0</v>
      </c>
      <c r="Y93" s="2">
        <f ca="1">IFERROR(__xludf.DUMMYFUNCTION("INDEX(IMPORTRANGE(""1y0FWgjbB0gVlqn-q5LMJbGIsqOrzru4yowQz67dz2yc"", ""'JUA'!BG3:BG139""),MATCH(D93,IMPORTRANGE(""1y0FWgjbB0gVlqn-q5LMJbGIsqOrzru4yowQz67dz2yc"", ""'JUA'!D3:D139""),0))"),0)</f>
        <v>0</v>
      </c>
      <c r="Z93" s="12">
        <f ca="1">IFERROR(__xludf.DUMMYFUNCTION("INDEX(IMPORTRANGE(""1y0FWgjbB0gVlqn-q5LMJbGIsqOrzru4yowQz67dz2yc"", ""'JUA'!BH3:BH139""),MATCH(D93,IMPORTRANGE(""1y0FWgjbB0gVlqn-q5LMJbGIsqOrzru4yowQz67dz2yc"", ""'JUA'!D3:D139""),0))"),0)</f>
        <v>0</v>
      </c>
      <c r="AA93" s="2">
        <f ca="1">IFERROR(__xludf.DUMMYFUNCTION("INDEX(IMPORTRANGE(""1y0FWgjbB0gVlqn-q5LMJbGIsqOrzru4yowQz67dz2yc"", ""'JUA'!BI3:BI139""),MATCH($D93,IMPORTRANGE(""1y0FWgjbB0gVlqn-q5LMJbGIsqOrzru4yowQz67dz2yc"", ""'JUA'!D3:D139""),0))"),0)</f>
        <v>0</v>
      </c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13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438"/>
      <c r="Q94" s="438"/>
      <c r="R94" s="13"/>
      <c r="S94" s="13"/>
      <c r="T94" s="13"/>
      <c r="U94" s="13"/>
      <c r="V94" s="13"/>
      <c r="W94" s="13"/>
      <c r="X94" s="2">
        <v>4</v>
      </c>
      <c r="Y94" s="2">
        <f ca="1">IFERROR(__xludf.DUMMYFUNCTION("INDEX(IMPORTRANGE(""1y0FWgjbB0gVlqn-q5LMJbGIsqOrzru4yowQz67dz2yc"", ""'JUA'!BG3:BG139""),MATCH(D94,IMPORTRANGE(""1y0FWgjbB0gVlqn-q5LMJbGIsqOrzru4yowQz67dz2yc"", ""'JUA'!D3:D139""),0))"),4)</f>
        <v>4</v>
      </c>
      <c r="Z94" s="12">
        <f ca="1">IFERROR(__xludf.DUMMYFUNCTION("INDEX(IMPORTRANGE(""1y0FWgjbB0gVlqn-q5LMJbGIsqOrzru4yowQz67dz2yc"", ""'JUA'!BH3:BH139""),MATCH(D94,IMPORTRANGE(""1y0FWgjbB0gVlqn-q5LMJbGIsqOrzru4yowQz67dz2yc"", ""'JUA'!D3:D139""),0))"),9)</f>
        <v>9</v>
      </c>
      <c r="AA94" s="2" t="str">
        <f ca="1">IFERROR(__xludf.DUMMYFUNCTION("INDEX(IMPORTRANGE(""1y0FWgjbB0gVlqn-q5LMJbGIsqOrzru4yowQz67dz2yc"", ""'JUA'!BI3:BI139""),MATCH($D94,IMPORTRANGE(""1y0FWgjbB0gVlqn-q5LMJbGIsqOrzru4yowQz67dz2yc"", ""'JUA'!D3:D139""),0))"),"")</f>
        <v/>
      </c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438"/>
      <c r="Q95" s="438"/>
      <c r="R95" s="13"/>
      <c r="S95" s="13"/>
      <c r="T95" s="13"/>
      <c r="U95" s="13"/>
      <c r="V95" s="13"/>
      <c r="W95" s="13"/>
      <c r="X95" s="2">
        <v>14</v>
      </c>
      <c r="Y95" s="2">
        <f ca="1">IFERROR(__xludf.DUMMYFUNCTION("INDEX(IMPORTRANGE(""1y0FWgjbB0gVlqn-q5LMJbGIsqOrzru4yowQz67dz2yc"", ""'JUA'!BG3:BG139""),MATCH(D95,IMPORTRANGE(""1y0FWgjbB0gVlqn-q5LMJbGIsqOrzru4yowQz67dz2yc"", ""'JUA'!D3:D139""),0))"),12)</f>
        <v>12</v>
      </c>
      <c r="Z95" s="12">
        <f ca="1">IFERROR(__xludf.DUMMYFUNCTION("INDEX(IMPORTRANGE(""1y0FWgjbB0gVlqn-q5LMJbGIsqOrzru4yowQz67dz2yc"", ""'JUA'!BH3:BH139""),MATCH(D95,IMPORTRANGE(""1y0FWgjbB0gVlqn-q5LMJbGIsqOrzru4yowQz67dz2yc"", ""'JUA'!D3:D139""),0))"),14)</f>
        <v>14</v>
      </c>
      <c r="AA95" s="2">
        <f ca="1">IFERROR(__xludf.DUMMYFUNCTION("INDEX(IMPORTRANGE(""1y0FWgjbB0gVlqn-q5LMJbGIsqOrzru4yowQz67dz2yc"", ""'JUA'!BI3:BI139""),MATCH($D95,IMPORTRANGE(""1y0FWgjbB0gVlqn-q5LMJbGIsqOrzru4yowQz67dz2yc"", ""'JUA'!D3:D139""),0))"),0)</f>
        <v>0</v>
      </c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438"/>
      <c r="Q96" s="438"/>
      <c r="R96" s="13"/>
      <c r="S96" s="13"/>
      <c r="T96" s="13"/>
      <c r="U96" s="13"/>
      <c r="V96" s="13"/>
      <c r="W96" s="13"/>
      <c r="X96" s="2">
        <v>2</v>
      </c>
      <c r="Y96" s="2">
        <f ca="1">IFERROR(__xludf.DUMMYFUNCTION("INDEX(IMPORTRANGE(""1y0FWgjbB0gVlqn-q5LMJbGIsqOrzru4yowQz67dz2yc"", ""'JUA'!BG3:BG139""),MATCH(D96,IMPORTRANGE(""1y0FWgjbB0gVlqn-q5LMJbGIsqOrzru4yowQz67dz2yc"", ""'JUA'!D3:D139""),0))"),2)</f>
        <v>2</v>
      </c>
      <c r="Z96" s="2">
        <f ca="1">IFERROR(__xludf.DUMMYFUNCTION("INDEX(IMPORTRANGE(""1y0FWgjbB0gVlqn-q5LMJbGIsqOrzru4yowQz67dz2yc"", ""'JUA'!BH3:BH139""),MATCH(D96,IMPORTRANGE(""1y0FWgjbB0gVlqn-q5LMJbGIsqOrzru4yowQz67dz2yc"", ""'JUA'!D3:D139""),0))"),6)</f>
        <v>6</v>
      </c>
      <c r="AA96" s="2" t="str">
        <f ca="1">IFERROR(__xludf.DUMMYFUNCTION("INDEX(IMPORTRANGE(""1y0FWgjbB0gVlqn-q5LMJbGIsqOrzru4yowQz67dz2yc"", ""'JUA'!BI3:BI139""),MATCH($D96,IMPORTRANGE(""1y0FWgjbB0gVlqn-q5LMJbGIsqOrzru4yowQz67dz2yc"", ""'JUA'!D3:D139""),0))"),"")</f>
        <v/>
      </c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438"/>
      <c r="Q97" s="438"/>
      <c r="R97" s="13"/>
      <c r="S97" s="13"/>
      <c r="T97" s="13"/>
      <c r="U97" s="13"/>
      <c r="V97" s="13"/>
      <c r="W97" s="13"/>
      <c r="X97" s="2">
        <v>8</v>
      </c>
      <c r="Y97" s="2">
        <f ca="1">IFERROR(__xludf.DUMMYFUNCTION("INDEX(IMPORTRANGE(""1y0FWgjbB0gVlqn-q5LMJbGIsqOrzru4yowQz67dz2yc"", ""'JUA'!BG3:BG139""),MATCH(D97,IMPORTRANGE(""1y0FWgjbB0gVlqn-q5LMJbGIsqOrzru4yowQz67dz2yc"", ""'JUA'!D3:D139""),0))"),8)</f>
        <v>8</v>
      </c>
      <c r="Z97" s="2">
        <f ca="1">IFERROR(__xludf.DUMMYFUNCTION("INDEX(IMPORTRANGE(""1y0FWgjbB0gVlqn-q5LMJbGIsqOrzru4yowQz67dz2yc"", ""'JUA'!BH3:BH139""),MATCH(D97,IMPORTRANGE(""1y0FWgjbB0gVlqn-q5LMJbGIsqOrzru4yowQz67dz2yc"", ""'JUA'!D3:D139""),0))"),8)</f>
        <v>8</v>
      </c>
      <c r="AA97" s="2">
        <f ca="1">IFERROR(__xludf.DUMMYFUNCTION("INDEX(IMPORTRANGE(""1y0FWgjbB0gVlqn-q5LMJbGIsqOrzru4yowQz67dz2yc"", ""'JUA'!BI3:BI139""),MATCH($D97,IMPORTRANGE(""1y0FWgjbB0gVlqn-q5LMJbGIsqOrzru4yowQz67dz2yc"", ""'JUA'!D3:D139""),0))"),0)</f>
        <v>0</v>
      </c>
      <c r="AB97" s="1"/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438"/>
      <c r="Q98" s="438"/>
      <c r="R98" s="13"/>
      <c r="S98" s="13"/>
      <c r="T98" s="13"/>
      <c r="U98" s="13"/>
      <c r="V98" s="13"/>
      <c r="W98" s="13"/>
      <c r="X98" s="2">
        <v>34</v>
      </c>
      <c r="Y98" s="2">
        <f ca="1">IFERROR(__xludf.DUMMYFUNCTION("INDEX(IMPORTRANGE(""1y0FWgjbB0gVlqn-q5LMJbGIsqOrzru4yowQz67dz2yc"", ""'JUA'!BG3:BG139""),MATCH(D98,IMPORTRANGE(""1y0FWgjbB0gVlqn-q5LMJbGIsqOrzru4yowQz67dz2yc"", ""'JUA'!D3:D139""),0))"),35)</f>
        <v>35</v>
      </c>
      <c r="Z98" s="2">
        <f ca="1">IFERROR(__xludf.DUMMYFUNCTION("INDEX(IMPORTRANGE(""1y0FWgjbB0gVlqn-q5LMJbGIsqOrzru4yowQz67dz2yc"", ""'JUA'!BH3:BH139""),MATCH(D98,IMPORTRANGE(""1y0FWgjbB0gVlqn-q5LMJbGIsqOrzru4yowQz67dz2yc"", ""'JUA'!D3:D139""),0))"),50)</f>
        <v>50</v>
      </c>
      <c r="AA98" s="2" t="str">
        <f ca="1">IFERROR(__xludf.DUMMYFUNCTION("INDEX(IMPORTRANGE(""1y0FWgjbB0gVlqn-q5LMJbGIsqOrzru4yowQz67dz2yc"", ""'JUA'!BI3:BI139""),MATCH($D98,IMPORTRANGE(""1y0FWgjbB0gVlqn-q5LMJbGIsqOrzru4yowQz67dz2yc"", ""'JUA'!D3:D139""),0))"),"")</f>
        <v/>
      </c>
      <c r="AB98" s="1"/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438"/>
      <c r="Q99" s="438"/>
      <c r="R99" s="13"/>
      <c r="S99" s="13"/>
      <c r="T99" s="13"/>
      <c r="U99" s="13"/>
      <c r="V99" s="13"/>
      <c r="W99" s="440"/>
      <c r="X99" s="2">
        <v>81</v>
      </c>
      <c r="Y99" s="2">
        <f ca="1">IFERROR(__xludf.DUMMYFUNCTION("INDEX(IMPORTRANGE(""1y0FWgjbB0gVlqn-q5LMJbGIsqOrzru4yowQz67dz2yc"", ""'JUA'!BG3:BG139""),MATCH(D99,IMPORTRANGE(""1y0FWgjbB0gVlqn-q5LMJbGIsqOrzru4yowQz67dz2yc"", ""'JUA'!D3:D139""),0))"),85)</f>
        <v>85</v>
      </c>
      <c r="Z99" s="2">
        <f ca="1">IFERROR(__xludf.DUMMYFUNCTION("INDEX(IMPORTRANGE(""1y0FWgjbB0gVlqn-q5LMJbGIsqOrzru4yowQz67dz2yc"", ""'JUA'!BH3:BH139""),MATCH(D99,IMPORTRANGE(""1y0FWgjbB0gVlqn-q5LMJbGIsqOrzru4yowQz67dz2yc"", ""'JUA'!D3:D139""),0))"),84)</f>
        <v>84</v>
      </c>
      <c r="AA99" s="2">
        <f ca="1">IFERROR(__xludf.DUMMYFUNCTION("INDEX(IMPORTRANGE(""1y0FWgjbB0gVlqn-q5LMJbGIsqOrzru4yowQz67dz2yc"", ""'JUA'!BI3:BI139""),MATCH($D99,IMPORTRANGE(""1y0FWgjbB0gVlqn-q5LMJbGIsqOrzru4yowQz67dz2yc"", ""'JUA'!D3:D139""),0))"),0)</f>
        <v>0</v>
      </c>
      <c r="AB99" s="1"/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83" t="s">
        <v>213</v>
      </c>
      <c r="H100" s="1" t="s">
        <v>214</v>
      </c>
      <c r="I100" s="183" t="s">
        <v>215</v>
      </c>
      <c r="J100" s="13"/>
      <c r="K100" s="183" t="s">
        <v>216</v>
      </c>
      <c r="L100" s="13"/>
      <c r="M100" s="183" t="s">
        <v>217</v>
      </c>
      <c r="N100" s="1" t="s">
        <v>218</v>
      </c>
      <c r="O100" s="348" t="s">
        <v>218</v>
      </c>
      <c r="P100" s="438"/>
      <c r="Q100" s="438"/>
      <c r="R100" s="442"/>
      <c r="S100" s="443">
        <v>0.5</v>
      </c>
      <c r="T100" s="443"/>
      <c r="U100" s="443">
        <v>0.5</v>
      </c>
      <c r="V100" s="443">
        <v>0.5</v>
      </c>
      <c r="W100" s="443">
        <v>0.5</v>
      </c>
      <c r="X100" s="15">
        <f>SUM(X94,X96,X98)/SUM(X95,X97,X99)</f>
        <v>0.38834951456310679</v>
      </c>
      <c r="Y100" s="15">
        <f ca="1">IFERROR(__xludf.DUMMYFUNCTION("INDEX(IMPORTRANGE(""1y0FWgjbB0gVlqn-q5LMJbGIsqOrzru4yowQz67dz2yc"", ""'JUA'!BG3:BG139""),MATCH(D100,IMPORTRANGE(""1y0FWgjbB0gVlqn-q5LMJbGIsqOrzru4yowQz67dz2yc"", ""'JUA'!D3:D139""),0))"),0.39047619047619)</f>
        <v>0.39047619047618998</v>
      </c>
      <c r="Z100" s="15">
        <f ca="1">IFERROR(__xludf.DUMMYFUNCTION("INDEX(IMPORTRANGE(""1y0FWgjbB0gVlqn-q5LMJbGIsqOrzru4yowQz67dz2yc"", ""'JUA'!BH3:BH139""),MATCH(D100,IMPORTRANGE(""1y0FWgjbB0gVlqn-q5LMJbGIsqOrzru4yowQz67dz2yc"", ""'JUA'!D3:D139""),0))"),0.613207547169811)</f>
        <v>0.61320754716981096</v>
      </c>
      <c r="AA100" s="15" t="str">
        <f ca="1">IFERROR(__xludf.DUMMYFUNCTION("INDEX(IMPORTRANGE(""1y0FWgjbB0gVlqn-q5LMJbGIsqOrzru4yowQz67dz2yc"", ""'JUA'!BI3:BI139""),MATCH($D100,IMPORTRANGE(""1y0FWgjbB0gVlqn-q5LMJbGIsqOrzru4yowQz67dz2yc"", ""'JUA'!D3:D139""),0))"),"")</f>
        <v/>
      </c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49">
        <v>281374098.17000002</v>
      </c>
      <c r="Q101" s="349">
        <v>281374098.17000002</v>
      </c>
      <c r="R101" s="13"/>
      <c r="S101" s="13"/>
      <c r="T101" s="13"/>
      <c r="U101" s="13"/>
      <c r="V101" s="13"/>
      <c r="W101" s="361"/>
      <c r="X101" s="349">
        <v>281374098.17000002</v>
      </c>
      <c r="Y101" s="361" t="str">
        <f ca="1">IFERROR(__xludf.DUMMYFUNCTION("INDEX(IMPORTRANGE(""1y0FWgjbB0gVlqn-q5LMJbGIsqOrzru4yowQz67dz2yc"", ""'JUA'!BG3:BG139""),MATCH(D101,IMPORTRANGE(""1y0FWgjbB0gVlqn-q5LMJbGIsqOrzru4yowQz67dz2yc"", ""'JUA'!D3:D139""),0))"),"")</f>
        <v/>
      </c>
      <c r="Z101" s="349">
        <f ca="1">IFERROR(__xludf.DUMMYFUNCTION("INDEX(IMPORTRANGE(""1y0FWgjbB0gVlqn-q5LMJbGIsqOrzru4yowQz67dz2yc"", ""'JUA'!BH3:BH139""),MATCH(D101,IMPORTRANGE(""1y0FWgjbB0gVlqn-q5LMJbGIsqOrzru4yowQz67dz2yc"", ""'JUA'!D3:D139""),0))"),291784292.42)</f>
        <v>291784292.42000002</v>
      </c>
      <c r="AA101" s="361" t="str">
        <f ca="1">IFERROR(__xludf.DUMMYFUNCTION("INDEX(IMPORTRANGE(""1y0FWgjbB0gVlqn-q5LMJbGIsqOrzru4yowQz67dz2yc"", ""'JUA'!BI3:BI139""),MATCH($D101,IMPORTRANGE(""1y0FWgjbB0gVlqn-q5LMJbGIsqOrzru4yowQz67dz2yc"", ""'JUA'!D3:D139""),0))"),"")</f>
        <v/>
      </c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49">
        <v>1935519370.6099999</v>
      </c>
      <c r="Q102" s="349">
        <v>1935519370.6099999</v>
      </c>
      <c r="R102" s="13"/>
      <c r="S102" s="13"/>
      <c r="T102" s="13"/>
      <c r="U102" s="13"/>
      <c r="V102" s="13"/>
      <c r="W102" s="361"/>
      <c r="X102" s="349">
        <v>1935519370.6099999</v>
      </c>
      <c r="Y102" s="361" t="str">
        <f ca="1">IFERROR(__xludf.DUMMYFUNCTION("INDEX(IMPORTRANGE(""1y0FWgjbB0gVlqn-q5LMJbGIsqOrzru4yowQz67dz2yc"", ""'JUA'!BG3:BG139""),MATCH(D102,IMPORTRANGE(""1y0FWgjbB0gVlqn-q5LMJbGIsqOrzru4yowQz67dz2yc"", ""'JUA'!D3:D139""),0))"),"")</f>
        <v/>
      </c>
      <c r="Z102" s="349">
        <f ca="1">IFERROR(__xludf.DUMMYFUNCTION("INDEX(IMPORTRANGE(""1y0FWgjbB0gVlqn-q5LMJbGIsqOrzru4yowQz67dz2yc"", ""'JUA'!BH3:BH139""),MATCH(D102,IMPORTRANGE(""1y0FWgjbB0gVlqn-q5LMJbGIsqOrzru4yowQz67dz2yc"", ""'JUA'!D3:D139""),0))"),1904889253.01)</f>
        <v>1904889253.01</v>
      </c>
      <c r="AA102" s="361" t="str">
        <f ca="1">IFERROR(__xludf.DUMMYFUNCTION("INDEX(IMPORTRANGE(""1y0FWgjbB0gVlqn-q5LMJbGIsqOrzru4yowQz67dz2yc"", ""'JUA'!BI3:BI139""),MATCH($D102,IMPORTRANGE(""1y0FWgjbB0gVlqn-q5LMJbGIsqOrzru4yowQz67dz2yc"", ""'JUA'!D3:D139""),0))"),"")</f>
        <v/>
      </c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1">P101/P102</f>
        <v>0.14537395101415179</v>
      </c>
      <c r="Q103" s="15">
        <f t="shared" si="21"/>
        <v>0.14537395101415179</v>
      </c>
      <c r="R103" s="421"/>
      <c r="S103" s="431">
        <v>0.3896</v>
      </c>
      <c r="T103" s="421"/>
      <c r="U103" s="444">
        <v>0.40010000000000001</v>
      </c>
      <c r="V103" s="444">
        <v>0.40810000000000002</v>
      </c>
      <c r="W103" s="444">
        <v>0.40789999999999998</v>
      </c>
      <c r="X103" s="15">
        <f>X101/X102</f>
        <v>0.14537395101415179</v>
      </c>
      <c r="Y103" s="440" t="str">
        <f ca="1">IFERROR(__xludf.DUMMYFUNCTION("INDEX(IMPORTRANGE(""1y0FWgjbB0gVlqn-q5LMJbGIsqOrzru4yowQz67dz2yc"", ""'JUA'!BG3:BG139""),MATCH(D103,IMPORTRANGE(""1y0FWgjbB0gVlqn-q5LMJbGIsqOrzru4yowQz67dz2yc"", ""'JUA'!D3:D139""),0))"),"")</f>
        <v/>
      </c>
      <c r="Z103" s="15">
        <f ca="1">IFERROR(__xludf.DUMMYFUNCTION("INDEX(IMPORTRANGE(""1y0FWgjbB0gVlqn-q5LMJbGIsqOrzru4yowQz67dz2yc"", ""'JUA'!BH3:BH139""),MATCH(D103,IMPORTRANGE(""1y0FWgjbB0gVlqn-q5LMJbGIsqOrzru4yowQz67dz2yc"", ""'JUA'!D3:D139""),0))"),0.15317651247123)</f>
        <v>0.15317651247122999</v>
      </c>
      <c r="AA103" s="440" t="str">
        <f ca="1">IFERROR(__xludf.DUMMYFUNCTION("INDEX(IMPORTRANGE(""1y0FWgjbB0gVlqn-q5LMJbGIsqOrzru4yowQz67dz2yc"", ""'JUA'!BI3:BI139""),MATCH($D103,IMPORTRANGE(""1y0FWgjbB0gVlqn-q5LMJbGIsqOrzru4yowQz67dz2yc"", ""'JUA'!D3:D139""),0))"),"")</f>
        <v/>
      </c>
      <c r="AB103" s="1"/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49">
        <v>1612362381</v>
      </c>
      <c r="Q104" s="349">
        <v>1612362381</v>
      </c>
      <c r="R104" s="13"/>
      <c r="S104" s="13"/>
      <c r="T104" s="13"/>
      <c r="U104" s="13"/>
      <c r="V104" s="13"/>
      <c r="W104" s="361"/>
      <c r="X104" s="349">
        <v>1612362381</v>
      </c>
      <c r="Y104" s="361" t="str">
        <f ca="1">IFERROR(__xludf.DUMMYFUNCTION("INDEX(IMPORTRANGE(""1y0FWgjbB0gVlqn-q5LMJbGIsqOrzru4yowQz67dz2yc"", ""'JUA'!BG3:BG139""),MATCH(D104,IMPORTRANGE(""1y0FWgjbB0gVlqn-q5LMJbGIsqOrzru4yowQz67dz2yc"", ""'JUA'!D3:D139""),0))"),"")</f>
        <v/>
      </c>
      <c r="Z104" s="349">
        <f ca="1">IFERROR(__xludf.DUMMYFUNCTION("INDEX(IMPORTRANGE(""1y0FWgjbB0gVlqn-q5LMJbGIsqOrzru4yowQz67dz2yc"", ""'JUA'!BH3:BH139""),MATCH(D104,IMPORTRANGE(""1y0FWgjbB0gVlqn-q5LMJbGIsqOrzru4yowQz67dz2yc"", ""'JUA'!D3:D139""),0))"),1572696639.48)</f>
        <v>1572696639.48</v>
      </c>
      <c r="AA104" s="361" t="str">
        <f ca="1">IFERROR(__xludf.DUMMYFUNCTION("INDEX(IMPORTRANGE(""1y0FWgjbB0gVlqn-q5LMJbGIsqOrzru4yowQz67dz2yc"", ""'JUA'!BI3:BI139""),MATCH($D104,IMPORTRANGE(""1y0FWgjbB0gVlqn-q5LMJbGIsqOrzru4yowQz67dz2yc"", ""'JUA'!D3:D139""),0))"),"")</f>
        <v/>
      </c>
      <c r="AB104" s="1"/>
      <c r="AC104" s="1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254</v>
      </c>
      <c r="H105" s="7" t="s">
        <v>254</v>
      </c>
      <c r="I105" s="7" t="s">
        <v>254</v>
      </c>
      <c r="J105" s="13"/>
      <c r="K105" s="7" t="s">
        <v>255</v>
      </c>
      <c r="L105" s="13"/>
      <c r="M105" s="7" t="s">
        <v>256</v>
      </c>
      <c r="N105" s="260">
        <v>45536</v>
      </c>
      <c r="O105" s="1" t="s">
        <v>218</v>
      </c>
      <c r="P105" s="15">
        <f t="shared" ref="P105:Q105" si="22">P101/P104</f>
        <v>0.17451045837195084</v>
      </c>
      <c r="Q105" s="15">
        <f t="shared" si="22"/>
        <v>0.17451045837195084</v>
      </c>
      <c r="R105" s="421"/>
      <c r="S105" s="431">
        <v>0.51829999999999998</v>
      </c>
      <c r="T105" s="421"/>
      <c r="U105" s="444">
        <v>0.52939999999999998</v>
      </c>
      <c r="V105" s="444">
        <v>0.53939999999999999</v>
      </c>
      <c r="W105" s="444">
        <v>0.53959999999999997</v>
      </c>
      <c r="X105" s="15">
        <f>X101/X104</f>
        <v>0.17451045837195084</v>
      </c>
      <c r="Y105" s="440" t="str">
        <f ca="1">IFERROR(__xludf.DUMMYFUNCTION("INDEX(IMPORTRANGE(""1y0FWgjbB0gVlqn-q5LMJbGIsqOrzru4yowQz67dz2yc"", ""'JUA'!BG3:BG139""),MATCH(D105,IMPORTRANGE(""1y0FWgjbB0gVlqn-q5LMJbGIsqOrzru4yowQz67dz2yc"", ""'JUA'!D3:D139""),0))"),"")</f>
        <v/>
      </c>
      <c r="Z105" s="15">
        <f ca="1">IFERROR(__xludf.DUMMYFUNCTION("INDEX(IMPORTRANGE(""1y0FWgjbB0gVlqn-q5LMJbGIsqOrzru4yowQz67dz2yc"", ""'JUA'!BH3:BH139""),MATCH(D105,IMPORTRANGE(""1y0FWgjbB0gVlqn-q5LMJbGIsqOrzru4yowQz67dz2yc"", ""'JUA'!D3:D139""),0))"),0.185531198512941)</f>
        <v>0.185531198512941</v>
      </c>
      <c r="AA105" s="440" t="str">
        <f ca="1">IFERROR(__xludf.DUMMYFUNCTION("INDEX(IMPORTRANGE(""1y0FWgjbB0gVlqn-q5LMJbGIsqOrzru4yowQz67dz2yc"", ""'JUA'!BI3:BI139""),MATCH($D105,IMPORTRANGE(""1y0FWgjbB0gVlqn-q5LMJbGIsqOrzru4yowQz67dz2yc"", ""'JUA'!D3:D139""),0))"),"")</f>
        <v/>
      </c>
      <c r="AB105" s="1"/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2">
        <v>217568</v>
      </c>
      <c r="Q106" s="12">
        <v>217568</v>
      </c>
      <c r="R106" s="13"/>
      <c r="S106" s="13"/>
      <c r="T106" s="13"/>
      <c r="U106" s="13"/>
      <c r="V106" s="13"/>
      <c r="W106" s="316"/>
      <c r="X106" s="12">
        <v>217568</v>
      </c>
      <c r="Y106" s="316" t="str">
        <f ca="1">IFERROR(__xludf.DUMMYFUNCTION("INDEX(IMPORTRANGE(""1y0FWgjbB0gVlqn-q5LMJbGIsqOrzru4yowQz67dz2yc"", ""'JUA'!BG3:BG139""),MATCH(D106,IMPORTRANGE(""1y0FWgjbB0gVlqn-q5LMJbGIsqOrzru4yowQz67dz2yc"", ""'JUA'!D3:D139""),0))"),"")</f>
        <v/>
      </c>
      <c r="Z106" s="12">
        <f ca="1">IFERROR(__xludf.DUMMYFUNCTION("INDEX(IMPORTRANGE(""1y0FWgjbB0gVlqn-q5LMJbGIsqOrzru4yowQz67dz2yc"", ""'JUA'!BH3:BH139""),MATCH(D106,IMPORTRANGE(""1y0FWgjbB0gVlqn-q5LMJbGIsqOrzru4yowQz67dz2yc"", ""'JUA'!D3:D139""),0))"),227977)</f>
        <v>227977</v>
      </c>
      <c r="AA106" s="316" t="str">
        <f ca="1">IFERROR(__xludf.DUMMYFUNCTION("INDEX(IMPORTRANGE(""1y0FWgjbB0gVlqn-q5LMJbGIsqOrzru4yowQz67dz2yc"", ""'JUA'!BI3:BI139""),MATCH($D106,IMPORTRANGE(""1y0FWgjbB0gVlqn-q5LMJbGIsqOrzru4yowQz67dz2yc"", ""'JUA'!D3:D139""),0))"),"")</f>
        <v/>
      </c>
      <c r="AB106" s="1"/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3009</v>
      </c>
      <c r="Q107" s="12">
        <v>3009</v>
      </c>
      <c r="R107" s="1"/>
      <c r="S107" s="1"/>
      <c r="T107" s="1"/>
      <c r="U107" s="1"/>
      <c r="V107" s="1"/>
      <c r="W107" s="28"/>
      <c r="X107" s="12">
        <v>3009</v>
      </c>
      <c r="Y107" s="316" t="str">
        <f ca="1">IFERROR(__xludf.DUMMYFUNCTION("INDEX(IMPORTRANGE(""1y0FWgjbB0gVlqn-q5LMJbGIsqOrzru4yowQz67dz2yc"", ""'JUA'!BG3:BG139""),MATCH(D107,IMPORTRANGE(""1y0FWgjbB0gVlqn-q5LMJbGIsqOrzru4yowQz67dz2yc"", ""'JUA'!D3:D139""),0))"),"")</f>
        <v/>
      </c>
      <c r="Z107" s="12">
        <f ca="1">IFERROR(__xludf.DUMMYFUNCTION("INDEX(IMPORTRANGE(""1y0FWgjbB0gVlqn-q5LMJbGIsqOrzru4yowQz67dz2yc"", ""'JUA'!BH3:BH139""),MATCH(D107,IMPORTRANGE(""1y0FWgjbB0gVlqn-q5LMJbGIsqOrzru4yowQz67dz2yc"", ""'JUA'!D3:D139""),0))"),65668)</f>
        <v>65668</v>
      </c>
      <c r="AA107" s="316" t="str">
        <f ca="1">IFERROR(__xludf.DUMMYFUNCTION("INDEX(IMPORTRANGE(""1y0FWgjbB0gVlqn-q5LMJbGIsqOrzru4yowQz67dz2yc"", ""'JUA'!BI3:BI139""),MATCH($D107,IMPORTRANGE(""1y0FWgjbB0gVlqn-q5LMJbGIsqOrzru4yowQz67dz2yc"", ""'JUA'!D3:D139""),0))"),"")</f>
        <v/>
      </c>
      <c r="AB107" s="1"/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3">P107/P106</f>
        <v>1.3830158846889248E-2</v>
      </c>
      <c r="Q108" s="15">
        <f t="shared" si="23"/>
        <v>1.3830158846889248E-2</v>
      </c>
      <c r="R108" s="421"/>
      <c r="S108" s="426">
        <v>0.58089999999999997</v>
      </c>
      <c r="T108" s="421"/>
      <c r="U108" s="444">
        <v>0.58989999999999998</v>
      </c>
      <c r="V108" s="444">
        <v>0.58530000000000004</v>
      </c>
      <c r="W108" s="444">
        <v>0.58530000000000004</v>
      </c>
      <c r="X108" s="15">
        <f>X107/X106</f>
        <v>1.3830158846889248E-2</v>
      </c>
      <c r="Y108" s="440" t="str">
        <f ca="1">IFERROR(__xludf.DUMMYFUNCTION("INDEX(IMPORTRANGE(""1y0FWgjbB0gVlqn-q5LMJbGIsqOrzru4yowQz67dz2yc"", ""'JUA'!BG3:BG139""),MATCH(D108,IMPORTRANGE(""1y0FWgjbB0gVlqn-q5LMJbGIsqOrzru4yowQz67dz2yc"", ""'JUA'!D3:D139""),0))"),"")</f>
        <v/>
      </c>
      <c r="Z108" s="15">
        <f ca="1">IFERROR(__xludf.DUMMYFUNCTION("INDEX(IMPORTRANGE(""1y0FWgjbB0gVlqn-q5LMJbGIsqOrzru4yowQz67dz2yc"", ""'JUA'!BH3:BH139""),MATCH(D108,IMPORTRANGE(""1y0FWgjbB0gVlqn-q5LMJbGIsqOrzru4yowQz67dz2yc"", ""'JUA'!D3:D139""),0))"),0.288046601192225)</f>
        <v>0.28804660119222503</v>
      </c>
      <c r="AA108" s="440" t="str">
        <f ca="1">IFERROR(__xludf.DUMMYFUNCTION("INDEX(IMPORTRANGE(""1y0FWgjbB0gVlqn-q5LMJbGIsqOrzru4yowQz67dz2yc"", ""'JUA'!BI3:BI139""),MATCH($D108,IMPORTRANGE(""1y0FWgjbB0gVlqn-q5LMJbGIsqOrzru4yowQz67dz2yc"", ""'JUA'!D3:D139""),0))"),"")</f>
        <v/>
      </c>
      <c r="AB108" s="1"/>
      <c r="AC108" s="1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1"/>
      <c r="S109" s="1"/>
      <c r="T109" s="1"/>
      <c r="U109" s="1"/>
      <c r="V109" s="1"/>
      <c r="W109" s="51"/>
      <c r="X109" s="36"/>
      <c r="Y109" s="330" t="str">
        <f ca="1">IFERROR(__xludf.DUMMYFUNCTION("INDEX(IMPORTRANGE(""1y0FWgjbB0gVlqn-q5LMJbGIsqOrzru4yowQz67dz2yc"", ""'JUA'!BG3:BG139""),MATCH(D109,IMPORTRANGE(""1y0FWgjbB0gVlqn-q5LMJbGIsqOrzru4yowQz67dz2yc"", ""'JUA'!D3:D139""),0))"),"")</f>
        <v/>
      </c>
      <c r="Z109" s="36">
        <f ca="1">IFERROR(__xludf.DUMMYFUNCTION("INDEX(IMPORTRANGE(""1y0FWgjbB0gVlqn-q5LMJbGIsqOrzru4yowQz67dz2yc"", ""'JUA'!BH3:BH139""),MATCH(D109,IMPORTRANGE(""1y0FWgjbB0gVlqn-q5LMJbGIsqOrzru4yowQz67dz2yc"", ""'JUA'!D3:D139""),0))"),74978109.8)</f>
        <v>74978109.799999997</v>
      </c>
      <c r="AA109" s="330" t="str">
        <f ca="1">IFERROR(__xludf.DUMMYFUNCTION("INDEX(IMPORTRANGE(""1y0FWgjbB0gVlqn-q5LMJbGIsqOrzru4yowQz67dz2yc"", ""'JUA'!BI3:BI139""),MATCH($D109,IMPORTRANGE(""1y0FWgjbB0gVlqn-q5LMJbGIsqOrzru4yowQz67dz2yc"", ""'JUA'!D3:D139""),0))"),"")</f>
        <v/>
      </c>
      <c r="AB109" s="1"/>
      <c r="AC109" s="1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36">
        <v>104356062.22</v>
      </c>
      <c r="Q110" s="36">
        <v>104356062.22</v>
      </c>
      <c r="R110" s="421"/>
      <c r="S110" s="445">
        <v>106443183.45999999</v>
      </c>
      <c r="T110" s="421"/>
      <c r="U110" s="445">
        <v>108530304.70999999</v>
      </c>
      <c r="V110" s="445">
        <v>110617425.95</v>
      </c>
      <c r="W110" s="445">
        <v>110617425.95</v>
      </c>
      <c r="X110" s="36">
        <v>104356062.22</v>
      </c>
      <c r="Y110" s="330" t="str">
        <f ca="1">IFERROR(__xludf.DUMMYFUNCTION("INDEX(IMPORTRANGE(""1y0FWgjbB0gVlqn-q5LMJbGIsqOrzru4yowQz67dz2yc"", ""'JUA'!BG3:BG139""),MATCH(D110,IMPORTRANGE(""1y0FWgjbB0gVlqn-q5LMJbGIsqOrzru4yowQz67dz2yc"", ""'JUA'!D3:D139""),0))"),"")</f>
        <v/>
      </c>
      <c r="Z110" s="36">
        <f ca="1">IFERROR(__xludf.DUMMYFUNCTION("INDEX(IMPORTRANGE(""1y0FWgjbB0gVlqn-q5LMJbGIsqOrzru4yowQz67dz2yc"", ""'JUA'!BH3:BH139""),MATCH(D110,IMPORTRANGE(""1y0FWgjbB0gVlqn-q5LMJbGIsqOrzru4yowQz67dz2yc"", ""'JUA'!D3:D139""),0))"),96299808.46)</f>
        <v>96299808.459999993</v>
      </c>
      <c r="AA110" s="330" t="str">
        <f ca="1">IFERROR(__xludf.DUMMYFUNCTION("INDEX(IMPORTRANGE(""1y0FWgjbB0gVlqn-q5LMJbGIsqOrzru4yowQz67dz2yc"", ""'JUA'!BI3:BI139""),MATCH($D110,IMPORTRANGE(""1y0FWgjbB0gVlqn-q5LMJbGIsqOrzru4yowQz67dz2yc"", ""'JUA'!D3:D139""),0))"),"")</f>
        <v/>
      </c>
      <c r="AB110" s="1"/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49">
        <v>2020876328.0999999</v>
      </c>
      <c r="Q111" s="349">
        <v>2020876328.0999999</v>
      </c>
      <c r="R111" s="13"/>
      <c r="S111" s="13"/>
      <c r="T111" s="13"/>
      <c r="U111" s="13"/>
      <c r="V111" s="13"/>
      <c r="W111" s="330"/>
      <c r="X111" s="349">
        <v>2020876328.0999999</v>
      </c>
      <c r="Y111" s="361" t="str">
        <f ca="1">IFERROR(__xludf.DUMMYFUNCTION("INDEX(IMPORTRANGE(""1y0FWgjbB0gVlqn-q5LMJbGIsqOrzru4yowQz67dz2yc"", ""'JUA'!BG3:BG139""),MATCH(D111,IMPORTRANGE(""1y0FWgjbB0gVlqn-q5LMJbGIsqOrzru4yowQz67dz2yc"", ""'JUA'!D3:D139""),0))"),"")</f>
        <v/>
      </c>
      <c r="Z111" s="349">
        <f ca="1">IFERROR(__xludf.DUMMYFUNCTION("INDEX(IMPORTRANGE(""1y0FWgjbB0gVlqn-q5LMJbGIsqOrzru4yowQz67dz2yc"", ""'JUA'!BH3:BH139""),MATCH(D111,IMPORTRANGE(""1y0FWgjbB0gVlqn-q5LMJbGIsqOrzru4yowQz67dz2yc"", ""'JUA'!D3:D139""),0))"),1840841828.8)</f>
        <v>1840841828.8</v>
      </c>
      <c r="AA111" s="361" t="str">
        <f ca="1">IFERROR(__xludf.DUMMYFUNCTION("INDEX(IMPORTRANGE(""1y0FWgjbB0gVlqn-q5LMJbGIsqOrzru4yowQz67dz2yc"", ""'JUA'!BI3:BI139""),MATCH($D111,IMPORTRANGE(""1y0FWgjbB0gVlqn-q5LMJbGIsqOrzru4yowQz67dz2yc"", ""'JUA'!D3:D139""),0))"),"")</f>
        <v/>
      </c>
      <c r="AB111" s="1"/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11" t="s">
        <v>307</v>
      </c>
      <c r="H112" s="13"/>
      <c r="I112" s="1" t="s">
        <v>254</v>
      </c>
      <c r="J112" s="13"/>
      <c r="K112" s="1" t="s">
        <v>255</v>
      </c>
      <c r="L112" s="13"/>
      <c r="M112" s="1" t="s">
        <v>256</v>
      </c>
      <c r="N112" s="49">
        <v>45473</v>
      </c>
      <c r="O112" s="1"/>
      <c r="P112" s="15">
        <f t="shared" ref="P112:Q112" si="24">P104/P111</f>
        <v>0.79785306927511046</v>
      </c>
      <c r="Q112" s="15">
        <f t="shared" si="24"/>
        <v>0.79785306927511046</v>
      </c>
      <c r="R112" s="431"/>
      <c r="S112" s="431">
        <v>0.09</v>
      </c>
      <c r="T112" s="431"/>
      <c r="U112" s="446">
        <v>0.09</v>
      </c>
      <c r="V112" s="446">
        <v>0.09</v>
      </c>
      <c r="W112" s="431">
        <v>0.09</v>
      </c>
      <c r="X112" s="15">
        <f>X104/X111</f>
        <v>0.79785306927511046</v>
      </c>
      <c r="Y112" s="440" t="str">
        <f ca="1">IFERROR(__xludf.DUMMYFUNCTION("INDEX(IMPORTRANGE(""1y0FWgjbB0gVlqn-q5LMJbGIsqOrzru4yowQz67dz2yc"", ""'JUA'!BG3:BG139""),MATCH(D112,IMPORTRANGE(""1y0FWgjbB0gVlqn-q5LMJbGIsqOrzru4yowQz67dz2yc"", ""'JUA'!D3:D139""),0))"),"")</f>
        <v/>
      </c>
      <c r="Z112" s="15">
        <f ca="1">IFERROR(__xludf.DUMMYFUNCTION("INDEX(IMPORTRANGE(""1y0FWgjbB0gVlqn-q5LMJbGIsqOrzru4yowQz67dz2yc"", ""'JUA'!BH3:BH139""),MATCH(D112,IMPORTRANGE(""1y0FWgjbB0gVlqn-q5LMJbGIsqOrzru4yowQz67dz2yc"", ""'JUA'!D3:D139""),0))"),0.854335562607898)</f>
        <v>0.854335562607898</v>
      </c>
      <c r="AA112" s="440" t="str">
        <f ca="1">IFERROR(__xludf.DUMMYFUNCTION("INDEX(IMPORTRANGE(""1y0FWgjbB0gVlqn-q5LMJbGIsqOrzru4yowQz67dz2yc"", ""'JUA'!BI3:BI139""),MATCH($D112,IMPORTRANGE(""1y0FWgjbB0gVlqn-q5LMJbGIsqOrzru4yowQz67dz2yc"", ""'JUA'!D3:D139""),0))"),"")</f>
        <v/>
      </c>
      <c r="AB112" s="1"/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30" t="s">
        <v>308</v>
      </c>
      <c r="Q113" s="30" t="s">
        <v>308</v>
      </c>
      <c r="R113" s="421"/>
      <c r="S113" s="421" t="s">
        <v>438</v>
      </c>
      <c r="T113" s="421"/>
      <c r="U113" s="421" t="s">
        <v>438</v>
      </c>
      <c r="V113" s="421" t="s">
        <v>438</v>
      </c>
      <c r="W113" s="421" t="s">
        <v>438</v>
      </c>
      <c r="X113" s="2" t="s">
        <v>308</v>
      </c>
      <c r="Y113" s="13" t="str">
        <f ca="1">IFERROR(__xludf.DUMMYFUNCTION("INDEX(IMPORTRANGE(""1y0FWgjbB0gVlqn-q5LMJbGIsqOrzru4yowQz67dz2yc"", ""'JUA'!BG3:BG139""),MATCH(D113,IMPORTRANGE(""1y0FWgjbB0gVlqn-q5LMJbGIsqOrzru4yowQz67dz2yc"", ""'JUA'!D3:D139""),0))"),"")</f>
        <v/>
      </c>
      <c r="Z113" s="2" t="str">
        <f ca="1">IFERROR(__xludf.DUMMYFUNCTION("INDEX(IMPORTRANGE(""1y0FWgjbB0gVlqn-q5LMJbGIsqOrzru4yowQz67dz2yc"", ""'JUA'!BH3:BH139""),MATCH(D113,IMPORTRANGE(""1y0FWgjbB0gVlqn-q5LMJbGIsqOrzru4yowQz67dz2yc"", ""'JUA'!D3:D139""),0))"),"Verde")</f>
        <v>Verde</v>
      </c>
      <c r="AA113" s="13" t="str">
        <f ca="1">IFERROR(__xludf.DUMMYFUNCTION("INDEX(IMPORTRANGE(""1y0FWgjbB0gVlqn-q5LMJbGIsqOrzru4yowQz67dz2yc"", ""'JUA'!BI3:BI139""),MATCH($D113,IMPORTRANGE(""1y0FWgjbB0gVlqn-q5LMJbGIsqOrzru4yowQz67dz2yc"", ""'JUA'!D3:D139""),0))"),"")</f>
        <v/>
      </c>
      <c r="AB113" s="1"/>
      <c r="AC113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A6D20-5CB9-B24A-8C54-461B3D25A76D}">
  <dimension ref="A1:M31"/>
  <sheetViews>
    <sheetView workbookViewId="0">
      <selection activeCell="G2" sqref="G2"/>
    </sheetView>
  </sheetViews>
  <sheetFormatPr baseColWidth="10" defaultRowHeight="16"/>
  <cols>
    <col min="1" max="1" width="10.83203125" style="118"/>
    <col min="3" max="3" width="20.33203125" customWidth="1"/>
    <col min="4" max="4" width="12" customWidth="1"/>
    <col min="5" max="5" width="11.66406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JUA'!$D$3:$Y$113,4,0)</f>
        <v>44469</v>
      </c>
      <c r="E2" s="71">
        <f>VLOOKUP(C2,'BD EVA 3 JUA'!$D$3:$Q$110,14,0)</f>
        <v>376</v>
      </c>
      <c r="F2" s="75">
        <f>VLOOKUP(C2,'BD EVA 3 JUA'!$D$3:$AC$113,9,0)</f>
        <v>45199</v>
      </c>
      <c r="G2" s="71">
        <f ca="1">VLOOKUP(C2,'BD EVA 3 JUA'!$D$3:$AC$113,24,0)</f>
        <v>492</v>
      </c>
      <c r="H2" s="84">
        <f>VLOOKUP(C2,'BD EVA 3 JUA'!$D$3:$AC$113,17,0)</f>
        <v>407.20799999999997</v>
      </c>
      <c r="I2" s="78">
        <f ca="1">IF(G2&gt;=E2,G2/H2,0)</f>
        <v>1.2082277361937881</v>
      </c>
      <c r="J2" s="72" t="s">
        <v>316</v>
      </c>
      <c r="K2" s="81">
        <v>2.7</v>
      </c>
      <c r="L2" s="81">
        <f t="shared" ref="L2:L31" ca="1" si="0">IF(I2&lt;0,0,IF(I2&gt;1,K2,I2*K2))</f>
        <v>2.7</v>
      </c>
      <c r="M2" s="124">
        <f ca="1">SUM(L2:L4)</f>
        <v>8.7947810123262506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JUA'!$D$3:$Y$113,4,0)</f>
        <v>44469</v>
      </c>
      <c r="E3" s="72" t="s">
        <v>429</v>
      </c>
      <c r="F3" s="75">
        <f>VLOOKUP(C3,'BD EVA 3 JUA'!$D$3:$AC$113,9,0)</f>
        <v>45199</v>
      </c>
      <c r="G3" s="207">
        <f ca="1">VLOOKUP(C3,'BD EVA 3 JUA'!$D$3:$AC$113,24,0)</f>
        <v>1</v>
      </c>
      <c r="H3" s="207" t="str">
        <f>VLOOKUP(C3,'BD EVA 3 JUA'!$D$3:$AC$113,17,0)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449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JUA'!$D$3:$Y$113,4,0)</f>
        <v>44469</v>
      </c>
      <c r="E4" s="72" t="s">
        <v>429</v>
      </c>
      <c r="F4" s="75">
        <f>VLOOKUP(C4,'BD EVA 3 JUA'!$D$3:$AC$113,9,0)</f>
        <v>45199</v>
      </c>
      <c r="G4" s="207">
        <f ca="1">VLOOKUP(C4,'BD EVA 3 JUA'!$D$3:$AC$113,24,0)</f>
        <v>2.0325203252032499E-2</v>
      </c>
      <c r="H4" s="207">
        <f>VLOOKUP(C4,'BD EVA 3 JUA'!$D$3:$AC$113,17,0)</f>
        <v>3.1E-2</v>
      </c>
      <c r="I4" s="77">
        <f t="shared" ref="I4:I5" ca="1" si="1">G4/H4</f>
        <v>0.65565171780749998</v>
      </c>
      <c r="J4" s="75" t="s">
        <v>318</v>
      </c>
      <c r="K4" s="81">
        <v>3.5</v>
      </c>
      <c r="L4" s="81">
        <f t="shared" ca="1" si="0"/>
        <v>2.2947810123262498</v>
      </c>
      <c r="M4" s="449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JUA'!$D$3:$Y$113,4,0)</f>
        <v>octubre 20 - mar 21</v>
      </c>
      <c r="E5" s="207">
        <f>VLOOKUP(C5,'BD EVA 3 JUA'!$D$3:$Q$110,14,0)</f>
        <v>0</v>
      </c>
      <c r="F5" s="75" t="str">
        <f>VLOOKUP(C5,'BD EVA 3 JUA'!$D$3:$AC$113,9,0)</f>
        <v>octubre 22 - septiembre 23</v>
      </c>
      <c r="G5" s="207">
        <f ca="1">VLOOKUP(C5,'BD EVA 3 JUA'!$D$3:$AC$113,24,0)</f>
        <v>0.18158066623122099</v>
      </c>
      <c r="H5" s="207">
        <f>VLOOKUP(C5,'BD EVA 3 JUA'!$D$3:$AC$113,17,0)</f>
        <v>0.16600000000000001</v>
      </c>
      <c r="I5" s="77">
        <f t="shared" ca="1" si="1"/>
        <v>1.0938594351278372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6.6000000000000005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JUA'!$D$3:$Y$113,4,0)</f>
        <v>octubre 20 - mar 21</v>
      </c>
      <c r="E6" s="213">
        <f>VLOOKUP(C6,'BD EVA 3 JUA'!$D$3:$Q$110,14,0)</f>
        <v>22.627550518466052</v>
      </c>
      <c r="F6" s="75" t="str">
        <f>VLOOKUP(C6,'BD EVA 3 JUA'!$D$3:$AC$113,9,0)</f>
        <v>octubre 22 - septiembre 23</v>
      </c>
      <c r="G6" s="213">
        <f ca="1">VLOOKUP(C6,'BD EVA 3 JUA'!$D$3:$AC$113,24,0)</f>
        <v>35.087885670391898</v>
      </c>
      <c r="H6" s="213">
        <f>VLOOKUP(C6,'BD EVA 3 JUA'!$D$3:$AC$113,17,0)</f>
        <v>20.7</v>
      </c>
      <c r="I6" s="78">
        <f t="shared" ref="I6:I10" ca="1" si="2">(G6-E6)/(H6-E6)</f>
        <v>-6.4643364895265103</v>
      </c>
      <c r="J6" s="71" t="s">
        <v>319</v>
      </c>
      <c r="K6" s="209">
        <v>1.7</v>
      </c>
      <c r="L6" s="209">
        <f t="shared" ca="1" si="0"/>
        <v>0</v>
      </c>
      <c r="M6" s="449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JUA'!$D$3:$Y$113,4,0)</f>
        <v>octubre 20 - mar 21</v>
      </c>
      <c r="E7" s="213">
        <f>VLOOKUP(C7,'BD EVA 3 JUA'!$D$3:$Q$110,14,0)</f>
        <v>324.41020797670348</v>
      </c>
      <c r="F7" s="75" t="str">
        <f>VLOOKUP(C7,'BD EVA 3 JUA'!$D$3:$AC$113,9,0)</f>
        <v>octubre 22 - septiembre 23</v>
      </c>
      <c r="G7" s="213">
        <f ca="1">VLOOKUP(C7,'BD EVA 3 JUA'!$D$3:$AC$113,24,0)</f>
        <v>275.25023826570998</v>
      </c>
      <c r="H7" s="213">
        <f>VLOOKUP(C7,'BD EVA 3 JUA'!$D$3:$AC$113,17,0)</f>
        <v>296.5</v>
      </c>
      <c r="I7" s="78">
        <f t="shared" ca="1" si="2"/>
        <v>1.7613616405878127</v>
      </c>
      <c r="J7" s="71" t="s">
        <v>319</v>
      </c>
      <c r="K7" s="209">
        <v>1.6</v>
      </c>
      <c r="L7" s="209">
        <f t="shared" ca="1" si="0"/>
        <v>1.6</v>
      </c>
      <c r="M7" s="449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JUA'!$D$3:$Y$113,4,0)</f>
        <v>octubre 20 - mar 21</v>
      </c>
      <c r="E8" s="213">
        <f>VLOOKUP(C8,'BD EVA 3 JUA'!$D$3:$Q$110,14,0)</f>
        <v>780.89644452314894</v>
      </c>
      <c r="F8" s="75" t="str">
        <f>VLOOKUP(C8,'BD EVA 3 JUA'!$D$3:$AC$113,9,0)</f>
        <v>octubre 22 - septiembre 23</v>
      </c>
      <c r="G8" s="213">
        <f ca="1">VLOOKUP(C8,'BD EVA 3 JUA'!$D$3:$AC$113,24,0)</f>
        <v>617.83128416919897</v>
      </c>
      <c r="H8" s="213">
        <f>VLOOKUP(C8,'BD EVA 3 JUA'!$D$3:$AC$113,17,0)</f>
        <v>674.7</v>
      </c>
      <c r="I8" s="78">
        <f t="shared" ca="1" si="2"/>
        <v>1.5355048945956447</v>
      </c>
      <c r="J8" s="71" t="s">
        <v>319</v>
      </c>
      <c r="K8" s="209">
        <v>1.7</v>
      </c>
      <c r="L8" s="209">
        <f t="shared" ca="1" si="0"/>
        <v>1.7</v>
      </c>
      <c r="M8" s="449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JUA'!$D$3:$Y$113,4,0)</f>
        <v>octubre 20 - mar 21</v>
      </c>
      <c r="E9" s="213">
        <f>VLOOKUP(C9,'BD EVA 3 JUA'!$D$3:$Q$110,14,0)</f>
        <v>149.53859473073214</v>
      </c>
      <c r="F9" s="75" t="str">
        <f>VLOOKUP(C9,'BD EVA 3 JUA'!$D$3:$AC$113,9,0)</f>
        <v>octubre 22 - septiembre 23</v>
      </c>
      <c r="G9" s="213">
        <f ca="1">VLOOKUP(C9,'BD EVA 3 JUA'!$D$3:$AC$113,24,0)</f>
        <v>101.944532691003</v>
      </c>
      <c r="H9" s="213">
        <f>VLOOKUP(C9,'BD EVA 3 JUA'!$D$3:$AC$113,17,0)</f>
        <v>136</v>
      </c>
      <c r="I9" s="78">
        <f t="shared" ca="1" si="2"/>
        <v>3.5154359064823959</v>
      </c>
      <c r="J9" s="71" t="s">
        <v>319</v>
      </c>
      <c r="K9" s="209">
        <v>1.7</v>
      </c>
      <c r="L9" s="209">
        <f t="shared" ca="1" si="0"/>
        <v>1.7</v>
      </c>
      <c r="M9" s="449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JUA'!$D$3:$Y$113,4,0)</f>
        <v>octubre 20 - mar 21</v>
      </c>
      <c r="E10" s="213">
        <f>VLOOKUP(C10,'BD EVA 3 JUA'!$D$3:$Q$110,14,0)</f>
        <v>20.905889065974069</v>
      </c>
      <c r="F10" s="75" t="str">
        <f>VLOOKUP(C10,'BD EVA 3 JUA'!$D$3:$AC$113,9,0)</f>
        <v>octubre 22 - septiembre 23</v>
      </c>
      <c r="G10" s="213">
        <f ca="1">VLOOKUP(C10,'BD EVA 3 JUA'!$D$3:$AC$113,24,0)</f>
        <v>44.808178322324899</v>
      </c>
      <c r="H10" s="213">
        <f>VLOOKUP(C10,'BD EVA 3 JUA'!$D$3:$AC$113,17,0)</f>
        <v>18</v>
      </c>
      <c r="I10" s="78">
        <f t="shared" ca="1" si="2"/>
        <v>-8.2254651549606415</v>
      </c>
      <c r="J10" s="71" t="s">
        <v>319</v>
      </c>
      <c r="K10" s="209">
        <v>1.7</v>
      </c>
      <c r="L10" s="209">
        <f t="shared" ca="1" si="0"/>
        <v>0</v>
      </c>
      <c r="M10" s="449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JUA'!$D$3:$Y$113,4,0)</f>
        <v>44469</v>
      </c>
      <c r="E11" s="78" t="e">
        <f>VLOOKUP(C11,'BD EVA 3 JUA'!$D$3:$Q$110,14,0)</f>
        <v>#VALUE!</v>
      </c>
      <c r="F11" s="75">
        <f>VLOOKUP(C11,'BD EVA 3 JUA'!$D$3:$AC$113,9,0)</f>
        <v>45199</v>
      </c>
      <c r="G11" s="78">
        <v>0</v>
      </c>
      <c r="H11" s="78">
        <f>VLOOKUP(C11,'BD EVA 3 JUA'!$D$3:$AC$116,16,0)</f>
        <v>1.67E-2</v>
      </c>
      <c r="I11" s="77">
        <f t="shared" ref="I11:I12" si="3">IF(H11="Sin meta",0,G11/H11)</f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0.84844735565259577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3 JUA'!$D$3:$Y$113,4,0)</f>
        <v>octubre 20 - mar 21</v>
      </c>
      <c r="E12" s="335">
        <f>VLOOKUP(C12,'BD EVA 3 JUA'!$D$3:$Q$110,14,0)</f>
        <v>0</v>
      </c>
      <c r="F12" s="75" t="str">
        <f>VLOOKUP(C12,'BD EVA 3 JUA'!$D$3:$AC$113,9,0)</f>
        <v>octubre 22 - septiembre 23</v>
      </c>
      <c r="G12" s="210">
        <f ca="1">VLOOKUP(C12,'BD EVA 3 JUA'!$D$3:$AC$113,24,0)</f>
        <v>0</v>
      </c>
      <c r="H12" s="78">
        <f>VLOOKUP(C12,'BD EVA 3 JUA'!$D$3:$AC$116,16,0)</f>
        <v>3.3999999999999998E-3</v>
      </c>
      <c r="I12" s="77">
        <f t="shared" ca="1" si="3"/>
        <v>0</v>
      </c>
      <c r="J12" s="75" t="s">
        <v>318</v>
      </c>
      <c r="K12" s="71">
        <v>1.1000000000000001</v>
      </c>
      <c r="L12" s="211">
        <f t="shared" ca="1" si="0"/>
        <v>0</v>
      </c>
      <c r="M12" s="449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JUA'!$D$3:$Y$113,4,0)</f>
        <v>octubre 20 - mar 21</v>
      </c>
      <c r="E13" s="212">
        <f>VLOOKUP(C13,'BD EVA 3 JUA'!$D$3:$Q$110,14,0)</f>
        <v>0</v>
      </c>
      <c r="F13" s="75" t="str">
        <f>VLOOKUP(C13,'BD EVA 3 JUA'!$D$3:$AC$113,9,0)</f>
        <v>octubre 21 - septiembre 23</v>
      </c>
      <c r="G13" s="212">
        <f ca="1">VLOOKUP(C13,'BD EVA 3 JUA'!$D$3:$AC$113,24,0)</f>
        <v>0</v>
      </c>
      <c r="H13" s="212">
        <f>VLOOKUP(C13,'BD EVA 3 JUA'!$D$3:$AC$113,17,0)</f>
        <v>7</v>
      </c>
      <c r="I13" s="78">
        <f t="shared" ref="I13:I15" ca="1" si="4">G13/H13</f>
        <v>0</v>
      </c>
      <c r="J13" s="75" t="s">
        <v>318</v>
      </c>
      <c r="K13" s="82">
        <v>2.35</v>
      </c>
      <c r="L13" s="211">
        <f t="shared" ca="1" si="0"/>
        <v>0</v>
      </c>
      <c r="M13" s="449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JUA'!$D$3:$Y$113,4,0)</f>
        <v>octubre 20 - mar 21</v>
      </c>
      <c r="E14" s="212">
        <f>VLOOKUP(C14,'BD EVA 3 JUA'!$D$3:$Q$110,14,0)</f>
        <v>44</v>
      </c>
      <c r="F14" s="75" t="str">
        <f>VLOOKUP(C14,'BD EVA 3 JUA'!$D$3:$AC$113,9,0)</f>
        <v>octubre 21 - septiembre 23</v>
      </c>
      <c r="G14" s="212">
        <f ca="1">VLOOKUP(C14,'BD EVA 3 JUA'!$D$3:$AC$113,24,0)</f>
        <v>481</v>
      </c>
      <c r="H14" s="212">
        <f>VLOOKUP(C14,'BD EVA 3 JUA'!$D$3:$AC$113,17,0)</f>
        <v>2061</v>
      </c>
      <c r="I14" s="78">
        <f t="shared" ca="1" si="4"/>
        <v>0.23338185346918972</v>
      </c>
      <c r="J14" s="75" t="s">
        <v>318</v>
      </c>
      <c r="K14" s="82">
        <v>2.35</v>
      </c>
      <c r="L14" s="211">
        <f t="shared" ca="1" si="0"/>
        <v>0.54844735565259584</v>
      </c>
      <c r="M14" s="449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JUA'!$D$3:$Y$113,4,0)</f>
        <v>octubre 20 - mar 21</v>
      </c>
      <c r="E15" s="212">
        <f>VLOOKUP(C15,'BD EVA 3 JUA'!$D$3:$Q$110,14,0)</f>
        <v>16</v>
      </c>
      <c r="F15" s="75" t="str">
        <f>VLOOKUP(C15,'BD EVA 3 JUA'!$D$3:$AC$113,9,0)</f>
        <v>octubre 21 - septiembre 23</v>
      </c>
      <c r="G15" s="212">
        <f ca="1">VLOOKUP(C15,'BD EVA 3 JUA'!$D$3:$AC$113,24,0)</f>
        <v>3</v>
      </c>
      <c r="H15" s="212">
        <f>VLOOKUP(C15,'BD EVA 3 JUA'!$D$3:$AC$113,17,0)</f>
        <v>31</v>
      </c>
      <c r="I15" s="78">
        <f t="shared" ca="1" si="4"/>
        <v>9.6774193548387094E-2</v>
      </c>
      <c r="J15" s="75" t="s">
        <v>318</v>
      </c>
      <c r="K15" s="71">
        <v>3.1</v>
      </c>
      <c r="L15" s="211">
        <f t="shared" ca="1" si="0"/>
        <v>0.3</v>
      </c>
      <c r="M15" s="449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JUA'!$D$3:$Y$113,4,0)</f>
        <v>44469</v>
      </c>
      <c r="E16" s="213">
        <f>VLOOKUP(C16,'BD EVA 3 JUA'!$D$3:$Q$110,14,0)</f>
        <v>0</v>
      </c>
      <c r="F16" s="75">
        <f>VLOOKUP(C16,'BD EVA 3 JUA'!$D$3:$AC$113,9,0)</f>
        <v>45199</v>
      </c>
      <c r="G16" s="213">
        <f ca="1">VLOOKUP(C16,'BD EVA 3 JUA'!$D$3:$AC$113,24,0)</f>
        <v>0</v>
      </c>
      <c r="H16" s="213" t="str">
        <f>VLOOKUP(C16,'BD EVA 3 JUA'!$D$3:$AC$113,17,0)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0</v>
      </c>
      <c r="J16" s="75" t="s">
        <v>318</v>
      </c>
      <c r="K16" s="71">
        <v>1.5</v>
      </c>
      <c r="L16" s="209">
        <f t="shared" ca="1" si="0"/>
        <v>0</v>
      </c>
      <c r="M16" s="130">
        <f ca="1">SUM(L16:L23)</f>
        <v>2.9720797161957693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JUA'!$D$3:$Y$113,4,0)</f>
        <v>44469</v>
      </c>
      <c r="E17" s="212">
        <f>VLOOKUP(C17,'BD EVA 3 JUA'!$D$3:$Q$110,14,0)</f>
        <v>0</v>
      </c>
      <c r="F17" s="75">
        <f>VLOOKUP(C17,'BD EVA 3 JUA'!$D$3:$AC$113,9,0)</f>
        <v>45199</v>
      </c>
      <c r="G17" s="207">
        <f ca="1">VLOOKUP(C17,'BD EVA 3 JUA'!$D$3:$AC$113,24,0)</f>
        <v>0</v>
      </c>
      <c r="H17" s="212" t="str">
        <f>VLOOKUP(C17,'BD EVA 3 JUA'!$D$3:$AC$113,17,0)</f>
        <v>Actualizado al 2018</v>
      </c>
      <c r="I17" s="214">
        <f t="shared" ca="1" si="5"/>
        <v>0</v>
      </c>
      <c r="J17" s="75" t="s">
        <v>318</v>
      </c>
      <c r="K17" s="71">
        <v>1.5</v>
      </c>
      <c r="L17" s="209">
        <f t="shared" ca="1" si="0"/>
        <v>0</v>
      </c>
      <c r="M17" s="449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JUA'!$D$3:$Y$113,4,0)</f>
        <v>44469</v>
      </c>
      <c r="E18" s="72" t="s">
        <v>320</v>
      </c>
      <c r="F18" s="75">
        <f>VLOOKUP(C18,'BD EVA 3 JUA'!$D$3:$AC$113,9,0)</f>
        <v>45199</v>
      </c>
      <c r="G18" s="207" t="str">
        <f ca="1">VLOOKUP(C18,'BD EVA 3 JUA'!$D$3:$AC$113,24,0)</f>
        <v>NA</v>
      </c>
      <c r="H18" s="207">
        <f>VLOOKUP(C18,'BD EVA 3 JUA'!$D$3:$AC$113,17,0)</f>
        <v>1</v>
      </c>
      <c r="I18" s="214">
        <f ca="1">IF(G18="NA",1,G18/H18)</f>
        <v>1</v>
      </c>
      <c r="J18" s="75" t="s">
        <v>318</v>
      </c>
      <c r="K18" s="71">
        <v>0.3</v>
      </c>
      <c r="L18" s="209">
        <f t="shared" ca="1" si="0"/>
        <v>0.3</v>
      </c>
      <c r="M18" s="449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JUA'!$D$3:$Y$113,4,0)</f>
        <v>44469</v>
      </c>
      <c r="E19" s="72" t="s">
        <v>429</v>
      </c>
      <c r="F19" s="75">
        <f>VLOOKUP(C19,'BD EVA 3 JUA'!$D$3:$AC$113,9,0)</f>
        <v>45199</v>
      </c>
      <c r="G19" s="207">
        <f ca="1">VLOOKUP(C19,'BD EVA 3 JUA'!$D$3:$AC$113,24,0)</f>
        <v>0.98972171544569199</v>
      </c>
      <c r="H19" s="207">
        <f>VLOOKUP(C19,'BD EVA 3 JUA'!$D$3:$AC$113,17,0)</f>
        <v>1</v>
      </c>
      <c r="I19" s="214">
        <f t="shared" ref="I19:I21" ca="1" si="6">G19/H19</f>
        <v>0.98972171544569199</v>
      </c>
      <c r="J19" s="75" t="s">
        <v>318</v>
      </c>
      <c r="K19" s="71">
        <v>1.5</v>
      </c>
      <c r="L19" s="209">
        <f t="shared" ca="1" si="0"/>
        <v>1.484582573168538</v>
      </c>
      <c r="M19" s="449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JUA'!$D$3:$Y$113,4,0)</f>
        <v>44469</v>
      </c>
      <c r="E20" s="72" t="s">
        <v>429</v>
      </c>
      <c r="F20" s="75">
        <f>VLOOKUP(C20,'BD EVA 3 JUA'!$D$3:$AC$113,9,0)</f>
        <v>45199</v>
      </c>
      <c r="G20" s="214">
        <f ca="1">VLOOKUP(C20,'BD EVA 3 JUA'!$D$3:$AC$113,24,0)</f>
        <v>0.22023619058958299</v>
      </c>
      <c r="H20" s="214">
        <f>VLOOKUP(C20,'BD EVA 3 JUA'!$D$3:$AC$113,17,0)</f>
        <v>1</v>
      </c>
      <c r="I20" s="214">
        <f t="shared" ca="1" si="6"/>
        <v>0.22023619058958299</v>
      </c>
      <c r="J20" s="75" t="s">
        <v>318</v>
      </c>
      <c r="K20" s="71">
        <v>1.5</v>
      </c>
      <c r="L20" s="209">
        <f t="shared" ca="1" si="0"/>
        <v>0.33035428588437449</v>
      </c>
      <c r="M20" s="449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JUA'!$D$3:$Y$113,4,0)</f>
        <v>44469</v>
      </c>
      <c r="E21" s="72" t="s">
        <v>429</v>
      </c>
      <c r="F21" s="75">
        <f>VLOOKUP(C21,'BD EVA 3 JUA'!$D$3:$AC$113,9,0)</f>
        <v>45199</v>
      </c>
      <c r="G21" s="207">
        <f ca="1">VLOOKUP(C21,'BD EVA 3 JUA'!$D$3:$AC$113,24,0)</f>
        <v>0.952380952380952</v>
      </c>
      <c r="H21" s="207">
        <f>VLOOKUP(C21,'BD EVA 3 JUA'!$D$3:$AC$113,17,0)</f>
        <v>1</v>
      </c>
      <c r="I21" s="214">
        <f t="shared" ca="1" si="6"/>
        <v>0.952380952380952</v>
      </c>
      <c r="J21" s="75" t="s">
        <v>318</v>
      </c>
      <c r="K21" s="71">
        <v>0.9</v>
      </c>
      <c r="L21" s="209">
        <f t="shared" ca="1" si="0"/>
        <v>0.85714285714285676</v>
      </c>
      <c r="M21" s="449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JUA'!$D$3:$Y$113,4,0)</f>
        <v>44469</v>
      </c>
      <c r="E22" s="72" t="s">
        <v>429</v>
      </c>
      <c r="F22" s="75">
        <f>VLOOKUP(C22,'BD EVA 3 JUA'!$D$3:$AC$113,9,0)</f>
        <v>45199</v>
      </c>
      <c r="G22" s="207" t="str">
        <f ca="1">VLOOKUP(C22,'BD EVA 3 JUA'!$D$3:$AC$113,24,0)</f>
        <v>Sin dato</v>
      </c>
      <c r="H22" s="207">
        <f>VLOOKUP(C22,'BD EVA 3 JUA'!$D$3:$AC$113,17,0)</f>
        <v>1</v>
      </c>
      <c r="I22" s="214">
        <f ca="1">IFERROR(G22/H22,0)</f>
        <v>0</v>
      </c>
      <c r="J22" s="75" t="s">
        <v>318</v>
      </c>
      <c r="K22" s="71">
        <v>1.5</v>
      </c>
      <c r="L22" s="209">
        <f t="shared" ca="1" si="0"/>
        <v>0</v>
      </c>
      <c r="M22" s="449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JUA'!$D$3:$Y$113,4,0)</f>
        <v>octubre 20 - mar 21</v>
      </c>
      <c r="E23" s="208">
        <f>VLOOKUP(C23,'BD EVA 3 JUA'!$D$3:$Q$110,14,0)</f>
        <v>0</v>
      </c>
      <c r="F23" s="89" t="str">
        <f>VLOOKUP(C23,'BD EVA 3 JUA'!$D$3:$AC$113,9,0)</f>
        <v>octubre 22 - septiembre 23</v>
      </c>
      <c r="G23" s="85">
        <f ca="1">VLOOKUP(C23,'BD EVA 3 JUA'!$D$3:$AC$113,24,0)</f>
        <v>0</v>
      </c>
      <c r="H23" s="208">
        <f>VLOOKUP(C23,'BD EVA 3 JUA'!$D$3:$AC$113,17,0)</f>
        <v>46</v>
      </c>
      <c r="I23" s="214">
        <f ca="1">G23/H23</f>
        <v>0</v>
      </c>
      <c r="J23" s="75" t="s">
        <v>318</v>
      </c>
      <c r="K23" s="82">
        <v>1.3</v>
      </c>
      <c r="L23" s="211">
        <f t="shared" ca="1" si="0"/>
        <v>0</v>
      </c>
      <c r="M23" s="449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JUA'!$D$3:$Y$113,4,0)</f>
        <v>44469</v>
      </c>
      <c r="E24" s="171">
        <f>VLOOKUP(C24,'BD EVA 3 JUA'!$D$3:$Q$110,14,0)</f>
        <v>0</v>
      </c>
      <c r="F24" s="75">
        <f>VLOOKUP(C24,'BD EVA 3 JUA'!$D$3:$AC$113,9,0)</f>
        <v>45199</v>
      </c>
      <c r="G24" s="171">
        <f ca="1">VLOOKUP(C24,'BD EVA 3 JUA'!$D$3:$AC$113,24,0)</f>
        <v>0</v>
      </c>
      <c r="H24" s="171">
        <f>VLOOKUP(C24,'BD EVA 3 JUA'!$D$3:$AC$113,17,0)</f>
        <v>9</v>
      </c>
      <c r="I24" s="214">
        <f ca="1">IF(H24="Sin meta",0,G24/H24)</f>
        <v>0</v>
      </c>
      <c r="J24" s="75" t="s">
        <v>318</v>
      </c>
      <c r="K24" s="82">
        <v>2.65</v>
      </c>
      <c r="L24" s="209">
        <f t="shared" ca="1" si="0"/>
        <v>0</v>
      </c>
      <c r="M24" s="130">
        <f ca="1">SUM(L24:L27)</f>
        <v>1.4832955316861838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JUA'!$D$3:$Y$113,4,0)</f>
        <v>octubre 20 - mar 21</v>
      </c>
      <c r="E25" s="292">
        <f>VLOOKUP(C25,'BD EVA 3 JUA'!$D$3:$Q$110,14,0)</f>
        <v>0</v>
      </c>
      <c r="F25" s="71" t="str">
        <f>VLOOKUP(C25,'BD EVA 3 JUA'!$D$3:$AC$113,9,0)</f>
        <v>octubre 22 - septiembre 23</v>
      </c>
      <c r="G25" s="212">
        <f ca="1">VLOOKUP(C25,'BD EVA 3 JUA'!$D$3:$AC$113,24,0)</f>
        <v>3830.43</v>
      </c>
      <c r="H25" s="212">
        <f>VLOOKUP(C25,'BD EVA 3 JUA'!$D$3:$AC$113,17,0)</f>
        <v>9446</v>
      </c>
      <c r="I25" s="214">
        <f t="shared" ref="I25:I26" ca="1" si="7">G25/H25</f>
        <v>0.40550815159856024</v>
      </c>
      <c r="J25" s="75" t="s">
        <v>318</v>
      </c>
      <c r="K25" s="82">
        <v>2.33</v>
      </c>
      <c r="L25" s="209">
        <f t="shared" ca="1" si="0"/>
        <v>0.94483399322464534</v>
      </c>
      <c r="M25" s="449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JUA'!$D$3:$Y$113,4,0)</f>
        <v>octubre 20 - mar 21</v>
      </c>
      <c r="E26" s="212">
        <f>VLOOKUP(C26,'BD EVA 3 JUA'!$D$3:$Q$110,14,0)</f>
        <v>0</v>
      </c>
      <c r="F26" s="71" t="str">
        <f>VLOOKUP(C26,'BD EVA 3 JUA'!$D$3:$AC$113,9,0)</f>
        <v>octubre 22 - septiembre 23</v>
      </c>
      <c r="G26" s="212">
        <f ca="1">VLOOKUP(C26,'BD EVA 3 JUA'!$D$3:$AC$113,24,0)</f>
        <v>5</v>
      </c>
      <c r="H26" s="212">
        <f>VLOOKUP(C26,'BD EVA 3 JUA'!$D$3:$AC$113,17,0)</f>
        <v>26</v>
      </c>
      <c r="I26" s="214">
        <f t="shared" ca="1" si="7"/>
        <v>0.19230769230769232</v>
      </c>
      <c r="J26" s="75" t="s">
        <v>318</v>
      </c>
      <c r="K26" s="82">
        <v>2.8</v>
      </c>
      <c r="L26" s="209">
        <f t="shared" ca="1" si="0"/>
        <v>0.53846153846153844</v>
      </c>
      <c r="M26" s="449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JUA'!$D$3:$Y$113,4,0)</f>
        <v>octubre 2018 - marzo 2019</v>
      </c>
      <c r="E27" s="212">
        <f>VLOOKUP(C27,'BD EVA 3 JUA'!$D$3:$Q$110,14,0)</f>
        <v>1193</v>
      </c>
      <c r="F27" s="71" t="str">
        <f>VLOOKUP(C27,'BD EVA 3 JUA'!$D$3:$AC$113,9,0)</f>
        <v>octubre 22 - septiembre 23</v>
      </c>
      <c r="G27" s="212">
        <f ca="1">VLOOKUP(C27,'BD EVA 3 JUA'!$D$3:$AC$113,24,0)</f>
        <v>1332</v>
      </c>
      <c r="H27" s="212">
        <f>VLOOKUP(C27,'BD EVA 3 JUA'!$D$3:$AC$113,17,0)</f>
        <v>1153</v>
      </c>
      <c r="I27" s="214">
        <f ca="1">(G27-E27)/(H27-E27)</f>
        <v>-3.4750000000000001</v>
      </c>
      <c r="J27" s="75" t="s">
        <v>319</v>
      </c>
      <c r="K27" s="82">
        <v>2.2200000000000002</v>
      </c>
      <c r="L27" s="209">
        <f t="shared" ca="1" si="0"/>
        <v>0</v>
      </c>
      <c r="M27" s="449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JUA'!$D$3:$Y$113,4,0)</f>
        <v>octubre 20 - mar 21</v>
      </c>
      <c r="E28" s="212">
        <f>VLOOKUP(C28,'BD EVA 3 JUA'!$D$3:$Q$110,14,0)</f>
        <v>0</v>
      </c>
      <c r="F28" s="89" t="str">
        <f>VLOOKUP(C28,'BD EVA 3 JUA'!$D$3:$AC$113,9,0)</f>
        <v>octubre 22 - septiembre 23</v>
      </c>
      <c r="G28" s="212">
        <f ca="1">VLOOKUP(C28,'BD EVA 3 JUA'!$D$3:$AC$113,24,0)</f>
        <v>1530</v>
      </c>
      <c r="H28" s="212">
        <f>VLOOKUP(C28,'BD EVA 3 JUA'!$D$3:$AC$113,17,0)</f>
        <v>61</v>
      </c>
      <c r="I28" s="78">
        <f t="shared" ref="I28:I31" ca="1" si="8">G28/H28</f>
        <v>25.081967213114755</v>
      </c>
      <c r="J28" s="89" t="s">
        <v>318</v>
      </c>
      <c r="K28" s="82">
        <v>2.5</v>
      </c>
      <c r="L28" s="209">
        <f t="shared" ca="1" si="0"/>
        <v>2.5</v>
      </c>
      <c r="M28" s="130">
        <f ca="1">SUM(L28:L31)</f>
        <v>4.9882499999999999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JUA'!$D$3:$Y$113,4,0)</f>
        <v>44469</v>
      </c>
      <c r="E29" s="212">
        <f>VLOOKUP(C29,'BD EVA 3 JUA'!$D$3:$Q$110,14,0)</f>
        <v>0</v>
      </c>
      <c r="F29" s="89">
        <f>VLOOKUP(C29,'BD EVA 3 JUA'!$D$3:$AC$113,9,0)</f>
        <v>45078</v>
      </c>
      <c r="G29" s="212">
        <f ca="1">VLOOKUP(C29,'BD EVA 3 JUA'!$D$3:$AC$113,24,0)</f>
        <v>0</v>
      </c>
      <c r="H29" s="212">
        <f>VLOOKUP(C29,'BD EVA 3 JUA'!$D$3:$AC$113,17,0)</f>
        <v>15</v>
      </c>
      <c r="I29" s="80">
        <f t="shared" ca="1" si="8"/>
        <v>0</v>
      </c>
      <c r="J29" s="75" t="s">
        <v>318</v>
      </c>
      <c r="K29" s="71">
        <v>2.5</v>
      </c>
      <c r="L29" s="209">
        <f t="shared" ca="1" si="0"/>
        <v>0</v>
      </c>
      <c r="M29" s="449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JUA'!$D$3:$Y$113,4,0)</f>
        <v>44469</v>
      </c>
      <c r="E30" s="212">
        <f>VLOOKUP(C30,'BD EVA 3 JUA'!$D$3:$Q$110,14,0)</f>
        <v>86.3</v>
      </c>
      <c r="F30" s="75">
        <f>VLOOKUP(C30,'BD EVA 3 JUA'!$D$3:$AC$113,9,0)</f>
        <v>45199</v>
      </c>
      <c r="G30" s="212">
        <f ca="1">VLOOKUP(C30,'BD EVA 3 JUA'!$D$3:$AC$113,24,0)</f>
        <v>99.53</v>
      </c>
      <c r="H30" s="212">
        <f>VLOOKUP(C30,'BD EVA 3 JUA'!$D$3:$AC$113,17,0)</f>
        <v>100</v>
      </c>
      <c r="I30" s="80">
        <f t="shared" ca="1" si="8"/>
        <v>0.99529999999999996</v>
      </c>
      <c r="J30" s="75" t="s">
        <v>318</v>
      </c>
      <c r="K30" s="71">
        <v>2.5</v>
      </c>
      <c r="L30" s="209">
        <f t="shared" ca="1" si="0"/>
        <v>2.4882499999999999</v>
      </c>
      <c r="M30" s="449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JUA'!$D$3:$Y$113,4,0)</f>
        <v>44469</v>
      </c>
      <c r="E31" s="212">
        <f>VLOOKUP(C31,'BD EVA 3 JUA'!$D$3:$Q$110,14,0)</f>
        <v>0</v>
      </c>
      <c r="F31" s="143">
        <f>VLOOKUP(C31,'BD EVA 3 JUA'!$D$3:$AC$113,9,0)</f>
        <v>0</v>
      </c>
      <c r="G31" s="212">
        <f ca="1">VLOOKUP(C31,'BD EVA 3 JUA'!$D$3:$AC$113,24,0)</f>
        <v>0</v>
      </c>
      <c r="H31" s="212">
        <f>VLOOKUP(C31,'BD EVA 3 JUA'!$D$3:$AC$113,17,0)</f>
        <v>4</v>
      </c>
      <c r="I31" s="80">
        <f t="shared" ca="1" si="8"/>
        <v>0</v>
      </c>
      <c r="J31" s="75" t="s">
        <v>318</v>
      </c>
      <c r="K31" s="71">
        <v>2.5</v>
      </c>
      <c r="L31" s="209">
        <f t="shared" ca="1" si="0"/>
        <v>0</v>
      </c>
      <c r="M31" s="449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436B-CE16-C441-979B-99FDBA37583B}">
  <dimension ref="A1:AC39"/>
  <sheetViews>
    <sheetView workbookViewId="0">
      <selection sqref="A1:XFD1"/>
    </sheetView>
  </sheetViews>
  <sheetFormatPr baseColWidth="10" defaultRowHeight="16"/>
  <sheetData>
    <row r="1" spans="1:29" s="120" customFormat="1" ht="78">
      <c r="A1" s="395" t="s">
        <v>0</v>
      </c>
      <c r="B1" s="395" t="s">
        <v>1</v>
      </c>
      <c r="C1" s="395" t="s">
        <v>2</v>
      </c>
      <c r="D1" s="395" t="s">
        <v>3</v>
      </c>
      <c r="E1" s="395" t="s">
        <v>4</v>
      </c>
      <c r="F1" s="395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7" t="s">
        <v>34</v>
      </c>
      <c r="B2" s="7" t="s">
        <v>35</v>
      </c>
      <c r="C2" s="1" t="s">
        <v>36</v>
      </c>
      <c r="D2" s="1" t="s">
        <v>37</v>
      </c>
      <c r="E2" s="7" t="s">
        <v>38</v>
      </c>
      <c r="F2" s="9" t="s">
        <v>39</v>
      </c>
      <c r="G2" s="11">
        <v>44469</v>
      </c>
      <c r="H2" s="11">
        <v>44469</v>
      </c>
      <c r="I2" s="11">
        <v>44651</v>
      </c>
      <c r="J2" s="11">
        <v>44834</v>
      </c>
      <c r="K2" s="11">
        <v>45016</v>
      </c>
      <c r="L2" s="11">
        <v>45199</v>
      </c>
      <c r="M2" s="11">
        <v>45382</v>
      </c>
      <c r="N2" s="11">
        <v>45565</v>
      </c>
      <c r="O2" s="11">
        <v>45565</v>
      </c>
      <c r="P2" s="418">
        <v>376</v>
      </c>
      <c r="Q2" s="418">
        <v>376</v>
      </c>
      <c r="R2" s="419">
        <v>377.08499999999998</v>
      </c>
      <c r="S2" s="419">
        <v>394.8</v>
      </c>
      <c r="T2" s="419">
        <v>407.20799999999997</v>
      </c>
      <c r="U2" s="419">
        <v>422.24799999999999</v>
      </c>
      <c r="V2" s="419">
        <v>438.19040000000001</v>
      </c>
      <c r="W2" s="419">
        <v>438.19040000000001</v>
      </c>
      <c r="X2" s="418">
        <v>431</v>
      </c>
      <c r="Y2" s="18">
        <v>433</v>
      </c>
      <c r="Z2" s="18" t="s">
        <v>440</v>
      </c>
      <c r="AA2" s="2">
        <v>492</v>
      </c>
      <c r="AB2" s="2">
        <v>461</v>
      </c>
      <c r="AC2" s="1"/>
    </row>
    <row r="3" spans="1:29">
      <c r="A3" s="7" t="s">
        <v>34</v>
      </c>
      <c r="B3" s="7" t="s">
        <v>40</v>
      </c>
      <c r="C3" s="1" t="s">
        <v>36</v>
      </c>
      <c r="D3" s="1" t="s">
        <v>43</v>
      </c>
      <c r="E3" s="7" t="s">
        <v>38</v>
      </c>
      <c r="F3" s="9" t="s">
        <v>44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420">
        <v>0.77127659574468088</v>
      </c>
      <c r="Q3" s="420">
        <v>0.77127659574468088</v>
      </c>
      <c r="R3" s="421" t="s">
        <v>327</v>
      </c>
      <c r="S3" s="421" t="s">
        <v>327</v>
      </c>
      <c r="T3" s="421" t="s">
        <v>327</v>
      </c>
      <c r="U3" s="421" t="s">
        <v>327</v>
      </c>
      <c r="V3" s="421" t="s">
        <v>327</v>
      </c>
      <c r="W3" s="421" t="s">
        <v>327</v>
      </c>
      <c r="X3" s="420">
        <v>0.77494199535962882</v>
      </c>
      <c r="Y3" s="420">
        <v>0.77136258660507995</v>
      </c>
      <c r="Z3" s="18" t="s">
        <v>441</v>
      </c>
      <c r="AA3" s="420">
        <v>1</v>
      </c>
      <c r="AB3" s="2">
        <v>0.759219088937093</v>
      </c>
      <c r="AC3" s="1"/>
    </row>
    <row r="4" spans="1:29">
      <c r="A4" s="7" t="s">
        <v>34</v>
      </c>
      <c r="B4" s="7" t="s">
        <v>45</v>
      </c>
      <c r="C4" s="1" t="s">
        <v>36</v>
      </c>
      <c r="D4" s="1" t="s">
        <v>50</v>
      </c>
      <c r="E4" s="7" t="s">
        <v>38</v>
      </c>
      <c r="F4" s="9" t="s">
        <v>51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9">
        <v>0</v>
      </c>
      <c r="Q4" s="19">
        <v>0</v>
      </c>
      <c r="R4" s="424">
        <v>2.3E-2</v>
      </c>
      <c r="S4" s="424">
        <v>2.7E-2</v>
      </c>
      <c r="T4" s="424">
        <v>3.1E-2</v>
      </c>
      <c r="U4" s="424">
        <v>3.5000000000000003E-2</v>
      </c>
      <c r="V4" s="424">
        <v>4.1000000000000002E-2</v>
      </c>
      <c r="W4" s="424">
        <v>4.1000000000000002E-2</v>
      </c>
      <c r="X4" s="19">
        <v>0</v>
      </c>
      <c r="Y4" s="18">
        <v>0</v>
      </c>
      <c r="Z4" s="18" t="s">
        <v>441</v>
      </c>
      <c r="AA4" s="2">
        <v>2.0325203252032499E-2</v>
      </c>
      <c r="AB4" s="2">
        <v>3.4707158351409903E-2</v>
      </c>
      <c r="AC4" s="1"/>
    </row>
    <row r="5" spans="1:29">
      <c r="A5" s="7" t="s">
        <v>52</v>
      </c>
      <c r="B5" s="7" t="s">
        <v>53</v>
      </c>
      <c r="C5" s="1" t="s">
        <v>36</v>
      </c>
      <c r="D5" s="1" t="s">
        <v>66</v>
      </c>
      <c r="E5" s="7" t="s">
        <v>38</v>
      </c>
      <c r="F5" s="9" t="s">
        <v>67</v>
      </c>
      <c r="G5" s="9" t="s">
        <v>56</v>
      </c>
      <c r="H5" s="9" t="s">
        <v>57</v>
      </c>
      <c r="I5" s="9" t="s">
        <v>58</v>
      </c>
      <c r="J5" s="9" t="s">
        <v>59</v>
      </c>
      <c r="K5" s="9" t="s">
        <v>60</v>
      </c>
      <c r="L5" s="9" t="s">
        <v>61</v>
      </c>
      <c r="M5" s="9" t="s">
        <v>62</v>
      </c>
      <c r="N5" s="9" t="s">
        <v>63</v>
      </c>
      <c r="O5" s="9" t="s">
        <v>63</v>
      </c>
      <c r="P5" s="15">
        <v>0</v>
      </c>
      <c r="Q5" s="15">
        <v>0</v>
      </c>
      <c r="R5" s="426">
        <v>5.1999999999999998E-2</v>
      </c>
      <c r="S5" s="426">
        <v>0.129</v>
      </c>
      <c r="T5" s="426">
        <v>0.16600000000000001</v>
      </c>
      <c r="U5" s="426">
        <v>0.20399999999999999</v>
      </c>
      <c r="V5" s="426">
        <v>0.24399999999999999</v>
      </c>
      <c r="W5" s="426">
        <v>0.24399999999999999</v>
      </c>
      <c r="X5" s="15">
        <v>0</v>
      </c>
      <c r="Y5" s="15">
        <v>0</v>
      </c>
      <c r="Z5" s="15">
        <v>6.0984060984060902E-2</v>
      </c>
      <c r="AA5" s="15">
        <v>0.18158066623122099</v>
      </c>
      <c r="AB5" s="15">
        <v>0.41649899396378198</v>
      </c>
      <c r="AC5" s="1"/>
    </row>
    <row r="6" spans="1:29">
      <c r="A6" s="7" t="s">
        <v>52</v>
      </c>
      <c r="B6" s="7" t="s">
        <v>68</v>
      </c>
      <c r="C6" s="1" t="s">
        <v>36</v>
      </c>
      <c r="D6" s="7" t="s">
        <v>72</v>
      </c>
      <c r="E6" s="7" t="s">
        <v>73</v>
      </c>
      <c r="F6" s="9" t="s">
        <v>74</v>
      </c>
      <c r="G6" s="2" t="s">
        <v>56</v>
      </c>
      <c r="H6" s="2" t="s">
        <v>57</v>
      </c>
      <c r="I6" s="9" t="s">
        <v>58</v>
      </c>
      <c r="J6" s="9" t="s">
        <v>59</v>
      </c>
      <c r="K6" s="9" t="s">
        <v>60</v>
      </c>
      <c r="L6" s="9" t="s">
        <v>61</v>
      </c>
      <c r="M6" s="9" t="s">
        <v>62</v>
      </c>
      <c r="N6" s="9" t="s">
        <v>63</v>
      </c>
      <c r="O6" s="9" t="s">
        <v>63</v>
      </c>
      <c r="P6" s="23">
        <v>12.051630167443873</v>
      </c>
      <c r="Q6" s="23">
        <v>22.627550518466052</v>
      </c>
      <c r="R6" s="427">
        <v>21.7</v>
      </c>
      <c r="S6" s="427">
        <v>11</v>
      </c>
      <c r="T6" s="427">
        <v>20.7</v>
      </c>
      <c r="U6" s="427">
        <v>10.5</v>
      </c>
      <c r="V6" s="427">
        <v>19.7</v>
      </c>
      <c r="W6" s="427">
        <v>19.7</v>
      </c>
      <c r="X6" s="23">
        <v>7.4710676878732514</v>
      </c>
      <c r="Y6" s="23">
        <v>24.5822227149377</v>
      </c>
      <c r="Z6" s="23">
        <v>16.8327019094448</v>
      </c>
      <c r="AA6" s="23">
        <v>35.087885670391898</v>
      </c>
      <c r="AB6" s="23">
        <v>20.371701599061399</v>
      </c>
      <c r="AC6" s="1"/>
    </row>
    <row r="7" spans="1:29">
      <c r="A7" s="7" t="s">
        <v>52</v>
      </c>
      <c r="B7" s="7" t="s">
        <v>68</v>
      </c>
      <c r="C7" s="1" t="s">
        <v>36</v>
      </c>
      <c r="D7" s="7" t="s">
        <v>84</v>
      </c>
      <c r="E7" s="7" t="s">
        <v>76</v>
      </c>
      <c r="F7" s="9" t="s">
        <v>85</v>
      </c>
      <c r="G7" s="2" t="s">
        <v>56</v>
      </c>
      <c r="H7" s="2" t="s">
        <v>57</v>
      </c>
      <c r="I7" s="9" t="s">
        <v>58</v>
      </c>
      <c r="J7" s="9" t="s">
        <v>59</v>
      </c>
      <c r="K7" s="9" t="s">
        <v>60</v>
      </c>
      <c r="L7" s="9" t="s">
        <v>61</v>
      </c>
      <c r="M7" s="9" t="s">
        <v>62</v>
      </c>
      <c r="N7" s="9" t="s">
        <v>63</v>
      </c>
      <c r="O7" s="9" t="s">
        <v>63</v>
      </c>
      <c r="P7" s="23">
        <v>139.94648092399109</v>
      </c>
      <c r="Q7" s="23">
        <v>324.41020797670348</v>
      </c>
      <c r="R7" s="428">
        <v>310.5</v>
      </c>
      <c r="S7" s="428">
        <v>127.9</v>
      </c>
      <c r="T7" s="428">
        <v>296.5</v>
      </c>
      <c r="U7" s="428">
        <v>121.9</v>
      </c>
      <c r="V7" s="429">
        <v>282.60000000000002</v>
      </c>
      <c r="W7" s="429">
        <v>282.60000000000002</v>
      </c>
      <c r="X7" s="23">
        <v>195.45277080210349</v>
      </c>
      <c r="Y7" s="23">
        <v>377.65042151281801</v>
      </c>
      <c r="Z7" s="23">
        <v>139.16614113864901</v>
      </c>
      <c r="AA7" s="23">
        <v>275.25023826570998</v>
      </c>
      <c r="AB7" s="23">
        <v>129.02077679405599</v>
      </c>
      <c r="AC7" s="1"/>
    </row>
    <row r="8" spans="1:29">
      <c r="A8" s="7" t="s">
        <v>52</v>
      </c>
      <c r="B8" s="7" t="s">
        <v>86</v>
      </c>
      <c r="C8" s="1" t="s">
        <v>36</v>
      </c>
      <c r="D8" s="7" t="s">
        <v>89</v>
      </c>
      <c r="E8" s="7" t="s">
        <v>76</v>
      </c>
      <c r="F8" s="9" t="s">
        <v>90</v>
      </c>
      <c r="G8" s="2" t="s">
        <v>56</v>
      </c>
      <c r="H8" s="2" t="s">
        <v>57</v>
      </c>
      <c r="I8" s="9" t="s">
        <v>58</v>
      </c>
      <c r="J8" s="9" t="s">
        <v>59</v>
      </c>
      <c r="K8" s="9" t="s">
        <v>60</v>
      </c>
      <c r="L8" s="9" t="s">
        <v>61</v>
      </c>
      <c r="M8" s="9" t="s">
        <v>62</v>
      </c>
      <c r="N8" s="9" t="s">
        <v>63</v>
      </c>
      <c r="O8" s="9" t="s">
        <v>63</v>
      </c>
      <c r="P8" s="23">
        <v>365.48413120044074</v>
      </c>
      <c r="Q8" s="23">
        <v>780.89644452314894</v>
      </c>
      <c r="R8" s="428">
        <v>727.8</v>
      </c>
      <c r="S8" s="428">
        <v>315.8</v>
      </c>
      <c r="T8" s="428">
        <v>674.7</v>
      </c>
      <c r="U8" s="428">
        <v>290.89999999999998</v>
      </c>
      <c r="V8" s="429">
        <v>621.6</v>
      </c>
      <c r="W8" s="429">
        <v>621.6</v>
      </c>
      <c r="X8" s="23">
        <v>410.18571628258957</v>
      </c>
      <c r="Y8" s="23">
        <v>891.226074508235</v>
      </c>
      <c r="Z8" s="23">
        <v>334.046154794475</v>
      </c>
      <c r="AA8" s="23">
        <v>617.83128416919897</v>
      </c>
      <c r="AB8" s="23">
        <v>185.68688928799699</v>
      </c>
      <c r="AC8" s="1"/>
    </row>
    <row r="9" spans="1:29">
      <c r="A9" s="7" t="s">
        <v>52</v>
      </c>
      <c r="B9" s="7" t="s">
        <v>86</v>
      </c>
      <c r="C9" s="1" t="s">
        <v>36</v>
      </c>
      <c r="D9" s="7" t="s">
        <v>93</v>
      </c>
      <c r="E9" s="7" t="s">
        <v>76</v>
      </c>
      <c r="F9" s="9" t="s">
        <v>94</v>
      </c>
      <c r="G9" s="2" t="s">
        <v>56</v>
      </c>
      <c r="H9" s="2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23">
        <v>69.604313007890127</v>
      </c>
      <c r="Q9" s="23">
        <v>149.53859473073214</v>
      </c>
      <c r="R9" s="428">
        <v>142.80000000000001</v>
      </c>
      <c r="S9" s="428">
        <v>63.3</v>
      </c>
      <c r="T9" s="428">
        <v>136</v>
      </c>
      <c r="U9" s="428">
        <v>60.1</v>
      </c>
      <c r="V9" s="429">
        <v>129.19999999999999</v>
      </c>
      <c r="W9" s="429">
        <v>129.19999999999999</v>
      </c>
      <c r="X9" s="23">
        <v>72.300655043934697</v>
      </c>
      <c r="Y9" s="23">
        <v>190.391724949028</v>
      </c>
      <c r="Z9" s="23">
        <v>66.145406094860505</v>
      </c>
      <c r="AA9" s="23">
        <v>101.944532691003</v>
      </c>
      <c r="AB9" s="23">
        <v>27.162268798748599</v>
      </c>
      <c r="AC9" s="1"/>
    </row>
    <row r="10" spans="1:29">
      <c r="A10" s="7" t="s">
        <v>52</v>
      </c>
      <c r="B10" s="7" t="s">
        <v>86</v>
      </c>
      <c r="C10" s="1" t="s">
        <v>36</v>
      </c>
      <c r="D10" s="7" t="s">
        <v>117</v>
      </c>
      <c r="E10" s="7" t="s">
        <v>76</v>
      </c>
      <c r="F10" s="9" t="s">
        <v>118</v>
      </c>
      <c r="G10" s="2" t="s">
        <v>56</v>
      </c>
      <c r="H10" s="2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23">
        <v>7.8704523542490605</v>
      </c>
      <c r="Q10" s="23">
        <v>20.905889065974069</v>
      </c>
      <c r="R10" s="428">
        <v>19.399999999999999</v>
      </c>
      <c r="S10" s="428">
        <v>6.8</v>
      </c>
      <c r="T10" s="428">
        <v>18</v>
      </c>
      <c r="U10" s="428">
        <v>6.2</v>
      </c>
      <c r="V10" s="429">
        <v>16.5</v>
      </c>
      <c r="W10" s="429">
        <v>16.5</v>
      </c>
      <c r="X10" s="23">
        <v>12.291111357468898</v>
      </c>
      <c r="Y10" s="23">
        <v>34.704314421088597</v>
      </c>
      <c r="Z10" s="12">
        <v>17.3068625266122</v>
      </c>
      <c r="AA10" s="23">
        <v>44.808178322324899</v>
      </c>
      <c r="AB10" s="12">
        <v>11.005402013286</v>
      </c>
      <c r="AC10" s="1"/>
    </row>
    <row r="11" spans="1:29">
      <c r="A11" s="7" t="s">
        <v>119</v>
      </c>
      <c r="B11" s="7" t="s">
        <v>120</v>
      </c>
      <c r="C11" s="1" t="s">
        <v>36</v>
      </c>
      <c r="D11" s="447" t="s">
        <v>125</v>
      </c>
      <c r="E11" s="7" t="s">
        <v>38</v>
      </c>
      <c r="F11" s="2" t="s">
        <v>126</v>
      </c>
      <c r="G11" s="11">
        <v>44469</v>
      </c>
      <c r="H11" s="11">
        <v>44469</v>
      </c>
      <c r="I11" s="11">
        <v>44651</v>
      </c>
      <c r="J11" s="11">
        <v>44834</v>
      </c>
      <c r="K11" s="11">
        <v>45016</v>
      </c>
      <c r="L11" s="11">
        <v>45199</v>
      </c>
      <c r="M11" s="11">
        <v>45382</v>
      </c>
      <c r="N11" s="11">
        <v>45565</v>
      </c>
      <c r="O11" s="11">
        <v>45565</v>
      </c>
      <c r="P11" s="19" t="e">
        <v>#VALUE!</v>
      </c>
      <c r="Q11" s="19" t="e">
        <v>#VALUE!</v>
      </c>
      <c r="R11" s="431">
        <v>1.49E-2</v>
      </c>
      <c r="S11" s="431">
        <v>1.67E-2</v>
      </c>
      <c r="T11" s="431">
        <v>1.89E-2</v>
      </c>
      <c r="U11" s="431">
        <v>2.0799999999999999E-2</v>
      </c>
      <c r="V11" s="431">
        <v>2.3300000000000001E-2</v>
      </c>
      <c r="W11" s="431">
        <v>2.3300000000000001E-2</v>
      </c>
      <c r="X11" s="19" t="e">
        <v>#VALUE!</v>
      </c>
      <c r="Y11" s="19" t="s">
        <v>441</v>
      </c>
      <c r="Z11" s="19" t="s">
        <v>441</v>
      </c>
      <c r="AA11" s="15">
        <v>0</v>
      </c>
      <c r="AB11" s="15">
        <v>0</v>
      </c>
      <c r="AC11" s="1"/>
    </row>
    <row r="12" spans="1:29">
      <c r="A12" s="7" t="s">
        <v>119</v>
      </c>
      <c r="B12" s="7" t="s">
        <v>120</v>
      </c>
      <c r="C12" s="1" t="s">
        <v>36</v>
      </c>
      <c r="D12" s="7" t="s">
        <v>333</v>
      </c>
      <c r="E12" s="7" t="s">
        <v>38</v>
      </c>
      <c r="F12" s="2" t="s">
        <v>334</v>
      </c>
      <c r="G12" s="2" t="s">
        <v>56</v>
      </c>
      <c r="H12" s="2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433"/>
      <c r="S12" s="431">
        <v>3.3999999999999998E-3</v>
      </c>
      <c r="T12" s="431">
        <v>4.3E-3</v>
      </c>
      <c r="U12" s="431">
        <v>4.4000000000000003E-3</v>
      </c>
      <c r="V12" s="431">
        <v>4.7999999999999996E-3</v>
      </c>
      <c r="W12" s="431">
        <v>4.7999999999999996E-3</v>
      </c>
      <c r="X12" s="2"/>
      <c r="Y12" s="250" t="s">
        <v>420</v>
      </c>
      <c r="Z12" s="12">
        <v>0</v>
      </c>
      <c r="AA12" s="12">
        <v>0</v>
      </c>
      <c r="AB12" s="12">
        <v>0</v>
      </c>
      <c r="AC12" s="1"/>
    </row>
    <row r="13" spans="1:29">
      <c r="A13" s="7" t="s">
        <v>119</v>
      </c>
      <c r="B13" s="7" t="s">
        <v>127</v>
      </c>
      <c r="C13" s="1" t="s">
        <v>36</v>
      </c>
      <c r="D13" s="7" t="s">
        <v>128</v>
      </c>
      <c r="E13" s="7" t="s">
        <v>38</v>
      </c>
      <c r="F13" s="2" t="s">
        <v>129</v>
      </c>
      <c r="G13" s="2" t="s">
        <v>56</v>
      </c>
      <c r="H13" s="2" t="s">
        <v>57</v>
      </c>
      <c r="I13" s="2" t="s">
        <v>58</v>
      </c>
      <c r="J13" s="2" t="s">
        <v>59</v>
      </c>
      <c r="K13" s="2" t="s">
        <v>335</v>
      </c>
      <c r="L13" s="2" t="s">
        <v>336</v>
      </c>
      <c r="M13" s="2" t="s">
        <v>337</v>
      </c>
      <c r="N13" s="12" t="s">
        <v>132</v>
      </c>
      <c r="O13" s="12" t="s">
        <v>132</v>
      </c>
      <c r="P13" s="12">
        <v>0</v>
      </c>
      <c r="Q13" s="12">
        <v>0</v>
      </c>
      <c r="R13" s="433">
        <v>4</v>
      </c>
      <c r="S13" s="433">
        <v>6</v>
      </c>
      <c r="T13" s="433">
        <v>7</v>
      </c>
      <c r="U13" s="433">
        <v>8</v>
      </c>
      <c r="V13" s="434">
        <v>10</v>
      </c>
      <c r="W13" s="434">
        <v>10</v>
      </c>
      <c r="X13" s="2">
        <v>0</v>
      </c>
      <c r="Y13" s="2">
        <v>0</v>
      </c>
      <c r="Z13" s="12">
        <v>0</v>
      </c>
      <c r="AA13" s="2">
        <v>0</v>
      </c>
      <c r="AB13" s="12">
        <v>0</v>
      </c>
      <c r="AC13" s="1"/>
    </row>
    <row r="14" spans="1:29">
      <c r="A14" s="7" t="s">
        <v>119</v>
      </c>
      <c r="B14" s="7" t="s">
        <v>133</v>
      </c>
      <c r="C14" s="1" t="s">
        <v>36</v>
      </c>
      <c r="D14" s="7" t="s">
        <v>134</v>
      </c>
      <c r="E14" s="7" t="s">
        <v>38</v>
      </c>
      <c r="F14" s="2" t="s">
        <v>135</v>
      </c>
      <c r="G14" s="2" t="s">
        <v>56</v>
      </c>
      <c r="H14" s="2" t="s">
        <v>57</v>
      </c>
      <c r="I14" s="2" t="s">
        <v>58</v>
      </c>
      <c r="J14" s="2" t="s">
        <v>59</v>
      </c>
      <c r="K14" s="2" t="s">
        <v>335</v>
      </c>
      <c r="L14" s="2" t="s">
        <v>336</v>
      </c>
      <c r="M14" s="2" t="s">
        <v>337</v>
      </c>
      <c r="N14" s="12" t="s">
        <v>132</v>
      </c>
      <c r="O14" s="12" t="s">
        <v>132</v>
      </c>
      <c r="P14" s="12">
        <v>27</v>
      </c>
      <c r="Q14" s="12">
        <v>44</v>
      </c>
      <c r="R14" s="433">
        <v>1036</v>
      </c>
      <c r="S14" s="433">
        <v>1576</v>
      </c>
      <c r="T14" s="433">
        <v>2061</v>
      </c>
      <c r="U14" s="433">
        <v>2538</v>
      </c>
      <c r="V14" s="434">
        <v>3054</v>
      </c>
      <c r="W14" s="434">
        <v>3054</v>
      </c>
      <c r="X14" s="2">
        <v>0</v>
      </c>
      <c r="Y14" s="2">
        <v>0</v>
      </c>
      <c r="Z14" s="12">
        <v>450</v>
      </c>
      <c r="AA14" s="2">
        <v>481</v>
      </c>
      <c r="AB14" s="12">
        <v>530</v>
      </c>
      <c r="AC14" s="1"/>
    </row>
    <row r="15" spans="1:29">
      <c r="A15" s="7" t="s">
        <v>119</v>
      </c>
      <c r="B15" s="7" t="s">
        <v>136</v>
      </c>
      <c r="C15" s="1" t="s">
        <v>36</v>
      </c>
      <c r="D15" s="7" t="s">
        <v>145</v>
      </c>
      <c r="E15" s="7" t="s">
        <v>38</v>
      </c>
      <c r="F15" s="2" t="s">
        <v>146</v>
      </c>
      <c r="G15" s="2" t="s">
        <v>56</v>
      </c>
      <c r="H15" s="2" t="s">
        <v>57</v>
      </c>
      <c r="I15" s="2" t="s">
        <v>58</v>
      </c>
      <c r="J15" s="2" t="s">
        <v>59</v>
      </c>
      <c r="K15" s="2" t="s">
        <v>335</v>
      </c>
      <c r="L15" s="2" t="s">
        <v>336</v>
      </c>
      <c r="M15" s="2" t="s">
        <v>337</v>
      </c>
      <c r="N15" s="12" t="s">
        <v>132</v>
      </c>
      <c r="O15" s="12" t="s">
        <v>132</v>
      </c>
      <c r="P15" s="12">
        <v>10</v>
      </c>
      <c r="Q15" s="12">
        <v>16</v>
      </c>
      <c r="R15" s="433">
        <v>16</v>
      </c>
      <c r="S15" s="433">
        <v>23</v>
      </c>
      <c r="T15" s="433">
        <v>31</v>
      </c>
      <c r="U15" s="433">
        <v>38</v>
      </c>
      <c r="V15" s="434">
        <v>46</v>
      </c>
      <c r="W15" s="434">
        <v>46</v>
      </c>
      <c r="X15" s="12">
        <v>0</v>
      </c>
      <c r="Y15" s="12">
        <v>0</v>
      </c>
      <c r="Z15" s="12">
        <v>0</v>
      </c>
      <c r="AA15" s="12">
        <v>3</v>
      </c>
      <c r="AB15" s="12">
        <v>3</v>
      </c>
      <c r="AC15" s="1"/>
    </row>
    <row r="16" spans="1:29">
      <c r="A16" s="7" t="s">
        <v>147</v>
      </c>
      <c r="B16" s="7" t="s">
        <v>148</v>
      </c>
      <c r="C16" s="1" t="s">
        <v>36</v>
      </c>
      <c r="D16" s="7" t="s">
        <v>156</v>
      </c>
      <c r="E16" s="7" t="s">
        <v>38</v>
      </c>
      <c r="F16" s="2"/>
      <c r="G16" s="11">
        <v>44469</v>
      </c>
      <c r="H16" s="11">
        <v>44469</v>
      </c>
      <c r="I16" s="11">
        <v>44651</v>
      </c>
      <c r="J16" s="11">
        <v>44834</v>
      </c>
      <c r="K16" s="11">
        <v>45016</v>
      </c>
      <c r="L16" s="11">
        <v>45199</v>
      </c>
      <c r="M16" s="11">
        <v>45382</v>
      </c>
      <c r="N16" s="11">
        <v>45565</v>
      </c>
      <c r="O16" s="11">
        <v>45565</v>
      </c>
      <c r="P16" s="12">
        <v>0</v>
      </c>
      <c r="Q16" s="12">
        <v>0</v>
      </c>
      <c r="R16" s="276" t="s">
        <v>157</v>
      </c>
      <c r="S16" s="2" t="s">
        <v>157</v>
      </c>
      <c r="T16" s="2" t="s">
        <v>157</v>
      </c>
      <c r="U16" s="2" t="s">
        <v>157</v>
      </c>
      <c r="V16" s="2" t="s">
        <v>157</v>
      </c>
      <c r="W16" s="12" t="s">
        <v>157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"/>
    </row>
    <row r="17" spans="1:29">
      <c r="A17" s="7" t="s">
        <v>147</v>
      </c>
      <c r="B17" s="7" t="s">
        <v>148</v>
      </c>
      <c r="C17" s="1" t="s">
        <v>36</v>
      </c>
      <c r="D17" s="7" t="s">
        <v>351</v>
      </c>
      <c r="E17" s="7" t="s">
        <v>38</v>
      </c>
      <c r="F17" s="2"/>
      <c r="G17" s="11">
        <v>44469</v>
      </c>
      <c r="H17" s="11">
        <v>44469</v>
      </c>
      <c r="I17" s="11">
        <v>44651</v>
      </c>
      <c r="J17" s="11">
        <v>44834</v>
      </c>
      <c r="K17" s="11">
        <v>45016</v>
      </c>
      <c r="L17" s="11">
        <v>45199</v>
      </c>
      <c r="M17" s="11">
        <v>45382</v>
      </c>
      <c r="N17" s="11">
        <v>45565</v>
      </c>
      <c r="O17" s="11">
        <v>45565</v>
      </c>
      <c r="P17" s="12">
        <v>0</v>
      </c>
      <c r="Q17" s="12">
        <v>0</v>
      </c>
      <c r="R17" s="22" t="s">
        <v>159</v>
      </c>
      <c r="S17" s="22" t="s">
        <v>160</v>
      </c>
      <c r="T17" s="22" t="s">
        <v>160</v>
      </c>
      <c r="U17" s="22" t="s">
        <v>161</v>
      </c>
      <c r="V17" s="22" t="s">
        <v>161</v>
      </c>
      <c r="W17" s="262" t="s">
        <v>161</v>
      </c>
      <c r="X17" s="2">
        <v>0</v>
      </c>
      <c r="Y17" s="2">
        <v>0</v>
      </c>
      <c r="Z17" s="19">
        <v>0</v>
      </c>
      <c r="AA17" s="2">
        <v>0</v>
      </c>
      <c r="AB17" s="15">
        <v>0</v>
      </c>
      <c r="AC17" s="1"/>
    </row>
    <row r="18" spans="1:29">
      <c r="A18" s="7" t="s">
        <v>147</v>
      </c>
      <c r="B18" s="7" t="s">
        <v>148</v>
      </c>
      <c r="C18" s="1" t="s">
        <v>36</v>
      </c>
      <c r="D18" s="7" t="s">
        <v>166</v>
      </c>
      <c r="E18" s="7" t="s">
        <v>38</v>
      </c>
      <c r="F18" s="2" t="s">
        <v>167</v>
      </c>
      <c r="G18" s="11">
        <v>44469</v>
      </c>
      <c r="H18" s="11">
        <v>44469</v>
      </c>
      <c r="I18" s="11">
        <v>44651</v>
      </c>
      <c r="J18" s="11">
        <v>44834</v>
      </c>
      <c r="K18" s="11">
        <v>45016</v>
      </c>
      <c r="L18" s="11">
        <v>45199</v>
      </c>
      <c r="M18" s="11">
        <v>45382</v>
      </c>
      <c r="N18" s="11">
        <v>45565</v>
      </c>
      <c r="O18" s="11">
        <v>45565</v>
      </c>
      <c r="P18" s="2" t="s">
        <v>436</v>
      </c>
      <c r="Q18" s="2" t="s">
        <v>436</v>
      </c>
      <c r="R18" s="424">
        <v>1</v>
      </c>
      <c r="S18" s="424">
        <v>1</v>
      </c>
      <c r="T18" s="424">
        <v>1</v>
      </c>
      <c r="U18" s="424">
        <v>1</v>
      </c>
      <c r="V18" s="424">
        <v>1</v>
      </c>
      <c r="W18" s="424">
        <v>1</v>
      </c>
      <c r="X18" s="2" t="s">
        <v>436</v>
      </c>
      <c r="Y18" s="2" t="s">
        <v>320</v>
      </c>
      <c r="Z18" s="435" t="s">
        <v>441</v>
      </c>
      <c r="AA18" s="2" t="s">
        <v>320</v>
      </c>
      <c r="AB18" s="26" t="s">
        <v>320</v>
      </c>
      <c r="AC18" s="1"/>
    </row>
    <row r="19" spans="1:29">
      <c r="A19" s="7" t="s">
        <v>147</v>
      </c>
      <c r="B19" s="7" t="s">
        <v>168</v>
      </c>
      <c r="C19" s="1" t="s">
        <v>36</v>
      </c>
      <c r="D19" s="447" t="s">
        <v>173</v>
      </c>
      <c r="E19" s="7" t="s">
        <v>38</v>
      </c>
      <c r="F19" s="2" t="s">
        <v>174</v>
      </c>
      <c r="G19" s="11">
        <v>44469</v>
      </c>
      <c r="H19" s="11">
        <v>44469</v>
      </c>
      <c r="I19" s="11">
        <v>44651</v>
      </c>
      <c r="J19" s="11">
        <v>44834</v>
      </c>
      <c r="K19" s="11">
        <v>45016</v>
      </c>
      <c r="L19" s="11">
        <v>45199</v>
      </c>
      <c r="M19" s="11">
        <v>45382</v>
      </c>
      <c r="N19" s="11">
        <v>45565</v>
      </c>
      <c r="O19" s="11">
        <v>45565</v>
      </c>
      <c r="P19" s="420" t="e">
        <v>#VALUE!</v>
      </c>
      <c r="Q19" s="420" t="e">
        <v>#VALUE!</v>
      </c>
      <c r="R19" s="424">
        <v>1</v>
      </c>
      <c r="S19" s="424">
        <v>1</v>
      </c>
      <c r="T19" s="424">
        <v>1</v>
      </c>
      <c r="U19" s="424">
        <v>1</v>
      </c>
      <c r="V19" s="424">
        <v>1</v>
      </c>
      <c r="W19" s="424">
        <v>1</v>
      </c>
      <c r="X19" s="420" t="e">
        <v>#VALUE!</v>
      </c>
      <c r="Y19" s="19" t="s">
        <v>441</v>
      </c>
      <c r="Z19" s="15">
        <v>0.53763440860214995</v>
      </c>
      <c r="AA19" s="15">
        <v>0.98972171544569199</v>
      </c>
      <c r="AB19" s="15">
        <v>0.98992509008154705</v>
      </c>
      <c r="AC19" s="1"/>
    </row>
    <row r="20" spans="1:29">
      <c r="A20" s="7" t="s">
        <v>147</v>
      </c>
      <c r="B20" s="7" t="s">
        <v>168</v>
      </c>
      <c r="C20" s="1" t="s">
        <v>36</v>
      </c>
      <c r="D20" s="447" t="s">
        <v>177</v>
      </c>
      <c r="E20" s="7" t="s">
        <v>38</v>
      </c>
      <c r="F20" s="2" t="s">
        <v>178</v>
      </c>
      <c r="G20" s="11">
        <v>44469</v>
      </c>
      <c r="H20" s="11">
        <v>44469</v>
      </c>
      <c r="I20" s="11">
        <v>44651</v>
      </c>
      <c r="J20" s="11">
        <v>44834</v>
      </c>
      <c r="K20" s="11">
        <v>45016</v>
      </c>
      <c r="L20" s="11">
        <v>45199</v>
      </c>
      <c r="M20" s="11">
        <v>45382</v>
      </c>
      <c r="N20" s="11">
        <v>45565</v>
      </c>
      <c r="O20" s="11">
        <v>45565</v>
      </c>
      <c r="P20" s="19" t="e">
        <v>#VALUE!</v>
      </c>
      <c r="Q20" s="19" t="e">
        <v>#VALUE!</v>
      </c>
      <c r="R20" s="424">
        <v>1</v>
      </c>
      <c r="S20" s="424">
        <v>1</v>
      </c>
      <c r="T20" s="424">
        <v>1</v>
      </c>
      <c r="U20" s="424">
        <v>1</v>
      </c>
      <c r="V20" s="424">
        <v>1</v>
      </c>
      <c r="W20" s="424">
        <v>1</v>
      </c>
      <c r="X20" s="19" t="e">
        <v>#VALUE!</v>
      </c>
      <c r="Y20" s="19" t="s">
        <v>441</v>
      </c>
      <c r="Z20" s="19" t="s">
        <v>441</v>
      </c>
      <c r="AA20" s="15">
        <v>0.22023619058958299</v>
      </c>
      <c r="AB20" s="19">
        <v>1</v>
      </c>
      <c r="AC20" s="1"/>
    </row>
    <row r="21" spans="1:29">
      <c r="A21" s="7" t="s">
        <v>147</v>
      </c>
      <c r="B21" s="7" t="s">
        <v>168</v>
      </c>
      <c r="C21" s="1" t="s">
        <v>36</v>
      </c>
      <c r="D21" s="447" t="s">
        <v>183</v>
      </c>
      <c r="E21" s="7" t="s">
        <v>38</v>
      </c>
      <c r="F21" s="9" t="s">
        <v>184</v>
      </c>
      <c r="G21" s="11">
        <v>44469</v>
      </c>
      <c r="H21" s="11">
        <v>44469</v>
      </c>
      <c r="I21" s="11">
        <v>44651</v>
      </c>
      <c r="J21" s="11">
        <v>44834</v>
      </c>
      <c r="K21" s="11">
        <v>45016</v>
      </c>
      <c r="L21" s="11">
        <v>45199</v>
      </c>
      <c r="M21" s="11">
        <v>45382</v>
      </c>
      <c r="N21" s="11">
        <v>45565</v>
      </c>
      <c r="O21" s="11">
        <v>45565</v>
      </c>
      <c r="P21" s="436" t="e">
        <v>#VALUE!</v>
      </c>
      <c r="Q21" s="436" t="e">
        <v>#VALUE!</v>
      </c>
      <c r="R21" s="424">
        <v>1</v>
      </c>
      <c r="S21" s="424">
        <v>1</v>
      </c>
      <c r="T21" s="424">
        <v>1</v>
      </c>
      <c r="U21" s="424">
        <v>1</v>
      </c>
      <c r="V21" s="424">
        <v>1</v>
      </c>
      <c r="W21" s="424">
        <v>1</v>
      </c>
      <c r="X21" s="436" t="e">
        <v>#VALUE!</v>
      </c>
      <c r="Y21" s="435" t="s">
        <v>441</v>
      </c>
      <c r="Z21" s="435" t="s">
        <v>441</v>
      </c>
      <c r="AA21" s="26">
        <v>0.952380952380952</v>
      </c>
      <c r="AB21" s="435">
        <v>0.95323037118825005</v>
      </c>
      <c r="AC21" s="1"/>
    </row>
    <row r="22" spans="1:29">
      <c r="A22" s="7" t="s">
        <v>147</v>
      </c>
      <c r="B22" s="7" t="s">
        <v>168</v>
      </c>
      <c r="C22" s="1" t="s">
        <v>36</v>
      </c>
      <c r="D22" s="447" t="s">
        <v>189</v>
      </c>
      <c r="E22" s="7" t="s">
        <v>38</v>
      </c>
      <c r="F22" s="9" t="s">
        <v>190</v>
      </c>
      <c r="G22" s="11">
        <v>44469</v>
      </c>
      <c r="H22" s="11">
        <v>44469</v>
      </c>
      <c r="I22" s="11">
        <v>44651</v>
      </c>
      <c r="J22" s="11">
        <v>44834</v>
      </c>
      <c r="K22" s="11">
        <v>45016</v>
      </c>
      <c r="L22" s="11">
        <v>45199</v>
      </c>
      <c r="M22" s="11">
        <v>45382</v>
      </c>
      <c r="N22" s="11">
        <v>45565</v>
      </c>
      <c r="O22" s="11">
        <v>45565</v>
      </c>
      <c r="P22" s="420" t="e">
        <v>#VALUE!</v>
      </c>
      <c r="Q22" s="420" t="e">
        <v>#VALUE!</v>
      </c>
      <c r="R22" s="424">
        <v>1</v>
      </c>
      <c r="S22" s="424">
        <v>1</v>
      </c>
      <c r="T22" s="424">
        <v>1</v>
      </c>
      <c r="U22" s="424">
        <v>1</v>
      </c>
      <c r="V22" s="424">
        <v>1</v>
      </c>
      <c r="W22" s="424">
        <v>1</v>
      </c>
      <c r="X22" s="420" t="e">
        <v>#VALUE!</v>
      </c>
      <c r="Y22" s="19" t="s">
        <v>429</v>
      </c>
      <c r="Z22" s="19" t="s">
        <v>429</v>
      </c>
      <c r="AA22" s="15" t="s">
        <v>429</v>
      </c>
      <c r="AB22" s="19">
        <v>0.66397005772005702</v>
      </c>
      <c r="AC22" s="1"/>
    </row>
    <row r="23" spans="1:29">
      <c r="A23" s="7" t="s">
        <v>147</v>
      </c>
      <c r="B23" s="7" t="s">
        <v>168</v>
      </c>
      <c r="C23" s="1" t="s">
        <v>36</v>
      </c>
      <c r="D23" s="7" t="s">
        <v>197</v>
      </c>
      <c r="E23" s="7" t="s">
        <v>38</v>
      </c>
      <c r="F23" s="9" t="s">
        <v>198</v>
      </c>
      <c r="G23" s="2" t="s">
        <v>56</v>
      </c>
      <c r="H23" s="2" t="s">
        <v>57</v>
      </c>
      <c r="I23" s="2" t="s">
        <v>58</v>
      </c>
      <c r="J23" s="2" t="s">
        <v>59</v>
      </c>
      <c r="K23" s="2" t="s">
        <v>130</v>
      </c>
      <c r="L23" s="2" t="s">
        <v>61</v>
      </c>
      <c r="M23" s="2" t="s">
        <v>131</v>
      </c>
      <c r="N23" s="2" t="s">
        <v>63</v>
      </c>
      <c r="O23" s="2" t="s">
        <v>132</v>
      </c>
      <c r="P23" s="23">
        <v>0</v>
      </c>
      <c r="Q23" s="23">
        <v>0</v>
      </c>
      <c r="R23" s="433">
        <v>45</v>
      </c>
      <c r="S23" s="433">
        <v>23</v>
      </c>
      <c r="T23" s="433">
        <v>46</v>
      </c>
      <c r="U23" s="433">
        <v>23</v>
      </c>
      <c r="V23" s="433">
        <v>46</v>
      </c>
      <c r="W23" s="433">
        <v>141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1"/>
    </row>
    <row r="24" spans="1:29">
      <c r="A24" s="7" t="s">
        <v>199</v>
      </c>
      <c r="B24" s="7" t="s">
        <v>200</v>
      </c>
      <c r="C24" s="1" t="s">
        <v>36</v>
      </c>
      <c r="D24" s="7" t="s">
        <v>201</v>
      </c>
      <c r="E24" s="7" t="s">
        <v>38</v>
      </c>
      <c r="F24" s="9" t="s">
        <v>202</v>
      </c>
      <c r="G24" s="11">
        <v>44469</v>
      </c>
      <c r="H24" s="11">
        <v>44469</v>
      </c>
      <c r="I24" s="11">
        <v>44651</v>
      </c>
      <c r="J24" s="11">
        <v>44834</v>
      </c>
      <c r="K24" s="11">
        <v>45016</v>
      </c>
      <c r="L24" s="11">
        <v>45199</v>
      </c>
      <c r="M24" s="11">
        <v>45382</v>
      </c>
      <c r="N24" s="11">
        <v>45565</v>
      </c>
      <c r="O24" s="11">
        <v>45565</v>
      </c>
      <c r="P24" s="23">
        <v>0</v>
      </c>
      <c r="Q24" s="23">
        <v>0</v>
      </c>
      <c r="R24" s="433">
        <v>6</v>
      </c>
      <c r="S24" s="433">
        <v>7</v>
      </c>
      <c r="T24" s="433">
        <v>9</v>
      </c>
      <c r="U24" s="433">
        <v>10</v>
      </c>
      <c r="V24" s="421">
        <v>12</v>
      </c>
      <c r="W24" s="437">
        <v>12</v>
      </c>
      <c r="X24" s="23">
        <v>0.43543999999999999</v>
      </c>
      <c r="Y24" s="23">
        <v>9.7135800000000003</v>
      </c>
      <c r="Z24" s="23">
        <v>0</v>
      </c>
      <c r="AA24" s="23">
        <v>0</v>
      </c>
      <c r="AB24" s="23">
        <v>0</v>
      </c>
      <c r="AC24" s="1"/>
    </row>
    <row r="25" spans="1:29">
      <c r="A25" s="7" t="s">
        <v>199</v>
      </c>
      <c r="B25" s="7" t="s">
        <v>200</v>
      </c>
      <c r="C25" s="1" t="s">
        <v>36</v>
      </c>
      <c r="D25" s="7" t="s">
        <v>209</v>
      </c>
      <c r="E25" s="7" t="s">
        <v>38</v>
      </c>
      <c r="F25" s="9" t="s">
        <v>210</v>
      </c>
      <c r="G25" s="2" t="s">
        <v>56</v>
      </c>
      <c r="H25" s="2" t="s">
        <v>57</v>
      </c>
      <c r="I25" s="2" t="s">
        <v>58</v>
      </c>
      <c r="J25" s="2" t="s">
        <v>59</v>
      </c>
      <c r="K25" s="2" t="s">
        <v>130</v>
      </c>
      <c r="L25" s="2" t="s">
        <v>61</v>
      </c>
      <c r="M25" s="2" t="s">
        <v>131</v>
      </c>
      <c r="N25" s="2" t="s">
        <v>63</v>
      </c>
      <c r="O25" s="2" t="s">
        <v>132</v>
      </c>
      <c r="P25" s="438"/>
      <c r="Q25" s="438"/>
      <c r="R25" s="433">
        <v>10194</v>
      </c>
      <c r="S25" s="433">
        <v>4422</v>
      </c>
      <c r="T25" s="433">
        <v>9446</v>
      </c>
      <c r="U25" s="433">
        <v>4172</v>
      </c>
      <c r="V25" s="421">
        <v>8447</v>
      </c>
      <c r="W25" s="439">
        <v>27529</v>
      </c>
      <c r="X25" s="24">
        <v>870.88</v>
      </c>
      <c r="Y25" s="24">
        <v>4726.79</v>
      </c>
      <c r="Z25" s="24">
        <v>490.72</v>
      </c>
      <c r="AA25" s="24">
        <v>3830.43</v>
      </c>
      <c r="AB25" s="24">
        <v>701.09</v>
      </c>
      <c r="AC25" s="1"/>
    </row>
    <row r="26" spans="1:29">
      <c r="A26" s="7" t="s">
        <v>199</v>
      </c>
      <c r="B26" s="7" t="s">
        <v>200</v>
      </c>
      <c r="C26" s="1" t="s">
        <v>36</v>
      </c>
      <c r="D26" s="7" t="s">
        <v>221</v>
      </c>
      <c r="E26" s="7" t="s">
        <v>38</v>
      </c>
      <c r="F26" s="9" t="s">
        <v>222</v>
      </c>
      <c r="G26" s="7" t="s">
        <v>213</v>
      </c>
      <c r="H26" s="1" t="s">
        <v>214</v>
      </c>
      <c r="I26" s="7" t="s">
        <v>215</v>
      </c>
      <c r="J26" s="13"/>
      <c r="K26" s="7" t="s">
        <v>216</v>
      </c>
      <c r="L26" s="13"/>
      <c r="M26" s="7" t="s">
        <v>217</v>
      </c>
      <c r="N26" s="1" t="s">
        <v>218</v>
      </c>
      <c r="O26" s="1" t="s">
        <v>218</v>
      </c>
      <c r="P26" s="15">
        <v>1.636142829333077E-2</v>
      </c>
      <c r="Q26" s="15">
        <v>1.636142829333077E-2</v>
      </c>
      <c r="R26" s="421"/>
      <c r="S26" s="426">
        <v>0.15129999999999999</v>
      </c>
      <c r="T26" s="426"/>
      <c r="U26" s="426">
        <v>0.16539999999999999</v>
      </c>
      <c r="V26" s="426">
        <v>0.18129999999999999</v>
      </c>
      <c r="W26" s="426">
        <v>0.18129999999999999</v>
      </c>
      <c r="X26" s="15">
        <v>1.636142829333077E-2</v>
      </c>
      <c r="Y26" s="450" t="s">
        <v>420</v>
      </c>
      <c r="Z26" s="15">
        <v>2.3207948002289099E-2</v>
      </c>
      <c r="AA26" s="450" t="s">
        <v>420</v>
      </c>
      <c r="AB26" s="15">
        <v>4.2048951544109703E-2</v>
      </c>
      <c r="AC26" s="1"/>
    </row>
    <row r="27" spans="1:29">
      <c r="A27" s="7" t="s">
        <v>199</v>
      </c>
      <c r="B27" s="7" t="s">
        <v>200</v>
      </c>
      <c r="C27" s="1" t="s">
        <v>36</v>
      </c>
      <c r="D27" s="7" t="s">
        <v>226</v>
      </c>
      <c r="E27" s="7" t="s">
        <v>38</v>
      </c>
      <c r="F27" s="9" t="s">
        <v>227</v>
      </c>
      <c r="G27" s="2" t="s">
        <v>56</v>
      </c>
      <c r="H27" s="2" t="s">
        <v>57</v>
      </c>
      <c r="I27" s="2" t="s">
        <v>58</v>
      </c>
      <c r="J27" s="2" t="s">
        <v>59</v>
      </c>
      <c r="K27" s="2" t="s">
        <v>130</v>
      </c>
      <c r="L27" s="2" t="s">
        <v>61</v>
      </c>
      <c r="M27" s="2" t="s">
        <v>131</v>
      </c>
      <c r="N27" s="2" t="s">
        <v>63</v>
      </c>
      <c r="O27" s="2" t="s">
        <v>132</v>
      </c>
      <c r="P27" s="12">
        <v>0</v>
      </c>
      <c r="Q27" s="12">
        <v>0</v>
      </c>
      <c r="R27" s="433">
        <v>41</v>
      </c>
      <c r="S27" s="433">
        <v>14</v>
      </c>
      <c r="T27" s="433">
        <v>26</v>
      </c>
      <c r="U27" s="433">
        <v>14</v>
      </c>
      <c r="V27" s="421">
        <v>23</v>
      </c>
      <c r="W27" s="441">
        <v>92</v>
      </c>
      <c r="X27" s="2">
        <v>0</v>
      </c>
      <c r="Y27" s="12">
        <v>0</v>
      </c>
      <c r="Z27" s="12">
        <v>3</v>
      </c>
      <c r="AA27" s="12">
        <v>5</v>
      </c>
      <c r="AB27" s="12">
        <v>0</v>
      </c>
      <c r="AC27" s="1"/>
    </row>
    <row r="28" spans="1:29">
      <c r="A28" s="7" t="s">
        <v>199</v>
      </c>
      <c r="B28" s="7" t="s">
        <v>228</v>
      </c>
      <c r="C28" s="1" t="s">
        <v>36</v>
      </c>
      <c r="D28" s="447" t="s">
        <v>241</v>
      </c>
      <c r="E28" s="7" t="s">
        <v>38</v>
      </c>
      <c r="F28" s="2" t="s">
        <v>242</v>
      </c>
      <c r="G28" s="2" t="s">
        <v>231</v>
      </c>
      <c r="H28" s="2" t="s">
        <v>232</v>
      </c>
      <c r="I28" s="2" t="s">
        <v>58</v>
      </c>
      <c r="J28" s="2" t="s">
        <v>59</v>
      </c>
      <c r="K28" s="2" t="s">
        <v>130</v>
      </c>
      <c r="L28" s="2" t="s">
        <v>61</v>
      </c>
      <c r="M28" s="2" t="s">
        <v>131</v>
      </c>
      <c r="N28" s="2" t="s">
        <v>63</v>
      </c>
      <c r="O28" s="2" t="s">
        <v>63</v>
      </c>
      <c r="P28" s="12">
        <v>602</v>
      </c>
      <c r="Q28" s="12">
        <v>1193</v>
      </c>
      <c r="R28" s="428">
        <v>1173</v>
      </c>
      <c r="S28" s="428">
        <v>582</v>
      </c>
      <c r="T28" s="428">
        <v>1153</v>
      </c>
      <c r="U28" s="428">
        <v>572</v>
      </c>
      <c r="V28" s="429">
        <v>1133</v>
      </c>
      <c r="W28" s="429">
        <v>1133</v>
      </c>
      <c r="X28" s="430">
        <v>0</v>
      </c>
      <c r="Y28" s="12">
        <v>834</v>
      </c>
      <c r="Z28" s="12">
        <v>466</v>
      </c>
      <c r="AA28" s="12">
        <v>1332</v>
      </c>
      <c r="AB28" s="12">
        <v>809</v>
      </c>
      <c r="AC28" s="1"/>
    </row>
    <row r="29" spans="1:29">
      <c r="A29" s="7" t="s">
        <v>243</v>
      </c>
      <c r="B29" s="7" t="s">
        <v>244</v>
      </c>
      <c r="C29" s="1" t="s">
        <v>36</v>
      </c>
      <c r="D29" s="7" t="s">
        <v>338</v>
      </c>
      <c r="E29" s="7" t="s">
        <v>38</v>
      </c>
      <c r="F29" s="9" t="s">
        <v>246</v>
      </c>
      <c r="G29" s="2" t="s">
        <v>56</v>
      </c>
      <c r="H29" s="2" t="s">
        <v>57</v>
      </c>
      <c r="I29" s="2" t="s">
        <v>58</v>
      </c>
      <c r="J29" s="2" t="s">
        <v>59</v>
      </c>
      <c r="K29" s="2" t="s">
        <v>130</v>
      </c>
      <c r="L29" s="2" t="s">
        <v>61</v>
      </c>
      <c r="M29" s="2" t="s">
        <v>131</v>
      </c>
      <c r="N29" s="2" t="s">
        <v>63</v>
      </c>
      <c r="O29" s="2" t="s">
        <v>132</v>
      </c>
      <c r="P29" s="12">
        <v>0</v>
      </c>
      <c r="Q29" s="12">
        <v>0</v>
      </c>
      <c r="R29" s="433">
        <v>50</v>
      </c>
      <c r="S29" s="433">
        <v>35</v>
      </c>
      <c r="T29" s="433">
        <v>61</v>
      </c>
      <c r="U29" s="433">
        <v>45</v>
      </c>
      <c r="V29" s="421">
        <v>72</v>
      </c>
      <c r="W29" s="434">
        <v>158</v>
      </c>
      <c r="X29" s="2">
        <v>0</v>
      </c>
      <c r="Y29" s="12">
        <v>1796</v>
      </c>
      <c r="Z29" s="12">
        <v>1530</v>
      </c>
      <c r="AA29" s="12">
        <v>1530</v>
      </c>
      <c r="AB29" s="12">
        <v>4</v>
      </c>
      <c r="AC29" s="1"/>
    </row>
    <row r="30" spans="1:29">
      <c r="A30" s="7" t="s">
        <v>243</v>
      </c>
      <c r="B30" s="7" t="s">
        <v>247</v>
      </c>
      <c r="C30" s="1" t="s">
        <v>36</v>
      </c>
      <c r="D30" s="7" t="s">
        <v>248</v>
      </c>
      <c r="E30" s="7" t="s">
        <v>38</v>
      </c>
      <c r="F30" s="9" t="s">
        <v>249</v>
      </c>
      <c r="G30" s="11">
        <v>44469</v>
      </c>
      <c r="H30" s="11">
        <v>44469</v>
      </c>
      <c r="I30" s="11" t="s">
        <v>254</v>
      </c>
      <c r="J30" s="11">
        <v>44713</v>
      </c>
      <c r="K30" s="11" t="s">
        <v>255</v>
      </c>
      <c r="L30" s="11">
        <v>45078</v>
      </c>
      <c r="M30" s="11" t="s">
        <v>256</v>
      </c>
      <c r="N30" s="11">
        <v>45444</v>
      </c>
      <c r="O30" s="11">
        <v>45444</v>
      </c>
      <c r="P30" s="12">
        <v>0</v>
      </c>
      <c r="Q30" s="12">
        <v>0</v>
      </c>
      <c r="R30" s="421">
        <v>5</v>
      </c>
      <c r="S30" s="421">
        <v>11</v>
      </c>
      <c r="T30" s="421">
        <v>15</v>
      </c>
      <c r="U30" s="421">
        <v>19</v>
      </c>
      <c r="V30" s="421">
        <v>22</v>
      </c>
      <c r="W30" s="434">
        <v>22</v>
      </c>
      <c r="X30" s="2">
        <v>0</v>
      </c>
      <c r="Y30" s="12">
        <v>0</v>
      </c>
      <c r="Z30" s="12">
        <v>0</v>
      </c>
      <c r="AA30" s="12">
        <v>0</v>
      </c>
      <c r="AB30" s="12">
        <v>0</v>
      </c>
      <c r="AC30" s="1"/>
    </row>
    <row r="31" spans="1:29">
      <c r="A31" s="7" t="s">
        <v>243</v>
      </c>
      <c r="B31" s="7" t="s">
        <v>250</v>
      </c>
      <c r="C31" s="1" t="s">
        <v>36</v>
      </c>
      <c r="D31" s="7" t="s">
        <v>251</v>
      </c>
      <c r="E31" s="7" t="s">
        <v>252</v>
      </c>
      <c r="F31" s="9" t="s">
        <v>253</v>
      </c>
      <c r="G31" s="11">
        <v>44469</v>
      </c>
      <c r="H31" s="11">
        <v>44469</v>
      </c>
      <c r="I31" s="11">
        <v>44651</v>
      </c>
      <c r="J31" s="11">
        <v>44834</v>
      </c>
      <c r="K31" s="11">
        <v>45016</v>
      </c>
      <c r="L31" s="11">
        <v>45199</v>
      </c>
      <c r="M31" s="11">
        <v>45382</v>
      </c>
      <c r="N31" s="11">
        <v>45565</v>
      </c>
      <c r="O31" s="11">
        <v>45565</v>
      </c>
      <c r="P31" s="12">
        <v>86.3</v>
      </c>
      <c r="Q31" s="12">
        <v>86.3</v>
      </c>
      <c r="R31" s="421">
        <v>100</v>
      </c>
      <c r="S31" s="421">
        <v>100</v>
      </c>
      <c r="T31" s="421">
        <v>100</v>
      </c>
      <c r="U31" s="421">
        <v>100</v>
      </c>
      <c r="V31" s="421">
        <v>100</v>
      </c>
      <c r="W31" s="434">
        <v>100</v>
      </c>
      <c r="X31" s="2">
        <v>98.8</v>
      </c>
      <c r="Y31" s="24">
        <v>93.71</v>
      </c>
      <c r="Z31" s="24">
        <v>97.53</v>
      </c>
      <c r="AA31" s="24">
        <v>99.53</v>
      </c>
      <c r="AB31" s="24">
        <v>99.21</v>
      </c>
      <c r="AC31" s="1"/>
    </row>
    <row r="32" spans="1:29">
      <c r="A32" s="7" t="s">
        <v>243</v>
      </c>
      <c r="B32" s="7" t="s">
        <v>257</v>
      </c>
      <c r="C32" s="1" t="s">
        <v>36</v>
      </c>
      <c r="D32" s="7" t="s">
        <v>258</v>
      </c>
      <c r="E32" s="7" t="s">
        <v>38</v>
      </c>
      <c r="F32" s="9" t="s">
        <v>259</v>
      </c>
      <c r="G32" s="11">
        <v>44469</v>
      </c>
      <c r="H32" s="287"/>
      <c r="I32" s="11">
        <v>44651</v>
      </c>
      <c r="J32" s="287"/>
      <c r="K32" s="11">
        <v>45016</v>
      </c>
      <c r="L32" s="287"/>
      <c r="M32" s="11">
        <v>45382</v>
      </c>
      <c r="N32" s="287"/>
      <c r="O32" s="11">
        <v>45565</v>
      </c>
      <c r="P32" s="12">
        <v>0</v>
      </c>
      <c r="Q32" s="12">
        <v>0</v>
      </c>
      <c r="R32" s="421">
        <v>4</v>
      </c>
      <c r="S32" s="421">
        <v>4</v>
      </c>
      <c r="T32" s="421">
        <v>4</v>
      </c>
      <c r="U32" s="421">
        <v>4</v>
      </c>
      <c r="V32" s="421">
        <v>4</v>
      </c>
      <c r="W32" s="421">
        <v>4</v>
      </c>
      <c r="X32" s="2">
        <v>0</v>
      </c>
      <c r="Y32" s="2">
        <v>0</v>
      </c>
      <c r="Z32" s="12">
        <v>0</v>
      </c>
      <c r="AA32" s="2">
        <v>0</v>
      </c>
      <c r="AB32" s="12">
        <v>0</v>
      </c>
      <c r="AC32" s="1"/>
    </row>
    <row r="33" spans="1:29">
      <c r="A33" s="7" t="s">
        <v>243</v>
      </c>
      <c r="B33" s="7" t="s">
        <v>260</v>
      </c>
      <c r="C33" s="1" t="s">
        <v>36</v>
      </c>
      <c r="D33" s="7" t="s">
        <v>273</v>
      </c>
      <c r="E33" s="7" t="s">
        <v>38</v>
      </c>
      <c r="F33" s="9" t="s">
        <v>274</v>
      </c>
      <c r="G33" s="183" t="s">
        <v>213</v>
      </c>
      <c r="H33" s="1" t="s">
        <v>214</v>
      </c>
      <c r="I33" s="183" t="s">
        <v>215</v>
      </c>
      <c r="J33" s="13"/>
      <c r="K33" s="183" t="s">
        <v>216</v>
      </c>
      <c r="L33" s="13"/>
      <c r="M33" s="183" t="s">
        <v>217</v>
      </c>
      <c r="N33" s="1" t="s">
        <v>218</v>
      </c>
      <c r="O33" s="348" t="s">
        <v>218</v>
      </c>
      <c r="P33" s="438"/>
      <c r="Q33" s="438"/>
      <c r="R33" s="442"/>
      <c r="S33" s="443">
        <v>0.5</v>
      </c>
      <c r="T33" s="443"/>
      <c r="U33" s="443">
        <v>0.5</v>
      </c>
      <c r="V33" s="443">
        <v>0.5</v>
      </c>
      <c r="W33" s="443">
        <v>0.5</v>
      </c>
      <c r="X33" s="15">
        <v>0.38834951456310679</v>
      </c>
      <c r="Y33" s="15">
        <v>0.39047619047618998</v>
      </c>
      <c r="Z33" s="15">
        <v>0.61320754716981096</v>
      </c>
      <c r="AA33" s="15" t="s">
        <v>420</v>
      </c>
      <c r="AB33" s="15">
        <v>0.40963855421686701</v>
      </c>
      <c r="AC33" s="1"/>
    </row>
    <row r="34" spans="1:29">
      <c r="A34" s="7" t="s">
        <v>275</v>
      </c>
      <c r="B34" s="7" t="s">
        <v>276</v>
      </c>
      <c r="C34" s="1" t="s">
        <v>36</v>
      </c>
      <c r="D34" s="7" t="s">
        <v>282</v>
      </c>
      <c r="E34" s="7" t="s">
        <v>278</v>
      </c>
      <c r="F34" s="9" t="s">
        <v>283</v>
      </c>
      <c r="G34" s="7" t="s">
        <v>213</v>
      </c>
      <c r="H34" s="1" t="s">
        <v>214</v>
      </c>
      <c r="I34" s="7" t="s">
        <v>215</v>
      </c>
      <c r="J34" s="13"/>
      <c r="K34" s="7" t="s">
        <v>216</v>
      </c>
      <c r="L34" s="13"/>
      <c r="M34" s="7" t="s">
        <v>217</v>
      </c>
      <c r="N34" s="1" t="s">
        <v>218</v>
      </c>
      <c r="O34" s="1" t="s">
        <v>218</v>
      </c>
      <c r="P34" s="15">
        <v>0.14537395101415179</v>
      </c>
      <c r="Q34" s="15">
        <v>0.14537395101415179</v>
      </c>
      <c r="R34" s="421"/>
      <c r="S34" s="431">
        <v>0.3896</v>
      </c>
      <c r="T34" s="421"/>
      <c r="U34" s="444">
        <v>0.40010000000000001</v>
      </c>
      <c r="V34" s="444">
        <v>0.40810000000000002</v>
      </c>
      <c r="W34" s="444">
        <v>0.40789999999999998</v>
      </c>
      <c r="X34" s="15">
        <v>0.14537395101415179</v>
      </c>
      <c r="Y34" s="450" t="s">
        <v>420</v>
      </c>
      <c r="Z34" s="15">
        <v>0.15317651247122999</v>
      </c>
      <c r="AA34" s="450" t="s">
        <v>420</v>
      </c>
      <c r="AB34" s="15">
        <v>0.17208392393368699</v>
      </c>
      <c r="AC34" s="1"/>
    </row>
    <row r="35" spans="1:29">
      <c r="A35" s="7" t="s">
        <v>275</v>
      </c>
      <c r="B35" s="7" t="s">
        <v>276</v>
      </c>
      <c r="C35" s="1" t="s">
        <v>36</v>
      </c>
      <c r="D35" s="7" t="s">
        <v>287</v>
      </c>
      <c r="E35" s="7" t="s">
        <v>278</v>
      </c>
      <c r="F35" s="9" t="s">
        <v>288</v>
      </c>
      <c r="G35" s="7" t="s">
        <v>254</v>
      </c>
      <c r="H35" s="7" t="s">
        <v>254</v>
      </c>
      <c r="I35" s="7" t="s">
        <v>254</v>
      </c>
      <c r="J35" s="13"/>
      <c r="K35" s="7" t="s">
        <v>255</v>
      </c>
      <c r="L35" s="13"/>
      <c r="M35" s="7" t="s">
        <v>256</v>
      </c>
      <c r="N35" s="260">
        <v>45536</v>
      </c>
      <c r="O35" s="1" t="s">
        <v>218</v>
      </c>
      <c r="P35" s="15">
        <v>0.17451045837195084</v>
      </c>
      <c r="Q35" s="15">
        <v>0.17451045837195084</v>
      </c>
      <c r="R35" s="421"/>
      <c r="S35" s="431">
        <v>0.51829999999999998</v>
      </c>
      <c r="T35" s="421"/>
      <c r="U35" s="444">
        <v>0.52939999999999998</v>
      </c>
      <c r="V35" s="444">
        <v>0.53939999999999999</v>
      </c>
      <c r="W35" s="444">
        <v>0.53959999999999997</v>
      </c>
      <c r="X35" s="15">
        <v>0.17451045837195084</v>
      </c>
      <c r="Y35" s="450" t="s">
        <v>420</v>
      </c>
      <c r="Z35" s="15">
        <v>0.185531198512941</v>
      </c>
      <c r="AA35" s="450" t="s">
        <v>420</v>
      </c>
      <c r="AB35" s="15">
        <v>0.17849737017515599</v>
      </c>
      <c r="AC35" s="1"/>
    </row>
    <row r="36" spans="1:29">
      <c r="A36" s="7" t="s">
        <v>275</v>
      </c>
      <c r="B36" s="7" t="s">
        <v>276</v>
      </c>
      <c r="C36" s="1" t="s">
        <v>36</v>
      </c>
      <c r="D36" s="7" t="s">
        <v>292</v>
      </c>
      <c r="E36" s="7" t="s">
        <v>38</v>
      </c>
      <c r="F36" s="9" t="s">
        <v>293</v>
      </c>
      <c r="G36" s="7" t="s">
        <v>213</v>
      </c>
      <c r="H36" s="1" t="s">
        <v>214</v>
      </c>
      <c r="I36" s="7" t="s">
        <v>215</v>
      </c>
      <c r="J36" s="13"/>
      <c r="K36" s="7" t="s">
        <v>216</v>
      </c>
      <c r="L36" s="13"/>
      <c r="M36" s="7" t="s">
        <v>217</v>
      </c>
      <c r="N36" s="1" t="s">
        <v>218</v>
      </c>
      <c r="O36" s="1" t="s">
        <v>218</v>
      </c>
      <c r="P36" s="15">
        <v>0.28673793940285336</v>
      </c>
      <c r="Q36" s="451">
        <v>0.28673793940285336</v>
      </c>
      <c r="R36" s="421"/>
      <c r="S36" s="426">
        <v>0.58089999999999997</v>
      </c>
      <c r="T36" s="421"/>
      <c r="U36" s="444">
        <v>0.58989999999999998</v>
      </c>
      <c r="V36" s="444">
        <v>0.58530000000000004</v>
      </c>
      <c r="W36" s="444">
        <v>0.58530000000000004</v>
      </c>
      <c r="X36" s="15">
        <v>0.28673793940285336</v>
      </c>
      <c r="Y36" s="450" t="s">
        <v>420</v>
      </c>
      <c r="Z36" s="15">
        <v>0.28804660119222503</v>
      </c>
      <c r="AA36" s="450" t="s">
        <v>420</v>
      </c>
      <c r="AB36" s="15">
        <v>0.27456601844554701</v>
      </c>
      <c r="AC36" s="1"/>
    </row>
    <row r="37" spans="1:29">
      <c r="A37" s="7" t="s">
        <v>275</v>
      </c>
      <c r="B37" s="7" t="s">
        <v>276</v>
      </c>
      <c r="C37" s="7" t="s">
        <v>36</v>
      </c>
      <c r="D37" s="7" t="s">
        <v>296</v>
      </c>
      <c r="E37" s="7" t="s">
        <v>38</v>
      </c>
      <c r="F37" s="9" t="s">
        <v>297</v>
      </c>
      <c r="G37" s="7" t="s">
        <v>213</v>
      </c>
      <c r="H37" s="1" t="s">
        <v>214</v>
      </c>
      <c r="I37" s="7" t="s">
        <v>215</v>
      </c>
      <c r="J37" s="13"/>
      <c r="K37" s="7" t="s">
        <v>216</v>
      </c>
      <c r="L37" s="13"/>
      <c r="M37" s="7" t="s">
        <v>217</v>
      </c>
      <c r="N37" s="1" t="s">
        <v>218</v>
      </c>
      <c r="O37" s="1" t="s">
        <v>218</v>
      </c>
      <c r="P37" s="36">
        <v>104356062.22</v>
      </c>
      <c r="Q37" s="36">
        <v>104356062.22</v>
      </c>
      <c r="R37" s="421"/>
      <c r="S37" s="445">
        <v>106443183.45999999</v>
      </c>
      <c r="T37" s="421"/>
      <c r="U37" s="445">
        <v>108530304.70999999</v>
      </c>
      <c r="V37" s="445">
        <v>110617425.95</v>
      </c>
      <c r="W37" s="445">
        <v>110617425.95</v>
      </c>
      <c r="X37" s="36">
        <v>104356062.22</v>
      </c>
      <c r="Y37" s="336" t="s">
        <v>420</v>
      </c>
      <c r="Z37" s="36">
        <v>96299808.459999993</v>
      </c>
      <c r="AA37" s="336" t="s">
        <v>420</v>
      </c>
      <c r="AB37" s="36">
        <v>126965375.14</v>
      </c>
      <c r="AC37" s="1"/>
    </row>
    <row r="38" spans="1:29">
      <c r="A38" s="7" t="s">
        <v>275</v>
      </c>
      <c r="B38" s="7" t="s">
        <v>298</v>
      </c>
      <c r="C38" s="1" t="s">
        <v>36</v>
      </c>
      <c r="D38" s="7" t="s">
        <v>301</v>
      </c>
      <c r="E38" s="7" t="s">
        <v>278</v>
      </c>
      <c r="F38" s="9" t="s">
        <v>302</v>
      </c>
      <c r="G38" s="11" t="s">
        <v>307</v>
      </c>
      <c r="H38" s="13"/>
      <c r="I38" s="1" t="s">
        <v>254</v>
      </c>
      <c r="J38" s="13"/>
      <c r="K38" s="1" t="s">
        <v>255</v>
      </c>
      <c r="L38" s="13"/>
      <c r="M38" s="1" t="s">
        <v>256</v>
      </c>
      <c r="N38" s="49">
        <v>45473</v>
      </c>
      <c r="O38" s="1"/>
      <c r="P38" s="15">
        <v>0.79785306927511046</v>
      </c>
      <c r="Q38" s="15">
        <v>0.79785306927511046</v>
      </c>
      <c r="R38" s="431"/>
      <c r="S38" s="431">
        <v>0.78718640260844375</v>
      </c>
      <c r="T38" s="431"/>
      <c r="U38" s="431">
        <v>0.77651973594177703</v>
      </c>
      <c r="V38" s="446">
        <v>0.76585306927511032</v>
      </c>
      <c r="W38" s="431">
        <v>0.77485306927511044</v>
      </c>
      <c r="X38" s="15">
        <v>0.79785306927511046</v>
      </c>
      <c r="Y38" s="450" t="s">
        <v>420</v>
      </c>
      <c r="Z38" s="15">
        <v>0.854335562607898</v>
      </c>
      <c r="AA38" s="450" t="s">
        <v>420</v>
      </c>
      <c r="AB38" s="15">
        <v>0.94152120787924798</v>
      </c>
      <c r="AC38" s="1"/>
    </row>
    <row r="39" spans="1:29">
      <c r="A39" s="7" t="s">
        <v>275</v>
      </c>
      <c r="B39" s="7" t="s">
        <v>303</v>
      </c>
      <c r="C39" s="1" t="s">
        <v>36</v>
      </c>
      <c r="D39" s="7" t="s">
        <v>304</v>
      </c>
      <c r="E39" s="7" t="s">
        <v>305</v>
      </c>
      <c r="F39" s="9" t="s">
        <v>306</v>
      </c>
      <c r="G39" s="11" t="s">
        <v>307</v>
      </c>
      <c r="H39" s="13"/>
      <c r="I39" s="1" t="s">
        <v>254</v>
      </c>
      <c r="J39" s="13"/>
      <c r="K39" s="1" t="s">
        <v>255</v>
      </c>
      <c r="L39" s="13"/>
      <c r="M39" s="1" t="s">
        <v>256</v>
      </c>
      <c r="N39" s="49">
        <v>45473</v>
      </c>
      <c r="O39" s="1"/>
      <c r="P39" s="30" t="s">
        <v>308</v>
      </c>
      <c r="Q39" s="30" t="s">
        <v>308</v>
      </c>
      <c r="R39" s="421"/>
      <c r="S39" s="2" t="s">
        <v>308</v>
      </c>
      <c r="T39" s="421"/>
      <c r="U39" s="2" t="s">
        <v>308</v>
      </c>
      <c r="V39" s="2" t="s">
        <v>308</v>
      </c>
      <c r="W39" s="2" t="s">
        <v>308</v>
      </c>
      <c r="X39" s="2" t="s">
        <v>308</v>
      </c>
      <c r="Y39" s="181" t="s">
        <v>420</v>
      </c>
      <c r="Z39" s="2" t="s">
        <v>308</v>
      </c>
      <c r="AA39" s="181" t="s">
        <v>420</v>
      </c>
      <c r="AB39" s="2" t="s">
        <v>308</v>
      </c>
      <c r="AC3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32243-3CCF-AA4C-9544-C4CBD901D38C}">
  <dimension ref="A1:M39"/>
  <sheetViews>
    <sheetView workbookViewId="0">
      <selection activeCell="H3" sqref="H3"/>
    </sheetView>
  </sheetViews>
  <sheetFormatPr baseColWidth="10" defaultRowHeight="16"/>
  <cols>
    <col min="1" max="1" width="10.83203125" style="118"/>
    <col min="3" max="3" width="20.83203125" customWidth="1"/>
    <col min="4" max="4" width="13.33203125" customWidth="1"/>
    <col min="5" max="5" width="11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JUA'!$D$2:$AB$113,4,0)</f>
        <v>44469</v>
      </c>
      <c r="E2" s="284">
        <f>VLOOKUP(C2,'BD EVA 4 JUA'!$D$2:$AB$113,13,0)</f>
        <v>376</v>
      </c>
      <c r="F2" s="75">
        <f>VLOOKUP(C2,'BD EVA 4 JUA'!$D$2:$AB$113,10,0)</f>
        <v>45382</v>
      </c>
      <c r="G2" s="284">
        <f>VLOOKUP(C2,'BD EVA 4 JUA'!$D$2:$AC$113,25,0)</f>
        <v>461</v>
      </c>
      <c r="H2" s="284">
        <f>VLOOKUP(C2,'BD EVA 4 JUA'!$D$2:$AC$113,18,0)</f>
        <v>422.24799999999999</v>
      </c>
      <c r="I2" s="78">
        <f>IF(G2&gt;=E2,G2/H2,0)</f>
        <v>1.0917754494988727</v>
      </c>
      <c r="J2" s="72" t="s">
        <v>316</v>
      </c>
      <c r="K2" s="81">
        <v>2.7</v>
      </c>
      <c r="L2" s="81">
        <f t="shared" ref="L2:L39" si="0">IF(I2&lt;0,0,IF(I2&gt;1,K2,I2*K2))</f>
        <v>2.7</v>
      </c>
      <c r="M2" s="124">
        <f>SUM(L2:L4)</f>
        <v>9.1449761835543448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JUA'!$D$3:$AB$113,4,0)</f>
        <v>44469</v>
      </c>
      <c r="E3" s="207">
        <f>VLOOKUP(C3,'BD EVA 4 JUA'!$D$3:$AB$113,13,0)</f>
        <v>0.77127659574468088</v>
      </c>
      <c r="F3" s="75">
        <f>VLOOKUP(C3,'BD EVA 4 JUA'!$D$3:$AB$113,10,0)</f>
        <v>45382</v>
      </c>
      <c r="G3" s="207">
        <f>VLOOKUP(C3,'BD EVA 4 JUA'!$D$3:$AC$113,25,0)</f>
        <v>0.759219088937093</v>
      </c>
      <c r="H3" s="207" t="str">
        <f>VLOOKUP(C3,'BD EVA 4 JUA'!$D$3:$AC$113,18,0)</f>
        <v>&gt;=97%</v>
      </c>
      <c r="I3" s="78">
        <f>IF(G3&gt;=97%,1,G3/97%)</f>
        <v>0.78270009168772481</v>
      </c>
      <c r="J3" s="75" t="s">
        <v>318</v>
      </c>
      <c r="K3" s="81">
        <v>3.8</v>
      </c>
      <c r="L3" s="81">
        <f t="shared" si="0"/>
        <v>2.9742603484133543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JUA'!$D$3:$AB$113,4,0)</f>
        <v>44469</v>
      </c>
      <c r="E4" s="207">
        <f>VLOOKUP(C4,'BD EVA 4 JUA'!$D$3:$AB$113,13,0)</f>
        <v>0</v>
      </c>
      <c r="F4" s="75">
        <f>VLOOKUP(C4,'BD EVA 4 JUA'!$D$3:$AB$113,10,0)</f>
        <v>45382</v>
      </c>
      <c r="G4" s="207">
        <f>VLOOKUP(C4,'BD EVA 4 JUA'!$D$3:$AC$113,25,0)</f>
        <v>3.4707158351409903E-2</v>
      </c>
      <c r="H4" s="207">
        <f>VLOOKUP(C4,'BD EVA 4 JUA'!$D$3:$AC$113,18,0)</f>
        <v>3.5000000000000003E-2</v>
      </c>
      <c r="I4" s="77">
        <f t="shared" ref="I4:I5" si="1">G4/H4</f>
        <v>0.99163309575456859</v>
      </c>
      <c r="J4" s="75" t="s">
        <v>318</v>
      </c>
      <c r="K4" s="81">
        <v>3.5</v>
      </c>
      <c r="L4" s="81">
        <f t="shared" si="0"/>
        <v>3.4707158351409899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JUA'!$D$3:$AB$113,4,0)</f>
        <v>octubre 20 - mar 21</v>
      </c>
      <c r="E5" s="207">
        <f>VLOOKUP(C5,'BD EVA 4 JUA'!$D$3:$AB$113,13,0)</f>
        <v>0</v>
      </c>
      <c r="F5" s="75" t="str">
        <f>VLOOKUP(C5,'BD EVA 4 JUA'!$D$3:$AB$113,10,0)</f>
        <v>octubre 23- mar 24</v>
      </c>
      <c r="G5" s="207">
        <f>VLOOKUP(C5,'BD EVA 4 JUA'!$D$3:$AC$113,25,0)</f>
        <v>0.41649899396378198</v>
      </c>
      <c r="H5" s="207">
        <f>VLOOKUP(C5,'BD EVA 4 JUA'!$D$3:$AC$113,18,0)</f>
        <v>0.20399999999999999</v>
      </c>
      <c r="I5" s="77">
        <f t="shared" si="1"/>
        <v>2.0416617351165787</v>
      </c>
      <c r="J5" s="75" t="s">
        <v>318</v>
      </c>
      <c r="K5" s="209">
        <v>1.6</v>
      </c>
      <c r="L5" s="209">
        <f t="shared" si="0"/>
        <v>1.6</v>
      </c>
      <c r="M5" s="130">
        <f>SUM(L5:L10)</f>
        <v>5.9686723235141468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JUA'!$D$3:$AB$113,4,0)</f>
        <v>octubre 20 - mar 21</v>
      </c>
      <c r="E6" s="209">
        <f>VLOOKUP(C6,'BD EVA 4 JUA'!$D$3:$AB$113,13,0)</f>
        <v>12.051630167443873</v>
      </c>
      <c r="F6" s="75" t="str">
        <f>VLOOKUP(C6,'BD EVA 4 JUA'!$D$3:$AB$113,10,0)</f>
        <v>octubre 23- mar 24</v>
      </c>
      <c r="G6" s="209">
        <f>VLOOKUP(C6,'BD EVA 4 JUA'!$D$3:$AC$113,25,0)</f>
        <v>20.371701599061399</v>
      </c>
      <c r="H6" s="209">
        <f>VLOOKUP(C6,'BD EVA 4 JUA'!$D$3:$AC$113,18,0)</f>
        <v>10.5</v>
      </c>
      <c r="I6" s="78">
        <f t="shared" ref="I6:I10" si="2">(G6-E6)/(H6-E6)</f>
        <v>-5.3621485365445407</v>
      </c>
      <c r="J6" s="71" t="s">
        <v>319</v>
      </c>
      <c r="K6" s="209">
        <v>1.7</v>
      </c>
      <c r="L6" s="209">
        <f t="shared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JUA'!$D$3:$AB$113,4,0)</f>
        <v>octubre 20 - mar 21</v>
      </c>
      <c r="E7" s="208">
        <f>VLOOKUP(C7,'BD EVA 4 JUA'!$D$3:$AB$113,13,0)</f>
        <v>139.94648092399109</v>
      </c>
      <c r="F7" s="75" t="str">
        <f>VLOOKUP(C7,'BD EVA 4 JUA'!$D$3:$AB$113,10,0)</f>
        <v>octubre 23- mar 24</v>
      </c>
      <c r="G7" s="208">
        <f>VLOOKUP(C7,'BD EVA 4 JUA'!$D$3:$AC$113,25,0)</f>
        <v>129.02077679405599</v>
      </c>
      <c r="H7" s="208">
        <f>VLOOKUP(C7,'BD EVA 4 JUA'!$D$3:$AC$113,18,0)</f>
        <v>121.9</v>
      </c>
      <c r="I7" s="78">
        <f t="shared" si="2"/>
        <v>0.60542020219634129</v>
      </c>
      <c r="J7" s="71" t="s">
        <v>319</v>
      </c>
      <c r="K7" s="209">
        <v>1.6</v>
      </c>
      <c r="L7" s="209">
        <f t="shared" si="0"/>
        <v>0.96867232351414612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JUA'!$D$3:$AB$113,4,0)</f>
        <v>octubre 20 - mar 21</v>
      </c>
      <c r="E8" s="208">
        <f>VLOOKUP(C8,'BD EVA 4 JUA'!$D$3:$AB$113,13,0)</f>
        <v>365.48413120044074</v>
      </c>
      <c r="F8" s="75" t="str">
        <f>VLOOKUP(C8,'BD EVA 4 JUA'!$D$3:$AB$113,10,0)</f>
        <v>octubre 23- mar 24</v>
      </c>
      <c r="G8" s="208">
        <f>VLOOKUP(C8,'BD EVA 4 JUA'!$D$3:$AC$113,25,0)</f>
        <v>185.68688928799699</v>
      </c>
      <c r="H8" s="208">
        <f>VLOOKUP(C8,'BD EVA 4 JUA'!$D$3:$AC$113,18,0)</f>
        <v>290.89999999999998</v>
      </c>
      <c r="I8" s="78">
        <f t="shared" si="2"/>
        <v>2.4106634885810831</v>
      </c>
      <c r="J8" s="71" t="s">
        <v>319</v>
      </c>
      <c r="K8" s="209">
        <v>1.7</v>
      </c>
      <c r="L8" s="209">
        <f t="shared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JUA'!$D$3:$AB$113,4,0)</f>
        <v>octubre 20 - mar 21</v>
      </c>
      <c r="E9" s="208">
        <f>VLOOKUP(C9,'BD EVA 4 JUA'!$D$3:$AB$113,13,0)</f>
        <v>69.604313007890127</v>
      </c>
      <c r="F9" s="75" t="str">
        <f>VLOOKUP(C9,'BD EVA 4 JUA'!$D$3:$AB$113,10,0)</f>
        <v>octubre 23- mar 24</v>
      </c>
      <c r="G9" s="208">
        <f>VLOOKUP(C9,'BD EVA 4 JUA'!$D$3:$AC$113,25,0)</f>
        <v>27.162268798748599</v>
      </c>
      <c r="H9" s="208">
        <f>VLOOKUP(C9,'BD EVA 4 JUA'!$D$3:$AC$113,18,0)</f>
        <v>60.1</v>
      </c>
      <c r="I9" s="78">
        <f t="shared" si="2"/>
        <v>4.4655562347228805</v>
      </c>
      <c r="J9" s="71" t="s">
        <v>319</v>
      </c>
      <c r="K9" s="209">
        <v>1.7</v>
      </c>
      <c r="L9" s="209">
        <f t="shared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JUA'!$D$3:$AB$113,4,0)</f>
        <v>octubre 20 - mar 21</v>
      </c>
      <c r="E10" s="208">
        <f>VLOOKUP(C10,'BD EVA 4 JUA'!$D$3:$AB$113,13,0)</f>
        <v>7.8704523542490605</v>
      </c>
      <c r="F10" s="75" t="str">
        <f>VLOOKUP(C10,'BD EVA 4 JUA'!$D$3:$AB$113,10,0)</f>
        <v>octubre 23- mar 24</v>
      </c>
      <c r="G10" s="208">
        <f>VLOOKUP(C10,'BD EVA 4 JUA'!$D$3:$AC$113,25,0)</f>
        <v>11.005402013286</v>
      </c>
      <c r="H10" s="208">
        <f>VLOOKUP(C10,'BD EVA 4 JUA'!$D$3:$AC$113,18,0)</f>
        <v>6.2</v>
      </c>
      <c r="I10" s="78">
        <f t="shared" si="2"/>
        <v>-1.8767070195463511</v>
      </c>
      <c r="J10" s="71" t="s">
        <v>319</v>
      </c>
      <c r="K10" s="209">
        <v>1.7</v>
      </c>
      <c r="L10" s="209">
        <f t="shared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JUA'!$D$3:$AB$113,4,0)</f>
        <v>44469</v>
      </c>
      <c r="E11" s="78" t="e">
        <f>VLOOKUP(C11,'BD EVA 4 JUA'!$D$3:$AB$113,13,0)</f>
        <v>#VALUE!</v>
      </c>
      <c r="F11" s="89">
        <f>VLOOKUP(C11,'BD EVA 4 JUA'!$D$3:$AB$113,10,0)</f>
        <v>45382</v>
      </c>
      <c r="G11" s="78">
        <f>VLOOKUP(C11,'BD EVA 4 JUA'!$D$3:$AC$113,25,0)</f>
        <v>0</v>
      </c>
      <c r="H11" s="78">
        <f>VLOOKUP(C11,'BD EVA 4 JUA'!$D$3:$AC$113,18,0)</f>
        <v>2.0799999999999999E-2</v>
      </c>
      <c r="I11" s="77">
        <f t="shared" ref="I11:I15" si="3">G11/H11</f>
        <v>0</v>
      </c>
      <c r="J11" s="89" t="s">
        <v>318</v>
      </c>
      <c r="K11" s="71">
        <v>1.05</v>
      </c>
      <c r="L11" s="211">
        <f t="shared" si="0"/>
        <v>0</v>
      </c>
      <c r="M11" s="130">
        <f>SUM(L11:L15)</f>
        <v>0.7459188752021898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4 JUA'!$D$3:$AB$113,4,0)</f>
        <v>octubre 20 - mar 21</v>
      </c>
      <c r="E12" s="210">
        <f>VLOOKUP(C12,'BD EVA 4 JUA'!$D$3:$AB$113,13,0)</f>
        <v>0</v>
      </c>
      <c r="F12" s="89" t="str">
        <f>VLOOKUP(C12,'BD EVA 4 JUA'!$D$3:$AB$113,10,0)</f>
        <v>octubre 23- mar 24</v>
      </c>
      <c r="G12" s="210">
        <f>VLOOKUP(C12,'BD EVA 4 JUA'!$D$3:$AC$113,25,0)</f>
        <v>0</v>
      </c>
      <c r="H12" s="210">
        <f>VLOOKUP(C12,'BD EVA 4 JUA'!$D$3:$AC$113,18,0)</f>
        <v>4.4000000000000003E-3</v>
      </c>
      <c r="I12" s="78">
        <f t="shared" si="3"/>
        <v>0</v>
      </c>
      <c r="J12" s="75" t="s">
        <v>318</v>
      </c>
      <c r="K12" s="71">
        <v>1.05</v>
      </c>
      <c r="L12" s="211">
        <f t="shared" si="0"/>
        <v>0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JUA'!$D$3:$AB$113,4,0)</f>
        <v>octubre 20 - mar 21</v>
      </c>
      <c r="E13" s="212">
        <f>VLOOKUP(C13,'BD EVA 4 JUA'!$D$3:$AB$113,13,0)</f>
        <v>0</v>
      </c>
      <c r="F13" s="89" t="str">
        <f>VLOOKUP(C13,'BD EVA 4 JUA'!$D$3:$AB$113,10,0)</f>
        <v>octubre 21 - mar 24</v>
      </c>
      <c r="G13" s="212">
        <f>VLOOKUP(C13,'BD EVA 4 JUA'!$D$3:$AC$113,25,0)</f>
        <v>0</v>
      </c>
      <c r="H13" s="212">
        <f>VLOOKUP(C13,'BD EVA 4 JUA'!$D$3:$AC$113,18,0)</f>
        <v>8</v>
      </c>
      <c r="I13" s="78">
        <f t="shared" si="3"/>
        <v>0</v>
      </c>
      <c r="J13" s="75" t="s">
        <v>318</v>
      </c>
      <c r="K13" s="82">
        <v>2.4</v>
      </c>
      <c r="L13" s="211">
        <f t="shared" si="0"/>
        <v>0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JUA'!$D$3:$AB$113,4,0)</f>
        <v>octubre 20 - mar 21</v>
      </c>
      <c r="E14" s="212">
        <f>VLOOKUP(C14,'BD EVA 4 JUA'!$D$3:$AB$113,13,0)</f>
        <v>27</v>
      </c>
      <c r="F14" s="89" t="str">
        <f>VLOOKUP(C14,'BD EVA 4 JUA'!$D$3:$AB$113,10,0)</f>
        <v>octubre 21 - mar 24</v>
      </c>
      <c r="G14" s="212">
        <f>VLOOKUP(C14,'BD EVA 4 JUA'!$D$3:$AC$113,25,0)</f>
        <v>530</v>
      </c>
      <c r="H14" s="212">
        <f>VLOOKUP(C14,'BD EVA 4 JUA'!$D$3:$AC$113,18,0)</f>
        <v>2538</v>
      </c>
      <c r="I14" s="78">
        <f t="shared" si="3"/>
        <v>0.20882584712371946</v>
      </c>
      <c r="J14" s="75" t="s">
        <v>318</v>
      </c>
      <c r="K14" s="82">
        <v>2.4</v>
      </c>
      <c r="L14" s="211">
        <f t="shared" si="0"/>
        <v>0.50118203309692666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JUA'!$D$3:$AB$113,4,0)</f>
        <v>octubre 20 - mar 21</v>
      </c>
      <c r="E15" s="212">
        <f>VLOOKUP(C15,'BD EVA 4 JUA'!$D$3:$AB$113,13,0)</f>
        <v>10</v>
      </c>
      <c r="F15" s="89" t="str">
        <f>VLOOKUP(C15,'BD EVA 4 JUA'!$D$3:$AB$113,10,0)</f>
        <v>octubre 21 - mar 24</v>
      </c>
      <c r="G15" s="212">
        <f>VLOOKUP(C15,'BD EVA 4 JUA'!$D$3:$AC$113,25,0)</f>
        <v>3</v>
      </c>
      <c r="H15" s="212">
        <f>VLOOKUP(C15,'BD EVA 4 JUA'!$D$3:$AC$113,18,0)</f>
        <v>38</v>
      </c>
      <c r="I15" s="78">
        <f t="shared" si="3"/>
        <v>7.8947368421052627E-2</v>
      </c>
      <c r="J15" s="75" t="s">
        <v>318</v>
      </c>
      <c r="K15" s="71">
        <v>3.1</v>
      </c>
      <c r="L15" s="211">
        <f t="shared" si="0"/>
        <v>0.24473684210526314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JUA'!$D$3:$AB$113,4,0)</f>
        <v>44469</v>
      </c>
      <c r="E16" s="213">
        <f>VLOOKUP(C16,'BD EVA 4 JUA'!$D$3:$AB$113,13,0)</f>
        <v>0</v>
      </c>
      <c r="F16" s="75">
        <f>VLOOKUP(C16,'BD EVA 4 JUA'!$D$3:$AB$113,10,0)</f>
        <v>45382</v>
      </c>
      <c r="G16" s="208">
        <f>VLOOKUP(C16,'BD EVA 4 JUA'!$D$3:$AC$113,25,0)</f>
        <v>0</v>
      </c>
      <c r="H16" s="213" t="str">
        <f>VLOOKUP(C16,'BD EVA 4 JUA'!$D$3:$AC$113,18,0)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si="4">G16/1</f>
        <v>0</v>
      </c>
      <c r="J16" s="75" t="s">
        <v>318</v>
      </c>
      <c r="K16" s="171">
        <v>1.5</v>
      </c>
      <c r="L16" s="209">
        <f t="shared" si="0"/>
        <v>0</v>
      </c>
      <c r="M16" s="130">
        <f>SUM(L16:L23)</f>
        <v>5.1387500557718315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JUA'!$D$3:$AB$113,4,0)</f>
        <v>44469</v>
      </c>
      <c r="E17" s="212">
        <f>VLOOKUP(C17,'BD EVA 4 JUA'!$D$3:$AB$113,13,0)</f>
        <v>0</v>
      </c>
      <c r="F17" s="75">
        <f>VLOOKUP(C17,'BD EVA 4 JUA'!$D$3:$AB$113,10,0)</f>
        <v>45382</v>
      </c>
      <c r="G17" s="212">
        <f>VLOOKUP(C17,'BD EVA 4 JUA'!$D$3:$AC$113,25,0)</f>
        <v>0</v>
      </c>
      <c r="H17" s="212" t="str">
        <f>VLOOKUP(C17,'BD EVA 4 JUA'!$D$3:$AC$113,18,0)</f>
        <v>Actualizado al 2019</v>
      </c>
      <c r="I17" s="214">
        <f t="shared" si="4"/>
        <v>0</v>
      </c>
      <c r="J17" s="75" t="s">
        <v>318</v>
      </c>
      <c r="K17" s="71">
        <v>1.5</v>
      </c>
      <c r="L17" s="209">
        <f t="shared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JUA'!$D$3:$AB$113,4,0)</f>
        <v>44469</v>
      </c>
      <c r="E18" s="207" t="str">
        <f>VLOOKUP(C18,'BD EVA 4 JUA'!$D$3:$AB$113,13,0)</f>
        <v>n/a</v>
      </c>
      <c r="F18" s="75">
        <f>VLOOKUP(C18,'BD EVA 4 JUA'!$D$3:$AB$113,10,0)</f>
        <v>45382</v>
      </c>
      <c r="G18" s="207" t="str">
        <f>VLOOKUP(C18,'BD EVA 4 JUA'!$D$3:$AC$113,25,0)</f>
        <v>NA</v>
      </c>
      <c r="H18" s="207">
        <f>VLOOKUP(C18,'BD EVA 4 JUA'!$D$3:$AC$113,18,0)</f>
        <v>1</v>
      </c>
      <c r="I18" s="214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JUA'!$D$3:$AB$113,4,0)</f>
        <v>44469</v>
      </c>
      <c r="E19" s="207" t="e">
        <f>VLOOKUP(C19,'BD EVA 4 JUA'!$D$3:$AB$113,13,0)</f>
        <v>#VALUE!</v>
      </c>
      <c r="F19" s="75">
        <f>VLOOKUP(C19,'BD EVA 4 JUA'!$D$3:$AB$113,10,0)</f>
        <v>45382</v>
      </c>
      <c r="G19" s="207">
        <f>VLOOKUP(C19,'BD EVA 4 JUA'!$D$3:$AC$113,25,0)</f>
        <v>0.98992509008154705</v>
      </c>
      <c r="H19" s="207">
        <f>VLOOKUP(C19,'BD EVA 4 JUA'!$D$3:$AC$113,18,0)</f>
        <v>1</v>
      </c>
      <c r="I19" s="214">
        <f t="shared" ref="I19:I27" si="5">G19/H19</f>
        <v>0.98992509008154705</v>
      </c>
      <c r="J19" s="75" t="s">
        <v>318</v>
      </c>
      <c r="K19" s="71">
        <v>1.5</v>
      </c>
      <c r="L19" s="209">
        <f t="shared" si="0"/>
        <v>1.4848876351223206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JUA'!$D$3:$AB$113,4,0)</f>
        <v>44469</v>
      </c>
      <c r="E20" s="214" t="e">
        <f>VLOOKUP(C20,'BD EVA 4 JUA'!$D$3:$AB$113,13,0)</f>
        <v>#VALUE!</v>
      </c>
      <c r="F20" s="75">
        <f>VLOOKUP(C20,'BD EVA 4 JUA'!$D$3:$AB$113,10,0)</f>
        <v>45382</v>
      </c>
      <c r="G20" s="214">
        <f>VLOOKUP(C20,'BD EVA 4 JUA'!$D$3:$AC$113,25,0)</f>
        <v>1</v>
      </c>
      <c r="H20" s="214">
        <f>VLOOKUP(C20,'BD EVA 4 JUA'!$D$3:$AC$113,18,0)</f>
        <v>1</v>
      </c>
      <c r="I20" s="214">
        <f t="shared" si="5"/>
        <v>1</v>
      </c>
      <c r="J20" s="75" t="s">
        <v>318</v>
      </c>
      <c r="K20" s="71">
        <v>1.5</v>
      </c>
      <c r="L20" s="209">
        <f t="shared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JUA'!$D$3:$AB$113,4,0)</f>
        <v>44469</v>
      </c>
      <c r="E21" s="207" t="e">
        <f>VLOOKUP(C21,'BD EVA 4 JUA'!$D$3:$AB$113,13,0)</f>
        <v>#VALUE!</v>
      </c>
      <c r="F21" s="75">
        <f>VLOOKUP(C21,'BD EVA 4 JUA'!$D$3:$AB$113,10,0)</f>
        <v>45382</v>
      </c>
      <c r="G21" s="207">
        <f>VLOOKUP(C21,'BD EVA 4 JUA'!$D$3:$AC$113,25,0)</f>
        <v>0.95323037118825005</v>
      </c>
      <c r="H21" s="207">
        <f>VLOOKUP(C21,'BD EVA 4 JUA'!$D$3:$AC$113,18,0)</f>
        <v>1</v>
      </c>
      <c r="I21" s="214">
        <f t="shared" si="5"/>
        <v>0.95323037118825005</v>
      </c>
      <c r="J21" s="75" t="s">
        <v>318</v>
      </c>
      <c r="K21" s="71">
        <v>0.9</v>
      </c>
      <c r="L21" s="209">
        <f t="shared" si="0"/>
        <v>0.8579073340694251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JUA'!$D$3:$AB$113,4,0)</f>
        <v>44469</v>
      </c>
      <c r="E22" s="207" t="e">
        <f>VLOOKUP(C22,'BD EVA 4 JUA'!$D$3:$AB$113,13,0)</f>
        <v>#VALUE!</v>
      </c>
      <c r="F22" s="75">
        <f>VLOOKUP(C22,'BD EVA 4 JUA'!$D$3:$AB$113,10,0)</f>
        <v>45382</v>
      </c>
      <c r="G22" s="207">
        <f>VLOOKUP(C22,'BD EVA 4 JUA'!$D$3:$AC$113,25,0)</f>
        <v>0.66397005772005702</v>
      </c>
      <c r="H22" s="207">
        <f>VLOOKUP(C22,'BD EVA 4 JUA'!$D$3:$AC$113,18,0)</f>
        <v>1</v>
      </c>
      <c r="I22" s="214">
        <f t="shared" si="5"/>
        <v>0.66397005772005702</v>
      </c>
      <c r="J22" s="75" t="s">
        <v>318</v>
      </c>
      <c r="K22" s="71">
        <v>1.5</v>
      </c>
      <c r="L22" s="209">
        <f t="shared" si="0"/>
        <v>0.99595508658008547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JUA'!$D$3:$AB$113,4,0)</f>
        <v>octubre 20 - mar 21</v>
      </c>
      <c r="E23" s="208">
        <f>VLOOKUP(C23,'BD EVA 4 JUA'!$D$3:$AB$113,13,0)</f>
        <v>0</v>
      </c>
      <c r="F23" s="89" t="str">
        <f>VLOOKUP(C23,'BD EVA 4 JUA'!$D$3:$AB$113,10,0)</f>
        <v>octubre 23 - mar 24</v>
      </c>
      <c r="G23" s="208">
        <f>VLOOKUP(C23,'BD EVA 4 JUA'!$D$3:$AC$113,25,0)</f>
        <v>0</v>
      </c>
      <c r="H23" s="208">
        <f>VLOOKUP(C23,'BD EVA 4 JUA'!$D$3:$AC$113,18,0)</f>
        <v>23</v>
      </c>
      <c r="I23" s="214">
        <f t="shared" si="5"/>
        <v>0</v>
      </c>
      <c r="J23" s="75" t="s">
        <v>318</v>
      </c>
      <c r="K23" s="82">
        <v>1.3</v>
      </c>
      <c r="L23" s="209">
        <f t="shared" si="0"/>
        <v>0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JUA'!$D$3:$AB$113,4,0)</f>
        <v>44469</v>
      </c>
      <c r="E24" s="171">
        <f>VLOOKUP(C24,'BD EVA 4 JUA'!$D$3:$AB$113,13,0)</f>
        <v>0</v>
      </c>
      <c r="F24" s="75">
        <f>VLOOKUP(C24,'BD EVA 4 JUA'!$D$3:$AB$113,10,0)</f>
        <v>45382</v>
      </c>
      <c r="G24" s="171">
        <f>VLOOKUP(C24,'BD EVA 4 JUA'!$D$3:$AC$113,25,0)</f>
        <v>0</v>
      </c>
      <c r="H24" s="171">
        <f>VLOOKUP(C24,'BD EVA 4 JUA'!$D$3:$AC$113,18,0)</f>
        <v>10</v>
      </c>
      <c r="I24" s="214">
        <f t="shared" si="5"/>
        <v>0</v>
      </c>
      <c r="J24" s="75" t="s">
        <v>318</v>
      </c>
      <c r="K24" s="171">
        <v>1.95</v>
      </c>
      <c r="L24" s="82">
        <f t="shared" si="0"/>
        <v>0</v>
      </c>
      <c r="M24" s="130">
        <f>SUM(L24:L28)</f>
        <v>0.80779002941278055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JUA'!$D$3:$AB$113,4,0)</f>
        <v>octubre 20 - mar 21</v>
      </c>
      <c r="E25" s="212">
        <f>VLOOKUP(C25,'BD EVA 4 JUA'!$D$3:$AB$113,13,0)</f>
        <v>0</v>
      </c>
      <c r="F25" s="71" t="str">
        <f>VLOOKUP(C25,'BD EVA 4 JUA'!$D$3:$AB$113,10,0)</f>
        <v>octubre 23 - mar 24</v>
      </c>
      <c r="G25" s="212">
        <f>VLOOKUP(C25,'BD EVA 4 JUA'!$D$3:$AC$113,25,0)</f>
        <v>701.09</v>
      </c>
      <c r="H25" s="212">
        <f>VLOOKUP(C25,'BD EVA 4 JUA'!$D$3:$AC$113,18,0)</f>
        <v>4172</v>
      </c>
      <c r="I25" s="214">
        <f t="shared" si="5"/>
        <v>0.16804650047938638</v>
      </c>
      <c r="J25" s="75" t="s">
        <v>318</v>
      </c>
      <c r="K25" s="171">
        <v>1.63</v>
      </c>
      <c r="L25" s="209">
        <f t="shared" si="0"/>
        <v>0.2739157957813998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JUA'!$D$3:$AB$113,4,0)</f>
        <v>enero - diciembre 2021</v>
      </c>
      <c r="E26" s="210">
        <f>VLOOKUP(C26,'BD EVA 4 JUA'!$D$3:$AB$113,13,0)</f>
        <v>1.636142829333077E-2</v>
      </c>
      <c r="F26" s="71" t="str">
        <f>VLOOKUP(C26,'BD EVA 4 JUA'!$D$3:$AB$113,10,0)</f>
        <v>enero- diciembre 2023</v>
      </c>
      <c r="G26" s="210">
        <f>VLOOKUP(C26,'BD EVA 4 JUA'!$D$3:$AC$113,25,0)</f>
        <v>4.2048951544109703E-2</v>
      </c>
      <c r="H26" s="210">
        <f>VLOOKUP(C26,'BD EVA 4 JUA'!$D$3:$AC$113,18,0)</f>
        <v>0.16539999999999999</v>
      </c>
      <c r="I26" s="214">
        <f t="shared" si="5"/>
        <v>0.25422582553875273</v>
      </c>
      <c r="J26" s="75" t="s">
        <v>318</v>
      </c>
      <c r="K26" s="171">
        <v>2.1</v>
      </c>
      <c r="L26" s="209">
        <f t="shared" si="0"/>
        <v>0.53387423363138076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JUA'!$D$3:$AB$113,4,0)</f>
        <v>octubre 20 - mar 21</v>
      </c>
      <c r="E27" s="212">
        <f>VLOOKUP(C27,'BD EVA 4 JUA'!$D$3:$AB$113,13,0)</f>
        <v>0</v>
      </c>
      <c r="F27" s="71" t="str">
        <f>VLOOKUP(C27,'BD EVA 4 JUA'!$D$3:$AB$113,10,0)</f>
        <v>octubre 23 - mar 24</v>
      </c>
      <c r="G27" s="212">
        <f>VLOOKUP(C27,'BD EVA 4 JUA'!$D$3:$AC$113,25,0)</f>
        <v>0</v>
      </c>
      <c r="H27" s="212">
        <f>VLOOKUP(C27,'BD EVA 4 JUA'!$D$3:$AC$113,18,0)</f>
        <v>14</v>
      </c>
      <c r="I27" s="214">
        <f t="shared" si="5"/>
        <v>0</v>
      </c>
      <c r="J27" s="75" t="s">
        <v>318</v>
      </c>
      <c r="K27" s="171">
        <v>2.1</v>
      </c>
      <c r="L27" s="209">
        <f t="shared" si="0"/>
        <v>0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JUA'!$D$3:$AB$113,4,0)</f>
        <v>octubre 2018 - marzo 2019</v>
      </c>
      <c r="E28" s="212">
        <f>VLOOKUP(C28,'BD EVA 4 JUA'!$D$3:$AB$113,13,0)</f>
        <v>602</v>
      </c>
      <c r="F28" s="89" t="str">
        <f>VLOOKUP(C28,'BD EVA 4 JUA'!$D$3:$AB$113,10,0)</f>
        <v>octubre 23 - mar 24</v>
      </c>
      <c r="G28" s="212">
        <f>VLOOKUP(C28,'BD EVA 4 JUA'!$D$3:$AC$113,25,0)</f>
        <v>809</v>
      </c>
      <c r="H28" s="212">
        <f>VLOOKUP(C28,'BD EVA 4 JUA'!$D$3:$AC$113,18,0)</f>
        <v>572</v>
      </c>
      <c r="I28" s="78">
        <f>(G28-E28)/(H28-E28)</f>
        <v>-6.9</v>
      </c>
      <c r="J28" s="89" t="s">
        <v>319</v>
      </c>
      <c r="K28" s="171">
        <v>2.2200000000000002</v>
      </c>
      <c r="L28" s="209">
        <f t="shared" si="0"/>
        <v>0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4 JUA'!$D$3:$AB$113,4,0)</f>
        <v>octubre 20 - mar 21</v>
      </c>
      <c r="E29" s="212">
        <f>VLOOKUP(C29,'BD EVA 4 JUA'!$D$3:$AB$113,13,0)</f>
        <v>0</v>
      </c>
      <c r="F29" s="89" t="str">
        <f>VLOOKUP(C29,'BD EVA 4 JUA'!$D$3:$AB$113,10,0)</f>
        <v>octubre 23 - mar 24</v>
      </c>
      <c r="G29" s="212">
        <f>VLOOKUP(C29,'BD EVA 4 JUA'!$D$3:$AC$113,25,0)</f>
        <v>4</v>
      </c>
      <c r="H29" s="212">
        <f>VLOOKUP(C29,'BD EVA 4 JUA'!$D$3:$AC$113,18,0)</f>
        <v>45</v>
      </c>
      <c r="I29" s="78">
        <f t="shared" ref="I29:I33" si="6">G29/H29</f>
        <v>8.8888888888888892E-2</v>
      </c>
      <c r="J29" s="75" t="s">
        <v>318</v>
      </c>
      <c r="K29" s="82">
        <v>2</v>
      </c>
      <c r="L29" s="209">
        <f t="shared" si="0"/>
        <v>0.17777777777777778</v>
      </c>
      <c r="M29" s="130">
        <f>SUM(L29:L33)</f>
        <v>3.8005319946452456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JUA'!$D$3:$AB$113,4,0)</f>
        <v>44469</v>
      </c>
      <c r="E30" s="212">
        <f>VLOOKUP(C30,'BD EVA 4 JUA'!$D$3:$AB$113,13,0)</f>
        <v>0</v>
      </c>
      <c r="F30" s="75" t="str">
        <f>VLOOKUP(C30,'BD EVA 4 JUA'!$D$3:$AB$113,10,0)</f>
        <v>Dic 2023</v>
      </c>
      <c r="G30" s="212">
        <f>VLOOKUP(C30,'BD EVA 4 JUA'!$D$3:$AC$113,25,0)</f>
        <v>0</v>
      </c>
      <c r="H30" s="212">
        <f>VLOOKUP(C30,'BD EVA 4 JUA'!$D$3:$AC$113,18,0)</f>
        <v>19</v>
      </c>
      <c r="I30" s="78">
        <f t="shared" si="6"/>
        <v>0</v>
      </c>
      <c r="J30" s="75" t="s">
        <v>318</v>
      </c>
      <c r="K30" s="82">
        <v>2</v>
      </c>
      <c r="L30" s="209">
        <f t="shared" si="0"/>
        <v>0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JUA'!$D$3:$AB$113,4,0)</f>
        <v>44469</v>
      </c>
      <c r="E31" s="212">
        <f>VLOOKUP(C31,'BD EVA 4 JUA'!$D$3:$AB$113,13,0)</f>
        <v>86.3</v>
      </c>
      <c r="F31" s="75">
        <f>VLOOKUP(C31,'BD EVA 4 JUA'!$D$3:$AB$113,10,0)</f>
        <v>45382</v>
      </c>
      <c r="G31" s="212">
        <f>VLOOKUP(C31,'BD EVA 4 JUA'!$D$3:$AC$113,25,0)</f>
        <v>99.21</v>
      </c>
      <c r="H31" s="212">
        <f>VLOOKUP(C31,'BD EVA 4 JUA'!$D$3:$AC$113,18,0)</f>
        <v>100</v>
      </c>
      <c r="I31" s="78">
        <f t="shared" si="6"/>
        <v>0.99209999999999998</v>
      </c>
      <c r="J31" s="75" t="s">
        <v>318</v>
      </c>
      <c r="K31" s="82">
        <v>2</v>
      </c>
      <c r="L31" s="209">
        <f t="shared" si="0"/>
        <v>1.9842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JUA'!$D$3:$AB$113,4,0)</f>
        <v>44469</v>
      </c>
      <c r="E32" s="209">
        <f>VLOOKUP(C32,'BD EVA 4 JUA'!$D$3:$AB$113,13,0)</f>
        <v>0</v>
      </c>
      <c r="F32" s="75">
        <f>VLOOKUP(C32,'BD EVA 4 JUA'!$D$3:$AB$113,10,0)</f>
        <v>45382</v>
      </c>
      <c r="G32" s="209">
        <f>VLOOKUP(C32,'BD EVA 4 JUA'!$D$3:$AC$113,25,0)</f>
        <v>0</v>
      </c>
      <c r="H32" s="209">
        <f>VLOOKUP(C32,'BD EVA 4 JUA'!$D$3:$AC$113,18,0)</f>
        <v>4</v>
      </c>
      <c r="I32" s="78">
        <f t="shared" si="6"/>
        <v>0</v>
      </c>
      <c r="J32" s="75" t="s">
        <v>318</v>
      </c>
      <c r="K32" s="82">
        <v>2</v>
      </c>
      <c r="L32" s="209">
        <f t="shared" si="0"/>
        <v>0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 t="str">
        <f>VLOOKUP(C33,'BD EVA 4 JUA'!$D$3:$AB$113,4,0)</f>
        <v>enero - diciembre 2021</v>
      </c>
      <c r="E33" s="207">
        <f>VLOOKUP(C33,'BD EVA 4 JUA'!$D$3:$AB$113,13,0)</f>
        <v>0</v>
      </c>
      <c r="F33" s="75" t="str">
        <f>VLOOKUP(C33,'BD EVA 4 JUA'!$D$3:$AB$113,10,0)</f>
        <v>enero- diciembre 2023</v>
      </c>
      <c r="G33" s="207">
        <f>VLOOKUP(C33,'BD EVA 4 JUA'!$D$3:$AC$113,25,0)</f>
        <v>0.40963855421686701</v>
      </c>
      <c r="H33" s="207">
        <f>VLOOKUP(C33,'BD EVA 4 JUA'!$D$3:$AC$113,18,0)</f>
        <v>0.5</v>
      </c>
      <c r="I33" s="78">
        <f t="shared" si="6"/>
        <v>0.81927710843373402</v>
      </c>
      <c r="J33" s="75" t="s">
        <v>318</v>
      </c>
      <c r="K33" s="82">
        <v>2</v>
      </c>
      <c r="L33" s="209">
        <f t="shared" si="0"/>
        <v>1.638554216867468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JUA'!$D$3:$AB$113,4,0)</f>
        <v>enero - diciembre 2021</v>
      </c>
      <c r="E34" s="78">
        <f>VLOOKUP(C34,'BD EVA 4 JUA'!$D$3:$AB$113,13,0)</f>
        <v>0.14537395101415179</v>
      </c>
      <c r="F34" s="89" t="str">
        <f>VLOOKUP(C34,'BD EVA 4 JUA'!$D$3:$AB$113,10,0)</f>
        <v>enero- diciembre 2023</v>
      </c>
      <c r="G34" s="78">
        <f>VLOOKUP(C34,'BD EVA 4 JUA'!$D$3:$AC$113,25,0)</f>
        <v>0.17208392393368699</v>
      </c>
      <c r="H34" s="78">
        <f>VLOOKUP(C34,'BD EVA 4 JUA'!$D$3:$AC$113,18,0)</f>
        <v>0.40010000000000001</v>
      </c>
      <c r="I34" s="78">
        <f>(G34/H34)</f>
        <v>0.43010228426315167</v>
      </c>
      <c r="J34" s="75" t="s">
        <v>318</v>
      </c>
      <c r="K34" s="81">
        <v>2.1631999999999998</v>
      </c>
      <c r="L34" s="209">
        <f t="shared" si="0"/>
        <v>0.93039726131804956</v>
      </c>
      <c r="M34" s="130">
        <f>SUM(L34:L39)</f>
        <v>5.4239452147569951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JUA'!$D$3:$AB$113,4,0)</f>
        <v>Dic 2021</v>
      </c>
      <c r="E35" s="78">
        <f>VLOOKUP(C35,'BD EVA 4 JUA'!$D$3:$AB$113,13,0)</f>
        <v>0.17451045837195084</v>
      </c>
      <c r="F35" s="89" t="str">
        <f>VLOOKUP(C35,'BD EVA 4 JUA'!$D$3:$AB$113,10,0)</f>
        <v>Dic 2023</v>
      </c>
      <c r="G35" s="78">
        <f>VLOOKUP(C35,'BD EVA 4 JUA'!$D$3:$AC$113,25,0)</f>
        <v>0.17849737017515599</v>
      </c>
      <c r="H35" s="78">
        <f>VLOOKUP(C35,'BD EVA 4 JUA'!$D$3:$AC$113,18,0)</f>
        <v>0.52939999999999998</v>
      </c>
      <c r="I35" s="78">
        <f>G35/H35</f>
        <v>0.33716919186844729</v>
      </c>
      <c r="J35" s="75" t="s">
        <v>318</v>
      </c>
      <c r="K35" s="81">
        <v>1.3520000000000001</v>
      </c>
      <c r="L35" s="209">
        <f t="shared" si="0"/>
        <v>0.45585274740614079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JUA'!$D$3:$AB$113,4,0)</f>
        <v>enero - diciembre 2021</v>
      </c>
      <c r="E36" s="78">
        <f>VLOOKUP(C36,'BD EVA 4 JUA'!$D$3:$AB$113,13,0)</f>
        <v>0.28673793940285336</v>
      </c>
      <c r="F36" s="89" t="str">
        <f>VLOOKUP(C36,'BD EVA 4 JUA'!$D$3:$AB$113,10,0)</f>
        <v>enero- diciembre 2023</v>
      </c>
      <c r="G36" s="78">
        <f>VLOOKUP(C36,'BD EVA 4 JUA'!$D$3:$AC$113,25,0)</f>
        <v>0.27456601844554701</v>
      </c>
      <c r="H36" s="78">
        <f>VLOOKUP(C36,'BD EVA 4 JUA'!$D$3:$AC$113,18,0)</f>
        <v>0.58989999999999998</v>
      </c>
      <c r="I36" s="78">
        <f>IF(G36&lt;E36,0,G36/H36)</f>
        <v>0</v>
      </c>
      <c r="J36" s="72" t="s">
        <v>316</v>
      </c>
      <c r="K36" s="81">
        <v>2.1631999999999998</v>
      </c>
      <c r="L36" s="209">
        <f t="shared" si="0"/>
        <v>0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JUA'!$D$3:$AB$113,4,0)</f>
        <v>enero - diciembre 2021</v>
      </c>
      <c r="E37" s="90">
        <f>VLOOKUP(C37,'BD EVA 4 JUA'!$D$3:$AB$113,13,0)</f>
        <v>104356062.22</v>
      </c>
      <c r="F37" s="89" t="str">
        <f>VLOOKUP(C37,'BD EVA 4 JUA'!$D$3:$AB$113,10,0)</f>
        <v>enero- diciembre 2023</v>
      </c>
      <c r="G37" s="90">
        <f>VLOOKUP(C37,'BD EVA 4 JUA'!$D$3:$AC$113,25,0)</f>
        <v>126965375.14</v>
      </c>
      <c r="H37" s="90">
        <f>VLOOKUP(C37,'BD EVA 4 JUA'!$D$3:$AC$113,18,0)</f>
        <v>108530304.70999999</v>
      </c>
      <c r="I37" s="78">
        <f>G37/H37</f>
        <v>1.1698610400040772</v>
      </c>
      <c r="J37" s="75" t="s">
        <v>318</v>
      </c>
      <c r="K37" s="81">
        <v>1.0815999999999999</v>
      </c>
      <c r="L37" s="209">
        <f t="shared" si="0"/>
        <v>1.0815999999999999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89" t="str">
        <f>VLOOKUP(C38,'BD EVA 4 JUA'!$D$3:$AB$113,4,0)</f>
        <v>Dic 2020</v>
      </c>
      <c r="E38" s="78">
        <f>VLOOKUP(C38,'BD EVA 4 JUA'!$D$3:$AB$113,13,0)</f>
        <v>0.79785306927511046</v>
      </c>
      <c r="F38" s="89" t="str">
        <f>VLOOKUP(C38,'BD EVA 4 JUA'!$D$3:$AB$113,10,0)</f>
        <v>Dic 2023</v>
      </c>
      <c r="G38" s="78">
        <f>VLOOKUP(C38,'BD EVA 4 JUA'!$D$3:$AC$113,25,0)</f>
        <v>0.94152120787924798</v>
      </c>
      <c r="H38" s="78">
        <f>VLOOKUP(C38,'BD EVA 4 JUA'!$D$3:$AC$113,18,0)</f>
        <v>0.77651973594177703</v>
      </c>
      <c r="I38" s="78">
        <f>(H38/G38)</f>
        <v>0.82475012718074348</v>
      </c>
      <c r="J38" s="89" t="s">
        <v>341</v>
      </c>
      <c r="K38" s="81">
        <v>1.62</v>
      </c>
      <c r="L38" s="209">
        <f t="shared" si="0"/>
        <v>1.3360952060328046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JUA'!$D$3:$AB$113,4,0)</f>
        <v>Dic 2020</v>
      </c>
      <c r="E39" s="76" t="str">
        <f>VLOOKUP(C39,'BD EVA 4 JUA'!$D$3:$AB$113,13,0)</f>
        <v>Verde</v>
      </c>
      <c r="F39" s="89" t="str">
        <f>VLOOKUP(C39,'BD EVA 4 JUA'!$D$3:$AB$113,10,0)</f>
        <v>Dic 2023</v>
      </c>
      <c r="G39" s="76" t="str">
        <f>VLOOKUP(C39,'BD EVA 4 JUA'!$D$3:$AC$113,25,0)</f>
        <v>Verde</v>
      </c>
      <c r="H39" s="76" t="str">
        <f>VLOOKUP(C39,'BD EVA 4 JUA'!$D$3:$AC$113,18,0)</f>
        <v>Verde</v>
      </c>
      <c r="I39" s="76">
        <f>IF(G39="Verde",1,0)</f>
        <v>1</v>
      </c>
      <c r="J39" s="75" t="s">
        <v>318</v>
      </c>
      <c r="K39" s="81">
        <v>1.62</v>
      </c>
      <c r="L39" s="209">
        <f t="shared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FEFF-F38F-AD48-A827-262E8CF6A1B8}">
  <dimension ref="A1:AE113"/>
  <sheetViews>
    <sheetView workbookViewId="0">
      <selection sqref="A1:XFD1"/>
    </sheetView>
  </sheetViews>
  <sheetFormatPr baseColWidth="10" defaultRowHeight="16"/>
  <sheetData>
    <row r="1" spans="1:31" s="120" customFormat="1" ht="78">
      <c r="A1" s="395" t="s">
        <v>0</v>
      </c>
      <c r="B1" s="395" t="s">
        <v>1</v>
      </c>
      <c r="C1" s="395" t="s">
        <v>2</v>
      </c>
      <c r="D1" s="395" t="s">
        <v>3</v>
      </c>
      <c r="E1" s="395" t="s">
        <v>4</v>
      </c>
      <c r="F1" s="395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442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362" t="s">
        <v>29</v>
      </c>
      <c r="B2" s="362" t="s">
        <v>29</v>
      </c>
      <c r="C2" s="362" t="s">
        <v>30</v>
      </c>
      <c r="D2" s="362" t="s">
        <v>31</v>
      </c>
      <c r="E2" s="362" t="s">
        <v>32</v>
      </c>
      <c r="F2" s="394" t="s">
        <v>33</v>
      </c>
      <c r="G2" s="4">
        <v>2021</v>
      </c>
      <c r="H2" s="4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13"/>
      <c r="Q2" s="6">
        <v>406584</v>
      </c>
      <c r="R2" s="6">
        <v>406584</v>
      </c>
      <c r="S2" s="12">
        <v>406584</v>
      </c>
      <c r="T2" s="13"/>
      <c r="U2" s="316"/>
      <c r="V2" s="316"/>
      <c r="W2" s="316"/>
      <c r="X2" s="316"/>
      <c r="Y2" s="316"/>
      <c r="Z2" s="12">
        <v>414934</v>
      </c>
      <c r="AA2" s="12">
        <v>414934</v>
      </c>
      <c r="AB2" s="12">
        <v>421798</v>
      </c>
      <c r="AC2" s="12">
        <v>421798</v>
      </c>
      <c r="AD2" s="12">
        <v>427063</v>
      </c>
      <c r="AE2" s="12">
        <v>427063</v>
      </c>
    </row>
    <row r="3" spans="1:31">
      <c r="A3" s="7" t="s">
        <v>34</v>
      </c>
      <c r="B3" s="7" t="s">
        <v>35</v>
      </c>
      <c r="C3" s="1" t="s">
        <v>36</v>
      </c>
      <c r="D3" s="1" t="s">
        <v>37</v>
      </c>
      <c r="E3" s="7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418">
        <v>376</v>
      </c>
      <c r="R3" s="418">
        <v>376</v>
      </c>
      <c r="S3" s="2">
        <f ca="1">IFERROR(__xludf.DUMMYFUNCTION("INDEX(IMPORTRANGE(""17pNv02DXDpQT9S3w4-QeNym2QJy2BzMBqDXp-XtzJBM"", ""'JUA'!BG3:BG139""),MATCH($D3,IMPORTRANGE(""17pNv02DXDpQT9S3w4-QeNym2QJy2BzMBqDXp-XtzJBM"", ""'JUA'!D3:D139""),0))"),376)</f>
        <v>376</v>
      </c>
      <c r="T3" s="419">
        <f>$R$3+1.085</f>
        <v>377.08499999999998</v>
      </c>
      <c r="U3" s="419">
        <f>R3*1.05</f>
        <v>394.8</v>
      </c>
      <c r="V3" s="419">
        <f>R3*1.083</f>
        <v>407.20799999999997</v>
      </c>
      <c r="W3" s="419">
        <f>R3*1.123</f>
        <v>422.24799999999999</v>
      </c>
      <c r="X3" s="419">
        <f ca="1">((Y3-W3)/6)*5+W3</f>
        <v>435.53333333333336</v>
      </c>
      <c r="Y3" s="419">
        <f ca="1">S3*1.1654</f>
        <v>438.19040000000001</v>
      </c>
      <c r="Z3" s="2">
        <f ca="1">IFERROR(__xludf.DUMMYFUNCTION("INDEX(IMPORTRANGE(""17pNv02DXDpQT9S3w4-QeNym2QJy2BzMBqDXp-XtzJBM"", ""'JUA'!BH3:BH139""),MATCH($D3,IMPORTRANGE(""17pNv02DXDpQT9S3w4-QeNym2QJy2BzMBqDXp-XtzJBM"", ""'JUA'!D3:D139""),0))"),431)</f>
        <v>431</v>
      </c>
      <c r="AA3" s="2">
        <f ca="1">IFERROR(__xludf.DUMMYFUNCTION("INDEX(IMPORTRANGE(""17pNv02DXDpQT9S3w4-QeNym2QJy2BzMBqDXp-XtzJBM"", ""'JUA'!BI3:BI139""),MATCH($D3,IMPORTRANGE(""17pNv02DXDpQT9S3w4-QeNym2QJy2BzMBqDXp-XtzJBM"", ""'JUA'!D3:D139""),0))"),433)</f>
        <v>433</v>
      </c>
      <c r="AB3" s="2" t="str">
        <f ca="1">IFERROR(__xludf.DUMMYFUNCTION("INDEX(IMPORTRANGE(""17pNv02DXDpQT9S3w4-QeNym2QJy2BzMBqDXp-XtzJBM"", ""'JUA'!BJ3:BJ139""),MATCH($D3,IMPORTRANGE(""17pNv02DXDpQT9S3w4-QeNym2QJy2BzMBqDXp-XtzJBM"", ""'JUA'!D3:D139""),0))"),"Reservada")</f>
        <v>Reservada</v>
      </c>
      <c r="AC3" s="2">
        <f ca="1">IFERROR(__xludf.DUMMYFUNCTION("INDEX(IMPORTRANGE(""17pNv02DXDpQT9S3w4-QeNym2QJy2BzMBqDXp-XtzJBM"", ""'JUA'!BK3:BK139""),MATCH($D3,IMPORTRANGE(""17pNv02DXDpQT9S3w4-QeNym2QJy2BzMBqDXp-XtzJBM"", ""'JUA'!D3:D139""),0))"),492)</f>
        <v>492</v>
      </c>
      <c r="AD3" s="2">
        <f ca="1">IFERROR(__xludf.DUMMYFUNCTION("INDEX(IMPORTRANGE(""17pNv02DXDpQT9S3w4-QeNym2QJy2BzMBqDXp-XtzJBM"", ""'JUA'!BL3:BL139""),MATCH($D3,IMPORTRANGE(""17pNv02DXDpQT9S3w4-QeNym2QJy2BzMBqDXp-XtzJBM"", ""'JUA'!D3:D139""),0))"),461)</f>
        <v>461</v>
      </c>
      <c r="AE3" s="2" t="str">
        <f ca="1">IFERROR(__xludf.DUMMYFUNCTION("INDEX(IMPORTRANGE(""17pNv02DXDpQT9S3w4-QeNym2QJy2BzMBqDXp-XtzJBM"", ""'JUA'!BM3:BM139""),MATCH($D3,IMPORTRANGE(""17pNv02DXDpQT9S3w4-QeNym2QJy2BzMBqDXp-XtzJBM"", ""'JUA'!D3:D139""),0))"),"")</f>
        <v/>
      </c>
    </row>
    <row r="4" spans="1:31">
      <c r="A4" s="7" t="s">
        <v>34</v>
      </c>
      <c r="B4" s="7" t="s">
        <v>40</v>
      </c>
      <c r="C4" s="1" t="s">
        <v>30</v>
      </c>
      <c r="D4" s="7" t="s">
        <v>41</v>
      </c>
      <c r="E4" s="7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418">
        <v>290</v>
      </c>
      <c r="R4" s="418">
        <v>290</v>
      </c>
      <c r="S4" s="2">
        <f ca="1">IFERROR(__xludf.DUMMYFUNCTION("INDEX(IMPORTRANGE(""17pNv02DXDpQT9S3w4-QeNym2QJy2BzMBqDXp-XtzJBM"", ""'JUA'!BG3:BG139""),MATCH($D4,IMPORTRANGE(""17pNv02DXDpQT9S3w4-QeNym2QJy2BzMBqDXp-XtzJBM"", ""'JUA'!D3:D139""),0))"),290)</f>
        <v>290</v>
      </c>
      <c r="T4" s="13"/>
      <c r="U4" s="13"/>
      <c r="V4" s="13"/>
      <c r="W4" s="1"/>
      <c r="X4" s="13"/>
      <c r="Y4" s="316"/>
      <c r="Z4" s="2">
        <f ca="1">IFERROR(__xludf.DUMMYFUNCTION("INDEX(IMPORTRANGE(""17pNv02DXDpQT9S3w4-QeNym2QJy2BzMBqDXp-XtzJBM"", ""'JUA'!BH3:BH139""),MATCH($D4,IMPORTRANGE(""17pNv02DXDpQT9S3w4-QeNym2QJy2BzMBqDXp-XtzJBM"", ""'JUA'!D3:D139""),0))"),334)</f>
        <v>334</v>
      </c>
      <c r="AA4" s="2">
        <f ca="1">IFERROR(__xludf.DUMMYFUNCTION("INDEX(IMPORTRANGE(""17pNv02DXDpQT9S3w4-QeNym2QJy2BzMBqDXp-XtzJBM"", ""'JUA'!BI3:BI139""),MATCH($D4,IMPORTRANGE(""17pNv02DXDpQT9S3w4-QeNym2QJy2BzMBqDXp-XtzJBM"", ""'JUA'!D3:D139""),0))"),334)</f>
        <v>334</v>
      </c>
      <c r="AB4" s="2" t="str">
        <f ca="1">IFERROR(__xludf.DUMMYFUNCTION("INDEX(IMPORTRANGE(""17pNv02DXDpQT9S3w4-QeNym2QJy2BzMBqDXp-XtzJBM"", ""'JUA'!BJ3:BJ139""),MATCH($D4,IMPORTRANGE(""17pNv02DXDpQT9S3w4-QeNym2QJy2BzMBqDXp-XtzJBM"", ""'JUA'!D3:D139""),0))"),"Reservada")</f>
        <v>Reservada</v>
      </c>
      <c r="AC4" s="2">
        <f ca="1">IFERROR(__xludf.DUMMYFUNCTION("INDEX(IMPORTRANGE(""17pNv02DXDpQT9S3w4-QeNym2QJy2BzMBqDXp-XtzJBM"", ""'JUA'!BK3:BK139""),MATCH($D4,IMPORTRANGE(""17pNv02DXDpQT9S3w4-QeNym2QJy2BzMBqDXp-XtzJBM"", ""'JUA'!D3:D139""),0))"),492)</f>
        <v>492</v>
      </c>
      <c r="AD4" s="2">
        <f ca="1">IFERROR(__xludf.DUMMYFUNCTION("INDEX(IMPORTRANGE(""17pNv02DXDpQT9S3w4-QeNym2QJy2BzMBqDXp-XtzJBM"", ""'JUA'!BL3:BL139""),MATCH($D4,IMPORTRANGE(""17pNv02DXDpQT9S3w4-QeNym2QJy2BzMBqDXp-XtzJBM"", ""'JUA'!D3:D139""),0))"),350)</f>
        <v>350</v>
      </c>
      <c r="AE4" s="2" t="str">
        <f ca="1">IFERROR(__xludf.DUMMYFUNCTION("INDEX(IMPORTRANGE(""17pNv02DXDpQT9S3w4-QeNym2QJy2BzMBqDXp-XtzJBM"", ""'JUA'!BM3:BM139""),MATCH($D4,IMPORTRANGE(""17pNv02DXDpQT9S3w4-QeNym2QJy2BzMBqDXp-XtzJBM"", ""'JUA'!D3:D139""),0))"),"")</f>
        <v/>
      </c>
    </row>
    <row r="5" spans="1:31">
      <c r="A5" s="7" t="s">
        <v>34</v>
      </c>
      <c r="B5" s="7" t="s">
        <v>40</v>
      </c>
      <c r="C5" s="1" t="s">
        <v>36</v>
      </c>
      <c r="D5" s="1" t="s">
        <v>43</v>
      </c>
      <c r="E5" s="7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420">
        <f t="shared" ref="Q5:R5" si="0">Q4/Q3</f>
        <v>0.77127659574468088</v>
      </c>
      <c r="R5" s="420">
        <f t="shared" si="0"/>
        <v>0.77127659574468088</v>
      </c>
      <c r="S5" s="15">
        <f ca="1">IFERROR(__xludf.DUMMYFUNCTION("INDEX(IMPORTRANGE(""17pNv02DXDpQT9S3w4-QeNym2QJy2BzMBqDXp-XtzJBM"", ""'JUA'!BG3:BG139""),MATCH($D5,IMPORTRANGE(""17pNv02DXDpQT9S3w4-QeNym2QJy2BzMBqDXp-XtzJBM"", ""'JUA'!D3:D139""),0))"),0.77127659574468)</f>
        <v>0.77127659574467999</v>
      </c>
      <c r="T5" s="421" t="s">
        <v>327</v>
      </c>
      <c r="U5" s="421" t="s">
        <v>327</v>
      </c>
      <c r="V5" s="421" t="s">
        <v>327</v>
      </c>
      <c r="W5" s="421" t="s">
        <v>327</v>
      </c>
      <c r="X5" s="421" t="s">
        <v>327</v>
      </c>
      <c r="Y5" s="421" t="s">
        <v>327</v>
      </c>
      <c r="Z5" s="2">
        <f ca="1">IFERROR(__xludf.DUMMYFUNCTION("INDEX(IMPORTRANGE(""17pNv02DXDpQT9S3w4-QeNym2QJy2BzMBqDXp-XtzJBM"", ""'JUA'!BH3:BH139""),MATCH($D5,IMPORTRANGE(""17pNv02DXDpQT9S3w4-QeNym2QJy2BzMBqDXp-XtzJBM"", ""'JUA'!D3:D139""),0))"),0.774941995359628)</f>
        <v>0.77494199535962804</v>
      </c>
      <c r="AA5" s="15">
        <f ca="1">IFERROR(__xludf.DUMMYFUNCTION("INDEX(IMPORTRANGE(""17pNv02DXDpQT9S3w4-QeNym2QJy2BzMBqDXp-XtzJBM"", ""'JUA'!BI3:BI139""),MATCH($D5,IMPORTRANGE(""17pNv02DXDpQT9S3w4-QeNym2QJy2BzMBqDXp-XtzJBM"", ""'JUA'!D3:D139""),0))"),0.77136258660508)</f>
        <v>0.77136258660507995</v>
      </c>
      <c r="AB5" s="2" t="str">
        <f ca="1">IFERROR(__xludf.DUMMYFUNCTION("INDEX(IMPORTRANGE(""17pNv02DXDpQT9S3w4-QeNym2QJy2BzMBqDXp-XtzJBM"", ""'JUA'!BJ3:BJ139""),MATCH($D5,IMPORTRANGE(""17pNv02DXDpQT9S3w4-QeNym2QJy2BzMBqDXp-XtzJBM"", ""'JUA'!D3:D139""),0))"),"#VALUE!")</f>
        <v>#VALUE!</v>
      </c>
      <c r="AC5" s="15">
        <f ca="1">IFERROR(__xludf.DUMMYFUNCTION("INDEX(IMPORTRANGE(""17pNv02DXDpQT9S3w4-QeNym2QJy2BzMBqDXp-XtzJBM"", ""'JUA'!BK3:BK139""),MATCH($D5,IMPORTRANGE(""17pNv02DXDpQT9S3w4-QeNym2QJy2BzMBqDXp-XtzJBM"", ""'JUA'!D3:D139""),0))"),1)</f>
        <v>1</v>
      </c>
      <c r="AD5" s="15">
        <f ca="1">IFERROR(__xludf.DUMMYFUNCTION("INDEX(IMPORTRANGE(""17pNv02DXDpQT9S3w4-QeNym2QJy2BzMBqDXp-XtzJBM"", ""'JUA'!BL3:BL139""),MATCH($D5,IMPORTRANGE(""17pNv02DXDpQT9S3w4-QeNym2QJy2BzMBqDXp-XtzJBM"", ""'JUA'!D3:D139""),0))"),0.759219088937093)</f>
        <v>0.759219088937093</v>
      </c>
      <c r="AE5" s="15" t="str">
        <f ca="1">IFERROR(__xludf.DUMMYFUNCTION("INDEX(IMPORTRANGE(""17pNv02DXDpQT9S3w4-QeNym2QJy2BzMBqDXp-XtzJBM"", ""'JUA'!BM3:BM139""),MATCH($D5,IMPORTRANGE(""17pNv02DXDpQT9S3w4-QeNym2QJy2BzMBqDXp-XtzJBM"", ""'JUA'!D3:D139""),0))"),"")</f>
        <v/>
      </c>
    </row>
    <row r="6" spans="1:31">
      <c r="A6" s="7" t="s">
        <v>34</v>
      </c>
      <c r="B6" s="7" t="s">
        <v>45</v>
      </c>
      <c r="C6" s="1" t="s">
        <v>30</v>
      </c>
      <c r="D6" s="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422"/>
      <c r="R6" s="423"/>
      <c r="S6" s="2">
        <f ca="1">IFERROR(__xludf.DUMMYFUNCTION("INDEX(IMPORTRANGE(""17pNv02DXDpQT9S3w4-QeNym2QJy2BzMBqDXp-XtzJBM"", ""'JUA'!BG3:BG139""),MATCH($D6,IMPORTRANGE(""17pNv02DXDpQT9S3w4-QeNym2QJy2BzMBqDXp-XtzJBM"", ""'JUA'!D3:D139""),0))"),9)</f>
        <v>9</v>
      </c>
      <c r="T6" s="1"/>
      <c r="U6" s="1"/>
      <c r="V6" s="1"/>
      <c r="W6" s="1"/>
      <c r="X6" s="1"/>
      <c r="Y6" s="1"/>
      <c r="Z6" s="2">
        <f ca="1">IFERROR(__xludf.DUMMYFUNCTION("INDEX(IMPORTRANGE(""17pNv02DXDpQT9S3w4-QeNym2QJy2BzMBqDXp-XtzJBM"", ""'JUA'!BH3:BH139""),MATCH($D6,IMPORTRANGE(""17pNv02DXDpQT9S3w4-QeNym2QJy2BzMBqDXp-XtzJBM"", ""'JUA'!D3:D139""),0))"),0)</f>
        <v>0</v>
      </c>
      <c r="AA6" s="2">
        <f ca="1">IFERROR(__xludf.DUMMYFUNCTION("INDEX(IMPORTRANGE(""17pNv02DXDpQT9S3w4-QeNym2QJy2BzMBqDXp-XtzJBM"", ""'JUA'!BI3:BI139""),MATCH($D6,IMPORTRANGE(""17pNv02DXDpQT9S3w4-QeNym2QJy2BzMBqDXp-XtzJBM"", ""'JUA'!D3:D139""),0))"),0)</f>
        <v>0</v>
      </c>
      <c r="AB6" s="2">
        <f ca="1">IFERROR(__xludf.DUMMYFUNCTION("INDEX(IMPORTRANGE(""17pNv02DXDpQT9S3w4-QeNym2QJy2BzMBqDXp-XtzJBM"", ""'JUA'!BJ3:BJ139""),MATCH($D6,IMPORTRANGE(""17pNv02DXDpQT9S3w4-QeNym2QJy2BzMBqDXp-XtzJBM"", ""'JUA'!D3:D139""),0))"),0)</f>
        <v>0</v>
      </c>
      <c r="AC6" s="2">
        <f ca="1">IFERROR(__xludf.DUMMYFUNCTION("INDEX(IMPORTRANGE(""17pNv02DXDpQT9S3w4-QeNym2QJy2BzMBqDXp-XtzJBM"", ""'JUA'!BK3:BK139""),MATCH($D6,IMPORTRANGE(""17pNv02DXDpQT9S3w4-QeNym2QJy2BzMBqDXp-XtzJBM"", ""'JUA'!D3:D139""),0))"),10)</f>
        <v>10</v>
      </c>
      <c r="AD6" s="2">
        <f ca="1">IFERROR(__xludf.DUMMYFUNCTION("INDEX(IMPORTRANGE(""17pNv02DXDpQT9S3w4-QeNym2QJy2BzMBqDXp-XtzJBM"", ""'JUA'!BL3:BL139""),MATCH($D6,IMPORTRANGE(""17pNv02DXDpQT9S3w4-QeNym2QJy2BzMBqDXp-XtzJBM"", ""'JUA'!D3:D139""),0))"),16)</f>
        <v>16</v>
      </c>
      <c r="AE6" s="2">
        <f ca="1">IFERROR(__xludf.DUMMYFUNCTION("INDEX(IMPORTRANGE(""17pNv02DXDpQT9S3w4-QeNym2QJy2BzMBqDXp-XtzJBM"", ""'JUA'!BM3:BM139""),MATCH($D6,IMPORTRANGE(""17pNv02DXDpQT9S3w4-QeNym2QJy2BzMBqDXp-XtzJBM"", ""'JUA'!D3:D139""),0))"),0)</f>
        <v>0</v>
      </c>
    </row>
    <row r="7" spans="1:31">
      <c r="A7" s="7" t="s">
        <v>34</v>
      </c>
      <c r="B7" s="7" t="s">
        <v>45</v>
      </c>
      <c r="C7" s="1" t="s">
        <v>30</v>
      </c>
      <c r="D7" s="1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9"/>
      <c r="R7" s="19"/>
      <c r="S7" s="15">
        <f ca="1">IFERROR(__xludf.DUMMYFUNCTION("INDEX(IMPORTRANGE(""17pNv02DXDpQT9S3w4-QeNym2QJy2BzMBqDXp-XtzJBM"", ""'JUA'!BG3:BG139""),MATCH($D7,IMPORTRANGE(""17pNv02DXDpQT9S3w4-QeNym2QJy2BzMBqDXp-XtzJBM"", ""'JUA'!D3:D139""),0))"),0)</f>
        <v>0</v>
      </c>
      <c r="T7" s="1"/>
      <c r="U7" s="1"/>
      <c r="V7" s="1"/>
      <c r="W7" s="1"/>
      <c r="X7" s="1"/>
      <c r="Y7" s="47"/>
      <c r="Z7" s="2" t="str">
        <f ca="1">IFERROR(__xludf.DUMMYFUNCTION("INDEX(IMPORTRANGE(""17pNv02DXDpQT9S3w4-QeNym2QJy2BzMBqDXp-XtzJBM"", ""'JUA'!BH3:BH139""),MATCH($D7,IMPORTRANGE(""17pNv02DXDpQT9S3w4-QeNym2QJy2BzMBqDXp-XtzJBM"", ""'JUA'!D3:D139""),0))"),"")</f>
        <v/>
      </c>
      <c r="AA7" s="2">
        <f ca="1">IFERROR(__xludf.DUMMYFUNCTION("INDEX(IMPORTRANGE(""17pNv02DXDpQT9S3w4-QeNym2QJy2BzMBqDXp-XtzJBM"", ""'JUA'!BI3:BI139""),MATCH($D7,IMPORTRANGE(""17pNv02DXDpQT9S3w4-QeNym2QJy2BzMBqDXp-XtzJBM"", ""'JUA'!D3:D139""),0))"),0)</f>
        <v>0</v>
      </c>
      <c r="AB7" s="2">
        <f ca="1">IFERROR(__xludf.DUMMYFUNCTION("INDEX(IMPORTRANGE(""17pNv02DXDpQT9S3w4-QeNym2QJy2BzMBqDXp-XtzJBM"", ""'JUA'!BJ3:BJ139""),MATCH($D7,IMPORTRANGE(""17pNv02DXDpQT9S3w4-QeNym2QJy2BzMBqDXp-XtzJBM"", ""'JUA'!D3:D139""),0))"),0)</f>
        <v>0</v>
      </c>
      <c r="AC7" s="2">
        <f ca="1">IFERROR(__xludf.DUMMYFUNCTION("INDEX(IMPORTRANGE(""17pNv02DXDpQT9S3w4-QeNym2QJy2BzMBqDXp-XtzJBM"", ""'JUA'!BK3:BK139""),MATCH($D7,IMPORTRANGE(""17pNv02DXDpQT9S3w4-QeNym2QJy2BzMBqDXp-XtzJBM"", ""'JUA'!D3:D139""),0))"),0)</f>
        <v>0</v>
      </c>
      <c r="AD7" s="2">
        <f ca="1">IFERROR(__xludf.DUMMYFUNCTION("INDEX(IMPORTRANGE(""17pNv02DXDpQT9S3w4-QeNym2QJy2BzMBqDXp-XtzJBM"", ""'JUA'!BL3:BL139""),MATCH($D7,IMPORTRANGE(""17pNv02DXDpQT9S3w4-QeNym2QJy2BzMBqDXp-XtzJBM"", ""'JUA'!D3:D139""),0))"),0)</f>
        <v>0</v>
      </c>
      <c r="AE7" s="2">
        <f ca="1">IFERROR(__xludf.DUMMYFUNCTION("INDEX(IMPORTRANGE(""17pNv02DXDpQT9S3w4-QeNym2QJy2BzMBqDXp-XtzJBM"", ""'JUA'!BM3:BM139""),MATCH($D7,IMPORTRANGE(""17pNv02DXDpQT9S3w4-QeNym2QJy2BzMBqDXp-XtzJBM"", ""'JUA'!D3:D139""),0))"),0)</f>
        <v>0</v>
      </c>
    </row>
    <row r="8" spans="1:31">
      <c r="A8" s="7" t="s">
        <v>34</v>
      </c>
      <c r="B8" s="7" t="s">
        <v>45</v>
      </c>
      <c r="C8" s="1" t="s">
        <v>36</v>
      </c>
      <c r="D8" s="1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9">
        <f t="shared" ref="Q8:R8" si="1">Q6/Q3</f>
        <v>0</v>
      </c>
      <c r="R8" s="19">
        <f t="shared" si="1"/>
        <v>0</v>
      </c>
      <c r="S8" s="15">
        <f ca="1">IFERROR(__xludf.DUMMYFUNCTION("INDEX(IMPORTRANGE(""17pNv02DXDpQT9S3w4-QeNym2QJy2BzMBqDXp-XtzJBM"", ""'JUA'!BG3:BG139""),MATCH($D8,IMPORTRANGE(""17pNv02DXDpQT9S3w4-QeNym2QJy2BzMBqDXp-XtzJBM"", ""'JUA'!D3:D139""),0))"),0.0239361702127659)</f>
        <v>2.3936170212765898E-2</v>
      </c>
      <c r="T8" s="426">
        <v>2.3E-2</v>
      </c>
      <c r="U8" s="426">
        <v>2.7E-2</v>
      </c>
      <c r="V8" s="426">
        <v>3.1E-2</v>
      </c>
      <c r="W8" s="426">
        <v>3.5000000000000003E-2</v>
      </c>
      <c r="X8" s="15">
        <f>((Y8-W8)/6)*5+W8</f>
        <v>0.04</v>
      </c>
      <c r="Y8" s="426">
        <v>4.1000000000000002E-2</v>
      </c>
      <c r="Z8" s="2">
        <f ca="1">IFERROR(__xludf.DUMMYFUNCTION("INDEX(IMPORTRANGE(""17pNv02DXDpQT9S3w4-QeNym2QJy2BzMBqDXp-XtzJBM"", ""'JUA'!BH3:BH139""),MATCH($D8,IMPORTRANGE(""17pNv02DXDpQT9S3w4-QeNym2QJy2BzMBqDXp-XtzJBM"", ""'JUA'!D3:D139""),0))"),0)</f>
        <v>0</v>
      </c>
      <c r="AA8" s="2">
        <f ca="1">IFERROR(__xludf.DUMMYFUNCTION("INDEX(IMPORTRANGE(""17pNv02DXDpQT9S3w4-QeNym2QJy2BzMBqDXp-XtzJBM"", ""'JUA'!BI3:BI139""),MATCH($D8,IMPORTRANGE(""17pNv02DXDpQT9S3w4-QeNym2QJy2BzMBqDXp-XtzJBM"", ""'JUA'!D3:D139""),0))"),0)</f>
        <v>0</v>
      </c>
      <c r="AB8" s="2" t="str">
        <f ca="1">IFERROR(__xludf.DUMMYFUNCTION("INDEX(IMPORTRANGE(""17pNv02DXDpQT9S3w4-QeNym2QJy2BzMBqDXp-XtzJBM"", ""'JUA'!BJ3:BJ139""),MATCH($D8,IMPORTRANGE(""17pNv02DXDpQT9S3w4-QeNym2QJy2BzMBqDXp-XtzJBM"", ""'JUA'!D3:D139""),0))"),"#VALUE!")</f>
        <v>#VALUE!</v>
      </c>
      <c r="AC8" s="2">
        <f ca="1">IFERROR(__xludf.DUMMYFUNCTION("INDEX(IMPORTRANGE(""17pNv02DXDpQT9S3w4-QeNym2QJy2BzMBqDXp-XtzJBM"", ""'JUA'!BK3:BK139""),MATCH($D8,IMPORTRANGE(""17pNv02DXDpQT9S3w4-QeNym2QJy2BzMBqDXp-XtzJBM"", ""'JUA'!D3:D139""),0))"),0.0203252032520325)</f>
        <v>2.0325203252032499E-2</v>
      </c>
      <c r="AD8" s="15">
        <f ca="1">IFERROR(__xludf.DUMMYFUNCTION("INDEX(IMPORTRANGE(""17pNv02DXDpQT9S3w4-QeNym2QJy2BzMBqDXp-XtzJBM"", ""'JUA'!BL3:BL139""),MATCH($D8,IMPORTRANGE(""17pNv02DXDpQT9S3w4-QeNym2QJy2BzMBqDXp-XtzJBM"", ""'JUA'!D3:D139""),0))"),0.0347071583514099)</f>
        <v>3.4707158351409903E-2</v>
      </c>
      <c r="AE8" s="2" t="str">
        <f ca="1">IFERROR(__xludf.DUMMYFUNCTION("INDEX(IMPORTRANGE(""17pNv02DXDpQT9S3w4-QeNym2QJy2BzMBqDXp-XtzJBM"", ""'JUA'!BM3:BM139""),MATCH($D8,IMPORTRANGE(""17pNv02DXDpQT9S3w4-QeNym2QJy2BzMBqDXp-XtzJBM"", ""'JUA'!D3:D139""),0))"),"")</f>
        <v/>
      </c>
    </row>
    <row r="9" spans="1:31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0</v>
      </c>
      <c r="R9" s="2">
        <v>0</v>
      </c>
      <c r="S9" s="2" t="str">
        <f ca="1">IFERROR(__xludf.DUMMYFUNCTION("INDEX(IMPORTRANGE(""17pNv02DXDpQT9S3w4-QeNym2QJy2BzMBqDXp-XtzJBM"", ""'JUA'!BG3:BG139""),MATCH($D9,IMPORTRANGE(""17pNv02DXDpQT9S3w4-QeNym2QJy2BzMBqDXp-XtzJBM"", ""'JUA'!D3:D139""),0))"),"")</f>
        <v/>
      </c>
      <c r="T9" s="13"/>
      <c r="U9" s="13"/>
      <c r="V9" s="13"/>
      <c r="W9" s="13"/>
      <c r="X9" s="13"/>
      <c r="Y9" s="316"/>
      <c r="Z9" s="12" t="str">
        <f ca="1">IFERROR(__xludf.DUMMYFUNCTION("INDEX(IMPORTRANGE(""17pNv02DXDpQT9S3w4-QeNym2QJy2BzMBqDXp-XtzJBM"", ""'JUA'!BH3:BH139""),MATCH($D9,IMPORTRANGE(""17pNv02DXDpQT9S3w4-QeNym2QJy2BzMBqDXp-XtzJBM"", ""'JUA'!D3:D139""),0))"),"")</f>
        <v/>
      </c>
      <c r="AA9" s="12">
        <f ca="1">IFERROR(__xludf.DUMMYFUNCTION("INDEX(IMPORTRANGE(""17pNv02DXDpQT9S3w4-QeNym2QJy2BzMBqDXp-XtzJBM"", ""'JUA'!BI3:BI139""),MATCH($D9,IMPORTRANGE(""17pNv02DXDpQT9S3w4-QeNym2QJy2BzMBqDXp-XtzJBM"", ""'JUA'!D3:D139""),0))"),0)</f>
        <v>0</v>
      </c>
      <c r="AB9" s="12">
        <f ca="1">IFERROR(__xludf.DUMMYFUNCTION("INDEX(IMPORTRANGE(""17pNv02DXDpQT9S3w4-QeNym2QJy2BzMBqDXp-XtzJBM"", ""'JUA'!BJ3:BJ139""),MATCH($D9,IMPORTRANGE(""17pNv02DXDpQT9S3w4-QeNym2QJy2BzMBqDXp-XtzJBM"", ""'JUA'!D3:D139""),0))"),88)</f>
        <v>88</v>
      </c>
      <c r="AC9" s="12">
        <f ca="1">IFERROR(__xludf.DUMMYFUNCTION("INDEX(IMPORTRANGE(""17pNv02DXDpQT9S3w4-QeNym2QJy2BzMBqDXp-XtzJBM"", ""'JUA'!BK3:BK139""),MATCH($D9,IMPORTRANGE(""17pNv02DXDpQT9S3w4-QeNym2QJy2BzMBqDXp-XtzJBM"", ""'JUA'!D3:D139""),0))"),556)</f>
        <v>556</v>
      </c>
      <c r="AD9" s="12">
        <f ca="1">IFERROR(__xludf.DUMMYFUNCTION("INDEX(IMPORTRANGE(""17pNv02DXDpQT9S3w4-QeNym2QJy2BzMBqDXp-XtzJBM"", ""'JUA'!BL3:BL139""),MATCH($D9,IMPORTRANGE(""17pNv02DXDpQT9S3w4-QeNym2QJy2BzMBqDXp-XtzJBM"", ""'JUA'!D3:D139""),0))"),414)</f>
        <v>414</v>
      </c>
      <c r="AE9" s="12">
        <f ca="1">IFERROR(__xludf.DUMMYFUNCTION("INDEX(IMPORTRANGE(""17pNv02DXDpQT9S3w4-QeNym2QJy2BzMBqDXp-XtzJBM"", ""'JUA'!BM3:BM139""),MATCH($D9,IMPORTRANGE(""17pNv02DXDpQT9S3w4-QeNym2QJy2BzMBqDXp-XtzJBM"", ""'JUA'!D3:D139""),0))"),669)</f>
        <v>669</v>
      </c>
    </row>
    <row r="10" spans="1:31">
      <c r="A10" s="7" t="s">
        <v>52</v>
      </c>
      <c r="B10" s="7" t="s">
        <v>53</v>
      </c>
      <c r="C10" s="1" t="s">
        <v>30</v>
      </c>
      <c r="D10" s="1" t="s">
        <v>64</v>
      </c>
      <c r="E10" s="7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1183</v>
      </c>
      <c r="R10" s="2">
        <v>2633</v>
      </c>
      <c r="S10" s="2">
        <f ca="1">IFERROR(__xludf.DUMMYFUNCTION("INDEX(IMPORTRANGE(""17pNv02DXDpQT9S3w4-QeNym2QJy2BzMBqDXp-XtzJBM"", ""'JUA'!BG3:BG139""),MATCH($D10,IMPORTRANGE(""17pNv02DXDpQT9S3w4-QeNym2QJy2BzMBqDXp-XtzJBM"", ""'JUA'!D3:D139""),0))"),2633)</f>
        <v>2633</v>
      </c>
      <c r="T10" s="13"/>
      <c r="U10" s="13"/>
      <c r="V10" s="13"/>
      <c r="W10" s="13"/>
      <c r="X10" s="13"/>
      <c r="Y10" s="316"/>
      <c r="Z10" s="12">
        <f ca="1">IFERROR(__xludf.DUMMYFUNCTION("INDEX(IMPORTRANGE(""17pNv02DXDpQT9S3w4-QeNym2QJy2BzMBqDXp-XtzJBM"", ""'JUA'!BH3:BH139""),MATCH($D10,IMPORTRANGE(""17pNv02DXDpQT9S3w4-QeNym2QJy2BzMBqDXp-XtzJBM"", ""'JUA'!D3:D139""),0))"),1970)</f>
        <v>1970</v>
      </c>
      <c r="AA10" s="12">
        <f ca="1">IFERROR(__xludf.DUMMYFUNCTION("INDEX(IMPORTRANGE(""17pNv02DXDpQT9S3w4-QeNym2QJy2BzMBqDXp-XtzJBM"", ""'JUA'!BI3:BI139""),MATCH($D10,IMPORTRANGE(""17pNv02DXDpQT9S3w4-QeNym2QJy2BzMBqDXp-XtzJBM"", ""'JUA'!D3:D139""),0))"),3205)</f>
        <v>3205</v>
      </c>
      <c r="AB10" s="12">
        <f ca="1">IFERROR(__xludf.DUMMYFUNCTION("INDEX(IMPORTRANGE(""17pNv02DXDpQT9S3w4-QeNym2QJy2BzMBqDXp-XtzJBM"", ""'JUA'!BJ3:BJ139""),MATCH($D10,IMPORTRANGE(""17pNv02DXDpQT9S3w4-QeNym2QJy2BzMBqDXp-XtzJBM"", ""'JUA'!D3:D139""),0))"),1443)</f>
        <v>1443</v>
      </c>
      <c r="AC10" s="12">
        <f ca="1">IFERROR(__xludf.DUMMYFUNCTION("INDEX(IMPORTRANGE(""17pNv02DXDpQT9S3w4-QeNym2QJy2BzMBqDXp-XtzJBM"", ""'JUA'!BK3:BK139""),MATCH($D10,IMPORTRANGE(""17pNv02DXDpQT9S3w4-QeNym2QJy2BzMBqDXp-XtzJBM"", ""'JUA'!D3:D139""),0))"),3062)</f>
        <v>3062</v>
      </c>
      <c r="AD10" s="12">
        <f ca="1">IFERROR(__xludf.DUMMYFUNCTION("INDEX(IMPORTRANGE(""17pNv02DXDpQT9S3w4-QeNym2QJy2BzMBqDXp-XtzJBM"", ""'JUA'!BL3:BL139""),MATCH($D10,IMPORTRANGE(""17pNv02DXDpQT9S3w4-QeNym2QJy2BzMBqDXp-XtzJBM"", ""'JUA'!D3:D139""),0))"),994)</f>
        <v>994</v>
      </c>
      <c r="AE10" s="12">
        <f ca="1">IFERROR(__xludf.DUMMYFUNCTION("INDEX(IMPORTRANGE(""17pNv02DXDpQT9S3w4-QeNym2QJy2BzMBqDXp-XtzJBM"", ""'JUA'!BM3:BM139""),MATCH($D10,IMPORTRANGE(""17pNv02DXDpQT9S3w4-QeNym2QJy2BzMBqDXp-XtzJBM"", ""'JUA'!D3:D139""),0))"),2107)</f>
        <v>2107</v>
      </c>
    </row>
    <row r="11" spans="1:31">
      <c r="A11" s="7" t="s">
        <v>52</v>
      </c>
      <c r="B11" s="7" t="s">
        <v>53</v>
      </c>
      <c r="C11" s="1" t="s">
        <v>36</v>
      </c>
      <c r="D11" s="1" t="s">
        <v>66</v>
      </c>
      <c r="E11" s="7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</v>
      </c>
      <c r="R11" s="15">
        <f t="shared" si="2"/>
        <v>0</v>
      </c>
      <c r="S11" s="15">
        <f ca="1">IFERROR(__xludf.DUMMYFUNCTION("INDEX(IMPORTRANGE(""17pNv02DXDpQT9S3w4-QeNym2QJy2BzMBqDXp-XtzJBM"", ""'JUA'!BG3:BG139""),MATCH($D11,IMPORTRANGE(""17pNv02DXDpQT9S3w4-QeNym2QJy2BzMBqDXp-XtzJBM"", ""'JUA'!D3:D139""),0))"),0)</f>
        <v>0</v>
      </c>
      <c r="T11" s="426">
        <v>5.1999999999999998E-2</v>
      </c>
      <c r="U11" s="426">
        <v>0.129</v>
      </c>
      <c r="V11" s="426">
        <v>0.16600000000000001</v>
      </c>
      <c r="W11" s="426">
        <v>0.20399999999999999</v>
      </c>
      <c r="X11" s="15">
        <f>((Y11-W11)/6)*5+W11</f>
        <v>0.23733333333333334</v>
      </c>
      <c r="Y11" s="426">
        <v>0.24399999999999999</v>
      </c>
      <c r="Z11" s="15">
        <f ca="1">IFERROR(__xludf.DUMMYFUNCTION("INDEX(IMPORTRANGE(""17pNv02DXDpQT9S3w4-QeNym2QJy2BzMBqDXp-XtzJBM"", ""'JUA'!BH3:BH139""),MATCH($D11,IMPORTRANGE(""17pNv02DXDpQT9S3w4-QeNym2QJy2BzMBqDXp-XtzJBM"", ""'JUA'!D3:D139""),0))"),0)</f>
        <v>0</v>
      </c>
      <c r="AA11" s="15">
        <f ca="1">IFERROR(__xludf.DUMMYFUNCTION("INDEX(IMPORTRANGE(""17pNv02DXDpQT9S3w4-QeNym2QJy2BzMBqDXp-XtzJBM"", ""'JUA'!BI3:BI139""),MATCH($D11,IMPORTRANGE(""17pNv02DXDpQT9S3w4-QeNym2QJy2BzMBqDXp-XtzJBM"", ""'JUA'!D3:D139""),0))"),0)</f>
        <v>0</v>
      </c>
      <c r="AB11" s="15">
        <f ca="1">IFERROR(__xludf.DUMMYFUNCTION("INDEX(IMPORTRANGE(""17pNv02DXDpQT9S3w4-QeNym2QJy2BzMBqDXp-XtzJBM"", ""'JUA'!BJ3:BJ139""),MATCH($D11,IMPORTRANGE(""17pNv02DXDpQT9S3w4-QeNym2QJy2BzMBqDXp-XtzJBM"", ""'JUA'!D3:D139""),0))"),0.0609840609840609)</f>
        <v>6.0984060984060902E-2</v>
      </c>
      <c r="AC11" s="15">
        <f ca="1">IFERROR(__xludf.DUMMYFUNCTION("INDEX(IMPORTRANGE(""17pNv02DXDpQT9S3w4-QeNym2QJy2BzMBqDXp-XtzJBM"", ""'JUA'!BK3:BK139""),MATCH($D11,IMPORTRANGE(""17pNv02DXDpQT9S3w4-QeNym2QJy2BzMBqDXp-XtzJBM"", ""'JUA'!D3:D139""),0))"),0.181580666231221)</f>
        <v>0.18158066623122099</v>
      </c>
      <c r="AD11" s="15">
        <f ca="1">IFERROR(__xludf.DUMMYFUNCTION("INDEX(IMPORTRANGE(""17pNv02DXDpQT9S3w4-QeNym2QJy2BzMBqDXp-XtzJBM"", ""'JUA'!BL3:BL139""),MATCH($D11,IMPORTRANGE(""17pNv02DXDpQT9S3w4-QeNym2QJy2BzMBqDXp-XtzJBM"", ""'JUA'!D3:D139""),0))"),0.416498993963782)</f>
        <v>0.41649899396378198</v>
      </c>
      <c r="AE11" s="15">
        <f ca="1">IFERROR(__xludf.DUMMYFUNCTION("INDEX(IMPORTRANGE(""17pNv02DXDpQT9S3w4-QeNym2QJy2BzMBqDXp-XtzJBM"", ""'JUA'!BM3:BM139""),MATCH($D11,IMPORTRANGE(""17pNv02DXDpQT9S3w4-QeNym2QJy2BzMBqDXp-XtzJBM"", ""'JUA'!D3:D139""),0))"),0.31751305173232)</f>
        <v>0.31751305173231997</v>
      </c>
    </row>
    <row r="12" spans="1:31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49</v>
      </c>
      <c r="R12" s="12">
        <v>92</v>
      </c>
      <c r="S12" s="12">
        <f ca="1">IFERROR(__xludf.DUMMYFUNCTION("INDEX(IMPORTRANGE(""17pNv02DXDpQT9S3w4-QeNym2QJy2BzMBqDXp-XtzJBM"", ""'JUA'!BG3:BG139""),MATCH($D12,IMPORTRANGE(""17pNv02DXDpQT9S3w4-QeNym2QJy2BzMBqDXp-XtzJBM"", ""'JUA'!D3:D139""),0))"),86)</f>
        <v>86</v>
      </c>
      <c r="T12" s="13"/>
      <c r="U12" s="13"/>
      <c r="V12" s="13"/>
      <c r="W12" s="13"/>
      <c r="X12" s="13"/>
      <c r="Y12" s="316"/>
      <c r="Z12" s="12">
        <f ca="1">IFERROR(__xludf.DUMMYFUNCTION("INDEX(IMPORTRANGE(""17pNv02DXDpQT9S3w4-QeNym2QJy2BzMBqDXp-XtzJBM"", ""'JUA'!BH3:BH139""),MATCH($D12,IMPORTRANGE(""17pNv02DXDpQT9S3w4-QeNym2QJy2BzMBqDXp-XtzJBM"", ""'JUA'!D3:D139""),0))"),31)</f>
        <v>31</v>
      </c>
      <c r="AA12" s="12">
        <f ca="1">IFERROR(__xludf.DUMMYFUNCTION("INDEX(IMPORTRANGE(""17pNv02DXDpQT9S3w4-QeNym2QJy2BzMBqDXp-XtzJBM"", ""'JUA'!BI3:BI139""),MATCH($D12,IMPORTRANGE(""17pNv02DXDpQT9S3w4-QeNym2QJy2BzMBqDXp-XtzJBM"", ""'JUA'!D3:D139""),0))"),102)</f>
        <v>102</v>
      </c>
      <c r="AB12" s="12">
        <f ca="1">IFERROR(__xludf.DUMMYFUNCTION("INDEX(IMPORTRANGE(""17pNv02DXDpQT9S3w4-QeNym2QJy2BzMBqDXp-XtzJBM"", ""'JUA'!BJ3:BJ139""),MATCH($D12,IMPORTRANGE(""17pNv02DXDpQT9S3w4-QeNym2QJy2BzMBqDXp-XtzJBM"", ""'JUA'!D3:D139""),0))"),71)</f>
        <v>71</v>
      </c>
      <c r="AC12" s="12">
        <f ca="1">IFERROR(__xludf.DUMMYFUNCTION("INDEX(IMPORTRANGE(""17pNv02DXDpQT9S3w4-QeNym2QJy2BzMBqDXp-XtzJBM"", ""'JUA'!BK3:BK139""),MATCH($D12,IMPORTRANGE(""17pNv02DXDpQT9S3w4-QeNym2QJy2BzMBqDXp-XtzJBM"", ""'JUA'!D3:D139""),0))"),148)</f>
        <v>148</v>
      </c>
      <c r="AD12" s="12">
        <f ca="1">IFERROR(__xludf.DUMMYFUNCTION("INDEX(IMPORTRANGE(""17pNv02DXDpQT9S3w4-QeNym2QJy2BzMBqDXp-XtzJBM"", ""'JUA'!BL3:BL139""),MATCH($D12,IMPORTRANGE(""17pNv02DXDpQT9S3w4-QeNym2QJy2BzMBqDXp-XtzJBM"", ""'JUA'!D3:D139""),0))"),87)</f>
        <v>87</v>
      </c>
      <c r="AE12" s="12">
        <f ca="1">IFERROR(__xludf.DUMMYFUNCTION("INDEX(IMPORTRANGE(""17pNv02DXDpQT9S3w4-QeNym2QJy2BzMBqDXp-XtzJBM"", ""'JUA'!BM3:BM139""),MATCH($D12,IMPORTRANGE(""17pNv02DXDpQT9S3w4-QeNym2QJy2BzMBqDXp-XtzJBM"", ""'JUA'!D3:D139""),0))"),171)</f>
        <v>171</v>
      </c>
    </row>
    <row r="13" spans="1:31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12.051630167443873</v>
      </c>
      <c r="R13" s="23">
        <f t="shared" si="3"/>
        <v>22.627550518466052</v>
      </c>
      <c r="S13" s="23">
        <f ca="1">IFERROR(__xludf.DUMMYFUNCTION("INDEX(IMPORTRANGE(""17pNv02DXDpQT9S3w4-QeNym2QJy2BzMBqDXp-XtzJBM"", ""'JUA'!BG3:BG139""),MATCH($D13,IMPORTRANGE(""17pNv02DXDpQT9S3w4-QeNym2QJy2BzMBqDXp-XtzJBM"", ""'JUA'!D3:D139""),0))"),21.1518407020443)</f>
        <v>21.1518407020443</v>
      </c>
      <c r="T13" s="427">
        <v>21.7</v>
      </c>
      <c r="U13" s="427">
        <v>11</v>
      </c>
      <c r="V13" s="427">
        <v>20.7</v>
      </c>
      <c r="W13" s="427">
        <v>10.5</v>
      </c>
      <c r="X13" s="266">
        <f ca="1">+S13*(1+(Y13-R13)/R13)</f>
        <v>18.415217391304303</v>
      </c>
      <c r="Y13" s="427">
        <v>19.7</v>
      </c>
      <c r="Z13" s="23">
        <f ca="1">IFERROR(__xludf.DUMMYFUNCTION("INDEX(IMPORTRANGE(""17pNv02DXDpQT9S3w4-QeNym2QJy2BzMBqDXp-XtzJBM"", ""'JUA'!BH3:BH139""),MATCH($D13,IMPORTRANGE(""17pNv02DXDpQT9S3w4-QeNym2QJy2BzMBqDXp-XtzJBM"", ""'JUA'!D3:D139""),0))"),7.47106768787325)</f>
        <v>7.4710676878732496</v>
      </c>
      <c r="AA13" s="23">
        <f ca="1">IFERROR(__xludf.DUMMYFUNCTION("INDEX(IMPORTRANGE(""17pNv02DXDpQT9S3w4-QeNym2QJy2BzMBqDXp-XtzJBM"", ""'JUA'!BI3:BI139""),MATCH($D13,IMPORTRANGE(""17pNv02DXDpQT9S3w4-QeNym2QJy2BzMBqDXp-XtzJBM"", ""'JUA'!D3:D139""),0))"),24.5822227149377)</f>
        <v>24.5822227149377</v>
      </c>
      <c r="AB13" s="23">
        <f ca="1">IFERROR(__xludf.DUMMYFUNCTION("INDEX(IMPORTRANGE(""17pNv02DXDpQT9S3w4-QeNym2QJy2BzMBqDXp-XtzJBM"", ""'JUA'!BJ3:BJ139""),MATCH($D13,IMPORTRANGE(""17pNv02DXDpQT9S3w4-QeNym2QJy2BzMBqDXp-XtzJBM"", ""'JUA'!D3:D139""),0))"),16.8327019094448)</f>
        <v>16.8327019094448</v>
      </c>
      <c r="AC13" s="23">
        <f ca="1">IFERROR(__xludf.DUMMYFUNCTION("INDEX(IMPORTRANGE(""17pNv02DXDpQT9S3w4-QeNym2QJy2BzMBqDXp-XtzJBM"", ""'JUA'!BK3:BK139""),MATCH($D13,IMPORTRANGE(""17pNv02DXDpQT9S3w4-QeNym2QJy2BzMBqDXp-XtzJBM"", ""'JUA'!D3:D139""),0))"),35.0878856703919)</f>
        <v>35.087885670391898</v>
      </c>
      <c r="AD13" s="23">
        <f ca="1">IFERROR(__xludf.DUMMYFUNCTION("INDEX(IMPORTRANGE(""17pNv02DXDpQT9S3w4-QeNym2QJy2BzMBqDXp-XtzJBM"", ""'JUA'!BL3:BL139""),MATCH($D13,IMPORTRANGE(""17pNv02DXDpQT9S3w4-QeNym2QJy2BzMBqDXp-XtzJBM"", ""'JUA'!D3:D139""),0))"),20.3717015990614)</f>
        <v>20.371701599061399</v>
      </c>
      <c r="AE13" s="23">
        <f ca="1">IFERROR(__xludf.DUMMYFUNCTION("INDEX(IMPORTRANGE(""17pNv02DXDpQT9S3w4-QeNym2QJy2BzMBqDXp-XtzJBM"", ""'JUA'!BM3:BM139""),MATCH($D13,IMPORTRANGE(""17pNv02DXDpQT9S3w4-QeNym2QJy2BzMBqDXp-XtzJBM"", ""'JUA'!D3:D139""),0))"),40.0409307291898)</f>
        <v>40.040930729189803</v>
      </c>
    </row>
    <row r="14" spans="1:31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157</v>
      </c>
      <c r="R14" s="12">
        <v>423</v>
      </c>
      <c r="S14" s="12">
        <f ca="1">IFERROR(__xludf.DUMMYFUNCTION("INDEX(IMPORTRANGE(""17pNv02DXDpQT9S3w4-QeNym2QJy2BzMBqDXp-XtzJBM"", ""'JUA'!BG3:BG139""),MATCH($D14,IMPORTRANGE(""17pNv02DXDpQT9S3w4-QeNym2QJy2BzMBqDXp-XtzJBM"", ""'JUA'!D3:D139""),0))"),380)</f>
        <v>380</v>
      </c>
      <c r="T14" s="13"/>
      <c r="U14" s="13"/>
      <c r="V14" s="13"/>
      <c r="W14" s="13"/>
      <c r="X14" s="43"/>
      <c r="Y14" s="316"/>
      <c r="Z14" s="12">
        <f ca="1">IFERROR(__xludf.DUMMYFUNCTION("INDEX(IMPORTRANGE(""17pNv02DXDpQT9S3w4-QeNym2QJy2BzMBqDXp-XtzJBM"", ""'JUA'!BH3:BH139""),MATCH($D14,IMPORTRANGE(""17pNv02DXDpQT9S3w4-QeNym2QJy2BzMBqDXp-XtzJBM"", ""'JUA'!D3:D139""),0))"),207)</f>
        <v>207</v>
      </c>
      <c r="AA14" s="12">
        <f ca="1">IFERROR(__xludf.DUMMYFUNCTION("INDEX(IMPORTRANGE(""17pNv02DXDpQT9S3w4-QeNym2QJy2BzMBqDXp-XtzJBM"", ""'JUA'!BI3:BI139""),MATCH($D14,IMPORTRANGE(""17pNv02DXDpQT9S3w4-QeNym2QJy2BzMBqDXp-XtzJBM"", ""'JUA'!D3:D139""),0))"),301)</f>
        <v>301</v>
      </c>
      <c r="AB14" s="12">
        <f ca="1">IFERROR(__xludf.DUMMYFUNCTION("INDEX(IMPORTRANGE(""17pNv02DXDpQT9S3w4-QeNym2QJy2BzMBqDXp-XtzJBM"", ""'JUA'!BJ3:BJ139""),MATCH($D14,IMPORTRANGE(""17pNv02DXDpQT9S3w4-QeNym2QJy2BzMBqDXp-XtzJBM"", ""'JUA'!D3:D139""),0))"),86)</f>
        <v>86</v>
      </c>
      <c r="AC14" s="12">
        <f ca="1">IFERROR(__xludf.DUMMYFUNCTION("INDEX(IMPORTRANGE(""17pNv02DXDpQT9S3w4-QeNym2QJy2BzMBqDXp-XtzJBM"", ""'JUA'!BK3:BK139""),MATCH($D14,IMPORTRANGE(""17pNv02DXDpQT9S3w4-QeNym2QJy2BzMBqDXp-XtzJBM"", ""'JUA'!D3:D139""),0))"),168)</f>
        <v>168</v>
      </c>
      <c r="AD14" s="12">
        <f ca="1">IFERROR(__xludf.DUMMYFUNCTION("INDEX(IMPORTRANGE(""17pNv02DXDpQT9S3w4-QeNym2QJy2BzMBqDXp-XtzJBM"", ""'JUA'!BL3:BL139""),MATCH($D14,IMPORTRANGE(""17pNv02DXDpQT9S3w4-QeNym2QJy2BzMBqDXp-XtzJBM"", ""'JUA'!D3:D139""),0))"),38)</f>
        <v>38</v>
      </c>
      <c r="AE14" s="12">
        <f ca="1">IFERROR(__xludf.DUMMYFUNCTION("INDEX(IMPORTRANGE(""17pNv02DXDpQT9S3w4-QeNym2QJy2BzMBqDXp-XtzJBM"", ""'JUA'!BM3:BM139""),MATCH($D14,IMPORTRANGE(""17pNv02DXDpQT9S3w4-QeNym2QJy2BzMBqDXp-XtzJBM"", ""'JUA'!D3:D139""),0))"),65)</f>
        <v>65</v>
      </c>
    </row>
    <row r="15" spans="1:31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241</v>
      </c>
      <c r="R15" s="12">
        <v>541</v>
      </c>
      <c r="S15" s="12">
        <f ca="1">IFERROR(__xludf.DUMMYFUNCTION("INDEX(IMPORTRANGE(""17pNv02DXDpQT9S3w4-QeNym2QJy2BzMBqDXp-XtzJBM"", ""'JUA'!BG3:BG139""),MATCH($D15,IMPORTRANGE(""17pNv02DXDpQT9S3w4-QeNym2QJy2BzMBqDXp-XtzJBM"", ""'JUA'!D3:D139""),0))"),490)</f>
        <v>490</v>
      </c>
      <c r="T15" s="13"/>
      <c r="U15" s="13"/>
      <c r="V15" s="13"/>
      <c r="W15" s="13"/>
      <c r="X15" s="43"/>
      <c r="Y15" s="316"/>
      <c r="Z15" s="12">
        <f ca="1">IFERROR(__xludf.DUMMYFUNCTION("INDEX(IMPORTRANGE(""17pNv02DXDpQT9S3w4-QeNym2QJy2BzMBqDXp-XtzJBM"", ""'JUA'!BH3:BH139""),MATCH($D15,IMPORTRANGE(""17pNv02DXDpQT9S3w4-QeNym2QJy2BzMBqDXp-XtzJBM"", ""'JUA'!D3:D139""),0))"),411)</f>
        <v>411</v>
      </c>
      <c r="AA15" s="12">
        <f ca="1">IFERROR(__xludf.DUMMYFUNCTION("INDEX(IMPORTRANGE(""17pNv02DXDpQT9S3w4-QeNym2QJy2BzMBqDXp-XtzJBM"", ""'JUA'!BI3:BI139""),MATCH($D15,IMPORTRANGE(""17pNv02DXDpQT9S3w4-QeNym2QJy2BzMBqDXp-XtzJBM"", ""'JUA'!D3:D139""),0))"),784)</f>
        <v>784</v>
      </c>
      <c r="AB15" s="12">
        <f ca="1">IFERROR(__xludf.DUMMYFUNCTION("INDEX(IMPORTRANGE(""17pNv02DXDpQT9S3w4-QeNym2QJy2BzMBqDXp-XtzJBM"", ""'JUA'!BJ3:BJ139""),MATCH($D15,IMPORTRANGE(""17pNv02DXDpQT9S3w4-QeNym2QJy2BzMBqDXp-XtzJBM"", ""'JUA'!D3:D139""),0))"),265)</f>
        <v>265</v>
      </c>
      <c r="AC15" s="12">
        <f ca="1">IFERROR(__xludf.DUMMYFUNCTION("INDEX(IMPORTRANGE(""17pNv02DXDpQT9S3w4-QeNym2QJy2BzMBqDXp-XtzJBM"", ""'JUA'!BK3:BK139""),MATCH($D15,IMPORTRANGE(""17pNv02DXDpQT9S3w4-QeNym2QJy2BzMBqDXp-XtzJBM"", ""'JUA'!D3:D139""),0))"),487)</f>
        <v>487</v>
      </c>
      <c r="AD15" s="12">
        <f ca="1">IFERROR(__xludf.DUMMYFUNCTION("INDEX(IMPORTRANGE(""17pNv02DXDpQT9S3w4-QeNym2QJy2BzMBqDXp-XtzJBM"", ""'JUA'!BL3:BL139""),MATCH($D15,IMPORTRANGE(""17pNv02DXDpQT9S3w4-QeNym2QJy2BzMBqDXp-XtzJBM"", ""'JUA'!D3:D139""),0))"),111)</f>
        <v>111</v>
      </c>
      <c r="AE15" s="12">
        <f ca="1">IFERROR(__xludf.DUMMYFUNCTION("INDEX(IMPORTRANGE(""17pNv02DXDpQT9S3w4-QeNym2QJy2BzMBqDXp-XtzJBM"", ""'JUA'!BM3:BM139""),MATCH($D15,IMPORTRANGE(""17pNv02DXDpQT9S3w4-QeNym2QJy2BzMBqDXp-XtzJBM"", ""'JUA'!D3:D139""),0))"),188)</f>
        <v>188</v>
      </c>
    </row>
    <row r="16" spans="1:31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123</v>
      </c>
      <c r="R16" s="12">
        <v>256</v>
      </c>
      <c r="S16" s="12">
        <f ca="1">IFERROR(__xludf.DUMMYFUNCTION("INDEX(IMPORTRANGE(""17pNv02DXDpQT9S3w4-QeNym2QJy2BzMBqDXp-XtzJBM"", ""'JUA'!BG3:BG139""),MATCH($D16,IMPORTRANGE(""17pNv02DXDpQT9S3w4-QeNym2QJy2BzMBqDXp-XtzJBM"", ""'JUA'!D3:D139""),0))"),232)</f>
        <v>232</v>
      </c>
      <c r="T16" s="13"/>
      <c r="U16" s="13"/>
      <c r="V16" s="13"/>
      <c r="W16" s="13"/>
      <c r="X16" s="43"/>
      <c r="Y16" s="316"/>
      <c r="Z16" s="12">
        <f ca="1">IFERROR(__xludf.DUMMYFUNCTION("INDEX(IMPORTRANGE(""17pNv02DXDpQT9S3w4-QeNym2QJy2BzMBqDXp-XtzJBM"", ""'JUA'!BH3:BH139""),MATCH($D16,IMPORTRANGE(""17pNv02DXDpQT9S3w4-QeNym2QJy2BzMBqDXp-XtzJBM"", ""'JUA'!D3:D139""),0))"),193)</f>
        <v>193</v>
      </c>
      <c r="AA16" s="12">
        <f ca="1">IFERROR(__xludf.DUMMYFUNCTION("INDEX(IMPORTRANGE(""17pNv02DXDpQT9S3w4-QeNym2QJy2BzMBqDXp-XtzJBM"", ""'JUA'!BI3:BI139""),MATCH($D16,IMPORTRANGE(""17pNv02DXDpQT9S3w4-QeNym2QJy2BzMBqDXp-XtzJBM"", ""'JUA'!D3:D139""),0))"),435)</f>
        <v>435</v>
      </c>
      <c r="AB16" s="12">
        <f ca="1">IFERROR(__xludf.DUMMYFUNCTION("INDEX(IMPORTRANGE(""17pNv02DXDpQT9S3w4-QeNym2QJy2BzMBqDXp-XtzJBM"", ""'JUA'!BJ3:BJ139""),MATCH($D16,IMPORTRANGE(""17pNv02DXDpQT9S3w4-QeNym2QJy2BzMBqDXp-XtzJBM"", ""'JUA'!D3:D139""),0))"),227)</f>
        <v>227</v>
      </c>
      <c r="AC16" s="12">
        <f ca="1">IFERROR(__xludf.DUMMYFUNCTION("INDEX(IMPORTRANGE(""17pNv02DXDpQT9S3w4-QeNym2QJy2BzMBqDXp-XtzJBM"", ""'JUA'!BK3:BK139""),MATCH($D16,IMPORTRANGE(""17pNv02DXDpQT9S3w4-QeNym2QJy2BzMBqDXp-XtzJBM"", ""'JUA'!D3:D139""),0))"),470)</f>
        <v>470</v>
      </c>
      <c r="AD16" s="12">
        <f ca="1">IFERROR(__xludf.DUMMYFUNCTION("INDEX(IMPORTRANGE(""17pNv02DXDpQT9S3w4-QeNym2QJy2BzMBqDXp-XtzJBM"", ""'JUA'!BL3:BL139""),MATCH($D16,IMPORTRANGE(""17pNv02DXDpQT9S3w4-QeNym2QJy2BzMBqDXp-XtzJBM"", ""'JUA'!D3:D139""),0))"),379)</f>
        <v>379</v>
      </c>
      <c r="AE16" s="12">
        <f ca="1">IFERROR(__xludf.DUMMYFUNCTION("INDEX(IMPORTRANGE(""17pNv02DXDpQT9S3w4-QeNym2QJy2BzMBqDXp-XtzJBM"", ""'JUA'!BM3:BM139""),MATCH($D16,IMPORTRANGE(""17pNv02DXDpQT9S3w4-QeNym2QJy2BzMBqDXp-XtzJBM"", ""'JUA'!D3:D139""),0))"),702)</f>
        <v>702</v>
      </c>
    </row>
    <row r="17" spans="1:31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48</v>
      </c>
      <c r="R17" s="12">
        <v>99</v>
      </c>
      <c r="S17" s="12">
        <f ca="1">IFERROR(__xludf.DUMMYFUNCTION("INDEX(IMPORTRANGE(""17pNv02DXDpQT9S3w4-QeNym2QJy2BzMBqDXp-XtzJBM"", ""'JUA'!BG3:BG139""),MATCH($D17,IMPORTRANGE(""17pNv02DXDpQT9S3w4-QeNym2QJy2BzMBqDXp-XtzJBM"", ""'JUA'!D3:D139""),0))"),90)</f>
        <v>90</v>
      </c>
      <c r="T17" s="13"/>
      <c r="U17" s="13"/>
      <c r="V17" s="13"/>
      <c r="W17" s="13"/>
      <c r="X17" s="43"/>
      <c r="Y17" s="316"/>
      <c r="Z17" s="12">
        <f ca="1">IFERROR(__xludf.DUMMYFUNCTION("INDEX(IMPORTRANGE(""17pNv02DXDpQT9S3w4-QeNym2QJy2BzMBqDXp-XtzJBM"", ""'JUA'!BH3:BH139""),MATCH($D17,IMPORTRANGE(""17pNv02DXDpQT9S3w4-QeNym2QJy2BzMBqDXp-XtzJBM"", ""'JUA'!D3:D139""),0))"),34)</f>
        <v>34</v>
      </c>
      <c r="AA17" s="12">
        <f ca="1">IFERROR(__xludf.DUMMYFUNCTION("INDEX(IMPORTRANGE(""17pNv02DXDpQT9S3w4-QeNym2QJy2BzMBqDXp-XtzJBM"", ""'JUA'!BI3:BI139""),MATCH($D17,IMPORTRANGE(""17pNv02DXDpQT9S3w4-QeNym2QJy2BzMBqDXp-XtzJBM"", ""'JUA'!D3:D139""),0))"),47)</f>
        <v>47</v>
      </c>
      <c r="AB17" s="12">
        <f ca="1">IFERROR(__xludf.DUMMYFUNCTION("INDEX(IMPORTRANGE(""17pNv02DXDpQT9S3w4-QeNym2QJy2BzMBqDXp-XtzJBM"", ""'JUA'!BJ3:BJ139""),MATCH($D17,IMPORTRANGE(""17pNv02DXDpQT9S3w4-QeNym2QJy2BzMBqDXp-XtzJBM"", ""'JUA'!D3:D139""),0))"),9)</f>
        <v>9</v>
      </c>
      <c r="AC17" s="12">
        <f ca="1">IFERROR(__xludf.DUMMYFUNCTION("INDEX(IMPORTRANGE(""17pNv02DXDpQT9S3w4-QeNym2QJy2BzMBqDXp-XtzJBM"", ""'JUA'!BK3:BK139""),MATCH($D17,IMPORTRANGE(""17pNv02DXDpQT9S3w4-QeNym2QJy2BzMBqDXp-XtzJBM"", ""'JUA'!D3:D139""),0))"),36)</f>
        <v>36</v>
      </c>
      <c r="AD17" s="12">
        <f ca="1">IFERROR(__xludf.DUMMYFUNCTION("INDEX(IMPORTRANGE(""17pNv02DXDpQT9S3w4-QeNym2QJy2BzMBqDXp-XtzJBM"", ""'JUA'!BL3:BL139""),MATCH($D17,IMPORTRANGE(""17pNv02DXDpQT9S3w4-QeNym2QJy2BzMBqDXp-XtzJBM"", ""'JUA'!D3:D139""),0))"),23)</f>
        <v>23</v>
      </c>
      <c r="AE17" s="12">
        <f ca="1">IFERROR(__xludf.DUMMYFUNCTION("INDEX(IMPORTRANGE(""17pNv02DXDpQT9S3w4-QeNym2QJy2BzMBqDXp-XtzJBM"", ""'JUA'!BM3:BM139""),MATCH($D17,IMPORTRANGE(""17pNv02DXDpQT9S3w4-QeNym2QJy2BzMBqDXp-XtzJBM"", ""'JUA'!D3:D139""),0))"),32)</f>
        <v>32</v>
      </c>
    </row>
    <row r="18" spans="1:31">
      <c r="A18" s="16" t="s">
        <v>52</v>
      </c>
      <c r="B18" s="16" t="s">
        <v>68</v>
      </c>
      <c r="C18" s="8" t="s">
        <v>30</v>
      </c>
      <c r="D18" s="16" t="s">
        <v>342</v>
      </c>
      <c r="E18" s="16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21" t="s">
        <v>363</v>
      </c>
      <c r="P18" s="21" t="s">
        <v>349</v>
      </c>
      <c r="Q18" s="262">
        <f t="shared" ref="Q18:R18" si="4">SUM(Q14:Q17)</f>
        <v>569</v>
      </c>
      <c r="R18" s="262">
        <f t="shared" si="4"/>
        <v>1319</v>
      </c>
      <c r="S18" s="262">
        <f ca="1">IFERROR(__xludf.DUMMYFUNCTION("INDEX(IMPORTRANGE(""17pNv02DXDpQT9S3w4-QeNym2QJy2BzMBqDXp-XtzJBM"", ""'JUA'!BG3:BG139""),MATCH($D18,IMPORTRANGE(""17pNv02DXDpQT9S3w4-QeNym2QJy2BzMBqDXp-XtzJBM"", ""'JUA'!D3:D139""),0))"),1192)</f>
        <v>1192</v>
      </c>
      <c r="T18" s="360"/>
      <c r="U18" s="360"/>
      <c r="V18" s="360"/>
      <c r="W18" s="360"/>
      <c r="X18" s="360"/>
      <c r="Y18" s="360"/>
      <c r="Z18" s="262">
        <f ca="1">IFERROR(__xludf.DUMMYFUNCTION("INDEX(IMPORTRANGE(""17pNv02DXDpQT9S3w4-QeNym2QJy2BzMBqDXp-XtzJBM"", ""'JUA'!BH3:BH139""),MATCH($D18,IMPORTRANGE(""17pNv02DXDpQT9S3w4-QeNym2QJy2BzMBqDXp-XtzJBM"", ""'JUA'!D3:D139""),0))"),845)</f>
        <v>845</v>
      </c>
      <c r="AA18" s="262">
        <f ca="1">IFERROR(__xludf.DUMMYFUNCTION("INDEX(IMPORTRANGE(""17pNv02DXDpQT9S3w4-QeNym2QJy2BzMBqDXp-XtzJBM"", ""'JUA'!BI3:BI139""),MATCH($D18,IMPORTRANGE(""17pNv02DXDpQT9S3w4-QeNym2QJy2BzMBqDXp-XtzJBM"", ""'JUA'!D3:D139""),0))"),1567)</f>
        <v>1567</v>
      </c>
      <c r="AB18" s="262">
        <f ca="1">IFERROR(__xludf.DUMMYFUNCTION("INDEX(IMPORTRANGE(""17pNv02DXDpQT9S3w4-QeNym2QJy2BzMBqDXp-XtzJBM"", ""'JUA'!BJ3:BJ139""),MATCH($D18,IMPORTRANGE(""17pNv02DXDpQT9S3w4-QeNym2QJy2BzMBqDXp-XtzJBM"", ""'JUA'!D3:D139""),0))"),587)</f>
        <v>587</v>
      </c>
      <c r="AC18" s="262">
        <f ca="1">IFERROR(__xludf.DUMMYFUNCTION("INDEX(IMPORTRANGE(""17pNv02DXDpQT9S3w4-QeNym2QJy2BzMBqDXp-XtzJBM"", ""'JUA'!BK3:BK139""),MATCH($D18,IMPORTRANGE(""17pNv02DXDpQT9S3w4-QeNym2QJy2BzMBqDXp-XtzJBM"", ""'JUA'!D3:D139""),0))"),1161)</f>
        <v>1161</v>
      </c>
      <c r="AD18" s="262">
        <f ca="1">IFERROR(__xludf.DUMMYFUNCTION("INDEX(IMPORTRANGE(""17pNv02DXDpQT9S3w4-QeNym2QJy2BzMBqDXp-XtzJBM"", ""'JUA'!BL3:BL139""),MATCH($D18,IMPORTRANGE(""17pNv02DXDpQT9S3w4-QeNym2QJy2BzMBqDXp-XtzJBM"", ""'JUA'!D3:D139""),0))"),551)</f>
        <v>551</v>
      </c>
      <c r="AE18" s="262">
        <f ca="1">IFERROR(__xludf.DUMMYFUNCTION("INDEX(IMPORTRANGE(""17pNv02DXDpQT9S3w4-QeNym2QJy2BzMBqDXp-XtzJBM"", ""'JUA'!BM3:BM139""),MATCH($D18,IMPORTRANGE(""17pNv02DXDpQT9S3w4-QeNym2QJy2BzMBqDXp-XtzJBM"", ""'JUA'!D3:D139""),0))"),987)</f>
        <v>987</v>
      </c>
    </row>
    <row r="19" spans="1:31">
      <c r="A19" s="7" t="s">
        <v>52</v>
      </c>
      <c r="B19" s="7" t="s">
        <v>68</v>
      </c>
      <c r="C19" s="1" t="s">
        <v>36</v>
      </c>
      <c r="D19" s="7" t="s">
        <v>84</v>
      </c>
      <c r="E19" s="7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139.94648092399109</v>
      </c>
      <c r="R19" s="23">
        <f t="shared" si="5"/>
        <v>324.41020797670348</v>
      </c>
      <c r="S19" s="23">
        <f ca="1">IFERROR(__xludf.DUMMYFUNCTION("INDEX(IMPORTRANGE(""17pNv02DXDpQT9S3w4-QeNym2QJy2BzMBqDXp-XtzJBM"", ""'JUA'!BG3:BG139""),MATCH($D19,IMPORTRANGE(""17pNv02DXDpQT9S3w4-QeNym2QJy2BzMBqDXp-XtzJBM"", ""'JUA'!D3:D139""),0))"),293.174350195777)</f>
        <v>293.17435019577698</v>
      </c>
      <c r="T19" s="428">
        <v>310.5</v>
      </c>
      <c r="U19" s="428">
        <v>127.9</v>
      </c>
      <c r="V19" s="428">
        <v>296.5</v>
      </c>
      <c r="W19" s="428">
        <v>121.9</v>
      </c>
      <c r="X19" s="266">
        <f ca="1">+S19*(1+(Y19-R19)/R19)</f>
        <v>255.38984078847565</v>
      </c>
      <c r="Y19" s="429">
        <v>282.60000000000002</v>
      </c>
      <c r="Z19" s="23">
        <f ca="1">IFERROR(__xludf.DUMMYFUNCTION("INDEX(IMPORTRANGE(""17pNv02DXDpQT9S3w4-QeNym2QJy2BzMBqDXp-XtzJBM"", ""'JUA'!BH3:BH139""),MATCH($D19,IMPORTRANGE(""17pNv02DXDpQT9S3w4-QeNym2QJy2BzMBqDXp-XtzJBM"", ""'JUA'!D3:D139""),0))"),203.646845040416)</f>
        <v>203.646845040416</v>
      </c>
      <c r="AA19" s="23">
        <f ca="1">IFERROR(__xludf.DUMMYFUNCTION("INDEX(IMPORTRANGE(""17pNv02DXDpQT9S3w4-QeNym2QJy2BzMBqDXp-XtzJBM"", ""'JUA'!BI3:BI139""),MATCH($D19,IMPORTRANGE(""17pNv02DXDpQT9S3w4-QeNym2QJy2BzMBqDXp-XtzJBM"", ""'JUA'!D3:D139""),0))"),377.650421512818)</f>
        <v>377.65042151281801</v>
      </c>
      <c r="AB19" s="23">
        <f ca="1">IFERROR(__xludf.DUMMYFUNCTION("INDEX(IMPORTRANGE(""17pNv02DXDpQT9S3w4-QeNym2QJy2BzMBqDXp-XtzJBM"", ""'JUA'!BJ3:BJ139""),MATCH($D19,IMPORTRANGE(""17pNv02DXDpQT9S3w4-QeNym2QJy2BzMBqDXp-XtzJBM"", ""'JUA'!D3:D139""),0))"),139.166141138649)</f>
        <v>139.16614113864901</v>
      </c>
      <c r="AC19" s="23">
        <f ca="1">IFERROR(__xludf.DUMMYFUNCTION("INDEX(IMPORTRANGE(""17pNv02DXDpQT9S3w4-QeNym2QJy2BzMBqDXp-XtzJBM"", ""'JUA'!BK3:BK139""),MATCH($D19,IMPORTRANGE(""17pNv02DXDpQT9S3w4-QeNym2QJy2BzMBqDXp-XtzJBM"", ""'JUA'!D3:D139""),0))"),275.25023826571)</f>
        <v>275.25023826570998</v>
      </c>
      <c r="AD19" s="23">
        <f ca="1">IFERROR(__xludf.DUMMYFUNCTION("INDEX(IMPORTRANGE(""17pNv02DXDpQT9S3w4-QeNym2QJy2BzMBqDXp-XtzJBM"", ""'JUA'!BL3:BL139""),MATCH($D19,IMPORTRANGE(""17pNv02DXDpQT9S3w4-QeNym2QJy2BzMBqDXp-XtzJBM"", ""'JUA'!D3:D139""),0))"),129.020776794056)</f>
        <v>129.02077679405599</v>
      </c>
      <c r="AE19" s="23">
        <f ca="1">IFERROR(__xludf.DUMMYFUNCTION("INDEX(IMPORTRANGE(""17pNv02DXDpQT9S3w4-QeNym2QJy2BzMBqDXp-XtzJBM"", ""'JUA'!BM3:BM139""),MATCH($D19,IMPORTRANGE(""17pNv02DXDpQT9S3w4-QeNym2QJy2BzMBqDXp-XtzJBM"", ""'JUA'!D3:D139""),0))"),231.113442279008)</f>
        <v>231.11344227900801</v>
      </c>
    </row>
    <row r="20" spans="1:31">
      <c r="A20" s="7" t="s">
        <v>52</v>
      </c>
      <c r="B20" s="7" t="s">
        <v>86</v>
      </c>
      <c r="C20" s="1" t="s">
        <v>30</v>
      </c>
      <c r="D20" s="7" t="s">
        <v>87</v>
      </c>
      <c r="E20" s="7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1486</v>
      </c>
      <c r="R20" s="12">
        <v>3175</v>
      </c>
      <c r="S20" s="12">
        <f ca="1">IFERROR(__xludf.DUMMYFUNCTION("INDEX(IMPORTRANGE(""17pNv02DXDpQT9S3w4-QeNym2QJy2BzMBqDXp-XtzJBM"", ""'JUA'!BG3:BG139""),MATCH($D20,IMPORTRANGE(""17pNv02DXDpQT9S3w4-QeNym2QJy2BzMBqDXp-XtzJBM"", ""'JUA'!D3:D139""),0))"),2933)</f>
        <v>2933</v>
      </c>
      <c r="T20" s="13"/>
      <c r="U20" s="13"/>
      <c r="V20" s="13"/>
      <c r="W20" s="13"/>
      <c r="X20" s="43"/>
      <c r="Y20" s="316"/>
      <c r="Z20" s="12">
        <f ca="1">IFERROR(__xludf.DUMMYFUNCTION("INDEX(IMPORTRANGE(""17pNv02DXDpQT9S3w4-QeNym2QJy2BzMBqDXp-XtzJBM"", ""'JUA'!BH3:BH139""),MATCH($D20,IMPORTRANGE(""17pNv02DXDpQT9S3w4-QeNym2QJy2BzMBqDXp-XtzJBM"", ""'JUA'!D3:D139""),0))"),1702)</f>
        <v>1702</v>
      </c>
      <c r="AA20" s="12">
        <f ca="1">IFERROR(__xludf.DUMMYFUNCTION("INDEX(IMPORTRANGE(""17pNv02DXDpQT9S3w4-QeNym2QJy2BzMBqDXp-XtzJBM"", ""'JUA'!BI3:BI139""),MATCH($D20,IMPORTRANGE(""17pNv02DXDpQT9S3w4-QeNym2QJy2BzMBqDXp-XtzJBM"", ""'JUA'!D3:D139""),0))"),3698)</f>
        <v>3698</v>
      </c>
      <c r="AB20" s="12">
        <f ca="1">IFERROR(__xludf.DUMMYFUNCTION("INDEX(IMPORTRANGE(""17pNv02DXDpQT9S3w4-QeNym2QJy2BzMBqDXp-XtzJBM"", ""'JUA'!BJ3:BJ139""),MATCH($D20,IMPORTRANGE(""17pNv02DXDpQT9S3w4-QeNym2QJy2BzMBqDXp-XtzJBM"", ""'JUA'!D3:D139""),0))"),1409)</f>
        <v>1409</v>
      </c>
      <c r="AC20" s="12">
        <f ca="1">IFERROR(__xludf.DUMMYFUNCTION("INDEX(IMPORTRANGE(""17pNv02DXDpQT9S3w4-QeNym2QJy2BzMBqDXp-XtzJBM"", ""'JUA'!BK3:BK139""),MATCH($D20,IMPORTRANGE(""17pNv02DXDpQT9S3w4-QeNym2QJy2BzMBqDXp-XtzJBM"", ""'JUA'!D3:D139""),0))"),2606)</f>
        <v>2606</v>
      </c>
      <c r="AD20" s="12">
        <f ca="1">IFERROR(__xludf.DUMMYFUNCTION("INDEX(IMPORTRANGE(""17pNv02DXDpQT9S3w4-QeNym2QJy2BzMBqDXp-XtzJBM"", ""'JUA'!BL3:BL139""),MATCH($D20,IMPORTRANGE(""17pNv02DXDpQT9S3w4-QeNym2QJy2BzMBqDXp-XtzJBM"", ""'JUA'!D3:D139""),0))"),793)</f>
        <v>793</v>
      </c>
      <c r="AE20" s="12">
        <f ca="1">IFERROR(__xludf.DUMMYFUNCTION("INDEX(IMPORTRANGE(""17pNv02DXDpQT9S3w4-QeNym2QJy2BzMBqDXp-XtzJBM"", ""'JUA'!BM3:BM139""),MATCH($D20,IMPORTRANGE(""17pNv02DXDpQT9S3w4-QeNym2QJy2BzMBqDXp-XtzJBM"", ""'JUA'!D3:D139""),0))"),1407)</f>
        <v>1407</v>
      </c>
    </row>
    <row r="21" spans="1:31">
      <c r="A21" s="7" t="s">
        <v>52</v>
      </c>
      <c r="B21" s="7" t="s">
        <v>86</v>
      </c>
      <c r="C21" s="1" t="s">
        <v>36</v>
      </c>
      <c r="D21" s="7" t="s">
        <v>89</v>
      </c>
      <c r="E21" s="7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365.48413120044074</v>
      </c>
      <c r="R21" s="23">
        <f t="shared" si="6"/>
        <v>780.89644452314894</v>
      </c>
      <c r="S21" s="23">
        <f ca="1">IFERROR(__xludf.DUMMYFUNCTION("INDEX(IMPORTRANGE(""17pNv02DXDpQT9S3w4-QeNym2QJy2BzMBqDXp-XtzJBM"", ""'JUA'!BG3:BG139""),MATCH($D21,IMPORTRANGE(""17pNv02DXDpQT9S3w4-QeNym2QJy2BzMBqDXp-XtzJBM"", ""'JUA'!D3:D139""),0))"),721.37614859414)</f>
        <v>721.37614859413998</v>
      </c>
      <c r="T21" s="428">
        <v>727.8</v>
      </c>
      <c r="U21" s="428">
        <v>315.8</v>
      </c>
      <c r="V21" s="428">
        <v>674.7</v>
      </c>
      <c r="W21" s="428">
        <v>290.89999999999998</v>
      </c>
      <c r="X21" s="266">
        <f ca="1">+S21*(1+(Y21-R21)/R21)</f>
        <v>574.22135433070832</v>
      </c>
      <c r="Y21" s="429">
        <v>621.6</v>
      </c>
      <c r="Z21" s="23">
        <f ca="1">IFERROR(__xludf.DUMMYFUNCTION("INDEX(IMPORTRANGE(""17pNv02DXDpQT9S3w4-QeNym2QJy2BzMBqDXp-XtzJBM"", ""'JUA'!BH3:BH139""),MATCH($D21,IMPORTRANGE(""17pNv02DXDpQT9S3w4-QeNym2QJy2BzMBqDXp-XtzJBM"", ""'JUA'!D3:D139""),0))"),410.185716282589)</f>
        <v>410.185716282589</v>
      </c>
      <c r="AA21" s="23">
        <f ca="1">IFERROR(__xludf.DUMMYFUNCTION("INDEX(IMPORTRANGE(""17pNv02DXDpQT9S3w4-QeNym2QJy2BzMBqDXp-XtzJBM"", ""'JUA'!BI3:BI139""),MATCH($D21,IMPORTRANGE(""17pNv02DXDpQT9S3w4-QeNym2QJy2BzMBqDXp-XtzJBM"", ""'JUA'!D3:D139""),0))"),891.226074508235)</f>
        <v>891.226074508235</v>
      </c>
      <c r="AB21" s="23">
        <f ca="1">IFERROR(__xludf.DUMMYFUNCTION("INDEX(IMPORTRANGE(""17pNv02DXDpQT9S3w4-QeNym2QJy2BzMBqDXp-XtzJBM"", ""'JUA'!BJ3:BJ139""),MATCH($D21,IMPORTRANGE(""17pNv02DXDpQT9S3w4-QeNym2QJy2BzMBqDXp-XtzJBM"", ""'JUA'!D3:D139""),0))"),334.046154794475)</f>
        <v>334.046154794475</v>
      </c>
      <c r="AC21" s="23">
        <f ca="1">IFERROR(__xludf.DUMMYFUNCTION("INDEX(IMPORTRANGE(""17pNv02DXDpQT9S3w4-QeNym2QJy2BzMBqDXp-XtzJBM"", ""'JUA'!BK3:BK139""),MATCH($D21,IMPORTRANGE(""17pNv02DXDpQT9S3w4-QeNym2QJy2BzMBqDXp-XtzJBM"", ""'JUA'!D3:D139""),0))"),617.831284169199)</f>
        <v>617.83128416919897</v>
      </c>
      <c r="AD21" s="23">
        <f ca="1">IFERROR(__xludf.DUMMYFUNCTION("INDEX(IMPORTRANGE(""17pNv02DXDpQT9S3w4-QeNym2QJy2BzMBqDXp-XtzJBM"", ""'JUA'!BL3:BL139""),MATCH($D21,IMPORTRANGE(""17pNv02DXDpQT9S3w4-QeNym2QJy2BzMBqDXp-XtzJBM"", ""'JUA'!D3:D139""),0))"),185.686889287997)</f>
        <v>185.68688928799699</v>
      </c>
      <c r="AE21" s="23">
        <f ca="1">IFERROR(__xludf.DUMMYFUNCTION("INDEX(IMPORTRANGE(""17pNv02DXDpQT9S3w4-QeNym2QJy2BzMBqDXp-XtzJBM"", ""'JUA'!BM3:BM139""),MATCH($D21,IMPORTRANGE(""17pNv02DXDpQT9S3w4-QeNym2QJy2BzMBqDXp-XtzJBM"", ""'JUA'!D3:D139""),0))"),329.459587929649)</f>
        <v>329.45958792964899</v>
      </c>
    </row>
    <row r="22" spans="1:31">
      <c r="A22" s="7" t="s">
        <v>52</v>
      </c>
      <c r="B22" s="7" t="s">
        <v>86</v>
      </c>
      <c r="C22" s="1" t="s">
        <v>30</v>
      </c>
      <c r="D22" s="7" t="s">
        <v>91</v>
      </c>
      <c r="E22" s="7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283</v>
      </c>
      <c r="R22" s="12">
        <v>608</v>
      </c>
      <c r="S22" s="12">
        <f ca="1">IFERROR(__xludf.DUMMYFUNCTION("INDEX(IMPORTRANGE(""17pNv02DXDpQT9S3w4-QeNym2QJy2BzMBqDXp-XtzJBM"", ""'JUA'!BG3:BG139""),MATCH($D22,IMPORTRANGE(""17pNv02DXDpQT9S3w4-QeNym2QJy2BzMBqDXp-XtzJBM"", ""'JUA'!D3:D139""),0))"),549)</f>
        <v>549</v>
      </c>
      <c r="T22" s="13"/>
      <c r="U22" s="13"/>
      <c r="V22" s="13"/>
      <c r="W22" s="13"/>
      <c r="X22" s="43"/>
      <c r="Y22" s="316"/>
      <c r="Z22" s="12">
        <f ca="1">IFERROR(__xludf.DUMMYFUNCTION("INDEX(IMPORTRANGE(""17pNv02DXDpQT9S3w4-QeNym2QJy2BzMBqDXp-XtzJBM"", ""'JUA'!BH3:BH139""),MATCH($D22,IMPORTRANGE(""17pNv02DXDpQT9S3w4-QeNym2QJy2BzMBqDXp-XtzJBM"", ""'JUA'!D3:D139""),0))"),300)</f>
        <v>300</v>
      </c>
      <c r="AA22" s="12">
        <f ca="1">IFERROR(__xludf.DUMMYFUNCTION("INDEX(IMPORTRANGE(""17pNv02DXDpQT9S3w4-QeNym2QJy2BzMBqDXp-XtzJBM"", ""'JUA'!BI3:BI139""),MATCH($D22,IMPORTRANGE(""17pNv02DXDpQT9S3w4-QeNym2QJy2BzMBqDXp-XtzJBM"", ""'JUA'!D3:D139""),0))"),790)</f>
        <v>790</v>
      </c>
      <c r="AB22" s="12">
        <f ca="1">IFERROR(__xludf.DUMMYFUNCTION("INDEX(IMPORTRANGE(""17pNv02DXDpQT9S3w4-QeNym2QJy2BzMBqDXp-XtzJBM"", ""'JUA'!BJ3:BJ139""),MATCH($D22,IMPORTRANGE(""17pNv02DXDpQT9S3w4-QeNym2QJy2BzMBqDXp-XtzJBM"", ""'JUA'!D3:D139""),0))"),279)</f>
        <v>279</v>
      </c>
      <c r="AC22" s="12">
        <f ca="1">IFERROR(__xludf.DUMMYFUNCTION("INDEX(IMPORTRANGE(""17pNv02DXDpQT9S3w4-QeNym2QJy2BzMBqDXp-XtzJBM"", ""'JUA'!BK3:BK139""),MATCH($D22,IMPORTRANGE(""17pNv02DXDpQT9S3w4-QeNym2QJy2BzMBqDXp-XtzJBM"", ""'JUA'!D3:D139""),0))"),430)</f>
        <v>430</v>
      </c>
      <c r="AD22" s="12">
        <f ca="1">IFERROR(__xludf.DUMMYFUNCTION("INDEX(IMPORTRANGE(""17pNv02DXDpQT9S3w4-QeNym2QJy2BzMBqDXp-XtzJBM"", ""'JUA'!BL3:BL139""),MATCH($D22,IMPORTRANGE(""17pNv02DXDpQT9S3w4-QeNym2QJy2BzMBqDXp-XtzJBM"", ""'JUA'!D3:D139""),0))"),116)</f>
        <v>116</v>
      </c>
      <c r="AE22" s="12">
        <f ca="1">IFERROR(__xludf.DUMMYFUNCTION("INDEX(IMPORTRANGE(""17pNv02DXDpQT9S3w4-QeNym2QJy2BzMBqDXp-XtzJBM"", ""'JUA'!BM3:BM139""),MATCH($D22,IMPORTRANGE(""17pNv02DXDpQT9S3w4-QeNym2QJy2BzMBqDXp-XtzJBM"", ""'JUA'!D3:D139""),0))"),188)</f>
        <v>188</v>
      </c>
    </row>
    <row r="23" spans="1:31">
      <c r="A23" s="7" t="s">
        <v>52</v>
      </c>
      <c r="B23" s="7" t="s">
        <v>86</v>
      </c>
      <c r="C23" s="1" t="s">
        <v>36</v>
      </c>
      <c r="D23" s="7" t="s">
        <v>93</v>
      </c>
      <c r="E23" s="7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69.604313007890127</v>
      </c>
      <c r="R23" s="23">
        <f t="shared" si="7"/>
        <v>149.53859473073214</v>
      </c>
      <c r="S23" s="23">
        <f ca="1">IFERROR(__xludf.DUMMYFUNCTION("INDEX(IMPORTRANGE(""17pNv02DXDpQT9S3w4-QeNym2QJy2BzMBqDXp-XtzJBM"", ""'JUA'!BG3:BG139""),MATCH($D23,IMPORTRANGE(""17pNv02DXDpQT9S3w4-QeNym2QJy2BzMBqDXp-XtzJBM"", ""'JUA'!D3:D139""),0))"),135.027448202585)</f>
        <v>135.02744820258499</v>
      </c>
      <c r="T23" s="428">
        <v>142.80000000000001</v>
      </c>
      <c r="U23" s="428">
        <v>63.3</v>
      </c>
      <c r="V23" s="428">
        <v>136</v>
      </c>
      <c r="W23" s="428">
        <v>60.1</v>
      </c>
      <c r="X23" s="266">
        <f ca="1">+S23*(1+(Y23-R23)/R23)</f>
        <v>116.66249999999961</v>
      </c>
      <c r="Y23" s="429">
        <v>129.19999999999999</v>
      </c>
      <c r="Z23" s="23">
        <f ca="1">IFERROR(__xludf.DUMMYFUNCTION("INDEX(IMPORTRANGE(""17pNv02DXDpQT9S3w4-QeNym2QJy2BzMBqDXp-XtzJBM"", ""'JUA'!BH3:BH139""),MATCH($D23,IMPORTRANGE(""17pNv02DXDpQT9S3w4-QeNym2QJy2BzMBqDXp-XtzJBM"", ""'JUA'!D3:D139""),0))"),72.3006550439347)</f>
        <v>72.300655043934697</v>
      </c>
      <c r="AA23" s="23">
        <f ca="1">IFERROR(__xludf.DUMMYFUNCTION("INDEX(IMPORTRANGE(""17pNv02DXDpQT9S3w4-QeNym2QJy2BzMBqDXp-XtzJBM"", ""'JUA'!BI3:BI139""),MATCH($D23,IMPORTRANGE(""17pNv02DXDpQT9S3w4-QeNym2QJy2BzMBqDXp-XtzJBM"", ""'JUA'!D3:D139""),0))"),190.391724949028)</f>
        <v>190.391724949028</v>
      </c>
      <c r="AB23" s="23">
        <f ca="1">IFERROR(__xludf.DUMMYFUNCTION("INDEX(IMPORTRANGE(""17pNv02DXDpQT9S3w4-QeNym2QJy2BzMBqDXp-XtzJBM"", ""'JUA'!BJ3:BJ139""),MATCH($D23,IMPORTRANGE(""17pNv02DXDpQT9S3w4-QeNym2QJy2BzMBqDXp-XtzJBM"", ""'JUA'!D3:D139""),0))"),66.1454060948605)</f>
        <v>66.145406094860505</v>
      </c>
      <c r="AC23" s="23">
        <f ca="1">IFERROR(__xludf.DUMMYFUNCTION("INDEX(IMPORTRANGE(""17pNv02DXDpQT9S3w4-QeNym2QJy2BzMBqDXp-XtzJBM"", ""'JUA'!BK3:BK139""),MATCH($D23,IMPORTRANGE(""17pNv02DXDpQT9S3w4-QeNym2QJy2BzMBqDXp-XtzJBM"", ""'JUA'!D3:D139""),0))"),101.944532691003)</f>
        <v>101.944532691003</v>
      </c>
      <c r="AD23" s="23">
        <f ca="1">IFERROR(__xludf.DUMMYFUNCTION("INDEX(IMPORTRANGE(""17pNv02DXDpQT9S3w4-QeNym2QJy2BzMBqDXp-XtzJBM"", ""'JUA'!BL3:BL139""),MATCH($D23,IMPORTRANGE(""17pNv02DXDpQT9S3w4-QeNym2QJy2BzMBqDXp-XtzJBM"", ""'JUA'!D3:D139""),0))"),27.1622687987486)</f>
        <v>27.162268798748599</v>
      </c>
      <c r="AE23" s="23">
        <f ca="1">IFERROR(__xludf.DUMMYFUNCTION("INDEX(IMPORTRANGE(""17pNv02DXDpQT9S3w4-QeNym2QJy2BzMBqDXp-XtzJBM"", ""'JUA'!BM3:BM139""),MATCH($D23,IMPORTRANGE(""17pNv02DXDpQT9S3w4-QeNym2QJy2BzMBqDXp-XtzJBM"", ""'JUA'!D3:D139""),0))"),44.0216080531443)</f>
        <v>44.021608053144298</v>
      </c>
    </row>
    <row r="24" spans="1:31">
      <c r="A24" s="7" t="s">
        <v>52</v>
      </c>
      <c r="B24" s="7" t="s">
        <v>86</v>
      </c>
      <c r="C24" s="1" t="s">
        <v>30</v>
      </c>
      <c r="D24" s="7" t="s">
        <v>95</v>
      </c>
      <c r="E24" s="7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12">
        <v>13</v>
      </c>
      <c r="R24" s="12">
        <v>26</v>
      </c>
      <c r="S24" s="12">
        <f ca="1">IFERROR(__xludf.DUMMYFUNCTION("INDEX(IMPORTRANGE(""17pNv02DXDpQT9S3w4-QeNym2QJy2BzMBqDXp-XtzJBM"", ""'JUA'!BG3:BG139""),MATCH($D24,IMPORTRANGE(""17pNv02DXDpQT9S3w4-QeNym2QJy2BzMBqDXp-XtzJBM"", ""'JUA'!D3:D139""),0))"),23)</f>
        <v>23</v>
      </c>
      <c r="T24" s="13"/>
      <c r="U24" s="13"/>
      <c r="V24" s="13"/>
      <c r="W24" s="13"/>
      <c r="X24" s="43"/>
      <c r="Y24" s="316"/>
      <c r="Z24" s="2">
        <f ca="1">IFERROR(__xludf.DUMMYFUNCTION("INDEX(IMPORTRANGE(""17pNv02DXDpQT9S3w4-QeNym2QJy2BzMBqDXp-XtzJBM"", ""'JUA'!BH3:BH139""),MATCH($D24,IMPORTRANGE(""17pNv02DXDpQT9S3w4-QeNym2QJy2BzMBqDXp-XtzJBM"", ""'JUA'!D3:D139""),0))"),22)</f>
        <v>22</v>
      </c>
      <c r="AA24" s="2">
        <f ca="1">IFERROR(__xludf.DUMMYFUNCTION("INDEX(IMPORTRANGE(""17pNv02DXDpQT9S3w4-QeNym2QJy2BzMBqDXp-XtzJBM"", ""'JUA'!BI3:BI139""),MATCH($D24,IMPORTRANGE(""17pNv02DXDpQT9S3w4-QeNym2QJy2BzMBqDXp-XtzJBM"", ""'JUA'!D3:D139""),0))"),60)</f>
        <v>60</v>
      </c>
      <c r="AB24" s="2">
        <f ca="1">IFERROR(__xludf.DUMMYFUNCTION("INDEX(IMPORTRANGE(""17pNv02DXDpQT9S3w4-QeNym2QJy2BzMBqDXp-XtzJBM"", ""'JUA'!BJ3:BJ139""),MATCH($D24,IMPORTRANGE(""17pNv02DXDpQT9S3w4-QeNym2QJy2BzMBqDXp-XtzJBM"", ""'JUA'!D3:D139""),0))"),40)</f>
        <v>40</v>
      </c>
      <c r="AC24" s="2">
        <f ca="1">IFERROR(__xludf.DUMMYFUNCTION("INDEX(IMPORTRANGE(""17pNv02DXDpQT9S3w4-QeNym2QJy2BzMBqDXp-XtzJBM"", ""'JUA'!BK3:BK139""),MATCH($D24,IMPORTRANGE(""17pNv02DXDpQT9S3w4-QeNym2QJy2BzMBqDXp-XtzJBM"", ""'JUA'!D3:D139""),0))"),97)</f>
        <v>97</v>
      </c>
      <c r="AD24" s="2">
        <f ca="1">IFERROR(__xludf.DUMMYFUNCTION("INDEX(IMPORTRANGE(""17pNv02DXDpQT9S3w4-QeNym2QJy2BzMBqDXp-XtzJBM"", ""'JUA'!BL3:BL139""),MATCH($D24,IMPORTRANGE(""17pNv02DXDpQT9S3w4-QeNym2QJy2BzMBqDXp-XtzJBM"", ""'JUA'!D3:D139""),0))"),24)</f>
        <v>24</v>
      </c>
      <c r="AE24" s="2">
        <f ca="1">IFERROR(__xludf.DUMMYFUNCTION("INDEX(IMPORTRANGE(""17pNv02DXDpQT9S3w4-QeNym2QJy2BzMBqDXp-XtzJBM"", ""'JUA'!BM3:BM139""),MATCH($D24,IMPORTRANGE(""17pNv02DXDpQT9S3w4-QeNym2QJy2BzMBqDXp-XtzJBM"", ""'JUA'!D3:D139""),0))"),49)</f>
        <v>49</v>
      </c>
    </row>
    <row r="25" spans="1:31">
      <c r="A25" s="7" t="s">
        <v>52</v>
      </c>
      <c r="B25" s="7" t="s">
        <v>86</v>
      </c>
      <c r="C25" s="1" t="s">
        <v>30</v>
      </c>
      <c r="D25" s="7" t="s">
        <v>97</v>
      </c>
      <c r="E25" s="7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12">
        <v>12</v>
      </c>
      <c r="R25" s="12">
        <v>24</v>
      </c>
      <c r="S25" s="12">
        <f ca="1">IFERROR(__xludf.DUMMYFUNCTION("INDEX(IMPORTRANGE(""17pNv02DXDpQT9S3w4-QeNym2QJy2BzMBqDXp-XtzJBM"", ""'JUA'!BG3:BG139""),MATCH($D25,IMPORTRANGE(""17pNv02DXDpQT9S3w4-QeNym2QJy2BzMBqDXp-XtzJBM"", ""'JUA'!D3:D139""),0))"),20)</f>
        <v>20</v>
      </c>
      <c r="T25" s="13"/>
      <c r="U25" s="13"/>
      <c r="V25" s="13"/>
      <c r="W25" s="13"/>
      <c r="X25" s="43"/>
      <c r="Y25" s="316"/>
      <c r="Z25" s="2">
        <f ca="1">IFERROR(__xludf.DUMMYFUNCTION("INDEX(IMPORTRANGE(""17pNv02DXDpQT9S3w4-QeNym2QJy2BzMBqDXp-XtzJBM"", ""'JUA'!BH3:BH139""),MATCH($D25,IMPORTRANGE(""17pNv02DXDpQT9S3w4-QeNym2QJy2BzMBqDXp-XtzJBM"", ""'JUA'!D3:D139""),0))"),11)</f>
        <v>11</v>
      </c>
      <c r="AA25" s="2">
        <f ca="1">IFERROR(__xludf.DUMMYFUNCTION("INDEX(IMPORTRANGE(""17pNv02DXDpQT9S3w4-QeNym2QJy2BzMBqDXp-XtzJBM"", ""'JUA'!BI3:BI139""),MATCH($D25,IMPORTRANGE(""17pNv02DXDpQT9S3w4-QeNym2QJy2BzMBqDXp-XtzJBM"", ""'JUA'!D3:D139""),0))"),29)</f>
        <v>29</v>
      </c>
      <c r="AB25" s="2">
        <f ca="1">IFERROR(__xludf.DUMMYFUNCTION("INDEX(IMPORTRANGE(""17pNv02DXDpQT9S3w4-QeNym2QJy2BzMBqDXp-XtzJBM"", ""'JUA'!BJ3:BJ139""),MATCH($D25,IMPORTRANGE(""17pNv02DXDpQT9S3w4-QeNym2QJy2BzMBqDXp-XtzJBM"", ""'JUA'!D3:D139""),0))"),14)</f>
        <v>14</v>
      </c>
      <c r="AC25" s="2">
        <f ca="1">IFERROR(__xludf.DUMMYFUNCTION("INDEX(IMPORTRANGE(""17pNv02DXDpQT9S3w4-QeNym2QJy2BzMBqDXp-XtzJBM"", ""'JUA'!BK3:BK139""),MATCH($D25,IMPORTRANGE(""17pNv02DXDpQT9S3w4-QeNym2QJy2BzMBqDXp-XtzJBM"", ""'JUA'!D3:D139""),0))"),44)</f>
        <v>44</v>
      </c>
      <c r="AD25" s="2">
        <f ca="1">IFERROR(__xludf.DUMMYFUNCTION("INDEX(IMPORTRANGE(""17pNv02DXDpQT9S3w4-QeNym2QJy2BzMBqDXp-XtzJBM"", ""'JUA'!BL3:BL139""),MATCH($D25,IMPORTRANGE(""17pNv02DXDpQT9S3w4-QeNym2QJy2BzMBqDXp-XtzJBM"", ""'JUA'!D3:D139""),0))"),10)</f>
        <v>10</v>
      </c>
      <c r="AE25" s="2">
        <f ca="1">IFERROR(__xludf.DUMMYFUNCTION("INDEX(IMPORTRANGE(""17pNv02DXDpQT9S3w4-QeNym2QJy2BzMBqDXp-XtzJBM"", ""'JUA'!BM3:BM139""),MATCH($D25,IMPORTRANGE(""17pNv02DXDpQT9S3w4-QeNym2QJy2BzMBqDXp-XtzJBM"", ""'JUA'!D3:D139""),0))"),21)</f>
        <v>21</v>
      </c>
    </row>
    <row r="26" spans="1:31">
      <c r="A26" s="7" t="s">
        <v>52</v>
      </c>
      <c r="B26" s="7" t="s">
        <v>86</v>
      </c>
      <c r="C26" s="1" t="s">
        <v>30</v>
      </c>
      <c r="D26" s="7" t="s">
        <v>99</v>
      </c>
      <c r="E26" s="7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12">
        <v>3</v>
      </c>
      <c r="R26" s="12">
        <v>4</v>
      </c>
      <c r="S26" s="12">
        <f ca="1">IFERROR(__xludf.DUMMYFUNCTION("INDEX(IMPORTRANGE(""17pNv02DXDpQT9S3w4-QeNym2QJy2BzMBqDXp-XtzJBM"", ""'JUA'!BG3:BG139""),MATCH($D26,IMPORTRANGE(""17pNv02DXDpQT9S3w4-QeNym2QJy2BzMBqDXp-XtzJBM"", ""'JUA'!D3:D139""),0))"),3)</f>
        <v>3</v>
      </c>
      <c r="T26" s="13"/>
      <c r="U26" s="13"/>
      <c r="V26" s="13"/>
      <c r="W26" s="13"/>
      <c r="X26" s="43"/>
      <c r="Y26" s="316"/>
      <c r="Z26" s="2">
        <f ca="1">IFERROR(__xludf.DUMMYFUNCTION("INDEX(IMPORTRANGE(""17pNv02DXDpQT9S3w4-QeNym2QJy2BzMBqDXp-XtzJBM"", ""'JUA'!BH3:BH139""),MATCH($D26,IMPORTRANGE(""17pNv02DXDpQT9S3w4-QeNym2QJy2BzMBqDXp-XtzJBM"", ""'JUA'!D3:D139""),0))"),2)</f>
        <v>2</v>
      </c>
      <c r="AA26" s="2">
        <f ca="1">IFERROR(__xludf.DUMMYFUNCTION("INDEX(IMPORTRANGE(""17pNv02DXDpQT9S3w4-QeNym2QJy2BzMBqDXp-XtzJBM"", ""'JUA'!BI3:BI139""),MATCH($D26,IMPORTRANGE(""17pNv02DXDpQT9S3w4-QeNym2QJy2BzMBqDXp-XtzJBM"", ""'JUA'!D3:D139""),0))"),3)</f>
        <v>3</v>
      </c>
      <c r="AB26" s="2">
        <f ca="1">IFERROR(__xludf.DUMMYFUNCTION("INDEX(IMPORTRANGE(""17pNv02DXDpQT9S3w4-QeNym2QJy2BzMBqDXp-XtzJBM"", ""'JUA'!BJ3:BJ139""),MATCH($D26,IMPORTRANGE(""17pNv02DXDpQT9S3w4-QeNym2QJy2BzMBqDXp-XtzJBM"", ""'JUA'!D3:D139""),0))"),1)</f>
        <v>1</v>
      </c>
      <c r="AC26" s="2">
        <f ca="1">IFERROR(__xludf.DUMMYFUNCTION("INDEX(IMPORTRANGE(""17pNv02DXDpQT9S3w4-QeNym2QJy2BzMBqDXp-XtzJBM"", ""'JUA'!BK3:BK139""),MATCH($D26,IMPORTRANGE(""17pNv02DXDpQT9S3w4-QeNym2QJy2BzMBqDXp-XtzJBM"", ""'JUA'!D3:D139""),0))"),4)</f>
        <v>4</v>
      </c>
      <c r="AD26" s="2">
        <f ca="1">IFERROR(__xludf.DUMMYFUNCTION("INDEX(IMPORTRANGE(""17pNv02DXDpQT9S3w4-QeNym2QJy2BzMBqDXp-XtzJBM"", ""'JUA'!BL3:BL139""),MATCH($D26,IMPORTRANGE(""17pNv02DXDpQT9S3w4-QeNym2QJy2BzMBqDXp-XtzJBM"", ""'JUA'!D3:D139""),0))"),0)</f>
        <v>0</v>
      </c>
      <c r="AE26" s="2">
        <f ca="1">IFERROR(__xludf.DUMMYFUNCTION("INDEX(IMPORTRANGE(""17pNv02DXDpQT9S3w4-QeNym2QJy2BzMBqDXp-XtzJBM"", ""'JUA'!BM3:BM139""),MATCH($D26,IMPORTRANGE(""17pNv02DXDpQT9S3w4-QeNym2QJy2BzMBqDXp-XtzJBM"", ""'JUA'!D3:D139""),0))"),1)</f>
        <v>1</v>
      </c>
    </row>
    <row r="27" spans="1:31">
      <c r="A27" s="7" t="s">
        <v>52</v>
      </c>
      <c r="B27" s="7" t="s">
        <v>86</v>
      </c>
      <c r="C27" s="1" t="s">
        <v>30</v>
      </c>
      <c r="D27" s="7" t="s">
        <v>101</v>
      </c>
      <c r="E27" s="7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12">
        <v>0</v>
      </c>
      <c r="R27" s="12">
        <v>0</v>
      </c>
      <c r="S27" s="12">
        <f ca="1">IFERROR(__xludf.DUMMYFUNCTION("INDEX(IMPORTRANGE(""17pNv02DXDpQT9S3w4-QeNym2QJy2BzMBqDXp-XtzJBM"", ""'JUA'!BG3:BG139""),MATCH($D27,IMPORTRANGE(""17pNv02DXDpQT9S3w4-QeNym2QJy2BzMBqDXp-XtzJBM"", ""'JUA'!D3:D139""),0))"),0)</f>
        <v>0</v>
      </c>
      <c r="T27" s="13"/>
      <c r="U27" s="13"/>
      <c r="V27" s="13"/>
      <c r="W27" s="13"/>
      <c r="X27" s="43"/>
      <c r="Y27" s="316"/>
      <c r="Z27" s="2">
        <f ca="1">IFERROR(__xludf.DUMMYFUNCTION("INDEX(IMPORTRANGE(""17pNv02DXDpQT9S3w4-QeNym2QJy2BzMBqDXp-XtzJBM"", ""'JUA'!BH3:BH139""),MATCH($D27,IMPORTRANGE(""17pNv02DXDpQT9S3w4-QeNym2QJy2BzMBqDXp-XtzJBM"", ""'JUA'!D3:D139""),0))"),0)</f>
        <v>0</v>
      </c>
      <c r="AA27" s="2">
        <f ca="1">IFERROR(__xludf.DUMMYFUNCTION("INDEX(IMPORTRANGE(""17pNv02DXDpQT9S3w4-QeNym2QJy2BzMBqDXp-XtzJBM"", ""'JUA'!BI3:BI139""),MATCH($D27,IMPORTRANGE(""17pNv02DXDpQT9S3w4-QeNym2QJy2BzMBqDXp-XtzJBM"", ""'JUA'!D3:D139""),0))"),1)</f>
        <v>1</v>
      </c>
      <c r="AB27" s="2">
        <f ca="1">IFERROR(__xludf.DUMMYFUNCTION("INDEX(IMPORTRANGE(""17pNv02DXDpQT9S3w4-QeNym2QJy2BzMBqDXp-XtzJBM"", ""'JUA'!BJ3:BJ139""),MATCH($D27,IMPORTRANGE(""17pNv02DXDpQT9S3w4-QeNym2QJy2BzMBqDXp-XtzJBM"", ""'JUA'!D3:D139""),0))"),2)</f>
        <v>2</v>
      </c>
      <c r="AC27" s="2">
        <f ca="1">IFERROR(__xludf.DUMMYFUNCTION("INDEX(IMPORTRANGE(""17pNv02DXDpQT9S3w4-QeNym2QJy2BzMBqDXp-XtzJBM"", ""'JUA'!BK3:BK139""),MATCH($D27,IMPORTRANGE(""17pNv02DXDpQT9S3w4-QeNym2QJy2BzMBqDXp-XtzJBM"", ""'JUA'!D3:D139""),0))"),4)</f>
        <v>4</v>
      </c>
      <c r="AD27" s="2">
        <f ca="1">IFERROR(__xludf.DUMMYFUNCTION("INDEX(IMPORTRANGE(""17pNv02DXDpQT9S3w4-QeNym2QJy2BzMBqDXp-XtzJBM"", ""'JUA'!BL3:BL139""),MATCH($D27,IMPORTRANGE(""17pNv02DXDpQT9S3w4-QeNym2QJy2BzMBqDXp-XtzJBM"", ""'JUA'!D3:D139""),0))"),1)</f>
        <v>1</v>
      </c>
      <c r="AE27" s="2">
        <f ca="1">IFERROR(__xludf.DUMMYFUNCTION("INDEX(IMPORTRANGE(""17pNv02DXDpQT9S3w4-QeNym2QJy2BzMBqDXp-XtzJBM"", ""'JUA'!BM3:BM139""),MATCH($D27,IMPORTRANGE(""17pNv02DXDpQT9S3w4-QeNym2QJy2BzMBqDXp-XtzJBM"", ""'JUA'!D3:D139""),0))"),1)</f>
        <v>1</v>
      </c>
    </row>
    <row r="28" spans="1:31">
      <c r="A28" s="7" t="s">
        <v>52</v>
      </c>
      <c r="B28" s="7" t="s">
        <v>86</v>
      </c>
      <c r="C28" s="1" t="s">
        <v>30</v>
      </c>
      <c r="D28" s="7" t="s">
        <v>103</v>
      </c>
      <c r="E28" s="7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>
        <v>0</v>
      </c>
      <c r="R28" s="12">
        <v>0</v>
      </c>
      <c r="S28" s="12">
        <f ca="1">IFERROR(__xludf.DUMMYFUNCTION("INDEX(IMPORTRANGE(""17pNv02DXDpQT9S3w4-QeNym2QJy2BzMBqDXp-XtzJBM"", ""'JUA'!BG3:BG139""),MATCH($D28,IMPORTRANGE(""17pNv02DXDpQT9S3w4-QeNym2QJy2BzMBqDXp-XtzJBM"", ""'JUA'!D3:D139""),0))"),0)</f>
        <v>0</v>
      </c>
      <c r="T28" s="13"/>
      <c r="U28" s="13"/>
      <c r="V28" s="13"/>
      <c r="W28" s="13"/>
      <c r="X28" s="43"/>
      <c r="Y28" s="316"/>
      <c r="Z28" s="12">
        <f ca="1">IFERROR(__xludf.DUMMYFUNCTION("INDEX(IMPORTRANGE(""17pNv02DXDpQT9S3w4-QeNym2QJy2BzMBqDXp-XtzJBM"", ""'JUA'!BH3:BH139""),MATCH($D28,IMPORTRANGE(""17pNv02DXDpQT9S3w4-QeNym2QJy2BzMBqDXp-XtzJBM"", ""'JUA'!D3:D139""),0))"),0)</f>
        <v>0</v>
      </c>
      <c r="AA28" s="12">
        <f ca="1">IFERROR(__xludf.DUMMYFUNCTION("INDEX(IMPORTRANGE(""17pNv02DXDpQT9S3w4-QeNym2QJy2BzMBqDXp-XtzJBM"", ""'JUA'!BI3:BI139""),MATCH($D28,IMPORTRANGE(""17pNv02DXDpQT9S3w4-QeNym2QJy2BzMBqDXp-XtzJBM"", ""'JUA'!D3:D139""),0))"),0)</f>
        <v>0</v>
      </c>
      <c r="AB28" s="12">
        <f ca="1">IFERROR(__xludf.DUMMYFUNCTION("INDEX(IMPORTRANGE(""17pNv02DXDpQT9S3w4-QeNym2QJy2BzMBqDXp-XtzJBM"", ""'JUA'!BJ3:BJ139""),MATCH($D28,IMPORTRANGE(""17pNv02DXDpQT9S3w4-QeNym2QJy2BzMBqDXp-XtzJBM"", ""'JUA'!D3:D139""),0))"),0)</f>
        <v>0</v>
      </c>
      <c r="AC28" s="12">
        <f ca="1">IFERROR(__xludf.DUMMYFUNCTION("INDEX(IMPORTRANGE(""17pNv02DXDpQT9S3w4-QeNym2QJy2BzMBqDXp-XtzJBM"", ""'JUA'!BK3:BK139""),MATCH($D28,IMPORTRANGE(""17pNv02DXDpQT9S3w4-QeNym2QJy2BzMBqDXp-XtzJBM"", ""'JUA'!D3:D139""),0))"),0)</f>
        <v>0</v>
      </c>
      <c r="AD28" s="12">
        <f ca="1">IFERROR(__xludf.DUMMYFUNCTION("INDEX(IMPORTRANGE(""17pNv02DXDpQT9S3w4-QeNym2QJy2BzMBqDXp-XtzJBM"", ""'JUA'!BL3:BL139""),MATCH($D28,IMPORTRANGE(""17pNv02DXDpQT9S3w4-QeNym2QJy2BzMBqDXp-XtzJBM"", ""'JUA'!D3:D139""),0))"),1)</f>
        <v>1</v>
      </c>
      <c r="AE28" s="12">
        <f ca="1">IFERROR(__xludf.DUMMYFUNCTION("INDEX(IMPORTRANGE(""17pNv02DXDpQT9S3w4-QeNym2QJy2BzMBqDXp-XtzJBM"", ""'JUA'!BM3:BM139""),MATCH($D28,IMPORTRANGE(""17pNv02DXDpQT9S3w4-QeNym2QJy2BzMBqDXp-XtzJBM"", ""'JUA'!D3:D139""),0))"),1)</f>
        <v>1</v>
      </c>
    </row>
    <row r="29" spans="1:31">
      <c r="A29" s="7" t="s">
        <v>52</v>
      </c>
      <c r="B29" s="7" t="s">
        <v>86</v>
      </c>
      <c r="C29" s="1" t="s">
        <v>30</v>
      </c>
      <c r="D29" s="7" t="s">
        <v>105</v>
      </c>
      <c r="E29" s="7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""'JUA'!BG3:BG139""),MATCH($D29,IMPORTRANGE(""17pNv02DXDpQT9S3w4-QeNym2QJy2BzMBqDXp-XtzJBM"", ""'JUA'!D3:D139""),0))"),0)</f>
        <v>0</v>
      </c>
      <c r="T29" s="13"/>
      <c r="U29" s="13"/>
      <c r="V29" s="13"/>
      <c r="W29" s="13"/>
      <c r="X29" s="43"/>
      <c r="Y29" s="316"/>
      <c r="Z29" s="12">
        <f ca="1">IFERROR(__xludf.DUMMYFUNCTION("INDEX(IMPORTRANGE(""17pNv02DXDpQT9S3w4-QeNym2QJy2BzMBqDXp-XtzJBM"", ""'JUA'!BH3:BH139""),MATCH($D29,IMPORTRANGE(""17pNv02DXDpQT9S3w4-QeNym2QJy2BzMBqDXp-XtzJBM"", ""'JUA'!D3:D139""),0))"),0)</f>
        <v>0</v>
      </c>
      <c r="AA29" s="12">
        <f ca="1">IFERROR(__xludf.DUMMYFUNCTION("INDEX(IMPORTRANGE(""17pNv02DXDpQT9S3w4-QeNym2QJy2BzMBqDXp-XtzJBM"", ""'JUA'!BI3:BI139""),MATCH($D29,IMPORTRANGE(""17pNv02DXDpQT9S3w4-QeNym2QJy2BzMBqDXp-XtzJBM"", ""'JUA'!D3:D139""),0))"),0)</f>
        <v>0</v>
      </c>
      <c r="AB29" s="12">
        <f ca="1">IFERROR(__xludf.DUMMYFUNCTION("INDEX(IMPORTRANGE(""17pNv02DXDpQT9S3w4-QeNym2QJy2BzMBqDXp-XtzJBM"", ""'JUA'!BJ3:BJ139""),MATCH($D29,IMPORTRANGE(""17pNv02DXDpQT9S3w4-QeNym2QJy2BzMBqDXp-XtzJBM"", ""'JUA'!D3:D139""),0))"),0)</f>
        <v>0</v>
      </c>
      <c r="AC29" s="12">
        <f ca="1">IFERROR(__xludf.DUMMYFUNCTION("INDEX(IMPORTRANGE(""17pNv02DXDpQT9S3w4-QeNym2QJy2BzMBqDXp-XtzJBM"", ""'JUA'!BK3:BK139""),MATCH($D29,IMPORTRANGE(""17pNv02DXDpQT9S3w4-QeNym2QJy2BzMBqDXp-XtzJBM"", ""'JUA'!D3:D139""),0))"),0)</f>
        <v>0</v>
      </c>
      <c r="AD29" s="12">
        <f ca="1">IFERROR(__xludf.DUMMYFUNCTION("INDEX(IMPORTRANGE(""17pNv02DXDpQT9S3w4-QeNym2QJy2BzMBqDXp-XtzJBM"", ""'JUA'!BL3:BL139""),MATCH($D29,IMPORTRANGE(""17pNv02DXDpQT9S3w4-QeNym2QJy2BzMBqDXp-XtzJBM"", ""'JUA'!D3:D139""),0))"),0)</f>
        <v>0</v>
      </c>
      <c r="AE29" s="12">
        <f ca="1">IFERROR(__xludf.DUMMYFUNCTION("INDEX(IMPORTRANGE(""17pNv02DXDpQT9S3w4-QeNym2QJy2BzMBqDXp-XtzJBM"", ""'JUA'!BM3:BM139""),MATCH($D29,IMPORTRANGE(""17pNv02DXDpQT9S3w4-QeNym2QJy2BzMBqDXp-XtzJBM"", ""'JUA'!D3:D139""),0))"),0)</f>
        <v>0</v>
      </c>
    </row>
    <row r="30" spans="1:31">
      <c r="A30" s="7" t="s">
        <v>52</v>
      </c>
      <c r="B30" s="7" t="s">
        <v>86</v>
      </c>
      <c r="C30" s="1" t="s">
        <v>30</v>
      </c>
      <c r="D30" s="7" t="s">
        <v>107</v>
      </c>
      <c r="E30" s="7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>
        <v>3</v>
      </c>
      <c r="R30" s="12">
        <v>20</v>
      </c>
      <c r="S30" s="12">
        <f ca="1">IFERROR(__xludf.DUMMYFUNCTION("INDEX(IMPORTRANGE(""17pNv02DXDpQT9S3w4-QeNym2QJy2BzMBqDXp-XtzJBM"", ""'JUA'!BG3:BG139""),MATCH($D30,IMPORTRANGE(""17pNv02DXDpQT9S3w4-QeNym2QJy2BzMBqDXp-XtzJBM"", ""'JUA'!D3:D139""),0))"),17)</f>
        <v>17</v>
      </c>
      <c r="T30" s="13"/>
      <c r="U30" s="13"/>
      <c r="V30" s="13"/>
      <c r="W30" s="13"/>
      <c r="X30" s="43"/>
      <c r="Y30" s="316"/>
      <c r="Z30" s="12">
        <f ca="1">IFERROR(__xludf.DUMMYFUNCTION("INDEX(IMPORTRANGE(""17pNv02DXDpQT9S3w4-QeNym2QJy2BzMBqDXp-XtzJBM"", ""'JUA'!BH3:BH139""),MATCH($D30,IMPORTRANGE(""17pNv02DXDpQT9S3w4-QeNym2QJy2BzMBqDXp-XtzJBM"", ""'JUA'!D3:D139""),0))"),9)</f>
        <v>9</v>
      </c>
      <c r="AA30" s="12">
        <f ca="1">IFERROR(__xludf.DUMMYFUNCTION("INDEX(IMPORTRANGE(""17pNv02DXDpQT9S3w4-QeNym2QJy2BzMBqDXp-XtzJBM"", ""'JUA'!BI3:BI139""),MATCH($D30,IMPORTRANGE(""17pNv02DXDpQT9S3w4-QeNym2QJy2BzMBqDXp-XtzJBM"", ""'JUA'!D3:D139""),0))"),26)</f>
        <v>26</v>
      </c>
      <c r="AB30" s="12">
        <f ca="1">IFERROR(__xludf.DUMMYFUNCTION("INDEX(IMPORTRANGE(""17pNv02DXDpQT9S3w4-QeNym2QJy2BzMBqDXp-XtzJBM"", ""'JUA'!BJ3:BJ139""),MATCH($D30,IMPORTRANGE(""17pNv02DXDpQT9S3w4-QeNym2QJy2BzMBqDXp-XtzJBM"", ""'JUA'!D3:D139""),0))"),14)</f>
        <v>14</v>
      </c>
      <c r="AC30" s="12">
        <f ca="1">IFERROR(__xludf.DUMMYFUNCTION("INDEX(IMPORTRANGE(""17pNv02DXDpQT9S3w4-QeNym2QJy2BzMBqDXp-XtzJBM"", ""'JUA'!BK3:BK139""),MATCH($D30,IMPORTRANGE(""17pNv02DXDpQT9S3w4-QeNym2QJy2BzMBqDXp-XtzJBM"", ""'JUA'!D3:D139""),0))"),32)</f>
        <v>32</v>
      </c>
      <c r="AD30" s="12">
        <f ca="1">IFERROR(__xludf.DUMMYFUNCTION("INDEX(IMPORTRANGE(""17pNv02DXDpQT9S3w4-QeNym2QJy2BzMBqDXp-XtzJBM"", ""'JUA'!BL3:BL139""),MATCH($D30,IMPORTRANGE(""17pNv02DXDpQT9S3w4-QeNym2QJy2BzMBqDXp-XtzJBM"", ""'JUA'!D3:D139""),0))"),6)</f>
        <v>6</v>
      </c>
      <c r="AE30" s="12">
        <f ca="1">IFERROR(__xludf.DUMMYFUNCTION("INDEX(IMPORTRANGE(""17pNv02DXDpQT9S3w4-QeNym2QJy2BzMBqDXp-XtzJBM"", ""'JUA'!BM3:BM139""),MATCH($D30,IMPORTRANGE(""17pNv02DXDpQT9S3w4-QeNym2QJy2BzMBqDXp-XtzJBM"", ""'JUA'!D3:D139""),0))"),14)</f>
        <v>14</v>
      </c>
    </row>
    <row r="31" spans="1:31">
      <c r="A31" s="7" t="s">
        <v>52</v>
      </c>
      <c r="B31" s="7" t="s">
        <v>86</v>
      </c>
      <c r="C31" s="1" t="s">
        <v>30</v>
      </c>
      <c r="D31" s="7" t="s">
        <v>109</v>
      </c>
      <c r="E31" s="7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>
        <v>1</v>
      </c>
      <c r="R31" s="12">
        <v>2</v>
      </c>
      <c r="S31" s="12">
        <f ca="1">IFERROR(__xludf.DUMMYFUNCTION("INDEX(IMPORTRANGE(""17pNv02DXDpQT9S3w4-QeNym2QJy2BzMBqDXp-XtzJBM"", ""'JUA'!BG3:BG139""),MATCH($D31,IMPORTRANGE(""17pNv02DXDpQT9S3w4-QeNym2QJy2BzMBqDXp-XtzJBM"", ""'JUA'!D3:D139""),0))"),2)</f>
        <v>2</v>
      </c>
      <c r="T31" s="13"/>
      <c r="U31" s="13"/>
      <c r="V31" s="13"/>
      <c r="W31" s="13"/>
      <c r="X31" s="43"/>
      <c r="Y31" s="316"/>
      <c r="Z31" s="12">
        <f ca="1">IFERROR(__xludf.DUMMYFUNCTION("INDEX(IMPORTRANGE(""17pNv02DXDpQT9S3w4-QeNym2QJy2BzMBqDXp-XtzJBM"", ""'JUA'!BH3:BH139""),MATCH($D31,IMPORTRANGE(""17pNv02DXDpQT9S3w4-QeNym2QJy2BzMBqDXp-XtzJBM"", ""'JUA'!D3:D139""),0))"),2)</f>
        <v>2</v>
      </c>
      <c r="AA31" s="12">
        <f ca="1">IFERROR(__xludf.DUMMYFUNCTION("INDEX(IMPORTRANGE(""17pNv02DXDpQT9S3w4-QeNym2QJy2BzMBqDXp-XtzJBM"", ""'JUA'!BI3:BI139""),MATCH($D31,IMPORTRANGE(""17pNv02DXDpQT9S3w4-QeNym2QJy2BzMBqDXp-XtzJBM"", ""'JUA'!D3:D139""),0))"),2)</f>
        <v>2</v>
      </c>
      <c r="AB31" s="12">
        <f ca="1">IFERROR(__xludf.DUMMYFUNCTION("INDEX(IMPORTRANGE(""17pNv02DXDpQT9S3w4-QeNym2QJy2BzMBqDXp-XtzJBM"", ""'JUA'!BJ3:BJ139""),MATCH($D31,IMPORTRANGE(""17pNv02DXDpQT9S3w4-QeNym2QJy2BzMBqDXp-XtzJBM"", ""'JUA'!D3:D139""),0))"),0)</f>
        <v>0</v>
      </c>
      <c r="AC31" s="12">
        <f ca="1">IFERROR(__xludf.DUMMYFUNCTION("INDEX(IMPORTRANGE(""17pNv02DXDpQT9S3w4-QeNym2QJy2BzMBqDXp-XtzJBM"", ""'JUA'!BK3:BK139""),MATCH($D31,IMPORTRANGE(""17pNv02DXDpQT9S3w4-QeNym2QJy2BzMBqDXp-XtzJBM"", ""'JUA'!D3:D139""),0))"),5)</f>
        <v>5</v>
      </c>
      <c r="AD31" s="12">
        <f ca="1">IFERROR(__xludf.DUMMYFUNCTION("INDEX(IMPORTRANGE(""17pNv02DXDpQT9S3w4-QeNym2QJy2BzMBqDXp-XtzJBM"", ""'JUA'!BL3:BL139""),MATCH($D31,IMPORTRANGE(""17pNv02DXDpQT9S3w4-QeNym2QJy2BzMBqDXp-XtzJBM"", ""'JUA'!D3:D139""),0))"),5)</f>
        <v>5</v>
      </c>
      <c r="AE31" s="12">
        <f ca="1">IFERROR(__xludf.DUMMYFUNCTION("INDEX(IMPORTRANGE(""17pNv02DXDpQT9S3w4-QeNym2QJy2BzMBqDXp-XtzJBM"", ""'JUA'!BM3:BM139""),MATCH($D31,IMPORTRANGE(""17pNv02DXDpQT9S3w4-QeNym2QJy2BzMBqDXp-XtzJBM"", ""'JUA'!D3:D139""),0))"),7)</f>
        <v>7</v>
      </c>
    </row>
    <row r="32" spans="1:31">
      <c r="A32" s="7" t="s">
        <v>52</v>
      </c>
      <c r="B32" s="7" t="s">
        <v>86</v>
      </c>
      <c r="C32" s="1" t="s">
        <v>30</v>
      </c>
      <c r="D32" s="7" t="s">
        <v>111</v>
      </c>
      <c r="E32" s="7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""'JUA'!BG3:BG139""),MATCH($D32,IMPORTRANGE(""17pNv02DXDpQT9S3w4-QeNym2QJy2BzMBqDXp-XtzJBM"", ""'JUA'!D3:D139""),0))"),0)</f>
        <v>0</v>
      </c>
      <c r="T32" s="13"/>
      <c r="U32" s="13"/>
      <c r="V32" s="13"/>
      <c r="W32" s="13"/>
      <c r="X32" s="43"/>
      <c r="Y32" s="316"/>
      <c r="Z32" s="12">
        <f ca="1">IFERROR(__xludf.DUMMYFUNCTION("INDEX(IMPORTRANGE(""17pNv02DXDpQT9S3w4-QeNym2QJy2BzMBqDXp-XtzJBM"", ""'JUA'!BH3:BH139""),MATCH($D32,IMPORTRANGE(""17pNv02DXDpQT9S3w4-QeNym2QJy2BzMBqDXp-XtzJBM"", ""'JUA'!D3:D139""),0))"),0)</f>
        <v>0</v>
      </c>
      <c r="AA32" s="12">
        <f ca="1">IFERROR(__xludf.DUMMYFUNCTION("INDEX(IMPORTRANGE(""17pNv02DXDpQT9S3w4-QeNym2QJy2BzMBqDXp-XtzJBM"", ""'JUA'!BI3:BI139""),MATCH($D32,IMPORTRANGE(""17pNv02DXDpQT9S3w4-QeNym2QJy2BzMBqDXp-XtzJBM"", ""'JUA'!D3:D139""),0))"),0)</f>
        <v>0</v>
      </c>
      <c r="AB32" s="12">
        <f ca="1">IFERROR(__xludf.DUMMYFUNCTION("INDEX(IMPORTRANGE(""17pNv02DXDpQT9S3w4-QeNym2QJy2BzMBqDXp-XtzJBM"", ""'JUA'!BJ3:BJ139""),MATCH($D32,IMPORTRANGE(""17pNv02DXDpQT9S3w4-QeNym2QJy2BzMBqDXp-XtzJBM"", ""'JUA'!D3:D139""),0))"),0)</f>
        <v>0</v>
      </c>
      <c r="AC32" s="12">
        <f ca="1">IFERROR(__xludf.DUMMYFUNCTION("INDEX(IMPORTRANGE(""17pNv02DXDpQT9S3w4-QeNym2QJy2BzMBqDXp-XtzJBM"", ""'JUA'!BK3:BK139""),MATCH($D32,IMPORTRANGE(""17pNv02DXDpQT9S3w4-QeNym2QJy2BzMBqDXp-XtzJBM"", ""'JUA'!D3:D139""),0))"),0)</f>
        <v>0</v>
      </c>
      <c r="AD32" s="12">
        <f ca="1">IFERROR(__xludf.DUMMYFUNCTION("INDEX(IMPORTRANGE(""17pNv02DXDpQT9S3w4-QeNym2QJy2BzMBqDXp-XtzJBM"", ""'JUA'!BL3:BL139""),MATCH($D32,IMPORTRANGE(""17pNv02DXDpQT9S3w4-QeNym2QJy2BzMBqDXp-XtzJBM"", ""'JUA'!D3:D139""),0))"),0)</f>
        <v>0</v>
      </c>
      <c r="AE32" s="12">
        <f ca="1">IFERROR(__xludf.DUMMYFUNCTION("INDEX(IMPORTRANGE(""17pNv02DXDpQT9S3w4-QeNym2QJy2BzMBqDXp-XtzJBM"", ""'JUA'!BM3:BM139""),MATCH($D32,IMPORTRANGE(""17pNv02DXDpQT9S3w4-QeNym2QJy2BzMBqDXp-XtzJBM"", ""'JUA'!D3:D139""),0))"),0)</f>
        <v>0</v>
      </c>
    </row>
    <row r="33" spans="1:31">
      <c r="A33" s="7" t="s">
        <v>52</v>
      </c>
      <c r="B33" s="7" t="s">
        <v>86</v>
      </c>
      <c r="C33" s="1" t="s">
        <v>30</v>
      </c>
      <c r="D33" s="7" t="s">
        <v>113</v>
      </c>
      <c r="E33" s="7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>
        <v>0</v>
      </c>
      <c r="R33" s="12">
        <v>9</v>
      </c>
      <c r="S33" s="12">
        <f ca="1">IFERROR(__xludf.DUMMYFUNCTION("INDEX(IMPORTRANGE(""17pNv02DXDpQT9S3w4-QeNym2QJy2BzMBqDXp-XtzJBM"", ""'JUA'!BG3:BG139""),MATCH($D33,IMPORTRANGE(""17pNv02DXDpQT9S3w4-QeNym2QJy2BzMBqDXp-XtzJBM"", ""'JUA'!D3:D139""),0))"),7)</f>
        <v>7</v>
      </c>
      <c r="T33" s="13"/>
      <c r="U33" s="13"/>
      <c r="V33" s="13"/>
      <c r="W33" s="13"/>
      <c r="X33" s="43"/>
      <c r="Y33" s="316"/>
      <c r="Z33" s="12">
        <f ca="1">IFERROR(__xludf.DUMMYFUNCTION("INDEX(IMPORTRANGE(""17pNv02DXDpQT9S3w4-QeNym2QJy2BzMBqDXp-XtzJBM"", ""'JUA'!BH3:BH139""),MATCH($D33,IMPORTRANGE(""17pNv02DXDpQT9S3w4-QeNym2QJy2BzMBqDXp-XtzJBM"", ""'JUA'!D3:D139""),0))"),4)</f>
        <v>4</v>
      </c>
      <c r="AA33" s="12">
        <f ca="1">IFERROR(__xludf.DUMMYFUNCTION("INDEX(IMPORTRANGE(""17pNv02DXDpQT9S3w4-QeNym2QJy2BzMBqDXp-XtzJBM"", ""'JUA'!BI3:BI139""),MATCH($D33,IMPORTRANGE(""17pNv02DXDpQT9S3w4-QeNym2QJy2BzMBqDXp-XtzJBM"", ""'JUA'!D3:D139""),0))"),21)</f>
        <v>21</v>
      </c>
      <c r="AB33" s="12">
        <f ca="1">IFERROR(__xludf.DUMMYFUNCTION("INDEX(IMPORTRANGE(""17pNv02DXDpQT9S3w4-QeNym2QJy2BzMBqDXp-XtzJBM"", ""'JUA'!BJ3:BJ139""),MATCH($D33,IMPORTRANGE(""17pNv02DXDpQT9S3w4-QeNym2QJy2BzMBqDXp-XtzJBM"", ""'JUA'!D3:D139""),0))"),2)</f>
        <v>2</v>
      </c>
      <c r="AC33" s="12">
        <f ca="1">IFERROR(__xludf.DUMMYFUNCTION("INDEX(IMPORTRANGE(""17pNv02DXDpQT9S3w4-QeNym2QJy2BzMBqDXp-XtzJBM"", ""'JUA'!BK3:BK139""),MATCH($D33,IMPORTRANGE(""17pNv02DXDpQT9S3w4-QeNym2QJy2BzMBqDXp-XtzJBM"", ""'JUA'!D3:D139""),0))"),3)</f>
        <v>3</v>
      </c>
      <c r="AD33" s="12">
        <f ca="1">IFERROR(__xludf.DUMMYFUNCTION("INDEX(IMPORTRANGE(""17pNv02DXDpQT9S3w4-QeNym2QJy2BzMBqDXp-XtzJBM"", ""'JUA'!BL3:BL139""),MATCH($D33,IMPORTRANGE(""17pNv02DXDpQT9S3w4-QeNym2QJy2BzMBqDXp-XtzJBM"", ""'JUA'!D3:D139""),0))"),0)</f>
        <v>0</v>
      </c>
      <c r="AE33" s="12">
        <f ca="1">IFERROR(__xludf.DUMMYFUNCTION("INDEX(IMPORTRANGE(""17pNv02DXDpQT9S3w4-QeNym2QJy2BzMBqDXp-XtzJBM"", ""'JUA'!BM3:BM139""),MATCH($D33,IMPORTRANGE(""17pNv02DXDpQT9S3w4-QeNym2QJy2BzMBqDXp-XtzJBM"", ""'JUA'!D3:D139""),0))"),0)</f>
        <v>0</v>
      </c>
    </row>
    <row r="34" spans="1:31">
      <c r="A34" s="7" t="s">
        <v>52</v>
      </c>
      <c r="B34" s="7" t="s">
        <v>86</v>
      </c>
      <c r="C34" s="1" t="s">
        <v>30</v>
      </c>
      <c r="D34" s="7" t="s">
        <v>115</v>
      </c>
      <c r="E34" s="7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>
        <v>0</v>
      </c>
      <c r="R34" s="12">
        <v>0</v>
      </c>
      <c r="S34" s="12">
        <f ca="1">IFERROR(__xludf.DUMMYFUNCTION("INDEX(IMPORTRANGE(""17pNv02DXDpQT9S3w4-QeNym2QJy2BzMBqDXp-XtzJBM"", ""'JUA'!BG3:BG139""),MATCH($D34,IMPORTRANGE(""17pNv02DXDpQT9S3w4-QeNym2QJy2BzMBqDXp-XtzJBM"", ""'JUA'!D3:D139""),0))"),0)</f>
        <v>0</v>
      </c>
      <c r="T34" s="13"/>
      <c r="U34" s="13"/>
      <c r="V34" s="13"/>
      <c r="W34" s="13"/>
      <c r="X34" s="43"/>
      <c r="Y34" s="316"/>
      <c r="Z34" s="12">
        <f ca="1">IFERROR(__xludf.DUMMYFUNCTION("INDEX(IMPORTRANGE(""17pNv02DXDpQT9S3w4-QeNym2QJy2BzMBqDXp-XtzJBM"", ""'JUA'!BH3:BH139""),MATCH($D34,IMPORTRANGE(""17pNv02DXDpQT9S3w4-QeNym2QJy2BzMBqDXp-XtzJBM"", ""'JUA'!D3:D139""),0))"),1)</f>
        <v>1</v>
      </c>
      <c r="AA34" s="12">
        <f ca="1">IFERROR(__xludf.DUMMYFUNCTION("INDEX(IMPORTRANGE(""17pNv02DXDpQT9S3w4-QeNym2QJy2BzMBqDXp-XtzJBM"", ""'JUA'!BI3:BI139""),MATCH($D34,IMPORTRANGE(""17pNv02DXDpQT9S3w4-QeNym2QJy2BzMBqDXp-XtzJBM"", ""'JUA'!D3:D139""),0))"),2)</f>
        <v>2</v>
      </c>
      <c r="AB34" s="12">
        <f ca="1">IFERROR(__xludf.DUMMYFUNCTION("INDEX(IMPORTRANGE(""17pNv02DXDpQT9S3w4-QeNym2QJy2BzMBqDXp-XtzJBM"", ""'JUA'!BJ3:BJ139""),MATCH($D34,IMPORTRANGE(""17pNv02DXDpQT9S3w4-QeNym2QJy2BzMBqDXp-XtzJBM"", ""'JUA'!D3:D139""),0))"),0)</f>
        <v>0</v>
      </c>
      <c r="AC34" s="12">
        <f ca="1">IFERROR(__xludf.DUMMYFUNCTION("INDEX(IMPORTRANGE(""17pNv02DXDpQT9S3w4-QeNym2QJy2BzMBqDXp-XtzJBM"", ""'JUA'!BK3:BK139""),MATCH($D34,IMPORTRANGE(""17pNv02DXDpQT9S3w4-QeNym2QJy2BzMBqDXp-XtzJBM"", ""'JUA'!D3:D139""),0))"),0)</f>
        <v>0</v>
      </c>
      <c r="AD34" s="12">
        <f ca="1">IFERROR(__xludf.DUMMYFUNCTION("INDEX(IMPORTRANGE(""17pNv02DXDpQT9S3w4-QeNym2QJy2BzMBqDXp-XtzJBM"", ""'JUA'!BL3:BL139""),MATCH($D34,IMPORTRANGE(""17pNv02DXDpQT9S3w4-QeNym2QJy2BzMBqDXp-XtzJBM"", ""'JUA'!D3:D139""),0))"),0)</f>
        <v>0</v>
      </c>
      <c r="AE34" s="12">
        <f ca="1">IFERROR(__xludf.DUMMYFUNCTION("INDEX(IMPORTRANGE(""17pNv02DXDpQT9S3w4-QeNym2QJy2BzMBqDXp-XtzJBM"", ""'JUA'!BM3:BM139""),MATCH($D34,IMPORTRANGE(""17pNv02DXDpQT9S3w4-QeNym2QJy2BzMBqDXp-XtzJBM"", ""'JUA'!D3:D139""),0))"),1)</f>
        <v>1</v>
      </c>
    </row>
    <row r="35" spans="1:31">
      <c r="A35" s="16" t="s">
        <v>52</v>
      </c>
      <c r="B35" s="16" t="s">
        <v>86</v>
      </c>
      <c r="C35" s="8" t="s">
        <v>30</v>
      </c>
      <c r="D35" s="16" t="s">
        <v>350</v>
      </c>
      <c r="E35" s="16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21" t="s">
        <v>363</v>
      </c>
      <c r="P35" s="21" t="s">
        <v>349</v>
      </c>
      <c r="Q35" s="262">
        <f t="shared" ref="Q35:R35" si="8">SUM(Q24:Q34)</f>
        <v>32</v>
      </c>
      <c r="R35" s="262">
        <f t="shared" si="8"/>
        <v>85</v>
      </c>
      <c r="S35" s="262">
        <f ca="1">IFERROR(__xludf.DUMMYFUNCTION("INDEX(IMPORTRANGE(""17pNv02DXDpQT9S3w4-QeNym2QJy2BzMBqDXp-XtzJBM"", ""'JUA'!BG3:BG139""),MATCH($D35,IMPORTRANGE(""17pNv02DXDpQT9S3w4-QeNym2QJy2BzMBqDXp-XtzJBM"", ""'JUA'!D3:D139""),0))"),72)</f>
        <v>72</v>
      </c>
      <c r="T35" s="360"/>
      <c r="U35" s="360"/>
      <c r="V35" s="360"/>
      <c r="W35" s="360"/>
      <c r="X35" s="360"/>
      <c r="Y35" s="360"/>
      <c r="Z35" s="262">
        <f ca="1">IFERROR(__xludf.DUMMYFUNCTION("INDEX(IMPORTRANGE(""17pNv02DXDpQT9S3w4-QeNym2QJy2BzMBqDXp-XtzJBM"", ""'JUA'!BH3:BH139""),MATCH($D35,IMPORTRANGE(""17pNv02DXDpQT9S3w4-QeNym2QJy2BzMBqDXp-XtzJBM"", ""'JUA'!D3:D139""),0))"),51)</f>
        <v>51</v>
      </c>
      <c r="AA35" s="262">
        <f ca="1">IFERROR(__xludf.DUMMYFUNCTION("INDEX(IMPORTRANGE(""17pNv02DXDpQT9S3w4-QeNym2QJy2BzMBqDXp-XtzJBM"", ""'JUA'!BI3:BI139""),MATCH($D35,IMPORTRANGE(""17pNv02DXDpQT9S3w4-QeNym2QJy2BzMBqDXp-XtzJBM"", ""'JUA'!D3:D139""),0))"),144)</f>
        <v>144</v>
      </c>
      <c r="AB35" s="262">
        <f ca="1">IFERROR(__xludf.DUMMYFUNCTION("INDEX(IMPORTRANGE(""17pNv02DXDpQT9S3w4-QeNym2QJy2BzMBqDXp-XtzJBM"", ""'JUA'!BJ3:BJ139""),MATCH($D35,IMPORTRANGE(""17pNv02DXDpQT9S3w4-QeNym2QJy2BzMBqDXp-XtzJBM"", ""'JUA'!D3:D139""),0))"),73)</f>
        <v>73</v>
      </c>
      <c r="AC35" s="262">
        <f ca="1">IFERROR(__xludf.DUMMYFUNCTION("INDEX(IMPORTRANGE(""17pNv02DXDpQT9S3w4-QeNym2QJy2BzMBqDXp-XtzJBM"", ""'JUA'!BK3:BK139""),MATCH($D35,IMPORTRANGE(""17pNv02DXDpQT9S3w4-QeNym2QJy2BzMBqDXp-XtzJBM"", ""'JUA'!D3:D139""),0))"),189)</f>
        <v>189</v>
      </c>
      <c r="AD35" s="262">
        <f ca="1">IFERROR(__xludf.DUMMYFUNCTION("INDEX(IMPORTRANGE(""17pNv02DXDpQT9S3w4-QeNym2QJy2BzMBqDXp-XtzJBM"", ""'JUA'!BL3:BL139""),MATCH($D35,IMPORTRANGE(""17pNv02DXDpQT9S3w4-QeNym2QJy2BzMBqDXp-XtzJBM"", ""'JUA'!D3:D139""),0))"),47)</f>
        <v>47</v>
      </c>
      <c r="AE35" s="262">
        <f ca="1">IFERROR(__xludf.DUMMYFUNCTION("INDEX(IMPORTRANGE(""17pNv02DXDpQT9S3w4-QeNym2QJy2BzMBqDXp-XtzJBM"", ""'JUA'!BM3:BM139""),MATCH($D35,IMPORTRANGE(""17pNv02DXDpQT9S3w4-QeNym2QJy2BzMBqDXp-XtzJBM"", ""'JUA'!D3:D139""),0))"),95)</f>
        <v>95</v>
      </c>
    </row>
    <row r="36" spans="1:31">
      <c r="A36" s="7" t="s">
        <v>52</v>
      </c>
      <c r="B36" s="7" t="s">
        <v>86</v>
      </c>
      <c r="C36" s="1" t="s">
        <v>36</v>
      </c>
      <c r="D36" s="7" t="s">
        <v>117</v>
      </c>
      <c r="E36" s="7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7.8704523542490605</v>
      </c>
      <c r="R36" s="23">
        <f t="shared" si="9"/>
        <v>20.905889065974069</v>
      </c>
      <c r="S36" s="23">
        <f ca="1">IFERROR(__xludf.DUMMYFUNCTION("INDEX(IMPORTRANGE(""17pNv02DXDpQT9S3w4-QeNym2QJy2BzMBqDXp-XtzJBM"", ""'JUA'!BG3:BG139""),MATCH($D36,IMPORTRANGE(""17pNv02DXDpQT9S3w4-QeNym2QJy2BzMBqDXp-XtzJBM"", ""'JUA'!D3:D139""),0))"),17.7085177970603)</f>
        <v>17.708517797060299</v>
      </c>
      <c r="T36" s="428">
        <v>19.399999999999999</v>
      </c>
      <c r="U36" s="428">
        <v>6.8</v>
      </c>
      <c r="V36" s="428">
        <v>18</v>
      </c>
      <c r="W36" s="428">
        <v>6.2</v>
      </c>
      <c r="X36" s="266">
        <f ca="1">+S36*(1+(Y36-R36)/R36)</f>
        <v>13.976470588235223</v>
      </c>
      <c r="Y36" s="429">
        <v>16.5</v>
      </c>
      <c r="Z36" s="12">
        <f ca="1">IFERROR(__xludf.DUMMYFUNCTION("INDEX(IMPORTRANGE(""17pNv02DXDpQT9S3w4-QeNym2QJy2BzMBqDXp-XtzJBM"", ""'JUA'!BH3:BH139""),MATCH($D36,IMPORTRANGE(""17pNv02DXDpQT9S3w4-QeNym2QJy2BzMBqDXp-XtzJBM"", ""'JUA'!D3:D139""),0))"),12.2911113574688)</f>
        <v>12.2911113574688</v>
      </c>
      <c r="AA36" s="23">
        <f ca="1">IFERROR(__xludf.DUMMYFUNCTION("INDEX(IMPORTRANGE(""17pNv02DXDpQT9S3w4-QeNym2QJy2BzMBqDXp-XtzJBM"", ""'JUA'!BI3:BI139""),MATCH($D36,IMPORTRANGE(""17pNv02DXDpQT9S3w4-QeNym2QJy2BzMBqDXp-XtzJBM"", ""'JUA'!D3:D139""),0))"),34.7043144210886)</f>
        <v>34.704314421088597</v>
      </c>
      <c r="AB36" s="12">
        <f ca="1">IFERROR(__xludf.DUMMYFUNCTION("INDEX(IMPORTRANGE(""17pNv02DXDpQT9S3w4-QeNym2QJy2BzMBqDXp-XtzJBM"", ""'JUA'!BJ3:BJ139""),MATCH($D36,IMPORTRANGE(""17pNv02DXDpQT9S3w4-QeNym2QJy2BzMBqDXp-XtzJBM"", ""'JUA'!D3:D139""),0))"),17.3068625266122)</f>
        <v>17.3068625266122</v>
      </c>
      <c r="AC36" s="23">
        <f ca="1">IFERROR(__xludf.DUMMYFUNCTION("INDEX(IMPORTRANGE(""17pNv02DXDpQT9S3w4-QeNym2QJy2BzMBqDXp-XtzJBM"", ""'JUA'!BK3:BK139""),MATCH($D36,IMPORTRANGE(""17pNv02DXDpQT9S3w4-QeNym2QJy2BzMBqDXp-XtzJBM"", ""'JUA'!D3:D139""),0))"),44.8081783223249)</f>
        <v>44.808178322324899</v>
      </c>
      <c r="AD36" s="12">
        <f ca="1">IFERROR(__xludf.DUMMYFUNCTION("INDEX(IMPORTRANGE(""17pNv02DXDpQT9S3w4-QeNym2QJy2BzMBqDXp-XtzJBM"", ""'JUA'!BL3:BL139""),MATCH($D36,IMPORTRANGE(""17pNv02DXDpQT9S3w4-QeNym2QJy2BzMBqDXp-XtzJBM"", ""'JUA'!D3:D139""),0))"),11.005402013286)</f>
        <v>11.005402013286</v>
      </c>
      <c r="AE36" s="23">
        <f ca="1">IFERROR(__xludf.DUMMYFUNCTION("INDEX(IMPORTRANGE(""17pNv02DXDpQT9S3w4-QeNym2QJy2BzMBqDXp-XtzJBM"", ""'JUA'!BM3:BM139""),MATCH($D36,IMPORTRANGE(""17pNv02DXDpQT9S3w4-QeNym2QJy2BzMBqDXp-XtzJBM"", ""'JUA'!D3:D139""),0))"),22.2449615162165)</f>
        <v>22.244961516216499</v>
      </c>
    </row>
    <row r="37" spans="1:31">
      <c r="A37" s="7" t="s">
        <v>119</v>
      </c>
      <c r="B37" s="7" t="s">
        <v>120</v>
      </c>
      <c r="C37" s="1" t="s">
        <v>30</v>
      </c>
      <c r="D37" s="447" t="s">
        <v>121</v>
      </c>
      <c r="E37" s="7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422"/>
      <c r="R37" s="422"/>
      <c r="S37" s="12">
        <f ca="1">IFERROR(__xludf.DUMMYFUNCTION("INDEX(IMPORTRANGE(""17pNv02DXDpQT9S3w4-QeNym2QJy2BzMBqDXp-XtzJBM"", ""'JUA'!BG3:BG139""),MATCH($D37,IMPORTRANGE(""17pNv02DXDpQT9S3w4-QeNym2QJy2BzMBqDXp-XtzJBM"", ""'JUA'!D3:D139""),0))"),217568)</f>
        <v>217568</v>
      </c>
      <c r="T37" s="13"/>
      <c r="U37" s="13"/>
      <c r="V37" s="13"/>
      <c r="W37" s="13"/>
      <c r="X37" s="13"/>
      <c r="Y37" s="316"/>
      <c r="Z37" s="17">
        <f ca="1">IFERROR(__xludf.DUMMYFUNCTION("INDEX(IMPORTRANGE(""17pNv02DXDpQT9S3w4-QeNym2QJy2BzMBqDXp-XtzJBM"", ""'JUA'!BH3:BH139""),MATCH($D37,IMPORTRANGE(""17pNv02DXDpQT9S3w4-QeNym2QJy2BzMBqDXp-XtzJBM"", ""'JUA'!D3:D139""),0))"),227977)</f>
        <v>227977</v>
      </c>
      <c r="AA37" s="12" t="str">
        <f ca="1">IFERROR(__xludf.DUMMYFUNCTION("INDEX(IMPORTRANGE(""17pNv02DXDpQT9S3w4-QeNym2QJy2BzMBqDXp-XtzJBM"", ""'JUA'!BI3:BI139""),MATCH($D37,IMPORTRANGE(""17pNv02DXDpQT9S3w4-QeNym2QJy2BzMBqDXp-XtzJBM"", ""'JUA'!D3:D139""),0))"),"")</f>
        <v/>
      </c>
      <c r="AB37" s="17" t="str">
        <f ca="1">IFERROR(__xludf.DUMMYFUNCTION("INDEX(IMPORTRANGE(""17pNv02DXDpQT9S3w4-QeNym2QJy2BzMBqDXp-XtzJBM"", ""'JUA'!BJ3:BJ139""),MATCH($D37,IMPORTRANGE(""17pNv02DXDpQT9S3w4-QeNym2QJy2BzMBqDXp-XtzJBM"", ""'JUA'!D3:D139""),0))"),"Sin dato")</f>
        <v>Sin dato</v>
      </c>
      <c r="AC37" s="12">
        <f ca="1">IFERROR(__xludf.DUMMYFUNCTION("INDEX(IMPORTRANGE(""17pNv02DXDpQT9S3w4-QeNym2QJy2BzMBqDXp-XtzJBM"", ""'JUA'!BK3:BK139""),MATCH($D37,IMPORTRANGE(""17pNv02DXDpQT9S3w4-QeNym2QJy2BzMBqDXp-XtzJBM"", ""'JUA'!D3:D139""),0))"),134383)</f>
        <v>134383</v>
      </c>
      <c r="AD37" s="12">
        <f ca="1">IFERROR(__xludf.DUMMYFUNCTION("INDEX(IMPORTRANGE(""17pNv02DXDpQT9S3w4-QeNym2QJy2BzMBqDXp-XtzJBM"", ""'JUA'!BL3:BL139""),MATCH($D37,IMPORTRANGE(""17pNv02DXDpQT9S3w4-QeNym2QJy2BzMBqDXp-XtzJBM"", ""'JUA'!D3:D139""),0))"),181538)</f>
        <v>181538</v>
      </c>
      <c r="AE37" s="12">
        <f ca="1">IFERROR(__xludf.DUMMYFUNCTION("INDEX(IMPORTRANGE(""17pNv02DXDpQT9S3w4-QeNym2QJy2BzMBqDXp-XtzJBM"", ""'JUA'!BM3:BM139""),MATCH($D37,IMPORTRANGE(""17pNv02DXDpQT9S3w4-QeNym2QJy2BzMBqDXp-XtzJBM"", ""'JUA'!D3:D139""),0))"),34652)</f>
        <v>34652</v>
      </c>
    </row>
    <row r="38" spans="1:31">
      <c r="A38" s="7" t="s">
        <v>119</v>
      </c>
      <c r="B38" s="7" t="s">
        <v>120</v>
      </c>
      <c r="C38" s="1" t="s">
        <v>30</v>
      </c>
      <c r="D38" s="447" t="s">
        <v>123</v>
      </c>
      <c r="E38" s="7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1" t="s">
        <v>361</v>
      </c>
      <c r="P38" s="11">
        <v>45565</v>
      </c>
      <c r="Q38" s="430" t="s">
        <v>435</v>
      </c>
      <c r="R38" s="430" t="s">
        <v>435</v>
      </c>
      <c r="S38" s="12" t="str">
        <f ca="1">IFERROR(__xludf.DUMMYFUNCTION("INDEX(IMPORTRANGE(""17pNv02DXDpQT9S3w4-QeNym2QJy2BzMBqDXp-XtzJBM"", ""'JUA'!BG3:BG139""),MATCH($D38,IMPORTRANGE(""17pNv02DXDpQT9S3w4-QeNym2QJy2BzMBqDXp-XtzJBM"", ""'JUA'!D3:D139""),0))"),"Sin dato")</f>
        <v>Sin dato</v>
      </c>
      <c r="T38" s="1"/>
      <c r="U38" s="1"/>
      <c r="V38" s="1"/>
      <c r="W38" s="1"/>
      <c r="X38" s="1"/>
      <c r="Y38" s="28"/>
      <c r="Z38" s="12" t="str">
        <f ca="1">IFERROR(__xludf.DUMMYFUNCTION("INDEX(IMPORTRANGE(""17pNv02DXDpQT9S3w4-QeNym2QJy2BzMBqDXp-XtzJBM"", ""'JUA'!BH3:BH139""),MATCH($D38,IMPORTRANGE(""17pNv02DXDpQT9S3w4-QeNym2QJy2BzMBqDXp-XtzJBM"", ""'JUA'!D3:D139""),0))"),"Sin dato")</f>
        <v>Sin dato</v>
      </c>
      <c r="AA38" s="12" t="str">
        <f ca="1">IFERROR(__xludf.DUMMYFUNCTION("INDEX(IMPORTRANGE(""17pNv02DXDpQT9S3w4-QeNym2QJy2BzMBqDXp-XtzJBM"", ""'JUA'!BI3:BI139""),MATCH($D38,IMPORTRANGE(""17pNv02DXDpQT9S3w4-QeNym2QJy2BzMBqDXp-XtzJBM"", ""'JUA'!D3:D139""),0))"),"Sin dato")</f>
        <v>Sin dato</v>
      </c>
      <c r="AB38" s="12">
        <f ca="1">IFERROR(__xludf.DUMMYFUNCTION("INDEX(IMPORTRANGE(""17pNv02DXDpQT9S3w4-QeNym2QJy2BzMBqDXp-XtzJBM"", ""'JUA'!BJ3:BJ139""),MATCH($D38,IMPORTRANGE(""17pNv02DXDpQT9S3w4-QeNym2QJy2BzMBqDXp-XtzJBM"", ""'JUA'!D3:D139""),0))"),167000)</f>
        <v>167000</v>
      </c>
      <c r="AC38" s="12">
        <f ca="1">IFERROR(__xludf.DUMMYFUNCTION("INDEX(IMPORTRANGE(""17pNv02DXDpQT9S3w4-QeNym2QJy2BzMBqDXp-XtzJBM"", ""'JUA'!BK3:BK139""),MATCH($D38,IMPORTRANGE(""17pNv02DXDpQT9S3w4-QeNym2QJy2BzMBqDXp-XtzJBM"", ""'JUA'!D3:D139""),0))"),0)</f>
        <v>0</v>
      </c>
      <c r="AD38" s="12">
        <f ca="1">IFERROR(__xludf.DUMMYFUNCTION("INDEX(IMPORTRANGE(""17pNv02DXDpQT9S3w4-QeNym2QJy2BzMBqDXp-XtzJBM"", ""'JUA'!BL3:BL139""),MATCH($D38,IMPORTRANGE(""17pNv02DXDpQT9S3w4-QeNym2QJy2BzMBqDXp-XtzJBM"", ""'JUA'!D3:D139""),0))"),0)</f>
        <v>0</v>
      </c>
      <c r="AE38" s="12">
        <f ca="1">IFERROR(__xludf.DUMMYFUNCTION("INDEX(IMPORTRANGE(""17pNv02DXDpQT9S3w4-QeNym2QJy2BzMBqDXp-XtzJBM"", ""'JUA'!BM3:BM139""),MATCH($D38,IMPORTRANGE(""17pNv02DXDpQT9S3w4-QeNym2QJy2BzMBqDXp-XtzJBM"", ""'JUA'!D3:D139""),0))"),0)</f>
        <v>0</v>
      </c>
    </row>
    <row r="39" spans="1:31">
      <c r="A39" s="7" t="s">
        <v>119</v>
      </c>
      <c r="B39" s="7" t="s">
        <v>120</v>
      </c>
      <c r="C39" s="1" t="s">
        <v>36</v>
      </c>
      <c r="D39" s="447" t="s">
        <v>125</v>
      </c>
      <c r="E39" s="7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1" t="s">
        <v>361</v>
      </c>
      <c r="P39" s="11">
        <v>45565</v>
      </c>
      <c r="Q39" s="19" t="e">
        <f t="shared" ref="Q39:R39" si="10">Q38/Q37</f>
        <v>#VALUE!</v>
      </c>
      <c r="R39" s="19" t="e">
        <f t="shared" si="10"/>
        <v>#VALUE!</v>
      </c>
      <c r="S39" s="2" t="s">
        <v>429</v>
      </c>
      <c r="T39" s="431">
        <v>1.49E-2</v>
      </c>
      <c r="U39" s="431">
        <v>1.67E-2</v>
      </c>
      <c r="V39" s="431">
        <v>1.89E-2</v>
      </c>
      <c r="W39" s="431">
        <v>2.0799999999999999E-2</v>
      </c>
      <c r="X39" s="152">
        <f>((Y39-W39)/6)*5+W39</f>
        <v>2.2883333333333335E-2</v>
      </c>
      <c r="Y39" s="431">
        <v>2.3300000000000001E-2</v>
      </c>
      <c r="Z39" s="19" t="str">
        <f ca="1">IFERROR(__xludf.DUMMYFUNCTION("INDEX(IMPORTRANGE(""17pNv02DXDpQT9S3w4-QeNym2QJy2BzMBqDXp-XtzJBM"", ""'JUA'!BH3:BH139""),MATCH($D39,IMPORTRANGE(""17pNv02DXDpQT9S3w4-QeNym2QJy2BzMBqDXp-XtzJBM"", ""'JUA'!D3:D139""),0))"),"#VALUE!")</f>
        <v>#VALUE!</v>
      </c>
      <c r="AA39" s="15" t="str">
        <f ca="1">IFERROR(__xludf.DUMMYFUNCTION("INDEX(IMPORTRANGE(""17pNv02DXDpQT9S3w4-QeNym2QJy2BzMBqDXp-XtzJBM"", ""'JUA'!BI3:BI139""),MATCH($D39,IMPORTRANGE(""17pNv02DXDpQT9S3w4-QeNym2QJy2BzMBqDXp-XtzJBM"", ""'JUA'!D3:D139""),0))"),"#VALUE!")</f>
        <v>#VALUE!</v>
      </c>
      <c r="AB39" s="19" t="str">
        <f ca="1">IFERROR(__xludf.DUMMYFUNCTION("INDEX(IMPORTRANGE(""17pNv02DXDpQT9S3w4-QeNym2QJy2BzMBqDXp-XtzJBM"", ""'JUA'!BJ3:BJ139""),MATCH($D39,IMPORTRANGE(""17pNv02DXDpQT9S3w4-QeNym2QJy2BzMBqDXp-XtzJBM"", ""'JUA'!D3:D139""),0))"),"#VALUE!")</f>
        <v>#VALUE!</v>
      </c>
      <c r="AC39" s="15">
        <f ca="1">IFERROR(__xludf.DUMMYFUNCTION("INDEX(IMPORTRANGE(""17pNv02DXDpQT9S3w4-QeNym2QJy2BzMBqDXp-XtzJBM"", ""'JUA'!BK3:BK139""),MATCH($D39,IMPORTRANGE(""17pNv02DXDpQT9S3w4-QeNym2QJy2BzMBqDXp-XtzJBM"", ""'JUA'!D3:D139""),0))"),0)</f>
        <v>0</v>
      </c>
      <c r="AD39" s="15">
        <f ca="1">IFERROR(__xludf.DUMMYFUNCTION("INDEX(IMPORTRANGE(""17pNv02DXDpQT9S3w4-QeNym2QJy2BzMBqDXp-XtzJBM"", ""'JUA'!BL3:BL139""),MATCH($D39,IMPORTRANGE(""17pNv02DXDpQT9S3w4-QeNym2QJy2BzMBqDXp-XtzJBM"", ""'JUA'!D3:D139""),0))"),0)</f>
        <v>0</v>
      </c>
      <c r="AE39" s="15">
        <f ca="1">IFERROR(__xludf.DUMMYFUNCTION("INDEX(IMPORTRANGE(""17pNv02DXDpQT9S3w4-QeNym2QJy2BzMBqDXp-XtzJBM"", ""'JUA'!BM3:BM139""),MATCH($D39,IMPORTRANGE(""17pNv02DXDpQT9S3w4-QeNym2QJy2BzMBqDXp-XtzJBM"", ""'JUA'!D3:D139""),0))"),0)</f>
        <v>0</v>
      </c>
    </row>
    <row r="40" spans="1:31">
      <c r="A40" s="7" t="s">
        <v>119</v>
      </c>
      <c r="B40" s="7" t="s">
        <v>120</v>
      </c>
      <c r="C40" s="1" t="s">
        <v>30</v>
      </c>
      <c r="D40" s="7" t="s">
        <v>330</v>
      </c>
      <c r="E40" s="7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""'JUA'!BG3:BG139""),MATCH($D40,IMPORTRANGE(""17pNv02DXDpQT9S3w4-QeNym2QJy2BzMBqDXp-XtzJBM"", ""'JUA'!D3:D139""),0))"),"")</f>
        <v/>
      </c>
      <c r="T40" s="432"/>
      <c r="U40" s="432"/>
      <c r="V40" s="432"/>
      <c r="W40" s="432"/>
      <c r="X40" s="28"/>
      <c r="Y40" s="28"/>
      <c r="Z40" s="12" t="str">
        <f ca="1">IFERROR(__xludf.DUMMYFUNCTION("INDEX(IMPORTRANGE(""17pNv02DXDpQT9S3w4-QeNym2QJy2BzMBqDXp-XtzJBM"", ""'JUA'!BH3:BH139""),MATCH($D40,IMPORTRANGE(""17pNv02DXDpQT9S3w4-QeNym2QJy2BzMBqDXp-XtzJBM"", ""'JUA'!D3:D139""),0))"),"")</f>
        <v/>
      </c>
      <c r="AA40" s="12" t="str">
        <f ca="1">IFERROR(__xludf.DUMMYFUNCTION("INDEX(IMPORTRANGE(""17pNv02DXDpQT9S3w4-QeNym2QJy2BzMBqDXp-XtzJBM"", ""'JUA'!BI3:BI139""),MATCH($D40,IMPORTRANGE(""17pNv02DXDpQT9S3w4-QeNym2QJy2BzMBqDXp-XtzJBM"", ""'JUA'!D3:D139""),0))"),"")</f>
        <v/>
      </c>
      <c r="AB40" s="12">
        <f ca="1">IFERROR(__xludf.DUMMYFUNCTION("INDEX(IMPORTRANGE(""17pNv02DXDpQT9S3w4-QeNym2QJy2BzMBqDXp-XtzJBM"", ""'JUA'!BJ3:BJ139""),MATCH($D40,IMPORTRANGE(""17pNv02DXDpQT9S3w4-QeNym2QJy2BzMBqDXp-XtzJBM"", ""'JUA'!D3:D139""),0))"),0)</f>
        <v>0</v>
      </c>
      <c r="AC40" s="12">
        <f ca="1">IFERROR(__xludf.DUMMYFUNCTION("INDEX(IMPORTRANGE(""17pNv02DXDpQT9S3w4-QeNym2QJy2BzMBqDXp-XtzJBM"", ""'JUA'!BK3:BK139""),MATCH($D40,IMPORTRANGE(""17pNv02DXDpQT9S3w4-QeNym2QJy2BzMBqDXp-XtzJBM"", ""'JUA'!D3:D139""),0))"),0)</f>
        <v>0</v>
      </c>
      <c r="AD40" s="12">
        <f ca="1">IFERROR(__xludf.DUMMYFUNCTION("INDEX(IMPORTRANGE(""17pNv02DXDpQT9S3w4-QeNym2QJy2BzMBqDXp-XtzJBM"", ""'JUA'!BL3:BL139""),MATCH($D40,IMPORTRANGE(""17pNv02DXDpQT9S3w4-QeNym2QJy2BzMBqDXp-XtzJBM"", ""'JUA'!D3:D139""),0))"),0)</f>
        <v>0</v>
      </c>
      <c r="AE40" s="12">
        <f ca="1">IFERROR(__xludf.DUMMYFUNCTION("INDEX(IMPORTRANGE(""17pNv02DXDpQT9S3w4-QeNym2QJy2BzMBqDXp-XtzJBM"", ""'JUA'!BM3:BM139""),MATCH($D40,IMPORTRANGE(""17pNv02DXDpQT9S3w4-QeNym2QJy2BzMBqDXp-XtzJBM"", ""'JUA'!D3:D139""),0))"),0)</f>
        <v>0</v>
      </c>
    </row>
    <row r="41" spans="1:31">
      <c r="A41" s="7" t="s">
        <v>119</v>
      </c>
      <c r="B41" s="7" t="s">
        <v>120</v>
      </c>
      <c r="C41" s="1" t="s">
        <v>30</v>
      </c>
      <c r="D41" s="7" t="s">
        <v>331</v>
      </c>
      <c r="E41" s="7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""'JUA'!BG3:BG139""),MATCH($D41,IMPORTRANGE(""17pNv02DXDpQT9S3w4-QeNym2QJy2BzMBqDXp-XtzJBM"", ""'JUA'!D3:D139""),0))"),"")</f>
        <v/>
      </c>
      <c r="T41" s="432"/>
      <c r="U41" s="432"/>
      <c r="V41" s="432"/>
      <c r="W41" s="432"/>
      <c r="X41" s="28"/>
      <c r="Y41" s="28"/>
      <c r="Z41" s="12" t="str">
        <f ca="1">IFERROR(__xludf.DUMMYFUNCTION("INDEX(IMPORTRANGE(""17pNv02DXDpQT9S3w4-QeNym2QJy2BzMBqDXp-XtzJBM"", ""'JUA'!BH3:BH139""),MATCH($D41,IMPORTRANGE(""17pNv02DXDpQT9S3w4-QeNym2QJy2BzMBqDXp-XtzJBM"", ""'JUA'!D3:D139""),0))"),"")</f>
        <v/>
      </c>
      <c r="AA41" s="12" t="str">
        <f ca="1">IFERROR(__xludf.DUMMYFUNCTION("INDEX(IMPORTRANGE(""17pNv02DXDpQT9S3w4-QeNym2QJy2BzMBqDXp-XtzJBM"", ""'JUA'!BI3:BI139""),MATCH($D41,IMPORTRANGE(""17pNv02DXDpQT9S3w4-QeNym2QJy2BzMBqDXp-XtzJBM"", ""'JUA'!D3:D139""),0))"),"")</f>
        <v/>
      </c>
      <c r="AB41" s="12">
        <f ca="1">IFERROR(__xludf.DUMMYFUNCTION("INDEX(IMPORTRANGE(""17pNv02DXDpQT9S3w4-QeNym2QJy2BzMBqDXp-XtzJBM"", ""'JUA'!BJ3:BJ139""),MATCH($D41,IMPORTRANGE(""17pNv02DXDpQT9S3w4-QeNym2QJy2BzMBqDXp-XtzJBM"", ""'JUA'!D3:D139""),0))"),56769.6)</f>
        <v>56769.599999999999</v>
      </c>
      <c r="AC41" s="12">
        <f ca="1">IFERROR(__xludf.DUMMYFUNCTION("INDEX(IMPORTRANGE(""17pNv02DXDpQT9S3w4-QeNym2QJy2BzMBqDXp-XtzJBM"", ""'JUA'!BK3:BK139""),MATCH($D41,IMPORTRANGE(""17pNv02DXDpQT9S3w4-QeNym2QJy2BzMBqDXp-XtzJBM"", ""'JUA'!D3:D139""),0))"),117084.079999999)</f>
        <v>117084.079999999</v>
      </c>
      <c r="AD41" s="12">
        <f ca="1">IFERROR(__xludf.DUMMYFUNCTION("INDEX(IMPORTRANGE(""17pNv02DXDpQT9S3w4-QeNym2QJy2BzMBqDXp-XtzJBM"", ""'JUA'!BL3:BL139""),MATCH($D41,IMPORTRANGE(""17pNv02DXDpQT9S3w4-QeNym2QJy2BzMBqDXp-XtzJBM"", ""'JUA'!D3:D139""),0))"),66504.94)</f>
        <v>66504.94</v>
      </c>
      <c r="AE41" s="12">
        <f ca="1">IFERROR(__xludf.DUMMYFUNCTION("INDEX(IMPORTRANGE(""17pNv02DXDpQT9S3w4-QeNym2QJy2BzMBqDXp-XtzJBM"", ""'JUA'!BM3:BM139""),MATCH($D41,IMPORTRANGE(""17pNv02DXDpQT9S3w4-QeNym2QJy2BzMBqDXp-XtzJBM"", ""'JUA'!D3:D139""),0))"),122499.94)</f>
        <v>122499.94</v>
      </c>
    </row>
    <row r="42" spans="1:31">
      <c r="A42" s="7" t="s">
        <v>119</v>
      </c>
      <c r="B42" s="7" t="s">
        <v>120</v>
      </c>
      <c r="C42" s="1" t="s">
        <v>36</v>
      </c>
      <c r="D42" s="7" t="s">
        <v>333</v>
      </c>
      <c r="E42" s="7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""'JUA'!BG3:BG139""),MATCH($D42,IMPORTRANGE(""17pNv02DXDpQT9S3w4-QeNym2QJy2BzMBqDXp-XtzJBM"", ""'JUA'!D3:D139""),0))"),"")</f>
        <v/>
      </c>
      <c r="T42" s="433"/>
      <c r="U42" s="431">
        <v>3.3999999999999998E-3</v>
      </c>
      <c r="V42" s="431">
        <v>4.3E-3</v>
      </c>
      <c r="W42" s="431">
        <v>4.4000000000000003E-3</v>
      </c>
      <c r="X42" s="152">
        <f>((Y42-W42)/6)*5+W42</f>
        <v>4.7333333333333333E-3</v>
      </c>
      <c r="Y42" s="431">
        <v>4.7999999999999996E-3</v>
      </c>
      <c r="Z42" s="12" t="str">
        <f ca="1">IFERROR(__xludf.DUMMYFUNCTION("INDEX(IMPORTRANGE(""17pNv02DXDpQT9S3w4-QeNym2QJy2BzMBqDXp-XtzJBM"", ""'JUA'!BH3:BH139""),MATCH($D42,IMPORTRANGE(""17pNv02DXDpQT9S3w4-QeNym2QJy2BzMBqDXp-XtzJBM"", ""'JUA'!D3:D139""),0))"),"")</f>
        <v/>
      </c>
      <c r="AA42" s="12" t="str">
        <f ca="1">IFERROR(__xludf.DUMMYFUNCTION("INDEX(IMPORTRANGE(""17pNv02DXDpQT9S3w4-QeNym2QJy2BzMBqDXp-XtzJBM"", ""'JUA'!BI3:BI139""),MATCH($D42,IMPORTRANGE(""17pNv02DXDpQT9S3w4-QeNym2QJy2BzMBqDXp-XtzJBM"", ""'JUA'!D3:D139""),0))"),"")</f>
        <v/>
      </c>
      <c r="AB42" s="12">
        <f ca="1">IFERROR(__xludf.DUMMYFUNCTION("INDEX(IMPORTRANGE(""17pNv02DXDpQT9S3w4-QeNym2QJy2BzMBqDXp-XtzJBM"", ""'JUA'!BJ3:BJ139""),MATCH($D42,IMPORTRANGE(""17pNv02DXDpQT9S3w4-QeNym2QJy2BzMBqDXp-XtzJBM"", ""'JUA'!D3:D139""),0))"),0)</f>
        <v>0</v>
      </c>
      <c r="AC42" s="12">
        <f ca="1">IFERROR(__xludf.DUMMYFUNCTION("INDEX(IMPORTRANGE(""17pNv02DXDpQT9S3w4-QeNym2QJy2BzMBqDXp-XtzJBM"", ""'JUA'!BK3:BK139""),MATCH($D42,IMPORTRANGE(""17pNv02DXDpQT9S3w4-QeNym2QJy2BzMBqDXp-XtzJBM"", ""'JUA'!D3:D139""),0))"),0)</f>
        <v>0</v>
      </c>
      <c r="AD42" s="12">
        <f ca="1">IFERROR(__xludf.DUMMYFUNCTION("INDEX(IMPORTRANGE(""17pNv02DXDpQT9S3w4-QeNym2QJy2BzMBqDXp-XtzJBM"", ""'JUA'!BL3:BL139""),MATCH($D42,IMPORTRANGE(""17pNv02DXDpQT9S3w4-QeNym2QJy2BzMBqDXp-XtzJBM"", ""'JUA'!D3:D139""),0))"),0)</f>
        <v>0</v>
      </c>
      <c r="AE42" s="12">
        <f ca="1">IFERROR(__xludf.DUMMYFUNCTION("INDEX(IMPORTRANGE(""17pNv02DXDpQT9S3w4-QeNym2QJy2BzMBqDXp-XtzJBM"", ""'JUA'!BM3:BM139""),MATCH($D42,IMPORTRANGE(""17pNv02DXDpQT9S3w4-QeNym2QJy2BzMBqDXp-XtzJBM"", ""'JUA'!D3:D139""),0))"),0)</f>
        <v>0</v>
      </c>
    </row>
    <row r="43" spans="1:31">
      <c r="A43" s="7" t="s">
        <v>119</v>
      </c>
      <c r="B43" s="7" t="s">
        <v>127</v>
      </c>
      <c r="C43" s="1" t="s">
        <v>36</v>
      </c>
      <c r="D43" s="7" t="s">
        <v>128</v>
      </c>
      <c r="E43" s="7" t="s">
        <v>38</v>
      </c>
      <c r="F43" s="2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2" t="s">
        <v>364</v>
      </c>
      <c r="P43" s="12" t="s">
        <v>132</v>
      </c>
      <c r="Q43" s="12">
        <v>0</v>
      </c>
      <c r="R43" s="12">
        <v>0</v>
      </c>
      <c r="S43" s="12">
        <f ca="1">IFERROR(__xludf.DUMMYFUNCTION("INDEX(IMPORTRANGE(""17pNv02DXDpQT9S3w4-QeNym2QJy2BzMBqDXp-XtzJBM"", ""'JUA'!BG3:BG139""),MATCH($D43,IMPORTRANGE(""17pNv02DXDpQT9S3w4-QeNym2QJy2BzMBqDXp-XtzJBM"", ""'JUA'!D3:D139""),0))"),0)</f>
        <v>0</v>
      </c>
      <c r="T43" s="433">
        <v>4</v>
      </c>
      <c r="U43" s="433">
        <v>6</v>
      </c>
      <c r="V43" s="433">
        <v>7</v>
      </c>
      <c r="W43" s="433">
        <v>8</v>
      </c>
      <c r="X43" s="434">
        <v>9</v>
      </c>
      <c r="Y43" s="434">
        <v>10</v>
      </c>
      <c r="Z43" s="12">
        <f ca="1">IFERROR(__xludf.DUMMYFUNCTION("INDEX(IMPORTRANGE(""17pNv02DXDpQT9S3w4-QeNym2QJy2BzMBqDXp-XtzJBM"", ""'JUA'!BH3:BH139""),MATCH($D43,IMPORTRANGE(""17pNv02DXDpQT9S3w4-QeNym2QJy2BzMBqDXp-XtzJBM"", ""'JUA'!D3:D139""),0))"),0)</f>
        <v>0</v>
      </c>
      <c r="AA43" s="2">
        <f ca="1">IFERROR(__xludf.DUMMYFUNCTION("INDEX(IMPORTRANGE(""17pNv02DXDpQT9S3w4-QeNym2QJy2BzMBqDXp-XtzJBM"", ""'JUA'!BI3:BI139""),MATCH($D43,IMPORTRANGE(""17pNv02DXDpQT9S3w4-QeNym2QJy2BzMBqDXp-XtzJBM"", ""'JUA'!D3:D139""),0))"),0)</f>
        <v>0</v>
      </c>
      <c r="AB43" s="12">
        <f ca="1">IFERROR(__xludf.DUMMYFUNCTION("INDEX(IMPORTRANGE(""17pNv02DXDpQT9S3w4-QeNym2QJy2BzMBqDXp-XtzJBM"", ""'JUA'!BJ3:BJ139""),MATCH($D43,IMPORTRANGE(""17pNv02DXDpQT9S3w4-QeNym2QJy2BzMBqDXp-XtzJBM"", ""'JUA'!D3:D139""),0))"),0)</f>
        <v>0</v>
      </c>
      <c r="AC43" s="2">
        <f ca="1">IFERROR(__xludf.DUMMYFUNCTION("INDEX(IMPORTRANGE(""17pNv02DXDpQT9S3w4-QeNym2QJy2BzMBqDXp-XtzJBM"", ""'JUA'!BK3:BK139""),MATCH($D43,IMPORTRANGE(""17pNv02DXDpQT9S3w4-QeNym2QJy2BzMBqDXp-XtzJBM"", ""'JUA'!D3:D139""),0))"),0)</f>
        <v>0</v>
      </c>
      <c r="AD43" s="12">
        <f ca="1">IFERROR(__xludf.DUMMYFUNCTION("INDEX(IMPORTRANGE(""17pNv02DXDpQT9S3w4-QeNym2QJy2BzMBqDXp-XtzJBM"", ""'JUA'!BL3:BL139""),MATCH($D43,IMPORTRANGE(""17pNv02DXDpQT9S3w4-QeNym2QJy2BzMBqDXp-XtzJBM"", ""'JUA'!D3:D139""),0))"),0)</f>
        <v>0</v>
      </c>
      <c r="AE43" s="2">
        <f ca="1">IFERROR(__xludf.DUMMYFUNCTION("INDEX(IMPORTRANGE(""17pNv02DXDpQT9S3w4-QeNym2QJy2BzMBqDXp-XtzJBM"", ""'JUA'!BM3:BM139""),MATCH($D43,IMPORTRANGE(""17pNv02DXDpQT9S3w4-QeNym2QJy2BzMBqDXp-XtzJBM"", ""'JUA'!D3:D139""),0))"),0)</f>
        <v>0</v>
      </c>
    </row>
    <row r="44" spans="1:31">
      <c r="A44" s="7" t="s">
        <v>119</v>
      </c>
      <c r="B44" s="7" t="s">
        <v>133</v>
      </c>
      <c r="C44" s="1" t="s">
        <v>36</v>
      </c>
      <c r="D44" s="7" t="s">
        <v>134</v>
      </c>
      <c r="E44" s="7" t="s">
        <v>38</v>
      </c>
      <c r="F44" s="2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2" t="s">
        <v>364</v>
      </c>
      <c r="P44" s="12" t="s">
        <v>132</v>
      </c>
      <c r="Q44" s="12">
        <v>27</v>
      </c>
      <c r="R44" s="12">
        <v>44</v>
      </c>
      <c r="S44" s="12">
        <f ca="1">IFERROR(__xludf.DUMMYFUNCTION("INDEX(IMPORTRANGE(""17pNv02DXDpQT9S3w4-QeNym2QJy2BzMBqDXp-XtzJBM"", ""'JUA'!BG3:BG139""),MATCH($D44,IMPORTRANGE(""17pNv02DXDpQT9S3w4-QeNym2QJy2BzMBqDXp-XtzJBM"", ""'JUA'!D3:D139""),0))"),44)</f>
        <v>44</v>
      </c>
      <c r="T44" s="433">
        <v>1036</v>
      </c>
      <c r="U44" s="433">
        <v>1576</v>
      </c>
      <c r="V44" s="433">
        <v>2061</v>
      </c>
      <c r="W44" s="433">
        <v>2538</v>
      </c>
      <c r="X44" s="12">
        <f>((Y44-W44)/6)*5+W44</f>
        <v>2968</v>
      </c>
      <c r="Y44" s="434">
        <v>3054</v>
      </c>
      <c r="Z44" s="12">
        <f ca="1">IFERROR(__xludf.DUMMYFUNCTION("INDEX(IMPORTRANGE(""17pNv02DXDpQT9S3w4-QeNym2QJy2BzMBqDXp-XtzJBM"", ""'JUA'!BH3:BH139""),MATCH($D44,IMPORTRANGE(""17pNv02DXDpQT9S3w4-QeNym2QJy2BzMBqDXp-XtzJBM"", ""'JUA'!D3:D139""),0))"),0)</f>
        <v>0</v>
      </c>
      <c r="AA44" s="2">
        <f ca="1">IFERROR(__xludf.DUMMYFUNCTION("INDEX(IMPORTRANGE(""17pNv02DXDpQT9S3w4-QeNym2QJy2BzMBqDXp-XtzJBM"", ""'JUA'!BI3:BI139""),MATCH($D44,IMPORTRANGE(""17pNv02DXDpQT9S3w4-QeNym2QJy2BzMBqDXp-XtzJBM"", ""'JUA'!D3:D139""),0))"),0)</f>
        <v>0</v>
      </c>
      <c r="AB44" s="12">
        <f ca="1">IFERROR(__xludf.DUMMYFUNCTION("INDEX(IMPORTRANGE(""17pNv02DXDpQT9S3w4-QeNym2QJy2BzMBqDXp-XtzJBM"", ""'JUA'!BJ3:BJ139""),MATCH($D44,IMPORTRANGE(""17pNv02DXDpQT9S3w4-QeNym2QJy2BzMBqDXp-XtzJBM"", ""'JUA'!D3:D139""),0))"),450)</f>
        <v>450</v>
      </c>
      <c r="AC44" s="2">
        <f ca="1">IFERROR(__xludf.DUMMYFUNCTION("INDEX(IMPORTRANGE(""17pNv02DXDpQT9S3w4-QeNym2QJy2BzMBqDXp-XtzJBM"", ""'JUA'!BK3:BK139""),MATCH($D44,IMPORTRANGE(""17pNv02DXDpQT9S3w4-QeNym2QJy2BzMBqDXp-XtzJBM"", ""'JUA'!D3:D139""),0))"),481)</f>
        <v>481</v>
      </c>
      <c r="AD44" s="12">
        <f ca="1">IFERROR(__xludf.DUMMYFUNCTION("INDEX(IMPORTRANGE(""17pNv02DXDpQT9S3w4-QeNym2QJy2BzMBqDXp-XtzJBM"", ""'JUA'!BL3:BL139""),MATCH($D44,IMPORTRANGE(""17pNv02DXDpQT9S3w4-QeNym2QJy2BzMBqDXp-XtzJBM"", ""'JUA'!D3:D139""),0))"),530)</f>
        <v>530</v>
      </c>
      <c r="AE44" s="2">
        <f ca="1">IFERROR(__xludf.DUMMYFUNCTION("INDEX(IMPORTRANGE(""17pNv02DXDpQT9S3w4-QeNym2QJy2BzMBqDXp-XtzJBM"", ""'JUA'!BM3:BM139""),MATCH($D44,IMPORTRANGE(""17pNv02DXDpQT9S3w4-QeNym2QJy2BzMBqDXp-XtzJBM"", ""'JUA'!D3:D139""),0))"),545)</f>
        <v>545</v>
      </c>
    </row>
    <row r="45" spans="1:31">
      <c r="A45" s="7" t="s">
        <v>119</v>
      </c>
      <c r="B45" s="7" t="s">
        <v>136</v>
      </c>
      <c r="C45" s="1" t="s">
        <v>30</v>
      </c>
      <c r="D45" s="7" t="s">
        <v>137</v>
      </c>
      <c r="E45" s="7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2" t="s">
        <v>364</v>
      </c>
      <c r="P45" s="12" t="s">
        <v>132</v>
      </c>
      <c r="Q45" s="12">
        <v>0</v>
      </c>
      <c r="R45" s="12">
        <v>6</v>
      </c>
      <c r="S45" s="12">
        <f ca="1">IFERROR(__xludf.DUMMYFUNCTION("INDEX(IMPORTRANGE(""17pNv02DXDpQT9S3w4-QeNym2QJy2BzMBqDXp-XtzJBM"", ""'JUA'!BG3:BG139""),MATCH($D45,IMPORTRANGE(""17pNv02DXDpQT9S3w4-QeNym2QJy2BzMBqDXp-XtzJBM"", ""'JUA'!D3:D139""),0))"),6)</f>
        <v>6</v>
      </c>
      <c r="T45" s="13"/>
      <c r="U45" s="13"/>
      <c r="V45" s="13"/>
      <c r="W45" s="13"/>
      <c r="X45" s="13"/>
      <c r="Y45" s="316"/>
      <c r="Z45" s="12">
        <f ca="1">IFERROR(__xludf.DUMMYFUNCTION("INDEX(IMPORTRANGE(""17pNv02DXDpQT9S3w4-QeNym2QJy2BzMBqDXp-XtzJBM"", ""'JUA'!BH3:BH139""),MATCH($D45,IMPORTRANGE(""17pNv02DXDpQT9S3w4-QeNym2QJy2BzMBqDXp-XtzJBM"", ""'JUA'!D3:D139""),0))"),0)</f>
        <v>0</v>
      </c>
      <c r="AA45" s="2">
        <f ca="1">IFERROR(__xludf.DUMMYFUNCTION("INDEX(IMPORTRANGE(""17pNv02DXDpQT9S3w4-QeNym2QJy2BzMBqDXp-XtzJBM"", ""'JUA'!BI3:BI139""),MATCH($D45,IMPORTRANGE(""17pNv02DXDpQT9S3w4-QeNym2QJy2BzMBqDXp-XtzJBM"", ""'JUA'!D3:D139""),0))"),0)</f>
        <v>0</v>
      </c>
      <c r="AB45" s="12">
        <f ca="1">IFERROR(__xludf.DUMMYFUNCTION("INDEX(IMPORTRANGE(""17pNv02DXDpQT9S3w4-QeNym2QJy2BzMBqDXp-XtzJBM"", ""'JUA'!BJ3:BJ139""),MATCH($D45,IMPORTRANGE(""17pNv02DXDpQT9S3w4-QeNym2QJy2BzMBqDXp-XtzJBM"", ""'JUA'!D3:D139""),0))"),0)</f>
        <v>0</v>
      </c>
      <c r="AC45" s="2">
        <f ca="1">IFERROR(__xludf.DUMMYFUNCTION("INDEX(IMPORTRANGE(""17pNv02DXDpQT9S3w4-QeNym2QJy2BzMBqDXp-XtzJBM"", ""'JUA'!BK3:BK139""),MATCH($D45,IMPORTRANGE(""17pNv02DXDpQT9S3w4-QeNym2QJy2BzMBqDXp-XtzJBM"", ""'JUA'!D3:D139""),0))"),1)</f>
        <v>1</v>
      </c>
      <c r="AD45" s="12">
        <f ca="1">IFERROR(__xludf.DUMMYFUNCTION("INDEX(IMPORTRANGE(""17pNv02DXDpQT9S3w4-QeNym2QJy2BzMBqDXp-XtzJBM"", ""'JUA'!BL3:BL139""),MATCH($D45,IMPORTRANGE(""17pNv02DXDpQT9S3w4-QeNym2QJy2BzMBqDXp-XtzJBM"", ""'JUA'!D3:D139""),0))"),1)</f>
        <v>1</v>
      </c>
      <c r="AE45" s="2">
        <f ca="1">IFERROR(__xludf.DUMMYFUNCTION("INDEX(IMPORTRANGE(""17pNv02DXDpQT9S3w4-QeNym2QJy2BzMBqDXp-XtzJBM"", ""'JUA'!BM3:BM139""),MATCH($D45,IMPORTRANGE(""17pNv02DXDpQT9S3w4-QeNym2QJy2BzMBqDXp-XtzJBM"", ""'JUA'!D3:D139""),0))"),2)</f>
        <v>2</v>
      </c>
    </row>
    <row r="46" spans="1:31">
      <c r="A46" s="7" t="s">
        <v>119</v>
      </c>
      <c r="B46" s="7" t="s">
        <v>136</v>
      </c>
      <c r="C46" s="1" t="s">
        <v>30</v>
      </c>
      <c r="D46" s="7" t="s">
        <v>139</v>
      </c>
      <c r="E46" s="7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2" t="s">
        <v>364</v>
      </c>
      <c r="P46" s="12" t="s">
        <v>132</v>
      </c>
      <c r="Q46" s="12"/>
      <c r="R46" s="12"/>
      <c r="S46" s="12">
        <f ca="1">IFERROR(__xludf.DUMMYFUNCTION("INDEX(IMPORTRANGE(""17pNv02DXDpQT9S3w4-QeNym2QJy2BzMBqDXp-XtzJBM"", ""'JUA'!BG3:BG139""),MATCH($D46,IMPORTRANGE(""17pNv02DXDpQT9S3w4-QeNym2QJy2BzMBqDXp-XtzJBM"", ""'JUA'!D3:D139""),0))"),0)</f>
        <v>0</v>
      </c>
      <c r="T46" s="13"/>
      <c r="U46" s="13"/>
      <c r="V46" s="13"/>
      <c r="W46" s="13"/>
      <c r="X46" s="13"/>
      <c r="Y46" s="316"/>
      <c r="Z46" s="12" t="str">
        <f ca="1">IFERROR(__xludf.DUMMYFUNCTION("INDEX(IMPORTRANGE(""17pNv02DXDpQT9S3w4-QeNym2QJy2BzMBqDXp-XtzJBM"", ""'JUA'!BH3:BH139""),MATCH($D46,IMPORTRANGE(""17pNv02DXDpQT9S3w4-QeNym2QJy2BzMBqDXp-XtzJBM"", ""'JUA'!D3:D139""),0))"),"")</f>
        <v/>
      </c>
      <c r="AA46" s="2">
        <f ca="1">IFERROR(__xludf.DUMMYFUNCTION("INDEX(IMPORTRANGE(""17pNv02DXDpQT9S3w4-QeNym2QJy2BzMBqDXp-XtzJBM"", ""'JUA'!BI3:BI139""),MATCH($D46,IMPORTRANGE(""17pNv02DXDpQT9S3w4-QeNym2QJy2BzMBqDXp-XtzJBM"", ""'JUA'!D3:D139""),0))"),0)</f>
        <v>0</v>
      </c>
      <c r="AB46" s="12">
        <f ca="1">IFERROR(__xludf.DUMMYFUNCTION("INDEX(IMPORTRANGE(""17pNv02DXDpQT9S3w4-QeNym2QJy2BzMBqDXp-XtzJBM"", ""'JUA'!BJ3:BJ139""),MATCH($D46,IMPORTRANGE(""17pNv02DXDpQT9S3w4-QeNym2QJy2BzMBqDXp-XtzJBM"", ""'JUA'!D3:D139""),0))"),0)</f>
        <v>0</v>
      </c>
      <c r="AC46" s="2">
        <f ca="1">IFERROR(__xludf.DUMMYFUNCTION("INDEX(IMPORTRANGE(""17pNv02DXDpQT9S3w4-QeNym2QJy2BzMBqDXp-XtzJBM"", ""'JUA'!BK3:BK139""),MATCH($D46,IMPORTRANGE(""17pNv02DXDpQT9S3w4-QeNym2QJy2BzMBqDXp-XtzJBM"", ""'JUA'!D3:D139""),0))"),0)</f>
        <v>0</v>
      </c>
      <c r="AD46" s="12">
        <f ca="1">IFERROR(__xludf.DUMMYFUNCTION("INDEX(IMPORTRANGE(""17pNv02DXDpQT9S3w4-QeNym2QJy2BzMBqDXp-XtzJBM"", ""'JUA'!BL3:BL139""),MATCH($D46,IMPORTRANGE(""17pNv02DXDpQT9S3w4-QeNym2QJy2BzMBqDXp-XtzJBM"", ""'JUA'!D3:D139""),0))"),0)</f>
        <v>0</v>
      </c>
      <c r="AE46" s="2">
        <f ca="1">IFERROR(__xludf.DUMMYFUNCTION("INDEX(IMPORTRANGE(""17pNv02DXDpQT9S3w4-QeNym2QJy2BzMBqDXp-XtzJBM"", ""'JUA'!BM3:BM139""),MATCH($D46,IMPORTRANGE(""17pNv02DXDpQT9S3w4-QeNym2QJy2BzMBqDXp-XtzJBM"", ""'JUA'!D3:D139""),0))"),0)</f>
        <v>0</v>
      </c>
    </row>
    <row r="47" spans="1:31">
      <c r="A47" s="7" t="s">
        <v>119</v>
      </c>
      <c r="B47" s="7" t="s">
        <v>136</v>
      </c>
      <c r="C47" s="1" t="s">
        <v>30</v>
      </c>
      <c r="D47" s="7" t="s">
        <v>141</v>
      </c>
      <c r="E47" s="7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2" t="s">
        <v>364</v>
      </c>
      <c r="P47" s="12" t="s">
        <v>132</v>
      </c>
      <c r="Q47" s="12">
        <v>10</v>
      </c>
      <c r="R47" s="12">
        <v>10</v>
      </c>
      <c r="S47" s="12">
        <f ca="1">IFERROR(__xludf.DUMMYFUNCTION("INDEX(IMPORTRANGE(""17pNv02DXDpQT9S3w4-QeNym2QJy2BzMBqDXp-XtzJBM"", ""'JUA'!BG3:BG139""),MATCH($D47,IMPORTRANGE(""17pNv02DXDpQT9S3w4-QeNym2QJy2BzMBqDXp-XtzJBM"", ""'JUA'!D3:D139""),0))"),10)</f>
        <v>10</v>
      </c>
      <c r="T47" s="13"/>
      <c r="U47" s="13"/>
      <c r="V47" s="13"/>
      <c r="W47" s="13"/>
      <c r="X47" s="13"/>
      <c r="Y47" s="316"/>
      <c r="Z47" s="12">
        <f ca="1">IFERROR(__xludf.DUMMYFUNCTION("INDEX(IMPORTRANGE(""17pNv02DXDpQT9S3w4-QeNym2QJy2BzMBqDXp-XtzJBM"", ""'JUA'!BH3:BH139""),MATCH($D47,IMPORTRANGE(""17pNv02DXDpQT9S3w4-QeNym2QJy2BzMBqDXp-XtzJBM"", ""'JUA'!D3:D139""),0))"),0)</f>
        <v>0</v>
      </c>
      <c r="AA47" s="2">
        <f ca="1">IFERROR(__xludf.DUMMYFUNCTION("INDEX(IMPORTRANGE(""17pNv02DXDpQT9S3w4-QeNym2QJy2BzMBqDXp-XtzJBM"", ""'JUA'!BI3:BI139""),MATCH($D47,IMPORTRANGE(""17pNv02DXDpQT9S3w4-QeNym2QJy2BzMBqDXp-XtzJBM"", ""'JUA'!D3:D139""),0))"),0)</f>
        <v>0</v>
      </c>
      <c r="AB47" s="12">
        <f ca="1">IFERROR(__xludf.DUMMYFUNCTION("INDEX(IMPORTRANGE(""17pNv02DXDpQT9S3w4-QeNym2QJy2BzMBqDXp-XtzJBM"", ""'JUA'!BJ3:BJ139""),MATCH($D47,IMPORTRANGE(""17pNv02DXDpQT9S3w4-QeNym2QJy2BzMBqDXp-XtzJBM"", ""'JUA'!D3:D139""),0))"),0)</f>
        <v>0</v>
      </c>
      <c r="AC47" s="2">
        <f ca="1">IFERROR(__xludf.DUMMYFUNCTION("INDEX(IMPORTRANGE(""17pNv02DXDpQT9S3w4-QeNym2QJy2BzMBqDXp-XtzJBM"", ""'JUA'!BK3:BK139""),MATCH($D47,IMPORTRANGE(""17pNv02DXDpQT9S3w4-QeNym2QJy2BzMBqDXp-XtzJBM"", ""'JUA'!D3:D139""),0))"),2)</f>
        <v>2</v>
      </c>
      <c r="AD47" s="12">
        <f ca="1">IFERROR(__xludf.DUMMYFUNCTION("INDEX(IMPORTRANGE(""17pNv02DXDpQT9S3w4-QeNym2QJy2BzMBqDXp-XtzJBM"", ""'JUA'!BL3:BL139""),MATCH($D47,IMPORTRANGE(""17pNv02DXDpQT9S3w4-QeNym2QJy2BzMBqDXp-XtzJBM"", ""'JUA'!D3:D139""),0))"),2)</f>
        <v>2</v>
      </c>
      <c r="AE47" s="2">
        <f ca="1">IFERROR(__xludf.DUMMYFUNCTION("INDEX(IMPORTRANGE(""17pNv02DXDpQT9S3w4-QeNym2QJy2BzMBqDXp-XtzJBM"", ""'JUA'!BM3:BM139""),MATCH($D47,IMPORTRANGE(""17pNv02DXDpQT9S3w4-QeNym2QJy2BzMBqDXp-XtzJBM"", ""'JUA'!D3:D139""),0))"),9)</f>
        <v>9</v>
      </c>
    </row>
    <row r="48" spans="1:31">
      <c r="A48" s="7" t="s">
        <v>119</v>
      </c>
      <c r="B48" s="7" t="s">
        <v>136</v>
      </c>
      <c r="C48" s="1" t="s">
        <v>30</v>
      </c>
      <c r="D48" s="7" t="s">
        <v>143</v>
      </c>
      <c r="E48" s="7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2" t="s">
        <v>364</v>
      </c>
      <c r="P48" s="12" t="s">
        <v>132</v>
      </c>
      <c r="Q48" s="12"/>
      <c r="R48" s="12"/>
      <c r="S48" s="12">
        <f ca="1">IFERROR(__xludf.DUMMYFUNCTION("INDEX(IMPORTRANGE(""17pNv02DXDpQT9S3w4-QeNym2QJy2BzMBqDXp-XtzJBM"", ""'JUA'!BG3:BG139""),MATCH($D48,IMPORTRANGE(""17pNv02DXDpQT9S3w4-QeNym2QJy2BzMBqDXp-XtzJBM"", ""'JUA'!D3:D139""),0))"),0)</f>
        <v>0</v>
      </c>
      <c r="T48" s="13"/>
      <c r="U48" s="13"/>
      <c r="V48" s="13"/>
      <c r="W48" s="13"/>
      <c r="X48" s="13"/>
      <c r="Y48" s="316"/>
      <c r="Z48" s="12" t="str">
        <f ca="1">IFERROR(__xludf.DUMMYFUNCTION("INDEX(IMPORTRANGE(""17pNv02DXDpQT9S3w4-QeNym2QJy2BzMBqDXp-XtzJBM"", ""'JUA'!BH3:BH139""),MATCH($D48,IMPORTRANGE(""17pNv02DXDpQT9S3w4-QeNym2QJy2BzMBqDXp-XtzJBM"", ""'JUA'!D3:D139""),0))"),"")</f>
        <v/>
      </c>
      <c r="AA48" s="12">
        <f ca="1">IFERROR(__xludf.DUMMYFUNCTION("INDEX(IMPORTRANGE(""17pNv02DXDpQT9S3w4-QeNym2QJy2BzMBqDXp-XtzJBM"", ""'JUA'!BI3:BI139""),MATCH($D48,IMPORTRANGE(""17pNv02DXDpQT9S3w4-QeNym2QJy2BzMBqDXp-XtzJBM"", ""'JUA'!D3:D139""),0))"),0)</f>
        <v>0</v>
      </c>
      <c r="AB48" s="12">
        <f ca="1">IFERROR(__xludf.DUMMYFUNCTION("INDEX(IMPORTRANGE(""17pNv02DXDpQT9S3w4-QeNym2QJy2BzMBqDXp-XtzJBM"", ""'JUA'!BJ3:BJ139""),MATCH($D48,IMPORTRANGE(""17pNv02DXDpQT9S3w4-QeNym2QJy2BzMBqDXp-XtzJBM"", ""'JUA'!D3:D139""),0))"),0)</f>
        <v>0</v>
      </c>
      <c r="AC48" s="12">
        <f ca="1">IFERROR(__xludf.DUMMYFUNCTION("INDEX(IMPORTRANGE(""17pNv02DXDpQT9S3w4-QeNym2QJy2BzMBqDXp-XtzJBM"", ""'JUA'!BK3:BK139""),MATCH($D48,IMPORTRANGE(""17pNv02DXDpQT9S3w4-QeNym2QJy2BzMBqDXp-XtzJBM"", ""'JUA'!D3:D139""),0))"),0)</f>
        <v>0</v>
      </c>
      <c r="AD48" s="12">
        <f ca="1">IFERROR(__xludf.DUMMYFUNCTION("INDEX(IMPORTRANGE(""17pNv02DXDpQT9S3w4-QeNym2QJy2BzMBqDXp-XtzJBM"", ""'JUA'!BL3:BL139""),MATCH($D48,IMPORTRANGE(""17pNv02DXDpQT9S3w4-QeNym2QJy2BzMBqDXp-XtzJBM"", ""'JUA'!D3:D139""),0))"),0)</f>
        <v>0</v>
      </c>
      <c r="AE48" s="12">
        <f ca="1">IFERROR(__xludf.DUMMYFUNCTION("INDEX(IMPORTRANGE(""17pNv02DXDpQT9S3w4-QeNym2QJy2BzMBqDXp-XtzJBM"", ""'JUA'!BM3:BM139""),MATCH($D48,IMPORTRANGE(""17pNv02DXDpQT9S3w4-QeNym2QJy2BzMBqDXp-XtzJBM"", ""'JUA'!D3:D139""),0))"),0)</f>
        <v>0</v>
      </c>
    </row>
    <row r="49" spans="1:31">
      <c r="A49" s="7" t="s">
        <v>119</v>
      </c>
      <c r="B49" s="7" t="s">
        <v>136</v>
      </c>
      <c r="C49" s="1" t="s">
        <v>36</v>
      </c>
      <c r="D49" s="7" t="s">
        <v>145</v>
      </c>
      <c r="E49" s="7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2" t="s">
        <v>364</v>
      </c>
      <c r="P49" s="12" t="s">
        <v>132</v>
      </c>
      <c r="Q49" s="12">
        <v>10</v>
      </c>
      <c r="R49" s="12">
        <v>16</v>
      </c>
      <c r="S49" s="12">
        <f ca="1">IFERROR(__xludf.DUMMYFUNCTION("INDEX(IMPORTRANGE(""17pNv02DXDpQT9S3w4-QeNym2QJy2BzMBqDXp-XtzJBM"", ""'JUA'!BG3:BG139""),MATCH($D49,IMPORTRANGE(""17pNv02DXDpQT9S3w4-QeNym2QJy2BzMBqDXp-XtzJBM"", ""'JUA'!D3:D139""),0))"),16)</f>
        <v>16</v>
      </c>
      <c r="T49" s="433">
        <v>16</v>
      </c>
      <c r="U49" s="433">
        <v>23</v>
      </c>
      <c r="V49" s="433">
        <v>31</v>
      </c>
      <c r="W49" s="433">
        <v>38</v>
      </c>
      <c r="X49" s="12">
        <f>((Y49-W49)/6)*5+W49</f>
        <v>44.666666666666664</v>
      </c>
      <c r="Y49" s="434">
        <v>46</v>
      </c>
      <c r="Z49" s="12">
        <f ca="1">IFERROR(__xludf.DUMMYFUNCTION("INDEX(IMPORTRANGE(""17pNv02DXDpQT9S3w4-QeNym2QJy2BzMBqDXp-XtzJBM"", ""'JUA'!BH3:BH139""),MATCH($D49,IMPORTRANGE(""17pNv02DXDpQT9S3w4-QeNym2QJy2BzMBqDXp-XtzJBM"", ""'JUA'!D3:D139""),0))"),0)</f>
        <v>0</v>
      </c>
      <c r="AA49" s="12">
        <f ca="1">IFERROR(__xludf.DUMMYFUNCTION("INDEX(IMPORTRANGE(""17pNv02DXDpQT9S3w4-QeNym2QJy2BzMBqDXp-XtzJBM"", ""'JUA'!BI3:BI139""),MATCH($D49,IMPORTRANGE(""17pNv02DXDpQT9S3w4-QeNym2QJy2BzMBqDXp-XtzJBM"", ""'JUA'!D3:D139""),0))"),0)</f>
        <v>0</v>
      </c>
      <c r="AB49" s="12">
        <f ca="1">IFERROR(__xludf.DUMMYFUNCTION("INDEX(IMPORTRANGE(""17pNv02DXDpQT9S3w4-QeNym2QJy2BzMBqDXp-XtzJBM"", ""'JUA'!BJ3:BJ139""),MATCH($D49,IMPORTRANGE(""17pNv02DXDpQT9S3w4-QeNym2QJy2BzMBqDXp-XtzJBM"", ""'JUA'!D3:D139""),0))"),0)</f>
        <v>0</v>
      </c>
      <c r="AC49" s="12">
        <f ca="1">IFERROR(__xludf.DUMMYFUNCTION("INDEX(IMPORTRANGE(""17pNv02DXDpQT9S3w4-QeNym2QJy2BzMBqDXp-XtzJBM"", ""'JUA'!BK3:BK139""),MATCH($D49,IMPORTRANGE(""17pNv02DXDpQT9S3w4-QeNym2QJy2BzMBqDXp-XtzJBM"", ""'JUA'!D3:D139""),0))"),3)</f>
        <v>3</v>
      </c>
      <c r="AD49" s="12">
        <f ca="1">IFERROR(__xludf.DUMMYFUNCTION("INDEX(IMPORTRANGE(""17pNv02DXDpQT9S3w4-QeNym2QJy2BzMBqDXp-XtzJBM"", ""'JUA'!BL3:BL139""),MATCH($D49,IMPORTRANGE(""17pNv02DXDpQT9S3w4-QeNym2QJy2BzMBqDXp-XtzJBM"", ""'JUA'!D3:D139""),0))"),3)</f>
        <v>3</v>
      </c>
      <c r="AE49" s="12">
        <f ca="1">IFERROR(__xludf.DUMMYFUNCTION("INDEX(IMPORTRANGE(""17pNv02DXDpQT9S3w4-QeNym2QJy2BzMBqDXp-XtzJBM"", ""'JUA'!BM3:BM139""),MATCH($D49,IMPORTRANGE(""17pNv02DXDpQT9S3w4-QeNym2QJy2BzMBqDXp-XtzJBM"", ""'JUA'!D3:D139""),0))"),11)</f>
        <v>11</v>
      </c>
    </row>
    <row r="50" spans="1:31">
      <c r="A50" s="7" t="s">
        <v>147</v>
      </c>
      <c r="B50" s="7" t="s">
        <v>148</v>
      </c>
      <c r="C50" s="1" t="s">
        <v>30</v>
      </c>
      <c r="D50" s="7" t="s">
        <v>149</v>
      </c>
      <c r="E50" s="7" t="s">
        <v>38</v>
      </c>
      <c r="F50" s="2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150</v>
      </c>
      <c r="R50" s="30" t="s">
        <v>150</v>
      </c>
      <c r="S50" s="30" t="str">
        <f ca="1">IFERROR(__xludf.DUMMYFUNCTION("INDEX(IMPORTRANGE(""17pNv02DXDpQT9S3w4-QeNym2QJy2BzMBqDXp-XtzJBM"", ""'JUA'!BG3:BG139""),MATCH($D50,IMPORTRANGE(""17pNv02DXDpQT9S3w4-QeNym2QJy2BzMBqDXp-XtzJBM"", ""'JUA'!D3:D139""),0))"),"No")</f>
        <v>No</v>
      </c>
      <c r="T50" s="1" t="s">
        <v>151</v>
      </c>
      <c r="U50" s="1" t="s">
        <v>151</v>
      </c>
      <c r="V50" s="1" t="s">
        <v>151</v>
      </c>
      <c r="W50" s="1" t="s">
        <v>151</v>
      </c>
      <c r="X50" s="1" t="s">
        <v>151</v>
      </c>
      <c r="Y50" s="1" t="s">
        <v>151</v>
      </c>
      <c r="Z50" s="12" t="str">
        <f ca="1">IFERROR(__xludf.DUMMYFUNCTION("INDEX(IMPORTRANGE(""17pNv02DXDpQT9S3w4-QeNym2QJy2BzMBqDXp-XtzJBM"", ""'JUA'!BH3:BH139""),MATCH($D50,IMPORTRANGE(""17pNv02DXDpQT9S3w4-QeNym2QJy2BzMBqDXp-XtzJBM"", ""'JUA'!D3:D139""),0))"),"No")</f>
        <v>No</v>
      </c>
      <c r="AA50" s="2" t="str">
        <f ca="1">IFERROR(__xludf.DUMMYFUNCTION("INDEX(IMPORTRANGE(""17pNv02DXDpQT9S3w4-QeNym2QJy2BzMBqDXp-XtzJBM"", ""'JUA'!BI3:BI139""),MATCH($D50,IMPORTRANGE(""17pNv02DXDpQT9S3w4-QeNym2QJy2BzMBqDXp-XtzJBM"", ""'JUA'!D3:D139""),0))"),"No")</f>
        <v>No</v>
      </c>
      <c r="AB50" s="12" t="str">
        <f ca="1">IFERROR(__xludf.DUMMYFUNCTION("INDEX(IMPORTRANGE(""17pNv02DXDpQT9S3w4-QeNym2QJy2BzMBqDXp-XtzJBM"", ""'JUA'!BJ3:BJ139""),MATCH($D50,IMPORTRANGE(""17pNv02DXDpQT9S3w4-QeNym2QJy2BzMBqDXp-XtzJBM"", ""'JUA'!D3:D139""),0))"),"No")</f>
        <v>No</v>
      </c>
      <c r="AC50" s="2" t="str">
        <f ca="1">IFERROR(__xludf.DUMMYFUNCTION("INDEX(IMPORTRANGE(""17pNv02DXDpQT9S3w4-QeNym2QJy2BzMBqDXp-XtzJBM"", ""'JUA'!BK3:BK139""),MATCH($D50,IMPORTRANGE(""17pNv02DXDpQT9S3w4-QeNym2QJy2BzMBqDXp-XtzJBM"", ""'JUA'!D3:D139""),0))"),"No")</f>
        <v>No</v>
      </c>
      <c r="AD50" s="12" t="str">
        <f ca="1">IFERROR(__xludf.DUMMYFUNCTION("INDEX(IMPORTRANGE(""17pNv02DXDpQT9S3w4-QeNym2QJy2BzMBqDXp-XtzJBM"", ""'JUA'!BL3:BL139""),MATCH($D50,IMPORTRANGE(""17pNv02DXDpQT9S3w4-QeNym2QJy2BzMBqDXp-XtzJBM"", ""'JUA'!D3:D139""),0))"),"No")</f>
        <v>No</v>
      </c>
      <c r="AE50" s="2" t="str">
        <f ca="1">IFERROR(__xludf.DUMMYFUNCTION("INDEX(IMPORTRANGE(""17pNv02DXDpQT9S3w4-QeNym2QJy2BzMBqDXp-XtzJBM"", ""'JUA'!BM3:BM139""),MATCH($D50,IMPORTRANGE(""17pNv02DXDpQT9S3w4-QeNym2QJy2BzMBqDXp-XtzJBM"", ""'JUA'!D3:D139""),0))"),"No")</f>
        <v>No</v>
      </c>
    </row>
    <row r="51" spans="1:31">
      <c r="A51" s="7" t="s">
        <v>147</v>
      </c>
      <c r="B51" s="7" t="s">
        <v>148</v>
      </c>
      <c r="C51" s="1" t="s">
        <v>30</v>
      </c>
      <c r="D51" s="7" t="s">
        <v>152</v>
      </c>
      <c r="E51" s="7" t="s">
        <v>38</v>
      </c>
      <c r="F51" s="2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150</v>
      </c>
      <c r="R51" s="30" t="s">
        <v>150</v>
      </c>
      <c r="S51" s="30" t="str">
        <f ca="1">IFERROR(__xludf.DUMMYFUNCTION("INDEX(IMPORTRANGE(""17pNv02DXDpQT9S3w4-QeNym2QJy2BzMBqDXp-XtzJBM"", ""'JUA'!BG3:BG139""),MATCH($D51,IMPORTRANGE(""17pNv02DXDpQT9S3w4-QeNym2QJy2BzMBqDXp-XtzJBM"", ""'JUA'!D3:D139""),0))"),"No")</f>
        <v>No</v>
      </c>
      <c r="T51" s="1" t="s">
        <v>151</v>
      </c>
      <c r="U51" s="1" t="s">
        <v>151</v>
      </c>
      <c r="V51" s="1" t="s">
        <v>151</v>
      </c>
      <c r="W51" s="1" t="s">
        <v>151</v>
      </c>
      <c r="X51" s="1" t="s">
        <v>151</v>
      </c>
      <c r="Y51" s="1" t="s">
        <v>151</v>
      </c>
      <c r="Z51" s="12" t="str">
        <f ca="1">IFERROR(__xludf.DUMMYFUNCTION("INDEX(IMPORTRANGE(""17pNv02DXDpQT9S3w4-QeNym2QJy2BzMBqDXp-XtzJBM"", ""'JUA'!BH3:BH139""),MATCH($D51,IMPORTRANGE(""17pNv02DXDpQT9S3w4-QeNym2QJy2BzMBqDXp-XtzJBM"", ""'JUA'!D3:D139""),0))"),"No")</f>
        <v>No</v>
      </c>
      <c r="AA51" s="2" t="str">
        <f ca="1">IFERROR(__xludf.DUMMYFUNCTION("INDEX(IMPORTRANGE(""17pNv02DXDpQT9S3w4-QeNym2QJy2BzMBqDXp-XtzJBM"", ""'JUA'!BI3:BI139""),MATCH($D51,IMPORTRANGE(""17pNv02DXDpQT9S3w4-QeNym2QJy2BzMBqDXp-XtzJBM"", ""'JUA'!D3:D139""),0))"),"No")</f>
        <v>No</v>
      </c>
      <c r="AB51" s="12" t="str">
        <f ca="1">IFERROR(__xludf.DUMMYFUNCTION("INDEX(IMPORTRANGE(""17pNv02DXDpQT9S3w4-QeNym2QJy2BzMBqDXp-XtzJBM"", ""'JUA'!BJ3:BJ139""),MATCH($D51,IMPORTRANGE(""17pNv02DXDpQT9S3w4-QeNym2QJy2BzMBqDXp-XtzJBM"", ""'JUA'!D3:D139""),0))"),"No")</f>
        <v>No</v>
      </c>
      <c r="AC51" s="2" t="str">
        <f ca="1">IFERROR(__xludf.DUMMYFUNCTION("INDEX(IMPORTRANGE(""17pNv02DXDpQT9S3w4-QeNym2QJy2BzMBqDXp-XtzJBM"", ""'JUA'!BK3:BK139""),MATCH($D51,IMPORTRANGE(""17pNv02DXDpQT9S3w4-QeNym2QJy2BzMBqDXp-XtzJBM"", ""'JUA'!D3:D139""),0))"),"No")</f>
        <v>No</v>
      </c>
      <c r="AD51" s="12" t="str">
        <f ca="1">IFERROR(__xludf.DUMMYFUNCTION("INDEX(IMPORTRANGE(""17pNv02DXDpQT9S3w4-QeNym2QJy2BzMBqDXp-XtzJBM"", ""'JUA'!BL3:BL139""),MATCH($D51,IMPORTRANGE(""17pNv02DXDpQT9S3w4-QeNym2QJy2BzMBqDXp-XtzJBM"", ""'JUA'!D3:D139""),0))"),"No")</f>
        <v>No</v>
      </c>
      <c r="AE51" s="2" t="str">
        <f ca="1">IFERROR(__xludf.DUMMYFUNCTION("INDEX(IMPORTRANGE(""17pNv02DXDpQT9S3w4-QeNym2QJy2BzMBqDXp-XtzJBM"", ""'JUA'!BM3:BM139""),MATCH($D51,IMPORTRANGE(""17pNv02DXDpQT9S3w4-QeNym2QJy2BzMBqDXp-XtzJBM"", ""'JUA'!D3:D139""),0))"),"No")</f>
        <v>No</v>
      </c>
    </row>
    <row r="52" spans="1:31">
      <c r="A52" s="7" t="s">
        <v>147</v>
      </c>
      <c r="B52" s="7" t="s">
        <v>148</v>
      </c>
      <c r="C52" s="1" t="s">
        <v>30</v>
      </c>
      <c r="D52" s="7" t="s">
        <v>154</v>
      </c>
      <c r="E52" s="7" t="s">
        <v>38</v>
      </c>
      <c r="F52" s="2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150</v>
      </c>
      <c r="R52" s="30" t="s">
        <v>150</v>
      </c>
      <c r="S52" s="30" t="str">
        <f ca="1">IFERROR(__xludf.DUMMYFUNCTION("INDEX(IMPORTRANGE(""17pNv02DXDpQT9S3w4-QeNym2QJy2BzMBqDXp-XtzJBM"", ""'JUA'!BG3:BG139""),MATCH($D52,IMPORTRANGE(""17pNv02DXDpQT9S3w4-QeNym2QJy2BzMBqDXp-XtzJBM"", ""'JUA'!D3:D139""),0))"),"No")</f>
        <v>No</v>
      </c>
      <c r="T52" s="2" t="s">
        <v>155</v>
      </c>
      <c r="U52" s="1" t="s">
        <v>155</v>
      </c>
      <c r="V52" s="1" t="s">
        <v>155</v>
      </c>
      <c r="W52" s="1" t="s">
        <v>155</v>
      </c>
      <c r="X52" s="1" t="s">
        <v>155</v>
      </c>
      <c r="Y52" s="2" t="s">
        <v>155</v>
      </c>
      <c r="Z52" s="12" t="str">
        <f ca="1">IFERROR(__xludf.DUMMYFUNCTION("INDEX(IMPORTRANGE(""17pNv02DXDpQT9S3w4-QeNym2QJy2BzMBqDXp-XtzJBM"", ""'JUA'!BH3:BH139""),MATCH($D52,IMPORTRANGE(""17pNv02DXDpQT9S3w4-QeNym2QJy2BzMBqDXp-XtzJBM"", ""'JUA'!D3:D139""),0))"),"No")</f>
        <v>No</v>
      </c>
      <c r="AA52" s="2" t="str">
        <f ca="1">IFERROR(__xludf.DUMMYFUNCTION("INDEX(IMPORTRANGE(""17pNv02DXDpQT9S3w4-QeNym2QJy2BzMBqDXp-XtzJBM"", ""'JUA'!BI3:BI139""),MATCH($D52,IMPORTRANGE(""17pNv02DXDpQT9S3w4-QeNym2QJy2BzMBqDXp-XtzJBM"", ""'JUA'!D3:D139""),0))"),"No")</f>
        <v>No</v>
      </c>
      <c r="AB52" s="12" t="str">
        <f ca="1">IFERROR(__xludf.DUMMYFUNCTION("INDEX(IMPORTRANGE(""17pNv02DXDpQT9S3w4-QeNym2QJy2BzMBqDXp-XtzJBM"", ""'JUA'!BJ3:BJ139""),MATCH($D52,IMPORTRANGE(""17pNv02DXDpQT9S3w4-QeNym2QJy2BzMBqDXp-XtzJBM"", ""'JUA'!D3:D139""),0))"),"No")</f>
        <v>No</v>
      </c>
      <c r="AC52" s="2" t="str">
        <f ca="1">IFERROR(__xludf.DUMMYFUNCTION("INDEX(IMPORTRANGE(""17pNv02DXDpQT9S3w4-QeNym2QJy2BzMBqDXp-XtzJBM"", ""'JUA'!BK3:BK139""),MATCH($D52,IMPORTRANGE(""17pNv02DXDpQT9S3w4-QeNym2QJy2BzMBqDXp-XtzJBM"", ""'JUA'!D3:D139""),0))"),"No")</f>
        <v>No</v>
      </c>
      <c r="AD52" s="12" t="str">
        <f ca="1">IFERROR(__xludf.DUMMYFUNCTION("INDEX(IMPORTRANGE(""17pNv02DXDpQT9S3w4-QeNym2QJy2BzMBqDXp-XtzJBM"", ""'JUA'!BL3:BL139""),MATCH($D52,IMPORTRANGE(""17pNv02DXDpQT9S3w4-QeNym2QJy2BzMBqDXp-XtzJBM"", ""'JUA'!D3:D139""),0))"),"No")</f>
        <v>No</v>
      </c>
      <c r="AE52" s="2" t="str">
        <f ca="1">IFERROR(__xludf.DUMMYFUNCTION("INDEX(IMPORTRANGE(""17pNv02DXDpQT9S3w4-QeNym2QJy2BzMBqDXp-XtzJBM"", ""'JUA'!BM3:BM139""),MATCH($D52,IMPORTRANGE(""17pNv02DXDpQT9S3w4-QeNym2QJy2BzMBqDXp-XtzJBM"", ""'JUA'!D3:D139""),0))"),"No")</f>
        <v>No</v>
      </c>
    </row>
    <row r="53" spans="1:31">
      <c r="A53" s="7" t="s">
        <v>147</v>
      </c>
      <c r="B53" s="7" t="s">
        <v>148</v>
      </c>
      <c r="C53" s="1" t="s">
        <v>36</v>
      </c>
      <c r="D53" s="7" t="s">
        <v>156</v>
      </c>
      <c r="E53" s="7" t="s">
        <v>38</v>
      </c>
      <c r="F53" s="2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12">
        <f t="shared" ref="Q53:R53" si="11">COUNTIF(Q50:Q52,"Sí")*(1/3)</f>
        <v>0</v>
      </c>
      <c r="R53" s="12">
        <f t="shared" si="11"/>
        <v>0</v>
      </c>
      <c r="S53" s="12">
        <f ca="1">IFERROR(__xludf.DUMMYFUNCTION("INDEX(IMPORTRANGE(""17pNv02DXDpQT9S3w4-QeNym2QJy2BzMBqDXp-XtzJBM"", ""'JUA'!BG3:BG139""),MATCH($D53,IMPORTRANGE(""17pNv02DXDpQT9S3w4-QeNym2QJy2BzMBqDXp-XtzJBM"", ""'JUA'!D3:D139""),0))"),0)</f>
        <v>0</v>
      </c>
      <c r="T53" s="276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12" t="s">
        <v>157</v>
      </c>
      <c r="Z53" s="12" t="str">
        <f ca="1">IFERROR(__xludf.DUMMYFUNCTION("INDEX(IMPORTRANGE(""17pNv02DXDpQT9S3w4-QeNym2QJy2BzMBqDXp-XtzJBM"", ""'JUA'!BH3:BH139""),MATCH($D53,IMPORTRANGE(""17pNv02DXDpQT9S3w4-QeNym2QJy2BzMBqDXp-XtzJBM"", ""'JUA'!D3:D139""),0))"),"")</f>
        <v/>
      </c>
      <c r="AA53" s="12">
        <f ca="1">IFERROR(__xludf.DUMMYFUNCTION("INDEX(IMPORTRANGE(""17pNv02DXDpQT9S3w4-QeNym2QJy2BzMBqDXp-XtzJBM"", ""'JUA'!BI3:BI139""),MATCH($D53,IMPORTRANGE(""17pNv02DXDpQT9S3w4-QeNym2QJy2BzMBqDXp-XtzJBM"", ""'JUA'!D3:D139""),0))"),0)</f>
        <v>0</v>
      </c>
      <c r="AB53" s="12">
        <f ca="1">IFERROR(__xludf.DUMMYFUNCTION("INDEX(IMPORTRANGE(""17pNv02DXDpQT9S3w4-QeNym2QJy2BzMBqDXp-XtzJBM"", ""'JUA'!BJ3:BJ139""),MATCH($D53,IMPORTRANGE(""17pNv02DXDpQT9S3w4-QeNym2QJy2BzMBqDXp-XtzJBM"", ""'JUA'!D3:D139""),0))"),0)</f>
        <v>0</v>
      </c>
      <c r="AC53" s="12">
        <f ca="1">IFERROR(__xludf.DUMMYFUNCTION("INDEX(IMPORTRANGE(""17pNv02DXDpQT9S3w4-QeNym2QJy2BzMBqDXp-XtzJBM"", ""'JUA'!BK3:BK139""),MATCH($D53,IMPORTRANGE(""17pNv02DXDpQT9S3w4-QeNym2QJy2BzMBqDXp-XtzJBM"", ""'JUA'!D3:D139""),0))"),0)</f>
        <v>0</v>
      </c>
      <c r="AD53" s="12">
        <f ca="1">IFERROR(__xludf.DUMMYFUNCTION("INDEX(IMPORTRANGE(""17pNv02DXDpQT9S3w4-QeNym2QJy2BzMBqDXp-XtzJBM"", ""'JUA'!BL3:BL139""),MATCH($D53,IMPORTRANGE(""17pNv02DXDpQT9S3w4-QeNym2QJy2BzMBqDXp-XtzJBM"", ""'JUA'!D3:D139""),0))"),0)</f>
        <v>0</v>
      </c>
      <c r="AE53" s="12">
        <f ca="1">IFERROR(__xludf.DUMMYFUNCTION("INDEX(IMPORTRANGE(""17pNv02DXDpQT9S3w4-QeNym2QJy2BzMBqDXp-XtzJBM"", ""'JUA'!BM3:BM139""),MATCH($D53,IMPORTRANGE(""17pNv02DXDpQT9S3w4-QeNym2QJy2BzMBqDXp-XtzJBM"", ""'JUA'!D3:D139""),0))"),0)</f>
        <v>0</v>
      </c>
    </row>
    <row r="54" spans="1:31">
      <c r="A54" s="7" t="s">
        <v>147</v>
      </c>
      <c r="B54" s="7" t="s">
        <v>148</v>
      </c>
      <c r="C54" s="1" t="s">
        <v>36</v>
      </c>
      <c r="D54" s="7" t="s">
        <v>351</v>
      </c>
      <c r="E54" s="7" t="s">
        <v>38</v>
      </c>
      <c r="F54" s="2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12">
        <v>0</v>
      </c>
      <c r="R54" s="12">
        <v>0</v>
      </c>
      <c r="S54" s="12">
        <f ca="1">IFERROR(__xludf.DUMMYFUNCTION("INDEX(IMPORTRANGE(""17pNv02DXDpQT9S3w4-QeNym2QJy2BzMBqDXp-XtzJBM"", ""'JUA'!BG3:BG139""),MATCH($D54,IMPORTRANGE(""17pNv02DXDpQT9S3w4-QeNym2QJy2BzMBqDXp-XtzJBM"", ""'JUA'!D3:D139""),0))"),0)</f>
        <v>0</v>
      </c>
      <c r="T54" s="22" t="s">
        <v>159</v>
      </c>
      <c r="U54" s="22" t="s">
        <v>160</v>
      </c>
      <c r="V54" s="22" t="s">
        <v>160</v>
      </c>
      <c r="W54" s="22" t="s">
        <v>161</v>
      </c>
      <c r="X54" s="22" t="s">
        <v>161</v>
      </c>
      <c r="Y54" s="262" t="s">
        <v>161</v>
      </c>
      <c r="Z54" s="19">
        <f ca="1">IFERROR(__xludf.DUMMYFUNCTION("INDEX(IMPORTRANGE(""17pNv02DXDpQT9S3w4-QeNym2QJy2BzMBqDXp-XtzJBM"", ""'JUA'!BH3:BH139""),MATCH($D54,IMPORTRANGE(""17pNv02DXDpQT9S3w4-QeNym2QJy2BzMBqDXp-XtzJBM"", ""'JUA'!D3:D139""),0))"),0)</f>
        <v>0</v>
      </c>
      <c r="AA54" s="2">
        <f ca="1">IFERROR(__xludf.DUMMYFUNCTION("INDEX(IMPORTRANGE(""17pNv02DXDpQT9S3w4-QeNym2QJy2BzMBqDXp-XtzJBM"", ""'JUA'!BI3:BI139""),MATCH($D54,IMPORTRANGE(""17pNv02DXDpQT9S3w4-QeNym2QJy2BzMBqDXp-XtzJBM"", ""'JUA'!D3:D139""),0))"),0)</f>
        <v>0</v>
      </c>
      <c r="AB54" s="19">
        <f ca="1">IFERROR(__xludf.DUMMYFUNCTION("INDEX(IMPORTRANGE(""17pNv02DXDpQT9S3w4-QeNym2QJy2BzMBqDXp-XtzJBM"", ""'JUA'!BJ3:BJ139""),MATCH($D54,IMPORTRANGE(""17pNv02DXDpQT9S3w4-QeNym2QJy2BzMBqDXp-XtzJBM"", ""'JUA'!D3:D139""),0))"),0)</f>
        <v>0</v>
      </c>
      <c r="AC54" s="2">
        <f ca="1">IFERROR(__xludf.DUMMYFUNCTION("INDEX(IMPORTRANGE(""17pNv02DXDpQT9S3w4-QeNym2QJy2BzMBqDXp-XtzJBM"", ""'JUA'!BK3:BK139""),MATCH($D54,IMPORTRANGE(""17pNv02DXDpQT9S3w4-QeNym2QJy2BzMBqDXp-XtzJBM"", ""'JUA'!D3:D139""),0))"),0)</f>
        <v>0</v>
      </c>
      <c r="AD54" s="15">
        <f ca="1">IFERROR(__xludf.DUMMYFUNCTION("INDEX(IMPORTRANGE(""17pNv02DXDpQT9S3w4-QeNym2QJy2BzMBqDXp-XtzJBM"", ""'JUA'!BL3:BL139""),MATCH($D54,IMPORTRANGE(""17pNv02DXDpQT9S3w4-QeNym2QJy2BzMBqDXp-XtzJBM"", ""'JUA'!D3:D139""),0))"),0)</f>
        <v>0</v>
      </c>
      <c r="AE54" s="2">
        <f ca="1">IFERROR(__xludf.DUMMYFUNCTION("INDEX(IMPORTRANGE(""17pNv02DXDpQT9S3w4-QeNym2QJy2BzMBqDXp-XtzJBM"", ""'JUA'!BM3:BM139""),MATCH($D54,IMPORTRANGE(""17pNv02DXDpQT9S3w4-QeNym2QJy2BzMBqDXp-XtzJBM"", ""'JUA'!D3:D139""),0))"),0)</f>
        <v>0</v>
      </c>
    </row>
    <row r="55" spans="1:31">
      <c r="A55" s="7" t="s">
        <v>147</v>
      </c>
      <c r="B55" s="7" t="s">
        <v>148</v>
      </c>
      <c r="C55" s="1" t="s">
        <v>30</v>
      </c>
      <c r="D55" s="7" t="s">
        <v>162</v>
      </c>
      <c r="E55" s="7" t="s">
        <v>38</v>
      </c>
      <c r="F55" s="2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0</v>
      </c>
      <c r="R55" s="12">
        <v>0</v>
      </c>
      <c r="S55" s="12">
        <f ca="1">IFERROR(__xludf.DUMMYFUNCTION("INDEX(IMPORTRANGE(""17pNv02DXDpQT9S3w4-QeNym2QJy2BzMBqDXp-XtzJBM"", ""'JUA'!BG3:BG139""),MATCH($D55,IMPORTRANGE(""17pNv02DXDpQT9S3w4-QeNym2QJy2BzMBqDXp-XtzJBM"", ""'JUA'!D3:D139""),0))"),0)</f>
        <v>0</v>
      </c>
      <c r="T55" s="13"/>
      <c r="U55" s="13"/>
      <c r="V55" s="13"/>
      <c r="W55" s="13"/>
      <c r="X55" s="13"/>
      <c r="Y55" s="316"/>
      <c r="Z55" s="17">
        <f ca="1">IFERROR(__xludf.DUMMYFUNCTION("INDEX(IMPORTRANGE(""17pNv02DXDpQT9S3w4-QeNym2QJy2BzMBqDXp-XtzJBM"", ""'JUA'!BH3:BH139""),MATCH($D55,IMPORTRANGE(""17pNv02DXDpQT9S3w4-QeNym2QJy2BzMBqDXp-XtzJBM"", ""'JUA'!D3:D139""),0))"),0)</f>
        <v>0</v>
      </c>
      <c r="AA55" s="2">
        <f ca="1">IFERROR(__xludf.DUMMYFUNCTION("INDEX(IMPORTRANGE(""17pNv02DXDpQT9S3w4-QeNym2QJy2BzMBqDXp-XtzJBM"", ""'JUA'!BI3:BI139""),MATCH($D55,IMPORTRANGE(""17pNv02DXDpQT9S3w4-QeNym2QJy2BzMBqDXp-XtzJBM"", ""'JUA'!D3:D139""),0))"),0)</f>
        <v>0</v>
      </c>
      <c r="AB55" s="17" t="str">
        <f ca="1">IFERROR(__xludf.DUMMYFUNCTION("INDEX(IMPORTRANGE(""17pNv02DXDpQT9S3w4-QeNym2QJy2BzMBqDXp-XtzJBM"", ""'JUA'!BJ3:BJ139""),MATCH($D55,IMPORTRANGE(""17pNv02DXDpQT9S3w4-QeNym2QJy2BzMBqDXp-XtzJBM"", ""'JUA'!D3:D139""),0))"),"No tienen información ")</f>
        <v xml:space="preserve">No tienen información </v>
      </c>
      <c r="AC55" s="2" t="str">
        <f ca="1">IFERROR(__xludf.DUMMYFUNCTION("INDEX(IMPORTRANGE(""17pNv02DXDpQT9S3w4-QeNym2QJy2BzMBqDXp-XtzJBM"", ""'JUA'!BK3:BK139""),MATCH($D55,IMPORTRANGE(""17pNv02DXDpQT9S3w4-QeNym2QJy2BzMBqDXp-XtzJBM"", ""'JUA'!D3:D139""),0))"),"")</f>
        <v/>
      </c>
      <c r="AD55" s="12">
        <f ca="1">IFERROR(__xludf.DUMMYFUNCTION("INDEX(IMPORTRANGE(""17pNv02DXDpQT9S3w4-QeNym2QJy2BzMBqDXp-XtzJBM"", ""'JUA'!BL3:BL139""),MATCH($D55,IMPORTRANGE(""17pNv02DXDpQT9S3w4-QeNym2QJy2BzMBqDXp-XtzJBM"", ""'JUA'!D3:D139""),0))"),0)</f>
        <v>0</v>
      </c>
      <c r="AE55" s="2">
        <f ca="1">IFERROR(__xludf.DUMMYFUNCTION("INDEX(IMPORTRANGE(""17pNv02DXDpQT9S3w4-QeNym2QJy2BzMBqDXp-XtzJBM"", ""'JUA'!BM3:BM139""),MATCH($D55,IMPORTRANGE(""17pNv02DXDpQT9S3w4-QeNym2QJy2BzMBqDXp-XtzJBM"", ""'JUA'!D3:D139""),0))"),0)</f>
        <v>0</v>
      </c>
    </row>
    <row r="56" spans="1:31">
      <c r="A56" s="7" t="s">
        <v>147</v>
      </c>
      <c r="B56" s="7" t="s">
        <v>148</v>
      </c>
      <c r="C56" s="1" t="s">
        <v>30</v>
      </c>
      <c r="D56" s="7" t="s">
        <v>164</v>
      </c>
      <c r="E56" s="7" t="s">
        <v>38</v>
      </c>
      <c r="F56" s="2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""'JUA'!BG3:BG139""),MATCH($D56,IMPORTRANGE(""17pNv02DXDpQT9S3w4-QeNym2QJy2BzMBqDXp-XtzJBM"", ""'JUA'!D3:D139""),0))"),0)</f>
        <v>0</v>
      </c>
      <c r="T56" s="13"/>
      <c r="U56" s="13"/>
      <c r="V56" s="13"/>
      <c r="W56" s="13"/>
      <c r="X56" s="13"/>
      <c r="Y56" s="316"/>
      <c r="Z56" s="17">
        <f ca="1">IFERROR(__xludf.DUMMYFUNCTION("INDEX(IMPORTRANGE(""17pNv02DXDpQT9S3w4-QeNym2QJy2BzMBqDXp-XtzJBM"", ""'JUA'!BH3:BH139""),MATCH($D56,IMPORTRANGE(""17pNv02DXDpQT9S3w4-QeNym2QJy2BzMBqDXp-XtzJBM"", ""'JUA'!D3:D139""),0))"),0)</f>
        <v>0</v>
      </c>
      <c r="AA56" s="2">
        <f ca="1">IFERROR(__xludf.DUMMYFUNCTION("INDEX(IMPORTRANGE(""17pNv02DXDpQT9S3w4-QeNym2QJy2BzMBqDXp-XtzJBM"", ""'JUA'!BI3:BI139""),MATCH($D56,IMPORTRANGE(""17pNv02DXDpQT9S3w4-QeNym2QJy2BzMBqDXp-XtzJBM"", ""'JUA'!D3:D139""),0))"),0)</f>
        <v>0</v>
      </c>
      <c r="AB56" s="17" t="str">
        <f ca="1">IFERROR(__xludf.DUMMYFUNCTION("INDEX(IMPORTRANGE(""17pNv02DXDpQT9S3w4-QeNym2QJy2BzMBqDXp-XtzJBM"", ""'JUA'!BJ3:BJ139""),MATCH($D56,IMPORTRANGE(""17pNv02DXDpQT9S3w4-QeNym2QJy2BzMBqDXp-XtzJBM"", ""'JUA'!D3:D139""),0))"),"No tienen información ")</f>
        <v xml:space="preserve">No tienen información </v>
      </c>
      <c r="AC56" s="2" t="str">
        <f ca="1">IFERROR(__xludf.DUMMYFUNCTION("INDEX(IMPORTRANGE(""17pNv02DXDpQT9S3w4-QeNym2QJy2BzMBqDXp-XtzJBM"", ""'JUA'!BK3:BK139""),MATCH($D56,IMPORTRANGE(""17pNv02DXDpQT9S3w4-QeNym2QJy2BzMBqDXp-XtzJBM"", ""'JUA'!D3:D139""),0))"),"")</f>
        <v/>
      </c>
      <c r="AD56" s="12">
        <f ca="1">IFERROR(__xludf.DUMMYFUNCTION("INDEX(IMPORTRANGE(""17pNv02DXDpQT9S3w4-QeNym2QJy2BzMBqDXp-XtzJBM"", ""'JUA'!BL3:BL139""),MATCH($D56,IMPORTRANGE(""17pNv02DXDpQT9S3w4-QeNym2QJy2BzMBqDXp-XtzJBM"", ""'JUA'!D3:D139""),0))"),0)</f>
        <v>0</v>
      </c>
      <c r="AE56" s="2">
        <f ca="1">IFERROR(__xludf.DUMMYFUNCTION("INDEX(IMPORTRANGE(""17pNv02DXDpQT9S3w4-QeNym2QJy2BzMBqDXp-XtzJBM"", ""'JUA'!BM3:BM139""),MATCH($D56,IMPORTRANGE(""17pNv02DXDpQT9S3w4-QeNym2QJy2BzMBqDXp-XtzJBM"", ""'JUA'!D3:D139""),0))"),0)</f>
        <v>0</v>
      </c>
    </row>
    <row r="57" spans="1:31">
      <c r="A57" s="7" t="s">
        <v>147</v>
      </c>
      <c r="B57" s="7" t="s">
        <v>148</v>
      </c>
      <c r="C57" s="1" t="s">
        <v>36</v>
      </c>
      <c r="D57" s="7" t="s">
        <v>166</v>
      </c>
      <c r="E57" s="7" t="s">
        <v>38</v>
      </c>
      <c r="F57" s="2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2" t="s">
        <v>436</v>
      </c>
      <c r="R57" s="2" t="s">
        <v>436</v>
      </c>
      <c r="S57" s="2" t="str">
        <f ca="1">IFERROR(__xludf.DUMMYFUNCTION("INDEX(IMPORTRANGE(""17pNv02DXDpQT9S3w4-QeNym2QJy2BzMBqDXp-XtzJBM"", ""'JUA'!BG3:BG139""),MATCH($D57,IMPORTRANGE(""17pNv02DXDpQT9S3w4-QeNym2QJy2BzMBqDXp-XtzJBM"", ""'JUA'!D3:D139""),0))"),"#DIV/0!")</f>
        <v>#DIV/0!</v>
      </c>
      <c r="T57" s="424">
        <v>1</v>
      </c>
      <c r="U57" s="424">
        <v>1</v>
      </c>
      <c r="V57" s="424">
        <v>1</v>
      </c>
      <c r="W57" s="424">
        <v>1</v>
      </c>
      <c r="X57" s="424">
        <v>1</v>
      </c>
      <c r="Y57" s="424">
        <v>1</v>
      </c>
      <c r="Z57" s="435" t="str">
        <f ca="1">IFERROR(__xludf.DUMMYFUNCTION("INDEX(IMPORTRANGE(""17pNv02DXDpQT9S3w4-QeNym2QJy2BzMBqDXp-XtzJBM"", ""'JUA'!BH3:BH139""),MATCH($D57,IMPORTRANGE(""17pNv02DXDpQT9S3w4-QeNym2QJy2BzMBqDXp-XtzJBM"", ""'JUA'!D3:D139""),0))"),"NA")</f>
        <v>NA</v>
      </c>
      <c r="AA57" s="2" t="str">
        <f ca="1">IFERROR(__xludf.DUMMYFUNCTION("INDEX(IMPORTRANGE(""17pNv02DXDpQT9S3w4-QeNym2QJy2BzMBqDXp-XtzJBM"", ""'JUA'!BI3:BI139""),MATCH($D57,IMPORTRANGE(""17pNv02DXDpQT9S3w4-QeNym2QJy2BzMBqDXp-XtzJBM"", ""'JUA'!D3:D139""),0))"),"NA")</f>
        <v>NA</v>
      </c>
      <c r="AB57" s="435" t="str">
        <f ca="1">IFERROR(__xludf.DUMMYFUNCTION("INDEX(IMPORTRANGE(""17pNv02DXDpQT9S3w4-QeNym2QJy2BzMBqDXp-XtzJBM"", ""'JUA'!BJ3:BJ139""),MATCH($D57,IMPORTRANGE(""17pNv02DXDpQT9S3w4-QeNym2QJy2BzMBqDXp-XtzJBM"", ""'JUA'!D3:D139""),0))"),"#VALUE!")</f>
        <v>#VALUE!</v>
      </c>
      <c r="AC57" s="2" t="str">
        <f ca="1">IFERROR(__xludf.DUMMYFUNCTION("INDEX(IMPORTRANGE(""17pNv02DXDpQT9S3w4-QeNym2QJy2BzMBqDXp-XtzJBM"", ""'JUA'!BK3:BK139""),MATCH($D57,IMPORTRANGE(""17pNv02DXDpQT9S3w4-QeNym2QJy2BzMBqDXp-XtzJBM"", ""'JUA'!D3:D139""),0))"),"NA")</f>
        <v>NA</v>
      </c>
      <c r="AD57" s="26" t="str">
        <f ca="1">IFERROR(__xludf.DUMMYFUNCTION("INDEX(IMPORTRANGE(""17pNv02DXDpQT9S3w4-QeNym2QJy2BzMBqDXp-XtzJBM"", ""'JUA'!BL3:BL139""),MATCH($D57,IMPORTRANGE(""17pNv02DXDpQT9S3w4-QeNym2QJy2BzMBqDXp-XtzJBM"", ""'JUA'!D3:D139""),0))"),"NA")</f>
        <v>NA</v>
      </c>
      <c r="AE57" s="2" t="str">
        <f ca="1">IFERROR(__xludf.DUMMYFUNCTION("INDEX(IMPORTRANGE(""17pNv02DXDpQT9S3w4-QeNym2QJy2BzMBqDXp-XtzJBM"", ""'JUA'!BM3:BM139""),MATCH($D57,IMPORTRANGE(""17pNv02DXDpQT9S3w4-QeNym2QJy2BzMBqDXp-XtzJBM"", ""'JUA'!D3:D139""),0))"),"NA")</f>
        <v>NA</v>
      </c>
    </row>
    <row r="58" spans="1:31">
      <c r="A58" s="7" t="s">
        <v>147</v>
      </c>
      <c r="B58" s="7" t="s">
        <v>168</v>
      </c>
      <c r="C58" s="1" t="s">
        <v>30</v>
      </c>
      <c r="D58" s="448" t="s">
        <v>169</v>
      </c>
      <c r="E58" s="7" t="s">
        <v>38</v>
      </c>
      <c r="F58" s="2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35753</v>
      </c>
      <c r="R58" s="12">
        <v>35753</v>
      </c>
      <c r="S58" s="12">
        <f ca="1">IFERROR(__xludf.DUMMYFUNCTION("INDEX(IMPORTRANGE(""17pNv02DXDpQT9S3w4-QeNym2QJy2BzMBqDXp-XtzJBM"", ""'JUA'!BG3:BG139""),MATCH($D58,IMPORTRANGE(""17pNv02DXDpQT9S3w4-QeNym2QJy2BzMBqDXp-XtzJBM"", ""'JUA'!D3:D139""),0))"),35753)</f>
        <v>35753</v>
      </c>
      <c r="T58" s="13"/>
      <c r="U58" s="13"/>
      <c r="V58" s="13"/>
      <c r="W58" s="13"/>
      <c r="X58" s="13"/>
      <c r="Y58" s="316"/>
      <c r="Z58" s="12">
        <f ca="1">IFERROR(__xludf.DUMMYFUNCTION("INDEX(IMPORTRANGE(""17pNv02DXDpQT9S3w4-QeNym2QJy2BzMBqDXp-XtzJBM"", ""'JUA'!BH3:BH139""),MATCH($D58,IMPORTRANGE(""17pNv02DXDpQT9S3w4-QeNym2QJy2BzMBqDXp-XtzJBM"", ""'JUA'!D3:D139""),0))"),35753)</f>
        <v>35753</v>
      </c>
      <c r="AA58" s="12">
        <f ca="1">IFERROR(__xludf.DUMMYFUNCTION("INDEX(IMPORTRANGE(""17pNv02DXDpQT9S3w4-QeNym2QJy2BzMBqDXp-XtzJBM"", ""'JUA'!BI3:BI139""),MATCH($D58,IMPORTRANGE(""17pNv02DXDpQT9S3w4-QeNym2QJy2BzMBqDXp-XtzJBM"", ""'JUA'!D3:D139""),0))"),35753)</f>
        <v>35753</v>
      </c>
      <c r="AB58" s="12">
        <f ca="1">IFERROR(__xludf.DUMMYFUNCTION("INDEX(IMPORTRANGE(""17pNv02DXDpQT9S3w4-QeNym2QJy2BzMBqDXp-XtzJBM"", ""'JUA'!BJ3:BJ139""),MATCH($D58,IMPORTRANGE(""17pNv02DXDpQT9S3w4-QeNym2QJy2BzMBqDXp-XtzJBM"", ""'JUA'!D3:D139""),0))"),36217)</f>
        <v>36217</v>
      </c>
      <c r="AC58" s="12">
        <f ca="1">IFERROR(__xludf.DUMMYFUNCTION("INDEX(IMPORTRANGE(""17pNv02DXDpQT9S3w4-QeNym2QJy2BzMBqDXp-XtzJBM"", ""'JUA'!BK3:BK139""),MATCH($D58,IMPORTRANGE(""17pNv02DXDpQT9S3w4-QeNym2QJy2BzMBqDXp-XtzJBM"", ""'JUA'!D3:D139""),0))"),38517)</f>
        <v>38517</v>
      </c>
      <c r="AD58" s="12">
        <f ca="1">IFERROR(__xludf.DUMMYFUNCTION("INDEX(IMPORTRANGE(""17pNv02DXDpQT9S3w4-QeNym2QJy2BzMBqDXp-XtzJBM"", ""'JUA'!BL3:BL139""),MATCH($D58,IMPORTRANGE(""17pNv02DXDpQT9S3w4-QeNym2QJy2BzMBqDXp-XtzJBM"", ""'JUA'!D3:D139""),0))"),41759)</f>
        <v>41759</v>
      </c>
      <c r="AE58" s="12">
        <f ca="1">IFERROR(__xludf.DUMMYFUNCTION("INDEX(IMPORTRANGE(""17pNv02DXDpQT9S3w4-QeNym2QJy2BzMBqDXp-XtzJBM"", ""'JUA'!BM3:BM139""),MATCH($D58,IMPORTRANGE(""17pNv02DXDpQT9S3w4-QeNym2QJy2BzMBqDXp-XtzJBM"", ""'JUA'!D3:D139""),0))"),41759)</f>
        <v>41759</v>
      </c>
    </row>
    <row r="59" spans="1:31">
      <c r="A59" s="7" t="s">
        <v>147</v>
      </c>
      <c r="B59" s="7" t="s">
        <v>168</v>
      </c>
      <c r="C59" s="1" t="s">
        <v>30</v>
      </c>
      <c r="D59" s="448" t="s">
        <v>171</v>
      </c>
      <c r="E59" s="7" t="s">
        <v>38</v>
      </c>
      <c r="F59" s="2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430" t="s">
        <v>435</v>
      </c>
      <c r="R59" s="430" t="s">
        <v>435</v>
      </c>
      <c r="S59" s="12" t="str">
        <f ca="1">IFERROR(__xludf.DUMMYFUNCTION("INDEX(IMPORTRANGE(""17pNv02DXDpQT9S3w4-QeNym2QJy2BzMBqDXp-XtzJBM"", ""'JUA'!BG3:BG139""),MATCH($D59,IMPORTRANGE(""17pNv02DXDpQT9S3w4-QeNym2QJy2BzMBqDXp-XtzJBM"", ""'JUA'!D3:D139""),0))"),"Sin dato")</f>
        <v>Sin dato</v>
      </c>
      <c r="T59" s="13"/>
      <c r="U59" s="13"/>
      <c r="V59" s="13"/>
      <c r="W59" s="13"/>
      <c r="X59" s="13"/>
      <c r="Y59" s="316"/>
      <c r="Z59" s="12" t="str">
        <f ca="1">IFERROR(__xludf.DUMMYFUNCTION("INDEX(IMPORTRANGE(""17pNv02DXDpQT9S3w4-QeNym2QJy2BzMBqDXp-XtzJBM"", ""'JUA'!BH3:BH139""),MATCH($D59,IMPORTRANGE(""17pNv02DXDpQT9S3w4-QeNym2QJy2BzMBqDXp-XtzJBM"", ""'JUA'!D3:D139""),0))"),"Sin dato")</f>
        <v>Sin dato</v>
      </c>
      <c r="AA59" s="12" t="str">
        <f ca="1">IFERROR(__xludf.DUMMYFUNCTION("INDEX(IMPORTRANGE(""17pNv02DXDpQT9S3w4-QeNym2QJy2BzMBqDXp-XtzJBM"", ""'JUA'!BI3:BI139""),MATCH($D59,IMPORTRANGE(""17pNv02DXDpQT9S3w4-QeNym2QJy2BzMBqDXp-XtzJBM"", ""'JUA'!D3:D139""),0))"),"Sin dato")</f>
        <v>Sin dato</v>
      </c>
      <c r="AB59" s="12">
        <f ca="1">IFERROR(__xludf.DUMMYFUNCTION("INDEX(IMPORTRANGE(""17pNv02DXDpQT9S3w4-QeNym2QJy2BzMBqDXp-XtzJBM"", ""'JUA'!BJ3:BJ139""),MATCH($D59,IMPORTRANGE(""17pNv02DXDpQT9S3w4-QeNym2QJy2BzMBqDXp-XtzJBM"", ""'JUA'!D3:D139""),0))"),67363.62)</f>
        <v>67363.62</v>
      </c>
      <c r="AC59" s="12">
        <f ca="1">IFERROR(__xludf.DUMMYFUNCTION("INDEX(IMPORTRANGE(""17pNv02DXDpQT9S3w4-QeNym2QJy2BzMBqDXp-XtzJBM"", ""'JUA'!BK3:BK139""),MATCH($D59,IMPORTRANGE(""17pNv02DXDpQT9S3w4-QeNym2QJy2BzMBqDXp-XtzJBM"", ""'JUA'!D3:D139""),0))"),38917)</f>
        <v>38917</v>
      </c>
      <c r="AD59" s="12">
        <f ca="1">IFERROR(__xludf.DUMMYFUNCTION("INDEX(IMPORTRANGE(""17pNv02DXDpQT9S3w4-QeNym2QJy2BzMBqDXp-XtzJBM"", ""'JUA'!BL3:BL139""),MATCH($D59,IMPORTRANGE(""17pNv02DXDpQT9S3w4-QeNym2QJy2BzMBqDXp-XtzJBM"", ""'JUA'!D3:D139""),0))"),42184)</f>
        <v>42184</v>
      </c>
      <c r="AE59" s="12">
        <f ca="1">IFERROR(__xludf.DUMMYFUNCTION("INDEX(IMPORTRANGE(""17pNv02DXDpQT9S3w4-QeNym2QJy2BzMBqDXp-XtzJBM"", ""'JUA'!BM3:BM139""),MATCH($D59,IMPORTRANGE(""17pNv02DXDpQT9S3w4-QeNym2QJy2BzMBqDXp-XtzJBM"", ""'JUA'!D3:D139""),0))"),43464)</f>
        <v>43464</v>
      </c>
    </row>
    <row r="60" spans="1:31">
      <c r="A60" s="7" t="s">
        <v>147</v>
      </c>
      <c r="B60" s="7" t="s">
        <v>168</v>
      </c>
      <c r="C60" s="1" t="s">
        <v>36</v>
      </c>
      <c r="D60" s="447" t="s">
        <v>173</v>
      </c>
      <c r="E60" s="7" t="s">
        <v>38</v>
      </c>
      <c r="F60" s="2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420" t="e">
        <f t="shared" ref="Q60:R60" si="12">Q58/Q59</f>
        <v>#VALUE!</v>
      </c>
      <c r="R60" s="420" t="e">
        <f t="shared" si="12"/>
        <v>#VALUE!</v>
      </c>
      <c r="S60" s="15" t="str">
        <f ca="1">IFERROR(__xludf.DUMMYFUNCTION("INDEX(IMPORTRANGE(""17pNv02DXDpQT9S3w4-QeNym2QJy2BzMBqDXp-XtzJBM"", ""'JUA'!BG3:BG139""),MATCH($D60,IMPORTRANGE(""17pNv02DXDpQT9S3w4-QeNym2QJy2BzMBqDXp-XtzJBM"", ""'JUA'!D3:D139""),0))"),"#VALUE!")</f>
        <v>#VALUE!</v>
      </c>
      <c r="T60" s="424">
        <v>1</v>
      </c>
      <c r="U60" s="424">
        <v>1</v>
      </c>
      <c r="V60" s="424">
        <v>1</v>
      </c>
      <c r="W60" s="424">
        <v>1</v>
      </c>
      <c r="X60" s="424">
        <v>1</v>
      </c>
      <c r="Y60" s="424">
        <v>1</v>
      </c>
      <c r="Z60" s="19" t="str">
        <f ca="1">IFERROR(__xludf.DUMMYFUNCTION("INDEX(IMPORTRANGE(""17pNv02DXDpQT9S3w4-QeNym2QJy2BzMBqDXp-XtzJBM"", ""'JUA'!BH3:BH139""),MATCH($D60,IMPORTRANGE(""17pNv02DXDpQT9S3w4-QeNym2QJy2BzMBqDXp-XtzJBM"", ""'JUA'!D3:D139""),0))"),"#VALUE!")</f>
        <v>#VALUE!</v>
      </c>
      <c r="AA60" s="19" t="str">
        <f ca="1">IFERROR(__xludf.DUMMYFUNCTION("INDEX(IMPORTRANGE(""17pNv02DXDpQT9S3w4-QeNym2QJy2BzMBqDXp-XtzJBM"", ""'JUA'!BI3:BI139""),MATCH($D60,IMPORTRANGE(""17pNv02DXDpQT9S3w4-QeNym2QJy2BzMBqDXp-XtzJBM"", ""'JUA'!D3:D139""),0))"),"#VALUE!")</f>
        <v>#VALUE!</v>
      </c>
      <c r="AB60" s="15">
        <f ca="1">IFERROR(__xludf.DUMMYFUNCTION("INDEX(IMPORTRANGE(""17pNv02DXDpQT9S3w4-QeNym2QJy2BzMBqDXp-XtzJBM"", ""'JUA'!BJ3:BJ139""),MATCH($D60,IMPORTRANGE(""17pNv02DXDpQT9S3w4-QeNym2QJy2BzMBqDXp-XtzJBM"", ""'JUA'!D3:D139""),0))"),0.53763440860215)</f>
        <v>0.53763440860214995</v>
      </c>
      <c r="AC60" s="15">
        <f ca="1">IFERROR(__xludf.DUMMYFUNCTION("INDEX(IMPORTRANGE(""17pNv02DXDpQT9S3w4-QeNym2QJy2BzMBqDXp-XtzJBM"", ""'JUA'!BK3:BK139""),MATCH($D60,IMPORTRANGE(""17pNv02DXDpQT9S3w4-QeNym2QJy2BzMBqDXp-XtzJBM"", ""'JUA'!D3:D139""),0))"),0.989721715445692)</f>
        <v>0.98972171544569199</v>
      </c>
      <c r="AD60" s="15">
        <f ca="1">IFERROR(__xludf.DUMMYFUNCTION("INDEX(IMPORTRANGE(""17pNv02DXDpQT9S3w4-QeNym2QJy2BzMBqDXp-XtzJBM"", ""'JUA'!BL3:BL139""),MATCH($D60,IMPORTRANGE(""17pNv02DXDpQT9S3w4-QeNym2QJy2BzMBqDXp-XtzJBM"", ""'JUA'!D3:D139""),0))"),0.989925090081547)</f>
        <v>0.98992509008154705</v>
      </c>
      <c r="AE60" s="15">
        <f ca="1">IFERROR(__xludf.DUMMYFUNCTION("INDEX(IMPORTRANGE(""17pNv02DXDpQT9S3w4-QeNym2QJy2BzMBqDXp-XtzJBM"", ""'JUA'!BM3:BM139""),MATCH($D60,IMPORTRANGE(""17pNv02DXDpQT9S3w4-QeNym2QJy2BzMBqDXp-XtzJBM"", ""'JUA'!D3:D139""),0))"),0.960772133259709)</f>
        <v>0.960772133259709</v>
      </c>
    </row>
    <row r="61" spans="1:31">
      <c r="A61" s="7" t="s">
        <v>147</v>
      </c>
      <c r="B61" s="7" t="s">
        <v>168</v>
      </c>
      <c r="C61" s="1" t="s">
        <v>30</v>
      </c>
      <c r="D61" s="447" t="s">
        <v>175</v>
      </c>
      <c r="E61" s="7" t="s">
        <v>38</v>
      </c>
      <c r="F61" s="2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430" t="s">
        <v>435</v>
      </c>
      <c r="R61" s="430" t="s">
        <v>435</v>
      </c>
      <c r="S61" s="12" t="str">
        <f ca="1">IFERROR(__xludf.DUMMYFUNCTION("INDEX(IMPORTRANGE(""17pNv02DXDpQT9S3w4-QeNym2QJy2BzMBqDXp-XtzJBM"", ""'JUA'!BG3:BG139""),MATCH($D61,IMPORTRANGE(""17pNv02DXDpQT9S3w4-QeNym2QJy2BzMBqDXp-XtzJBM"", ""'JUA'!D3:D139""),0))"),"Sin dato")</f>
        <v>Sin dato</v>
      </c>
      <c r="T61" s="13"/>
      <c r="U61" s="13"/>
      <c r="V61" s="13"/>
      <c r="W61" s="13"/>
      <c r="X61" s="13"/>
      <c r="Y61" s="316"/>
      <c r="Z61" s="17" t="str">
        <f ca="1">IFERROR(__xludf.DUMMYFUNCTION("INDEX(IMPORTRANGE(""17pNv02DXDpQT9S3w4-QeNym2QJy2BzMBqDXp-XtzJBM"", ""'JUA'!BH3:BH139""),MATCH($D61,IMPORTRANGE(""17pNv02DXDpQT9S3w4-QeNym2QJy2BzMBqDXp-XtzJBM"", ""'JUA'!D3:D139""),0))"),"Sin dato")</f>
        <v>Sin dato</v>
      </c>
      <c r="AA61" s="17" t="str">
        <f ca="1">IFERROR(__xludf.DUMMYFUNCTION("INDEX(IMPORTRANGE(""17pNv02DXDpQT9S3w4-QeNym2QJy2BzMBqDXp-XtzJBM"", ""'JUA'!BI3:BI139""),MATCH($D61,IMPORTRANGE(""17pNv02DXDpQT9S3w4-QeNym2QJy2BzMBqDXp-XtzJBM"", ""'JUA'!D3:D139""),0))"),"Sin dato")</f>
        <v>Sin dato</v>
      </c>
      <c r="AB61" s="299" t="str">
        <f ca="1">IFERROR(__xludf.DUMMYFUNCTION("INDEX(IMPORTRANGE(""17pNv02DXDpQT9S3w4-QeNym2QJy2BzMBqDXp-XtzJBM"", ""'JUA'!BJ3:BJ139""),MATCH($D61,IMPORTRANGE(""17pNv02DXDpQT9S3w4-QeNym2QJy2BzMBqDXp-XtzJBM"", ""'JUA'!D3:D139""),0))"),"")</f>
        <v/>
      </c>
      <c r="AC61" s="12">
        <f ca="1">IFERROR(__xludf.DUMMYFUNCTION("INDEX(IMPORTRANGE(""17pNv02DXDpQT9S3w4-QeNym2QJy2BzMBqDXp-XtzJBM"", ""'JUA'!BK3:BK139""),MATCH($D61,IMPORTRANGE(""17pNv02DXDpQT9S3w4-QeNym2QJy2BzMBqDXp-XtzJBM"", ""'JUA'!D3:D139""),0))"),29596)</f>
        <v>29596</v>
      </c>
      <c r="AD61" s="12">
        <f ca="1">IFERROR(__xludf.DUMMYFUNCTION("INDEX(IMPORTRANGE(""17pNv02DXDpQT9S3w4-QeNym2QJy2BzMBqDXp-XtzJBM"", ""'JUA'!BL3:BL139""),MATCH($D61,IMPORTRANGE(""17pNv02DXDpQT9S3w4-QeNym2QJy2BzMBqDXp-XtzJBM"", ""'JUA'!D3:D139""),0))"),181538)</f>
        <v>181538</v>
      </c>
      <c r="AE61" s="12">
        <f ca="1">IFERROR(__xludf.DUMMYFUNCTION("INDEX(IMPORTRANGE(""17pNv02DXDpQT9S3w4-QeNym2QJy2BzMBqDXp-XtzJBM"", ""'JUA'!BM3:BM139""),MATCH($D61,IMPORTRANGE(""17pNv02DXDpQT9S3w4-QeNym2QJy2BzMBqDXp-XtzJBM"", ""'JUA'!D3:D139""),0))"),34652)</f>
        <v>34652</v>
      </c>
    </row>
    <row r="62" spans="1:31">
      <c r="A62" s="7" t="s">
        <v>147</v>
      </c>
      <c r="B62" s="7" t="s">
        <v>168</v>
      </c>
      <c r="C62" s="1" t="s">
        <v>36</v>
      </c>
      <c r="D62" s="447" t="s">
        <v>177</v>
      </c>
      <c r="E62" s="7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19" t="e">
        <f t="shared" ref="Q62:R62" si="13">Q61/Q37</f>
        <v>#VALUE!</v>
      </c>
      <c r="R62" s="19" t="e">
        <f t="shared" si="13"/>
        <v>#VALUE!</v>
      </c>
      <c r="S62" s="15" t="str">
        <f ca="1">IFERROR(__xludf.DUMMYFUNCTION("INDEX(IMPORTRANGE(""17pNv02DXDpQT9S3w4-QeNym2QJy2BzMBqDXp-XtzJBM"", ""'JUA'!BG3:BG139""),MATCH($D62,IMPORTRANGE(""17pNv02DXDpQT9S3w4-QeNym2QJy2BzMBqDXp-XtzJBM"", ""'JUA'!D3:D139""),0))"),"#VALUE!")</f>
        <v>#VALUE!</v>
      </c>
      <c r="T62" s="424">
        <v>1</v>
      </c>
      <c r="U62" s="424">
        <v>1</v>
      </c>
      <c r="V62" s="424">
        <v>1</v>
      </c>
      <c r="W62" s="424">
        <v>1</v>
      </c>
      <c r="X62" s="424">
        <v>1</v>
      </c>
      <c r="Y62" s="424">
        <v>1</v>
      </c>
      <c r="Z62" s="19" t="str">
        <f ca="1">IFERROR(__xludf.DUMMYFUNCTION("INDEX(IMPORTRANGE(""17pNv02DXDpQT9S3w4-QeNym2QJy2BzMBqDXp-XtzJBM"", ""'JUA'!BH3:BH139""),MATCH($D62,IMPORTRANGE(""17pNv02DXDpQT9S3w4-QeNym2QJy2BzMBqDXp-XtzJBM"", ""'JUA'!D3:D139""),0))"),"#VALUE!")</f>
        <v>#VALUE!</v>
      </c>
      <c r="AA62" s="19" t="str">
        <f ca="1">IFERROR(__xludf.DUMMYFUNCTION("INDEX(IMPORTRANGE(""17pNv02DXDpQT9S3w4-QeNym2QJy2BzMBqDXp-XtzJBM"", ""'JUA'!BI3:BI139""),MATCH($D62,IMPORTRANGE(""17pNv02DXDpQT9S3w4-QeNym2QJy2BzMBqDXp-XtzJBM"", ""'JUA'!D3:D139""),0))"),"#VALUE!")</f>
        <v>#VALUE!</v>
      </c>
      <c r="AB62" s="19" t="str">
        <f ca="1">IFERROR(__xludf.DUMMYFUNCTION("INDEX(IMPORTRANGE(""17pNv02DXDpQT9S3w4-QeNym2QJy2BzMBqDXp-XtzJBM"", ""'JUA'!BJ3:BJ139""),MATCH($D62,IMPORTRANGE(""17pNv02DXDpQT9S3w4-QeNym2QJy2BzMBqDXp-XtzJBM"", ""'JUA'!D3:D139""),0))"),"#VALUE!")</f>
        <v>#VALUE!</v>
      </c>
      <c r="AC62" s="15">
        <f ca="1">IFERROR(__xludf.DUMMYFUNCTION("INDEX(IMPORTRANGE(""17pNv02DXDpQT9S3w4-QeNym2QJy2BzMBqDXp-XtzJBM"", ""'JUA'!BK3:BK139""),MATCH($D62,IMPORTRANGE(""17pNv02DXDpQT9S3w4-QeNym2QJy2BzMBqDXp-XtzJBM"", ""'JUA'!D3:D139""),0))"),0.220236190589583)</f>
        <v>0.22023619058958299</v>
      </c>
      <c r="AD62" s="15">
        <f ca="1">IFERROR(__xludf.DUMMYFUNCTION("INDEX(IMPORTRANGE(""17pNv02DXDpQT9S3w4-QeNym2QJy2BzMBqDXp-XtzJBM"", ""'JUA'!BL3:BL139""),MATCH($D62,IMPORTRANGE(""17pNv02DXDpQT9S3w4-QeNym2QJy2BzMBqDXp-XtzJBM"", ""'JUA'!D3:D139""),0))"),1)</f>
        <v>1</v>
      </c>
      <c r="AE62" s="15">
        <f ca="1">IFERROR(__xludf.DUMMYFUNCTION("INDEX(IMPORTRANGE(""17pNv02DXDpQT9S3w4-QeNym2QJy2BzMBqDXp-XtzJBM"", ""'JUA'!BM3:BM139""),MATCH($D62,IMPORTRANGE(""17pNv02DXDpQT9S3w4-QeNym2QJy2BzMBqDXp-XtzJBM"", ""'JUA'!D3:D139""),0))"),1)</f>
        <v>1</v>
      </c>
    </row>
    <row r="63" spans="1:31">
      <c r="A63" s="7" t="s">
        <v>147</v>
      </c>
      <c r="B63" s="7" t="s">
        <v>168</v>
      </c>
      <c r="C63" s="1" t="s">
        <v>30</v>
      </c>
      <c r="D63" s="447" t="s">
        <v>179</v>
      </c>
      <c r="E63" s="7" t="s">
        <v>38</v>
      </c>
      <c r="F63" s="2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430" t="s">
        <v>435</v>
      </c>
      <c r="R63" s="430" t="s">
        <v>435</v>
      </c>
      <c r="S63" s="12" t="str">
        <f ca="1">IFERROR(__xludf.DUMMYFUNCTION("INDEX(IMPORTRANGE(""17pNv02DXDpQT9S3w4-QeNym2QJy2BzMBqDXp-XtzJBM"", ""'JUA'!BG3:BG139""),MATCH($D63,IMPORTRANGE(""17pNv02DXDpQT9S3w4-QeNym2QJy2BzMBqDXp-XtzJBM"", ""'JUA'!D3:D139""),0))"),"Sin dato")</f>
        <v>Sin dato</v>
      </c>
      <c r="T63" s="13"/>
      <c r="U63" s="13"/>
      <c r="V63" s="13"/>
      <c r="W63" s="13"/>
      <c r="X63" s="13"/>
      <c r="Y63" s="316"/>
      <c r="Z63" s="17" t="str">
        <f ca="1">IFERROR(__xludf.DUMMYFUNCTION("INDEX(IMPORTRANGE(""17pNv02DXDpQT9S3w4-QeNym2QJy2BzMBqDXp-XtzJBM"", ""'JUA'!BH3:BH139""),MATCH($D63,IMPORTRANGE(""17pNv02DXDpQT9S3w4-QeNym2QJy2BzMBqDXp-XtzJBM"", ""'JUA'!D3:D139""),0))"),"Sin dato")</f>
        <v>Sin dato</v>
      </c>
      <c r="AA63" s="17" t="str">
        <f ca="1">IFERROR(__xludf.DUMMYFUNCTION("INDEX(IMPORTRANGE(""17pNv02DXDpQT9S3w4-QeNym2QJy2BzMBqDXp-XtzJBM"", ""'JUA'!BI3:BI139""),MATCH($D63,IMPORTRANGE(""17pNv02DXDpQT9S3w4-QeNym2QJy2BzMBqDXp-XtzJBM"", ""'JUA'!D3:D139""),0))"),"Sin dato")</f>
        <v>Sin dato</v>
      </c>
      <c r="AB63" s="17" t="str">
        <f ca="1">IFERROR(__xludf.DUMMYFUNCTION("INDEX(IMPORTRANGE(""17pNv02DXDpQT9S3w4-QeNym2QJy2BzMBqDXp-XtzJBM"", ""'JUA'!BJ3:BJ139""),MATCH($D63,IMPORTRANGE(""17pNv02DXDpQT9S3w4-QeNym2QJy2BzMBqDXp-XtzJBM"", ""'JUA'!D3:D139""),0))"),"Sin dato")</f>
        <v>Sin dato</v>
      </c>
      <c r="AC63" s="12">
        <f ca="1">IFERROR(__xludf.DUMMYFUNCTION("INDEX(IMPORTRANGE(""17pNv02DXDpQT9S3w4-QeNym2QJy2BzMBqDXp-XtzJBM"", ""'JUA'!BK3:BK139""),MATCH($D63,IMPORTRANGE(""17pNv02DXDpQT9S3w4-QeNym2QJy2BzMBqDXp-XtzJBM"", ""'JUA'!D3:D139""),0))"),29822352)</f>
        <v>29822352</v>
      </c>
      <c r="AD63" s="12">
        <f ca="1">IFERROR(__xludf.DUMMYFUNCTION("INDEX(IMPORTRANGE(""17pNv02DXDpQT9S3w4-QeNym2QJy2BzMBqDXp-XtzJBM"", ""'JUA'!BL3:BL139""),MATCH($D63,IMPORTRANGE(""17pNv02DXDpQT9S3w4-QeNym2QJy2BzMBqDXp-XtzJBM"", ""'JUA'!D3:D139""),0))"),29848950.25)</f>
        <v>29848950.25</v>
      </c>
      <c r="AE63" s="12">
        <f ca="1">IFERROR(__xludf.DUMMYFUNCTION("INDEX(IMPORTRANGE(""17pNv02DXDpQT9S3w4-QeNym2QJy2BzMBqDXp-XtzJBM"", ""'JUA'!BM3:BM139""),MATCH($D63,IMPORTRANGE(""17pNv02DXDpQT9S3w4-QeNym2QJy2BzMBqDXp-XtzJBM"", ""'JUA'!D3:D139""),0))"),29861965.76)</f>
        <v>29861965.760000002</v>
      </c>
    </row>
    <row r="64" spans="1:31">
      <c r="A64" s="7" t="s">
        <v>147</v>
      </c>
      <c r="B64" s="7" t="s">
        <v>168</v>
      </c>
      <c r="C64" s="1" t="s">
        <v>30</v>
      </c>
      <c r="D64" s="447" t="s">
        <v>181</v>
      </c>
      <c r="E64" s="7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430" t="s">
        <v>435</v>
      </c>
      <c r="R64" s="430" t="s">
        <v>435</v>
      </c>
      <c r="S64" s="12" t="str">
        <f ca="1">IFERROR(__xludf.DUMMYFUNCTION("INDEX(IMPORTRANGE(""17pNv02DXDpQT9S3w4-QeNym2QJy2BzMBqDXp-XtzJBM"", ""'JUA'!BG3:BG139""),MATCH($D64,IMPORTRANGE(""17pNv02DXDpQT9S3w4-QeNym2QJy2BzMBqDXp-XtzJBM"", ""'JUA'!D3:D139""),0))"),"Sin dato")</f>
        <v>Sin dato</v>
      </c>
      <c r="T64" s="13"/>
      <c r="U64" s="13"/>
      <c r="V64" s="13"/>
      <c r="W64" s="13"/>
      <c r="X64" s="13"/>
      <c r="Y64" s="316"/>
      <c r="Z64" s="17" t="str">
        <f ca="1">IFERROR(__xludf.DUMMYFUNCTION("INDEX(IMPORTRANGE(""17pNv02DXDpQT9S3w4-QeNym2QJy2BzMBqDXp-XtzJBM"", ""'JUA'!BH3:BH139""),MATCH($D64,IMPORTRANGE(""17pNv02DXDpQT9S3w4-QeNym2QJy2BzMBqDXp-XtzJBM"", ""'JUA'!D3:D139""),0))"),"Sin dato")</f>
        <v>Sin dato</v>
      </c>
      <c r="AA64" s="17" t="str">
        <f ca="1">IFERROR(__xludf.DUMMYFUNCTION("INDEX(IMPORTRANGE(""17pNv02DXDpQT9S3w4-QeNym2QJy2BzMBqDXp-XtzJBM"", ""'JUA'!BI3:BI139""),MATCH($D64,IMPORTRANGE(""17pNv02DXDpQT9S3w4-QeNym2QJy2BzMBqDXp-XtzJBM"", ""'JUA'!D3:D139""),0))"),"Sin dato")</f>
        <v>Sin dato</v>
      </c>
      <c r="AB64" s="17" t="str">
        <f ca="1">IFERROR(__xludf.DUMMYFUNCTION("INDEX(IMPORTRANGE(""17pNv02DXDpQT9S3w4-QeNym2QJy2BzMBqDXp-XtzJBM"", ""'JUA'!BJ3:BJ139""),MATCH($D64,IMPORTRANGE(""17pNv02DXDpQT9S3w4-QeNym2QJy2BzMBqDXp-XtzJBM"", ""'JUA'!D3:D139""),0))"),"Sin dato")</f>
        <v>Sin dato</v>
      </c>
      <c r="AC64" s="12">
        <f ca="1">IFERROR(__xludf.DUMMYFUNCTION("INDEX(IMPORTRANGE(""17pNv02DXDpQT9S3w4-QeNym2QJy2BzMBqDXp-XtzJBM"", ""'JUA'!BK3:BK139""),MATCH($D64,IMPORTRANGE(""17pNv02DXDpQT9S3w4-QeNym2QJy2BzMBqDXp-XtzJBM"", ""'JUA'!D3:D139""),0))"),31313469.6)</f>
        <v>31313469.600000001</v>
      </c>
      <c r="AD64" s="12">
        <f ca="1">IFERROR(__xludf.DUMMYFUNCTION("INDEX(IMPORTRANGE(""17pNv02DXDpQT9S3w4-QeNym2QJy2BzMBqDXp-XtzJBM"", ""'JUA'!BL3:BL139""),MATCH($D64,IMPORTRANGE(""17pNv02DXDpQT9S3w4-QeNym2QJy2BzMBqDXp-XtzJBM"", ""'JUA'!D3:D139""),0))"),31313469.6)</f>
        <v>31313469.600000001</v>
      </c>
      <c r="AE64" s="12">
        <f ca="1">IFERROR(__xludf.DUMMYFUNCTION("INDEX(IMPORTRANGE(""17pNv02DXDpQT9S3w4-QeNym2QJy2BzMBqDXp-XtzJBM"", ""'JUA'!BM3:BM139""),MATCH($D64,IMPORTRANGE(""17pNv02DXDpQT9S3w4-QeNym2QJy2BzMBqDXp-XtzJBM"", ""'JUA'!D3:D139""),0))"),31313469.6)</f>
        <v>31313469.600000001</v>
      </c>
    </row>
    <row r="65" spans="1:31">
      <c r="A65" s="7" t="s">
        <v>147</v>
      </c>
      <c r="B65" s="7" t="s">
        <v>168</v>
      </c>
      <c r="C65" s="1" t="s">
        <v>36</v>
      </c>
      <c r="D65" s="447" t="s">
        <v>183</v>
      </c>
      <c r="E65" s="7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436" t="e">
        <f t="shared" ref="Q65:R65" si="14">Q63/Q64</f>
        <v>#VALUE!</v>
      </c>
      <c r="R65" s="436" t="e">
        <f t="shared" si="14"/>
        <v>#VALUE!</v>
      </c>
      <c r="S65" s="26" t="str">
        <f ca="1">IFERROR(__xludf.DUMMYFUNCTION("INDEX(IMPORTRANGE(""17pNv02DXDpQT9S3w4-QeNym2QJy2BzMBqDXp-XtzJBM"", ""'JUA'!BG3:BG139""),MATCH($D65,IMPORTRANGE(""17pNv02DXDpQT9S3w4-QeNym2QJy2BzMBqDXp-XtzJBM"", ""'JUA'!D3:D139""),0))"),"#VALUE!")</f>
        <v>#VALUE!</v>
      </c>
      <c r="T65" s="424">
        <v>1</v>
      </c>
      <c r="U65" s="424">
        <v>1</v>
      </c>
      <c r="V65" s="424">
        <v>1</v>
      </c>
      <c r="W65" s="424">
        <v>1</v>
      </c>
      <c r="X65" s="424">
        <v>1</v>
      </c>
      <c r="Y65" s="424">
        <v>1</v>
      </c>
      <c r="Z65" s="435" t="str">
        <f ca="1">IFERROR(__xludf.DUMMYFUNCTION("INDEX(IMPORTRANGE(""17pNv02DXDpQT9S3w4-QeNym2QJy2BzMBqDXp-XtzJBM"", ""'JUA'!BH3:BH139""),MATCH($D65,IMPORTRANGE(""17pNv02DXDpQT9S3w4-QeNym2QJy2BzMBqDXp-XtzJBM"", ""'JUA'!D3:D139""),0))"),"#VALUE!")</f>
        <v>#VALUE!</v>
      </c>
      <c r="AA65" s="435" t="str">
        <f ca="1">IFERROR(__xludf.DUMMYFUNCTION("INDEX(IMPORTRANGE(""17pNv02DXDpQT9S3w4-QeNym2QJy2BzMBqDXp-XtzJBM"", ""'JUA'!BI3:BI139""),MATCH($D65,IMPORTRANGE(""17pNv02DXDpQT9S3w4-QeNym2QJy2BzMBqDXp-XtzJBM"", ""'JUA'!D3:D139""),0))"),"#VALUE!")</f>
        <v>#VALUE!</v>
      </c>
      <c r="AB65" s="435" t="str">
        <f ca="1">IFERROR(__xludf.DUMMYFUNCTION("INDEX(IMPORTRANGE(""17pNv02DXDpQT9S3w4-QeNym2QJy2BzMBqDXp-XtzJBM"", ""'JUA'!BJ3:BJ139""),MATCH($D65,IMPORTRANGE(""17pNv02DXDpQT9S3w4-QeNym2QJy2BzMBqDXp-XtzJBM"", ""'JUA'!D3:D139""),0))"),"#VALUE!")</f>
        <v>#VALUE!</v>
      </c>
      <c r="AC65" s="26">
        <f ca="1">IFERROR(__xludf.DUMMYFUNCTION("INDEX(IMPORTRANGE(""17pNv02DXDpQT9S3w4-QeNym2QJy2BzMBqDXp-XtzJBM"", ""'JUA'!BK3:BK139""),MATCH($D65,IMPORTRANGE(""17pNv02DXDpQT9S3w4-QeNym2QJy2BzMBqDXp-XtzJBM"", ""'JUA'!D3:D139""),0))"),0.952380952380952)</f>
        <v>0.952380952380952</v>
      </c>
      <c r="AD65" s="26">
        <f ca="1">IFERROR(__xludf.DUMMYFUNCTION("INDEX(IMPORTRANGE(""17pNv02DXDpQT9S3w4-QeNym2QJy2BzMBqDXp-XtzJBM"", ""'JUA'!BL3:BL139""),MATCH($D65,IMPORTRANGE(""17pNv02DXDpQT9S3w4-QeNym2QJy2BzMBqDXp-XtzJBM"", ""'JUA'!D3:D139""),0))"),0.95323037118825)</f>
        <v>0.95323037118825005</v>
      </c>
      <c r="AE65" s="26">
        <f ca="1">IFERROR(__xludf.DUMMYFUNCTION("INDEX(IMPORTRANGE(""17pNv02DXDpQT9S3w4-QeNym2QJy2BzMBqDXp-XtzJBM"", ""'JUA'!BM3:BM139""),MATCH($D65,IMPORTRANGE(""17pNv02DXDpQT9S3w4-QeNym2QJy2BzMBqDXp-XtzJBM"", ""'JUA'!D3:D139""),0))"),0.95364602330749)</f>
        <v>0.95364602330749004</v>
      </c>
    </row>
    <row r="66" spans="1:31">
      <c r="A66" s="7" t="s">
        <v>147</v>
      </c>
      <c r="B66" s="7" t="s">
        <v>168</v>
      </c>
      <c r="C66" s="1" t="s">
        <v>30</v>
      </c>
      <c r="D66" s="447" t="s">
        <v>185</v>
      </c>
      <c r="E66" s="7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430" t="s">
        <v>435</v>
      </c>
      <c r="R66" s="430" t="s">
        <v>435</v>
      </c>
      <c r="S66" s="12" t="str">
        <f ca="1">IFERROR(__xludf.DUMMYFUNCTION("INDEX(IMPORTRANGE(""17pNv02DXDpQT9S3w4-QeNym2QJy2BzMBqDXp-XtzJBM"", ""'JUA'!BG3:BG139""),MATCH($D66,IMPORTRANGE(""17pNv02DXDpQT9S3w4-QeNym2QJy2BzMBqDXp-XtzJBM"", ""'JUA'!D3:D139""),0))"),"Sin dato")</f>
        <v>Sin dato</v>
      </c>
      <c r="T66" s="13"/>
      <c r="U66" s="13"/>
      <c r="V66" s="13"/>
      <c r="W66" s="13"/>
      <c r="X66" s="13"/>
      <c r="Y66" s="316"/>
      <c r="Z66" s="17" t="str">
        <f ca="1">IFERROR(__xludf.DUMMYFUNCTION("INDEX(IMPORTRANGE(""17pNv02DXDpQT9S3w4-QeNym2QJy2BzMBqDXp-XtzJBM"", ""'JUA'!BH3:BH139""),MATCH($D66,IMPORTRANGE(""17pNv02DXDpQT9S3w4-QeNym2QJy2BzMBqDXp-XtzJBM"", ""'JUA'!D3:D139""),0))"),"Sin dato")</f>
        <v>Sin dato</v>
      </c>
      <c r="AA66" s="17" t="str">
        <f ca="1">IFERROR(__xludf.DUMMYFUNCTION("INDEX(IMPORTRANGE(""17pNv02DXDpQT9S3w4-QeNym2QJy2BzMBqDXp-XtzJBM"", ""'JUA'!BI3:BI139""),MATCH($D66,IMPORTRANGE(""17pNv02DXDpQT9S3w4-QeNym2QJy2BzMBqDXp-XtzJBM"", ""'JUA'!D3:D139""),0))"),"Sin dato")</f>
        <v>Sin dato</v>
      </c>
      <c r="AB66" s="17" t="str">
        <f ca="1">IFERROR(__xludf.DUMMYFUNCTION("INDEX(IMPORTRANGE(""17pNv02DXDpQT9S3w4-QeNym2QJy2BzMBqDXp-XtzJBM"", ""'JUA'!BJ3:BJ139""),MATCH($D66,IMPORTRANGE(""17pNv02DXDpQT9S3w4-QeNym2QJy2BzMBqDXp-XtzJBM"", ""'JUA'!D3:D139""),0))"),"Sin dato")</f>
        <v>Sin dato</v>
      </c>
      <c r="AC66" s="12" t="str">
        <f ca="1">IFERROR(__xludf.DUMMYFUNCTION("INDEX(IMPORTRANGE(""17pNv02DXDpQT9S3w4-QeNym2QJy2BzMBqDXp-XtzJBM"", ""'JUA'!BK3:BK139""),MATCH($D66,IMPORTRANGE(""17pNv02DXDpQT9S3w4-QeNym2QJy2BzMBqDXp-XtzJBM"", ""'JUA'!D3:D139""),0))"),"Sin dato")</f>
        <v>Sin dato</v>
      </c>
      <c r="AD66" s="12">
        <f ca="1">IFERROR(__xludf.DUMMYFUNCTION("INDEX(IMPORTRANGE(""17pNv02DXDpQT9S3w4-QeNym2QJy2BzMBqDXp-XtzJBM"", ""'JUA'!BL3:BL139""),MATCH($D66,IMPORTRANGE(""17pNv02DXDpQT9S3w4-QeNym2QJy2BzMBqDXp-XtzJBM"", ""'JUA'!D3:D139""),0))"),147242)</f>
        <v>147242</v>
      </c>
      <c r="AE66" s="12">
        <f ca="1">IFERROR(__xludf.DUMMYFUNCTION("INDEX(IMPORTRANGE(""17pNv02DXDpQT9S3w4-QeNym2QJy2BzMBqDXp-XtzJBM"", ""'JUA'!BM3:BM139""),MATCH($D66,IMPORTRANGE(""17pNv02DXDpQT9S3w4-QeNym2QJy2BzMBqDXp-XtzJBM"", ""'JUA'!D3:D139""),0))"),147242)</f>
        <v>147242</v>
      </c>
    </row>
    <row r="67" spans="1:31">
      <c r="A67" s="7" t="s">
        <v>147</v>
      </c>
      <c r="B67" s="7" t="s">
        <v>168</v>
      </c>
      <c r="C67" s="1" t="s">
        <v>30</v>
      </c>
      <c r="D67" s="447" t="s">
        <v>187</v>
      </c>
      <c r="E67" s="7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430" t="s">
        <v>435</v>
      </c>
      <c r="R67" s="430" t="s">
        <v>435</v>
      </c>
      <c r="S67" s="12" t="str">
        <f ca="1">IFERROR(__xludf.DUMMYFUNCTION("INDEX(IMPORTRANGE(""17pNv02DXDpQT9S3w4-QeNym2QJy2BzMBqDXp-XtzJBM"", ""'JUA'!BG3:BG139""),MATCH($D67,IMPORTRANGE(""17pNv02DXDpQT9S3w4-QeNym2QJy2BzMBqDXp-XtzJBM"", ""'JUA'!D3:D139""),0))"),"Sin dato")</f>
        <v>Sin dato</v>
      </c>
      <c r="T67" s="13"/>
      <c r="U67" s="13"/>
      <c r="V67" s="13"/>
      <c r="W67" s="13"/>
      <c r="X67" s="13"/>
      <c r="Y67" s="316"/>
      <c r="Z67" s="17" t="str">
        <f ca="1">IFERROR(__xludf.DUMMYFUNCTION("INDEX(IMPORTRANGE(""17pNv02DXDpQT9S3w4-QeNym2QJy2BzMBqDXp-XtzJBM"", ""'JUA'!BH3:BH139""),MATCH($D67,IMPORTRANGE(""17pNv02DXDpQT9S3w4-QeNym2QJy2BzMBqDXp-XtzJBM"", ""'JUA'!D3:D139""),0))"),"Sin dato")</f>
        <v>Sin dato</v>
      </c>
      <c r="AA67" s="17" t="str">
        <f ca="1">IFERROR(__xludf.DUMMYFUNCTION("INDEX(IMPORTRANGE(""17pNv02DXDpQT9S3w4-QeNym2QJy2BzMBqDXp-XtzJBM"", ""'JUA'!BI3:BI139""),MATCH($D67,IMPORTRANGE(""17pNv02DXDpQT9S3w4-QeNym2QJy2BzMBqDXp-XtzJBM"", ""'JUA'!D3:D139""),0))"),"Sin dato")</f>
        <v>Sin dato</v>
      </c>
      <c r="AB67" s="17" t="str">
        <f ca="1">IFERROR(__xludf.DUMMYFUNCTION("INDEX(IMPORTRANGE(""17pNv02DXDpQT9S3w4-QeNym2QJy2BzMBqDXp-XtzJBM"", ""'JUA'!BJ3:BJ139""),MATCH($D67,IMPORTRANGE(""17pNv02DXDpQT9S3w4-QeNym2QJy2BzMBqDXp-XtzJBM"", ""'JUA'!D3:D139""),0))"),"Sin dato")</f>
        <v>Sin dato</v>
      </c>
      <c r="AC67" s="12" t="str">
        <f ca="1">IFERROR(__xludf.DUMMYFUNCTION("INDEX(IMPORTRANGE(""17pNv02DXDpQT9S3w4-QeNym2QJy2BzMBqDXp-XtzJBM"", ""'JUA'!BK3:BK139""),MATCH($D67,IMPORTRANGE(""17pNv02DXDpQT9S3w4-QeNym2QJy2BzMBqDXp-XtzJBM"", ""'JUA'!D3:D139""),0))"),"Sin dato")</f>
        <v>Sin dato</v>
      </c>
      <c r="AD67" s="12">
        <f ca="1">IFERROR(__xludf.DUMMYFUNCTION("INDEX(IMPORTRANGE(""17pNv02DXDpQT9S3w4-QeNym2QJy2BzMBqDXp-XtzJBM"", ""'JUA'!BL3:BL139""),MATCH($D67,IMPORTRANGE(""17pNv02DXDpQT9S3w4-QeNym2QJy2BzMBqDXp-XtzJBM"", ""'JUA'!D3:D139""),0))"),221760)</f>
        <v>221760</v>
      </c>
      <c r="AE67" s="12">
        <f ca="1">IFERROR(__xludf.DUMMYFUNCTION("INDEX(IMPORTRANGE(""17pNv02DXDpQT9S3w4-QeNym2QJy2BzMBqDXp-XtzJBM"", ""'JUA'!BM3:BM139""),MATCH($D67,IMPORTRANGE(""17pNv02DXDpQT9S3w4-QeNym2QJy2BzMBqDXp-XtzJBM"", ""'JUA'!D3:D139""),0))"),221760)</f>
        <v>221760</v>
      </c>
    </row>
    <row r="68" spans="1:31">
      <c r="A68" s="7" t="s">
        <v>147</v>
      </c>
      <c r="B68" s="7" t="s">
        <v>168</v>
      </c>
      <c r="C68" s="1" t="s">
        <v>36</v>
      </c>
      <c r="D68" s="447" t="s">
        <v>189</v>
      </c>
      <c r="E68" s="7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420" t="e">
        <f t="shared" ref="Q68:R68" si="15">Q66/Q67</f>
        <v>#VALUE!</v>
      </c>
      <c r="R68" s="420" t="e">
        <f t="shared" si="15"/>
        <v>#VALUE!</v>
      </c>
      <c r="S68" s="15" t="str">
        <f ca="1">IFERROR(__xludf.DUMMYFUNCTION("INDEX(IMPORTRANGE(""17pNv02DXDpQT9S3w4-QeNym2QJy2BzMBqDXp-XtzJBM"", ""'JUA'!BG3:BG139""),MATCH($D68,IMPORTRANGE(""17pNv02DXDpQT9S3w4-QeNym2QJy2BzMBqDXp-XtzJBM"", ""'JUA'!D3:D139""),0))"),"#VALUE!")</f>
        <v>#VALUE!</v>
      </c>
      <c r="T68" s="424">
        <v>1</v>
      </c>
      <c r="U68" s="424">
        <v>1</v>
      </c>
      <c r="V68" s="424">
        <v>1</v>
      </c>
      <c r="W68" s="424">
        <v>1</v>
      </c>
      <c r="X68" s="424">
        <v>1</v>
      </c>
      <c r="Y68" s="424">
        <v>1</v>
      </c>
      <c r="Z68" s="19" t="str">
        <f ca="1">IFERROR(__xludf.DUMMYFUNCTION("INDEX(IMPORTRANGE(""17pNv02DXDpQT9S3w4-QeNym2QJy2BzMBqDXp-XtzJBM"", ""'JUA'!BH3:BH139""),MATCH($D68,IMPORTRANGE(""17pNv02DXDpQT9S3w4-QeNym2QJy2BzMBqDXp-XtzJBM"", ""'JUA'!D3:D139""),0))"),"Sin dato")</f>
        <v>Sin dato</v>
      </c>
      <c r="AA68" s="19" t="str">
        <f ca="1">IFERROR(__xludf.DUMMYFUNCTION("INDEX(IMPORTRANGE(""17pNv02DXDpQT9S3w4-QeNym2QJy2BzMBqDXp-XtzJBM"", ""'JUA'!BI3:BI139""),MATCH($D68,IMPORTRANGE(""17pNv02DXDpQT9S3w4-QeNym2QJy2BzMBqDXp-XtzJBM"", ""'JUA'!D3:D139""),0))"),"Sin dato")</f>
        <v>Sin dato</v>
      </c>
      <c r="AB68" s="19" t="str">
        <f ca="1">IFERROR(__xludf.DUMMYFUNCTION("INDEX(IMPORTRANGE(""17pNv02DXDpQT9S3w4-QeNym2QJy2BzMBqDXp-XtzJBM"", ""'JUA'!BJ3:BJ139""),MATCH($D68,IMPORTRANGE(""17pNv02DXDpQT9S3w4-QeNym2QJy2BzMBqDXp-XtzJBM"", ""'JUA'!D3:D139""),0))"),"Sin dato")</f>
        <v>Sin dato</v>
      </c>
      <c r="AC68" s="15" t="str">
        <f ca="1">IFERROR(__xludf.DUMMYFUNCTION("INDEX(IMPORTRANGE(""17pNv02DXDpQT9S3w4-QeNym2QJy2BzMBqDXp-XtzJBM"", ""'JUA'!BK3:BK139""),MATCH($D68,IMPORTRANGE(""17pNv02DXDpQT9S3w4-QeNym2QJy2BzMBqDXp-XtzJBM"", ""'JUA'!D3:D139""),0))"),"Sin dato")</f>
        <v>Sin dato</v>
      </c>
      <c r="AD68" s="15">
        <f ca="1">IFERROR(__xludf.DUMMYFUNCTION("INDEX(IMPORTRANGE(""17pNv02DXDpQT9S3w4-QeNym2QJy2BzMBqDXp-XtzJBM"", ""'JUA'!BL3:BL139""),MATCH($D68,IMPORTRANGE(""17pNv02DXDpQT9S3w4-QeNym2QJy2BzMBqDXp-XtzJBM"", ""'JUA'!D3:D139""),0))"),0.663970057720057)</f>
        <v>0.66397005772005702</v>
      </c>
      <c r="AE68" s="15">
        <f ca="1">IFERROR(__xludf.DUMMYFUNCTION("INDEX(IMPORTRANGE(""17pNv02DXDpQT9S3w4-QeNym2QJy2BzMBqDXp-XtzJBM"", ""'JUA'!BM3:BM139""),MATCH($D68,IMPORTRANGE(""17pNv02DXDpQT9S3w4-QeNym2QJy2BzMBqDXp-XtzJBM"", ""'JUA'!D3:D139""),0))"),0.663970057720057)</f>
        <v>0.66397005772005702</v>
      </c>
    </row>
    <row r="69" spans="1:31">
      <c r="A69" s="7" t="s">
        <v>147</v>
      </c>
      <c r="B69" s="7" t="s">
        <v>168</v>
      </c>
      <c r="C69" s="1" t="s">
        <v>30</v>
      </c>
      <c r="D69" s="7" t="s">
        <v>191</v>
      </c>
      <c r="E69" s="7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4">
        <v>0</v>
      </c>
      <c r="R69" s="24">
        <v>0</v>
      </c>
      <c r="S69" s="24">
        <f ca="1">IFERROR(__xludf.DUMMYFUNCTION("INDEX(IMPORTRANGE(""17pNv02DXDpQT9S3w4-QeNym2QJy2BzMBqDXp-XtzJBM"", ""'JUA'!BG3:BG139""),MATCH($D69,IMPORTRANGE(""17pNv02DXDpQT9S3w4-QeNym2QJy2BzMBqDXp-XtzJBM"", ""'JUA'!D3:D139""),0))"),0)</f>
        <v>0</v>
      </c>
      <c r="T69" s="13"/>
      <c r="U69" s="13"/>
      <c r="V69" s="13"/>
      <c r="W69" s="13"/>
      <c r="X69" s="13"/>
      <c r="Y69" s="13"/>
      <c r="Z69" s="24">
        <f ca="1">IFERROR(__xludf.DUMMYFUNCTION("INDEX(IMPORTRANGE(""17pNv02DXDpQT9S3w4-QeNym2QJy2BzMBqDXp-XtzJBM"", ""'JUA'!BH3:BH139""),MATCH($D69,IMPORTRANGE(""17pNv02DXDpQT9S3w4-QeNym2QJy2BzMBqDXp-XtzJBM"", ""'JUA'!D3:D139""),0))"),0)</f>
        <v>0</v>
      </c>
      <c r="AA69" s="24">
        <f ca="1">IFERROR(__xludf.DUMMYFUNCTION("INDEX(IMPORTRANGE(""17pNv02DXDpQT9S3w4-QeNym2QJy2BzMBqDXp-XtzJBM"", ""'JUA'!BI3:BI139""),MATCH($D69,IMPORTRANGE(""17pNv02DXDpQT9S3w4-QeNym2QJy2BzMBqDXp-XtzJBM"", ""'JUA'!D3:D139""),0))"),0)</f>
        <v>0</v>
      </c>
      <c r="AB69" s="24">
        <f ca="1">IFERROR(__xludf.DUMMYFUNCTION("INDEX(IMPORTRANGE(""17pNv02DXDpQT9S3w4-QeNym2QJy2BzMBqDXp-XtzJBM"", ""'JUA'!BJ3:BJ139""),MATCH($D69,IMPORTRANGE(""17pNv02DXDpQT9S3w4-QeNym2QJy2BzMBqDXp-XtzJBM"", ""'JUA'!D3:D139""),0))"),0)</f>
        <v>0</v>
      </c>
      <c r="AC69" s="24">
        <f ca="1">IFERROR(__xludf.DUMMYFUNCTION("INDEX(IMPORTRANGE(""17pNv02DXDpQT9S3w4-QeNym2QJy2BzMBqDXp-XtzJBM"", ""'JUA'!BK3:BK139""),MATCH($D69,IMPORTRANGE(""17pNv02DXDpQT9S3w4-QeNym2QJy2BzMBqDXp-XtzJBM"", ""'JUA'!D3:D139""),0))"),0)</f>
        <v>0</v>
      </c>
      <c r="AD69" s="24">
        <f ca="1">IFERROR(__xludf.DUMMYFUNCTION("INDEX(IMPORTRANGE(""17pNv02DXDpQT9S3w4-QeNym2QJy2BzMBqDXp-XtzJBM"", ""'JUA'!BL3:BL139""),MATCH($D69,IMPORTRANGE(""17pNv02DXDpQT9S3w4-QeNym2QJy2BzMBqDXp-XtzJBM"", ""'JUA'!D3:D139""),0))"),0)</f>
        <v>0</v>
      </c>
      <c r="AE69" s="24">
        <f ca="1">IFERROR(__xludf.DUMMYFUNCTION("INDEX(IMPORTRANGE(""17pNv02DXDpQT9S3w4-QeNym2QJy2BzMBqDXp-XtzJBM"", ""'JUA'!BM3:BM139""),MATCH($D69,IMPORTRANGE(""17pNv02DXDpQT9S3w4-QeNym2QJy2BzMBqDXp-XtzJBM"", ""'JUA'!D3:D139""),0))"),0)</f>
        <v>0</v>
      </c>
    </row>
    <row r="70" spans="1:31">
      <c r="A70" s="7" t="s">
        <v>147</v>
      </c>
      <c r="B70" s="7" t="s">
        <v>168</v>
      </c>
      <c r="C70" s="1" t="s">
        <v>30</v>
      </c>
      <c r="D70" s="7" t="s">
        <v>193</v>
      </c>
      <c r="E70" s="7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</v>
      </c>
      <c r="R70" s="23">
        <v>0</v>
      </c>
      <c r="S70" s="23">
        <f ca="1">IFERROR(__xludf.DUMMYFUNCTION("INDEX(IMPORTRANGE(""17pNv02DXDpQT9S3w4-QeNym2QJy2BzMBqDXp-XtzJBM"", ""'JUA'!BG3:BG139""),MATCH($D70,IMPORTRANGE(""17pNv02DXDpQT9S3w4-QeNym2QJy2BzMBqDXp-XtzJBM"", ""'JUA'!D3:D139""),0))"),0)</f>
        <v>0</v>
      </c>
      <c r="T70" s="13"/>
      <c r="U70" s="13"/>
      <c r="V70" s="13"/>
      <c r="W70" s="13"/>
      <c r="X70" s="13"/>
      <c r="Y70" s="13"/>
      <c r="Z70" s="23">
        <f ca="1">IFERROR(__xludf.DUMMYFUNCTION("INDEX(IMPORTRANGE(""17pNv02DXDpQT9S3w4-QeNym2QJy2BzMBqDXp-XtzJBM"", ""'JUA'!BH3:BH139""),MATCH($D70,IMPORTRANGE(""17pNv02DXDpQT9S3w4-QeNym2QJy2BzMBqDXp-XtzJBM"", ""'JUA'!D3:D139""),0))"),0)</f>
        <v>0</v>
      </c>
      <c r="AA70" s="23">
        <f ca="1">IFERROR(__xludf.DUMMYFUNCTION("INDEX(IMPORTRANGE(""17pNv02DXDpQT9S3w4-QeNym2QJy2BzMBqDXp-XtzJBM"", ""'JUA'!BI3:BI139""),MATCH($D70,IMPORTRANGE(""17pNv02DXDpQT9S3w4-QeNym2QJy2BzMBqDXp-XtzJBM"", ""'JUA'!D3:D139""),0))"),0)</f>
        <v>0</v>
      </c>
      <c r="AB70" s="23">
        <f ca="1">IFERROR(__xludf.DUMMYFUNCTION("INDEX(IMPORTRANGE(""17pNv02DXDpQT9S3w4-QeNym2QJy2BzMBqDXp-XtzJBM"", ""'JUA'!BJ3:BJ139""),MATCH($D70,IMPORTRANGE(""17pNv02DXDpQT9S3w4-QeNym2QJy2BzMBqDXp-XtzJBM"", ""'JUA'!D3:D139""),0))"),0)</f>
        <v>0</v>
      </c>
      <c r="AC70" s="23">
        <f ca="1">IFERROR(__xludf.DUMMYFUNCTION("INDEX(IMPORTRANGE(""17pNv02DXDpQT9S3w4-QeNym2QJy2BzMBqDXp-XtzJBM"", ""'JUA'!BK3:BK139""),MATCH($D70,IMPORTRANGE(""17pNv02DXDpQT9S3w4-QeNym2QJy2BzMBqDXp-XtzJBM"", ""'JUA'!D3:D139""),0))"),0)</f>
        <v>0</v>
      </c>
      <c r="AD70" s="23">
        <f ca="1">IFERROR(__xludf.DUMMYFUNCTION("INDEX(IMPORTRANGE(""17pNv02DXDpQT9S3w4-QeNym2QJy2BzMBqDXp-XtzJBM"", ""'JUA'!BL3:BL139""),MATCH($D70,IMPORTRANGE(""17pNv02DXDpQT9S3w4-QeNym2QJy2BzMBqDXp-XtzJBM"", ""'JUA'!D3:D139""),0))"),0)</f>
        <v>0</v>
      </c>
      <c r="AE70" s="23">
        <f ca="1">IFERROR(__xludf.DUMMYFUNCTION("INDEX(IMPORTRANGE(""17pNv02DXDpQT9S3w4-QeNym2QJy2BzMBqDXp-XtzJBM"", ""'JUA'!BM3:BM139""),MATCH($D70,IMPORTRANGE(""17pNv02DXDpQT9S3w4-QeNym2QJy2BzMBqDXp-XtzJBM"", ""'JUA'!D3:D139""),0))"),0)</f>
        <v>0</v>
      </c>
    </row>
    <row r="71" spans="1:31">
      <c r="A71" s="7" t="s">
        <v>147</v>
      </c>
      <c r="B71" s="7" t="s">
        <v>168</v>
      </c>
      <c r="C71" s="1" t="s">
        <v>30</v>
      </c>
      <c r="D71" s="7" t="s">
        <v>195</v>
      </c>
      <c r="E71" s="7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430" t="s">
        <v>435</v>
      </c>
      <c r="R71" s="430" t="s">
        <v>435</v>
      </c>
      <c r="S71" s="12" t="str">
        <f ca="1">IFERROR(__xludf.DUMMYFUNCTION("INDEX(IMPORTRANGE(""17pNv02DXDpQT9S3w4-QeNym2QJy2BzMBqDXp-XtzJBM"", ""'JUA'!BG3:BG139""),MATCH($D71,IMPORTRANGE(""17pNv02DXDpQT9S3w4-QeNym2QJy2BzMBqDXp-XtzJBM"", ""'JUA'!D3:D139""),0))"),"Sin dato")</f>
        <v>Sin dato</v>
      </c>
      <c r="T71" s="13"/>
      <c r="U71" s="13"/>
      <c r="V71" s="13"/>
      <c r="W71" s="13"/>
      <c r="X71" s="13"/>
      <c r="Y71" s="13"/>
      <c r="Z71" s="12">
        <f ca="1">IFERROR(__xludf.DUMMYFUNCTION("INDEX(IMPORTRANGE(""17pNv02DXDpQT9S3w4-QeNym2QJy2BzMBqDXp-XtzJBM"", ""'JUA'!BH3:BH139""),MATCH($D71,IMPORTRANGE(""17pNv02DXDpQT9S3w4-QeNym2QJy2BzMBqDXp-XtzJBM"", ""'JUA'!D3:D139""),0))"),0)</f>
        <v>0</v>
      </c>
      <c r="AA71" s="250" t="str">
        <f ca="1">IFERROR(__xludf.DUMMYFUNCTION("INDEX(IMPORTRANGE(""17pNv02DXDpQT9S3w4-QeNym2QJy2BzMBqDXp-XtzJBM"", ""'JUA'!BI3:BI139""),MATCH($D71,IMPORTRANGE(""17pNv02DXDpQT9S3w4-QeNym2QJy2BzMBqDXp-XtzJBM"", ""'JUA'!D3:D139""),0))"),"")</f>
        <v/>
      </c>
      <c r="AB71" s="12" t="str">
        <f ca="1">IFERROR(__xludf.DUMMYFUNCTION("INDEX(IMPORTRANGE(""17pNv02DXDpQT9S3w4-QeNym2QJy2BzMBqDXp-XtzJBM"", ""'JUA'!BJ3:BJ139""),MATCH($D71,IMPORTRANGE(""17pNv02DXDpQT9S3w4-QeNym2QJy2BzMBqDXp-XtzJBM"", ""'JUA'!D3:D139""),0))"),"Sin documento")</f>
        <v>Sin documento</v>
      </c>
      <c r="AC71" s="250" t="str">
        <f ca="1">IFERROR(__xludf.DUMMYFUNCTION("INDEX(IMPORTRANGE(""17pNv02DXDpQT9S3w4-QeNym2QJy2BzMBqDXp-XtzJBM"", ""'JUA'!BK3:BK139""),MATCH($D71,IMPORTRANGE(""17pNv02DXDpQT9S3w4-QeNym2QJy2BzMBqDXp-XtzJBM"", ""'JUA'!D3:D139""),0))"),"")</f>
        <v/>
      </c>
      <c r="AD71" s="12" t="str">
        <f ca="1">IFERROR(__xludf.DUMMYFUNCTION("INDEX(IMPORTRANGE(""17pNv02DXDpQT9S3w4-QeNym2QJy2BzMBqDXp-XtzJBM"", ""'JUA'!BL3:BL139""),MATCH($D71,IMPORTRANGE(""17pNv02DXDpQT9S3w4-QeNym2QJy2BzMBqDXp-XtzJBM"", ""'JUA'!D3:D139""),0))"),"Sin plan")</f>
        <v>Sin plan</v>
      </c>
      <c r="AE71" s="250" t="str">
        <f ca="1">IFERROR(__xludf.DUMMYFUNCTION("INDEX(IMPORTRANGE(""17pNv02DXDpQT9S3w4-QeNym2QJy2BzMBqDXp-XtzJBM"", ""'JUA'!BM3:BM139""),MATCH($D71,IMPORTRANGE(""17pNv02DXDpQT9S3w4-QeNym2QJy2BzMBqDXp-XtzJBM"", ""'JUA'!D3:D139""),0))"),"Sin plan")</f>
        <v>Sin plan</v>
      </c>
    </row>
    <row r="72" spans="1:31">
      <c r="A72" s="7" t="s">
        <v>147</v>
      </c>
      <c r="B72" s="7" t="s">
        <v>168</v>
      </c>
      <c r="C72" s="1" t="s">
        <v>36</v>
      </c>
      <c r="D72" s="7" t="s">
        <v>197</v>
      </c>
      <c r="E72" s="7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 t="shared" ref="Q72:R72" si="16">Q69+Q70</f>
        <v>0</v>
      </c>
      <c r="R72" s="23">
        <f t="shared" si="16"/>
        <v>0</v>
      </c>
      <c r="S72" s="23">
        <f ca="1">IFERROR(__xludf.DUMMYFUNCTION("INDEX(IMPORTRANGE(""17pNv02DXDpQT9S3w4-QeNym2QJy2BzMBqDXp-XtzJBM"", ""'JUA'!BG3:BG139""),MATCH($D72,IMPORTRANGE(""17pNv02DXDpQT9S3w4-QeNym2QJy2BzMBqDXp-XtzJBM"", ""'JUA'!D3:D139""),0))"),0)</f>
        <v>0</v>
      </c>
      <c r="T72" s="433">
        <v>45</v>
      </c>
      <c r="U72" s="433">
        <v>23</v>
      </c>
      <c r="V72" s="433">
        <v>46</v>
      </c>
      <c r="W72" s="433">
        <v>23</v>
      </c>
      <c r="X72" s="218">
        <f>W72/6*5+W72</f>
        <v>42.166666666666671</v>
      </c>
      <c r="Y72" s="433">
        <v>141</v>
      </c>
      <c r="Z72" s="23">
        <f ca="1">IFERROR(__xludf.DUMMYFUNCTION("INDEX(IMPORTRANGE(""17pNv02DXDpQT9S3w4-QeNym2QJy2BzMBqDXp-XtzJBM"", ""'JUA'!BH3:BH139""),MATCH($D72,IMPORTRANGE(""17pNv02DXDpQT9S3w4-QeNym2QJy2BzMBqDXp-XtzJBM"", ""'JUA'!D3:D139""),0))"),0)</f>
        <v>0</v>
      </c>
      <c r="AA72" s="23">
        <f ca="1">IFERROR(__xludf.DUMMYFUNCTION("INDEX(IMPORTRANGE(""17pNv02DXDpQT9S3w4-QeNym2QJy2BzMBqDXp-XtzJBM"", ""'JUA'!BI3:BI139""),MATCH($D72,IMPORTRANGE(""17pNv02DXDpQT9S3w4-QeNym2QJy2BzMBqDXp-XtzJBM"", ""'JUA'!D3:D139""),0))"),0)</f>
        <v>0</v>
      </c>
      <c r="AB72" s="23">
        <f ca="1">IFERROR(__xludf.DUMMYFUNCTION("INDEX(IMPORTRANGE(""17pNv02DXDpQT9S3w4-QeNym2QJy2BzMBqDXp-XtzJBM"", ""'JUA'!BJ3:BJ139""),MATCH($D72,IMPORTRANGE(""17pNv02DXDpQT9S3w4-QeNym2QJy2BzMBqDXp-XtzJBM"", ""'JUA'!D3:D139""),0))"),0)</f>
        <v>0</v>
      </c>
      <c r="AC72" s="23">
        <f ca="1">IFERROR(__xludf.DUMMYFUNCTION("INDEX(IMPORTRANGE(""17pNv02DXDpQT9S3w4-QeNym2QJy2BzMBqDXp-XtzJBM"", ""'JUA'!BK3:BK139""),MATCH($D72,IMPORTRANGE(""17pNv02DXDpQT9S3w4-QeNym2QJy2BzMBqDXp-XtzJBM"", ""'JUA'!D3:D139""),0))"),0)</f>
        <v>0</v>
      </c>
      <c r="AD72" s="23">
        <f ca="1">IFERROR(__xludf.DUMMYFUNCTION("INDEX(IMPORTRANGE(""17pNv02DXDpQT9S3w4-QeNym2QJy2BzMBqDXp-XtzJBM"", ""'JUA'!BL3:BL139""),MATCH($D72,IMPORTRANGE(""17pNv02DXDpQT9S3w4-QeNym2QJy2BzMBqDXp-XtzJBM"", ""'JUA'!D3:D139""),0))"),0)</f>
        <v>0</v>
      </c>
      <c r="AE72" s="23">
        <f ca="1">IFERROR(__xludf.DUMMYFUNCTION("INDEX(IMPORTRANGE(""17pNv02DXDpQT9S3w4-QeNym2QJy2BzMBqDXp-XtzJBM"", ""'JUA'!BM3:BM139""),MATCH($D72,IMPORTRANGE(""17pNv02DXDpQT9S3w4-QeNym2QJy2BzMBqDXp-XtzJBM"", ""'JUA'!D3:D139""),0))"),0)</f>
        <v>0</v>
      </c>
    </row>
    <row r="73" spans="1:31">
      <c r="A73" s="7" t="s">
        <v>199</v>
      </c>
      <c r="B73" s="7" t="s">
        <v>200</v>
      </c>
      <c r="C73" s="1" t="s">
        <v>36</v>
      </c>
      <c r="D73" s="7" t="s">
        <v>201</v>
      </c>
      <c r="E73" s="7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0</v>
      </c>
      <c r="R73" s="23">
        <v>0</v>
      </c>
      <c r="S73" s="23">
        <f ca="1">IFERROR(__xludf.DUMMYFUNCTION("INDEX(IMPORTRANGE(""17pNv02DXDpQT9S3w4-QeNym2QJy2BzMBqDXp-XtzJBM"", ""'JUA'!BG3:BG139""),MATCH($D73,IMPORTRANGE(""17pNv02DXDpQT9S3w4-QeNym2QJy2BzMBqDXp-XtzJBM"", ""'JUA'!D3:D139""),0))"),0)</f>
        <v>0</v>
      </c>
      <c r="T73" s="433">
        <v>6</v>
      </c>
      <c r="U73" s="433">
        <v>7</v>
      </c>
      <c r="V73" s="433">
        <v>9</v>
      </c>
      <c r="W73" s="433">
        <v>10</v>
      </c>
      <c r="X73" s="265">
        <f>((Y73-W73)/6)*5+W73</f>
        <v>11.666666666666666</v>
      </c>
      <c r="Y73" s="437">
        <v>12</v>
      </c>
      <c r="Z73" s="23">
        <f ca="1">IFERROR(__xludf.DUMMYFUNCTION("INDEX(IMPORTRANGE(""17pNv02DXDpQT9S3w4-QeNym2QJy2BzMBqDXp-XtzJBM"", ""'JUA'!BH3:BH139""),MATCH($D73,IMPORTRANGE(""17pNv02DXDpQT9S3w4-QeNym2QJy2BzMBqDXp-XtzJBM"", ""'JUA'!D3:D139""),0))"),0.43544)</f>
        <v>0.43543999999999999</v>
      </c>
      <c r="AA73" s="23">
        <f ca="1">IFERROR(__xludf.DUMMYFUNCTION("INDEX(IMPORTRANGE(""17pNv02DXDpQT9S3w4-QeNym2QJy2BzMBqDXp-XtzJBM"", ""'JUA'!BI3:BI139""),MATCH($D73,IMPORTRANGE(""17pNv02DXDpQT9S3w4-QeNym2QJy2BzMBqDXp-XtzJBM"", ""'JUA'!D3:D139""),0))"),9.71358)</f>
        <v>9.7135800000000003</v>
      </c>
      <c r="AB73" s="23">
        <f ca="1">IFERROR(__xludf.DUMMYFUNCTION("INDEX(IMPORTRANGE(""17pNv02DXDpQT9S3w4-QeNym2QJy2BzMBqDXp-XtzJBM"", ""'JUA'!BJ3:BJ139""),MATCH($D73,IMPORTRANGE(""17pNv02DXDpQT9S3w4-QeNym2QJy2BzMBqDXp-XtzJBM"", ""'JUA'!D3:D139""),0))"),0)</f>
        <v>0</v>
      </c>
      <c r="AC73" s="23">
        <f ca="1">IFERROR(__xludf.DUMMYFUNCTION("INDEX(IMPORTRANGE(""17pNv02DXDpQT9S3w4-QeNym2QJy2BzMBqDXp-XtzJBM"", ""'JUA'!BK3:BK139""),MATCH($D73,IMPORTRANGE(""17pNv02DXDpQT9S3w4-QeNym2QJy2BzMBqDXp-XtzJBM"", ""'JUA'!D3:D139""),0))"),0)</f>
        <v>0</v>
      </c>
      <c r="AD73" s="23">
        <f ca="1">IFERROR(__xludf.DUMMYFUNCTION("INDEX(IMPORTRANGE(""17pNv02DXDpQT9S3w4-QeNym2QJy2BzMBqDXp-XtzJBM"", ""'JUA'!BL3:BL139""),MATCH($D73,IMPORTRANGE(""17pNv02DXDpQT9S3w4-QeNym2QJy2BzMBqDXp-XtzJBM"", ""'JUA'!D3:D139""),0))"),0)</f>
        <v>0</v>
      </c>
      <c r="AE73" s="23">
        <f ca="1">IFERROR(__xludf.DUMMYFUNCTION("INDEX(IMPORTRANGE(""17pNv02DXDpQT9S3w4-QeNym2QJy2BzMBqDXp-XtzJBM"", ""'JUA'!BM3:BM139""),MATCH($D73,IMPORTRANGE(""17pNv02DXDpQT9S3w4-QeNym2QJy2BzMBqDXp-XtzJBM"", ""'JUA'!D3:D139""),0))"),0)</f>
        <v>0</v>
      </c>
    </row>
    <row r="74" spans="1:31">
      <c r="A74" s="7" t="s">
        <v>199</v>
      </c>
      <c r="B74" s="7" t="s">
        <v>200</v>
      </c>
      <c r="C74" s="1" t="s">
        <v>30</v>
      </c>
      <c r="D74" s="7" t="s">
        <v>203</v>
      </c>
      <c r="E74" s="7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438"/>
      <c r="R74" s="438"/>
      <c r="S74" s="30" t="str">
        <f ca="1">IFERROR(__xludf.DUMMYFUNCTION("INDEX(IMPORTRANGE(""17pNv02DXDpQT9S3w4-QeNym2QJy2BzMBqDXp-XtzJBM"", ""'JUA'!BG3:BG139""),MATCH($D74,IMPORTRANGE(""17pNv02DXDpQT9S3w4-QeNym2QJy2BzMBqDXp-XtzJBM"", ""'JUA'!D3:D139""),0))"),"")</f>
        <v/>
      </c>
      <c r="T74" s="1"/>
      <c r="U74" s="1"/>
      <c r="V74" s="1"/>
      <c r="W74" s="1"/>
      <c r="X74" s="191"/>
      <c r="Y74" s="255"/>
      <c r="Z74" s="24">
        <f ca="1">IFERROR(__xludf.DUMMYFUNCTION("INDEX(IMPORTRANGE(""17pNv02DXDpQT9S3w4-QeNym2QJy2BzMBqDXp-XtzJBM"", ""'JUA'!BH3:BH139""),MATCH($D74,IMPORTRANGE(""17pNv02DXDpQT9S3w4-QeNym2QJy2BzMBqDXp-XtzJBM"", ""'JUA'!D3:D139""),0))"),435.44)</f>
        <v>435.44</v>
      </c>
      <c r="AA74" s="24">
        <f ca="1">IFERROR(__xludf.DUMMYFUNCTION("INDEX(IMPORTRANGE(""17pNv02DXDpQT9S3w4-QeNym2QJy2BzMBqDXp-XtzJBM"", ""'JUA'!BI3:BI139""),MATCH($D74,IMPORTRANGE(""17pNv02DXDpQT9S3w4-QeNym2QJy2BzMBqDXp-XtzJBM"", ""'JUA'!D3:D139""),0))"),2833.35)</f>
        <v>2833.35</v>
      </c>
      <c r="AB74" s="24">
        <f ca="1">IFERROR(__xludf.DUMMYFUNCTION("INDEX(IMPORTRANGE(""17pNv02DXDpQT9S3w4-QeNym2QJy2BzMBqDXp-XtzJBM"", ""'JUA'!BJ3:BJ139""),MATCH($D74,IMPORTRANGE(""17pNv02DXDpQT9S3w4-QeNym2QJy2BzMBqDXp-XtzJBM"", ""'JUA'!D3:D139""),0))"),490.72)</f>
        <v>490.72</v>
      </c>
      <c r="AC74" s="24">
        <f ca="1">IFERROR(__xludf.DUMMYFUNCTION("INDEX(IMPORTRANGE(""17pNv02DXDpQT9S3w4-QeNym2QJy2BzMBqDXp-XtzJBM"", ""'JUA'!BK3:BK139""),MATCH($D74,IMPORTRANGE(""17pNv02DXDpQT9S3w4-QeNym2QJy2BzMBqDXp-XtzJBM"", ""'JUA'!D3:D139""),0))"),3830.43)</f>
        <v>3830.43</v>
      </c>
      <c r="AD74" s="24">
        <f ca="1">IFERROR(__xludf.DUMMYFUNCTION("INDEX(IMPORTRANGE(""17pNv02DXDpQT9S3w4-QeNym2QJy2BzMBqDXp-XtzJBM"", ""'JUA'!BL3:BL139""),MATCH($D74,IMPORTRANGE(""17pNv02DXDpQT9S3w4-QeNym2QJy2BzMBqDXp-XtzJBM"", ""'JUA'!D3:D139""),0))"),701.09)</f>
        <v>701.09</v>
      </c>
      <c r="AE74" s="24">
        <f ca="1">IFERROR(__xludf.DUMMYFUNCTION("INDEX(IMPORTRANGE(""17pNv02DXDpQT9S3w4-QeNym2QJy2BzMBqDXp-XtzJBM"", ""'JUA'!BM3:BM139""),MATCH($D74,IMPORTRANGE(""17pNv02DXDpQT9S3w4-QeNym2QJy2BzMBqDXp-XtzJBM"", ""'JUA'!D3:D139""),0))"),2100.75999999999)</f>
        <v>2100.7599999999902</v>
      </c>
    </row>
    <row r="75" spans="1:31">
      <c r="A75" s="7" t="s">
        <v>199</v>
      </c>
      <c r="B75" s="7" t="s">
        <v>200</v>
      </c>
      <c r="C75" s="1" t="s">
        <v>30</v>
      </c>
      <c r="D75" s="7" t="s">
        <v>205</v>
      </c>
      <c r="E75" s="7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438"/>
      <c r="R75" s="438"/>
      <c r="S75" s="30" t="str">
        <f ca="1">IFERROR(__xludf.DUMMYFUNCTION("INDEX(IMPORTRANGE(""17pNv02DXDpQT9S3w4-QeNym2QJy2BzMBqDXp-XtzJBM"", ""'JUA'!BG3:BG139""),MATCH($D75,IMPORTRANGE(""17pNv02DXDpQT9S3w4-QeNym2QJy2BzMBqDXp-XtzJBM"", ""'JUA'!D3:D139""),0))"),"")</f>
        <v/>
      </c>
      <c r="T75" s="1"/>
      <c r="U75" s="1"/>
      <c r="V75" s="1"/>
      <c r="W75" s="1"/>
      <c r="X75" s="191"/>
      <c r="Y75" s="28"/>
      <c r="Z75" s="2">
        <f ca="1">IFERROR(__xludf.DUMMYFUNCTION("INDEX(IMPORTRANGE(""17pNv02DXDpQT9S3w4-QeNym2QJy2BzMBqDXp-XtzJBM"", ""'JUA'!BH3:BH139""),MATCH($D75,IMPORTRANGE(""17pNv02DXDpQT9S3w4-QeNym2QJy2BzMBqDXp-XtzJBM"", ""'JUA'!D3:D139""),0))"),0)</f>
        <v>0</v>
      </c>
      <c r="AA75" s="12">
        <f ca="1">IFERROR(__xludf.DUMMYFUNCTION("INDEX(IMPORTRANGE(""17pNv02DXDpQT9S3w4-QeNym2QJy2BzMBqDXp-XtzJBM"", ""'JUA'!BI3:BI139""),MATCH($D75,IMPORTRANGE(""17pNv02DXDpQT9S3w4-QeNym2QJy2BzMBqDXp-XtzJBM"", ""'JUA'!D3:D139""),0))"),1458)</f>
        <v>1458</v>
      </c>
      <c r="AB75" s="2">
        <f ca="1">IFERROR(__xludf.DUMMYFUNCTION("INDEX(IMPORTRANGE(""17pNv02DXDpQT9S3w4-QeNym2QJy2BzMBqDXp-XtzJBM"", ""'JUA'!BJ3:BJ139""),MATCH($D75,IMPORTRANGE(""17pNv02DXDpQT9S3w4-QeNym2QJy2BzMBqDXp-XtzJBM"", ""'JUA'!D3:D139""),0))"),0)</f>
        <v>0</v>
      </c>
      <c r="AC75" s="12">
        <f ca="1">IFERROR(__xludf.DUMMYFUNCTION("INDEX(IMPORTRANGE(""17pNv02DXDpQT9S3w4-QeNym2QJy2BzMBqDXp-XtzJBM"", ""'JUA'!BK3:BK139""),MATCH($D75,IMPORTRANGE(""17pNv02DXDpQT9S3w4-QeNym2QJy2BzMBqDXp-XtzJBM"", ""'JUA'!D3:D139""),0))"),0)</f>
        <v>0</v>
      </c>
      <c r="AD75" s="2">
        <f ca="1">IFERROR(__xludf.DUMMYFUNCTION("INDEX(IMPORTRANGE(""17pNv02DXDpQT9S3w4-QeNym2QJy2BzMBqDXp-XtzJBM"", ""'JUA'!BL3:BL139""),MATCH($D75,IMPORTRANGE(""17pNv02DXDpQT9S3w4-QeNym2QJy2BzMBqDXp-XtzJBM"", ""'JUA'!D3:D139""),0))"),0)</f>
        <v>0</v>
      </c>
      <c r="AE75" s="12">
        <f ca="1">IFERROR(__xludf.DUMMYFUNCTION("INDEX(IMPORTRANGE(""17pNv02DXDpQT9S3w4-QeNym2QJy2BzMBqDXp-XtzJBM"", ""'JUA'!BM3:BM139""),MATCH($D75,IMPORTRANGE(""17pNv02DXDpQT9S3w4-QeNym2QJy2BzMBqDXp-XtzJBM"", ""'JUA'!D3:D139""),0))"),0)</f>
        <v>0</v>
      </c>
    </row>
    <row r="76" spans="1:31">
      <c r="A76" s="7" t="s">
        <v>199</v>
      </c>
      <c r="B76" s="7" t="s">
        <v>200</v>
      </c>
      <c r="C76" s="1" t="s">
        <v>30</v>
      </c>
      <c r="D76" s="7" t="s">
        <v>207</v>
      </c>
      <c r="E76" s="7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438"/>
      <c r="R76" s="438"/>
      <c r="S76" s="30" t="str">
        <f ca="1">IFERROR(__xludf.DUMMYFUNCTION("INDEX(IMPORTRANGE(""17pNv02DXDpQT9S3w4-QeNym2QJy2BzMBqDXp-XtzJBM"", ""'JUA'!BG3:BG139""),MATCH($D76,IMPORTRANGE(""17pNv02DXDpQT9S3w4-QeNym2QJy2BzMBqDXp-XtzJBM"", ""'JUA'!D3:D139""),0))"),"")</f>
        <v/>
      </c>
      <c r="T76" s="1"/>
      <c r="U76" s="1"/>
      <c r="V76" s="1"/>
      <c r="W76" s="1"/>
      <c r="X76" s="191"/>
      <c r="Y76" s="28"/>
      <c r="Z76" s="24">
        <f ca="1">IFERROR(__xludf.DUMMYFUNCTION("INDEX(IMPORTRANGE(""17pNv02DXDpQT9S3w4-QeNym2QJy2BzMBqDXp-XtzJBM"", ""'JUA'!BH3:BH139""),MATCH($D76,IMPORTRANGE(""17pNv02DXDpQT9S3w4-QeNym2QJy2BzMBqDXp-XtzJBM"", ""'JUA'!D3:D139""),0))"),435.44)</f>
        <v>435.44</v>
      </c>
      <c r="AA76" s="24">
        <f ca="1">IFERROR(__xludf.DUMMYFUNCTION("INDEX(IMPORTRANGE(""17pNv02DXDpQT9S3w4-QeNym2QJy2BzMBqDXp-XtzJBM"", ""'JUA'!BI3:BI139""),MATCH($D76,IMPORTRANGE(""17pNv02DXDpQT9S3w4-QeNym2QJy2BzMBqDXp-XtzJBM"", ""'JUA'!D3:D139""),0))"),435.44)</f>
        <v>435.44</v>
      </c>
      <c r="AB76" s="24">
        <f ca="1">IFERROR(__xludf.DUMMYFUNCTION("INDEX(IMPORTRANGE(""17pNv02DXDpQT9S3w4-QeNym2QJy2BzMBqDXp-XtzJBM"", ""'JUA'!BJ3:BJ139""),MATCH($D76,IMPORTRANGE(""17pNv02DXDpQT9S3w4-QeNym2QJy2BzMBqDXp-XtzJBM"", ""'JUA'!D3:D139""),0))"),0)</f>
        <v>0</v>
      </c>
      <c r="AC76" s="24">
        <f ca="1">IFERROR(__xludf.DUMMYFUNCTION("INDEX(IMPORTRANGE(""17pNv02DXDpQT9S3w4-QeNym2QJy2BzMBqDXp-XtzJBM"", ""'JUA'!BK3:BK139""),MATCH($D76,IMPORTRANGE(""17pNv02DXDpQT9S3w4-QeNym2QJy2BzMBqDXp-XtzJBM"", ""'JUA'!D3:D139""),0))"),0)</f>
        <v>0</v>
      </c>
      <c r="AD76" s="24">
        <f ca="1">IFERROR(__xludf.DUMMYFUNCTION("INDEX(IMPORTRANGE(""17pNv02DXDpQT9S3w4-QeNym2QJy2BzMBqDXp-XtzJBM"", ""'JUA'!BL3:BL139""),MATCH($D76,IMPORTRANGE(""17pNv02DXDpQT9S3w4-QeNym2QJy2BzMBqDXp-XtzJBM"", ""'JUA'!D3:D139""),0))"),0)</f>
        <v>0</v>
      </c>
      <c r="AE76" s="24">
        <f ca="1">IFERROR(__xludf.DUMMYFUNCTION("INDEX(IMPORTRANGE(""17pNv02DXDpQT9S3w4-QeNym2QJy2BzMBqDXp-XtzJBM"", ""'JUA'!BM3:BM139""),MATCH($D76,IMPORTRANGE(""17pNv02DXDpQT9S3w4-QeNym2QJy2BzMBqDXp-XtzJBM"", ""'JUA'!D3:D139""),0))"),0)</f>
        <v>0</v>
      </c>
    </row>
    <row r="77" spans="1:31">
      <c r="A77" s="7" t="s">
        <v>199</v>
      </c>
      <c r="B77" s="7" t="s">
        <v>200</v>
      </c>
      <c r="C77" s="1" t="s">
        <v>36</v>
      </c>
      <c r="D77" s="7" t="s">
        <v>209</v>
      </c>
      <c r="E77" s="7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438"/>
      <c r="R77" s="438"/>
      <c r="S77" s="30" t="str">
        <f ca="1">IFERROR(__xludf.DUMMYFUNCTION("INDEX(IMPORTRANGE(""17pNv02DXDpQT9S3w4-QeNym2QJy2BzMBqDXp-XtzJBM"", ""'JUA'!BG3:BG139""),MATCH($D77,IMPORTRANGE(""17pNv02DXDpQT9S3w4-QeNym2QJy2BzMBqDXp-XtzJBM"", ""'JUA'!D3:D139""),0))"),"")</f>
        <v/>
      </c>
      <c r="T77" s="433">
        <v>10194</v>
      </c>
      <c r="U77" s="433">
        <v>4422</v>
      </c>
      <c r="V77" s="433">
        <v>9446</v>
      </c>
      <c r="W77" s="433">
        <v>4172</v>
      </c>
      <c r="X77" s="452">
        <f>(W77)/6*5+W77</f>
        <v>7648.666666666667</v>
      </c>
      <c r="Y77" s="439">
        <v>27529</v>
      </c>
      <c r="Z77" s="24">
        <f ca="1">IFERROR(__xludf.DUMMYFUNCTION("INDEX(IMPORTRANGE(""17pNv02DXDpQT9S3w4-QeNym2QJy2BzMBqDXp-XtzJBM"", ""'JUA'!BH3:BH139""),MATCH($D77,IMPORTRANGE(""17pNv02DXDpQT9S3w4-QeNym2QJy2BzMBqDXp-XtzJBM"", ""'JUA'!D3:D139""),0))"),870.88)</f>
        <v>870.88</v>
      </c>
      <c r="AA77" s="24">
        <f ca="1">IFERROR(__xludf.DUMMYFUNCTION("INDEX(IMPORTRANGE(""17pNv02DXDpQT9S3w4-QeNym2QJy2BzMBqDXp-XtzJBM"", ""'JUA'!BI3:BI139""),MATCH($D77,IMPORTRANGE(""17pNv02DXDpQT9S3w4-QeNym2QJy2BzMBqDXp-XtzJBM"", ""'JUA'!D3:D139""),0))"),4726.79)</f>
        <v>4726.79</v>
      </c>
      <c r="AB77" s="24">
        <f ca="1">IFERROR(__xludf.DUMMYFUNCTION("INDEX(IMPORTRANGE(""17pNv02DXDpQT9S3w4-QeNym2QJy2BzMBqDXp-XtzJBM"", ""'JUA'!BJ3:BJ139""),MATCH($D77,IMPORTRANGE(""17pNv02DXDpQT9S3w4-QeNym2QJy2BzMBqDXp-XtzJBM"", ""'JUA'!D3:D139""),0))"),490.72)</f>
        <v>490.72</v>
      </c>
      <c r="AC77" s="24">
        <f ca="1">IFERROR(__xludf.DUMMYFUNCTION("INDEX(IMPORTRANGE(""17pNv02DXDpQT9S3w4-QeNym2QJy2BzMBqDXp-XtzJBM"", ""'JUA'!BK3:BK139""),MATCH($D77,IMPORTRANGE(""17pNv02DXDpQT9S3w4-QeNym2QJy2BzMBqDXp-XtzJBM"", ""'JUA'!D3:D139""),0))"),3830.43)</f>
        <v>3830.43</v>
      </c>
      <c r="AD77" s="24">
        <f ca="1">IFERROR(__xludf.DUMMYFUNCTION("INDEX(IMPORTRANGE(""17pNv02DXDpQT9S3w4-QeNym2QJy2BzMBqDXp-XtzJBM"", ""'JUA'!BL3:BL139""),MATCH($D77,IMPORTRANGE(""17pNv02DXDpQT9S3w4-QeNym2QJy2BzMBqDXp-XtzJBM"", ""'JUA'!D3:D139""),0))"),701.09)</f>
        <v>701.09</v>
      </c>
      <c r="AE77" s="24">
        <f ca="1">IFERROR(__xludf.DUMMYFUNCTION("INDEX(IMPORTRANGE(""17pNv02DXDpQT9S3w4-QeNym2QJy2BzMBqDXp-XtzJBM"", ""'JUA'!BM3:BM139""),MATCH($D77,IMPORTRANGE(""17pNv02DXDpQT9S3w4-QeNym2QJy2BzMBqDXp-XtzJBM"", ""'JUA'!D3:D139""),0))"),2100.75999999999)</f>
        <v>2100.7599999999902</v>
      </c>
    </row>
    <row r="78" spans="1:31">
      <c r="A78" s="7" t="s">
        <v>199</v>
      </c>
      <c r="B78" s="7" t="s">
        <v>200</v>
      </c>
      <c r="C78" s="1" t="s">
        <v>30</v>
      </c>
      <c r="D78" s="7" t="s">
        <v>211</v>
      </c>
      <c r="E78" s="7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7" t="s">
        <v>366</v>
      </c>
      <c r="P78" s="1" t="s">
        <v>218</v>
      </c>
      <c r="Q78" s="36">
        <v>23947022.41</v>
      </c>
      <c r="R78" s="36">
        <v>23947022.41</v>
      </c>
      <c r="S78" s="36">
        <f ca="1">IFERROR(__xludf.DUMMYFUNCTION("INDEX(IMPORTRANGE(""17pNv02DXDpQT9S3w4-QeNym2QJy2BzMBqDXp-XtzJBM"", ""'JUA'!BG3:BG139""),MATCH($D78,IMPORTRANGE(""17pNv02DXDpQT9S3w4-QeNym2QJy2BzMBqDXp-XtzJBM"", ""'JUA'!D3:D139""),0))"),23947022.41)</f>
        <v>23947022.41</v>
      </c>
      <c r="T78" s="13"/>
      <c r="U78" s="13"/>
      <c r="V78" s="13"/>
      <c r="W78" s="13"/>
      <c r="X78" s="13"/>
      <c r="Y78" s="330"/>
      <c r="Z78" s="36">
        <f ca="1">IFERROR(__xludf.DUMMYFUNCTION("INDEX(IMPORTRANGE(""17pNv02DXDpQT9S3w4-QeNym2QJy2BzMBqDXp-XtzJBM"", ""'JUA'!BH3:BH139""),MATCH($D78,IMPORTRANGE(""17pNv02DXDpQT9S3w4-QeNym2QJy2BzMBqDXp-XtzJBM"", ""'JUA'!D3:D139""),0))"),23947022.41)</f>
        <v>23947022.41</v>
      </c>
      <c r="AA78" s="336" t="str">
        <f ca="1">IFERROR(__xludf.DUMMYFUNCTION("INDEX(IMPORTRANGE(""17pNv02DXDpQT9S3w4-QeNym2QJy2BzMBqDXp-XtzJBM"", ""'JUA'!BI3:BI139""),MATCH($D78,IMPORTRANGE(""17pNv02DXDpQT9S3w4-QeNym2QJy2BzMBqDXp-XtzJBM"", ""'JUA'!D3:D139""),0))"),"")</f>
        <v/>
      </c>
      <c r="AB78" s="36">
        <f ca="1">IFERROR(__xludf.DUMMYFUNCTION("INDEX(IMPORTRANGE(""17pNv02DXDpQT9S3w4-QeNym2QJy2BzMBqDXp-XtzJBM"", ""'JUA'!BJ3:BJ139""),MATCH($D78,IMPORTRANGE(""17pNv02DXDpQT9S3w4-QeNym2QJy2BzMBqDXp-XtzJBM"", ""'JUA'!D3:D139""),0))"),112983769.169999)</f>
        <v>112983769.169999</v>
      </c>
      <c r="AC78" s="336" t="str">
        <f ca="1">IFERROR(__xludf.DUMMYFUNCTION("INDEX(IMPORTRANGE(""17pNv02DXDpQT9S3w4-QeNym2QJy2BzMBqDXp-XtzJBM"", ""'JUA'!BK3:BK139""),MATCH($D78,IMPORTRANGE(""17pNv02DXDpQT9S3w4-QeNym2QJy2BzMBqDXp-XtzJBM"", ""'JUA'!D3:D139""),0))"),"")</f>
        <v/>
      </c>
      <c r="AD78" s="36">
        <f ca="1">IFERROR(__xludf.DUMMYFUNCTION("INDEX(IMPORTRANGE(""17pNv02DXDpQT9S3w4-QeNym2QJy2BzMBqDXp-XtzJBM"", ""'JUA'!BL3:BL139""),MATCH($D78,IMPORTRANGE(""17pNv02DXDpQT9S3w4-QeNym2QJy2BzMBqDXp-XtzJBM"", ""'JUA'!D3:D139""),0))"),66726076.56)</f>
        <v>66726076.560000002</v>
      </c>
      <c r="AE78" s="36">
        <f ca="1">IFERROR(__xludf.DUMMYFUNCTION("INDEX(IMPORTRANGE(""17pNv02DXDpQT9S3w4-QeNym2QJy2BzMBqDXp-XtzJBM"", ""'JUA'!BM3:BM139""),MATCH($D78,IMPORTRANGE(""17pNv02DXDpQT9S3w4-QeNym2QJy2BzMBqDXp-XtzJBM"", ""'JUA'!D3:D139""),0))"),56708012.99)</f>
        <v>56708012.990000002</v>
      </c>
    </row>
    <row r="79" spans="1:31">
      <c r="A79" s="7" t="s">
        <v>199</v>
      </c>
      <c r="B79" s="7" t="s">
        <v>200</v>
      </c>
      <c r="C79" s="1" t="s">
        <v>30</v>
      </c>
      <c r="D79" s="7" t="s">
        <v>219</v>
      </c>
      <c r="E79" s="7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7" t="s">
        <v>366</v>
      </c>
      <c r="P79" s="1" t="s">
        <v>218</v>
      </c>
      <c r="Q79" s="36">
        <v>391807.49</v>
      </c>
      <c r="R79" s="36">
        <v>391807.49</v>
      </c>
      <c r="S79" s="36">
        <f ca="1">IFERROR(__xludf.DUMMYFUNCTION("INDEX(IMPORTRANGE(""17pNv02DXDpQT9S3w4-QeNym2QJy2BzMBqDXp-XtzJBM"", ""'JUA'!BG3:BG139""),MATCH($D79,IMPORTRANGE(""17pNv02DXDpQT9S3w4-QeNym2QJy2BzMBqDXp-XtzJBM"", ""'JUA'!D3:D139""),0))"),391807.49)</f>
        <v>391807.49</v>
      </c>
      <c r="T79" s="13"/>
      <c r="U79" s="13"/>
      <c r="V79" s="13"/>
      <c r="W79" s="13"/>
      <c r="X79" s="13"/>
      <c r="Y79" s="330"/>
      <c r="Z79" s="36">
        <f ca="1">IFERROR(__xludf.DUMMYFUNCTION("INDEX(IMPORTRANGE(""17pNv02DXDpQT9S3w4-QeNym2QJy2BzMBqDXp-XtzJBM"", ""'JUA'!BH3:BH139""),MATCH($D79,IMPORTRANGE(""17pNv02DXDpQT9S3w4-QeNym2QJy2BzMBqDXp-XtzJBM"", ""'JUA'!D3:D139""),0))"),391807.49)</f>
        <v>391807.49</v>
      </c>
      <c r="AA79" s="336" t="str">
        <f ca="1">IFERROR(__xludf.DUMMYFUNCTION("INDEX(IMPORTRANGE(""17pNv02DXDpQT9S3w4-QeNym2QJy2BzMBqDXp-XtzJBM"", ""'JUA'!BI3:BI139""),MATCH($D79,IMPORTRANGE(""17pNv02DXDpQT9S3w4-QeNym2QJy2BzMBqDXp-XtzJBM"", ""'JUA'!D3:D139""),0))"),"")</f>
        <v/>
      </c>
      <c r="AB79" s="36">
        <f ca="1">IFERROR(__xludf.DUMMYFUNCTION("INDEX(IMPORTRANGE(""17pNv02DXDpQT9S3w4-QeNym2QJy2BzMBqDXp-XtzJBM"", ""'JUA'!BJ3:BJ139""),MATCH($D79,IMPORTRANGE(""17pNv02DXDpQT9S3w4-QeNym2QJy2BzMBqDXp-XtzJBM"", ""'JUA'!D3:D139""),0))"),2622121.44)</f>
        <v>2622121.44</v>
      </c>
      <c r="AC79" s="336" t="str">
        <f ca="1">IFERROR(__xludf.DUMMYFUNCTION("INDEX(IMPORTRANGE(""17pNv02DXDpQT9S3w4-QeNym2QJy2BzMBqDXp-XtzJBM"", ""'JUA'!BK3:BK139""),MATCH($D79,IMPORTRANGE(""17pNv02DXDpQT9S3w4-QeNym2QJy2BzMBqDXp-XtzJBM"", ""'JUA'!D3:D139""),0))"),"")</f>
        <v/>
      </c>
      <c r="AD79" s="36">
        <f ca="1">IFERROR(__xludf.DUMMYFUNCTION("INDEX(IMPORTRANGE(""17pNv02DXDpQT9S3w4-QeNym2QJy2BzMBqDXp-XtzJBM"", ""'JUA'!BL3:BL139""),MATCH($D79,IMPORTRANGE(""17pNv02DXDpQT9S3w4-QeNym2QJy2BzMBqDXp-XtzJBM"", ""'JUA'!D3:D139""),0))"),2805761.56)</f>
        <v>2805761.56</v>
      </c>
      <c r="AE79" s="36">
        <f ca="1">IFERROR(__xludf.DUMMYFUNCTION("INDEX(IMPORTRANGE(""17pNv02DXDpQT9S3w4-QeNym2QJy2BzMBqDXp-XtzJBM"", ""'JUA'!BM3:BM139""),MATCH($D79,IMPORTRANGE(""17pNv02DXDpQT9S3w4-QeNym2QJy2BzMBqDXp-XtzJBM"", ""'JUA'!D3:D139""),0))"),0)</f>
        <v>0</v>
      </c>
    </row>
    <row r="80" spans="1:31">
      <c r="A80" s="7" t="s">
        <v>199</v>
      </c>
      <c r="B80" s="7" t="s">
        <v>200</v>
      </c>
      <c r="C80" s="1" t="s">
        <v>36</v>
      </c>
      <c r="D80" s="7" t="s">
        <v>221</v>
      </c>
      <c r="E80" s="7" t="s">
        <v>38</v>
      </c>
      <c r="F80" s="9" t="s">
        <v>222</v>
      </c>
      <c r="G80" s="7" t="s">
        <v>213</v>
      </c>
      <c r="H80" s="1" t="s">
        <v>214</v>
      </c>
      <c r="I80" s="2" t="s">
        <v>365</v>
      </c>
      <c r="J80" s="7" t="s">
        <v>215</v>
      </c>
      <c r="K80" s="13"/>
      <c r="L80" s="7" t="s">
        <v>216</v>
      </c>
      <c r="M80" s="13"/>
      <c r="N80" s="7" t="s">
        <v>217</v>
      </c>
      <c r="O80" s="7" t="s">
        <v>366</v>
      </c>
      <c r="P80" s="1" t="s">
        <v>218</v>
      </c>
      <c r="Q80" s="15">
        <f t="shared" ref="Q80:R80" si="17">Q79/Q78</f>
        <v>1.636142829333077E-2</v>
      </c>
      <c r="R80" s="15">
        <f t="shared" si="17"/>
        <v>1.636142829333077E-2</v>
      </c>
      <c r="S80" s="15">
        <f ca="1">IFERROR(__xludf.DUMMYFUNCTION("INDEX(IMPORTRANGE(""17pNv02DXDpQT9S3w4-QeNym2QJy2BzMBqDXp-XtzJBM"", ""'JUA'!BG3:BG139""),MATCH($D80,IMPORTRANGE(""17pNv02DXDpQT9S3w4-QeNym2QJy2BzMBqDXp-XtzJBM"", ""'JUA'!D3:D139""),0))"),0.0163614282933307)</f>
        <v>1.6361428293330701E-2</v>
      </c>
      <c r="T80" s="421"/>
      <c r="U80" s="426">
        <v>0.15129999999999999</v>
      </c>
      <c r="V80" s="426"/>
      <c r="W80" s="426">
        <v>0.16539999999999999</v>
      </c>
      <c r="X80" s="15">
        <f>(Y80-W80)/6*5+W80</f>
        <v>0.17864999999999998</v>
      </c>
      <c r="Y80" s="426">
        <v>0.18129999999999999</v>
      </c>
      <c r="Z80" s="15">
        <f ca="1">IFERROR(__xludf.DUMMYFUNCTION("INDEX(IMPORTRANGE(""17pNv02DXDpQT9S3w4-QeNym2QJy2BzMBqDXp-XtzJBM"", ""'JUA'!BH3:BH139""),MATCH($D80,IMPORTRANGE(""17pNv02DXDpQT9S3w4-QeNym2QJy2BzMBqDXp-XtzJBM"", ""'JUA'!D3:D139""),0))"),0.0163614282933307)</f>
        <v>1.6361428293330701E-2</v>
      </c>
      <c r="AA80" s="450" t="str">
        <f ca="1">IFERROR(__xludf.DUMMYFUNCTION("INDEX(IMPORTRANGE(""17pNv02DXDpQT9S3w4-QeNym2QJy2BzMBqDXp-XtzJBM"", ""'JUA'!BI3:BI139""),MATCH($D80,IMPORTRANGE(""17pNv02DXDpQT9S3w4-QeNym2QJy2BzMBqDXp-XtzJBM"", ""'JUA'!D3:D139""),0))"),"")</f>
        <v/>
      </c>
      <c r="AB80" s="15">
        <f ca="1">IFERROR(__xludf.DUMMYFUNCTION("INDEX(IMPORTRANGE(""17pNv02DXDpQT9S3w4-QeNym2QJy2BzMBqDXp-XtzJBM"", ""'JUA'!BJ3:BJ139""),MATCH($D80,IMPORTRANGE(""17pNv02DXDpQT9S3w4-QeNym2QJy2BzMBqDXp-XtzJBM"", ""'JUA'!D3:D139""),0))"),0.0232079480022891)</f>
        <v>2.3207948002289099E-2</v>
      </c>
      <c r="AC80" s="450" t="str">
        <f ca="1">IFERROR(__xludf.DUMMYFUNCTION("INDEX(IMPORTRANGE(""17pNv02DXDpQT9S3w4-QeNym2QJy2BzMBqDXp-XtzJBM"", ""'JUA'!BK3:BK139""),MATCH($D80,IMPORTRANGE(""17pNv02DXDpQT9S3w4-QeNym2QJy2BzMBqDXp-XtzJBM"", ""'JUA'!D3:D139""),0))"),"")</f>
        <v/>
      </c>
      <c r="AD80" s="15">
        <f ca="1">IFERROR(__xludf.DUMMYFUNCTION("INDEX(IMPORTRANGE(""17pNv02DXDpQT9S3w4-QeNym2QJy2BzMBqDXp-XtzJBM"", ""'JUA'!BL3:BL139""),MATCH($D80,IMPORTRANGE(""17pNv02DXDpQT9S3w4-QeNym2QJy2BzMBqDXp-XtzJBM"", ""'JUA'!D3:D139""),0))"),0.0420489515441097)</f>
        <v>4.2048951544109703E-2</v>
      </c>
      <c r="AE80" s="15">
        <f ca="1">IFERROR(__xludf.DUMMYFUNCTION("INDEX(IMPORTRANGE(""17pNv02DXDpQT9S3w4-QeNym2QJy2BzMBqDXp-XtzJBM"", ""'JUA'!BM3:BM139""),MATCH($D80,IMPORTRANGE(""17pNv02DXDpQT9S3w4-QeNym2QJy2BzMBqDXp-XtzJBM"", ""'JUA'!D3:D139""),0))"),0)</f>
        <v>0</v>
      </c>
    </row>
    <row r="81" spans="1:31">
      <c r="A81" s="7" t="s">
        <v>199</v>
      </c>
      <c r="B81" s="7" t="s">
        <v>200</v>
      </c>
      <c r="C81" s="1" t="s">
        <v>30</v>
      </c>
      <c r="D81" s="7" t="s">
        <v>223</v>
      </c>
      <c r="E81" s="7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0</v>
      </c>
      <c r="R81" s="12">
        <v>0</v>
      </c>
      <c r="S81" s="12">
        <f ca="1">IFERROR(__xludf.DUMMYFUNCTION("INDEX(IMPORTRANGE(""17pNv02DXDpQT9S3w4-QeNym2QJy2BzMBqDXp-XtzJBM"", ""'JUA'!BG3:BG139""),MATCH($D81,IMPORTRANGE(""17pNv02DXDpQT9S3w4-QeNym2QJy2BzMBqDXp-XtzJBM"", ""'JUA'!D3:D139""),0))"),0)</f>
        <v>0</v>
      </c>
      <c r="T81" s="1"/>
      <c r="U81" s="1"/>
      <c r="V81" s="1"/>
      <c r="W81" s="1"/>
      <c r="X81" s="1"/>
      <c r="Y81" s="28"/>
      <c r="Z81" s="12">
        <f ca="1">IFERROR(__xludf.DUMMYFUNCTION("INDEX(IMPORTRANGE(""17pNv02DXDpQT9S3w4-QeNym2QJy2BzMBqDXp-XtzJBM"", ""'JUA'!BH3:BH139""),MATCH($D81,IMPORTRANGE(""17pNv02DXDpQT9S3w4-QeNym2QJy2BzMBqDXp-XtzJBM"", ""'JUA'!D3:D139""),0))"),0)</f>
        <v>0</v>
      </c>
      <c r="AA81" s="12">
        <f ca="1">IFERROR(__xludf.DUMMYFUNCTION("INDEX(IMPORTRANGE(""17pNv02DXDpQT9S3w4-QeNym2QJy2BzMBqDXp-XtzJBM"", ""'JUA'!BI3:BI139""),MATCH($D81,IMPORTRANGE(""17pNv02DXDpQT9S3w4-QeNym2QJy2BzMBqDXp-XtzJBM"", ""'JUA'!D3:D139""),0))"),0)</f>
        <v>0</v>
      </c>
      <c r="AB81" s="12">
        <f ca="1">IFERROR(__xludf.DUMMYFUNCTION("INDEX(IMPORTRANGE(""17pNv02DXDpQT9S3w4-QeNym2QJy2BzMBqDXp-XtzJBM"", ""'JUA'!BJ3:BJ139""),MATCH($D81,IMPORTRANGE(""17pNv02DXDpQT9S3w4-QeNym2QJy2BzMBqDXp-XtzJBM"", ""'JUA'!D3:D139""),0))"),3)</f>
        <v>3</v>
      </c>
      <c r="AC81" s="12">
        <f ca="1">IFERROR(__xludf.DUMMYFUNCTION("INDEX(IMPORTRANGE(""17pNv02DXDpQT9S3w4-QeNym2QJy2BzMBqDXp-XtzJBM"", ""'JUA'!BK3:BK139""),MATCH($D81,IMPORTRANGE(""17pNv02DXDpQT9S3w4-QeNym2QJy2BzMBqDXp-XtzJBM"", ""'JUA'!D3:D139""),0))"),5)</f>
        <v>5</v>
      </c>
      <c r="AD81" s="12">
        <f ca="1">IFERROR(__xludf.DUMMYFUNCTION("INDEX(IMPORTRANGE(""17pNv02DXDpQT9S3w4-QeNym2QJy2BzMBqDXp-XtzJBM"", ""'JUA'!BL3:BL139""),MATCH($D81,IMPORTRANGE(""17pNv02DXDpQT9S3w4-QeNym2QJy2BzMBqDXp-XtzJBM"", ""'JUA'!D3:D139""),0))"),0)</f>
        <v>0</v>
      </c>
      <c r="AE81" s="12">
        <f ca="1">IFERROR(__xludf.DUMMYFUNCTION("INDEX(IMPORTRANGE(""17pNv02DXDpQT9S3w4-QeNym2QJy2BzMBqDXp-XtzJBM"", ""'JUA'!BM3:BM139""),MATCH($D81,IMPORTRANGE(""17pNv02DXDpQT9S3w4-QeNym2QJy2BzMBqDXp-XtzJBM"", ""'JUA'!D3:D139""),0))"),0)</f>
        <v>0</v>
      </c>
    </row>
    <row r="82" spans="1:31">
      <c r="A82" s="7" t="s">
        <v>199</v>
      </c>
      <c r="B82" s="7" t="s">
        <v>200</v>
      </c>
      <c r="C82" s="1" t="s">
        <v>30</v>
      </c>
      <c r="D82" s="7" t="s">
        <v>225</v>
      </c>
      <c r="E82" s="7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0</v>
      </c>
      <c r="R82" s="12">
        <v>0</v>
      </c>
      <c r="S82" s="12">
        <f ca="1">IFERROR(__xludf.DUMMYFUNCTION("INDEX(IMPORTRANGE(""17pNv02DXDpQT9S3w4-QeNym2QJy2BzMBqDXp-XtzJBM"", ""'JUA'!BG3:BG139""),MATCH($D82,IMPORTRANGE(""17pNv02DXDpQT9S3w4-QeNym2QJy2BzMBqDXp-XtzJBM"", ""'JUA'!D3:D139""),0))"),0)</f>
        <v>0</v>
      </c>
      <c r="T82" s="1"/>
      <c r="U82" s="1"/>
      <c r="V82" s="1"/>
      <c r="W82" s="1"/>
      <c r="X82" s="1"/>
      <c r="Y82" s="28"/>
      <c r="Z82" s="12">
        <f ca="1">IFERROR(__xludf.DUMMYFUNCTION("INDEX(IMPORTRANGE(""17pNv02DXDpQT9S3w4-QeNym2QJy2BzMBqDXp-XtzJBM"", ""'JUA'!BH3:BH139""),MATCH($D82,IMPORTRANGE(""17pNv02DXDpQT9S3w4-QeNym2QJy2BzMBqDXp-XtzJBM"", ""'JUA'!D3:D139""),0))"),0)</f>
        <v>0</v>
      </c>
      <c r="AA82" s="12">
        <f ca="1">IFERROR(__xludf.DUMMYFUNCTION("INDEX(IMPORTRANGE(""17pNv02DXDpQT9S3w4-QeNym2QJy2BzMBqDXp-XtzJBM"", ""'JUA'!BI3:BI139""),MATCH($D82,IMPORTRANGE(""17pNv02DXDpQT9S3w4-QeNym2QJy2BzMBqDXp-XtzJBM"", ""'JUA'!D3:D139""),0))"),0)</f>
        <v>0</v>
      </c>
      <c r="AB82" s="12">
        <f ca="1">IFERROR(__xludf.DUMMYFUNCTION("INDEX(IMPORTRANGE(""17pNv02DXDpQT9S3w4-QeNym2QJy2BzMBqDXp-XtzJBM"", ""'JUA'!BJ3:BJ139""),MATCH($D82,IMPORTRANGE(""17pNv02DXDpQT9S3w4-QeNym2QJy2BzMBqDXp-XtzJBM"", ""'JUA'!D3:D139""),0))"),0)</f>
        <v>0</v>
      </c>
      <c r="AC82" s="12">
        <f ca="1">IFERROR(__xludf.DUMMYFUNCTION("INDEX(IMPORTRANGE(""17pNv02DXDpQT9S3w4-QeNym2QJy2BzMBqDXp-XtzJBM"", ""'JUA'!BK3:BK139""),MATCH($D82,IMPORTRANGE(""17pNv02DXDpQT9S3w4-QeNym2QJy2BzMBqDXp-XtzJBM"", ""'JUA'!D3:D139""),0))"),0)</f>
        <v>0</v>
      </c>
      <c r="AD82" s="12">
        <f ca="1">IFERROR(__xludf.DUMMYFUNCTION("INDEX(IMPORTRANGE(""17pNv02DXDpQT9S3w4-QeNym2QJy2BzMBqDXp-XtzJBM"", ""'JUA'!BL3:BL139""),MATCH($D82,IMPORTRANGE(""17pNv02DXDpQT9S3w4-QeNym2QJy2BzMBqDXp-XtzJBM"", ""'JUA'!D3:D139""),0))"),0)</f>
        <v>0</v>
      </c>
      <c r="AE82" s="12">
        <f ca="1">IFERROR(__xludf.DUMMYFUNCTION("INDEX(IMPORTRANGE(""17pNv02DXDpQT9S3w4-QeNym2QJy2BzMBqDXp-XtzJBM"", ""'JUA'!BM3:BM139""),MATCH($D82,IMPORTRANGE(""17pNv02DXDpQT9S3w4-QeNym2QJy2BzMBqDXp-XtzJBM"", ""'JUA'!D3:D139""),0))"),0)</f>
        <v>0</v>
      </c>
    </row>
    <row r="83" spans="1:31">
      <c r="A83" s="7" t="s">
        <v>199</v>
      </c>
      <c r="B83" s="7" t="s">
        <v>200</v>
      </c>
      <c r="C83" s="1" t="s">
        <v>36</v>
      </c>
      <c r="D83" s="7" t="s">
        <v>226</v>
      </c>
      <c r="E83" s="7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f t="shared" ref="Q83:R83" si="18">Q81+Q82</f>
        <v>0</v>
      </c>
      <c r="R83" s="12">
        <f t="shared" si="18"/>
        <v>0</v>
      </c>
      <c r="S83" s="12">
        <f ca="1">IFERROR(__xludf.DUMMYFUNCTION("INDEX(IMPORTRANGE(""17pNv02DXDpQT9S3w4-QeNym2QJy2BzMBqDXp-XtzJBM"", ""'JUA'!BG3:BG139""),MATCH($D83,IMPORTRANGE(""17pNv02DXDpQT9S3w4-QeNym2QJy2BzMBqDXp-XtzJBM"", ""'JUA'!D3:D139""),0))"),0)</f>
        <v>0</v>
      </c>
      <c r="T83" s="433">
        <v>41</v>
      </c>
      <c r="U83" s="433">
        <v>14</v>
      </c>
      <c r="V83" s="433">
        <v>26</v>
      </c>
      <c r="W83" s="433">
        <v>14</v>
      </c>
      <c r="X83" s="217">
        <f>W83/6*5+W83</f>
        <v>25.666666666666668</v>
      </c>
      <c r="Y83" s="441">
        <v>92</v>
      </c>
      <c r="Z83" s="12">
        <f ca="1">IFERROR(__xludf.DUMMYFUNCTION("INDEX(IMPORTRANGE(""17pNv02DXDpQT9S3w4-QeNym2QJy2BzMBqDXp-XtzJBM"", ""'JUA'!BH3:BH139""),MATCH($D83,IMPORTRANGE(""17pNv02DXDpQT9S3w4-QeNym2QJy2BzMBqDXp-XtzJBM"", ""'JUA'!D3:D139""),0))"),0)</f>
        <v>0</v>
      </c>
      <c r="AA83" s="12">
        <f ca="1">IFERROR(__xludf.DUMMYFUNCTION("INDEX(IMPORTRANGE(""17pNv02DXDpQT9S3w4-QeNym2QJy2BzMBqDXp-XtzJBM"", ""'JUA'!BI3:BI139""),MATCH($D83,IMPORTRANGE(""17pNv02DXDpQT9S3w4-QeNym2QJy2BzMBqDXp-XtzJBM"", ""'JUA'!D3:D139""),0))"),0)</f>
        <v>0</v>
      </c>
      <c r="AB83" s="12">
        <f ca="1">IFERROR(__xludf.DUMMYFUNCTION("INDEX(IMPORTRANGE(""17pNv02DXDpQT9S3w4-QeNym2QJy2BzMBqDXp-XtzJBM"", ""'JUA'!BJ3:BJ139""),MATCH($D83,IMPORTRANGE(""17pNv02DXDpQT9S3w4-QeNym2QJy2BzMBqDXp-XtzJBM"", ""'JUA'!D3:D139""),0))"),3)</f>
        <v>3</v>
      </c>
      <c r="AC83" s="12">
        <f ca="1">IFERROR(__xludf.DUMMYFUNCTION("INDEX(IMPORTRANGE(""17pNv02DXDpQT9S3w4-QeNym2QJy2BzMBqDXp-XtzJBM"", ""'JUA'!BK3:BK139""),MATCH($D83,IMPORTRANGE(""17pNv02DXDpQT9S3w4-QeNym2QJy2BzMBqDXp-XtzJBM"", ""'JUA'!D3:D139""),0))"),5)</f>
        <v>5</v>
      </c>
      <c r="AD83" s="12">
        <f ca="1">IFERROR(__xludf.DUMMYFUNCTION("INDEX(IMPORTRANGE(""17pNv02DXDpQT9S3w4-QeNym2QJy2BzMBqDXp-XtzJBM"", ""'JUA'!BL3:BL139""),MATCH($D83,IMPORTRANGE(""17pNv02DXDpQT9S3w4-QeNym2QJy2BzMBqDXp-XtzJBM"", ""'JUA'!D3:D139""),0))"),0)</f>
        <v>0</v>
      </c>
      <c r="AE83" s="12">
        <f ca="1">IFERROR(__xludf.DUMMYFUNCTION("INDEX(IMPORTRANGE(""17pNv02DXDpQT9S3w4-QeNym2QJy2BzMBqDXp-XtzJBM"", ""'JUA'!BM3:BM139""),MATCH($D83,IMPORTRANGE(""17pNv02DXDpQT9S3w4-QeNym2QJy2BzMBqDXp-XtzJBM"", ""'JUA'!D3:D139""),0))"),0)</f>
        <v>0</v>
      </c>
    </row>
    <row r="84" spans="1:31">
      <c r="A84" s="7" t="s">
        <v>199</v>
      </c>
      <c r="B84" s="7" t="s">
        <v>228</v>
      </c>
      <c r="C84" s="1" t="s">
        <v>30</v>
      </c>
      <c r="D84" s="447" t="s">
        <v>229</v>
      </c>
      <c r="E84" s="7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46</v>
      </c>
      <c r="R84" s="12">
        <v>70</v>
      </c>
      <c r="S84" s="12">
        <f ca="1">IFERROR(__xludf.DUMMYFUNCTION("INDEX(IMPORTRANGE(""17pNv02DXDpQT9S3w4-QeNym2QJy2BzMBqDXp-XtzJBM"", ""'JUA'!BG3:BG139""),MATCH($D84,IMPORTRANGE(""17pNv02DXDpQT9S3w4-QeNym2QJy2BzMBqDXp-XtzJBM"", ""'JUA'!D3:D139""),0))"),67)</f>
        <v>67</v>
      </c>
      <c r="T84" s="13"/>
      <c r="U84" s="13"/>
      <c r="V84" s="13"/>
      <c r="W84" s="13"/>
      <c r="X84" s="13"/>
      <c r="Y84" s="316"/>
      <c r="Z84" s="12">
        <f ca="1">IFERROR(__xludf.DUMMYFUNCTION("INDEX(IMPORTRANGE(""17pNv02DXDpQT9S3w4-QeNym2QJy2BzMBqDXp-XtzJBM"", ""'JUA'!BH3:BH139""),MATCH($D84,IMPORTRANGE(""17pNv02DXDpQT9S3w4-QeNym2QJy2BzMBqDXp-XtzJBM"", ""'JUA'!D3:D139""),0))"),0)</f>
        <v>0</v>
      </c>
      <c r="AA84" s="12">
        <f ca="1">IFERROR(__xludf.DUMMYFUNCTION("INDEX(IMPORTRANGE(""17pNv02DXDpQT9S3w4-QeNym2QJy2BzMBqDXp-XtzJBM"", ""'JUA'!BI3:BI139""),MATCH($D84,IMPORTRANGE(""17pNv02DXDpQT9S3w4-QeNym2QJy2BzMBqDXp-XtzJBM"", ""'JUA'!D3:D139""),0))"),30)</f>
        <v>30</v>
      </c>
      <c r="AB84" s="12">
        <f ca="1">IFERROR(__xludf.DUMMYFUNCTION("INDEX(IMPORTRANGE(""17pNv02DXDpQT9S3w4-QeNym2QJy2BzMBqDXp-XtzJBM"", ""'JUA'!BJ3:BJ139""),MATCH($D84,IMPORTRANGE(""17pNv02DXDpQT9S3w4-QeNym2QJy2BzMBqDXp-XtzJBM"", ""'JUA'!D3:D139""),0))"),40)</f>
        <v>40</v>
      </c>
      <c r="AC84" s="12">
        <f ca="1">IFERROR(__xludf.DUMMYFUNCTION("INDEX(IMPORTRANGE(""17pNv02DXDpQT9S3w4-QeNym2QJy2BzMBqDXp-XtzJBM"", ""'JUA'!BK3:BK139""),MATCH($D84,IMPORTRANGE(""17pNv02DXDpQT9S3w4-QeNym2QJy2BzMBqDXp-XtzJBM"", ""'JUA'!D3:D139""),0))"),73)</f>
        <v>73</v>
      </c>
      <c r="AD84" s="12">
        <f ca="1">IFERROR(__xludf.DUMMYFUNCTION("INDEX(IMPORTRANGE(""17pNv02DXDpQT9S3w4-QeNym2QJy2BzMBqDXp-XtzJBM"", ""'JUA'!BL3:BL139""),MATCH($D84,IMPORTRANGE(""17pNv02DXDpQT9S3w4-QeNym2QJy2BzMBqDXp-XtzJBM"", ""'JUA'!D3:D139""),0))"),54)</f>
        <v>54</v>
      </c>
      <c r="AE84" s="12">
        <f ca="1">IFERROR(__xludf.DUMMYFUNCTION("INDEX(IMPORTRANGE(""17pNv02DXDpQT9S3w4-QeNym2QJy2BzMBqDXp-XtzJBM"", ""'JUA'!BM3:BM139""),MATCH($D84,IMPORTRANGE(""17pNv02DXDpQT9S3w4-QeNym2QJy2BzMBqDXp-XtzJBM"", ""'JUA'!D3:D139""),0))"),84)</f>
        <v>84</v>
      </c>
    </row>
    <row r="85" spans="1:31">
      <c r="A85" s="7" t="s">
        <v>199</v>
      </c>
      <c r="B85" s="7" t="s">
        <v>228</v>
      </c>
      <c r="C85" s="1" t="s">
        <v>30</v>
      </c>
      <c r="D85" s="447" t="s">
        <v>233</v>
      </c>
      <c r="E85" s="7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4</v>
      </c>
      <c r="R85" s="12">
        <v>8</v>
      </c>
      <c r="S85" s="12">
        <f ca="1">IFERROR(__xludf.DUMMYFUNCTION("INDEX(IMPORTRANGE(""17pNv02DXDpQT9S3w4-QeNym2QJy2BzMBqDXp-XtzJBM"", ""'JUA'!BG3:BG139""),MATCH($D85,IMPORTRANGE(""17pNv02DXDpQT9S3w4-QeNym2QJy2BzMBqDXp-XtzJBM"", ""'JUA'!D3:D139""),0))"),6)</f>
        <v>6</v>
      </c>
      <c r="T85" s="13"/>
      <c r="U85" s="13"/>
      <c r="V85" s="13"/>
      <c r="W85" s="13"/>
      <c r="X85" s="13"/>
      <c r="Y85" s="316"/>
      <c r="Z85" s="12">
        <f ca="1">IFERROR(__xludf.DUMMYFUNCTION("INDEX(IMPORTRANGE(""17pNv02DXDpQT9S3w4-QeNym2QJy2BzMBqDXp-XtzJBM"", ""'JUA'!BH3:BH139""),MATCH($D85,IMPORTRANGE(""17pNv02DXDpQT9S3w4-QeNym2QJy2BzMBqDXp-XtzJBM"", ""'JUA'!D3:D139""),0))"),0)</f>
        <v>0</v>
      </c>
      <c r="AA85" s="12">
        <f ca="1">IFERROR(__xludf.DUMMYFUNCTION("INDEX(IMPORTRANGE(""17pNv02DXDpQT9S3w4-QeNym2QJy2BzMBqDXp-XtzJBM"", ""'JUA'!BI3:BI139""),MATCH($D85,IMPORTRANGE(""17pNv02DXDpQT9S3w4-QeNym2QJy2BzMBqDXp-XtzJBM"", ""'JUA'!D3:D139""),0))"),2)</f>
        <v>2</v>
      </c>
      <c r="AB85" s="12">
        <f ca="1">IFERROR(__xludf.DUMMYFUNCTION("INDEX(IMPORTRANGE(""17pNv02DXDpQT9S3w4-QeNym2QJy2BzMBqDXp-XtzJBM"", ""'JUA'!BJ3:BJ139""),MATCH($D85,IMPORTRANGE(""17pNv02DXDpQT9S3w4-QeNym2QJy2BzMBqDXp-XtzJBM"", ""'JUA'!D3:D139""),0))"),3)</f>
        <v>3</v>
      </c>
      <c r="AC85" s="12">
        <f ca="1">IFERROR(__xludf.DUMMYFUNCTION("INDEX(IMPORTRANGE(""17pNv02DXDpQT9S3w4-QeNym2QJy2BzMBqDXp-XtzJBM"", ""'JUA'!BK3:BK139""),MATCH($D85,IMPORTRANGE(""17pNv02DXDpQT9S3w4-QeNym2QJy2BzMBqDXp-XtzJBM"", ""'JUA'!D3:D139""),0))"),8)</f>
        <v>8</v>
      </c>
      <c r="AD85" s="12">
        <f ca="1">IFERROR(__xludf.DUMMYFUNCTION("INDEX(IMPORTRANGE(""17pNv02DXDpQT9S3w4-QeNym2QJy2BzMBqDXp-XtzJBM"", ""'JUA'!BL3:BL139""),MATCH($D85,IMPORTRANGE(""17pNv02DXDpQT9S3w4-QeNym2QJy2BzMBqDXp-XtzJBM"", ""'JUA'!D3:D139""),0))"),4)</f>
        <v>4</v>
      </c>
      <c r="AE85" s="12">
        <f ca="1">IFERROR(__xludf.DUMMYFUNCTION("INDEX(IMPORTRANGE(""17pNv02DXDpQT9S3w4-QeNym2QJy2BzMBqDXp-XtzJBM"", ""'JUA'!BM3:BM139""),MATCH($D85,IMPORTRANGE(""17pNv02DXDpQT9S3w4-QeNym2QJy2BzMBqDXp-XtzJBM"", ""'JUA'!D3:D139""),0))"),15)</f>
        <v>15</v>
      </c>
    </row>
    <row r="86" spans="1:31">
      <c r="A86" s="7" t="s">
        <v>199</v>
      </c>
      <c r="B86" s="7" t="s">
        <v>228</v>
      </c>
      <c r="C86" s="1" t="s">
        <v>30</v>
      </c>
      <c r="D86" s="447" t="s">
        <v>235</v>
      </c>
      <c r="E86" s="7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326</v>
      </c>
      <c r="R86" s="12">
        <v>665</v>
      </c>
      <c r="S86" s="12">
        <f ca="1">IFERROR(__xludf.DUMMYFUNCTION("INDEX(IMPORTRANGE(""17pNv02DXDpQT9S3w4-QeNym2QJy2BzMBqDXp-XtzJBM"", ""'JUA'!BG3:BG139""),MATCH($D86,IMPORTRANGE(""17pNv02DXDpQT9S3w4-QeNym2QJy2BzMBqDXp-XtzJBM"", ""'JUA'!D3:D139""),0))"),608)</f>
        <v>608</v>
      </c>
      <c r="T86" s="13"/>
      <c r="U86" s="13"/>
      <c r="V86" s="13"/>
      <c r="W86" s="13"/>
      <c r="X86" s="13"/>
      <c r="Y86" s="316"/>
      <c r="Z86" s="12">
        <f ca="1">IFERROR(__xludf.DUMMYFUNCTION("INDEX(IMPORTRANGE(""17pNv02DXDpQT9S3w4-QeNym2QJy2BzMBqDXp-XtzJBM"", ""'JUA'!BH3:BH139""),MATCH($D86,IMPORTRANGE(""17pNv02DXDpQT9S3w4-QeNym2QJy2BzMBqDXp-XtzJBM"", ""'JUA'!D3:D139""),0))"),0)</f>
        <v>0</v>
      </c>
      <c r="AA86" s="12">
        <f ca="1">IFERROR(__xludf.DUMMYFUNCTION("INDEX(IMPORTRANGE(""17pNv02DXDpQT9S3w4-QeNym2QJy2BzMBqDXp-XtzJBM"", ""'JUA'!BI3:BI139""),MATCH($D86,IMPORTRANGE(""17pNv02DXDpQT9S3w4-QeNym2QJy2BzMBqDXp-XtzJBM"", ""'JUA'!D3:D139""),0))"),337)</f>
        <v>337</v>
      </c>
      <c r="AB86" s="12">
        <f ca="1">IFERROR(__xludf.DUMMYFUNCTION("INDEX(IMPORTRANGE(""17pNv02DXDpQT9S3w4-QeNym2QJy2BzMBqDXp-XtzJBM"", ""'JUA'!BJ3:BJ139""),MATCH($D86,IMPORTRANGE(""17pNv02DXDpQT9S3w4-QeNym2QJy2BzMBqDXp-XtzJBM"", ""'JUA'!D3:D139""),0))"),302)</f>
        <v>302</v>
      </c>
      <c r="AC86" s="12">
        <f ca="1">IFERROR(__xludf.DUMMYFUNCTION("INDEX(IMPORTRANGE(""17pNv02DXDpQT9S3w4-QeNym2QJy2BzMBqDXp-XtzJBM"", ""'JUA'!BK3:BK139""),MATCH($D86,IMPORTRANGE(""17pNv02DXDpQT9S3w4-QeNym2QJy2BzMBqDXp-XtzJBM"", ""'JUA'!D3:D139""),0))"),671)</f>
        <v>671</v>
      </c>
      <c r="AD86" s="12">
        <f ca="1">IFERROR(__xludf.DUMMYFUNCTION("INDEX(IMPORTRANGE(""17pNv02DXDpQT9S3w4-QeNym2QJy2BzMBqDXp-XtzJBM"", ""'JUA'!BL3:BL139""),MATCH($D86,IMPORTRANGE(""17pNv02DXDpQT9S3w4-QeNym2QJy2BzMBqDXp-XtzJBM"", ""'JUA'!D3:D139""),0))"),307)</f>
        <v>307</v>
      </c>
      <c r="AE86" s="12">
        <f ca="1">IFERROR(__xludf.DUMMYFUNCTION("INDEX(IMPORTRANGE(""17pNv02DXDpQT9S3w4-QeNym2QJy2BzMBqDXp-XtzJBM"", ""'JUA'!BM3:BM139""),MATCH($D86,IMPORTRANGE(""17pNv02DXDpQT9S3w4-QeNym2QJy2BzMBqDXp-XtzJBM"", ""'JUA'!D3:D139""),0))"),522)</f>
        <v>522</v>
      </c>
    </row>
    <row r="87" spans="1:31">
      <c r="A87" s="7" t="s">
        <v>199</v>
      </c>
      <c r="B87" s="7" t="s">
        <v>228</v>
      </c>
      <c r="C87" s="1" t="s">
        <v>30</v>
      </c>
      <c r="D87" s="447" t="s">
        <v>237</v>
      </c>
      <c r="E87" s="7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59</v>
      </c>
      <c r="R87" s="12">
        <v>109</v>
      </c>
      <c r="S87" s="12">
        <f ca="1">IFERROR(__xludf.DUMMYFUNCTION("INDEX(IMPORTRANGE(""17pNv02DXDpQT9S3w4-QeNym2QJy2BzMBqDXp-XtzJBM"", ""'JUA'!BG3:BG139""),MATCH($D87,IMPORTRANGE(""17pNv02DXDpQT9S3w4-QeNym2QJy2BzMBqDXp-XtzJBM"", ""'JUA'!D3:D139""),0))"),97)</f>
        <v>97</v>
      </c>
      <c r="T87" s="13"/>
      <c r="U87" s="13"/>
      <c r="V87" s="13"/>
      <c r="W87" s="13"/>
      <c r="X87" s="13"/>
      <c r="Y87" s="316"/>
      <c r="Z87" s="12">
        <f ca="1">IFERROR(__xludf.DUMMYFUNCTION("INDEX(IMPORTRANGE(""17pNv02DXDpQT9S3w4-QeNym2QJy2BzMBqDXp-XtzJBM"", ""'JUA'!BH3:BH139""),MATCH($D87,IMPORTRANGE(""17pNv02DXDpQT9S3w4-QeNym2QJy2BzMBqDXp-XtzJBM"", ""'JUA'!D3:D139""),0))"),0)</f>
        <v>0</v>
      </c>
      <c r="AA87" s="12">
        <f ca="1">IFERROR(__xludf.DUMMYFUNCTION("INDEX(IMPORTRANGE(""17pNv02DXDpQT9S3w4-QeNym2QJy2BzMBqDXp-XtzJBM"", ""'JUA'!BI3:BI139""),MATCH($D87,IMPORTRANGE(""17pNv02DXDpQT9S3w4-QeNym2QJy2BzMBqDXp-XtzJBM"", ""'JUA'!D3:D139""),0))"),104)</f>
        <v>104</v>
      </c>
      <c r="AB87" s="12">
        <f ca="1">IFERROR(__xludf.DUMMYFUNCTION("INDEX(IMPORTRANGE(""17pNv02DXDpQT9S3w4-QeNym2QJy2BzMBqDXp-XtzJBM"", ""'JUA'!BJ3:BJ139""),MATCH($D87,IMPORTRANGE(""17pNv02DXDpQT9S3w4-QeNym2QJy2BzMBqDXp-XtzJBM"", ""'JUA'!D3:D139""),0))"),71)</f>
        <v>71</v>
      </c>
      <c r="AC87" s="12">
        <f ca="1">IFERROR(__xludf.DUMMYFUNCTION("INDEX(IMPORTRANGE(""17pNv02DXDpQT9S3w4-QeNym2QJy2BzMBqDXp-XtzJBM"", ""'JUA'!BK3:BK139""),MATCH($D87,IMPORTRANGE(""17pNv02DXDpQT9S3w4-QeNym2QJy2BzMBqDXp-XtzJBM"", ""'JUA'!D3:D139""),0))"),192)</f>
        <v>192</v>
      </c>
      <c r="AD87" s="12">
        <f ca="1">IFERROR(__xludf.DUMMYFUNCTION("INDEX(IMPORTRANGE(""17pNv02DXDpQT9S3w4-QeNym2QJy2BzMBqDXp-XtzJBM"", ""'JUA'!BL3:BL139""),MATCH($D87,IMPORTRANGE(""17pNv02DXDpQT9S3w4-QeNym2QJy2BzMBqDXp-XtzJBM"", ""'JUA'!D3:D139""),0))"),131)</f>
        <v>131</v>
      </c>
      <c r="AE87" s="12">
        <f ca="1">IFERROR(__xludf.DUMMYFUNCTION("INDEX(IMPORTRANGE(""17pNv02DXDpQT9S3w4-QeNym2QJy2BzMBqDXp-XtzJBM"", ""'JUA'!BM3:BM139""),MATCH($D87,IMPORTRANGE(""17pNv02DXDpQT9S3w4-QeNym2QJy2BzMBqDXp-XtzJBM"", ""'JUA'!D3:D139""),0))"),237)</f>
        <v>237</v>
      </c>
    </row>
    <row r="88" spans="1:31">
      <c r="A88" s="7" t="s">
        <v>199</v>
      </c>
      <c r="B88" s="7" t="s">
        <v>228</v>
      </c>
      <c r="C88" s="1" t="s">
        <v>30</v>
      </c>
      <c r="D88" s="447" t="s">
        <v>239</v>
      </c>
      <c r="E88" s="7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167</v>
      </c>
      <c r="R88" s="12">
        <v>341</v>
      </c>
      <c r="S88" s="12">
        <f ca="1">IFERROR(__xludf.DUMMYFUNCTION("INDEX(IMPORTRANGE(""17pNv02DXDpQT9S3w4-QeNym2QJy2BzMBqDXp-XtzJBM"", ""'JUA'!BG3:BG139""),MATCH($D88,IMPORTRANGE(""17pNv02DXDpQT9S3w4-QeNym2QJy2BzMBqDXp-XtzJBM"", ""'JUA'!D3:D139""),0))"),312)</f>
        <v>312</v>
      </c>
      <c r="T88" s="13"/>
      <c r="U88" s="13"/>
      <c r="V88" s="13"/>
      <c r="W88" s="13"/>
      <c r="X88" s="13"/>
      <c r="Y88" s="316"/>
      <c r="Z88" s="12">
        <f ca="1">IFERROR(__xludf.DUMMYFUNCTION("INDEX(IMPORTRANGE(""17pNv02DXDpQT9S3w4-QeNym2QJy2BzMBqDXp-XtzJBM"", ""'JUA'!BH3:BH139""),MATCH($D88,IMPORTRANGE(""17pNv02DXDpQT9S3w4-QeNym2QJy2BzMBqDXp-XtzJBM"", ""'JUA'!D3:D139""),0))"),0)</f>
        <v>0</v>
      </c>
      <c r="AA88" s="12">
        <f ca="1">IFERROR(__xludf.DUMMYFUNCTION("INDEX(IMPORTRANGE(""17pNv02DXDpQT9S3w4-QeNym2QJy2BzMBqDXp-XtzJBM"", ""'JUA'!BI3:BI139""),MATCH($D88,IMPORTRANGE(""17pNv02DXDpQT9S3w4-QeNym2QJy2BzMBqDXp-XtzJBM"", ""'JUA'!D3:D139""),0))"),361)</f>
        <v>361</v>
      </c>
      <c r="AB88" s="12">
        <f ca="1">IFERROR(__xludf.DUMMYFUNCTION("INDEX(IMPORTRANGE(""17pNv02DXDpQT9S3w4-QeNym2QJy2BzMBqDXp-XtzJBM"", ""'JUA'!BJ3:BJ139""),MATCH($D88,IMPORTRANGE(""17pNv02DXDpQT9S3w4-QeNym2QJy2BzMBqDXp-XtzJBM"", ""'JUA'!D3:D139""),0))"),50)</f>
        <v>50</v>
      </c>
      <c r="AC88" s="12">
        <f ca="1">IFERROR(__xludf.DUMMYFUNCTION("INDEX(IMPORTRANGE(""17pNv02DXDpQT9S3w4-QeNym2QJy2BzMBqDXp-XtzJBM"", ""'JUA'!BK3:BK139""),MATCH($D88,IMPORTRANGE(""17pNv02DXDpQT9S3w4-QeNym2QJy2BzMBqDXp-XtzJBM"", ""'JUA'!D3:D139""),0))"),388)</f>
        <v>388</v>
      </c>
      <c r="AD88" s="12">
        <f ca="1">IFERROR(__xludf.DUMMYFUNCTION("INDEX(IMPORTRANGE(""17pNv02DXDpQT9S3w4-QeNym2QJy2BzMBqDXp-XtzJBM"", ""'JUA'!BL3:BL139""),MATCH($D88,IMPORTRANGE(""17pNv02DXDpQT9S3w4-QeNym2QJy2BzMBqDXp-XtzJBM"", ""'JUA'!D3:D139""),0))"),313)</f>
        <v>313</v>
      </c>
      <c r="AE88" s="12">
        <f ca="1">IFERROR(__xludf.DUMMYFUNCTION("INDEX(IMPORTRANGE(""17pNv02DXDpQT9S3w4-QeNym2QJy2BzMBqDXp-XtzJBM"", ""'JUA'!BM3:BM139""),MATCH($D88,IMPORTRANGE(""17pNv02DXDpQT9S3w4-QeNym2QJy2BzMBqDXp-XtzJBM"", ""'JUA'!D3:D139""),0))"),547)</f>
        <v>547</v>
      </c>
    </row>
    <row r="89" spans="1:31">
      <c r="A89" s="7" t="s">
        <v>199</v>
      </c>
      <c r="B89" s="7" t="s">
        <v>228</v>
      </c>
      <c r="C89" s="1" t="s">
        <v>36</v>
      </c>
      <c r="D89" s="447" t="s">
        <v>241</v>
      </c>
      <c r="E89" s="7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>SUM(Q84:Q88)</f>
        <v>602</v>
      </c>
      <c r="R89" s="12">
        <v>1193</v>
      </c>
      <c r="S89" s="12">
        <f ca="1">IFERROR(__xludf.DUMMYFUNCTION("INDEX(IMPORTRANGE(""17pNv02DXDpQT9S3w4-QeNym2QJy2BzMBqDXp-XtzJBM"", ""'JUA'!BG3:BG139""),MATCH($D89,IMPORTRANGE(""17pNv02DXDpQT9S3w4-QeNym2QJy2BzMBqDXp-XtzJBM"", ""'JUA'!D3:D139""),0))"),1090)</f>
        <v>1090</v>
      </c>
      <c r="T89" s="428">
        <v>1173</v>
      </c>
      <c r="U89" s="428">
        <v>582</v>
      </c>
      <c r="V89" s="428">
        <v>1153</v>
      </c>
      <c r="W89" s="428">
        <v>572</v>
      </c>
      <c r="X89" s="29">
        <f ca="1">+S89*(1+(Y89-R89)/R89)</f>
        <v>1035.1802179379715</v>
      </c>
      <c r="Y89" s="429">
        <v>1133</v>
      </c>
      <c r="Z89" s="12">
        <f ca="1">IFERROR(__xludf.DUMMYFUNCTION("INDEX(IMPORTRANGE(""17pNv02DXDpQT9S3w4-QeNym2QJy2BzMBqDXp-XtzJBM"", ""'JUA'!BH3:BH139""),MATCH($D89,IMPORTRANGE(""17pNv02DXDpQT9S3w4-QeNym2QJy2BzMBqDXp-XtzJBM"", ""'JUA'!D3:D139""),0))"),0)</f>
        <v>0</v>
      </c>
      <c r="AA89" s="12">
        <f ca="1">IFERROR(__xludf.DUMMYFUNCTION("INDEX(IMPORTRANGE(""17pNv02DXDpQT9S3w4-QeNym2QJy2BzMBqDXp-XtzJBM"", ""'JUA'!BI3:BI139""),MATCH($D89,IMPORTRANGE(""17pNv02DXDpQT9S3w4-QeNym2QJy2BzMBqDXp-XtzJBM"", ""'JUA'!D3:D139""),0))"),834)</f>
        <v>834</v>
      </c>
      <c r="AB89" s="12">
        <f ca="1">IFERROR(__xludf.DUMMYFUNCTION("INDEX(IMPORTRANGE(""17pNv02DXDpQT9S3w4-QeNym2QJy2BzMBqDXp-XtzJBM"", ""'JUA'!BJ3:BJ139""),MATCH($D89,IMPORTRANGE(""17pNv02DXDpQT9S3w4-QeNym2QJy2BzMBqDXp-XtzJBM"", ""'JUA'!D3:D139""),0))"),466)</f>
        <v>466</v>
      </c>
      <c r="AC89" s="12">
        <f ca="1">IFERROR(__xludf.DUMMYFUNCTION("INDEX(IMPORTRANGE(""17pNv02DXDpQT9S3w4-QeNym2QJy2BzMBqDXp-XtzJBM"", ""'JUA'!BK3:BK139""),MATCH($D89,IMPORTRANGE(""17pNv02DXDpQT9S3w4-QeNym2QJy2BzMBqDXp-XtzJBM"", ""'JUA'!D3:D139""),0))"),1332)</f>
        <v>1332</v>
      </c>
      <c r="AD89" s="12">
        <f ca="1">IFERROR(__xludf.DUMMYFUNCTION("INDEX(IMPORTRANGE(""17pNv02DXDpQT9S3w4-QeNym2QJy2BzMBqDXp-XtzJBM"", ""'JUA'!BL3:BL139""),MATCH($D89,IMPORTRANGE(""17pNv02DXDpQT9S3w4-QeNym2QJy2BzMBqDXp-XtzJBM"", ""'JUA'!D3:D139""),0))"),809)</f>
        <v>809</v>
      </c>
      <c r="AE89" s="12">
        <f ca="1">IFERROR(__xludf.DUMMYFUNCTION("INDEX(IMPORTRANGE(""17pNv02DXDpQT9S3w4-QeNym2QJy2BzMBqDXp-XtzJBM"", ""'JUA'!BM3:BM139""),MATCH($D89,IMPORTRANGE(""17pNv02DXDpQT9S3w4-QeNym2QJy2BzMBqDXp-XtzJBM"", ""'JUA'!D3:D139""),0))"),1405)</f>
        <v>1405</v>
      </c>
    </row>
    <row r="90" spans="1:31">
      <c r="A90" s="7" t="s">
        <v>243</v>
      </c>
      <c r="B90" s="7" t="s">
        <v>244</v>
      </c>
      <c r="C90" s="1" t="s">
        <v>36</v>
      </c>
      <c r="D90" s="7" t="s">
        <v>338</v>
      </c>
      <c r="E90" s="7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0</v>
      </c>
      <c r="R90" s="12">
        <v>0</v>
      </c>
      <c r="S90" s="12">
        <f ca="1">IFERROR(__xludf.DUMMYFUNCTION("INDEX(IMPORTRANGE(""17pNv02DXDpQT9S3w4-QeNym2QJy2BzMBqDXp-XtzJBM"", ""'JUA'!BG3:BG139""),MATCH($D90,IMPORTRANGE(""17pNv02DXDpQT9S3w4-QeNym2QJy2BzMBqDXp-XtzJBM"", ""'JUA'!D3:D139""),0))"),0)</f>
        <v>0</v>
      </c>
      <c r="T90" s="433">
        <v>50</v>
      </c>
      <c r="U90" s="433">
        <v>35</v>
      </c>
      <c r="V90" s="433">
        <v>61</v>
      </c>
      <c r="W90" s="433">
        <v>45</v>
      </c>
      <c r="X90" s="29">
        <f t="shared" ref="X90:X91" si="19">(Y90-W90)/6*5+W90</f>
        <v>67.5</v>
      </c>
      <c r="Y90" s="434">
        <v>72</v>
      </c>
      <c r="Z90" s="12">
        <f ca="1">IFERROR(__xludf.DUMMYFUNCTION("INDEX(IMPORTRANGE(""17pNv02DXDpQT9S3w4-QeNym2QJy2BzMBqDXp-XtzJBM"", ""'JUA'!BH3:BH139""),MATCH($D90,IMPORTRANGE(""17pNv02DXDpQT9S3w4-QeNym2QJy2BzMBqDXp-XtzJBM"", ""'JUA'!D3:D139""),0))"),0)</f>
        <v>0</v>
      </c>
      <c r="AA90" s="12">
        <f ca="1">IFERROR(__xludf.DUMMYFUNCTION("INDEX(IMPORTRANGE(""17pNv02DXDpQT9S3w4-QeNym2QJy2BzMBqDXp-XtzJBM"", ""'JUA'!BI3:BI139""),MATCH($D90,IMPORTRANGE(""17pNv02DXDpQT9S3w4-QeNym2QJy2BzMBqDXp-XtzJBM"", ""'JUA'!D3:D139""),0))"),1796)</f>
        <v>1796</v>
      </c>
      <c r="AB90" s="12">
        <f ca="1">IFERROR(__xludf.DUMMYFUNCTION("INDEX(IMPORTRANGE(""17pNv02DXDpQT9S3w4-QeNym2QJy2BzMBqDXp-XtzJBM"", ""'JUA'!BJ3:BJ139""),MATCH($D90,IMPORTRANGE(""17pNv02DXDpQT9S3w4-QeNym2QJy2BzMBqDXp-XtzJBM"", ""'JUA'!D3:D139""),0))"),1530)</f>
        <v>1530</v>
      </c>
      <c r="AC90" s="12">
        <f ca="1">IFERROR(__xludf.DUMMYFUNCTION("INDEX(IMPORTRANGE(""17pNv02DXDpQT9S3w4-QeNym2QJy2BzMBqDXp-XtzJBM"", ""'JUA'!BK3:BK139""),MATCH($D90,IMPORTRANGE(""17pNv02DXDpQT9S3w4-QeNym2QJy2BzMBqDXp-XtzJBM"", ""'JUA'!D3:D139""),0))"),1530)</f>
        <v>1530</v>
      </c>
      <c r="AD90" s="12">
        <f ca="1">IFERROR(__xludf.DUMMYFUNCTION("INDEX(IMPORTRANGE(""17pNv02DXDpQT9S3w4-QeNym2QJy2BzMBqDXp-XtzJBM"", ""'JUA'!BL3:BL139""),MATCH($D90,IMPORTRANGE(""17pNv02DXDpQT9S3w4-QeNym2QJy2BzMBqDXp-XtzJBM"", ""'JUA'!D3:D139""),0))"),4)</f>
        <v>4</v>
      </c>
      <c r="AE90" s="12">
        <f ca="1">IFERROR(__xludf.DUMMYFUNCTION("INDEX(IMPORTRANGE(""17pNv02DXDpQT9S3w4-QeNym2QJy2BzMBqDXp-XtzJBM"", ""'JUA'!BM3:BM139""),MATCH($D90,IMPORTRANGE(""17pNv02DXDpQT9S3w4-QeNym2QJy2BzMBqDXp-XtzJBM"", ""'JUA'!D3:D139""),0))"),4)</f>
        <v>4</v>
      </c>
    </row>
    <row r="91" spans="1:31">
      <c r="A91" s="7" t="s">
        <v>243</v>
      </c>
      <c r="B91" s="7" t="s">
        <v>247</v>
      </c>
      <c r="C91" s="1" t="s">
        <v>36</v>
      </c>
      <c r="D91" s="7" t="s">
        <v>248</v>
      </c>
      <c r="E91" s="7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 t="s">
        <v>254</v>
      </c>
      <c r="K91" s="11">
        <v>44713</v>
      </c>
      <c r="L91" s="11" t="s">
        <v>255</v>
      </c>
      <c r="M91" s="11">
        <v>45078</v>
      </c>
      <c r="N91" s="11" t="s">
        <v>256</v>
      </c>
      <c r="O91" s="11" t="s">
        <v>361</v>
      </c>
      <c r="P91" s="11">
        <v>45444</v>
      </c>
      <c r="Q91" s="12">
        <v>0</v>
      </c>
      <c r="R91" s="12">
        <v>0</v>
      </c>
      <c r="S91" s="12" t="str">
        <f ca="1">IFERROR(__xludf.DUMMYFUNCTION("INDEX(IMPORTRANGE(""17pNv02DXDpQT9S3w4-QeNym2QJy2BzMBqDXp-XtzJBM"", ""'JUA'!BG3:BG139""),MATCH($D91,IMPORTRANGE(""17pNv02DXDpQT9S3w4-QeNym2QJy2BzMBqDXp-XtzJBM"", ""'JUA'!D3:D139""),0))"),"")</f>
        <v/>
      </c>
      <c r="T91" s="421">
        <v>5</v>
      </c>
      <c r="U91" s="421">
        <v>11</v>
      </c>
      <c r="V91" s="421">
        <v>15</v>
      </c>
      <c r="W91" s="421">
        <v>19</v>
      </c>
      <c r="X91" s="29">
        <f t="shared" si="19"/>
        <v>21.5</v>
      </c>
      <c r="Y91" s="434">
        <v>22</v>
      </c>
      <c r="Z91" s="12">
        <f ca="1">IFERROR(__xludf.DUMMYFUNCTION("INDEX(IMPORTRANGE(""17pNv02DXDpQT9S3w4-QeNym2QJy2BzMBqDXp-XtzJBM"", ""'JUA'!BH3:BH139""),MATCH($D91,IMPORTRANGE(""17pNv02DXDpQT9S3w4-QeNym2QJy2BzMBqDXp-XtzJBM"", ""'JUA'!D3:D139""),0))"),0)</f>
        <v>0</v>
      </c>
      <c r="AA91" s="12">
        <f ca="1">IFERROR(__xludf.DUMMYFUNCTION("INDEX(IMPORTRANGE(""17pNv02DXDpQT9S3w4-QeNym2QJy2BzMBqDXp-XtzJBM"", ""'JUA'!BI3:BI139""),MATCH($D91,IMPORTRANGE(""17pNv02DXDpQT9S3w4-QeNym2QJy2BzMBqDXp-XtzJBM"", ""'JUA'!D3:D139""),0))"),0)</f>
        <v>0</v>
      </c>
      <c r="AB91" s="12">
        <f ca="1">IFERROR(__xludf.DUMMYFUNCTION("INDEX(IMPORTRANGE(""17pNv02DXDpQT9S3w4-QeNym2QJy2BzMBqDXp-XtzJBM"", ""'JUA'!BJ3:BJ139""),MATCH($D91,IMPORTRANGE(""17pNv02DXDpQT9S3w4-QeNym2QJy2BzMBqDXp-XtzJBM"", ""'JUA'!D3:D139""),0))"),0)</f>
        <v>0</v>
      </c>
      <c r="AC91" s="12">
        <f ca="1">IFERROR(__xludf.DUMMYFUNCTION("INDEX(IMPORTRANGE(""17pNv02DXDpQT9S3w4-QeNym2QJy2BzMBqDXp-XtzJBM"", ""'JUA'!BK3:BK139""),MATCH($D91,IMPORTRANGE(""17pNv02DXDpQT9S3w4-QeNym2QJy2BzMBqDXp-XtzJBM"", ""'JUA'!D3:D139""),0))"),0)</f>
        <v>0</v>
      </c>
      <c r="AD91" s="12">
        <f ca="1">IFERROR(__xludf.DUMMYFUNCTION("INDEX(IMPORTRANGE(""17pNv02DXDpQT9S3w4-QeNym2QJy2BzMBqDXp-XtzJBM"", ""'JUA'!BL3:BL139""),MATCH($D91,IMPORTRANGE(""17pNv02DXDpQT9S3w4-QeNym2QJy2BzMBqDXp-XtzJBM"", ""'JUA'!D3:D139""),0))"),0)</f>
        <v>0</v>
      </c>
      <c r="AE91" s="12">
        <f ca="1">IFERROR(__xludf.DUMMYFUNCTION("INDEX(IMPORTRANGE(""17pNv02DXDpQT9S3w4-QeNym2QJy2BzMBqDXp-XtzJBM"", ""'JUA'!BM3:BM139""),MATCH($D91,IMPORTRANGE(""17pNv02DXDpQT9S3w4-QeNym2QJy2BzMBqDXp-XtzJBM"", ""'JUA'!D3:D139""),0))"),0)</f>
        <v>0</v>
      </c>
    </row>
    <row r="92" spans="1:31">
      <c r="A92" s="7" t="s">
        <v>243</v>
      </c>
      <c r="B92" s="7" t="s">
        <v>250</v>
      </c>
      <c r="C92" s="1" t="s">
        <v>36</v>
      </c>
      <c r="D92" s="7" t="s">
        <v>251</v>
      </c>
      <c r="E92" s="7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>
        <v>44651</v>
      </c>
      <c r="K92" s="11">
        <v>44834</v>
      </c>
      <c r="L92" s="11">
        <v>45016</v>
      </c>
      <c r="M92" s="11">
        <v>45199</v>
      </c>
      <c r="N92" s="11">
        <v>45382</v>
      </c>
      <c r="O92" s="11">
        <v>45444</v>
      </c>
      <c r="P92" s="11">
        <v>45565</v>
      </c>
      <c r="Q92" s="12">
        <v>86.3</v>
      </c>
      <c r="R92" s="12">
        <v>86.3</v>
      </c>
      <c r="S92" s="12">
        <f ca="1">IFERROR(__xludf.DUMMYFUNCTION("INDEX(IMPORTRANGE(""17pNv02DXDpQT9S3w4-QeNym2QJy2BzMBqDXp-XtzJBM"", ""'JUA'!BG3:BG139""),MATCH($D92,IMPORTRANGE(""17pNv02DXDpQT9S3w4-QeNym2QJy2BzMBqDXp-XtzJBM"", ""'JUA'!D3:D139""),0))"),86.3)</f>
        <v>86.3</v>
      </c>
      <c r="T92" s="421">
        <v>100</v>
      </c>
      <c r="U92" s="421">
        <v>100</v>
      </c>
      <c r="V92" s="421">
        <v>100</v>
      </c>
      <c r="W92" s="421">
        <v>100</v>
      </c>
      <c r="X92" s="421">
        <v>100</v>
      </c>
      <c r="Y92" s="434">
        <v>100</v>
      </c>
      <c r="Z92" s="24">
        <f ca="1">IFERROR(__xludf.DUMMYFUNCTION("INDEX(IMPORTRANGE(""17pNv02DXDpQT9S3w4-QeNym2QJy2BzMBqDXp-XtzJBM"", ""'JUA'!BH3:BH139""),MATCH($D92,IMPORTRANGE(""17pNv02DXDpQT9S3w4-QeNym2QJy2BzMBqDXp-XtzJBM"", ""'JUA'!D3:D139""),0))"),98.75)</f>
        <v>98.75</v>
      </c>
      <c r="AA92" s="24">
        <f ca="1">IFERROR(__xludf.DUMMYFUNCTION("INDEX(IMPORTRANGE(""17pNv02DXDpQT9S3w4-QeNym2QJy2BzMBqDXp-XtzJBM"", ""'JUA'!BI3:BI139""),MATCH($D92,IMPORTRANGE(""17pNv02DXDpQT9S3w4-QeNym2QJy2BzMBqDXp-XtzJBM"", ""'JUA'!D3:D139""),0))"),93.71)</f>
        <v>93.71</v>
      </c>
      <c r="AB92" s="24">
        <f ca="1">IFERROR(__xludf.DUMMYFUNCTION("INDEX(IMPORTRANGE(""17pNv02DXDpQT9S3w4-QeNym2QJy2BzMBqDXp-XtzJBM"", ""'JUA'!BJ3:BJ139""),MATCH($D92,IMPORTRANGE(""17pNv02DXDpQT9S3w4-QeNym2QJy2BzMBqDXp-XtzJBM"", ""'JUA'!D3:D139""),0))"),97.53)</f>
        <v>97.53</v>
      </c>
      <c r="AC92" s="24">
        <f ca="1">IFERROR(__xludf.DUMMYFUNCTION("INDEX(IMPORTRANGE(""17pNv02DXDpQT9S3w4-QeNym2QJy2BzMBqDXp-XtzJBM"", ""'JUA'!BK3:BK139""),MATCH($D92,IMPORTRANGE(""17pNv02DXDpQT9S3w4-QeNym2QJy2BzMBqDXp-XtzJBM"", ""'JUA'!D3:D139""),0))"),99.53)</f>
        <v>99.53</v>
      </c>
      <c r="AD92" s="24">
        <f ca="1">IFERROR(__xludf.DUMMYFUNCTION("INDEX(IMPORTRANGE(""17pNv02DXDpQT9S3w4-QeNym2QJy2BzMBqDXp-XtzJBM"", ""'JUA'!BL3:BL139""),MATCH($D92,IMPORTRANGE(""17pNv02DXDpQT9S3w4-QeNym2QJy2BzMBqDXp-XtzJBM"", ""'JUA'!D3:D139""),0))"),99.21)</f>
        <v>99.21</v>
      </c>
      <c r="AE92" s="24">
        <f ca="1">IFERROR(__xludf.DUMMYFUNCTION("INDEX(IMPORTRANGE(""17pNv02DXDpQT9S3w4-QeNym2QJy2BzMBqDXp-XtzJBM"", ""'JUA'!BM3:BM139""),MATCH($D92,IMPORTRANGE(""17pNv02DXDpQT9S3w4-QeNym2QJy2BzMBqDXp-XtzJBM"", ""'JUA'!D3:D139""),0))"),99.21)</f>
        <v>99.21</v>
      </c>
    </row>
    <row r="93" spans="1:31">
      <c r="A93" s="7" t="s">
        <v>243</v>
      </c>
      <c r="B93" s="7" t="s">
        <v>257</v>
      </c>
      <c r="C93" s="1" t="s">
        <v>36</v>
      </c>
      <c r="D93" s="7" t="s">
        <v>258</v>
      </c>
      <c r="E93" s="7" t="s">
        <v>38</v>
      </c>
      <c r="F93" s="9" t="s">
        <v>259</v>
      </c>
      <c r="G93" s="11">
        <v>44469</v>
      </c>
      <c r="H93" s="287"/>
      <c r="I93" s="49">
        <v>44440</v>
      </c>
      <c r="J93" s="11">
        <v>44651</v>
      </c>
      <c r="K93" s="287"/>
      <c r="L93" s="11">
        <v>45016</v>
      </c>
      <c r="M93" s="287"/>
      <c r="N93" s="11">
        <v>45382</v>
      </c>
      <c r="O93" s="11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""'JUA'!BG3:BG139""),MATCH($D93,IMPORTRANGE(""17pNv02DXDpQT9S3w4-QeNym2QJy2BzMBqDXp-XtzJBM"", ""'JUA'!D3:D139""),0))"),0)</f>
        <v>0</v>
      </c>
      <c r="T93" s="421">
        <v>4</v>
      </c>
      <c r="U93" s="421">
        <v>4</v>
      </c>
      <c r="V93" s="421">
        <v>4</v>
      </c>
      <c r="W93" s="421">
        <v>4</v>
      </c>
      <c r="X93" s="421">
        <v>4</v>
      </c>
      <c r="Y93" s="421">
        <v>4</v>
      </c>
      <c r="Z93" s="12">
        <f ca="1">IFERROR(__xludf.DUMMYFUNCTION("INDEX(IMPORTRANGE(""17pNv02DXDpQT9S3w4-QeNym2QJy2BzMBqDXp-XtzJBM"", ""'JUA'!BH3:BH139""),MATCH($D93,IMPORTRANGE(""17pNv02DXDpQT9S3w4-QeNym2QJy2BzMBqDXp-XtzJBM"", ""'JUA'!D3:D139""),0))"),0)</f>
        <v>0</v>
      </c>
      <c r="AA93" s="2">
        <f ca="1">IFERROR(__xludf.DUMMYFUNCTION("INDEX(IMPORTRANGE(""17pNv02DXDpQT9S3w4-QeNym2QJy2BzMBqDXp-XtzJBM"", ""'JUA'!BI3:BI139""),MATCH($D93,IMPORTRANGE(""17pNv02DXDpQT9S3w4-QeNym2QJy2BzMBqDXp-XtzJBM"", ""'JUA'!D3:D139""),0))"),0)</f>
        <v>0</v>
      </c>
      <c r="AB93" s="12">
        <f ca="1">IFERROR(__xludf.DUMMYFUNCTION("INDEX(IMPORTRANGE(""17pNv02DXDpQT9S3w4-QeNym2QJy2BzMBqDXp-XtzJBM"", ""'JUA'!BJ3:BJ139""),MATCH($D93,IMPORTRANGE(""17pNv02DXDpQT9S3w4-QeNym2QJy2BzMBqDXp-XtzJBM"", ""'JUA'!D3:D139""),0))"),0)</f>
        <v>0</v>
      </c>
      <c r="AC93" s="2">
        <f ca="1">IFERROR(__xludf.DUMMYFUNCTION("INDEX(IMPORTRANGE(""17pNv02DXDpQT9S3w4-QeNym2QJy2BzMBqDXp-XtzJBM"", ""'JUA'!BK3:BK139""),MATCH($D93,IMPORTRANGE(""17pNv02DXDpQT9S3w4-QeNym2QJy2BzMBqDXp-XtzJBM"", ""'JUA'!D3:D139""),0))"),0)</f>
        <v>0</v>
      </c>
      <c r="AD93" s="12">
        <f ca="1">IFERROR(__xludf.DUMMYFUNCTION("INDEX(IMPORTRANGE(""17pNv02DXDpQT9S3w4-QeNym2QJy2BzMBqDXp-XtzJBM"", ""'JUA'!BL3:BL139""),MATCH($D93,IMPORTRANGE(""17pNv02DXDpQT9S3w4-QeNym2QJy2BzMBqDXp-XtzJBM"", ""'JUA'!D3:D139""),0))"),0)</f>
        <v>0</v>
      </c>
      <c r="AE93" s="12">
        <f ca="1">IFERROR(__xludf.DUMMYFUNCTION("INDEX(IMPORTRANGE(""17pNv02DXDpQT9S3w4-QeNym2QJy2BzMBqDXp-XtzJBM"", ""'JUA'!BM3:BM139""),MATCH($D93,IMPORTRANGE(""17pNv02DXDpQT9S3w4-QeNym2QJy2BzMBqDXp-XtzJBM"", ""'JUA'!D3:D139""),0))"),0)</f>
        <v>0</v>
      </c>
    </row>
    <row r="94" spans="1:31">
      <c r="A94" s="7" t="s">
        <v>243</v>
      </c>
      <c r="B94" s="7" t="s">
        <v>260</v>
      </c>
      <c r="C94" s="1" t="s">
        <v>30</v>
      </c>
      <c r="D94" s="7" t="s">
        <v>261</v>
      </c>
      <c r="E94" s="7" t="s">
        <v>38</v>
      </c>
      <c r="F94" s="9" t="s">
        <v>262</v>
      </c>
      <c r="G94" s="11">
        <v>44469</v>
      </c>
      <c r="H94" s="13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11" t="s">
        <v>361</v>
      </c>
      <c r="P94" s="11">
        <v>45565</v>
      </c>
      <c r="Q94" s="438"/>
      <c r="R94" s="438"/>
      <c r="S94" s="30" t="str">
        <f ca="1">IFERROR(__xludf.DUMMYFUNCTION("INDEX(IMPORTRANGE(""17pNv02DXDpQT9S3w4-QeNym2QJy2BzMBqDXp-XtzJBM"", ""'JUA'!BG3:BG139""),MATCH($D94,IMPORTRANGE(""17pNv02DXDpQT9S3w4-QeNym2QJy2BzMBqDXp-XtzJBM"", ""'JUA'!D3:D139""),0))"),"")</f>
        <v/>
      </c>
      <c r="T94" s="13"/>
      <c r="U94" s="13"/>
      <c r="V94" s="13"/>
      <c r="W94" s="13"/>
      <c r="X94" s="13"/>
      <c r="Y94" s="13"/>
      <c r="Z94" s="12">
        <f ca="1">IFERROR(__xludf.DUMMYFUNCTION("INDEX(IMPORTRANGE(""17pNv02DXDpQT9S3w4-QeNym2QJy2BzMBqDXp-XtzJBM"", ""'JUA'!BH3:BH139""),MATCH($D94,IMPORTRANGE(""17pNv02DXDpQT9S3w4-QeNym2QJy2BzMBqDXp-XtzJBM"", ""'JUA'!D3:D139""),0))"),4)</f>
        <v>4</v>
      </c>
      <c r="AA94" s="2">
        <f ca="1">IFERROR(__xludf.DUMMYFUNCTION("INDEX(IMPORTRANGE(""17pNv02DXDpQT9S3w4-QeNym2QJy2BzMBqDXp-XtzJBM"", ""'JUA'!BI3:BI139""),MATCH($D94,IMPORTRANGE(""17pNv02DXDpQT9S3w4-QeNym2QJy2BzMBqDXp-XtzJBM"", ""'JUA'!D3:D139""),0))"),4)</f>
        <v>4</v>
      </c>
      <c r="AB94" s="12">
        <f ca="1">IFERROR(__xludf.DUMMYFUNCTION("INDEX(IMPORTRANGE(""17pNv02DXDpQT9S3w4-QeNym2QJy2BzMBqDXp-XtzJBM"", ""'JUA'!BJ3:BJ139""),MATCH($D94,IMPORTRANGE(""17pNv02DXDpQT9S3w4-QeNym2QJy2BzMBqDXp-XtzJBM"", ""'JUA'!D3:D139""),0))"),9)</f>
        <v>9</v>
      </c>
      <c r="AC94" s="2" t="str">
        <f ca="1">IFERROR(__xludf.DUMMYFUNCTION("INDEX(IMPORTRANGE(""17pNv02DXDpQT9S3w4-QeNym2QJy2BzMBqDXp-XtzJBM"", ""'JUA'!BK3:BK139""),MATCH($D94,IMPORTRANGE(""17pNv02DXDpQT9S3w4-QeNym2QJy2BzMBqDXp-XtzJBM"", ""'JUA'!D3:D139""),0))"),"")</f>
        <v/>
      </c>
      <c r="AD94" s="12">
        <f ca="1">IFERROR(__xludf.DUMMYFUNCTION("INDEX(IMPORTRANGE(""17pNv02DXDpQT9S3w4-QeNym2QJy2BzMBqDXp-XtzJBM"", ""'JUA'!BL3:BL139""),MATCH($D94,IMPORTRANGE(""17pNv02DXDpQT9S3w4-QeNym2QJy2BzMBqDXp-XtzJBM"", ""'JUA'!D3:D139""),0))"),5)</f>
        <v>5</v>
      </c>
      <c r="AE94" s="12">
        <f ca="1">IFERROR(__xludf.DUMMYFUNCTION("INDEX(IMPORTRANGE(""17pNv02DXDpQT9S3w4-QeNym2QJy2BzMBqDXp-XtzJBM"", ""'JUA'!BM3:BM139""),MATCH($D94,IMPORTRANGE(""17pNv02DXDpQT9S3w4-QeNym2QJy2BzMBqDXp-XtzJBM"", ""'JUA'!D3:D139""),0))"),5)</f>
        <v>5</v>
      </c>
    </row>
    <row r="95" spans="1:31">
      <c r="A95" s="7" t="s">
        <v>243</v>
      </c>
      <c r="B95" s="7" t="s">
        <v>260</v>
      </c>
      <c r="C95" s="1" t="s">
        <v>30</v>
      </c>
      <c r="D95" s="7" t="s">
        <v>263</v>
      </c>
      <c r="E95" s="7" t="s">
        <v>38</v>
      </c>
      <c r="F95" s="9" t="s">
        <v>264</v>
      </c>
      <c r="G95" s="11">
        <v>44469</v>
      </c>
      <c r="H95" s="13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11" t="s">
        <v>361</v>
      </c>
      <c r="P95" s="11">
        <v>45565</v>
      </c>
      <c r="Q95" s="438"/>
      <c r="R95" s="438"/>
      <c r="S95" s="30" t="str">
        <f ca="1">IFERROR(__xludf.DUMMYFUNCTION("INDEX(IMPORTRANGE(""17pNv02DXDpQT9S3w4-QeNym2QJy2BzMBqDXp-XtzJBM"", ""'JUA'!BG3:BG139""),MATCH($D95,IMPORTRANGE(""17pNv02DXDpQT9S3w4-QeNym2QJy2BzMBqDXp-XtzJBM"", ""'JUA'!D3:D139""),0))"),"")</f>
        <v/>
      </c>
      <c r="T95" s="13"/>
      <c r="U95" s="13"/>
      <c r="V95" s="13"/>
      <c r="W95" s="13"/>
      <c r="X95" s="13"/>
      <c r="Y95" s="13"/>
      <c r="Z95" s="12">
        <f ca="1">IFERROR(__xludf.DUMMYFUNCTION("INDEX(IMPORTRANGE(""17pNv02DXDpQT9S3w4-QeNym2QJy2BzMBqDXp-XtzJBM"", ""'JUA'!BH3:BH139""),MATCH($D95,IMPORTRANGE(""17pNv02DXDpQT9S3w4-QeNym2QJy2BzMBqDXp-XtzJBM"", ""'JUA'!D3:D139""),0))"),14)</f>
        <v>14</v>
      </c>
      <c r="AA95" s="2">
        <f ca="1">IFERROR(__xludf.DUMMYFUNCTION("INDEX(IMPORTRANGE(""17pNv02DXDpQT9S3w4-QeNym2QJy2BzMBqDXp-XtzJBM"", ""'JUA'!BI3:BI139""),MATCH($D95,IMPORTRANGE(""17pNv02DXDpQT9S3w4-QeNym2QJy2BzMBqDXp-XtzJBM"", ""'JUA'!D3:D139""),0))"),12)</f>
        <v>12</v>
      </c>
      <c r="AB95" s="12">
        <f ca="1">IFERROR(__xludf.DUMMYFUNCTION("INDEX(IMPORTRANGE(""17pNv02DXDpQT9S3w4-QeNym2QJy2BzMBqDXp-XtzJBM"", ""'JUA'!BJ3:BJ139""),MATCH($D95,IMPORTRANGE(""17pNv02DXDpQT9S3w4-QeNym2QJy2BzMBqDXp-XtzJBM"", ""'JUA'!D3:D139""),0))"),14)</f>
        <v>14</v>
      </c>
      <c r="AC95" s="2">
        <f ca="1">IFERROR(__xludf.DUMMYFUNCTION("INDEX(IMPORTRANGE(""17pNv02DXDpQT9S3w4-QeNym2QJy2BzMBqDXp-XtzJBM"", ""'JUA'!BK3:BK139""),MATCH($D95,IMPORTRANGE(""17pNv02DXDpQT9S3w4-QeNym2QJy2BzMBqDXp-XtzJBM"", ""'JUA'!D3:D139""),0))"),0)</f>
        <v>0</v>
      </c>
      <c r="AD95" s="12">
        <f ca="1">IFERROR(__xludf.DUMMYFUNCTION("INDEX(IMPORTRANGE(""17pNv02DXDpQT9S3w4-QeNym2QJy2BzMBqDXp-XtzJBM"", ""'JUA'!BL3:BL139""),MATCH($D95,IMPORTRANGE(""17pNv02DXDpQT9S3w4-QeNym2QJy2BzMBqDXp-XtzJBM"", ""'JUA'!D3:D139""),0))"),11)</f>
        <v>11</v>
      </c>
      <c r="AE95" s="12">
        <f ca="1">IFERROR(__xludf.DUMMYFUNCTION("INDEX(IMPORTRANGE(""17pNv02DXDpQT9S3w4-QeNym2QJy2BzMBqDXp-XtzJBM"", ""'JUA'!BM3:BM139""),MATCH($D95,IMPORTRANGE(""17pNv02DXDpQT9S3w4-QeNym2QJy2BzMBqDXp-XtzJBM"", ""'JUA'!D3:D139""),0))"),11)</f>
        <v>11</v>
      </c>
    </row>
    <row r="96" spans="1:31">
      <c r="A96" s="7" t="s">
        <v>243</v>
      </c>
      <c r="B96" s="7" t="s">
        <v>260</v>
      </c>
      <c r="C96" s="1" t="s">
        <v>30</v>
      </c>
      <c r="D96" s="7" t="s">
        <v>265</v>
      </c>
      <c r="E96" s="7" t="s">
        <v>38</v>
      </c>
      <c r="F96" s="9" t="s">
        <v>266</v>
      </c>
      <c r="G96" s="11">
        <v>44469</v>
      </c>
      <c r="H96" s="13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11" t="s">
        <v>361</v>
      </c>
      <c r="P96" s="11">
        <v>45565</v>
      </c>
      <c r="Q96" s="438"/>
      <c r="R96" s="438"/>
      <c r="S96" s="30" t="str">
        <f ca="1">IFERROR(__xludf.DUMMYFUNCTION("INDEX(IMPORTRANGE(""17pNv02DXDpQT9S3w4-QeNym2QJy2BzMBqDXp-XtzJBM"", ""'JUA'!BG3:BG139""),MATCH($D96,IMPORTRANGE(""17pNv02DXDpQT9S3w4-QeNym2QJy2BzMBqDXp-XtzJBM"", ""'JUA'!D3:D139""),0))"),"")</f>
        <v/>
      </c>
      <c r="T96" s="13"/>
      <c r="U96" s="13"/>
      <c r="V96" s="13"/>
      <c r="W96" s="13"/>
      <c r="X96" s="13"/>
      <c r="Y96" s="13"/>
      <c r="Z96" s="2">
        <f ca="1">IFERROR(__xludf.DUMMYFUNCTION("INDEX(IMPORTRANGE(""17pNv02DXDpQT9S3w4-QeNym2QJy2BzMBqDXp-XtzJBM"", ""'JUA'!BH3:BH139""),MATCH($D96,IMPORTRANGE(""17pNv02DXDpQT9S3w4-QeNym2QJy2BzMBqDXp-XtzJBM"", ""'JUA'!D3:D139""),0))"),2)</f>
        <v>2</v>
      </c>
      <c r="AA96" s="2">
        <f ca="1">IFERROR(__xludf.DUMMYFUNCTION("INDEX(IMPORTRANGE(""17pNv02DXDpQT9S3w4-QeNym2QJy2BzMBqDXp-XtzJBM"", ""'JUA'!BI3:BI139""),MATCH($D96,IMPORTRANGE(""17pNv02DXDpQT9S3w4-QeNym2QJy2BzMBqDXp-XtzJBM"", ""'JUA'!D3:D139""),0))"),2)</f>
        <v>2</v>
      </c>
      <c r="AB96" s="2">
        <f ca="1">IFERROR(__xludf.DUMMYFUNCTION("INDEX(IMPORTRANGE(""17pNv02DXDpQT9S3w4-QeNym2QJy2BzMBqDXp-XtzJBM"", ""'JUA'!BJ3:BJ139""),MATCH($D96,IMPORTRANGE(""17pNv02DXDpQT9S3w4-QeNym2QJy2BzMBqDXp-XtzJBM"", ""'JUA'!D3:D139""),0))"),6)</f>
        <v>6</v>
      </c>
      <c r="AC96" s="2" t="str">
        <f ca="1">IFERROR(__xludf.DUMMYFUNCTION("INDEX(IMPORTRANGE(""17pNv02DXDpQT9S3w4-QeNym2QJy2BzMBqDXp-XtzJBM"", ""'JUA'!BK3:BK139""),MATCH($D96,IMPORTRANGE(""17pNv02DXDpQT9S3w4-QeNym2QJy2BzMBqDXp-XtzJBM"", ""'JUA'!D3:D139""),0))"),"")</f>
        <v/>
      </c>
      <c r="AD96" s="2">
        <f ca="1">IFERROR(__xludf.DUMMYFUNCTION("INDEX(IMPORTRANGE(""17pNv02DXDpQT9S3w4-QeNym2QJy2BzMBqDXp-XtzJBM"", ""'JUA'!BL3:BL139""),MATCH($D96,IMPORTRANGE(""17pNv02DXDpQT9S3w4-QeNym2QJy2BzMBqDXp-XtzJBM"", ""'JUA'!D3:D139""),0))"),2)</f>
        <v>2</v>
      </c>
      <c r="AE96" s="2">
        <f ca="1">IFERROR(__xludf.DUMMYFUNCTION("INDEX(IMPORTRANGE(""17pNv02DXDpQT9S3w4-QeNym2QJy2BzMBqDXp-XtzJBM"", ""'JUA'!BM3:BM139""),MATCH($D96,IMPORTRANGE(""17pNv02DXDpQT9S3w4-QeNym2QJy2BzMBqDXp-XtzJBM"", ""'JUA'!D3:D139""),0))"),1)</f>
        <v>1</v>
      </c>
    </row>
    <row r="97" spans="1:31">
      <c r="A97" s="7" t="s">
        <v>243</v>
      </c>
      <c r="B97" s="7" t="s">
        <v>260</v>
      </c>
      <c r="C97" s="1" t="s">
        <v>30</v>
      </c>
      <c r="D97" s="7" t="s">
        <v>267</v>
      </c>
      <c r="E97" s="7" t="s">
        <v>38</v>
      </c>
      <c r="F97" s="9" t="s">
        <v>268</v>
      </c>
      <c r="G97" s="11">
        <v>44469</v>
      </c>
      <c r="H97" s="13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11" t="s">
        <v>361</v>
      </c>
      <c r="P97" s="11">
        <v>45565</v>
      </c>
      <c r="Q97" s="438"/>
      <c r="R97" s="438"/>
      <c r="S97" s="30" t="str">
        <f ca="1">IFERROR(__xludf.DUMMYFUNCTION("INDEX(IMPORTRANGE(""17pNv02DXDpQT9S3w4-QeNym2QJy2BzMBqDXp-XtzJBM"", ""'JUA'!BG3:BG139""),MATCH($D97,IMPORTRANGE(""17pNv02DXDpQT9S3w4-QeNym2QJy2BzMBqDXp-XtzJBM"", ""'JUA'!D3:D139""),0))"),"")</f>
        <v/>
      </c>
      <c r="T97" s="13"/>
      <c r="U97" s="13"/>
      <c r="V97" s="13"/>
      <c r="W97" s="13"/>
      <c r="X97" s="13"/>
      <c r="Y97" s="13"/>
      <c r="Z97" s="2">
        <f ca="1">IFERROR(__xludf.DUMMYFUNCTION("INDEX(IMPORTRANGE(""17pNv02DXDpQT9S3w4-QeNym2QJy2BzMBqDXp-XtzJBM"", ""'JUA'!BH3:BH139""),MATCH($D97,IMPORTRANGE(""17pNv02DXDpQT9S3w4-QeNym2QJy2BzMBqDXp-XtzJBM"", ""'JUA'!D3:D139""),0))"),8)</f>
        <v>8</v>
      </c>
      <c r="AA97" s="2">
        <f ca="1">IFERROR(__xludf.DUMMYFUNCTION("INDEX(IMPORTRANGE(""17pNv02DXDpQT9S3w4-QeNym2QJy2BzMBqDXp-XtzJBM"", ""'JUA'!BI3:BI139""),MATCH($D97,IMPORTRANGE(""17pNv02DXDpQT9S3w4-QeNym2QJy2BzMBqDXp-XtzJBM"", ""'JUA'!D3:D139""),0))"),8)</f>
        <v>8</v>
      </c>
      <c r="AB97" s="2">
        <f ca="1">IFERROR(__xludf.DUMMYFUNCTION("INDEX(IMPORTRANGE(""17pNv02DXDpQT9S3w4-QeNym2QJy2BzMBqDXp-XtzJBM"", ""'JUA'!BJ3:BJ139""),MATCH($D97,IMPORTRANGE(""17pNv02DXDpQT9S3w4-QeNym2QJy2BzMBqDXp-XtzJBM"", ""'JUA'!D3:D139""),0))"),8)</f>
        <v>8</v>
      </c>
      <c r="AC97" s="2">
        <f ca="1">IFERROR(__xludf.DUMMYFUNCTION("INDEX(IMPORTRANGE(""17pNv02DXDpQT9S3w4-QeNym2QJy2BzMBqDXp-XtzJBM"", ""'JUA'!BK3:BK139""),MATCH($D97,IMPORTRANGE(""17pNv02DXDpQT9S3w4-QeNym2QJy2BzMBqDXp-XtzJBM"", ""'JUA'!D3:D139""),0))"),0)</f>
        <v>0</v>
      </c>
      <c r="AD97" s="2">
        <f ca="1">IFERROR(__xludf.DUMMYFUNCTION("INDEX(IMPORTRANGE(""17pNv02DXDpQT9S3w4-QeNym2QJy2BzMBqDXp-XtzJBM"", ""'JUA'!BL3:BL139""),MATCH($D97,IMPORTRANGE(""17pNv02DXDpQT9S3w4-QeNym2QJy2BzMBqDXp-XtzJBM"", ""'JUA'!D3:D139""),0))"),6)</f>
        <v>6</v>
      </c>
      <c r="AE97" s="2">
        <f ca="1">IFERROR(__xludf.DUMMYFUNCTION("INDEX(IMPORTRANGE(""17pNv02DXDpQT9S3w4-QeNym2QJy2BzMBqDXp-XtzJBM"", ""'JUA'!BM3:BM139""),MATCH($D97,IMPORTRANGE(""17pNv02DXDpQT9S3w4-QeNym2QJy2BzMBqDXp-XtzJBM"", ""'JUA'!D3:D139""),0))"),6)</f>
        <v>6</v>
      </c>
    </row>
    <row r="98" spans="1:31">
      <c r="A98" s="7" t="s">
        <v>243</v>
      </c>
      <c r="B98" s="7" t="s">
        <v>260</v>
      </c>
      <c r="C98" s="1" t="s">
        <v>30</v>
      </c>
      <c r="D98" s="7" t="s">
        <v>269</v>
      </c>
      <c r="E98" s="7" t="s">
        <v>38</v>
      </c>
      <c r="F98" s="9" t="s">
        <v>270</v>
      </c>
      <c r="G98" s="11">
        <v>44469</v>
      </c>
      <c r="H98" s="13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11" t="s">
        <v>361</v>
      </c>
      <c r="P98" s="11">
        <v>45565</v>
      </c>
      <c r="Q98" s="438"/>
      <c r="R98" s="438"/>
      <c r="S98" s="30" t="str">
        <f ca="1">IFERROR(__xludf.DUMMYFUNCTION("INDEX(IMPORTRANGE(""17pNv02DXDpQT9S3w4-QeNym2QJy2BzMBqDXp-XtzJBM"", ""'JUA'!BG3:BG139""),MATCH($D98,IMPORTRANGE(""17pNv02DXDpQT9S3w4-QeNym2QJy2BzMBqDXp-XtzJBM"", ""'JUA'!D3:D139""),0))"),"")</f>
        <v/>
      </c>
      <c r="T98" s="13"/>
      <c r="U98" s="13"/>
      <c r="V98" s="13"/>
      <c r="W98" s="13"/>
      <c r="X98" s="13"/>
      <c r="Y98" s="13"/>
      <c r="Z98" s="2">
        <f ca="1">IFERROR(__xludf.DUMMYFUNCTION("INDEX(IMPORTRANGE(""17pNv02DXDpQT9S3w4-QeNym2QJy2BzMBqDXp-XtzJBM"", ""'JUA'!BH3:BH139""),MATCH($D98,IMPORTRANGE(""17pNv02DXDpQT9S3w4-QeNym2QJy2BzMBqDXp-XtzJBM"", ""'JUA'!D3:D139""),0))"),34)</f>
        <v>34</v>
      </c>
      <c r="AA98" s="2">
        <f ca="1">IFERROR(__xludf.DUMMYFUNCTION("INDEX(IMPORTRANGE(""17pNv02DXDpQT9S3w4-QeNym2QJy2BzMBqDXp-XtzJBM"", ""'JUA'!BI3:BI139""),MATCH($D98,IMPORTRANGE(""17pNv02DXDpQT9S3w4-QeNym2QJy2BzMBqDXp-XtzJBM"", ""'JUA'!D3:D139""),0))"),35)</f>
        <v>35</v>
      </c>
      <c r="AB98" s="2">
        <f ca="1">IFERROR(__xludf.DUMMYFUNCTION("INDEX(IMPORTRANGE(""17pNv02DXDpQT9S3w4-QeNym2QJy2BzMBqDXp-XtzJBM"", ""'JUA'!BJ3:BJ139""),MATCH($D98,IMPORTRANGE(""17pNv02DXDpQT9S3w4-QeNym2QJy2BzMBqDXp-XtzJBM"", ""'JUA'!D3:D139""),0))"),50)</f>
        <v>50</v>
      </c>
      <c r="AC98" s="2" t="str">
        <f ca="1">IFERROR(__xludf.DUMMYFUNCTION("INDEX(IMPORTRANGE(""17pNv02DXDpQT9S3w4-QeNym2QJy2BzMBqDXp-XtzJBM"", ""'JUA'!BK3:BK139""),MATCH($D98,IMPORTRANGE(""17pNv02DXDpQT9S3w4-QeNym2QJy2BzMBqDXp-XtzJBM"", ""'JUA'!D3:D139""),0))"),"")</f>
        <v/>
      </c>
      <c r="AD98" s="2">
        <f ca="1">IFERROR(__xludf.DUMMYFUNCTION("INDEX(IMPORTRANGE(""17pNv02DXDpQT9S3w4-QeNym2QJy2BzMBqDXp-XtzJBM"", ""'JUA'!BL3:BL139""),MATCH($D98,IMPORTRANGE(""17pNv02DXDpQT9S3w4-QeNym2QJy2BzMBqDXp-XtzJBM"", ""'JUA'!D3:D139""),0))"),27)</f>
        <v>27</v>
      </c>
      <c r="AE98" s="2">
        <f ca="1">IFERROR(__xludf.DUMMYFUNCTION("INDEX(IMPORTRANGE(""17pNv02DXDpQT9S3w4-QeNym2QJy2BzMBqDXp-XtzJBM"", ""'JUA'!BM3:BM139""),MATCH($D98,IMPORTRANGE(""17pNv02DXDpQT9S3w4-QeNym2QJy2BzMBqDXp-XtzJBM"", ""'JUA'!D3:D139""),0))"),33)</f>
        <v>33</v>
      </c>
    </row>
    <row r="99" spans="1:31">
      <c r="A99" s="7" t="s">
        <v>243</v>
      </c>
      <c r="B99" s="7" t="s">
        <v>260</v>
      </c>
      <c r="C99" s="1" t="s">
        <v>30</v>
      </c>
      <c r="D99" s="7" t="s">
        <v>271</v>
      </c>
      <c r="E99" s="7" t="s">
        <v>38</v>
      </c>
      <c r="F99" s="9" t="s">
        <v>272</v>
      </c>
      <c r="G99" s="11">
        <v>44469</v>
      </c>
      <c r="H99" s="13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11" t="s">
        <v>361</v>
      </c>
      <c r="P99" s="11">
        <v>45565</v>
      </c>
      <c r="Q99" s="438"/>
      <c r="R99" s="438"/>
      <c r="S99" s="30" t="str">
        <f ca="1">IFERROR(__xludf.DUMMYFUNCTION("INDEX(IMPORTRANGE(""17pNv02DXDpQT9S3w4-QeNym2QJy2BzMBqDXp-XtzJBM"", ""'JUA'!BG3:BG139""),MATCH($D99,IMPORTRANGE(""17pNv02DXDpQT9S3w4-QeNym2QJy2BzMBqDXp-XtzJBM"", ""'JUA'!D3:D139""),0))"),"")</f>
        <v/>
      </c>
      <c r="T99" s="13"/>
      <c r="U99" s="13"/>
      <c r="V99" s="13"/>
      <c r="W99" s="13"/>
      <c r="X99" s="13"/>
      <c r="Y99" s="440"/>
      <c r="Z99" s="2">
        <f ca="1">IFERROR(__xludf.DUMMYFUNCTION("INDEX(IMPORTRANGE(""17pNv02DXDpQT9S3w4-QeNym2QJy2BzMBqDXp-XtzJBM"", ""'JUA'!BH3:BH139""),MATCH($D99,IMPORTRANGE(""17pNv02DXDpQT9S3w4-QeNym2QJy2BzMBqDXp-XtzJBM"", ""'JUA'!D3:D139""),0))"),81)</f>
        <v>81</v>
      </c>
      <c r="AA99" s="2">
        <f ca="1">IFERROR(__xludf.DUMMYFUNCTION("INDEX(IMPORTRANGE(""17pNv02DXDpQT9S3w4-QeNym2QJy2BzMBqDXp-XtzJBM"", ""'JUA'!BI3:BI139""),MATCH($D99,IMPORTRANGE(""17pNv02DXDpQT9S3w4-QeNym2QJy2BzMBqDXp-XtzJBM"", ""'JUA'!D3:D139""),0))"),85)</f>
        <v>85</v>
      </c>
      <c r="AB99" s="2">
        <f ca="1">IFERROR(__xludf.DUMMYFUNCTION("INDEX(IMPORTRANGE(""17pNv02DXDpQT9S3w4-QeNym2QJy2BzMBqDXp-XtzJBM"", ""'JUA'!BJ3:BJ139""),MATCH($D99,IMPORTRANGE(""17pNv02DXDpQT9S3w4-QeNym2QJy2BzMBqDXp-XtzJBM"", ""'JUA'!D3:D139""),0))"),84)</f>
        <v>84</v>
      </c>
      <c r="AC99" s="2">
        <f ca="1">IFERROR(__xludf.DUMMYFUNCTION("INDEX(IMPORTRANGE(""17pNv02DXDpQT9S3w4-QeNym2QJy2BzMBqDXp-XtzJBM"", ""'JUA'!BK3:BK139""),MATCH($D99,IMPORTRANGE(""17pNv02DXDpQT9S3w4-QeNym2QJy2BzMBqDXp-XtzJBM"", ""'JUA'!D3:D139""),0))"),0)</f>
        <v>0</v>
      </c>
      <c r="AD99" s="2">
        <f ca="1">IFERROR(__xludf.DUMMYFUNCTION("INDEX(IMPORTRANGE(""17pNv02DXDpQT9S3w4-QeNym2QJy2BzMBqDXp-XtzJBM"", ""'JUA'!BL3:BL139""),MATCH($D99,IMPORTRANGE(""17pNv02DXDpQT9S3w4-QeNym2QJy2BzMBqDXp-XtzJBM"", ""'JUA'!D3:D139""),0))"),66)</f>
        <v>66</v>
      </c>
      <c r="AE99" s="2">
        <f ca="1">IFERROR(__xludf.DUMMYFUNCTION("INDEX(IMPORTRANGE(""17pNv02DXDpQT9S3w4-QeNym2QJy2BzMBqDXp-XtzJBM"", ""'JUA'!BM3:BM139""),MATCH($D99,IMPORTRANGE(""17pNv02DXDpQT9S3w4-QeNym2QJy2BzMBqDXp-XtzJBM"", ""'JUA'!D3:D139""),0))"),75)</f>
        <v>75</v>
      </c>
    </row>
    <row r="100" spans="1:31">
      <c r="A100" s="7" t="s">
        <v>243</v>
      </c>
      <c r="B100" s="7" t="s">
        <v>260</v>
      </c>
      <c r="C100" s="1" t="s">
        <v>36</v>
      </c>
      <c r="D100" s="7" t="s">
        <v>273</v>
      </c>
      <c r="E100" s="7" t="s">
        <v>38</v>
      </c>
      <c r="F100" s="9" t="s">
        <v>274</v>
      </c>
      <c r="G100" s="183" t="s">
        <v>213</v>
      </c>
      <c r="H100" s="1" t="s">
        <v>214</v>
      </c>
      <c r="I100" s="49">
        <v>44440</v>
      </c>
      <c r="J100" s="183" t="s">
        <v>215</v>
      </c>
      <c r="K100" s="13"/>
      <c r="L100" s="183" t="s">
        <v>216</v>
      </c>
      <c r="M100" s="13"/>
      <c r="N100" s="183" t="s">
        <v>217</v>
      </c>
      <c r="O100" s="183"/>
      <c r="P100" s="348" t="s">
        <v>218</v>
      </c>
      <c r="Q100" s="438"/>
      <c r="R100" s="438"/>
      <c r="S100" s="30" t="str">
        <f ca="1">IFERROR(__xludf.DUMMYFUNCTION("INDEX(IMPORTRANGE(""17pNv02DXDpQT9S3w4-QeNym2QJy2BzMBqDXp-XtzJBM"", ""'JUA'!BG3:BG139""),MATCH($D100,IMPORTRANGE(""17pNv02DXDpQT9S3w4-QeNym2QJy2BzMBqDXp-XtzJBM"", ""'JUA'!D3:D139""),0))"),"")</f>
        <v/>
      </c>
      <c r="T100" s="442"/>
      <c r="U100" s="443">
        <v>0.5</v>
      </c>
      <c r="V100" s="443"/>
      <c r="W100" s="443">
        <v>0.5</v>
      </c>
      <c r="X100" s="443">
        <v>0.5</v>
      </c>
      <c r="Y100" s="443">
        <v>0.5</v>
      </c>
      <c r="Z100" s="15">
        <f ca="1">IFERROR(__xludf.DUMMYFUNCTION("INDEX(IMPORTRANGE(""17pNv02DXDpQT9S3w4-QeNym2QJy2BzMBqDXp-XtzJBM"", ""'JUA'!BH3:BH139""),MATCH($D100,IMPORTRANGE(""17pNv02DXDpQT9S3w4-QeNym2QJy2BzMBqDXp-XtzJBM"", ""'JUA'!D3:D139""),0))"),0.388349514563106)</f>
        <v>0.38834951456310601</v>
      </c>
      <c r="AA100" s="15">
        <f ca="1">IFERROR(__xludf.DUMMYFUNCTION("INDEX(IMPORTRANGE(""17pNv02DXDpQT9S3w4-QeNym2QJy2BzMBqDXp-XtzJBM"", ""'JUA'!BI3:BI139""),MATCH($D100,IMPORTRANGE(""17pNv02DXDpQT9S3w4-QeNym2QJy2BzMBqDXp-XtzJBM"", ""'JUA'!D3:D139""),0))"),0.39047619047619)</f>
        <v>0.39047619047618998</v>
      </c>
      <c r="AB100" s="15">
        <f ca="1">IFERROR(__xludf.DUMMYFUNCTION("INDEX(IMPORTRANGE(""17pNv02DXDpQT9S3w4-QeNym2QJy2BzMBqDXp-XtzJBM"", ""'JUA'!BJ3:BJ139""),MATCH($D100,IMPORTRANGE(""17pNv02DXDpQT9S3w4-QeNym2QJy2BzMBqDXp-XtzJBM"", ""'JUA'!D3:D139""),0))"),0.613207547169811)</f>
        <v>0.61320754716981096</v>
      </c>
      <c r="AC100" s="15" t="str">
        <f ca="1">IFERROR(__xludf.DUMMYFUNCTION("INDEX(IMPORTRANGE(""17pNv02DXDpQT9S3w4-QeNym2QJy2BzMBqDXp-XtzJBM"", ""'JUA'!BK3:BK139""),MATCH($D100,IMPORTRANGE(""17pNv02DXDpQT9S3w4-QeNym2QJy2BzMBqDXp-XtzJBM"", ""'JUA'!D3:D139""),0))"),"")</f>
        <v/>
      </c>
      <c r="AD100" s="15">
        <f ca="1">IFERROR(__xludf.DUMMYFUNCTION("INDEX(IMPORTRANGE(""17pNv02DXDpQT9S3w4-QeNym2QJy2BzMBqDXp-XtzJBM"", ""'JUA'!BL3:BL139""),MATCH($D100,IMPORTRANGE(""17pNv02DXDpQT9S3w4-QeNym2QJy2BzMBqDXp-XtzJBM"", ""'JUA'!D3:D139""),0))"),0.409638554216867)</f>
        <v>0.40963855421686701</v>
      </c>
      <c r="AE100" s="15">
        <f ca="1">IFERROR(__xludf.DUMMYFUNCTION("INDEX(IMPORTRANGE(""17pNv02DXDpQT9S3w4-QeNym2QJy2BzMBqDXp-XtzJBM"", ""'JUA'!BM3:BM139""),MATCH($D100,IMPORTRANGE(""17pNv02DXDpQT9S3w4-QeNym2QJy2BzMBqDXp-XtzJBM"", ""'JUA'!D3:D139""),0))"),0.42391304347826)</f>
        <v>0.42391304347825998</v>
      </c>
    </row>
    <row r="101" spans="1:31">
      <c r="A101" s="7" t="s">
        <v>275</v>
      </c>
      <c r="B101" s="7" t="s">
        <v>276</v>
      </c>
      <c r="C101" s="1" t="s">
        <v>30</v>
      </c>
      <c r="D101" s="7" t="s">
        <v>277</v>
      </c>
      <c r="E101" s="7" t="s">
        <v>278</v>
      </c>
      <c r="F101" s="9" t="s">
        <v>279</v>
      </c>
      <c r="G101" s="7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7" t="s">
        <v>369</v>
      </c>
      <c r="P101" s="1" t="s">
        <v>218</v>
      </c>
      <c r="Q101" s="349">
        <v>281374098.17000002</v>
      </c>
      <c r="R101" s="349">
        <v>281374098.17000002</v>
      </c>
      <c r="S101" s="349" t="str">
        <f ca="1">IFERROR(__xludf.DUMMYFUNCTION("INDEX(IMPORTRANGE(""17pNv02DXDpQT9S3w4-QeNym2QJy2BzMBqDXp-XtzJBM"", ""'JUA'!BG3:BG139""),MATCH($D101,IMPORTRANGE(""17pNv02DXDpQT9S3w4-QeNym2QJy2BzMBqDXp-XtzJBM"", ""'JUA'!D3:D139""),0))"),"")</f>
        <v/>
      </c>
      <c r="T101" s="13"/>
      <c r="U101" s="13"/>
      <c r="V101" s="13"/>
      <c r="W101" s="13"/>
      <c r="X101" s="13"/>
      <c r="Y101" s="361"/>
      <c r="Z101" s="349">
        <f ca="1">IFERROR(__xludf.DUMMYFUNCTION("INDEX(IMPORTRANGE(""17pNv02DXDpQT9S3w4-QeNym2QJy2BzMBqDXp-XtzJBM"", ""'JUA'!BH3:BH139""),MATCH($D101,IMPORTRANGE(""17pNv02DXDpQT9S3w4-QeNym2QJy2BzMBqDXp-XtzJBM"", ""'JUA'!D3:D139""),0))"),281374098.17)</f>
        <v>281374098.17000002</v>
      </c>
      <c r="AA101" s="453" t="str">
        <f ca="1">IFERROR(__xludf.DUMMYFUNCTION("INDEX(IMPORTRANGE(""17pNv02DXDpQT9S3w4-QeNym2QJy2BzMBqDXp-XtzJBM"", ""'JUA'!BI3:BI139""),MATCH($D101,IMPORTRANGE(""17pNv02DXDpQT9S3w4-QeNym2QJy2BzMBqDXp-XtzJBM"", ""'JUA'!D3:D139""),0))"),"")</f>
        <v/>
      </c>
      <c r="AB101" s="349">
        <f ca="1">IFERROR(__xludf.DUMMYFUNCTION("INDEX(IMPORTRANGE(""17pNv02DXDpQT9S3w4-QeNym2QJy2BzMBqDXp-XtzJBM"", ""'JUA'!BJ3:BJ139""),MATCH($D101,IMPORTRANGE(""17pNv02DXDpQT9S3w4-QeNym2QJy2BzMBqDXp-XtzJBM"", ""'JUA'!D3:D139""),0))"),291784292.42)</f>
        <v>291784292.42000002</v>
      </c>
      <c r="AC101" s="453" t="str">
        <f ca="1">IFERROR(__xludf.DUMMYFUNCTION("INDEX(IMPORTRANGE(""17pNv02DXDpQT9S3w4-QeNym2QJy2BzMBqDXp-XtzJBM"", ""'JUA'!BK3:BK139""),MATCH($D101,IMPORTRANGE(""17pNv02DXDpQT9S3w4-QeNym2QJy2BzMBqDXp-XtzJBM"", ""'JUA'!D3:D139""),0))"),"")</f>
        <v/>
      </c>
      <c r="AD101" s="349">
        <f ca="1">IFERROR(__xludf.DUMMYFUNCTION("INDEX(IMPORTRANGE(""17pNv02DXDpQT9S3w4-QeNym2QJy2BzMBqDXp-XtzJBM"", ""'JUA'!BL3:BL139""),MATCH($D101,IMPORTRANGE(""17pNv02DXDpQT9S3w4-QeNym2QJy2BzMBqDXp-XtzJBM"", ""'JUA'!D3:D139""),0))"),323036087.02)</f>
        <v>323036087.01999998</v>
      </c>
      <c r="AE101" s="349">
        <f ca="1">IFERROR(__xludf.DUMMYFUNCTION("INDEX(IMPORTRANGE(""17pNv02DXDpQT9S3w4-QeNym2QJy2BzMBqDXp-XtzJBM"", ""'JUA'!BM3:BM139""),MATCH($D101,IMPORTRANGE(""17pNv02DXDpQT9S3w4-QeNym2QJy2BzMBqDXp-XtzJBM"", ""'JUA'!D3:D139""),0))"),0)</f>
        <v>0</v>
      </c>
    </row>
    <row r="102" spans="1:31">
      <c r="A102" s="7" t="s">
        <v>275</v>
      </c>
      <c r="B102" s="7" t="s">
        <v>276</v>
      </c>
      <c r="C102" s="1" t="s">
        <v>30</v>
      </c>
      <c r="D102" s="7" t="s">
        <v>280</v>
      </c>
      <c r="E102" s="7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7" t="s">
        <v>369</v>
      </c>
      <c r="P102" s="1" t="s">
        <v>218</v>
      </c>
      <c r="Q102" s="349">
        <v>1935519370.6099999</v>
      </c>
      <c r="R102" s="349">
        <v>1935519370.6099999</v>
      </c>
      <c r="S102" s="349" t="str">
        <f ca="1">IFERROR(__xludf.DUMMYFUNCTION("INDEX(IMPORTRANGE(""17pNv02DXDpQT9S3w4-QeNym2QJy2BzMBqDXp-XtzJBM"", ""'JUA'!BG3:BG139""),MATCH($D102,IMPORTRANGE(""17pNv02DXDpQT9S3w4-QeNym2QJy2BzMBqDXp-XtzJBM"", ""'JUA'!D3:D139""),0))"),"")</f>
        <v/>
      </c>
      <c r="T102" s="13"/>
      <c r="U102" s="13"/>
      <c r="V102" s="13"/>
      <c r="W102" s="13"/>
      <c r="X102" s="13"/>
      <c r="Y102" s="361"/>
      <c r="Z102" s="349">
        <f ca="1">IFERROR(__xludf.DUMMYFUNCTION("INDEX(IMPORTRANGE(""17pNv02DXDpQT9S3w4-QeNym2QJy2BzMBqDXp-XtzJBM"", ""'JUA'!BH3:BH139""),MATCH($D102,IMPORTRANGE(""17pNv02DXDpQT9S3w4-QeNym2QJy2BzMBqDXp-XtzJBM"", ""'JUA'!D3:D139""),0))"),1935519370.61)</f>
        <v>1935519370.6099999</v>
      </c>
      <c r="AA102" s="453" t="str">
        <f ca="1">IFERROR(__xludf.DUMMYFUNCTION("INDEX(IMPORTRANGE(""17pNv02DXDpQT9S3w4-QeNym2QJy2BzMBqDXp-XtzJBM"", ""'JUA'!BI3:BI139""),MATCH($D102,IMPORTRANGE(""17pNv02DXDpQT9S3w4-QeNym2QJy2BzMBqDXp-XtzJBM"", ""'JUA'!D3:D139""),0))"),"")</f>
        <v/>
      </c>
      <c r="AB102" s="349">
        <f ca="1">IFERROR(__xludf.DUMMYFUNCTION("INDEX(IMPORTRANGE(""17pNv02DXDpQT9S3w4-QeNym2QJy2BzMBqDXp-XtzJBM"", ""'JUA'!BJ3:BJ139""),MATCH($D102,IMPORTRANGE(""17pNv02DXDpQT9S3w4-QeNym2QJy2BzMBqDXp-XtzJBM"", ""'JUA'!D3:D139""),0))"),1904889253.01)</f>
        <v>1904889253.01</v>
      </c>
      <c r="AC102" s="453" t="str">
        <f ca="1">IFERROR(__xludf.DUMMYFUNCTION("INDEX(IMPORTRANGE(""17pNv02DXDpQT9S3w4-QeNym2QJy2BzMBqDXp-XtzJBM"", ""'JUA'!BK3:BK139""),MATCH($D102,IMPORTRANGE(""17pNv02DXDpQT9S3w4-QeNym2QJy2BzMBqDXp-XtzJBM"", ""'JUA'!D3:D139""),0))"),"")</f>
        <v/>
      </c>
      <c r="AD102" s="349">
        <f ca="1">IFERROR(__xludf.DUMMYFUNCTION("INDEX(IMPORTRANGE(""17pNv02DXDpQT9S3w4-QeNym2QJy2BzMBqDXp-XtzJBM"", ""'JUA'!BL3:BL139""),MATCH($D102,IMPORTRANGE(""17pNv02DXDpQT9S3w4-QeNym2QJy2BzMBqDXp-XtzJBM"", ""'JUA'!D3:D139""),0))"),1877200842.68)</f>
        <v>1877200842.6800001</v>
      </c>
      <c r="AE102" s="349">
        <f ca="1">IFERROR(__xludf.DUMMYFUNCTION("INDEX(IMPORTRANGE(""17pNv02DXDpQT9S3w4-QeNym2QJy2BzMBqDXp-XtzJBM"", ""'JUA'!BM3:BM139""),MATCH($D102,IMPORTRANGE(""17pNv02DXDpQT9S3w4-QeNym2QJy2BzMBqDXp-XtzJBM"", ""'JUA'!D3:D139""),0))"),0)</f>
        <v>0</v>
      </c>
    </row>
    <row r="103" spans="1:31">
      <c r="A103" s="7" t="s">
        <v>275</v>
      </c>
      <c r="B103" s="7" t="s">
        <v>276</v>
      </c>
      <c r="C103" s="1" t="s">
        <v>36</v>
      </c>
      <c r="D103" s="7" t="s">
        <v>282</v>
      </c>
      <c r="E103" s="7" t="s">
        <v>278</v>
      </c>
      <c r="F103" s="9" t="s">
        <v>283</v>
      </c>
      <c r="G103" s="7" t="s">
        <v>213</v>
      </c>
      <c r="H103" s="1" t="s">
        <v>214</v>
      </c>
      <c r="I103" s="2" t="s">
        <v>368</v>
      </c>
      <c r="J103" s="7" t="s">
        <v>215</v>
      </c>
      <c r="K103" s="13"/>
      <c r="L103" s="7" t="s">
        <v>216</v>
      </c>
      <c r="M103" s="13"/>
      <c r="N103" s="7" t="s">
        <v>217</v>
      </c>
      <c r="O103" s="7" t="s">
        <v>369</v>
      </c>
      <c r="P103" s="1" t="s">
        <v>218</v>
      </c>
      <c r="Q103" s="15">
        <f t="shared" ref="Q103:R103" si="20">Q101/Q102</f>
        <v>0.14537395101415179</v>
      </c>
      <c r="R103" s="15">
        <f t="shared" si="20"/>
        <v>0.14537395101415179</v>
      </c>
      <c r="S103" s="15" t="str">
        <f ca="1">IFERROR(__xludf.DUMMYFUNCTION("INDEX(IMPORTRANGE(""17pNv02DXDpQT9S3w4-QeNym2QJy2BzMBqDXp-XtzJBM"", ""'JUA'!BG3:BG139""),MATCH($D103,IMPORTRANGE(""17pNv02DXDpQT9S3w4-QeNym2QJy2BzMBqDXp-XtzJBM"", ""'JUA'!D3:D139""),0))"),"#DIV/0!")</f>
        <v>#DIV/0!</v>
      </c>
      <c r="T103" s="421"/>
      <c r="U103" s="431">
        <v>0.3896</v>
      </c>
      <c r="V103" s="421"/>
      <c r="W103" s="444">
        <v>0.40010000000000001</v>
      </c>
      <c r="X103" s="15">
        <f>(Y103-W103)/6*5+W103</f>
        <v>0.40659999999999996</v>
      </c>
      <c r="Y103" s="444">
        <v>0.40789999999999998</v>
      </c>
      <c r="Z103" s="15">
        <f ca="1">IFERROR(__xludf.DUMMYFUNCTION("INDEX(IMPORTRANGE(""17pNv02DXDpQT9S3w4-QeNym2QJy2BzMBqDXp-XtzJBM"", ""'JUA'!BH3:BH139""),MATCH($D103,IMPORTRANGE(""17pNv02DXDpQT9S3w4-QeNym2QJy2BzMBqDXp-XtzJBM"", ""'JUA'!D3:D139""),0))"),0.145373951014151)</f>
        <v>0.14537395101415099</v>
      </c>
      <c r="AA103" s="450" t="str">
        <f ca="1">IFERROR(__xludf.DUMMYFUNCTION("INDEX(IMPORTRANGE(""17pNv02DXDpQT9S3w4-QeNym2QJy2BzMBqDXp-XtzJBM"", ""'JUA'!BI3:BI139""),MATCH($D103,IMPORTRANGE(""17pNv02DXDpQT9S3w4-QeNym2QJy2BzMBqDXp-XtzJBM"", ""'JUA'!D3:D139""),0))"),"")</f>
        <v/>
      </c>
      <c r="AB103" s="15">
        <f ca="1">IFERROR(__xludf.DUMMYFUNCTION("INDEX(IMPORTRANGE(""17pNv02DXDpQT9S3w4-QeNym2QJy2BzMBqDXp-XtzJBM"", ""'JUA'!BJ3:BJ139""),MATCH($D103,IMPORTRANGE(""17pNv02DXDpQT9S3w4-QeNym2QJy2BzMBqDXp-XtzJBM"", ""'JUA'!D3:D139""),0))"),0.15317651247123)</f>
        <v>0.15317651247122999</v>
      </c>
      <c r="AC103" s="450" t="str">
        <f ca="1">IFERROR(__xludf.DUMMYFUNCTION("INDEX(IMPORTRANGE(""17pNv02DXDpQT9S3w4-QeNym2QJy2BzMBqDXp-XtzJBM"", ""'JUA'!BK3:BK139""),MATCH($D103,IMPORTRANGE(""17pNv02DXDpQT9S3w4-QeNym2QJy2BzMBqDXp-XtzJBM"", ""'JUA'!D3:D139""),0))"),"")</f>
        <v/>
      </c>
      <c r="AD103" s="15">
        <f ca="1">IFERROR(__xludf.DUMMYFUNCTION("INDEX(IMPORTRANGE(""17pNv02DXDpQT9S3w4-QeNym2QJy2BzMBqDXp-XtzJBM"", ""'JUA'!BL3:BL139""),MATCH($D103,IMPORTRANGE(""17pNv02DXDpQT9S3w4-QeNym2QJy2BzMBqDXp-XtzJBM"", ""'JUA'!D3:D139""),0))"),0.172083923933687)</f>
        <v>0.17208392393368699</v>
      </c>
      <c r="AE103" s="15" t="str">
        <f ca="1">IFERROR(__xludf.DUMMYFUNCTION("INDEX(IMPORTRANGE(""17pNv02DXDpQT9S3w4-QeNym2QJy2BzMBqDXp-XtzJBM"", ""'JUA'!BM3:BM139""),MATCH($D103,IMPORTRANGE(""17pNv02DXDpQT9S3w4-QeNym2QJy2BzMBqDXp-XtzJBM"", ""'JUA'!D3:D139""),0))"),"")</f>
        <v/>
      </c>
    </row>
    <row r="104" spans="1:31">
      <c r="A104" s="7" t="s">
        <v>275</v>
      </c>
      <c r="B104" s="7" t="s">
        <v>284</v>
      </c>
      <c r="C104" s="1" t="s">
        <v>30</v>
      </c>
      <c r="D104" s="7" t="s">
        <v>285</v>
      </c>
      <c r="E104" s="7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7" t="s">
        <v>369</v>
      </c>
      <c r="P104" s="1" t="s">
        <v>218</v>
      </c>
      <c r="Q104" s="349">
        <v>1612362381</v>
      </c>
      <c r="R104" s="349">
        <v>1612362381</v>
      </c>
      <c r="S104" s="349" t="str">
        <f ca="1">IFERROR(__xludf.DUMMYFUNCTION("INDEX(IMPORTRANGE(""17pNv02DXDpQT9S3w4-QeNym2QJy2BzMBqDXp-XtzJBM"", ""'JUA'!BG3:BG139""),MATCH($D104,IMPORTRANGE(""17pNv02DXDpQT9S3w4-QeNym2QJy2BzMBqDXp-XtzJBM"", ""'JUA'!D3:D139""),0))"),"")</f>
        <v/>
      </c>
      <c r="T104" s="13"/>
      <c r="U104" s="13"/>
      <c r="V104" s="13"/>
      <c r="W104" s="13"/>
      <c r="X104" s="181"/>
      <c r="Y104" s="361"/>
      <c r="Z104" s="349">
        <f ca="1">IFERROR(__xludf.DUMMYFUNCTION("INDEX(IMPORTRANGE(""17pNv02DXDpQT9S3w4-QeNym2QJy2BzMBqDXp-XtzJBM"", ""'JUA'!BH3:BH139""),MATCH($D104,IMPORTRANGE(""17pNv02DXDpQT9S3w4-QeNym2QJy2BzMBqDXp-XtzJBM"", ""'JUA'!D3:D139""),0))"),1612362381)</f>
        <v>1612362381</v>
      </c>
      <c r="AA104" s="453" t="str">
        <f ca="1">IFERROR(__xludf.DUMMYFUNCTION("INDEX(IMPORTRANGE(""17pNv02DXDpQT9S3w4-QeNym2QJy2BzMBqDXp-XtzJBM"", ""'JUA'!BI3:BI139""),MATCH($D104,IMPORTRANGE(""17pNv02DXDpQT9S3w4-QeNym2QJy2BzMBqDXp-XtzJBM"", ""'JUA'!D3:D139""),0))"),"")</f>
        <v/>
      </c>
      <c r="AB104" s="349">
        <f ca="1">IFERROR(__xludf.DUMMYFUNCTION("INDEX(IMPORTRANGE(""17pNv02DXDpQT9S3w4-QeNym2QJy2BzMBqDXp-XtzJBM"", ""'JUA'!BJ3:BJ139""),MATCH($D104,IMPORTRANGE(""17pNv02DXDpQT9S3w4-QeNym2QJy2BzMBqDXp-XtzJBM"", ""'JUA'!D3:D139""),0))"),1572696639.48)</f>
        <v>1572696639.48</v>
      </c>
      <c r="AC104" s="453" t="str">
        <f ca="1">IFERROR(__xludf.DUMMYFUNCTION("INDEX(IMPORTRANGE(""17pNv02DXDpQT9S3w4-QeNym2QJy2BzMBqDXp-XtzJBM"", ""'JUA'!BK3:BK139""),MATCH($D104,IMPORTRANGE(""17pNv02DXDpQT9S3w4-QeNym2QJy2BzMBqDXp-XtzJBM"", ""'JUA'!D3:D139""),0))"),"")</f>
        <v/>
      </c>
      <c r="AD104" s="349">
        <f ca="1">IFERROR(__xludf.DUMMYFUNCTION("INDEX(IMPORTRANGE(""17pNv02DXDpQT9S3w4-QeNym2QJy2BzMBqDXp-XtzJBM"", ""'JUA'!BL3:BL139""),MATCH($D104,IMPORTRANGE(""17pNv02DXDpQT9S3w4-QeNym2QJy2BzMBqDXp-XtzJBM"", ""'JUA'!D3:D139""),0))"),1809752640.63)</f>
        <v>1809752640.6300001</v>
      </c>
      <c r="AE104" s="349">
        <f ca="1">IFERROR(__xludf.DUMMYFUNCTION("INDEX(IMPORTRANGE(""17pNv02DXDpQT9S3w4-QeNym2QJy2BzMBqDXp-XtzJBM"", ""'JUA'!BM3:BM139""),MATCH($D104,IMPORTRANGE(""17pNv02DXDpQT9S3w4-QeNym2QJy2BzMBqDXp-XtzJBM"", ""'JUA'!D3:D139""),0))"),0)</f>
        <v>0</v>
      </c>
    </row>
    <row r="105" spans="1:31">
      <c r="A105" s="7" t="s">
        <v>275</v>
      </c>
      <c r="B105" s="7" t="s">
        <v>276</v>
      </c>
      <c r="C105" s="1" t="s">
        <v>36</v>
      </c>
      <c r="D105" s="7" t="s">
        <v>287</v>
      </c>
      <c r="E105" s="7" t="s">
        <v>278</v>
      </c>
      <c r="F105" s="9" t="s">
        <v>288</v>
      </c>
      <c r="G105" s="7" t="s">
        <v>254</v>
      </c>
      <c r="H105" s="7" t="s">
        <v>254</v>
      </c>
      <c r="I105" s="2" t="s">
        <v>368</v>
      </c>
      <c r="J105" s="7" t="s">
        <v>254</v>
      </c>
      <c r="K105" s="13"/>
      <c r="L105" s="7" t="s">
        <v>255</v>
      </c>
      <c r="M105" s="13"/>
      <c r="N105" s="7" t="s">
        <v>256</v>
      </c>
      <c r="O105" s="7" t="s">
        <v>369</v>
      </c>
      <c r="P105" s="1" t="s">
        <v>218</v>
      </c>
      <c r="Q105" s="15">
        <f t="shared" ref="Q105:R105" si="21">Q101/Q104</f>
        <v>0.17451045837195084</v>
      </c>
      <c r="R105" s="15">
        <f t="shared" si="21"/>
        <v>0.17451045837195084</v>
      </c>
      <c r="S105" s="15">
        <f ca="1">IFERROR(__xludf.DUMMYFUNCTION("INDEX(IMPORTRANGE(""17pNv02DXDpQT9S3w4-QeNym2QJy2BzMBqDXp-XtzJBM"", ""'JUA'!BG3:BG139""),MATCH($D105,IMPORTRANGE(""17pNv02DXDpQT9S3w4-QeNym2QJy2BzMBqDXp-XtzJBM"", ""'JUA'!D3:D139""),0))"),0.17451045837195)</f>
        <v>0.17451045837195001</v>
      </c>
      <c r="T105" s="421"/>
      <c r="U105" s="431">
        <v>0.51829999999999998</v>
      </c>
      <c r="V105" s="421"/>
      <c r="W105" s="444">
        <v>0.52939999999999998</v>
      </c>
      <c r="X105" s="15">
        <f>(Y105-W105)/6*5+W105</f>
        <v>0.53789999999999993</v>
      </c>
      <c r="Y105" s="444">
        <v>0.53959999999999997</v>
      </c>
      <c r="Z105" s="15">
        <f ca="1">IFERROR(__xludf.DUMMYFUNCTION("INDEX(IMPORTRANGE(""17pNv02DXDpQT9S3w4-QeNym2QJy2BzMBqDXp-XtzJBM"", ""'JUA'!BH3:BH139""),MATCH($D105,IMPORTRANGE(""17pNv02DXDpQT9S3w4-QeNym2QJy2BzMBqDXp-XtzJBM"", ""'JUA'!D3:D139""),0))"),0.17451045837195)</f>
        <v>0.17451045837195001</v>
      </c>
      <c r="AA105" s="450" t="str">
        <f ca="1">IFERROR(__xludf.DUMMYFUNCTION("INDEX(IMPORTRANGE(""17pNv02DXDpQT9S3w4-QeNym2QJy2BzMBqDXp-XtzJBM"", ""'JUA'!BI3:BI139""),MATCH($D105,IMPORTRANGE(""17pNv02DXDpQT9S3w4-QeNym2QJy2BzMBqDXp-XtzJBM"", ""'JUA'!D3:D139""),0))"),"")</f>
        <v/>
      </c>
      <c r="AB105" s="15">
        <f ca="1">IFERROR(__xludf.DUMMYFUNCTION("INDEX(IMPORTRANGE(""17pNv02DXDpQT9S3w4-QeNym2QJy2BzMBqDXp-XtzJBM"", ""'JUA'!BJ3:BJ139""),MATCH($D105,IMPORTRANGE(""17pNv02DXDpQT9S3w4-QeNym2QJy2BzMBqDXp-XtzJBM"", ""'JUA'!D3:D139""),0))"),0.185531198512941)</f>
        <v>0.185531198512941</v>
      </c>
      <c r="AC105" s="450" t="str">
        <f ca="1">IFERROR(__xludf.DUMMYFUNCTION("INDEX(IMPORTRANGE(""17pNv02DXDpQT9S3w4-QeNym2QJy2BzMBqDXp-XtzJBM"", ""'JUA'!BK3:BK139""),MATCH($D105,IMPORTRANGE(""17pNv02DXDpQT9S3w4-QeNym2QJy2BzMBqDXp-XtzJBM"", ""'JUA'!D3:D139""),0))"),"")</f>
        <v/>
      </c>
      <c r="AD105" s="15">
        <f ca="1">IFERROR(__xludf.DUMMYFUNCTION("INDEX(IMPORTRANGE(""17pNv02DXDpQT9S3w4-QeNym2QJy2BzMBqDXp-XtzJBM"", ""'JUA'!BL3:BL139""),MATCH($D105,IMPORTRANGE(""17pNv02DXDpQT9S3w4-QeNym2QJy2BzMBqDXp-XtzJBM"", ""'JUA'!D3:D139""),0))"),0.178497370175156)</f>
        <v>0.17849737017515599</v>
      </c>
      <c r="AE105" s="15" t="str">
        <f ca="1">IFERROR(__xludf.DUMMYFUNCTION("INDEX(IMPORTRANGE(""17pNv02DXDpQT9S3w4-QeNym2QJy2BzMBqDXp-XtzJBM"", ""'JUA'!BM3:BM139""),MATCH($D105,IMPORTRANGE(""17pNv02DXDpQT9S3w4-QeNym2QJy2BzMBqDXp-XtzJBM"", ""'JUA'!D3:D139""),0))"),"")</f>
        <v/>
      </c>
    </row>
    <row r="106" spans="1:31">
      <c r="A106" s="7" t="s">
        <v>275</v>
      </c>
      <c r="B106" s="7" t="s">
        <v>276</v>
      </c>
      <c r="C106" s="1" t="s">
        <v>30</v>
      </c>
      <c r="D106" s="7" t="s">
        <v>289</v>
      </c>
      <c r="E106" s="7" t="s">
        <v>38</v>
      </c>
      <c r="F106" s="9" t="s">
        <v>112</v>
      </c>
      <c r="G106" s="7" t="s">
        <v>213</v>
      </c>
      <c r="H106" s="1" t="s">
        <v>214</v>
      </c>
      <c r="I106" s="2" t="s">
        <v>370</v>
      </c>
      <c r="J106" s="7" t="s">
        <v>215</v>
      </c>
      <c r="K106" s="13"/>
      <c r="L106" s="7" t="s">
        <v>216</v>
      </c>
      <c r="M106" s="13"/>
      <c r="N106" s="7" t="s">
        <v>217</v>
      </c>
      <c r="O106" s="7" t="s">
        <v>361</v>
      </c>
      <c r="P106" s="1" t="s">
        <v>218</v>
      </c>
      <c r="Q106" s="12">
        <v>217568</v>
      </c>
      <c r="R106" s="12">
        <v>217568</v>
      </c>
      <c r="S106" s="12">
        <f ca="1">IFERROR(__xludf.DUMMYFUNCTION("INDEX(IMPORTRANGE(""17pNv02DXDpQT9S3w4-QeNym2QJy2BzMBqDXp-XtzJBM"", ""'JUA'!BG3:BG139""),MATCH($D106,IMPORTRANGE(""17pNv02DXDpQT9S3w4-QeNym2QJy2BzMBqDXp-XtzJBM"", ""'JUA'!D3:D139""),0))"),217568)</f>
        <v>217568</v>
      </c>
      <c r="T106" s="13"/>
      <c r="U106" s="13"/>
      <c r="V106" s="13"/>
      <c r="W106" s="13"/>
      <c r="X106" s="181"/>
      <c r="Y106" s="316"/>
      <c r="Z106" s="12">
        <f ca="1">IFERROR(__xludf.DUMMYFUNCTION("INDEX(IMPORTRANGE(""17pNv02DXDpQT9S3w4-QeNym2QJy2BzMBqDXp-XtzJBM"", ""'JUA'!BH3:BH139""),MATCH($D106,IMPORTRANGE(""17pNv02DXDpQT9S3w4-QeNym2QJy2BzMBqDXp-XtzJBM"", ""'JUA'!D3:D139""),0))"),217568)</f>
        <v>217568</v>
      </c>
      <c r="AA106" s="249" t="str">
        <f ca="1">IFERROR(__xludf.DUMMYFUNCTION("INDEX(IMPORTRANGE(""17pNv02DXDpQT9S3w4-QeNym2QJy2BzMBqDXp-XtzJBM"", ""'JUA'!BI3:BI139""),MATCH($D106,IMPORTRANGE(""17pNv02DXDpQT9S3w4-QeNym2QJy2BzMBqDXp-XtzJBM"", ""'JUA'!D3:D139""),0))"),"")</f>
        <v/>
      </c>
      <c r="AB106" s="12">
        <f ca="1">IFERROR(__xludf.DUMMYFUNCTION("INDEX(IMPORTRANGE(""17pNv02DXDpQT9S3w4-QeNym2QJy2BzMBqDXp-XtzJBM"", ""'JUA'!BJ3:BJ139""),MATCH($D106,IMPORTRANGE(""17pNv02DXDpQT9S3w4-QeNym2QJy2BzMBqDXp-XtzJBM"", ""'JUA'!D3:D139""),0))"),227977)</f>
        <v>227977</v>
      </c>
      <c r="AC106" s="249" t="str">
        <f ca="1">IFERROR(__xludf.DUMMYFUNCTION("INDEX(IMPORTRANGE(""17pNv02DXDpQT9S3w4-QeNym2QJy2BzMBqDXp-XtzJBM"", ""'JUA'!BK3:BK139""),MATCH($D106,IMPORTRANGE(""17pNv02DXDpQT9S3w4-QeNym2QJy2BzMBqDXp-XtzJBM"", ""'JUA'!D3:D139""),0))"),"")</f>
        <v/>
      </c>
      <c r="AD106" s="12">
        <f ca="1">IFERROR(__xludf.DUMMYFUNCTION("INDEX(IMPORTRANGE(""17pNv02DXDpQT9S3w4-QeNym2QJy2BzMBqDXp-XtzJBM"", ""'JUA'!BL3:BL139""),MATCH($D106,IMPORTRANGE(""17pNv02DXDpQT9S3w4-QeNym2QJy2BzMBqDXp-XtzJBM"", ""'JUA'!D3:D139""),0))"),234745)</f>
        <v>234745</v>
      </c>
      <c r="AE106" s="12">
        <f ca="1">IFERROR(__xludf.DUMMYFUNCTION("INDEX(IMPORTRANGE(""17pNv02DXDpQT9S3w4-QeNym2QJy2BzMBqDXp-XtzJBM"", ""'JUA'!BM3:BM139""),MATCH($D106,IMPORTRANGE(""17pNv02DXDpQT9S3w4-QeNym2QJy2BzMBqDXp-XtzJBM"", ""'JUA'!D3:D139""),0))"),239222)</f>
        <v>239222</v>
      </c>
    </row>
    <row r="107" spans="1:31">
      <c r="A107" s="7" t="s">
        <v>275</v>
      </c>
      <c r="B107" s="7" t="s">
        <v>276</v>
      </c>
      <c r="C107" s="1" t="s">
        <v>30</v>
      </c>
      <c r="D107" s="7" t="s">
        <v>290</v>
      </c>
      <c r="E107" s="7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7" t="s">
        <v>366</v>
      </c>
      <c r="P107" s="1" t="s">
        <v>218</v>
      </c>
      <c r="Q107" s="12">
        <v>62385</v>
      </c>
      <c r="R107" s="12">
        <v>62385</v>
      </c>
      <c r="S107" s="12">
        <f ca="1">IFERROR(__xludf.DUMMYFUNCTION("INDEX(IMPORTRANGE(""17pNv02DXDpQT9S3w4-QeNym2QJy2BzMBqDXp-XtzJBM"", ""'JUA'!BG3:BG139""),MATCH($D107,IMPORTRANGE(""17pNv02DXDpQT9S3w4-QeNym2QJy2BzMBqDXp-XtzJBM"", ""'JUA'!D3:D139""),0))"),46278)</f>
        <v>46278</v>
      </c>
      <c r="T107" s="1"/>
      <c r="U107" s="1"/>
      <c r="V107" s="1"/>
      <c r="W107" s="1"/>
      <c r="X107" s="250"/>
      <c r="Y107" s="28"/>
      <c r="Z107" s="12">
        <f ca="1">IFERROR(__xludf.DUMMYFUNCTION("INDEX(IMPORTRANGE(""17pNv02DXDpQT9S3w4-QeNym2QJy2BzMBqDXp-XtzJBM"", ""'JUA'!BH3:BH139""),MATCH($D107,IMPORTRANGE(""17pNv02DXDpQT9S3w4-QeNym2QJy2BzMBqDXp-XtzJBM"", ""'JUA'!D3:D139""),0))"),62385)</f>
        <v>62385</v>
      </c>
      <c r="AA107" s="249" t="str">
        <f ca="1">IFERROR(__xludf.DUMMYFUNCTION("INDEX(IMPORTRANGE(""17pNv02DXDpQT9S3w4-QeNym2QJy2BzMBqDXp-XtzJBM"", ""'JUA'!BI3:BI139""),MATCH($D107,IMPORTRANGE(""17pNv02DXDpQT9S3w4-QeNym2QJy2BzMBqDXp-XtzJBM"", ""'JUA'!D3:D139""),0))"),"")</f>
        <v/>
      </c>
      <c r="AB107" s="12">
        <f ca="1">IFERROR(__xludf.DUMMYFUNCTION("INDEX(IMPORTRANGE(""17pNv02DXDpQT9S3w4-QeNym2QJy2BzMBqDXp-XtzJBM"", ""'JUA'!BJ3:BJ139""),MATCH($D107,IMPORTRANGE(""17pNv02DXDpQT9S3w4-QeNym2QJy2BzMBqDXp-XtzJBM"", ""'JUA'!D3:D139""),0))"),65668)</f>
        <v>65668</v>
      </c>
      <c r="AC107" s="249" t="str">
        <f ca="1">IFERROR(__xludf.DUMMYFUNCTION("INDEX(IMPORTRANGE(""17pNv02DXDpQT9S3w4-QeNym2QJy2BzMBqDXp-XtzJBM"", ""'JUA'!BK3:BK139""),MATCH($D107,IMPORTRANGE(""17pNv02DXDpQT9S3w4-QeNym2QJy2BzMBqDXp-XtzJBM"", ""'JUA'!D3:D139""),0))"),"")</f>
        <v/>
      </c>
      <c r="AD107" s="12">
        <f ca="1">IFERROR(__xludf.DUMMYFUNCTION("INDEX(IMPORTRANGE(""17pNv02DXDpQT9S3w4-QeNym2QJy2BzMBqDXp-XtzJBM"", ""'JUA'!BL3:BL139""),MATCH($D107,IMPORTRANGE(""17pNv02DXDpQT9S3w4-QeNym2QJy2BzMBqDXp-XtzJBM"", ""'JUA'!D3:D139""),0))"),64453)</f>
        <v>64453</v>
      </c>
      <c r="AE107" s="12">
        <f ca="1">IFERROR(__xludf.DUMMYFUNCTION("INDEX(IMPORTRANGE(""17pNv02DXDpQT9S3w4-QeNym2QJy2BzMBqDXp-XtzJBM"", ""'JUA'!BM3:BM139""),MATCH($D107,IMPORTRANGE(""17pNv02DXDpQT9S3w4-QeNym2QJy2BzMBqDXp-XtzJBM"", ""'JUA'!D3:D139""),0))"),62228)</f>
        <v>62228</v>
      </c>
    </row>
    <row r="108" spans="1:31">
      <c r="A108" s="7" t="s">
        <v>275</v>
      </c>
      <c r="B108" s="7" t="s">
        <v>276</v>
      </c>
      <c r="C108" s="1" t="s">
        <v>36</v>
      </c>
      <c r="D108" s="7" t="s">
        <v>292</v>
      </c>
      <c r="E108" s="7" t="s">
        <v>38</v>
      </c>
      <c r="F108" s="9" t="s">
        <v>293</v>
      </c>
      <c r="G108" s="7" t="s">
        <v>213</v>
      </c>
      <c r="H108" s="1" t="s">
        <v>214</v>
      </c>
      <c r="I108" s="2" t="s">
        <v>365</v>
      </c>
      <c r="J108" s="7" t="s">
        <v>215</v>
      </c>
      <c r="K108" s="13"/>
      <c r="L108" s="7" t="s">
        <v>216</v>
      </c>
      <c r="M108" s="13"/>
      <c r="N108" s="7" t="s">
        <v>217</v>
      </c>
      <c r="O108" s="7" t="s">
        <v>366</v>
      </c>
      <c r="P108" s="1" t="s">
        <v>218</v>
      </c>
      <c r="Q108" s="15">
        <f t="shared" ref="Q108:R108" si="22">Q107/Q106</f>
        <v>0.28673793940285336</v>
      </c>
      <c r="R108" s="451">
        <f t="shared" si="22"/>
        <v>0.28673793940285336</v>
      </c>
      <c r="S108" s="451">
        <f ca="1">IFERROR(__xludf.DUMMYFUNCTION("INDEX(IMPORTRANGE(""17pNv02DXDpQT9S3w4-QeNym2QJy2BzMBqDXp-XtzJBM"", ""'JUA'!BG3:BG139""),MATCH($D108,IMPORTRANGE(""17pNv02DXDpQT9S3w4-QeNym2QJy2BzMBqDXp-XtzJBM"", ""'JUA'!D3:D139""),0))"),0.21270591263421)</f>
        <v>0.21270591263420999</v>
      </c>
      <c r="T108" s="421"/>
      <c r="U108" s="426">
        <v>0.58089999999999997</v>
      </c>
      <c r="V108" s="421"/>
      <c r="W108" s="444">
        <v>0.58989999999999998</v>
      </c>
      <c r="X108" s="15">
        <f>(Y108-W108)/6*5+W108</f>
        <v>0.58606666666666674</v>
      </c>
      <c r="Y108" s="444">
        <v>0.58530000000000004</v>
      </c>
      <c r="Z108" s="15">
        <f ca="1">IFERROR(__xludf.DUMMYFUNCTION("INDEX(IMPORTRANGE(""17pNv02DXDpQT9S3w4-QeNym2QJy2BzMBqDXp-XtzJBM"", ""'JUA'!BH3:BH139""),MATCH($D108,IMPORTRANGE(""17pNv02DXDpQT9S3w4-QeNym2QJy2BzMBqDXp-XtzJBM"", ""'JUA'!D3:D139""),0))"),0.286737939402853)</f>
        <v>0.28673793940285303</v>
      </c>
      <c r="AA108" s="450" t="str">
        <f ca="1">IFERROR(__xludf.DUMMYFUNCTION("INDEX(IMPORTRANGE(""17pNv02DXDpQT9S3w4-QeNym2QJy2BzMBqDXp-XtzJBM"", ""'JUA'!BI3:BI139""),MATCH($D108,IMPORTRANGE(""17pNv02DXDpQT9S3w4-QeNym2QJy2BzMBqDXp-XtzJBM"", ""'JUA'!D3:D139""),0))"),"")</f>
        <v/>
      </c>
      <c r="AB108" s="15">
        <f ca="1">IFERROR(__xludf.DUMMYFUNCTION("INDEX(IMPORTRANGE(""17pNv02DXDpQT9S3w4-QeNym2QJy2BzMBqDXp-XtzJBM"", ""'JUA'!BJ3:BJ139""),MATCH($D108,IMPORTRANGE(""17pNv02DXDpQT9S3w4-QeNym2QJy2BzMBqDXp-XtzJBM"", ""'JUA'!D3:D139""),0))"),0.288046601192225)</f>
        <v>0.28804660119222503</v>
      </c>
      <c r="AC108" s="450" t="str">
        <f ca="1">IFERROR(__xludf.DUMMYFUNCTION("INDEX(IMPORTRANGE(""17pNv02DXDpQT9S3w4-QeNym2QJy2BzMBqDXp-XtzJBM"", ""'JUA'!BK3:BK139""),MATCH($D108,IMPORTRANGE(""17pNv02DXDpQT9S3w4-QeNym2QJy2BzMBqDXp-XtzJBM"", ""'JUA'!D3:D139""),0))"),"")</f>
        <v/>
      </c>
      <c r="AD108" s="15">
        <f ca="1">IFERROR(__xludf.DUMMYFUNCTION("INDEX(IMPORTRANGE(""17pNv02DXDpQT9S3w4-QeNym2QJy2BzMBqDXp-XtzJBM"", ""'JUA'!BL3:BL139""),MATCH($D108,IMPORTRANGE(""17pNv02DXDpQT9S3w4-QeNym2QJy2BzMBqDXp-XtzJBM"", ""'JUA'!D3:D139""),0))"),0.274566018445547)</f>
        <v>0.27456601844554701</v>
      </c>
      <c r="AE108" s="15">
        <f ca="1">IFERROR(__xludf.DUMMYFUNCTION("INDEX(IMPORTRANGE(""17pNv02DXDpQT9S3w4-QeNym2QJy2BzMBqDXp-XtzJBM"", ""'JUA'!BM3:BM139""),MATCH($D108,IMPORTRANGE(""17pNv02DXDpQT9S3w4-QeNym2QJy2BzMBqDXp-XtzJBM"", ""'JUA'!D3:D139""),0))"),0.260126576987066)</f>
        <v>0.26012657698706598</v>
      </c>
    </row>
    <row r="109" spans="1:31">
      <c r="A109" s="7" t="s">
        <v>275</v>
      </c>
      <c r="B109" s="7" t="s">
        <v>276</v>
      </c>
      <c r="C109" s="7" t="s">
        <v>30</v>
      </c>
      <c r="D109" s="7" t="s">
        <v>294</v>
      </c>
      <c r="E109" s="7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7" t="s">
        <v>366</v>
      </c>
      <c r="P109" s="1" t="s">
        <v>218</v>
      </c>
      <c r="Q109" s="36"/>
      <c r="R109" s="36"/>
      <c r="S109" s="36">
        <f ca="1">IFERROR(__xludf.DUMMYFUNCTION("INDEX(IMPORTRANGE(""17pNv02DXDpQT9S3w4-QeNym2QJy2BzMBqDXp-XtzJBM"", ""'JUA'!BG3:BG139""),MATCH($D109,IMPORTRANGE(""17pNv02DXDpQT9S3w4-QeNym2QJy2BzMBqDXp-XtzJBM"", ""'JUA'!D3:D139""),0))"),88907292.59)</f>
        <v>88907292.590000004</v>
      </c>
      <c r="T109" s="1"/>
      <c r="U109" s="1"/>
      <c r="V109" s="1"/>
      <c r="W109" s="1"/>
      <c r="X109" s="250"/>
      <c r="Y109" s="51"/>
      <c r="Z109" s="36">
        <f ca="1">IFERROR(__xludf.DUMMYFUNCTION("INDEX(IMPORTRANGE(""17pNv02DXDpQT9S3w4-QeNym2QJy2BzMBqDXp-XtzJBM"", ""'JUA'!BH3:BH139""),MATCH($D109,IMPORTRANGE(""17pNv02DXDpQT9S3w4-QeNym2QJy2BzMBqDXp-XtzJBM"", ""'JUA'!D3:D139""),0))"),104356062.22)</f>
        <v>104356062.22</v>
      </c>
      <c r="AA109" s="336" t="str">
        <f ca="1">IFERROR(__xludf.DUMMYFUNCTION("INDEX(IMPORTRANGE(""17pNv02DXDpQT9S3w4-QeNym2QJy2BzMBqDXp-XtzJBM"", ""'JUA'!BI3:BI139""),MATCH($D109,IMPORTRANGE(""17pNv02DXDpQT9S3w4-QeNym2QJy2BzMBqDXp-XtzJBM"", ""'JUA'!D3:D139""),0))"),"")</f>
        <v/>
      </c>
      <c r="AB109" s="36">
        <f ca="1">IFERROR(__xludf.DUMMYFUNCTION("INDEX(IMPORTRANGE(""17pNv02DXDpQT9S3w4-QeNym2QJy2BzMBqDXp-XtzJBM"", ""'JUA'!BJ3:BJ139""),MATCH($D109,IMPORTRANGE(""17pNv02DXDpQT9S3w4-QeNym2QJy2BzMBqDXp-XtzJBM"", ""'JUA'!D3:D139""),0))"),74978109.8)</f>
        <v>74978109.799999997</v>
      </c>
      <c r="AC109" s="336" t="str">
        <f ca="1">IFERROR(__xludf.DUMMYFUNCTION("INDEX(IMPORTRANGE(""17pNv02DXDpQT9S3w4-QeNym2QJy2BzMBqDXp-XtzJBM"", ""'JUA'!BK3:BK139""),MATCH($D109,IMPORTRANGE(""17pNv02DXDpQT9S3w4-QeNym2QJy2BzMBqDXp-XtzJBM"", ""'JUA'!D3:D139""),0))"),"")</f>
        <v/>
      </c>
      <c r="AD109" s="36">
        <f ca="1">IFERROR(__xludf.DUMMYFUNCTION("INDEX(IMPORTRANGE(""17pNv02DXDpQT9S3w4-QeNym2QJy2BzMBqDXp-XtzJBM"", ""'JUA'!BL3:BL139""),MATCH($D109,IMPORTRANGE(""17pNv02DXDpQT9S3w4-QeNym2QJy2BzMBqDXp-XtzJBM"", ""'JUA'!D3:D139""),0))"),124713159.14)</f>
        <v>124713159.14</v>
      </c>
      <c r="AE109" s="36">
        <f ca="1">IFERROR(__xludf.DUMMYFUNCTION("INDEX(IMPORTRANGE(""17pNv02DXDpQT9S3w4-QeNym2QJy2BzMBqDXp-XtzJBM"", ""'JUA'!BM3:BM139""),MATCH($D109,IMPORTRANGE(""17pNv02DXDpQT9S3w4-QeNym2QJy2BzMBqDXp-XtzJBM"", ""'JUA'!D3:D139""),0))"),0)</f>
        <v>0</v>
      </c>
    </row>
    <row r="110" spans="1:31">
      <c r="A110" s="7" t="s">
        <v>275</v>
      </c>
      <c r="B110" s="7" t="s">
        <v>276</v>
      </c>
      <c r="C110" s="7" t="s">
        <v>36</v>
      </c>
      <c r="D110" s="7" t="s">
        <v>296</v>
      </c>
      <c r="E110" s="7" t="s">
        <v>38</v>
      </c>
      <c r="F110" s="9" t="s">
        <v>297</v>
      </c>
      <c r="G110" s="7" t="s">
        <v>213</v>
      </c>
      <c r="H110" s="1" t="s">
        <v>214</v>
      </c>
      <c r="I110" s="2" t="s">
        <v>365</v>
      </c>
      <c r="J110" s="7" t="s">
        <v>215</v>
      </c>
      <c r="K110" s="13"/>
      <c r="L110" s="7" t="s">
        <v>216</v>
      </c>
      <c r="M110" s="13"/>
      <c r="N110" s="7" t="s">
        <v>217</v>
      </c>
      <c r="O110" s="7" t="s">
        <v>366</v>
      </c>
      <c r="P110" s="1" t="s">
        <v>218</v>
      </c>
      <c r="Q110" s="36">
        <v>104356062.22</v>
      </c>
      <c r="R110" s="36">
        <v>104356062.22</v>
      </c>
      <c r="S110" s="36" t="str">
        <f ca="1">IFERROR(__xludf.DUMMYFUNCTION("INDEX(IMPORTRANGE(""17pNv02DXDpQT9S3w4-QeNym2QJy2BzMBqDXp-XtzJBM"", ""'JUA'!BG3:BG139""),MATCH($D110,IMPORTRANGE(""17pNv02DXDpQT9S3w4-QeNym2QJy2BzMBqDXp-XtzJBM"", ""'JUA'!D3:D139""),0))"),"")</f>
        <v/>
      </c>
      <c r="T110" s="421"/>
      <c r="U110" s="445">
        <v>106443183.45999999</v>
      </c>
      <c r="V110" s="421"/>
      <c r="W110" s="445">
        <v>108530304.70999999</v>
      </c>
      <c r="X110" s="36">
        <f>(Y110-W110)/6*5+W110</f>
        <v>110269572.41</v>
      </c>
      <c r="Y110" s="445">
        <v>110617425.95</v>
      </c>
      <c r="Z110" s="36" t="str">
        <f ca="1">IFERROR(__xludf.DUMMYFUNCTION("INDEX(IMPORTRANGE(""17pNv02DXDpQT9S3w4-QeNym2QJy2BzMBqDXp-XtzJBM"", ""'JUA'!BH3:BH139""),MATCH($D110,IMPORTRANGE(""17pNv02DXDpQT9S3w4-QeNym2QJy2BzMBqDXp-XtzJBM"", ""'JUA'!D3:D139""),0))"),"")</f>
        <v/>
      </c>
      <c r="AA110" s="336" t="str">
        <f ca="1">IFERROR(__xludf.DUMMYFUNCTION("INDEX(IMPORTRANGE(""17pNv02DXDpQT9S3w4-QeNym2QJy2BzMBqDXp-XtzJBM"", ""'JUA'!BI3:BI139""),MATCH($D110,IMPORTRANGE(""17pNv02DXDpQT9S3w4-QeNym2QJy2BzMBqDXp-XtzJBM"", ""'JUA'!D3:D139""),0))"),"")</f>
        <v/>
      </c>
      <c r="AB110" s="36">
        <f ca="1">IFERROR(__xludf.DUMMYFUNCTION("INDEX(IMPORTRANGE(""17pNv02DXDpQT9S3w4-QeNym2QJy2BzMBqDXp-XtzJBM"", ""'JUA'!BJ3:BJ139""),MATCH($D110,IMPORTRANGE(""17pNv02DXDpQT9S3w4-QeNym2QJy2BzMBqDXp-XtzJBM"", ""'JUA'!D3:D139""),0))"),96299808.46)</f>
        <v>96299808.459999993</v>
      </c>
      <c r="AC110" s="336" t="str">
        <f ca="1">IFERROR(__xludf.DUMMYFUNCTION("INDEX(IMPORTRANGE(""17pNv02DXDpQT9S3w4-QeNym2QJy2BzMBqDXp-XtzJBM"", ""'JUA'!BK3:BK139""),MATCH($D110,IMPORTRANGE(""17pNv02DXDpQT9S3w4-QeNym2QJy2BzMBqDXp-XtzJBM"", ""'JUA'!D3:D139""),0))"),"")</f>
        <v/>
      </c>
      <c r="AD110" s="36">
        <f ca="1">IFERROR(__xludf.DUMMYFUNCTION("INDEX(IMPORTRANGE(""17pNv02DXDpQT9S3w4-QeNym2QJy2BzMBqDXp-XtzJBM"", ""'JUA'!BL3:BL139""),MATCH($D110,IMPORTRANGE(""17pNv02DXDpQT9S3w4-QeNym2QJy2BzMBqDXp-XtzJBM"", ""'JUA'!D3:D139""),0))"),126965375.14)</f>
        <v>126965375.14</v>
      </c>
      <c r="AE110" s="36">
        <f ca="1">IFERROR(__xludf.DUMMYFUNCTION("INDEX(IMPORTRANGE(""17pNv02DXDpQT9S3w4-QeNym2QJy2BzMBqDXp-XtzJBM"", ""'JUA'!BM3:BM139""),MATCH($D110,IMPORTRANGE(""17pNv02DXDpQT9S3w4-QeNym2QJy2BzMBqDXp-XtzJBM"", ""'JUA'!D3:D139""),0))"),125581189.149999)</f>
        <v>125581189.14999899</v>
      </c>
    </row>
    <row r="111" spans="1:31">
      <c r="A111" s="7" t="s">
        <v>275</v>
      </c>
      <c r="B111" s="7" t="s">
        <v>298</v>
      </c>
      <c r="C111" s="1" t="s">
        <v>30</v>
      </c>
      <c r="D111" s="7" t="s">
        <v>299</v>
      </c>
      <c r="E111" s="7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7" t="s">
        <v>369</v>
      </c>
      <c r="P111" s="1" t="s">
        <v>218</v>
      </c>
      <c r="Q111" s="349">
        <v>2020876328.0999999</v>
      </c>
      <c r="R111" s="349">
        <v>2020876328.0999999</v>
      </c>
      <c r="S111" s="349">
        <f ca="1">IFERROR(__xludf.DUMMYFUNCTION("INDEX(IMPORTRANGE(""17pNv02DXDpQT9S3w4-QeNym2QJy2BzMBqDXp-XtzJBM"", ""'JUA'!BG3:BG139""),MATCH($D111,IMPORTRANGE(""17pNv02DXDpQT9S3w4-QeNym2QJy2BzMBqDXp-XtzJBM"", ""'JUA'!D3:D139""),0))"),0)</f>
        <v>0</v>
      </c>
      <c r="T111" s="13"/>
      <c r="U111" s="13"/>
      <c r="V111" s="13"/>
      <c r="W111" s="13"/>
      <c r="X111" s="181"/>
      <c r="Y111" s="330"/>
      <c r="Z111" s="349">
        <f ca="1">IFERROR(__xludf.DUMMYFUNCTION("INDEX(IMPORTRANGE(""17pNv02DXDpQT9S3w4-QeNym2QJy2BzMBqDXp-XtzJBM"", ""'JUA'!BH3:BH139""),MATCH($D111,IMPORTRANGE(""17pNv02DXDpQT9S3w4-QeNym2QJy2BzMBqDXp-XtzJBM"", ""'JUA'!D3:D139""),0))"),2020876328.1)</f>
        <v>2020876328.0999999</v>
      </c>
      <c r="AA111" s="453" t="str">
        <f ca="1">IFERROR(__xludf.DUMMYFUNCTION("INDEX(IMPORTRANGE(""17pNv02DXDpQT9S3w4-QeNym2QJy2BzMBqDXp-XtzJBM"", ""'JUA'!BI3:BI139""),MATCH($D111,IMPORTRANGE(""17pNv02DXDpQT9S3w4-QeNym2QJy2BzMBqDXp-XtzJBM"", ""'JUA'!D3:D139""),0))"),"")</f>
        <v/>
      </c>
      <c r="AB111" s="349">
        <f ca="1">IFERROR(__xludf.DUMMYFUNCTION("INDEX(IMPORTRANGE(""17pNv02DXDpQT9S3w4-QeNym2QJy2BzMBqDXp-XtzJBM"", ""'JUA'!BJ3:BJ139""),MATCH($D111,IMPORTRANGE(""17pNv02DXDpQT9S3w4-QeNym2QJy2BzMBqDXp-XtzJBM"", ""'JUA'!D3:D139""),0))"),1840841828.8)</f>
        <v>1840841828.8</v>
      </c>
      <c r="AC111" s="453" t="str">
        <f ca="1">IFERROR(__xludf.DUMMYFUNCTION("INDEX(IMPORTRANGE(""17pNv02DXDpQT9S3w4-QeNym2QJy2BzMBqDXp-XtzJBM"", ""'JUA'!BK3:BK139""),MATCH($D111,IMPORTRANGE(""17pNv02DXDpQT9S3w4-QeNym2QJy2BzMBqDXp-XtzJBM"", ""'JUA'!D3:D139""),0))"),"")</f>
        <v/>
      </c>
      <c r="AD111" s="349">
        <f ca="1">IFERROR(__xludf.DUMMYFUNCTION("INDEX(IMPORTRANGE(""17pNv02DXDpQT9S3w4-QeNym2QJy2BzMBqDXp-XtzJBM"", ""'JUA'!BL3:BL139""),MATCH($D111,IMPORTRANGE(""17pNv02DXDpQT9S3w4-QeNym2QJy2BzMBqDXp-XtzJBM"", ""'JUA'!D3:D139""),0))"),1922158126.11)</f>
        <v>1922158126.1099999</v>
      </c>
      <c r="AE111" s="349">
        <f ca="1">IFERROR(__xludf.DUMMYFUNCTION("INDEX(IMPORTRANGE(""17pNv02DXDpQT9S3w4-QeNym2QJy2BzMBqDXp-XtzJBM"", ""'JUA'!BM3:BM139""),MATCH($D111,IMPORTRANGE(""17pNv02DXDpQT9S3w4-QeNym2QJy2BzMBqDXp-XtzJBM"", ""'JUA'!D3:D139""),0))"),0)</f>
        <v>0</v>
      </c>
    </row>
    <row r="112" spans="1:31">
      <c r="A112" s="7" t="s">
        <v>275</v>
      </c>
      <c r="B112" s="7" t="s">
        <v>298</v>
      </c>
      <c r="C112" s="1" t="s">
        <v>36</v>
      </c>
      <c r="D112" s="7" t="s">
        <v>301</v>
      </c>
      <c r="E112" s="7" t="s">
        <v>278</v>
      </c>
      <c r="F112" s="9" t="s">
        <v>302</v>
      </c>
      <c r="G112" s="11" t="s">
        <v>307</v>
      </c>
      <c r="H112" s="13"/>
      <c r="I112" s="2" t="s">
        <v>368</v>
      </c>
      <c r="J112" s="1" t="s">
        <v>254</v>
      </c>
      <c r="K112" s="13"/>
      <c r="L112" s="1" t="s">
        <v>255</v>
      </c>
      <c r="M112" s="13"/>
      <c r="N112" s="1" t="s">
        <v>256</v>
      </c>
      <c r="O112" s="1" t="s">
        <v>369</v>
      </c>
      <c r="P112" s="1"/>
      <c r="Q112" s="15">
        <f t="shared" ref="Q112:R112" si="23">Q104/Q111</f>
        <v>0.79785306927511046</v>
      </c>
      <c r="R112" s="15">
        <f t="shared" si="23"/>
        <v>0.79785306927511046</v>
      </c>
      <c r="S112" s="15" t="str">
        <f ca="1">IFERROR(__xludf.DUMMYFUNCTION("INDEX(IMPORTRANGE(""17pNv02DXDpQT9S3w4-QeNym2QJy2BzMBqDXp-XtzJBM"", ""'JUA'!BG3:BG139""),MATCH($D112,IMPORTRANGE(""17pNv02DXDpQT9S3w4-QeNym2QJy2BzMBqDXp-XtzJBM"", ""'JUA'!D3:D139""),0))"),"#DIV/0!")</f>
        <v>#DIV/0!</v>
      </c>
      <c r="T112" s="431"/>
      <c r="U112" s="431">
        <f>$Q$112-(3.2%)/3</f>
        <v>0.78718640260844375</v>
      </c>
      <c r="V112" s="431"/>
      <c r="W112" s="431">
        <f>U112-(3.2%)/3</f>
        <v>0.77651973594177703</v>
      </c>
      <c r="X112" s="15">
        <f>(Y112-W112)/6*5+W112</f>
        <v>0.77513084705288815</v>
      </c>
      <c r="Y112" s="431">
        <f>R112-2.3%</f>
        <v>0.77485306927511044</v>
      </c>
      <c r="Z112" s="15">
        <f ca="1">IFERROR(__xludf.DUMMYFUNCTION("INDEX(IMPORTRANGE(""17pNv02DXDpQT9S3w4-QeNym2QJy2BzMBqDXp-XtzJBM"", ""'JUA'!BH3:BH139""),MATCH($D112,IMPORTRANGE(""17pNv02DXDpQT9S3w4-QeNym2QJy2BzMBqDXp-XtzJBM"", ""'JUA'!D3:D139""),0))"),0.79785306927511)</f>
        <v>0.79785306927511002</v>
      </c>
      <c r="AA112" s="450" t="str">
        <f ca="1">IFERROR(__xludf.DUMMYFUNCTION("INDEX(IMPORTRANGE(""17pNv02DXDpQT9S3w4-QeNym2QJy2BzMBqDXp-XtzJBM"", ""'JUA'!BI3:BI139""),MATCH($D112,IMPORTRANGE(""17pNv02DXDpQT9S3w4-QeNym2QJy2BzMBqDXp-XtzJBM"", ""'JUA'!D3:D139""),0))"),"")</f>
        <v/>
      </c>
      <c r="AB112" s="15">
        <f ca="1">IFERROR(__xludf.DUMMYFUNCTION("INDEX(IMPORTRANGE(""17pNv02DXDpQT9S3w4-QeNym2QJy2BzMBqDXp-XtzJBM"", ""'JUA'!BJ3:BJ139""),MATCH($D112,IMPORTRANGE(""17pNv02DXDpQT9S3w4-QeNym2QJy2BzMBqDXp-XtzJBM"", ""'JUA'!D3:D139""),0))"),0.854335562607898)</f>
        <v>0.854335562607898</v>
      </c>
      <c r="AC112" s="450" t="str">
        <f ca="1">IFERROR(__xludf.DUMMYFUNCTION("INDEX(IMPORTRANGE(""17pNv02DXDpQT9S3w4-QeNym2QJy2BzMBqDXp-XtzJBM"", ""'JUA'!BK3:BK139""),MATCH($D112,IMPORTRANGE(""17pNv02DXDpQT9S3w4-QeNym2QJy2BzMBqDXp-XtzJBM"", ""'JUA'!D3:D139""),0))"),"")</f>
        <v/>
      </c>
      <c r="AD112" s="15">
        <f ca="1">IFERROR(__xludf.DUMMYFUNCTION("INDEX(IMPORTRANGE(""17pNv02DXDpQT9S3w4-QeNym2QJy2BzMBqDXp-XtzJBM"", ""'JUA'!BL3:BL139""),MATCH($D112,IMPORTRANGE(""17pNv02DXDpQT9S3w4-QeNym2QJy2BzMBqDXp-XtzJBM"", ""'JUA'!D3:D139""),0))"),0.941521207879248)</f>
        <v>0.94152120787924798</v>
      </c>
      <c r="AE112" s="15" t="str">
        <f ca="1">IFERROR(__xludf.DUMMYFUNCTION("INDEX(IMPORTRANGE(""17pNv02DXDpQT9S3w4-QeNym2QJy2BzMBqDXp-XtzJBM"", ""'JUA'!BM3:BM139""),MATCH($D112,IMPORTRANGE(""17pNv02DXDpQT9S3w4-QeNym2QJy2BzMBqDXp-XtzJBM"", ""'JUA'!D3:D139""),0))"),"")</f>
        <v/>
      </c>
    </row>
    <row r="113" spans="1:31">
      <c r="A113" s="7" t="s">
        <v>275</v>
      </c>
      <c r="B113" s="7" t="s">
        <v>303</v>
      </c>
      <c r="C113" s="1" t="s">
        <v>36</v>
      </c>
      <c r="D113" s="7" t="s">
        <v>304</v>
      </c>
      <c r="E113" s="7" t="s">
        <v>305</v>
      </c>
      <c r="F113" s="9" t="s">
        <v>306</v>
      </c>
      <c r="G113" s="11" t="s">
        <v>307</v>
      </c>
      <c r="H113" s="13"/>
      <c r="I113" s="49">
        <v>44348</v>
      </c>
      <c r="J113" s="1" t="s">
        <v>254</v>
      </c>
      <c r="K113" s="13"/>
      <c r="L113" s="1" t="s">
        <v>255</v>
      </c>
      <c r="M113" s="13"/>
      <c r="N113" s="1" t="s">
        <v>256</v>
      </c>
      <c r="O113" s="348">
        <v>45444</v>
      </c>
      <c r="P113" s="1"/>
      <c r="Q113" s="30" t="s">
        <v>308</v>
      </c>
      <c r="R113" s="30" t="s">
        <v>308</v>
      </c>
      <c r="S113" s="30" t="str">
        <f ca="1">IFERROR(__xludf.DUMMYFUNCTION("INDEX(IMPORTRANGE(""17pNv02DXDpQT9S3w4-QeNym2QJy2BzMBqDXp-XtzJBM"", ""'JUA'!BG3:BG139""),MATCH($D113,IMPORTRANGE(""17pNv02DXDpQT9S3w4-QeNym2QJy2BzMBqDXp-XtzJBM"", ""'JUA'!D3:D139""),0))"),"Verde")</f>
        <v>Verde</v>
      </c>
      <c r="T113" s="421"/>
      <c r="U113" s="2" t="s">
        <v>308</v>
      </c>
      <c r="V113" s="421"/>
      <c r="W113" s="2" t="s">
        <v>308</v>
      </c>
      <c r="X113" s="2" t="s">
        <v>308</v>
      </c>
      <c r="Y113" s="2" t="s">
        <v>308</v>
      </c>
      <c r="Z113" s="2" t="str">
        <f ca="1">IFERROR(__xludf.DUMMYFUNCTION("INDEX(IMPORTRANGE(""17pNv02DXDpQT9S3w4-QeNym2QJy2BzMBqDXp-XtzJBM"", ""'JUA'!BH3:BH139""),MATCH($D113,IMPORTRANGE(""17pNv02DXDpQT9S3w4-QeNym2QJy2BzMBqDXp-XtzJBM"", ""'JUA'!D3:D139""),0))"),"Verde")</f>
        <v>Verde</v>
      </c>
      <c r="AA113" s="181" t="str">
        <f ca="1">IFERROR(__xludf.DUMMYFUNCTION("INDEX(IMPORTRANGE(""17pNv02DXDpQT9S3w4-QeNym2QJy2BzMBqDXp-XtzJBM"", ""'JUA'!BI3:BI139""),MATCH($D113,IMPORTRANGE(""17pNv02DXDpQT9S3w4-QeNym2QJy2BzMBqDXp-XtzJBM"", ""'JUA'!D3:D139""),0))"),"")</f>
        <v/>
      </c>
      <c r="AB113" s="2" t="str">
        <f ca="1">IFERROR(__xludf.DUMMYFUNCTION("INDEX(IMPORTRANGE(""17pNv02DXDpQT9S3w4-QeNym2QJy2BzMBqDXp-XtzJBM"", ""'JUA'!BJ3:BJ139""),MATCH($D113,IMPORTRANGE(""17pNv02DXDpQT9S3w4-QeNym2QJy2BzMBqDXp-XtzJBM"", ""'JUA'!D3:D139""),0))"),"Verde")</f>
        <v>Verde</v>
      </c>
      <c r="AC113" s="181" t="str">
        <f ca="1">IFERROR(__xludf.DUMMYFUNCTION("INDEX(IMPORTRANGE(""17pNv02DXDpQT9S3w4-QeNym2QJy2BzMBqDXp-XtzJBM"", ""'JUA'!BK3:BK139""),MATCH($D113,IMPORTRANGE(""17pNv02DXDpQT9S3w4-QeNym2QJy2BzMBqDXp-XtzJBM"", ""'JUA'!D3:D139""),0))"),"")</f>
        <v/>
      </c>
      <c r="AD113" s="2" t="str">
        <f ca="1">IFERROR(__xludf.DUMMYFUNCTION("INDEX(IMPORTRANGE(""17pNv02DXDpQT9S3w4-QeNym2QJy2BzMBqDXp-XtzJBM"", ""'JUA'!BL3:BL139""),MATCH($D113,IMPORTRANGE(""17pNv02DXDpQT9S3w4-QeNym2QJy2BzMBqDXp-XtzJBM"", ""'JUA'!D3:D139""),0))"),"Verde")</f>
        <v>Verde</v>
      </c>
      <c r="AE113" s="2" t="str">
        <f ca="1">IFERROR(__xludf.DUMMYFUNCTION("INDEX(IMPORTRANGE(""17pNv02DXDpQT9S3w4-QeNym2QJy2BzMBqDXp-XtzJBM"", ""'JUA'!BM3:BM139""),MATCH($D113,IMPORTRANGE(""17pNv02DXDpQT9S3w4-QeNym2QJy2BzMBqDXp-XtzJBM"", ""'JUA'!D3:D139""),0))"),"Verde")</f>
        <v>Verde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33357-D5B3-B742-9887-190CAE64EF06}">
  <dimension ref="A1:M39"/>
  <sheetViews>
    <sheetView workbookViewId="0">
      <selection activeCell="O4" sqref="O4"/>
    </sheetView>
  </sheetViews>
  <sheetFormatPr baseColWidth="10" defaultRowHeight="16"/>
  <cols>
    <col min="1" max="1" width="10.83203125" style="118"/>
    <col min="3" max="3" width="19.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JUA'!$D$3:$AE$113,6,0)</f>
        <v>44469</v>
      </c>
      <c r="E2" s="212">
        <f ca="1">VLOOKUP(C2,'BD EVA 5 JUA'!$D$3:$AE$113,16,0)</f>
        <v>376</v>
      </c>
      <c r="F2" s="75" t="str">
        <f>VLOOKUP(C2,'BD EVA 5 JUA'!$D$3:$AE$113,12,0)</f>
        <v>Ago 2024</v>
      </c>
      <c r="G2" s="212" t="s">
        <v>429</v>
      </c>
      <c r="H2" s="212">
        <f ca="1">VLOOKUP(C2,'BD EVA 5 JUA'!$D$3:$AE$113,21,0)</f>
        <v>435.53333333333336</v>
      </c>
      <c r="I2" s="78">
        <v>0</v>
      </c>
      <c r="J2" s="72" t="s">
        <v>316</v>
      </c>
      <c r="K2" s="81">
        <v>2.7</v>
      </c>
      <c r="L2" s="81">
        <f t="shared" ref="L2:L39" si="0">IF(I2&lt;0,0,IF(I2&gt;1,K2,I2*K2))</f>
        <v>0</v>
      </c>
      <c r="M2" s="124">
        <f>SUM(L2:L4)</f>
        <v>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JUA'!$D$3:$AE$113,6,0)</f>
        <v>44469</v>
      </c>
      <c r="E3" s="207">
        <f ca="1">VLOOKUP(C3,'BD EVA 5 JUA'!$D$3:$AE$113,16,0)</f>
        <v>0.77127659574467999</v>
      </c>
      <c r="F3" s="75" t="str">
        <f>VLOOKUP(C3,'BD EVA 5 JUA'!$D$3:$AE$113,12,0)</f>
        <v>Ago 2024</v>
      </c>
      <c r="G3" s="207" t="s">
        <v>429</v>
      </c>
      <c r="H3" s="207" t="str">
        <f>VLOOKUP(C3,'BD EVA 5 JUA'!$D$3:$AE$113,21,0)</f>
        <v>&gt;=97%</v>
      </c>
      <c r="I3" s="78">
        <v>0</v>
      </c>
      <c r="J3" s="75" t="s">
        <v>318</v>
      </c>
      <c r="K3" s="81">
        <v>3.8</v>
      </c>
      <c r="L3" s="81">
        <f t="shared" si="0"/>
        <v>0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JUA'!$D$3:$AE$113,6,0)</f>
        <v>44469</v>
      </c>
      <c r="E4" s="207">
        <f ca="1">VLOOKUP(C4,'BD EVA 5 JUA'!$D$3:$AE$113,16,0)</f>
        <v>2.3936170212765898E-2</v>
      </c>
      <c r="F4" s="89" t="str">
        <f>VLOOKUP(C4,'BD EVA 5 JUA'!$D$3:$AE$113,12,0)</f>
        <v>Ago 2024</v>
      </c>
      <c r="G4" s="207" t="s">
        <v>429</v>
      </c>
      <c r="H4" s="207">
        <f>VLOOKUP(C4,'BD EVA 5 JUA'!$D$3:$AE$113,21,0)</f>
        <v>0.04</v>
      </c>
      <c r="I4" s="77">
        <v>0</v>
      </c>
      <c r="J4" s="75" t="s">
        <v>318</v>
      </c>
      <c r="K4" s="81">
        <v>3.5</v>
      </c>
      <c r="L4" s="81">
        <f t="shared" si="0"/>
        <v>0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JUA'!$D$3:$AE$113,6,0)</f>
        <v>octubre 20 - agosto 21</v>
      </c>
      <c r="E5" s="207">
        <f ca="1">VLOOKUP(C5,'BD EVA 5 JUA'!$D$3:$AE$113,16,0)</f>
        <v>0</v>
      </c>
      <c r="F5" s="75" t="str">
        <f>VLOOKUP(C5,'BD EVA 5 JUA'!$D$3:$AE$113,12,0)</f>
        <v>octubre 23 - agosto 24</v>
      </c>
      <c r="G5" s="207">
        <f ca="1">VLOOKUP(C5,'BD EVA 5 JUA'!$D$3:$AE$113,28,0)</f>
        <v>0.31751305173231997</v>
      </c>
      <c r="H5" s="207">
        <f>VLOOKUP(C5,'BD EVA 5 JUA'!$D$3:$AE$113,21,0)</f>
        <v>0.23733333333333334</v>
      </c>
      <c r="I5" s="77">
        <f ca="1">G5/H5</f>
        <v>1.3378358921305615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6.6000000000000005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JUA'!$D$3:$AE$113,6,0)</f>
        <v>octubre 20 - agosto 21</v>
      </c>
      <c r="E6" s="209">
        <f ca="1">VLOOKUP(C6,'BD EVA 5 JUA'!$D$3:$AE$113,16,0)</f>
        <v>21.1518407020443</v>
      </c>
      <c r="F6" s="75" t="str">
        <f>VLOOKUP(C6,'BD EVA 5 JUA'!$D$3:$AE$113,12,0)</f>
        <v>octubre 23 - agosto 24</v>
      </c>
      <c r="G6" s="209">
        <f ca="1">VLOOKUP(C6,'BD EVA 5 JUA'!$D$3:$AE$113,28,0)</f>
        <v>40.040930729189803</v>
      </c>
      <c r="H6" s="209">
        <f ca="1">VLOOKUP(C6,'BD EVA 5 JUA'!$D$3:$AE$113,21,0)</f>
        <v>18.415217391304303</v>
      </c>
      <c r="I6" s="78">
        <f t="shared" ref="I6:I10" ca="1" si="1">(G6-E6)/(H6-E6)</f>
        <v>-6.9023346958327982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JUA'!$D$3:$AE$113,6,0)</f>
        <v>octubre 20 - agosto 21</v>
      </c>
      <c r="E7" s="208">
        <f ca="1">VLOOKUP(C7,'BD EVA 5 JUA'!$D$3:$AE$113,16,0)</f>
        <v>293.17435019577698</v>
      </c>
      <c r="F7" s="75" t="str">
        <f>VLOOKUP(C7,'BD EVA 5 JUA'!$D$3:$AE$113,12,0)</f>
        <v>octubre 23 - agosto 24</v>
      </c>
      <c r="G7" s="208">
        <f ca="1">VLOOKUP(C7,'BD EVA 5 JUA'!$D$3:$AE$113,28,0)</f>
        <v>231.11344227900801</v>
      </c>
      <c r="H7" s="208">
        <f ca="1">VLOOKUP(C7,'BD EVA 5 JUA'!$D$3:$AE$113,21,0)</f>
        <v>255.38984078847565</v>
      </c>
      <c r="I7" s="78">
        <f t="shared" ca="1" si="1"/>
        <v>1.6424960622825122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JUA'!$D$3:$AE$113,6,0)</f>
        <v>octubre 20 - agosto 21</v>
      </c>
      <c r="E8" s="208">
        <f ca="1">VLOOKUP(C8,'BD EVA 5 JUA'!$D$3:$AE$113,16,0)</f>
        <v>721.37614859413998</v>
      </c>
      <c r="F8" s="75" t="str">
        <f>VLOOKUP(C8,'BD EVA 5 JUA'!$D$3:$AE$113,12,0)</f>
        <v>octubre 23 - agosto 24</v>
      </c>
      <c r="G8" s="208">
        <f ca="1">VLOOKUP(C8,'BD EVA 5 JUA'!$D$3:$AE$113,28,0)</f>
        <v>329.45958792964899</v>
      </c>
      <c r="H8" s="208">
        <f ca="1">VLOOKUP(C8,'BD EVA 5 JUA'!$D$3:$AE$113,21,0)</f>
        <v>574.22135433070832</v>
      </c>
      <c r="I8" s="78">
        <f t="shared" ca="1" si="1"/>
        <v>2.6632945438589988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JUA'!$D$3:$AE$113,6,0)</f>
        <v>octubre 20 - agosto 21</v>
      </c>
      <c r="E9" s="208">
        <f ca="1">VLOOKUP(C9,'BD EVA 5 JUA'!$D$3:$AE$113,16,0)</f>
        <v>135.02744820258499</v>
      </c>
      <c r="F9" s="75" t="str">
        <f>VLOOKUP(C9,'BD EVA 5 JUA'!$D$3:$AE$113,12,0)</f>
        <v>octubre 23 - agosto 24</v>
      </c>
      <c r="G9" s="208">
        <f ca="1">VLOOKUP(C9,'BD EVA 5 JUA'!$D$3:$AE$113,28,0)</f>
        <v>44.021608053144298</v>
      </c>
      <c r="H9" s="208">
        <f ca="1">VLOOKUP(C9,'BD EVA 5 JUA'!$D$3:$AE$113,21,0)</f>
        <v>116.66249999999961</v>
      </c>
      <c r="I9" s="78">
        <f t="shared" ca="1" si="1"/>
        <v>4.9554095740182422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JUA'!$D$3:$AE$113,6,0)</f>
        <v>octubre 20 - agosto 21</v>
      </c>
      <c r="E10" s="208">
        <f ca="1">VLOOKUP(C10,'BD EVA 5 JUA'!$D$3:$AE$113,16,0)</f>
        <v>17.708517797060299</v>
      </c>
      <c r="F10" s="89" t="str">
        <f>VLOOKUP(C10,'BD EVA 5 JUA'!$D$3:$AE$113,12,0)</f>
        <v>octubre 23 - agosto 24</v>
      </c>
      <c r="G10" s="208">
        <f ca="1">VLOOKUP(C10,'BD EVA 5 JUA'!$D$3:$AE$113,28,0)</f>
        <v>22.244961516216499</v>
      </c>
      <c r="H10" s="208">
        <f ca="1">VLOOKUP(C10,'BD EVA 5 JUA'!$D$3:$AE$113,21,0)</f>
        <v>13.976470588235223</v>
      </c>
      <c r="I10" s="78">
        <f t="shared" ca="1" si="1"/>
        <v>-1.2155376031763445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JUA'!$D$3:$AE$113,6,0)</f>
        <v>44469</v>
      </c>
      <c r="E11" s="78" t="str">
        <f>VLOOKUP(C11,'BD EVA 5 JUA'!$D$3:$AE$113,16,0)</f>
        <v>Sin dato</v>
      </c>
      <c r="F11" s="75" t="str">
        <f>VLOOKUP(C11,'BD EVA 5 JUA'!$D$3:$AE$113,12,0)</f>
        <v>Ago 2024</v>
      </c>
      <c r="G11" s="78">
        <f ca="1">VLOOKUP(C11,'BD EVA 5 JUA'!$D$3:$AE$113,28,0)</f>
        <v>0</v>
      </c>
      <c r="H11" s="78">
        <f>VLOOKUP(C11,'BD EVA 5 JUA'!$D$3:$AE$113,21,0)</f>
        <v>2.2883333333333335E-2</v>
      </c>
      <c r="I11" s="77">
        <f t="shared" ref="I11:I15" ca="1" si="2">G11/H11</f>
        <v>0</v>
      </c>
      <c r="J11" s="89" t="s">
        <v>318</v>
      </c>
      <c r="K11" s="71">
        <v>1.05</v>
      </c>
      <c r="L11" s="211">
        <f t="shared" ca="1" si="0"/>
        <v>0</v>
      </c>
      <c r="M11" s="130">
        <f ca="1">SUM(L11:L15)</f>
        <v>1.2041336444462325</v>
      </c>
    </row>
    <row r="12" spans="1:13" ht="91">
      <c r="A12" s="121" t="s">
        <v>119</v>
      </c>
      <c r="B12" s="72" t="s">
        <v>120</v>
      </c>
      <c r="C12" s="72" t="s">
        <v>333</v>
      </c>
      <c r="D12" s="75" t="str">
        <f>VLOOKUP(C12,'BD EVA 5 JUA'!$D$3:$AE$113,6,0)</f>
        <v>octubre 20 - agosto 21</v>
      </c>
      <c r="E12" s="210" t="str">
        <f ca="1">VLOOKUP(C12,'BD EVA 5 JUA'!$D$3:$AE$113,16,0)</f>
        <v/>
      </c>
      <c r="F12" s="75" t="str">
        <f>VLOOKUP(C12,'BD EVA 5 JUA'!$D$3:$AE$113,12,0)</f>
        <v>octubre 23 - agosto 24</v>
      </c>
      <c r="G12" s="210">
        <f ca="1">VLOOKUP(C12,'BD EVA 5 JUA'!$D$3:$AE$113,28,0)</f>
        <v>0</v>
      </c>
      <c r="H12" s="210">
        <f>VLOOKUP(C12,'BD EVA 5 JUA'!$D$3:$AE$113,21,0)</f>
        <v>4.7333333333333333E-3</v>
      </c>
      <c r="I12" s="78">
        <f t="shared" ca="1" si="2"/>
        <v>0</v>
      </c>
      <c r="J12" s="75" t="s">
        <v>318</v>
      </c>
      <c r="K12" s="71">
        <v>1.05</v>
      </c>
      <c r="L12" s="211">
        <f t="shared" ca="1" si="0"/>
        <v>0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JUA'!$D$3:$AE$113,6,0)</f>
        <v>octubre 20 - agosto 21</v>
      </c>
      <c r="E13" s="212">
        <f ca="1">VLOOKUP(C13,'BD EVA 5 JUA'!$D$3:$AE$113,16,0)</f>
        <v>0</v>
      </c>
      <c r="F13" s="75" t="str">
        <f>VLOOKUP(C13,'BD EVA 5 JUA'!$D$3:$AE$113,12,0)</f>
        <v>octubre 21 - agosto 24</v>
      </c>
      <c r="G13" s="212">
        <f ca="1">VLOOKUP(C13,'BD EVA 5 JUA'!$D$3:$AE$113,28,0)</f>
        <v>0</v>
      </c>
      <c r="H13" s="212">
        <f>VLOOKUP(C13,'BD EVA 5 JUA'!$D$3:$AE$113,21,0)</f>
        <v>9</v>
      </c>
      <c r="I13" s="78">
        <f t="shared" ca="1" si="2"/>
        <v>0</v>
      </c>
      <c r="J13" s="75" t="s">
        <v>318</v>
      </c>
      <c r="K13" s="82">
        <v>2.4</v>
      </c>
      <c r="L13" s="211">
        <f t="shared" ca="1" si="0"/>
        <v>0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JUA'!$D$3:$AE$113,6,0)</f>
        <v>octubre 20 - agosto 21</v>
      </c>
      <c r="E14" s="212">
        <f ca="1">VLOOKUP(C14,'BD EVA 5 JUA'!$D$3:$AE$113,16,0)</f>
        <v>44</v>
      </c>
      <c r="F14" s="75" t="str">
        <f>VLOOKUP(C14,'BD EVA 5 JUA'!$D$3:$AE$113,12,0)</f>
        <v>octubre 21 - agosto 24</v>
      </c>
      <c r="G14" s="212">
        <f ca="1">VLOOKUP(C14,'BD EVA 5 JUA'!$D$3:$AE$113,28,0)</f>
        <v>545</v>
      </c>
      <c r="H14" s="212">
        <f>VLOOKUP(C14,'BD EVA 5 JUA'!$D$3:$AE$113,21,0)</f>
        <v>2968</v>
      </c>
      <c r="I14" s="78">
        <f t="shared" ca="1" si="2"/>
        <v>0.18362533692722371</v>
      </c>
      <c r="J14" s="75" t="s">
        <v>318</v>
      </c>
      <c r="K14" s="82">
        <v>2.4</v>
      </c>
      <c r="L14" s="211">
        <f t="shared" ca="1" si="0"/>
        <v>0.44070080862533689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JUA'!$D$3:$AE$113,6,0)</f>
        <v>octubre 20 - agosto 21</v>
      </c>
      <c r="E15" s="212">
        <f ca="1">VLOOKUP(C15,'BD EVA 5 JUA'!$D$3:$AE$113,16,0)</f>
        <v>16</v>
      </c>
      <c r="F15" s="89" t="str">
        <f>VLOOKUP(C15,'BD EVA 5 JUA'!$D$3:$AE$113,12,0)</f>
        <v>octubre 21 - agosto 24</v>
      </c>
      <c r="G15" s="212">
        <f ca="1">VLOOKUP(C15,'BD EVA 5 JUA'!$D$3:$AE$113,28,0)</f>
        <v>11</v>
      </c>
      <c r="H15" s="212">
        <f>VLOOKUP(C15,'BD EVA 5 JUA'!$D$3:$AE$113,21,0)</f>
        <v>44.666666666666664</v>
      </c>
      <c r="I15" s="78">
        <f t="shared" ca="1" si="2"/>
        <v>0.24626865671641793</v>
      </c>
      <c r="J15" s="75" t="s">
        <v>318</v>
      </c>
      <c r="K15" s="71">
        <v>3.1</v>
      </c>
      <c r="L15" s="211">
        <f t="shared" ca="1" si="0"/>
        <v>0.76343283582089561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JUA'!$D$3:$AE$113,6,0)</f>
        <v>44469</v>
      </c>
      <c r="E16" s="213">
        <f ca="1">VLOOKUP(C16,'BD EVA 5 JUA'!$D$3:$AE$113,16,0)</f>
        <v>0</v>
      </c>
      <c r="F16" s="75" t="str">
        <f>VLOOKUP(C16,'BD EVA 5 JUA'!$D$3:$AE$113,12,0)</f>
        <v>Ago 2024</v>
      </c>
      <c r="G16" s="213">
        <f ca="1">VLOOKUP(C16,'BD EVA 5 JUA'!$D$3:$AE$113,28,0)</f>
        <v>0</v>
      </c>
      <c r="H16" s="213" t="str">
        <f>VLOOKUP(C16,'BD EVA 5 JUA'!$D$3:$AE$113,21,0)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3">G16/1</f>
        <v>0</v>
      </c>
      <c r="J16" s="75" t="s">
        <v>318</v>
      </c>
      <c r="K16" s="171">
        <v>1.5</v>
      </c>
      <c r="L16" s="209">
        <f t="shared" ca="1" si="0"/>
        <v>0</v>
      </c>
      <c r="M16" s="130">
        <f ca="1">SUM(L16:L23)</f>
        <v>5.0953947074463901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JUA'!$D$3:$AE$113,6,0)</f>
        <v>44469</v>
      </c>
      <c r="E17" s="212">
        <f ca="1">VLOOKUP(C17,'BD EVA 5 JUA'!$D$3:$AE$113,16,0)</f>
        <v>0</v>
      </c>
      <c r="F17" s="75" t="str">
        <f>VLOOKUP(C17,'BD EVA 5 JUA'!$D$3:$AE$113,12,0)</f>
        <v>Ago 2024</v>
      </c>
      <c r="G17" s="212">
        <f ca="1">VLOOKUP(C17,'BD EVA 5 JUA'!$D$3:$AE$113,28,0)</f>
        <v>0</v>
      </c>
      <c r="H17" s="212" t="str">
        <f>VLOOKUP(C17,'BD EVA 5 JUA'!$D$3:$AE$113,21,0)</f>
        <v>Actualizado al 2019</v>
      </c>
      <c r="I17" s="214">
        <f t="shared" ca="1" si="3"/>
        <v>0</v>
      </c>
      <c r="J17" s="75" t="s">
        <v>318</v>
      </c>
      <c r="K17" s="7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JUA'!$D$3:$AE$113,6,0)</f>
        <v>44469</v>
      </c>
      <c r="E18" s="207" t="s">
        <v>429</v>
      </c>
      <c r="F18" s="75" t="str">
        <f>VLOOKUP(C18,'BD EVA 5 JUA'!$D$3:$AE$113,12,0)</f>
        <v>Ago 2024</v>
      </c>
      <c r="G18" s="207" t="str">
        <f ca="1">VLOOKUP(C18,'BD EVA 5 JUA'!$D$3:$AE$113,28,0)</f>
        <v>NA</v>
      </c>
      <c r="H18" s="207">
        <f>VLOOKUP(C18,'BD EVA 5 JUA'!$D$3:$AE$113,21,0)</f>
        <v>1</v>
      </c>
      <c r="I18" s="214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JUA'!$D$3:$AE$113,6,0)</f>
        <v>44469</v>
      </c>
      <c r="E19" s="207" t="s">
        <v>429</v>
      </c>
      <c r="F19" s="75" t="str">
        <f>VLOOKUP(C19,'BD EVA 5 JUA'!$D$3:$AE$113,12,0)</f>
        <v>Ago 2024</v>
      </c>
      <c r="G19" s="207">
        <f ca="1">VLOOKUP(C19,'BD EVA 5 JUA'!$D$3:$AE$113,28,0)</f>
        <v>0.960772133259709</v>
      </c>
      <c r="H19" s="207">
        <f>VLOOKUP(C19,'BD EVA 5 JUA'!$D$3:$AE$113,21,0)</f>
        <v>1</v>
      </c>
      <c r="I19" s="214">
        <f t="shared" ref="I19:I27" ca="1" si="4">G19/H19</f>
        <v>0.960772133259709</v>
      </c>
      <c r="J19" s="75" t="s">
        <v>318</v>
      </c>
      <c r="K19" s="71">
        <v>1.5</v>
      </c>
      <c r="L19" s="209">
        <f t="shared" ca="1" si="0"/>
        <v>1.4411581998895635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JUA'!$D$3:$AE$113,6,0)</f>
        <v>44469</v>
      </c>
      <c r="E20" s="214" t="s">
        <v>429</v>
      </c>
      <c r="F20" s="75" t="str">
        <f>VLOOKUP(C20,'BD EVA 5 JUA'!$D$3:$AE$113,12,0)</f>
        <v>Ago 2024</v>
      </c>
      <c r="G20" s="214">
        <f ca="1">VLOOKUP(C20,'BD EVA 5 JUA'!$D$3:$AE$113,28,0)</f>
        <v>1</v>
      </c>
      <c r="H20" s="214">
        <f>VLOOKUP(C20,'BD EVA 5 JUA'!$D$3:$AE$113,21,0)</f>
        <v>1</v>
      </c>
      <c r="I20" s="214">
        <f t="shared" ca="1" si="4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JUA'!$D$3:$AE$113,6,0)</f>
        <v>44469</v>
      </c>
      <c r="E21" s="207" t="s">
        <v>429</v>
      </c>
      <c r="F21" s="75" t="str">
        <f>VLOOKUP(C21,'BD EVA 5 JUA'!$D$3:$AE$113,12,0)</f>
        <v>Ago 2024</v>
      </c>
      <c r="G21" s="207">
        <f ca="1">VLOOKUP(C21,'BD EVA 5 JUA'!$D$3:$AE$113,28,0)</f>
        <v>0.95364602330749004</v>
      </c>
      <c r="H21" s="207">
        <f>VLOOKUP(C21,'BD EVA 5 JUA'!$D$3:$AE$113,21,0)</f>
        <v>1</v>
      </c>
      <c r="I21" s="214">
        <f t="shared" ca="1" si="4"/>
        <v>0.95364602330749004</v>
      </c>
      <c r="J21" s="75" t="s">
        <v>318</v>
      </c>
      <c r="K21" s="71">
        <v>0.9</v>
      </c>
      <c r="L21" s="209">
        <f t="shared" ca="1" si="0"/>
        <v>0.85828142097674109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JUA'!$D$3:$AE$113,6,0)</f>
        <v>44469</v>
      </c>
      <c r="E22" s="207" t="s">
        <v>429</v>
      </c>
      <c r="F22" s="75" t="str">
        <f>VLOOKUP(C22,'BD EVA 5 JUA'!$D$3:$AE$113,12,0)</f>
        <v>Ago 2024</v>
      </c>
      <c r="G22" s="207">
        <f ca="1">VLOOKUP(C22,'BD EVA 5 JUA'!$D$3:$AE$113,28,0)</f>
        <v>0.66397005772005702</v>
      </c>
      <c r="H22" s="207">
        <f>VLOOKUP(C22,'BD EVA 5 JUA'!$D$3:$AE$113,21,0)</f>
        <v>1</v>
      </c>
      <c r="I22" s="214">
        <f t="shared" ca="1" si="4"/>
        <v>0.66397005772005702</v>
      </c>
      <c r="J22" s="75" t="s">
        <v>318</v>
      </c>
      <c r="K22" s="71">
        <v>1.5</v>
      </c>
      <c r="L22" s="209">
        <f t="shared" ca="1" si="0"/>
        <v>0.99595508658008547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JUA'!$D$3:$AE$113,6,0)</f>
        <v>octubre 20 - septiembre 21</v>
      </c>
      <c r="E23" s="208">
        <f ca="1">VLOOKUP(C23,'BD EVA 5 JUA'!$D$3:$AE$113,16,0)</f>
        <v>0</v>
      </c>
      <c r="F23" s="89" t="str">
        <f>VLOOKUP(C23,'BD EVA 5 JUA'!$D$3:$AE$113,12,0)</f>
        <v>octubre 23 - septiembre 24</v>
      </c>
      <c r="G23" s="208">
        <f ca="1">VLOOKUP(C23,'BD EVA 5 JUA'!$D$3:$AE$113,28,0)</f>
        <v>0</v>
      </c>
      <c r="H23" s="208">
        <f>VLOOKUP(C23,'BD EVA 5 JUA'!$D$3:$AE$113,21,0)</f>
        <v>42.166666666666671</v>
      </c>
      <c r="I23" s="214">
        <f t="shared" ca="1" si="4"/>
        <v>0</v>
      </c>
      <c r="J23" s="75" t="s">
        <v>318</v>
      </c>
      <c r="K23" s="82">
        <v>1.3</v>
      </c>
      <c r="L23" s="209">
        <f t="shared" ca="1" si="0"/>
        <v>0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JUA'!$D$3:$AE$113,6,0)</f>
        <v>44469</v>
      </c>
      <c r="E24" s="171">
        <f ca="1">VLOOKUP(C24,'BD EVA 5 JUA'!$D$3:$AE$113,16,0)</f>
        <v>0</v>
      </c>
      <c r="F24" s="75" t="str">
        <f>VLOOKUP(C24,'BD EVA 5 JUA'!$D$3:$AE$113,12,0)</f>
        <v>Ago 2024</v>
      </c>
      <c r="G24" s="171">
        <f ca="1">VLOOKUP(C24,'BD EVA 5 JUA'!$D$3:$AE$113,28,0)</f>
        <v>0</v>
      </c>
      <c r="H24" s="171">
        <f>VLOOKUP(C24,'BD EVA 5 JUA'!$D$3:$AE$113,21,0)</f>
        <v>11.666666666666666</v>
      </c>
      <c r="I24" s="214">
        <f t="shared" ca="1" si="4"/>
        <v>0</v>
      </c>
      <c r="J24" s="75" t="s">
        <v>318</v>
      </c>
      <c r="K24" s="171">
        <v>1.95</v>
      </c>
      <c r="L24" s="82">
        <f t="shared" ca="1" si="0"/>
        <v>0</v>
      </c>
      <c r="M24" s="130">
        <f ca="1">SUM(L24:L28)</f>
        <v>0.44769094395537129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JUA'!$D$3:$AE$113,6,0)</f>
        <v>octubre 20 - agosto 21</v>
      </c>
      <c r="E25" s="212" t="str">
        <f ca="1">VLOOKUP(C25,'BD EVA 5 JUA'!$D$3:$AE$113,16,0)</f>
        <v/>
      </c>
      <c r="F25" s="75" t="str">
        <f>VLOOKUP(C25,'BD EVA 5 JUA'!$D$3:$AE$113,12,0)</f>
        <v>octubre 23 - agosto 24</v>
      </c>
      <c r="G25" s="212">
        <f ca="1">VLOOKUP(C25,'BD EVA 5 JUA'!$D$3:$AE$113,28,0)</f>
        <v>2100.7599999999902</v>
      </c>
      <c r="H25" s="212">
        <f>VLOOKUP(C25,'BD EVA 5 JUA'!$D$3:$AE$113,21,0)</f>
        <v>7648.666666666667</v>
      </c>
      <c r="I25" s="214">
        <f t="shared" ca="1" si="4"/>
        <v>0.27465702083151616</v>
      </c>
      <c r="J25" s="75" t="s">
        <v>318</v>
      </c>
      <c r="K25" s="171">
        <v>1.63</v>
      </c>
      <c r="L25" s="209">
        <f t="shared" ca="1" si="0"/>
        <v>0.44769094395537129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JUA'!$D$3:$AE$113,6,0)</f>
        <v>enero - agosto 2021</v>
      </c>
      <c r="E26" s="210">
        <f ca="1">VLOOKUP(C26,'BD EVA 5 JUA'!$D$3:$AE$113,16,0)</f>
        <v>1.6361428293330701E-2</v>
      </c>
      <c r="F26" s="75" t="str">
        <f>VLOOKUP(C26,'BD EVA 5 JUA'!$D$3:$AE$113,12,0)</f>
        <v>enero- agosto 2024</v>
      </c>
      <c r="G26" s="210">
        <f ca="1">VLOOKUP(C26,'BD EVA 5 JUA'!$D$3:$AE$113,28,0)</f>
        <v>0</v>
      </c>
      <c r="H26" s="210">
        <f>VLOOKUP(C26,'BD EVA 5 JUA'!$D$3:$AE$113,21,0)</f>
        <v>0.17864999999999998</v>
      </c>
      <c r="I26" s="214">
        <f t="shared" ca="1" si="4"/>
        <v>0</v>
      </c>
      <c r="J26" s="75" t="s">
        <v>318</v>
      </c>
      <c r="K26" s="171">
        <v>2.1</v>
      </c>
      <c r="L26" s="209">
        <f t="shared" ca="1" si="0"/>
        <v>0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JUA'!$D$3:$AE$113,6,0)</f>
        <v>octubre 20 - agosto 21</v>
      </c>
      <c r="E27" s="212">
        <f ca="1">VLOOKUP(C27,'BD EVA 5 JUA'!$D$3:$AE$113,16,0)</f>
        <v>0</v>
      </c>
      <c r="F27" s="75" t="str">
        <f>VLOOKUP(C27,'BD EVA 5 JUA'!$D$3:$AE$113,12,0)</f>
        <v>octubre 23 - agosto 24</v>
      </c>
      <c r="G27" s="212">
        <f ca="1">VLOOKUP(C27,'BD EVA 5 JUA'!$D$3:$AE$113,28,0)</f>
        <v>0</v>
      </c>
      <c r="H27" s="212">
        <f>VLOOKUP(C27,'BD EVA 5 JUA'!$D$3:$AE$113,21,0)</f>
        <v>25.666666666666668</v>
      </c>
      <c r="I27" s="214">
        <f t="shared" ca="1" si="4"/>
        <v>0</v>
      </c>
      <c r="J27" s="75" t="s">
        <v>318</v>
      </c>
      <c r="K27" s="171">
        <v>2.1</v>
      </c>
      <c r="L27" s="209">
        <f t="shared" ca="1" si="0"/>
        <v>0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JUA'!$D$3:$AE$113,6,0)</f>
        <v>octubre 18 - agosto 19</v>
      </c>
      <c r="E28" s="84">
        <f ca="1">VLOOKUP(C28,'BD EVA 5 JUA'!$D$3:$AE$113,16,0)</f>
        <v>1090</v>
      </c>
      <c r="F28" s="84" t="str">
        <f>VLOOKUP(C28,'BD EVA 5 JUA'!$D$3:$AE$113,12,0)</f>
        <v>octubre 23 - agosto 24</v>
      </c>
      <c r="G28" s="84">
        <f ca="1">VLOOKUP(C28,'BD EVA 5 JUA'!$D$3:$AE$113,28,0)</f>
        <v>1405</v>
      </c>
      <c r="H28" s="84">
        <f ca="1">VLOOKUP(C28,'BD EVA 5 JUA'!$D$3:$AE$113,21,0)</f>
        <v>1035.1802179379715</v>
      </c>
      <c r="I28" s="78">
        <f ca="1">(G28-E28)/(H28-E28)</f>
        <v>-5.7461009174311943</v>
      </c>
      <c r="J28" s="89" t="s">
        <v>319</v>
      </c>
      <c r="K28" s="171">
        <v>2.2200000000000002</v>
      </c>
      <c r="L28" s="209">
        <f t="shared" ca="1" si="0"/>
        <v>0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75" t="str">
        <f>VLOOKUP(C29,'BD EVA 5 JUA'!$D$3:$AE$113,6,0)</f>
        <v>octubre 20 - agosto 21</v>
      </c>
      <c r="E29" s="82">
        <f ca="1">VLOOKUP(C29,'BD EVA 5 JUA'!$D$3:$AE$113,16,0)</f>
        <v>0</v>
      </c>
      <c r="F29" s="82" t="str">
        <f>VLOOKUP(C29,'BD EVA 5 JUA'!$D$3:$AE$113,12,0)</f>
        <v>octubre 23 - agosto 24</v>
      </c>
      <c r="G29" s="82">
        <f ca="1">VLOOKUP(C29,'BD EVA 5 JUA'!$D$3:$AE$113,28,0)</f>
        <v>4</v>
      </c>
      <c r="H29" s="82">
        <f>VLOOKUP(C29,'BD EVA 5 JUA'!$D$3:$AE$113,21,0)</f>
        <v>67.5</v>
      </c>
      <c r="I29" s="78">
        <f t="shared" ref="I29:I33" ca="1" si="5">G29/H29</f>
        <v>5.9259259259259262E-2</v>
      </c>
      <c r="J29" s="75" t="s">
        <v>318</v>
      </c>
      <c r="K29" s="82">
        <v>2</v>
      </c>
      <c r="L29" s="209">
        <f t="shared" ca="1" si="0"/>
        <v>0.11851851851851852</v>
      </c>
      <c r="M29" s="130">
        <f ca="1">SUM(L29:L33)</f>
        <v>3.7983706924315586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JUA'!$D$3:$AE$113,6,0)</f>
        <v>44469</v>
      </c>
      <c r="E30" s="212" t="str">
        <f ca="1">VLOOKUP(C30,'BD EVA 5 JUA'!$D$3:$AE$113,16,0)</f>
        <v/>
      </c>
      <c r="F30" s="75" t="str">
        <f>VLOOKUP(C30,'BD EVA 5 JUA'!$D$3:$AE$113,12,0)</f>
        <v>Ago 2024</v>
      </c>
      <c r="G30" s="212">
        <f ca="1">VLOOKUP(C30,'BD EVA 5 JUA'!$D$3:$AE$113,28,0)</f>
        <v>0</v>
      </c>
      <c r="H30" s="212">
        <f>VLOOKUP(C30,'BD EVA 5 JUA'!$D$3:$AE$113,21,0)</f>
        <v>21.5</v>
      </c>
      <c r="I30" s="78">
        <f t="shared" ca="1" si="5"/>
        <v>0</v>
      </c>
      <c r="J30" s="75" t="s">
        <v>318</v>
      </c>
      <c r="K30" s="82">
        <v>2</v>
      </c>
      <c r="L30" s="209">
        <f t="shared" ca="1" si="0"/>
        <v>0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JUA'!$D$3:$AE$113,6,0)</f>
        <v>44440</v>
      </c>
      <c r="E31" s="212">
        <f ca="1">VLOOKUP(C31,'BD EVA 5 JUA'!$D$3:$AE$113,16,0)</f>
        <v>86.3</v>
      </c>
      <c r="F31" s="75">
        <f>VLOOKUP(C31,'BD EVA 5 JUA'!$D$3:$AE$113,12,0)</f>
        <v>45444</v>
      </c>
      <c r="G31" s="212">
        <f ca="1">VLOOKUP(C31,'BD EVA 5 JUA'!$D$3:$AE$113,28,0)</f>
        <v>99.21</v>
      </c>
      <c r="H31" s="212">
        <f>VLOOKUP(C31,'BD EVA 5 JUA'!$D$3:$AE$113,21,0)</f>
        <v>100</v>
      </c>
      <c r="I31" s="78">
        <f t="shared" ca="1" si="5"/>
        <v>0.99209999999999998</v>
      </c>
      <c r="J31" s="75" t="s">
        <v>318</v>
      </c>
      <c r="K31" s="82">
        <v>2</v>
      </c>
      <c r="L31" s="209">
        <f t="shared" ca="1" si="0"/>
        <v>1.9842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JUA'!$D$3:$AE$113,6,0)</f>
        <v>44440</v>
      </c>
      <c r="E32" s="209">
        <f ca="1">VLOOKUP(C32,'BD EVA 5 JUA'!$D$3:$AE$113,16,0)</f>
        <v>0</v>
      </c>
      <c r="F32" s="75" t="str">
        <f>VLOOKUP(C32,'BD EVA 5 JUA'!$D$3:$AE$113,12,0)</f>
        <v>Ago 2024</v>
      </c>
      <c r="G32" s="209">
        <f ca="1">VLOOKUP(C32,'BD EVA 5 JUA'!$D$3:$AE$113,28,0)</f>
        <v>0</v>
      </c>
      <c r="H32" s="209">
        <f>VLOOKUP(C32,'BD EVA 5 JUA'!$D$3:$AE$113,21,0)</f>
        <v>4</v>
      </c>
      <c r="I32" s="78">
        <f t="shared" ca="1" si="5"/>
        <v>0</v>
      </c>
      <c r="J32" s="75" t="s">
        <v>318</v>
      </c>
      <c r="K32" s="82">
        <v>2</v>
      </c>
      <c r="L32" s="209">
        <f t="shared" ca="1" si="0"/>
        <v>0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JUA'!$D$3:$AE$113,6,0)</f>
        <v>44440</v>
      </c>
      <c r="E33" s="207" t="str">
        <f ca="1">VLOOKUP(C33,'BD EVA 5 JUA'!$D$3:$AE$113,16,0)</f>
        <v/>
      </c>
      <c r="F33" s="75">
        <f>VLOOKUP(C33,'BD EVA 5 JUA'!$D$3:$AE$113,12,0)</f>
        <v>0</v>
      </c>
      <c r="G33" s="207">
        <f ca="1">VLOOKUP(C33,'BD EVA 5 JUA'!$D$3:$AE$113,28,0)</f>
        <v>0.42391304347825998</v>
      </c>
      <c r="H33" s="207">
        <f>VLOOKUP(C33,'BD EVA 5 JUA'!$D$3:$AE$113,21,0)</f>
        <v>0.5</v>
      </c>
      <c r="I33" s="78">
        <f t="shared" ca="1" si="5"/>
        <v>0.84782608695651995</v>
      </c>
      <c r="J33" s="75" t="s">
        <v>318</v>
      </c>
      <c r="K33" s="82">
        <v>2</v>
      </c>
      <c r="L33" s="209">
        <f t="shared" ca="1" si="0"/>
        <v>1.6956521739130399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JUA'!$D$3:$AE$113,6,0)</f>
        <v>enero - junio 2021</v>
      </c>
      <c r="E34" s="78" t="s">
        <v>429</v>
      </c>
      <c r="F34" s="75" t="str">
        <f>VLOOKUP(C34,'BD EVA 5 JUA'!$D$3:$AE$113,12,0)</f>
        <v>enero- junio 2024</v>
      </c>
      <c r="G34" s="78" t="s">
        <v>429</v>
      </c>
      <c r="H34" s="78">
        <f>VLOOKUP(C34,'BD EVA 5 JUA'!$D$3:$AE$113,21,0)</f>
        <v>0.40659999999999996</v>
      </c>
      <c r="I34" s="78">
        <v>0</v>
      </c>
      <c r="J34" s="75" t="s">
        <v>318</v>
      </c>
      <c r="K34" s="81">
        <v>2.1631999999999998</v>
      </c>
      <c r="L34" s="209">
        <f t="shared" si="0"/>
        <v>0</v>
      </c>
      <c r="M34" s="130">
        <f ca="1">SUM(L34:L39)</f>
        <v>3.6617395939115363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JUA'!$D$3:$AE$113,6,0)</f>
        <v>enero - junio 2021</v>
      </c>
      <c r="E35" s="78" t="s">
        <v>429</v>
      </c>
      <c r="F35" s="75" t="str">
        <f>VLOOKUP(C35,'BD EVA 5 JUA'!$D$3:$AE$113,12,0)</f>
        <v>enero- junio 2024</v>
      </c>
      <c r="G35" s="78" t="s">
        <v>429</v>
      </c>
      <c r="H35" s="78">
        <f>VLOOKUP(C35,'BD EVA 5 JUA'!$D$3:$AE$113,21,0)</f>
        <v>0.53789999999999993</v>
      </c>
      <c r="I35" s="78">
        <v>0</v>
      </c>
      <c r="J35" s="75" t="s">
        <v>318</v>
      </c>
      <c r="K35" s="81">
        <v>1.3520000000000001</v>
      </c>
      <c r="L35" s="209">
        <f t="shared" si="0"/>
        <v>0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JUA'!$D$3:$AE$113,6,0)</f>
        <v>enero - agosto 2021</v>
      </c>
      <c r="E36" s="78">
        <f ca="1">VLOOKUP(C36,'BD EVA 5 JUA'!$D$3:$AE$113,16,0)</f>
        <v>0.21270591263420999</v>
      </c>
      <c r="F36" s="75" t="str">
        <f>VLOOKUP(C36,'BD EVA 5 JUA'!$D$3:$AE$113,12,0)</f>
        <v>enero- agosto 2024</v>
      </c>
      <c r="G36" s="78">
        <f ca="1">VLOOKUP(C36,'BD EVA 5 JUA'!$D$3:$AE$113,28,0)</f>
        <v>0.26012657698706598</v>
      </c>
      <c r="H36" s="78">
        <f>VLOOKUP(C36,'BD EVA 5 JUA'!$D$3:$AE$113,21,0)</f>
        <v>0.58606666666666674</v>
      </c>
      <c r="I36" s="78">
        <f ca="1">IF(G36&lt;E36,0,G36/H36)</f>
        <v>0.44385151345762591</v>
      </c>
      <c r="J36" s="72" t="s">
        <v>316</v>
      </c>
      <c r="K36" s="81">
        <v>2.1631999999999998</v>
      </c>
      <c r="L36" s="209">
        <f t="shared" ca="1" si="0"/>
        <v>0.96013959391153625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JUA'!$D$3:$AE$113,6,0)</f>
        <v>enero - agosto 2021</v>
      </c>
      <c r="E37" s="90" t="str">
        <f ca="1">VLOOKUP(C37,'BD EVA 5 JUA'!$D$3:$AE$113,16,0)</f>
        <v/>
      </c>
      <c r="F37" s="75" t="str">
        <f>VLOOKUP(C37,'BD EVA 5 JUA'!$D$3:$AE$113,12,0)</f>
        <v>enero- agosto 2024</v>
      </c>
      <c r="G37" s="90">
        <f ca="1">VLOOKUP(C37,'BD EVA 5 JUA'!$D$3:$AE$113,28,0)</f>
        <v>125581189.14999899</v>
      </c>
      <c r="H37" s="90">
        <f>VLOOKUP(C37,'BD EVA 5 JUA'!$D$3:$AE$113,21,0)</f>
        <v>110269572.41</v>
      </c>
      <c r="I37" s="78">
        <f ca="1">G37/H37</f>
        <v>1.1388562266575946</v>
      </c>
      <c r="J37" s="75" t="s">
        <v>318</v>
      </c>
      <c r="K37" s="81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5 JUA'!$D$3:$AE$113,6,0)</f>
        <v>enero - junio 2021</v>
      </c>
      <c r="E38" s="78" t="s">
        <v>429</v>
      </c>
      <c r="F38" s="75" t="str">
        <f>VLOOKUP(C38,'BD EVA 5 JUA'!$D$3:$AE$113,12,0)</f>
        <v>enero- junio 2024</v>
      </c>
      <c r="G38" s="78" t="s">
        <v>429</v>
      </c>
      <c r="H38" s="78">
        <f>VLOOKUP(C38,'BD EVA 5 JUA'!$D$3:$AE$113,21,0)</f>
        <v>0.77513084705288815</v>
      </c>
      <c r="I38" s="78">
        <v>0</v>
      </c>
      <c r="J38" s="89" t="s">
        <v>341</v>
      </c>
      <c r="K38" s="81">
        <v>1.62</v>
      </c>
      <c r="L38" s="209">
        <f t="shared" si="0"/>
        <v>0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JUA'!$D$3:$AE$113,6,0)</f>
        <v>44348</v>
      </c>
      <c r="E39" s="207" t="str">
        <f ca="1">VLOOKUP(C39,'BD EVA 5 JUA'!$D$3:$AE$113,16,0)</f>
        <v>Verde</v>
      </c>
      <c r="F39" s="75">
        <f>VLOOKUP(C39,'BD EVA 5 JUA'!$D$3:$AE$113,12,0)</f>
        <v>45444</v>
      </c>
      <c r="G39" s="207" t="str">
        <f ca="1">VLOOKUP(C39,'BD EVA 5 JUA'!$D$3:$AE$113,28,0)</f>
        <v>Verde</v>
      </c>
      <c r="H39" s="207" t="str">
        <f>VLOOKUP(C39,'BD EVA 5 JUA'!$D$3:$AE$113,21,0)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689C-BC31-C346-9FD8-031542DA9A29}">
  <dimension ref="A1:L15"/>
  <sheetViews>
    <sheetView workbookViewId="0">
      <selection sqref="A1:L15"/>
    </sheetView>
  </sheetViews>
  <sheetFormatPr baseColWidth="10" defaultRowHeight="16"/>
  <cols>
    <col min="1" max="1" width="21.1640625" customWidth="1"/>
    <col min="2" max="2" width="13.83203125" customWidth="1"/>
    <col min="4" max="4" width="12.5" customWidth="1"/>
    <col min="6" max="6" width="13" customWidth="1"/>
    <col min="8" max="8" width="12.5" customWidth="1"/>
    <col min="10" max="10" width="12.5" customWidth="1"/>
  </cols>
  <sheetData>
    <row r="1" spans="1:12" ht="22">
      <c r="A1" s="220" t="s">
        <v>376</v>
      </c>
    </row>
    <row r="2" spans="1:12">
      <c r="A2" s="221" t="s">
        <v>434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>'EVA 1 JUA'!M2</f>
        <v>0</v>
      </c>
      <c r="D5" s="228">
        <v>8.5000000000000006E-2</v>
      </c>
      <c r="E5" s="229">
        <f>'EVA 2 JUA'!M2</f>
        <v>0</v>
      </c>
      <c r="F5" s="228">
        <v>0.1</v>
      </c>
      <c r="G5" s="229">
        <f ca="1">'EVA 3 JUA'!M2</f>
        <v>8.7947810123262506</v>
      </c>
      <c r="H5" s="228">
        <v>8.5000000000000006E-2</v>
      </c>
      <c r="I5" s="229">
        <f>'EVA 4 JUA'!M2</f>
        <v>9.1449761835543448</v>
      </c>
      <c r="J5" s="228">
        <v>8.5000000000000006E-2</v>
      </c>
      <c r="K5" s="229">
        <f>'EVA 5 JUA'!M2</f>
        <v>0</v>
      </c>
      <c r="L5" s="236">
        <f ca="1">AVERAGE(C5,E5,G5,I5,K5)</f>
        <v>3.5879514391761189</v>
      </c>
    </row>
    <row r="6" spans="1:12">
      <c r="A6" s="222" t="s">
        <v>52</v>
      </c>
      <c r="B6" s="227">
        <v>0.22</v>
      </c>
      <c r="C6" s="229">
        <f ca="1">'EVA 1 JUA'!M5</f>
        <v>0</v>
      </c>
      <c r="D6" s="228">
        <v>0.188</v>
      </c>
      <c r="E6" s="229">
        <f ca="1">'EVA 2 JUA'!M5</f>
        <v>2.8684393101399523</v>
      </c>
      <c r="F6" s="228">
        <v>0.221</v>
      </c>
      <c r="G6" s="229">
        <f ca="1">'EVA 3 JUA'!M5</f>
        <v>6.6000000000000005</v>
      </c>
      <c r="H6" s="228">
        <v>0.188</v>
      </c>
      <c r="I6" s="229">
        <f>'EVA 4 JUA'!M5</f>
        <v>5.9686723235141468</v>
      </c>
      <c r="J6" s="228">
        <v>0.188</v>
      </c>
      <c r="K6" s="229">
        <f ca="1">'EVA 5 JUA'!M5</f>
        <v>6.6000000000000005</v>
      </c>
      <c r="L6" s="236">
        <f t="shared" ref="L6:L11" ca="1" si="0">AVERAGE(C6,E6,G6,I6,K6)</f>
        <v>4.4074223267308197</v>
      </c>
    </row>
    <row r="7" spans="1:12">
      <c r="A7" s="222" t="s">
        <v>119</v>
      </c>
      <c r="B7" s="227">
        <v>0.11</v>
      </c>
      <c r="C7" s="229">
        <f ca="1">'EVA 1 JUA'!M11</f>
        <v>0</v>
      </c>
      <c r="D7" s="228">
        <v>9.5000000000000001E-2</v>
      </c>
      <c r="E7" s="229">
        <f ca="1">'EVA 2 JUA'!M11</f>
        <v>0.68527918781725883</v>
      </c>
      <c r="F7" s="228">
        <v>0.111</v>
      </c>
      <c r="G7" s="229">
        <f ca="1">'EVA 3 JUA'!M11</f>
        <v>0.84844735565259577</v>
      </c>
      <c r="H7" s="228">
        <v>9.5000000000000001E-2</v>
      </c>
      <c r="I7" s="229">
        <f>'EVA 4 JUA'!M11</f>
        <v>0.7459188752021898</v>
      </c>
      <c r="J7" s="228">
        <v>9.5000000000000001E-2</v>
      </c>
      <c r="K7" s="229">
        <f ca="1">'EVA 5 JUA'!M11</f>
        <v>1.2041336444462325</v>
      </c>
      <c r="L7" s="236">
        <f t="shared" ca="1" si="0"/>
        <v>0.69675581262365538</v>
      </c>
    </row>
    <row r="8" spans="1:12">
      <c r="A8" s="222" t="s">
        <v>378</v>
      </c>
      <c r="B8" s="227">
        <v>0.24</v>
      </c>
      <c r="C8" s="229">
        <f ca="1">'EVA 1 JUA'!M15</f>
        <v>0.3</v>
      </c>
      <c r="D8" s="228">
        <v>0.2</v>
      </c>
      <c r="E8" s="229">
        <f ca="1">'EVA 2 JUA'!M16</f>
        <v>1.1064516129032249</v>
      </c>
      <c r="F8" s="228">
        <v>0.23699999999999999</v>
      </c>
      <c r="G8" s="229">
        <f ca="1">'EVA 3 JUA'!M16</f>
        <v>2.9720797161957693</v>
      </c>
      <c r="H8" s="228">
        <v>0.2</v>
      </c>
      <c r="I8" s="229">
        <f>'EVA 4 JUA'!M16</f>
        <v>5.1387500557718315</v>
      </c>
      <c r="J8" s="228">
        <v>0.2</v>
      </c>
      <c r="K8" s="229">
        <f ca="1">'EVA 5 JUA'!M16</f>
        <v>5.0953947074463901</v>
      </c>
      <c r="L8" s="236">
        <f t="shared" ca="1" si="0"/>
        <v>2.9225352184634432</v>
      </c>
    </row>
    <row r="9" spans="1:12">
      <c r="A9" s="222" t="s">
        <v>199</v>
      </c>
      <c r="B9" s="227">
        <v>0.17</v>
      </c>
      <c r="C9" s="229">
        <f ca="1">'EVA 1 JUA'!M23</f>
        <v>6.3326894236909332</v>
      </c>
      <c r="D9" s="228">
        <v>0.14499999999999999</v>
      </c>
      <c r="E9" s="229">
        <f ca="1">'EVA 2 JUA'!M24</f>
        <v>3.1496754261780939</v>
      </c>
      <c r="F9" s="228">
        <v>0.17</v>
      </c>
      <c r="G9" s="229">
        <f ca="1">'EVA 3 JUA'!M24</f>
        <v>1.4832955316861838</v>
      </c>
      <c r="H9" s="228">
        <v>0.14499999999999999</v>
      </c>
      <c r="I9" s="229">
        <f>'EVA 4 JUA'!M24</f>
        <v>0.80779002941278055</v>
      </c>
      <c r="J9" s="228">
        <v>0.14499999999999999</v>
      </c>
      <c r="K9" s="229">
        <f ca="1">'EVA 5 JUA'!M24</f>
        <v>0.44769094395537129</v>
      </c>
      <c r="L9" s="236">
        <f t="shared" ca="1" si="0"/>
        <v>2.4442282709846723</v>
      </c>
    </row>
    <row r="10" spans="1:12">
      <c r="A10" s="222" t="s">
        <v>243</v>
      </c>
      <c r="B10" s="227">
        <v>0.16</v>
      </c>
      <c r="C10" s="229">
        <f ca="1">'EVA 1 JUA'!M27</f>
        <v>4.8427499999999997</v>
      </c>
      <c r="D10" s="228">
        <v>0.13800000000000001</v>
      </c>
      <c r="E10" s="229">
        <f ca="1">'EVA 2 JUA'!M29</f>
        <v>5.9505999999999997</v>
      </c>
      <c r="F10" s="228">
        <v>0.161</v>
      </c>
      <c r="G10" s="229">
        <f ca="1">'EVA 3 JUA'!M28</f>
        <v>4.9882499999999999</v>
      </c>
      <c r="H10" s="228">
        <v>0.13800000000000001</v>
      </c>
      <c r="I10" s="229">
        <f>'EVA 4 JUA'!M29</f>
        <v>3.8005319946452456</v>
      </c>
      <c r="J10" s="228">
        <v>0.13800000000000001</v>
      </c>
      <c r="K10" s="229">
        <f ca="1">'EVA 5 JUA'!M29</f>
        <v>3.7983706924315586</v>
      </c>
      <c r="L10" s="236">
        <f t="shared" ca="1" si="0"/>
        <v>4.6761005374153601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JUA'!M34</f>
        <v>5.1762938661715019</v>
      </c>
      <c r="F11" s="232"/>
      <c r="G11" s="232"/>
      <c r="H11" s="228">
        <v>0.14899999999999999</v>
      </c>
      <c r="I11" s="229">
        <f>'EVA 4 JUA'!M34</f>
        <v>5.4239452147569951</v>
      </c>
      <c r="J11" s="228">
        <v>0.14899999999999999</v>
      </c>
      <c r="K11" s="229">
        <f ca="1">'EVA 5 JUA'!M34</f>
        <v>3.6617395939115363</v>
      </c>
      <c r="L11" s="236">
        <f t="shared" ca="1" si="0"/>
        <v>4.7539928916133443</v>
      </c>
    </row>
    <row r="12" spans="1:12">
      <c r="A12" s="223" t="s">
        <v>392</v>
      </c>
      <c r="B12" s="234"/>
      <c r="C12" s="231">
        <f ca="1">SUMPRODUCT(B5:B10,C5:C10)</f>
        <v>1.9233972020274588</v>
      </c>
      <c r="D12" s="234"/>
      <c r="E12" s="231">
        <f ca="1">SUMPRODUCT(D5:D11,E5:E11)</f>
        <v>2.874811958584973</v>
      </c>
      <c r="F12" s="234"/>
      <c r="G12" s="231">
        <f ca="1">SUMPRODUCT(F5:F10,G5:G10)</f>
        <v>4.1919071408351121</v>
      </c>
      <c r="H12" s="234"/>
      <c r="I12" s="231">
        <f>SUMPRODUCT(H5:H11,I5:I11)</f>
        <v>4.4478164832460427</v>
      </c>
      <c r="J12" s="233"/>
      <c r="K12" s="231">
        <f ca="1">SUMPRODUCT(J5:J11,K5:K11)</f>
        <v>3.5089611796335731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3.3893787928654318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88B5A-0D6A-614F-BE9B-6DAB0369009E}">
  <dimension ref="A1:AC109"/>
  <sheetViews>
    <sheetView workbookViewId="0">
      <selection activeCell="G16" sqref="G16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427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2" t="s">
        <v>29</v>
      </c>
      <c r="B2" s="2" t="s">
        <v>29</v>
      </c>
      <c r="C2" s="2" t="s">
        <v>30</v>
      </c>
      <c r="D2" s="148" t="s">
        <v>31</v>
      </c>
      <c r="E2" s="2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1136308</v>
      </c>
      <c r="Q2" s="5">
        <v>1136308</v>
      </c>
      <c r="R2" s="4"/>
      <c r="S2" s="6"/>
      <c r="T2" s="6"/>
      <c r="U2" s="6"/>
      <c r="V2" s="6"/>
      <c r="W2" s="6"/>
      <c r="X2" s="5">
        <v>1149605</v>
      </c>
      <c r="Y2" s="5">
        <v>1149605</v>
      </c>
      <c r="Z2" s="5">
        <v>1164927</v>
      </c>
      <c r="AA2" s="5">
        <v>1164927</v>
      </c>
      <c r="AB2" s="5">
        <v>1182363</v>
      </c>
      <c r="AC2" s="5">
        <v>1182363</v>
      </c>
    </row>
    <row r="3" spans="1:29">
      <c r="A3" s="9" t="s">
        <v>34</v>
      </c>
      <c r="B3" s="9" t="s">
        <v>35</v>
      </c>
      <c r="C3" s="2" t="s">
        <v>36</v>
      </c>
      <c r="D3" s="150" t="s">
        <v>37</v>
      </c>
      <c r="E3" s="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1125</v>
      </c>
      <c r="Q3" s="12">
        <v>1125</v>
      </c>
      <c r="R3" s="6">
        <v>1180</v>
      </c>
      <c r="S3" s="6">
        <v>1240</v>
      </c>
      <c r="T3" s="6">
        <v>1300</v>
      </c>
      <c r="U3" s="6">
        <v>1360</v>
      </c>
      <c r="V3" s="6">
        <v>1425</v>
      </c>
      <c r="W3" s="6">
        <v>1425</v>
      </c>
      <c r="X3" s="12">
        <v>1122</v>
      </c>
      <c r="Y3" s="12">
        <f ca="1">IFERROR(__xludf.DUMMYFUNCTION("INDEX(IMPORTRANGE(""1y0FWgjbB0gVlqn-q5LMJbGIsqOrzru4yowQz67dz2yc"", ""'MTY'!AM3:AM139""),MATCH(D3,IMPORTRANGE(""1y0FWgjbB0gVlqn-q5LMJbGIsqOrzru4yowQz67dz2yc"", ""'MTY'!D3:D139""),0))"),1119)</f>
        <v>1119</v>
      </c>
      <c r="Z3" s="2"/>
      <c r="AA3" s="2"/>
      <c r="AB3" s="2"/>
      <c r="AC3" s="2"/>
    </row>
    <row r="4" spans="1:29">
      <c r="A4" s="9" t="s">
        <v>34</v>
      </c>
      <c r="B4" s="9" t="s">
        <v>40</v>
      </c>
      <c r="C4" s="2" t="s">
        <v>30</v>
      </c>
      <c r="D4" s="151" t="s">
        <v>41</v>
      </c>
      <c r="E4" s="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1055</v>
      </c>
      <c r="Q4" s="12">
        <v>1055</v>
      </c>
      <c r="R4" s="6"/>
      <c r="S4" s="6"/>
      <c r="T4" s="6"/>
      <c r="U4" s="6"/>
      <c r="V4" s="6"/>
      <c r="W4" s="6"/>
      <c r="X4" s="12">
        <v>1054</v>
      </c>
      <c r="Y4" s="12">
        <f ca="1">IFERROR(__xludf.DUMMYFUNCTION("INDEX(IMPORTRANGE(""1y0FWgjbB0gVlqn-q5LMJbGIsqOrzru4yowQz67dz2yc"", ""'MTY'!AM3:AM139""),MATCH(D4,IMPORTRANGE(""1y0FWgjbB0gVlqn-q5LMJbGIsqOrzru4yowQz67dz2yc"", ""'MTY'!D3:D139""),0))"),1070)</f>
        <v>1070</v>
      </c>
      <c r="Z4" s="2"/>
      <c r="AA4" s="2"/>
      <c r="AB4" s="2"/>
      <c r="AC4" s="2"/>
    </row>
    <row r="5" spans="1:29">
      <c r="A5" s="9" t="s">
        <v>34</v>
      </c>
      <c r="B5" s="9" t="s">
        <v>40</v>
      </c>
      <c r="C5" s="2" t="s">
        <v>36</v>
      </c>
      <c r="D5" s="150" t="s">
        <v>43</v>
      </c>
      <c r="E5" s="9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0.93777777777777782</v>
      </c>
      <c r="Q5" s="15">
        <f t="shared" si="0"/>
        <v>0.93777777777777782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0.93939393939393945</v>
      </c>
      <c r="Y5" s="15">
        <f ca="1">IFERROR(__xludf.DUMMYFUNCTION("INDEX(IMPORTRANGE(""1y0FWgjbB0gVlqn-q5LMJbGIsqOrzru4yowQz67dz2yc"", ""'MTY'!AM3:AM139""),MATCH(D5,IMPORTRANGE(""1y0FWgjbB0gVlqn-q5LMJbGIsqOrzru4yowQz67dz2yc"", ""'MTY'!D3:D139""),0))"),0.956210902591599)</f>
        <v>0.95621090259159902</v>
      </c>
      <c r="Z5" s="2"/>
      <c r="AA5" s="2"/>
      <c r="AB5" s="2"/>
      <c r="AC5" s="2"/>
    </row>
    <row r="6" spans="1:29">
      <c r="A6" s="9" t="s">
        <v>34</v>
      </c>
      <c r="B6" s="9" t="s">
        <v>45</v>
      </c>
      <c r="C6" s="2" t="s">
        <v>30</v>
      </c>
      <c r="D6" s="150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2"/>
      <c r="Y6" s="2">
        <f ca="1">IFERROR(__xludf.DUMMYFUNCTION("INDEX(IMPORTRANGE(""1y0FWgjbB0gVlqn-q5LMJbGIsqOrzru4yowQz67dz2yc"", ""'MTY'!AM3:AM139""),MATCH(D6,IMPORTRANGE(""1y0FWgjbB0gVlqn-q5LMJbGIsqOrzru4yowQz67dz2yc"", ""'MTY'!D3:D139""),0))"),16)</f>
        <v>16</v>
      </c>
      <c r="Z6" s="2"/>
      <c r="AA6" s="2"/>
      <c r="AB6" s="2"/>
      <c r="AC6" s="2"/>
    </row>
    <row r="7" spans="1:29">
      <c r="A7" s="21" t="s">
        <v>34</v>
      </c>
      <c r="B7" s="21" t="s">
        <v>45</v>
      </c>
      <c r="C7" s="22" t="s">
        <v>30</v>
      </c>
      <c r="D7" s="150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2"/>
      <c r="Q7" s="2"/>
      <c r="R7" s="2">
        <v>16</v>
      </c>
      <c r="S7" s="2">
        <v>16</v>
      </c>
      <c r="T7" s="2">
        <v>22</v>
      </c>
      <c r="U7" s="2">
        <v>22</v>
      </c>
      <c r="V7" s="2">
        <v>35</v>
      </c>
      <c r="W7" s="2">
        <v>35</v>
      </c>
      <c r="X7" s="2"/>
      <c r="Y7" s="2">
        <f ca="1">IFERROR(__xludf.DUMMYFUNCTION("INDEX(IMPORTRANGE(""1y0FWgjbB0gVlqn-q5LMJbGIsqOrzru4yowQz67dz2yc"", ""'MTY'!AM3:AM139""),MATCH(D7,IMPORTRANGE(""1y0FWgjbB0gVlqn-q5LMJbGIsqOrzru4yowQz67dz2yc"", ""'MTY'!D3:D139""),0))"),1)</f>
        <v>1</v>
      </c>
      <c r="Z7" s="2"/>
      <c r="AA7" s="2"/>
      <c r="AB7" s="2"/>
      <c r="AC7" s="2"/>
    </row>
    <row r="8" spans="1:29">
      <c r="A8" s="9" t="s">
        <v>34</v>
      </c>
      <c r="B8" s="9" t="s">
        <v>45</v>
      </c>
      <c r="C8" s="2" t="s">
        <v>36</v>
      </c>
      <c r="D8" s="148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15">
        <f t="shared" ref="R8:W8" si="2">R7/R3</f>
        <v>1.3559322033898305E-2</v>
      </c>
      <c r="S8" s="15">
        <f t="shared" si="2"/>
        <v>1.2903225806451613E-2</v>
      </c>
      <c r="T8" s="15">
        <f t="shared" si="2"/>
        <v>1.6923076923076923E-2</v>
      </c>
      <c r="U8" s="15">
        <f t="shared" si="2"/>
        <v>1.6176470588235296E-2</v>
      </c>
      <c r="V8" s="15">
        <f t="shared" si="2"/>
        <v>2.456140350877193E-2</v>
      </c>
      <c r="W8" s="15">
        <f t="shared" si="2"/>
        <v>2.456140350877193E-2</v>
      </c>
      <c r="X8" s="15">
        <f>X6/X3</f>
        <v>0</v>
      </c>
      <c r="Y8" s="15">
        <f ca="1">IFERROR(__xludf.DUMMYFUNCTION("INDEX(IMPORTRANGE(""1y0FWgjbB0gVlqn-q5LMJbGIsqOrzru4yowQz67dz2yc"", ""'MTY'!AM3:AM139""),MATCH(D8,IMPORTRANGE(""1y0FWgjbB0gVlqn-q5LMJbGIsqOrzru4yowQz67dz2yc"", ""'MTY'!D3:D139""),0))"),0.0151921358355674)</f>
        <v>1.5192135835567401E-2</v>
      </c>
      <c r="Z8" s="2"/>
      <c r="AA8" s="2"/>
      <c r="AB8" s="2"/>
      <c r="AC8" s="2"/>
    </row>
    <row r="9" spans="1:29">
      <c r="A9" s="9" t="s">
        <v>52</v>
      </c>
      <c r="B9" s="9" t="s">
        <v>53</v>
      </c>
      <c r="C9" s="2" t="s">
        <v>30</v>
      </c>
      <c r="D9" s="149" t="s">
        <v>54</v>
      </c>
      <c r="E9" s="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4"/>
      <c r="S9" s="4"/>
      <c r="T9" s="4"/>
      <c r="U9" s="4"/>
      <c r="V9" s="4"/>
      <c r="W9" s="4"/>
      <c r="X9" s="2">
        <v>0</v>
      </c>
      <c r="Y9" s="2">
        <f ca="1">IFERROR(__xludf.DUMMYFUNCTION("INDEX(IMPORTRANGE(""1y0FWgjbB0gVlqn-q5LMJbGIsqOrzru4yowQz67dz2yc"", ""'MTY'!AM3:AM139""),MATCH(D9,IMPORTRANGE(""1y0FWgjbB0gVlqn-q5LMJbGIsqOrzru4yowQz67dz2yc"", ""'MTY'!D3:D139""),0))"),0)</f>
        <v>0</v>
      </c>
      <c r="Z9" s="2"/>
      <c r="AA9" s="2"/>
      <c r="AB9" s="2"/>
      <c r="AC9" s="2"/>
    </row>
    <row r="10" spans="1:29">
      <c r="A10" s="9" t="s">
        <v>52</v>
      </c>
      <c r="B10" s="9" t="s">
        <v>53</v>
      </c>
      <c r="C10" s="2" t="s">
        <v>30</v>
      </c>
      <c r="D10" s="149" t="s">
        <v>64</v>
      </c>
      <c r="E10" s="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9450</v>
      </c>
      <c r="Q10" s="12">
        <v>17558</v>
      </c>
      <c r="R10" s="4"/>
      <c r="S10" s="4"/>
      <c r="T10" s="4"/>
      <c r="U10" s="4"/>
      <c r="V10" s="4"/>
      <c r="W10" s="4"/>
      <c r="X10" s="12">
        <v>9187</v>
      </c>
      <c r="Y10" s="12">
        <f ca="1">IFERROR(__xludf.DUMMYFUNCTION("INDEX(IMPORTRANGE(""1y0FWgjbB0gVlqn-q5LMJbGIsqOrzru4yowQz67dz2yc"", ""'MTY'!AM3:AM139""),MATCH(D10,IMPORTRANGE(""1y0FWgjbB0gVlqn-q5LMJbGIsqOrzru4yowQz67dz2yc"", ""'MTY'!D3:D139""),0))"),16911)</f>
        <v>16911</v>
      </c>
      <c r="Z10" s="2"/>
      <c r="AA10" s="2"/>
      <c r="AB10" s="2"/>
      <c r="AC10" s="2"/>
    </row>
    <row r="11" spans="1:29">
      <c r="A11" s="9" t="s">
        <v>52</v>
      </c>
      <c r="B11" s="9" t="s">
        <v>53</v>
      </c>
      <c r="C11" s="2" t="s">
        <v>36</v>
      </c>
      <c r="D11" s="149" t="s">
        <v>66</v>
      </c>
      <c r="E11" s="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3">P9/P10</f>
        <v>0</v>
      </c>
      <c r="Q11" s="15">
        <f t="shared" si="3"/>
        <v>0</v>
      </c>
      <c r="R11" s="26">
        <v>5.0000000000000001E-3</v>
      </c>
      <c r="S11" s="26">
        <v>0.01</v>
      </c>
      <c r="T11" s="26">
        <v>0.02</v>
      </c>
      <c r="U11" s="26">
        <v>3.5000000000000003E-2</v>
      </c>
      <c r="V11" s="26">
        <v>0.05</v>
      </c>
      <c r="W11" s="26">
        <v>0.05</v>
      </c>
      <c r="X11" s="15">
        <f>X9/X10</f>
        <v>0</v>
      </c>
      <c r="Y11" s="15">
        <f ca="1">IFERROR(__xludf.DUMMYFUNCTION("INDEX(IMPORTRANGE(""1y0FWgjbB0gVlqn-q5LMJbGIsqOrzru4yowQz67dz2yc"", ""'MTY'!AM3:AM139""),MATCH(D11,IMPORTRANGE(""1y0FWgjbB0gVlqn-q5LMJbGIsqOrzru4yowQz67dz2yc"", ""'MTY'!D3:D139""),0))"),0)</f>
        <v>0</v>
      </c>
      <c r="Z11" s="2"/>
      <c r="AA11" s="2"/>
      <c r="AB11" s="2"/>
      <c r="AC11" s="2"/>
    </row>
    <row r="12" spans="1:29">
      <c r="A12" s="9" t="s">
        <v>52</v>
      </c>
      <c r="B12" s="9" t="s">
        <v>68</v>
      </c>
      <c r="C12" s="2" t="s">
        <v>30</v>
      </c>
      <c r="D12" s="149" t="s">
        <v>69</v>
      </c>
      <c r="E12" s="9" t="s">
        <v>444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19</v>
      </c>
      <c r="Q12" s="12">
        <v>42</v>
      </c>
      <c r="R12" s="4"/>
      <c r="S12" s="4"/>
      <c r="T12" s="4"/>
      <c r="U12" s="4"/>
      <c r="V12" s="4"/>
      <c r="W12" s="4"/>
      <c r="X12" s="2">
        <v>21</v>
      </c>
      <c r="Y12" s="2">
        <f ca="1">IFERROR(__xludf.DUMMYFUNCTION("INDEX(IMPORTRANGE(""1y0FWgjbB0gVlqn-q5LMJbGIsqOrzru4yowQz67dz2yc"", ""'MTY'!AM3:AM139""),MATCH(D12,IMPORTRANGE(""1y0FWgjbB0gVlqn-q5LMJbGIsqOrzru4yowQz67dz2yc"", ""'MTY'!D3:D139""),0))"),53)</f>
        <v>53</v>
      </c>
      <c r="Z12" s="2"/>
      <c r="AA12" s="2"/>
      <c r="AB12" s="2"/>
      <c r="AC12" s="2"/>
    </row>
    <row r="13" spans="1:29">
      <c r="A13" s="9" t="s">
        <v>52</v>
      </c>
      <c r="B13" s="9" t="s">
        <v>68</v>
      </c>
      <c r="C13" s="2" t="s">
        <v>36</v>
      </c>
      <c r="D13" s="149" t="s">
        <v>72</v>
      </c>
      <c r="E13" s="9" t="s">
        <v>444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(P12/302828)*100000</f>
        <v>6.2741886483416325</v>
      </c>
      <c r="Q13" s="23">
        <f t="shared" si="4"/>
        <v>13.869259117386767</v>
      </c>
      <c r="R13" s="2">
        <v>13.6</v>
      </c>
      <c r="S13" s="2">
        <v>6.7</v>
      </c>
      <c r="T13" s="2">
        <v>13.3</v>
      </c>
      <c r="U13" s="2">
        <v>6.5</v>
      </c>
      <c r="V13" s="2">
        <v>12.9</v>
      </c>
      <c r="W13" s="2">
        <v>12.9</v>
      </c>
      <c r="X13" s="23">
        <f>(X12/306371)*100000</f>
        <v>6.8544346560216205</v>
      </c>
      <c r="Y13" s="23">
        <f ca="1">IFERROR(__xludf.DUMMYFUNCTION("INDEX(IMPORTRANGE(""1y0FWgjbB0gVlqn-q5LMJbGIsqOrzru4yowQz67dz2yc"", ""'MTY'!AM3:AM139""),MATCH(D13,IMPORTRANGE(""1y0FWgjbB0gVlqn-q5LMJbGIsqOrzru4yowQz67dz2yc"", ""'MTY'!D3:D139""),0))"),17.2992874651974)</f>
        <v>17.299287465197398</v>
      </c>
      <c r="Z13" s="2"/>
      <c r="AA13" s="2"/>
      <c r="AB13" s="2"/>
      <c r="AC13" s="2"/>
    </row>
    <row r="14" spans="1:29">
      <c r="A14" s="9" t="s">
        <v>52</v>
      </c>
      <c r="B14" s="9" t="s">
        <v>68</v>
      </c>
      <c r="C14" s="2" t="s">
        <v>30</v>
      </c>
      <c r="D14" s="149" t="s">
        <v>75</v>
      </c>
      <c r="E14" s="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137</v>
      </c>
      <c r="Q14" s="2">
        <v>279</v>
      </c>
      <c r="R14" s="4"/>
      <c r="S14" s="4"/>
      <c r="T14" s="4"/>
      <c r="U14" s="4"/>
      <c r="V14" s="4"/>
      <c r="W14" s="4"/>
      <c r="X14" s="2">
        <v>104</v>
      </c>
      <c r="Y14" s="2">
        <f ca="1">IFERROR(__xludf.DUMMYFUNCTION("INDEX(IMPORTRANGE(""1y0FWgjbB0gVlqn-q5LMJbGIsqOrzru4yowQz67dz2yc"", ""'MTY'!AM3:AM139""),MATCH(D14,IMPORTRANGE(""1y0FWgjbB0gVlqn-q5LMJbGIsqOrzru4yowQz67dz2yc"", ""'MTY'!D3:D139""),0))"),199)</f>
        <v>199</v>
      </c>
      <c r="Z14" s="2"/>
      <c r="AA14" s="2"/>
      <c r="AB14" s="2"/>
      <c r="AC14" s="2"/>
    </row>
    <row r="15" spans="1:29">
      <c r="A15" s="9" t="s">
        <v>52</v>
      </c>
      <c r="B15" s="9" t="s">
        <v>68</v>
      </c>
      <c r="C15" s="2" t="s">
        <v>30</v>
      </c>
      <c r="D15" s="149" t="s">
        <v>78</v>
      </c>
      <c r="E15" s="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492</v>
      </c>
      <c r="Q15" s="2">
        <v>1037</v>
      </c>
      <c r="R15" s="4"/>
      <c r="S15" s="4"/>
      <c r="T15" s="4"/>
      <c r="U15" s="4"/>
      <c r="V15" s="4"/>
      <c r="W15" s="4"/>
      <c r="X15" s="2">
        <v>528</v>
      </c>
      <c r="Y15" s="2">
        <f ca="1">IFERROR(__xludf.DUMMYFUNCTION("INDEX(IMPORTRANGE(""1y0FWgjbB0gVlqn-q5LMJbGIsqOrzru4yowQz67dz2yc"", ""'MTY'!AM3:AM139""),MATCH(D15,IMPORTRANGE(""1y0FWgjbB0gVlqn-q5LMJbGIsqOrzru4yowQz67dz2yc"", ""'MTY'!D3:D139""),0))"),931)</f>
        <v>931</v>
      </c>
      <c r="Z15" s="2"/>
      <c r="AA15" s="2"/>
      <c r="AB15" s="2"/>
      <c r="AC15" s="2"/>
    </row>
    <row r="16" spans="1:29">
      <c r="A16" s="9" t="s">
        <v>52</v>
      </c>
      <c r="B16" s="9" t="s">
        <v>68</v>
      </c>
      <c r="C16" s="2" t="s">
        <v>30</v>
      </c>
      <c r="D16" s="149" t="s">
        <v>80</v>
      </c>
      <c r="E16" s="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146</v>
      </c>
      <c r="Q16" s="2">
        <v>244</v>
      </c>
      <c r="R16" s="4"/>
      <c r="S16" s="4"/>
      <c r="T16" s="4"/>
      <c r="U16" s="4"/>
      <c r="V16" s="4"/>
      <c r="W16" s="4"/>
      <c r="X16" s="2">
        <v>144</v>
      </c>
      <c r="Y16" s="2">
        <f ca="1">IFERROR(__xludf.DUMMYFUNCTION("INDEX(IMPORTRANGE(""1y0FWgjbB0gVlqn-q5LMJbGIsqOrzru4yowQz67dz2yc"", ""'MTY'!AM3:AM139""),MATCH(D16,IMPORTRANGE(""1y0FWgjbB0gVlqn-q5LMJbGIsqOrzru4yowQz67dz2yc"", ""'MTY'!D3:D139""),0))"),285)</f>
        <v>285</v>
      </c>
      <c r="Z16" s="2"/>
      <c r="AA16" s="2"/>
      <c r="AB16" s="2"/>
      <c r="AC16" s="2"/>
    </row>
    <row r="17" spans="1:29">
      <c r="A17" s="9" t="s">
        <v>52</v>
      </c>
      <c r="B17" s="9" t="s">
        <v>68</v>
      </c>
      <c r="C17" s="2" t="s">
        <v>30</v>
      </c>
      <c r="D17" s="149" t="s">
        <v>82</v>
      </c>
      <c r="E17" s="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127</v>
      </c>
      <c r="Q17" s="2">
        <v>251</v>
      </c>
      <c r="R17" s="4"/>
      <c r="S17" s="4"/>
      <c r="T17" s="4"/>
      <c r="U17" s="4"/>
      <c r="V17" s="4"/>
      <c r="W17" s="4"/>
      <c r="X17" s="2">
        <v>78</v>
      </c>
      <c r="Y17" s="2">
        <f ca="1">IFERROR(__xludf.DUMMYFUNCTION("INDEX(IMPORTRANGE(""1y0FWgjbB0gVlqn-q5LMJbGIsqOrzru4yowQz67dz2yc"", ""'MTY'!AM3:AM139""),MATCH(D17,IMPORTRANGE(""1y0FWgjbB0gVlqn-q5LMJbGIsqOrzru4yowQz67dz2yc"", ""'MTY'!D3:D139""),0))"),151)</f>
        <v>151</v>
      </c>
      <c r="Z17" s="2"/>
      <c r="AA17" s="2"/>
      <c r="AB17" s="2"/>
      <c r="AC17" s="2"/>
    </row>
    <row r="18" spans="1:29">
      <c r="A18" s="9" t="s">
        <v>52</v>
      </c>
      <c r="B18" s="9" t="s">
        <v>68</v>
      </c>
      <c r="C18" s="2" t="s">
        <v>36</v>
      </c>
      <c r="D18" s="149" t="s">
        <v>84</v>
      </c>
      <c r="E18" s="9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5">(SUM(P14:P17)/302828)*100000</f>
        <v>297.85885056863964</v>
      </c>
      <c r="Q18" s="23">
        <f t="shared" si="5"/>
        <v>598.0292443235104</v>
      </c>
      <c r="R18" s="2">
        <v>585.20000000000005</v>
      </c>
      <c r="S18" s="2">
        <v>272.3</v>
      </c>
      <c r="T18" s="2">
        <v>571.70000000000005</v>
      </c>
      <c r="U18" s="2">
        <v>265.60000000000002</v>
      </c>
      <c r="V18" s="2">
        <v>557.70000000000005</v>
      </c>
      <c r="W18" s="2">
        <v>557.70000000000005</v>
      </c>
      <c r="X18" s="23">
        <f>(SUM(X14:X17)/306371)*100000</f>
        <v>278.74700934487925</v>
      </c>
      <c r="Y18" s="23">
        <f ca="1">IFERROR(__xludf.DUMMYFUNCTION("INDEX(IMPORTRANGE(""1y0FWgjbB0gVlqn-q5LMJbGIsqOrzru4yowQz67dz2yc"", ""'MTY'!AM3:AM139""),MATCH(D18,IMPORTRANGE(""1y0FWgjbB0gVlqn-q5LMJbGIsqOrzru4yowQz67dz2yc"", ""'MTY'!D3:D139""),0))"),511.14498434904)</f>
        <v>511.14498434903999</v>
      </c>
      <c r="Z18" s="2"/>
      <c r="AA18" s="2"/>
      <c r="AB18" s="2"/>
      <c r="AC18" s="2"/>
    </row>
    <row r="19" spans="1:29">
      <c r="A19" s="9" t="s">
        <v>52</v>
      </c>
      <c r="B19" s="9" t="s">
        <v>86</v>
      </c>
      <c r="C19" s="2" t="s">
        <v>30</v>
      </c>
      <c r="D19" s="149" t="s">
        <v>87</v>
      </c>
      <c r="E19" s="9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515</v>
      </c>
      <c r="Q19" s="2">
        <v>1090</v>
      </c>
      <c r="R19" s="4"/>
      <c r="S19" s="4"/>
      <c r="T19" s="4"/>
      <c r="U19" s="4"/>
      <c r="V19" s="4"/>
      <c r="W19" s="4"/>
      <c r="X19" s="2">
        <v>445</v>
      </c>
      <c r="Y19" s="2">
        <f ca="1">IFERROR(__xludf.DUMMYFUNCTION("INDEX(IMPORTRANGE(""1y0FWgjbB0gVlqn-q5LMJbGIsqOrzru4yowQz67dz2yc"", ""'MTY'!AM3:AM139""),MATCH(D19,IMPORTRANGE(""1y0FWgjbB0gVlqn-q5LMJbGIsqOrzru4yowQz67dz2yc"", ""'MTY'!D3:D139""),0))"),981)</f>
        <v>981</v>
      </c>
      <c r="Z19" s="2"/>
      <c r="AA19" s="2"/>
      <c r="AB19" s="2"/>
      <c r="AC19" s="2"/>
    </row>
    <row r="20" spans="1:29">
      <c r="A20" s="9" t="s">
        <v>52</v>
      </c>
      <c r="B20" s="9" t="s">
        <v>86</v>
      </c>
      <c r="C20" s="2" t="s">
        <v>36</v>
      </c>
      <c r="D20" s="149" t="s">
        <v>89</v>
      </c>
      <c r="E20" s="9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(P19/302828)*100000</f>
        <v>170.06353441557584</v>
      </c>
      <c r="Q20" s="23">
        <f t="shared" si="6"/>
        <v>359.94029614170421</v>
      </c>
      <c r="R20" s="2">
        <v>352.2</v>
      </c>
      <c r="S20" s="2">
        <v>141.9</v>
      </c>
      <c r="T20" s="2">
        <v>344.1</v>
      </c>
      <c r="U20" s="2">
        <v>138.4</v>
      </c>
      <c r="V20" s="2">
        <v>335.6</v>
      </c>
      <c r="W20" s="2">
        <v>335.6</v>
      </c>
      <c r="X20" s="23">
        <f>(X19/306371)*100000</f>
        <v>145.24873437760101</v>
      </c>
      <c r="Y20" s="23">
        <f ca="1">IFERROR(__xludf.DUMMYFUNCTION("INDEX(IMPORTRANGE(""1y0FWgjbB0gVlqn-q5LMJbGIsqOrzru4yowQz67dz2yc"", ""'MTY'!AM3:AM139""),MATCH(D20,IMPORTRANGE(""1y0FWgjbB0gVlqn-q5LMJbGIsqOrzru4yowQz67dz2yc"", ""'MTY'!D3:D139""),0))"),320.200018931295)</f>
        <v>320.20001893129501</v>
      </c>
      <c r="Z20" s="2"/>
      <c r="AA20" s="2"/>
      <c r="AB20" s="2"/>
      <c r="AC20" s="2"/>
    </row>
    <row r="21" spans="1:29">
      <c r="A21" s="9" t="s">
        <v>52</v>
      </c>
      <c r="B21" s="9" t="s">
        <v>86</v>
      </c>
      <c r="C21" s="2" t="s">
        <v>30</v>
      </c>
      <c r="D21" s="149" t="s">
        <v>91</v>
      </c>
      <c r="E21" s="9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118</v>
      </c>
      <c r="Q21" s="2">
        <v>248</v>
      </c>
      <c r="R21" s="4"/>
      <c r="S21" s="4"/>
      <c r="T21" s="4"/>
      <c r="U21" s="4"/>
      <c r="V21" s="4"/>
      <c r="W21" s="4"/>
      <c r="X21" s="2">
        <v>112</v>
      </c>
      <c r="Y21" s="2">
        <f ca="1">IFERROR(__xludf.DUMMYFUNCTION("INDEX(IMPORTRANGE(""1y0FWgjbB0gVlqn-q5LMJbGIsqOrzru4yowQz67dz2yc"", ""'MTY'!AM3:AM139""),MATCH(D21,IMPORTRANGE(""1y0FWgjbB0gVlqn-q5LMJbGIsqOrzru4yowQz67dz2yc"", ""'MTY'!D3:D139""),0))"),242)</f>
        <v>242</v>
      </c>
      <c r="Z21" s="2"/>
      <c r="AA21" s="2"/>
      <c r="AB21" s="2"/>
      <c r="AC21" s="2"/>
    </row>
    <row r="22" spans="1:29">
      <c r="A22" s="9" t="s">
        <v>52</v>
      </c>
      <c r="B22" s="9" t="s">
        <v>86</v>
      </c>
      <c r="C22" s="2" t="s">
        <v>36</v>
      </c>
      <c r="D22" s="149" t="s">
        <v>93</v>
      </c>
      <c r="E22" s="9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7">(P21/302828)*100000</f>
        <v>38.966013710753302</v>
      </c>
      <c r="Q22" s="23">
        <f t="shared" si="7"/>
        <v>81.894672883617105</v>
      </c>
      <c r="R22" s="2">
        <v>80.099999999999994</v>
      </c>
      <c r="S22" s="2">
        <v>35.700000000000003</v>
      </c>
      <c r="T22" s="2">
        <v>78.3</v>
      </c>
      <c r="U22" s="2">
        <v>34.799999999999997</v>
      </c>
      <c r="V22" s="2">
        <v>76.400000000000006</v>
      </c>
      <c r="W22" s="2">
        <v>76.400000000000006</v>
      </c>
      <c r="X22" s="23">
        <f>(X21/306371)*100000</f>
        <v>36.556984832115312</v>
      </c>
      <c r="Y22" s="23">
        <f ca="1">IFERROR(__xludf.DUMMYFUNCTION("INDEX(IMPORTRANGE(""1y0FWgjbB0gVlqn-q5LMJbGIsqOrzru4yowQz67dz2yc"", ""'MTY'!AM3:AM139""),MATCH(D22,IMPORTRANGE(""1y0FWgjbB0gVlqn-q5LMJbGIsqOrzru4yowQz67dz2yc"", ""'MTY'!D3:D139""),0))"),78.989199369392)</f>
        <v>78.989199369391997</v>
      </c>
      <c r="Z22" s="2"/>
      <c r="AA22" s="2"/>
      <c r="AB22" s="2"/>
      <c r="AC22" s="2"/>
    </row>
    <row r="23" spans="1:29">
      <c r="A23" s="9" t="s">
        <v>52</v>
      </c>
      <c r="B23" s="9" t="s">
        <v>86</v>
      </c>
      <c r="C23" s="2" t="s">
        <v>30</v>
      </c>
      <c r="D23" s="149" t="s">
        <v>95</v>
      </c>
      <c r="E23" s="9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15</v>
      </c>
      <c r="Q23" s="2">
        <v>30</v>
      </c>
      <c r="R23" s="4"/>
      <c r="S23" s="4"/>
      <c r="T23" s="4"/>
      <c r="U23" s="4"/>
      <c r="V23" s="4"/>
      <c r="W23" s="4"/>
      <c r="X23" s="2">
        <v>9</v>
      </c>
      <c r="Y23" s="2">
        <f ca="1">IFERROR(__xludf.DUMMYFUNCTION("INDEX(IMPORTRANGE(""1y0FWgjbB0gVlqn-q5LMJbGIsqOrzru4yowQz67dz2yc"", ""'MTY'!AM3:AM139""),MATCH(D23,IMPORTRANGE(""1y0FWgjbB0gVlqn-q5LMJbGIsqOrzru4yowQz67dz2yc"", ""'MTY'!D3:D139""),0))"),25)</f>
        <v>25</v>
      </c>
      <c r="Z23" s="2"/>
      <c r="AA23" s="2"/>
      <c r="AB23" s="2"/>
      <c r="AC23" s="2"/>
    </row>
    <row r="24" spans="1:29">
      <c r="A24" s="9" t="s">
        <v>52</v>
      </c>
      <c r="B24" s="9" t="s">
        <v>86</v>
      </c>
      <c r="C24" s="2" t="s">
        <v>30</v>
      </c>
      <c r="D24" s="149" t="s">
        <v>97</v>
      </c>
      <c r="E24" s="9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19</v>
      </c>
      <c r="Q24" s="2">
        <v>28</v>
      </c>
      <c r="R24" s="4"/>
      <c r="S24" s="4"/>
      <c r="T24" s="4"/>
      <c r="U24" s="4"/>
      <c r="V24" s="4"/>
      <c r="W24" s="4"/>
      <c r="X24" s="2">
        <v>7</v>
      </c>
      <c r="Y24" s="2">
        <f ca="1">IFERROR(__xludf.DUMMYFUNCTION("INDEX(IMPORTRANGE(""1y0FWgjbB0gVlqn-q5LMJbGIsqOrzru4yowQz67dz2yc"", ""'MTY'!AM3:AM139""),MATCH(D24,IMPORTRANGE(""1y0FWgjbB0gVlqn-q5LMJbGIsqOrzru4yowQz67dz2yc"", ""'MTY'!D3:D139""),0))"),31)</f>
        <v>31</v>
      </c>
      <c r="Z24" s="2"/>
      <c r="AA24" s="2"/>
      <c r="AB24" s="2"/>
      <c r="AC24" s="2"/>
    </row>
    <row r="25" spans="1:29">
      <c r="A25" s="9" t="s">
        <v>52</v>
      </c>
      <c r="B25" s="9" t="s">
        <v>86</v>
      </c>
      <c r="C25" s="2" t="s">
        <v>30</v>
      </c>
      <c r="D25" s="149" t="s">
        <v>99</v>
      </c>
      <c r="E25" s="9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6</v>
      </c>
      <c r="Q25" s="2">
        <v>14</v>
      </c>
      <c r="R25" s="4"/>
      <c r="S25" s="4"/>
      <c r="T25" s="4"/>
      <c r="U25" s="4"/>
      <c r="V25" s="4"/>
      <c r="W25" s="4"/>
      <c r="X25" s="2">
        <v>2</v>
      </c>
      <c r="Y25" s="2">
        <f ca="1">IFERROR(__xludf.DUMMYFUNCTION("INDEX(IMPORTRANGE(""1y0FWgjbB0gVlqn-q5LMJbGIsqOrzru4yowQz67dz2yc"", ""'MTY'!AM3:AM139""),MATCH(D25,IMPORTRANGE(""1y0FWgjbB0gVlqn-q5LMJbGIsqOrzru4yowQz67dz2yc"", ""'MTY'!D3:D139""),0))"),11)</f>
        <v>11</v>
      </c>
      <c r="Z25" s="2"/>
      <c r="AA25" s="2"/>
      <c r="AB25" s="2"/>
      <c r="AC25" s="2"/>
    </row>
    <row r="26" spans="1:29">
      <c r="A26" s="9" t="s">
        <v>52</v>
      </c>
      <c r="B26" s="9" t="s">
        <v>86</v>
      </c>
      <c r="C26" s="2" t="s">
        <v>30</v>
      </c>
      <c r="D26" s="151" t="s">
        <v>101</v>
      </c>
      <c r="E26" s="9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0</v>
      </c>
      <c r="Q26" s="2">
        <v>0</v>
      </c>
      <c r="R26" s="4"/>
      <c r="S26" s="4"/>
      <c r="T26" s="4"/>
      <c r="U26" s="4"/>
      <c r="V26" s="4"/>
      <c r="W26" s="4"/>
      <c r="X26" s="2">
        <v>0</v>
      </c>
      <c r="Y26" s="2">
        <f ca="1">IFERROR(__xludf.DUMMYFUNCTION("INDEX(IMPORTRANGE(""1y0FWgjbB0gVlqn-q5LMJbGIsqOrzru4yowQz67dz2yc"", ""'MTY'!AM3:AM139""),MATCH(D26,IMPORTRANGE(""1y0FWgjbB0gVlqn-q5LMJbGIsqOrzru4yowQz67dz2yc"", ""'MTY'!D3:D139""),0))"),1)</f>
        <v>1</v>
      </c>
      <c r="Z26" s="2"/>
      <c r="AA26" s="2"/>
      <c r="AB26" s="2"/>
      <c r="AC26" s="2"/>
    </row>
    <row r="27" spans="1:29">
      <c r="A27" s="9" t="s">
        <v>52</v>
      </c>
      <c r="B27" s="9" t="s">
        <v>86</v>
      </c>
      <c r="C27" s="2" t="s">
        <v>30</v>
      </c>
      <c r="D27" s="151" t="s">
        <v>103</v>
      </c>
      <c r="E27" s="9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14</v>
      </c>
      <c r="Q27" s="2">
        <v>17</v>
      </c>
      <c r="R27" s="4"/>
      <c r="S27" s="4"/>
      <c r="T27" s="4"/>
      <c r="U27" s="4"/>
      <c r="V27" s="4"/>
      <c r="W27" s="4"/>
      <c r="X27" s="2">
        <v>2</v>
      </c>
      <c r="Y27" s="2">
        <f ca="1">IFERROR(__xludf.DUMMYFUNCTION("INDEX(IMPORTRANGE(""1y0FWgjbB0gVlqn-q5LMJbGIsqOrzru4yowQz67dz2yc"", ""'MTY'!AM3:AM139""),MATCH(D27,IMPORTRANGE(""1y0FWgjbB0gVlqn-q5LMJbGIsqOrzru4yowQz67dz2yc"", ""'MTY'!D3:D139""),0))"),4)</f>
        <v>4</v>
      </c>
      <c r="Z27" s="2"/>
      <c r="AA27" s="2"/>
      <c r="AB27" s="2"/>
      <c r="AC27" s="2"/>
    </row>
    <row r="28" spans="1:29">
      <c r="A28" s="9" t="s">
        <v>52</v>
      </c>
      <c r="B28" s="9" t="s">
        <v>86</v>
      </c>
      <c r="C28" s="2" t="s">
        <v>30</v>
      </c>
      <c r="D28" s="151" t="s">
        <v>105</v>
      </c>
      <c r="E28" s="9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2">
        <v>0</v>
      </c>
      <c r="R28" s="4"/>
      <c r="S28" s="4"/>
      <c r="T28" s="4"/>
      <c r="U28" s="4"/>
      <c r="V28" s="4"/>
      <c r="W28" s="4"/>
      <c r="X28" s="2">
        <v>0</v>
      </c>
      <c r="Y28" s="2">
        <f ca="1">IFERROR(__xludf.DUMMYFUNCTION("INDEX(IMPORTRANGE(""1y0FWgjbB0gVlqn-q5LMJbGIsqOrzru4yowQz67dz2yc"", ""'MTY'!AM3:AM139""),MATCH(D28,IMPORTRANGE(""1y0FWgjbB0gVlqn-q5LMJbGIsqOrzru4yowQz67dz2yc"", ""'MTY'!D3:D139""),0))"),0)</f>
        <v>0</v>
      </c>
      <c r="Z28" s="2"/>
      <c r="AA28" s="2"/>
      <c r="AB28" s="2"/>
      <c r="AC28" s="2"/>
    </row>
    <row r="29" spans="1:29">
      <c r="A29" s="9" t="s">
        <v>52</v>
      </c>
      <c r="B29" s="9" t="s">
        <v>86</v>
      </c>
      <c r="C29" s="2" t="s">
        <v>30</v>
      </c>
      <c r="D29" s="149" t="s">
        <v>107</v>
      </c>
      <c r="E29" s="9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7</v>
      </c>
      <c r="Q29" s="2">
        <v>13</v>
      </c>
      <c r="R29" s="4"/>
      <c r="S29" s="4"/>
      <c r="T29" s="4"/>
      <c r="U29" s="4"/>
      <c r="V29" s="4"/>
      <c r="W29" s="4"/>
      <c r="X29" s="2">
        <v>6</v>
      </c>
      <c r="Y29" s="2">
        <f ca="1">IFERROR(__xludf.DUMMYFUNCTION("INDEX(IMPORTRANGE(""1y0FWgjbB0gVlqn-q5LMJbGIsqOrzru4yowQz67dz2yc"", ""'MTY'!AM3:AM139""),MATCH(D29,IMPORTRANGE(""1y0FWgjbB0gVlqn-q5LMJbGIsqOrzru4yowQz67dz2yc"", ""'MTY'!D3:D139""),0))"),18)</f>
        <v>18</v>
      </c>
      <c r="Z29" s="2"/>
      <c r="AA29" s="2"/>
      <c r="AB29" s="2"/>
      <c r="AC29" s="2"/>
    </row>
    <row r="30" spans="1:29">
      <c r="A30" s="9" t="s">
        <v>52</v>
      </c>
      <c r="B30" s="9" t="s">
        <v>86</v>
      </c>
      <c r="C30" s="2" t="s">
        <v>30</v>
      </c>
      <c r="D30" s="149" t="s">
        <v>109</v>
      </c>
      <c r="E30" s="9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2">
        <v>4</v>
      </c>
      <c r="R30" s="4"/>
      <c r="S30" s="4"/>
      <c r="T30" s="4"/>
      <c r="U30" s="4"/>
      <c r="V30" s="4"/>
      <c r="W30" s="4"/>
      <c r="X30" s="2">
        <v>3</v>
      </c>
      <c r="Y30" s="2">
        <f ca="1">IFERROR(__xludf.DUMMYFUNCTION("INDEX(IMPORTRANGE(""1y0FWgjbB0gVlqn-q5LMJbGIsqOrzru4yowQz67dz2yc"", ""'MTY'!AM3:AM139""),MATCH(D30,IMPORTRANGE(""1y0FWgjbB0gVlqn-q5LMJbGIsqOrzru4yowQz67dz2yc"", ""'MTY'!D3:D139""),0))"),5)</f>
        <v>5</v>
      </c>
      <c r="Z30" s="2"/>
      <c r="AA30" s="2"/>
      <c r="AB30" s="2"/>
      <c r="AC30" s="2"/>
    </row>
    <row r="31" spans="1:29">
      <c r="A31" s="9" t="s">
        <v>52</v>
      </c>
      <c r="B31" s="9" t="s">
        <v>86</v>
      </c>
      <c r="C31" s="2" t="s">
        <v>30</v>
      </c>
      <c r="D31" s="149" t="s">
        <v>111</v>
      </c>
      <c r="E31" s="9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2">
        <v>0</v>
      </c>
      <c r="R31" s="4"/>
      <c r="S31" s="4"/>
      <c r="T31" s="4"/>
      <c r="U31" s="4"/>
      <c r="V31" s="4"/>
      <c r="W31" s="4"/>
      <c r="X31" s="2">
        <v>0</v>
      </c>
      <c r="Y31" s="2">
        <f ca="1">IFERROR(__xludf.DUMMYFUNCTION("INDEX(IMPORTRANGE(""1y0FWgjbB0gVlqn-q5LMJbGIsqOrzru4yowQz67dz2yc"", ""'MTY'!AM3:AM139""),MATCH(D31,IMPORTRANGE(""1y0FWgjbB0gVlqn-q5LMJbGIsqOrzru4yowQz67dz2yc"", ""'MTY'!D3:D139""),0))"),0)</f>
        <v>0</v>
      </c>
      <c r="Z31" s="2"/>
      <c r="AA31" s="2"/>
      <c r="AB31" s="2"/>
      <c r="AC31" s="2"/>
    </row>
    <row r="32" spans="1:29">
      <c r="A32" s="9" t="s">
        <v>52</v>
      </c>
      <c r="B32" s="9" t="s">
        <v>86</v>
      </c>
      <c r="C32" s="2" t="s">
        <v>30</v>
      </c>
      <c r="D32" s="149" t="s">
        <v>113</v>
      </c>
      <c r="E32" s="9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2">
        <v>2</v>
      </c>
      <c r="R32" s="4"/>
      <c r="S32" s="4"/>
      <c r="T32" s="4"/>
      <c r="U32" s="4"/>
      <c r="V32" s="4"/>
      <c r="W32" s="4"/>
      <c r="X32" s="2">
        <v>1</v>
      </c>
      <c r="Y32" s="2">
        <f ca="1">IFERROR(__xludf.DUMMYFUNCTION("INDEX(IMPORTRANGE(""1y0FWgjbB0gVlqn-q5LMJbGIsqOrzru4yowQz67dz2yc"", ""'MTY'!AM3:AM139""),MATCH(D32,IMPORTRANGE(""1y0FWgjbB0gVlqn-q5LMJbGIsqOrzru4yowQz67dz2yc"", ""'MTY'!D3:D139""),0))"),3)</f>
        <v>3</v>
      </c>
      <c r="Z32" s="2"/>
      <c r="AA32" s="2"/>
      <c r="AB32" s="2"/>
      <c r="AC32" s="2"/>
    </row>
    <row r="33" spans="1:29">
      <c r="A33" s="9" t="s">
        <v>52</v>
      </c>
      <c r="B33" s="9" t="s">
        <v>86</v>
      </c>
      <c r="C33" s="2" t="s">
        <v>30</v>
      </c>
      <c r="D33" s="149" t="s">
        <v>115</v>
      </c>
      <c r="E33" s="9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1</v>
      </c>
      <c r="Q33" s="2">
        <v>2</v>
      </c>
      <c r="R33" s="4"/>
      <c r="S33" s="4"/>
      <c r="T33" s="4"/>
      <c r="U33" s="4"/>
      <c r="V33" s="4"/>
      <c r="W33" s="4"/>
      <c r="X33" s="2">
        <v>0</v>
      </c>
      <c r="Y33" s="2">
        <f ca="1">IFERROR(__xludf.DUMMYFUNCTION("INDEX(IMPORTRANGE(""1y0FWgjbB0gVlqn-q5LMJbGIsqOrzru4yowQz67dz2yc"", ""'MTY'!AM3:AM139""),MATCH(D33,IMPORTRANGE(""1y0FWgjbB0gVlqn-q5LMJbGIsqOrzru4yowQz67dz2yc"", ""'MTY'!D3:D139""),0))"),0)</f>
        <v>0</v>
      </c>
      <c r="Z33" s="2"/>
      <c r="AA33" s="2"/>
      <c r="AB33" s="2"/>
      <c r="AC33" s="2"/>
    </row>
    <row r="34" spans="1:29">
      <c r="A34" s="9" t="s">
        <v>52</v>
      </c>
      <c r="B34" s="9" t="s">
        <v>86</v>
      </c>
      <c r="C34" s="2" t="s">
        <v>36</v>
      </c>
      <c r="D34" s="149" t="s">
        <v>117</v>
      </c>
      <c r="E34" s="9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8">(SUM(P23:P33)/302828)*100000</f>
        <v>21.464329586431901</v>
      </c>
      <c r="Q34" s="23">
        <f t="shared" si="8"/>
        <v>36.324250069346292</v>
      </c>
      <c r="R34" s="2">
        <v>35.5</v>
      </c>
      <c r="S34" s="2">
        <v>9.6</v>
      </c>
      <c r="T34" s="2">
        <v>34.700000000000003</v>
      </c>
      <c r="U34" s="2">
        <v>9.3000000000000007</v>
      </c>
      <c r="V34" s="2">
        <v>33.9</v>
      </c>
      <c r="W34" s="2">
        <v>33.9</v>
      </c>
      <c r="X34" s="23">
        <f>(SUM(X23:X33)/306371)*100000</f>
        <v>9.7920495086023163</v>
      </c>
      <c r="Y34" s="23">
        <f ca="1">IFERROR(__xludf.DUMMYFUNCTION("INDEX(IMPORTRANGE(""1y0FWgjbB0gVlqn-q5LMJbGIsqOrzru4yowQz67dz2yc"", ""'MTY'!AM3:AM139""),MATCH(D34,IMPORTRANGE(""1y0FWgjbB0gVlqn-q5LMJbGIsqOrzru4yowQz67dz2yc"", ""'MTY'!D3:D139""),0))"),31.9873617281008)</f>
        <v>31.987361728100801</v>
      </c>
      <c r="Z34" s="2"/>
      <c r="AA34" s="2"/>
      <c r="AB34" s="2"/>
      <c r="AC34" s="2"/>
    </row>
    <row r="35" spans="1:29">
      <c r="A35" s="9" t="s">
        <v>119</v>
      </c>
      <c r="B35" s="9" t="s">
        <v>120</v>
      </c>
      <c r="C35" s="2" t="s">
        <v>30</v>
      </c>
      <c r="D35" s="148" t="s">
        <v>121</v>
      </c>
      <c r="E35" s="257" t="s">
        <v>38</v>
      </c>
      <c r="F35" s="257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9">
        <v>375160</v>
      </c>
      <c r="Q35" s="9">
        <v>375160</v>
      </c>
      <c r="R35" s="4"/>
      <c r="S35" s="4"/>
      <c r="T35" s="4"/>
      <c r="U35" s="4"/>
      <c r="V35" s="4"/>
      <c r="W35" s="4"/>
      <c r="X35" s="195">
        <v>375160</v>
      </c>
      <c r="Y35" s="195">
        <f ca="1">IFERROR(__xludf.DUMMYFUNCTION("INDEX(IMPORTRANGE(""1y0FWgjbB0gVlqn-q5LMJbGIsqOrzru4yowQz67dz2yc"", ""'MTY'!AM3:AM139""),MATCH(D35,IMPORTRANGE(""1y0FWgjbB0gVlqn-q5LMJbGIsqOrzru4yowQz67dz2yc"", ""'MTY'!D3:D139""),0))"),375160)</f>
        <v>375160</v>
      </c>
      <c r="Z35" s="2"/>
      <c r="AA35" s="2"/>
      <c r="AB35" s="2"/>
      <c r="AC35" s="2"/>
    </row>
    <row r="36" spans="1:29">
      <c r="A36" s="257" t="s">
        <v>119</v>
      </c>
      <c r="B36" s="257" t="s">
        <v>120</v>
      </c>
      <c r="C36" s="257" t="s">
        <v>30</v>
      </c>
      <c r="D36" s="454" t="s">
        <v>123</v>
      </c>
      <c r="E36" s="257" t="s">
        <v>38</v>
      </c>
      <c r="F36" s="257" t="s">
        <v>124</v>
      </c>
      <c r="G36" s="464">
        <v>44469</v>
      </c>
      <c r="H36" s="464">
        <v>44469</v>
      </c>
      <c r="I36" s="455">
        <v>44651</v>
      </c>
      <c r="J36" s="455">
        <v>44834</v>
      </c>
      <c r="K36" s="455">
        <v>45016</v>
      </c>
      <c r="L36" s="455">
        <v>45199</v>
      </c>
      <c r="M36" s="455">
        <v>45382</v>
      </c>
      <c r="N36" s="455">
        <v>45565</v>
      </c>
      <c r="O36" s="455">
        <v>45565</v>
      </c>
      <c r="P36" s="456">
        <v>278</v>
      </c>
      <c r="Q36" s="257">
        <v>278</v>
      </c>
      <c r="R36" s="456">
        <v>1500</v>
      </c>
      <c r="S36" s="456">
        <v>3000</v>
      </c>
      <c r="T36" s="456">
        <v>4500</v>
      </c>
      <c r="U36" s="456">
        <v>6000</v>
      </c>
      <c r="V36" s="456">
        <v>7219</v>
      </c>
      <c r="W36" s="456">
        <v>7219</v>
      </c>
      <c r="X36" s="456">
        <v>277</v>
      </c>
      <c r="Y36" s="456">
        <f ca="1">IFERROR(__xludf.DUMMYFUNCTION("INDEX(IMPORTRANGE(""1y0FWgjbB0gVlqn-q5LMJbGIsqOrzru4yowQz67dz2yc"", ""'MTY'!AM3:AM139""),MATCH(D36,IMPORTRANGE(""1y0FWgjbB0gVlqn-q5LMJbGIsqOrzru4yowQz67dz2yc"", ""'MTY'!D3:D139""),0))"),3763)</f>
        <v>3763</v>
      </c>
      <c r="Z36" s="2"/>
      <c r="AA36" s="2"/>
      <c r="AB36" s="2"/>
      <c r="AC36" s="2"/>
    </row>
    <row r="37" spans="1:29">
      <c r="A37" s="257" t="s">
        <v>119</v>
      </c>
      <c r="B37" s="257" t="s">
        <v>120</v>
      </c>
      <c r="C37" s="257" t="s">
        <v>36</v>
      </c>
      <c r="D37" s="454" t="s">
        <v>125</v>
      </c>
      <c r="E37" s="257" t="s">
        <v>38</v>
      </c>
      <c r="F37" s="257" t="s">
        <v>126</v>
      </c>
      <c r="G37" s="464">
        <v>44469</v>
      </c>
      <c r="H37" s="464">
        <v>44469</v>
      </c>
      <c r="I37" s="455">
        <v>44651</v>
      </c>
      <c r="J37" s="455">
        <v>44834</v>
      </c>
      <c r="K37" s="455">
        <v>45016</v>
      </c>
      <c r="L37" s="455">
        <v>45199</v>
      </c>
      <c r="M37" s="455">
        <v>45382</v>
      </c>
      <c r="N37" s="455">
        <v>45565</v>
      </c>
      <c r="O37" s="455">
        <v>45565</v>
      </c>
      <c r="P37" s="457">
        <f t="shared" ref="P37:Q37" si="9">P36/P35</f>
        <v>7.4101716600916947E-4</v>
      </c>
      <c r="Q37" s="457">
        <f t="shared" si="9"/>
        <v>7.4101716600916947E-4</v>
      </c>
      <c r="R37" s="457">
        <v>1.06E-2</v>
      </c>
      <c r="S37" s="457">
        <v>1.2E-2</v>
      </c>
      <c r="T37" s="457">
        <v>1.49E-2</v>
      </c>
      <c r="U37" s="457">
        <v>1.6400000000000001E-2</v>
      </c>
      <c r="V37" s="457">
        <v>1.9199999999999998E-2</v>
      </c>
      <c r="W37" s="457">
        <v>1.9199999999999998E-2</v>
      </c>
      <c r="X37" s="457">
        <f>X36/X35</f>
        <v>7.3835163663503575E-4</v>
      </c>
      <c r="Y37" s="457">
        <f ca="1">IFERROR(__xludf.DUMMYFUNCTION("INDEX(IMPORTRANGE(""1y0FWgjbB0gVlqn-q5LMJbGIsqOrzru4yowQz67dz2yc"", ""'MTY'!AM3:AM139""),MATCH(D37,IMPORTRANGE(""1y0FWgjbB0gVlqn-q5LMJbGIsqOrzru4yowQz67dz2yc"", ""'MTY'!D3:D139""),0))"),0.0100303870348651)</f>
        <v>1.00303870348651E-2</v>
      </c>
      <c r="Z37" s="2"/>
      <c r="AA37" s="2"/>
      <c r="AB37" s="2"/>
      <c r="AC37" s="2"/>
    </row>
    <row r="38" spans="1:29">
      <c r="A38" s="9" t="s">
        <v>119</v>
      </c>
      <c r="B38" s="9" t="s">
        <v>127</v>
      </c>
      <c r="C38" s="2" t="s">
        <v>36</v>
      </c>
      <c r="D38" s="149" t="s">
        <v>128</v>
      </c>
      <c r="E38" s="9" t="s">
        <v>38</v>
      </c>
      <c r="F38" s="9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6</v>
      </c>
      <c r="Q38" s="2">
        <v>10</v>
      </c>
      <c r="R38" s="267">
        <v>20</v>
      </c>
      <c r="S38" s="267">
        <v>3</v>
      </c>
      <c r="T38" s="267">
        <v>8</v>
      </c>
      <c r="U38" s="267">
        <v>3</v>
      </c>
      <c r="V38" s="267">
        <v>7</v>
      </c>
      <c r="W38" s="2">
        <v>35</v>
      </c>
      <c r="X38" s="2">
        <v>12</v>
      </c>
      <c r="Y38" s="2">
        <f ca="1">IFERROR(__xludf.DUMMYFUNCTION("INDEX(IMPORTRANGE(""1y0FWgjbB0gVlqn-q5LMJbGIsqOrzru4yowQz67dz2yc"", ""'MTY'!AM3:AM139""),MATCH(D38,IMPORTRANGE(""1y0FWgjbB0gVlqn-q5LMJbGIsqOrzru4yowQz67dz2yc"", ""'MTY'!D3:D139""),0))"),25)</f>
        <v>25</v>
      </c>
      <c r="Z38" s="2"/>
      <c r="AA38" s="2"/>
      <c r="AB38" s="2"/>
      <c r="AC38" s="2"/>
    </row>
    <row r="39" spans="1:29">
      <c r="A39" s="9" t="s">
        <v>119</v>
      </c>
      <c r="B39" s="9" t="s">
        <v>133</v>
      </c>
      <c r="C39" s="2" t="s">
        <v>36</v>
      </c>
      <c r="D39" s="149" t="s">
        <v>134</v>
      </c>
      <c r="E39" s="9" t="s">
        <v>38</v>
      </c>
      <c r="F39" s="9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1186</v>
      </c>
      <c r="Q39" s="2">
        <v>3568</v>
      </c>
      <c r="R39" s="456">
        <v>900</v>
      </c>
      <c r="S39" s="456">
        <v>1000</v>
      </c>
      <c r="T39" s="456">
        <v>2100</v>
      </c>
      <c r="U39" s="456">
        <v>1000</v>
      </c>
      <c r="V39" s="456">
        <v>2000</v>
      </c>
      <c r="W39" s="456">
        <v>5000</v>
      </c>
      <c r="X39" s="2">
        <v>446</v>
      </c>
      <c r="Y39" s="2">
        <f ca="1">IFERROR(__xludf.DUMMYFUNCTION("INDEX(IMPORTRANGE(""1y0FWgjbB0gVlqn-q5LMJbGIsqOrzru4yowQz67dz2yc"", ""'MTY'!AM3:AM139""),MATCH(D39,IMPORTRANGE(""1y0FWgjbB0gVlqn-q5LMJbGIsqOrzru4yowQz67dz2yc"", ""'MTY'!D3:D139""),0))"),1343)</f>
        <v>1343</v>
      </c>
      <c r="Z39" s="2"/>
      <c r="AA39" s="2"/>
      <c r="AB39" s="2"/>
      <c r="AC39" s="2"/>
    </row>
    <row r="40" spans="1:29">
      <c r="A40" s="21" t="s">
        <v>119</v>
      </c>
      <c r="B40" s="21" t="s">
        <v>136</v>
      </c>
      <c r="C40" s="22" t="s">
        <v>30</v>
      </c>
      <c r="D40" s="151" t="s">
        <v>137</v>
      </c>
      <c r="E40" s="21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2</v>
      </c>
      <c r="Q40" s="2">
        <v>2</v>
      </c>
      <c r="R40" s="267">
        <v>2</v>
      </c>
      <c r="S40" s="267">
        <v>2</v>
      </c>
      <c r="T40" s="267">
        <v>4</v>
      </c>
      <c r="U40" s="267">
        <v>2</v>
      </c>
      <c r="V40" s="267">
        <v>4</v>
      </c>
      <c r="W40" s="267">
        <v>10</v>
      </c>
      <c r="X40" s="2">
        <v>1</v>
      </c>
      <c r="Y40" s="2">
        <f ca="1">IFERROR(__xludf.DUMMYFUNCTION("INDEX(IMPORTRANGE(""1y0FWgjbB0gVlqn-q5LMJbGIsqOrzru4yowQz67dz2yc"", ""'MTY'!AM3:AM139""),MATCH(D40,IMPORTRANGE(""1y0FWgjbB0gVlqn-q5LMJbGIsqOrzru4yowQz67dz2yc"", ""'MTY'!D3:D139""),0))"),4)</f>
        <v>4</v>
      </c>
      <c r="Z40" s="2"/>
      <c r="AA40" s="2"/>
      <c r="AB40" s="2"/>
      <c r="AC40" s="2"/>
    </row>
    <row r="41" spans="1:29">
      <c r="A41" s="21" t="s">
        <v>119</v>
      </c>
      <c r="B41" s="21" t="s">
        <v>136</v>
      </c>
      <c r="C41" s="22" t="s">
        <v>30</v>
      </c>
      <c r="D41" s="151" t="s">
        <v>139</v>
      </c>
      <c r="E41" s="21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2"/>
      <c r="R41" s="267"/>
      <c r="S41" s="267"/>
      <c r="T41" s="267"/>
      <c r="U41" s="267"/>
      <c r="V41" s="267"/>
      <c r="W41" s="267"/>
      <c r="X41" s="2"/>
      <c r="Y41" s="2">
        <f ca="1">IFERROR(__xludf.DUMMYFUNCTION("INDEX(IMPORTRANGE(""1y0FWgjbB0gVlqn-q5LMJbGIsqOrzru4yowQz67dz2yc"", ""'MTY'!AM3:AM139""),MATCH(D41,IMPORTRANGE(""1y0FWgjbB0gVlqn-q5LMJbGIsqOrzru4yowQz67dz2yc"", ""'MTY'!D3:D139""),0))"),0)</f>
        <v>0</v>
      </c>
      <c r="Z41" s="2"/>
      <c r="AA41" s="2"/>
      <c r="AB41" s="2"/>
      <c r="AC41" s="2"/>
    </row>
    <row r="42" spans="1:29">
      <c r="A42" s="21" t="s">
        <v>119</v>
      </c>
      <c r="B42" s="21" t="s">
        <v>136</v>
      </c>
      <c r="C42" s="22" t="s">
        <v>30</v>
      </c>
      <c r="D42" s="151" t="s">
        <v>141</v>
      </c>
      <c r="E42" s="21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4</v>
      </c>
      <c r="Q42" s="2">
        <v>8</v>
      </c>
      <c r="R42" s="267">
        <v>15</v>
      </c>
      <c r="S42" s="267">
        <v>12</v>
      </c>
      <c r="T42" s="267">
        <v>27</v>
      </c>
      <c r="U42" s="267">
        <v>12</v>
      </c>
      <c r="V42" s="267">
        <v>28</v>
      </c>
      <c r="W42" s="267">
        <v>70</v>
      </c>
      <c r="X42" s="2">
        <v>8</v>
      </c>
      <c r="Y42" s="2">
        <f ca="1">IFERROR(__xludf.DUMMYFUNCTION("INDEX(IMPORTRANGE(""1y0FWgjbB0gVlqn-q5LMJbGIsqOrzru4yowQz67dz2yc"", ""'MTY'!AM3:AM139""),MATCH(D42,IMPORTRANGE(""1y0FWgjbB0gVlqn-q5LMJbGIsqOrzru4yowQz67dz2yc"", ""'MTY'!D3:D139""),0))"),36)</f>
        <v>36</v>
      </c>
      <c r="Z42" s="2"/>
      <c r="AA42" s="2"/>
      <c r="AB42" s="2"/>
      <c r="AC42" s="2"/>
    </row>
    <row r="43" spans="1:29">
      <c r="A43" s="21" t="s">
        <v>119</v>
      </c>
      <c r="B43" s="21" t="s">
        <v>136</v>
      </c>
      <c r="C43" s="22" t="s">
        <v>30</v>
      </c>
      <c r="D43" s="151" t="s">
        <v>143</v>
      </c>
      <c r="E43" s="21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2"/>
      <c r="R43" s="4"/>
      <c r="S43" s="4"/>
      <c r="T43" s="4"/>
      <c r="U43" s="4"/>
      <c r="V43" s="4"/>
      <c r="W43" s="4"/>
      <c r="X43" s="2"/>
      <c r="Y43" s="2">
        <f ca="1">IFERROR(__xludf.DUMMYFUNCTION("INDEX(IMPORTRANGE(""1y0FWgjbB0gVlqn-q5LMJbGIsqOrzru4yowQz67dz2yc"", ""'MTY'!AM3:AM139""),MATCH(D43,IMPORTRANGE(""1y0FWgjbB0gVlqn-q5LMJbGIsqOrzru4yowQz67dz2yc"", ""'MTY'!D3:D139""),0))"),19)</f>
        <v>19</v>
      </c>
      <c r="Z43" s="2"/>
      <c r="AA43" s="2"/>
      <c r="AB43" s="2"/>
      <c r="AC43" s="2"/>
    </row>
    <row r="44" spans="1:29">
      <c r="A44" s="21" t="s">
        <v>119</v>
      </c>
      <c r="B44" s="21" t="s">
        <v>136</v>
      </c>
      <c r="C44" s="22" t="s">
        <v>36</v>
      </c>
      <c r="D44" s="151" t="s">
        <v>145</v>
      </c>
      <c r="E44" s="21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v>6</v>
      </c>
      <c r="Q44" s="2">
        <v>10</v>
      </c>
      <c r="R44" s="4">
        <f t="shared" ref="R44:W44" si="10">R40+R42</f>
        <v>17</v>
      </c>
      <c r="S44" s="4">
        <f t="shared" si="10"/>
        <v>14</v>
      </c>
      <c r="T44" s="4">
        <f t="shared" si="10"/>
        <v>31</v>
      </c>
      <c r="U44" s="4">
        <f t="shared" si="10"/>
        <v>14</v>
      </c>
      <c r="V44" s="4">
        <f t="shared" si="10"/>
        <v>32</v>
      </c>
      <c r="W44" s="4">
        <f t="shared" si="10"/>
        <v>80</v>
      </c>
      <c r="X44" s="2">
        <v>9</v>
      </c>
      <c r="Y44" s="2">
        <f ca="1">IFERROR(__xludf.DUMMYFUNCTION("INDEX(IMPORTRANGE(""1y0FWgjbB0gVlqn-q5LMJbGIsqOrzru4yowQz67dz2yc"", ""'MTY'!AM3:AM139""),MATCH(D44,IMPORTRANGE(""1y0FWgjbB0gVlqn-q5LMJbGIsqOrzru4yowQz67dz2yc"", ""'MTY'!D3:D139""),0))"),59)</f>
        <v>59</v>
      </c>
      <c r="Z44" s="2"/>
      <c r="AA44" s="2"/>
      <c r="AB44" s="2"/>
      <c r="AC44" s="2"/>
    </row>
    <row r="45" spans="1:29">
      <c r="A45" s="9" t="s">
        <v>147</v>
      </c>
      <c r="B45" s="9" t="s">
        <v>148</v>
      </c>
      <c r="C45" s="2" t="s">
        <v>30</v>
      </c>
      <c r="D45" s="149" t="s">
        <v>149</v>
      </c>
      <c r="E45" s="9" t="s">
        <v>38</v>
      </c>
      <c r="F45" s="9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12" t="s">
        <v>150</v>
      </c>
      <c r="Q45" s="2" t="s">
        <v>150</v>
      </c>
      <c r="R45" s="22" t="s">
        <v>151</v>
      </c>
      <c r="S45" s="22" t="s">
        <v>151</v>
      </c>
      <c r="T45" s="22" t="s">
        <v>151</v>
      </c>
      <c r="U45" s="22" t="s">
        <v>151</v>
      </c>
      <c r="V45" s="22" t="s">
        <v>151</v>
      </c>
      <c r="W45" s="22" t="s">
        <v>151</v>
      </c>
      <c r="X45" s="2" t="s">
        <v>150</v>
      </c>
      <c r="Y45" s="18" t="str">
        <f ca="1">IFERROR(__xludf.DUMMYFUNCTION("INDEX(IMPORTRANGE(""1y0FWgjbB0gVlqn-q5LMJbGIsqOrzru4yowQz67dz2yc"", ""'MTY'!AM3:AM139""),MATCH(D45,IMPORTRANGE(""1y0FWgjbB0gVlqn-q5LMJbGIsqOrzru4yowQz67dz2yc"", ""'MTY'!D3:D139""),0))"),"No")</f>
        <v>No</v>
      </c>
      <c r="Z45" s="2"/>
      <c r="AA45" s="2"/>
      <c r="AB45" s="2"/>
      <c r="AC45" s="2"/>
    </row>
    <row r="46" spans="1:29">
      <c r="A46" s="9" t="s">
        <v>147</v>
      </c>
      <c r="B46" s="9" t="s">
        <v>148</v>
      </c>
      <c r="C46" s="2" t="s">
        <v>30</v>
      </c>
      <c r="D46" s="149" t="s">
        <v>152</v>
      </c>
      <c r="E46" s="9" t="s">
        <v>38</v>
      </c>
      <c r="F46" s="9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12" t="s">
        <v>150</v>
      </c>
      <c r="Q46" s="2" t="s">
        <v>150</v>
      </c>
      <c r="R46" s="22" t="s">
        <v>151</v>
      </c>
      <c r="S46" s="22" t="s">
        <v>151</v>
      </c>
      <c r="T46" s="22" t="s">
        <v>151</v>
      </c>
      <c r="U46" s="22" t="s">
        <v>151</v>
      </c>
      <c r="V46" s="22" t="s">
        <v>151</v>
      </c>
      <c r="W46" s="22" t="s">
        <v>151</v>
      </c>
      <c r="X46" s="2" t="s">
        <v>150</v>
      </c>
      <c r="Y46" s="18" t="str">
        <f ca="1">IFERROR(__xludf.DUMMYFUNCTION("INDEX(IMPORTRANGE(""1y0FWgjbB0gVlqn-q5LMJbGIsqOrzru4yowQz67dz2yc"", ""'MTY'!AM3:AM139""),MATCH(D46,IMPORTRANGE(""1y0FWgjbB0gVlqn-q5LMJbGIsqOrzru4yowQz67dz2yc"", ""'MTY'!D3:D139""),0))"),"No")</f>
        <v>No</v>
      </c>
      <c r="Z46" s="2"/>
      <c r="AA46" s="2"/>
      <c r="AB46" s="2"/>
      <c r="AC46" s="2"/>
    </row>
    <row r="47" spans="1:29">
      <c r="A47" s="9" t="s">
        <v>147</v>
      </c>
      <c r="B47" s="9" t="s">
        <v>148</v>
      </c>
      <c r="C47" s="2" t="s">
        <v>30</v>
      </c>
      <c r="D47" s="149" t="s">
        <v>154</v>
      </c>
      <c r="E47" s="9" t="s">
        <v>38</v>
      </c>
      <c r="F47" s="9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12" t="s">
        <v>150</v>
      </c>
      <c r="Q47" s="2" t="s">
        <v>150</v>
      </c>
      <c r="R47" s="2" t="s">
        <v>155</v>
      </c>
      <c r="S47" s="2" t="s">
        <v>155</v>
      </c>
      <c r="T47" s="2" t="s">
        <v>155</v>
      </c>
      <c r="U47" s="2" t="s">
        <v>155</v>
      </c>
      <c r="V47" s="2" t="s">
        <v>155</v>
      </c>
      <c r="W47" s="2" t="s">
        <v>155</v>
      </c>
      <c r="X47" s="2" t="s">
        <v>150</v>
      </c>
      <c r="Y47" s="18" t="str">
        <f ca="1">IFERROR(__xludf.DUMMYFUNCTION("INDEX(IMPORTRANGE(""1y0FWgjbB0gVlqn-q5LMJbGIsqOrzru4yowQz67dz2yc"", ""'MTY'!AM3:AM139""),MATCH(D47,IMPORTRANGE(""1y0FWgjbB0gVlqn-q5LMJbGIsqOrzru4yowQz67dz2yc"", ""'MTY'!D3:D139""),0))"),"No")</f>
        <v>No</v>
      </c>
      <c r="Z47" s="2"/>
      <c r="AA47" s="2"/>
      <c r="AB47" s="2"/>
      <c r="AC47" s="2"/>
    </row>
    <row r="48" spans="1:29">
      <c r="A48" s="9" t="s">
        <v>147</v>
      </c>
      <c r="B48" s="9" t="s">
        <v>148</v>
      </c>
      <c r="C48" s="2" t="s">
        <v>36</v>
      </c>
      <c r="D48" s="149" t="s">
        <v>156</v>
      </c>
      <c r="E48" s="9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91">
        <f t="shared" ref="P48:Q48" si="11">COUNTIF(P45:P47,"Sí")*(1/3)</f>
        <v>0</v>
      </c>
      <c r="Q48" s="91">
        <f t="shared" si="11"/>
        <v>0</v>
      </c>
      <c r="R48" s="2" t="s">
        <v>157</v>
      </c>
      <c r="S48" s="2" t="s">
        <v>157</v>
      </c>
      <c r="T48" s="2" t="s">
        <v>157</v>
      </c>
      <c r="U48" s="2" t="s">
        <v>157</v>
      </c>
      <c r="V48" s="2" t="s">
        <v>157</v>
      </c>
      <c r="W48" s="2" t="s">
        <v>157</v>
      </c>
      <c r="X48" s="91">
        <f>COUNTIF(X45:X47,"Sí")*(1/3)</f>
        <v>0</v>
      </c>
      <c r="Y48" s="2">
        <f ca="1">IFERROR(__xludf.DUMMYFUNCTION("INDEX(IMPORTRANGE(""1y0FWgjbB0gVlqn-q5LMJbGIsqOrzru4yowQz67dz2yc"", ""'MTY'!AM3:AM139""),MATCH(D48,IMPORTRANGE(""1y0FWgjbB0gVlqn-q5LMJbGIsqOrzru4yowQz67dz2yc"", ""'MTY'!D3:D139""),0))"),0)</f>
        <v>0</v>
      </c>
      <c r="Z48" s="2"/>
      <c r="AA48" s="2"/>
      <c r="AB48" s="2"/>
      <c r="AC48" s="2"/>
    </row>
    <row r="49" spans="1:29">
      <c r="A49" s="9" t="s">
        <v>147</v>
      </c>
      <c r="B49" s="9" t="s">
        <v>148</v>
      </c>
      <c r="C49" s="2" t="s">
        <v>36</v>
      </c>
      <c r="D49" s="149" t="s">
        <v>158</v>
      </c>
      <c r="E49" s="9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0</v>
      </c>
      <c r="Q49" s="2">
        <v>0</v>
      </c>
      <c r="R49" s="2" t="s">
        <v>159</v>
      </c>
      <c r="S49" s="2" t="s">
        <v>160</v>
      </c>
      <c r="T49" s="2" t="s">
        <v>160</v>
      </c>
      <c r="U49" s="2" t="s">
        <v>161</v>
      </c>
      <c r="V49" s="2" t="s">
        <v>161</v>
      </c>
      <c r="W49" s="2" t="s">
        <v>161</v>
      </c>
      <c r="X49" s="2">
        <v>0</v>
      </c>
      <c r="Y49" s="2">
        <f ca="1">IFERROR(__xludf.DUMMYFUNCTION("INDEX(IMPORTRANGE(""1y0FWgjbB0gVlqn-q5LMJbGIsqOrzru4yowQz67dz2yc"", ""'MTY'!AM3:AM139""),MATCH(D49,IMPORTRANGE(""1y0FWgjbB0gVlqn-q5LMJbGIsqOrzru4yowQz67dz2yc"", ""'MTY'!D3:D139""),0))"),0)</f>
        <v>0</v>
      </c>
      <c r="Z49" s="2"/>
      <c r="AA49" s="2"/>
      <c r="AB49" s="2"/>
      <c r="AC49" s="2"/>
    </row>
    <row r="50" spans="1:29">
      <c r="A50" s="9" t="s">
        <v>147</v>
      </c>
      <c r="B50" s="9" t="s">
        <v>148</v>
      </c>
      <c r="C50" s="2" t="s">
        <v>30</v>
      </c>
      <c r="D50" s="149" t="s">
        <v>162</v>
      </c>
      <c r="E50" s="9" t="s">
        <v>38</v>
      </c>
      <c r="F50" s="9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17</v>
      </c>
      <c r="Q50" s="2">
        <v>17</v>
      </c>
      <c r="R50" s="4"/>
      <c r="S50" s="4"/>
      <c r="T50" s="4"/>
      <c r="U50" s="4"/>
      <c r="V50" s="4"/>
      <c r="W50" s="4"/>
      <c r="X50" s="2">
        <v>17</v>
      </c>
      <c r="Y50" s="2">
        <f ca="1">IFERROR(__xludf.DUMMYFUNCTION("INDEX(IMPORTRANGE(""1y0FWgjbB0gVlqn-q5LMJbGIsqOrzru4yowQz67dz2yc"", ""'MTY'!AM3:AM139""),MATCH(D50,IMPORTRANGE(""1y0FWgjbB0gVlqn-q5LMJbGIsqOrzru4yowQz67dz2yc"", ""'MTY'!D3:D139""),0))"),17)</f>
        <v>17</v>
      </c>
      <c r="Z50" s="2"/>
      <c r="AA50" s="2"/>
      <c r="AB50" s="2"/>
      <c r="AC50" s="2"/>
    </row>
    <row r="51" spans="1:29">
      <c r="A51" s="9" t="s">
        <v>147</v>
      </c>
      <c r="B51" s="9" t="s">
        <v>148</v>
      </c>
      <c r="C51" s="2" t="s">
        <v>30</v>
      </c>
      <c r="D51" s="149" t="s">
        <v>164</v>
      </c>
      <c r="E51" s="9" t="s">
        <v>38</v>
      </c>
      <c r="F51" s="9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9</v>
      </c>
      <c r="Q51" s="2">
        <v>9</v>
      </c>
      <c r="R51" s="4"/>
      <c r="S51" s="4"/>
      <c r="T51" s="4"/>
      <c r="U51" s="4"/>
      <c r="V51" s="4"/>
      <c r="W51" s="4"/>
      <c r="X51" s="2">
        <v>9</v>
      </c>
      <c r="Y51" s="2">
        <f ca="1">IFERROR(__xludf.DUMMYFUNCTION("INDEX(IMPORTRANGE(""1y0FWgjbB0gVlqn-q5LMJbGIsqOrzru4yowQz67dz2yc"", ""'MTY'!AM3:AM139""),MATCH(D51,IMPORTRANGE(""1y0FWgjbB0gVlqn-q5LMJbGIsqOrzru4yowQz67dz2yc"", ""'MTY'!D3:D139""),0))"),14)</f>
        <v>14</v>
      </c>
      <c r="Z51" s="2"/>
      <c r="AA51" s="2"/>
      <c r="AB51" s="2"/>
      <c r="AC51" s="2"/>
    </row>
    <row r="52" spans="1:29">
      <c r="A52" s="9" t="s">
        <v>147</v>
      </c>
      <c r="B52" s="9" t="s">
        <v>148</v>
      </c>
      <c r="C52" s="2" t="s">
        <v>36</v>
      </c>
      <c r="D52" s="149" t="s">
        <v>166</v>
      </c>
      <c r="E52" s="9" t="s">
        <v>38</v>
      </c>
      <c r="F52" s="9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5">
        <f t="shared" ref="P52:Q52" si="12">P51/P50</f>
        <v>0.52941176470588236</v>
      </c>
      <c r="Q52" s="15">
        <f t="shared" si="12"/>
        <v>0.52941176470588236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5">
        <f>X51/X50</f>
        <v>0.52941176470588236</v>
      </c>
      <c r="Y52" s="317">
        <f ca="1">IFERROR(__xludf.DUMMYFUNCTION("INDEX(IMPORTRANGE(""1y0FWgjbB0gVlqn-q5LMJbGIsqOrzru4yowQz67dz2yc"", ""'MTY'!AM3:AM139""),MATCH(D52,IMPORTRANGE(""1y0FWgjbB0gVlqn-q5LMJbGIsqOrzru4yowQz67dz2yc"", ""'MTY'!D3:D139""),0))"),0.823529411764705)</f>
        <v>0.82352941176470495</v>
      </c>
      <c r="Z52" s="2"/>
      <c r="AA52" s="2"/>
      <c r="AB52" s="2"/>
      <c r="AC52" s="2"/>
    </row>
    <row r="53" spans="1:29">
      <c r="A53" s="9" t="s">
        <v>147</v>
      </c>
      <c r="B53" s="9" t="s">
        <v>168</v>
      </c>
      <c r="C53" s="2" t="s">
        <v>30</v>
      </c>
      <c r="D53" s="151" t="s">
        <v>169</v>
      </c>
      <c r="E53" s="9" t="s">
        <v>38</v>
      </c>
      <c r="F53" s="9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458">
        <v>107246</v>
      </c>
      <c r="Q53" s="458">
        <v>107246</v>
      </c>
      <c r="R53" s="4"/>
      <c r="S53" s="4"/>
      <c r="T53" s="4"/>
      <c r="U53" s="4"/>
      <c r="V53" s="4"/>
      <c r="W53" s="4"/>
      <c r="X53" s="458">
        <v>107501</v>
      </c>
      <c r="Y53" s="12">
        <f ca="1">IFERROR(__xludf.DUMMYFUNCTION("INDEX(IMPORTRANGE(""1y0FWgjbB0gVlqn-q5LMJbGIsqOrzru4yowQz67dz2yc"", ""'MTY'!AM3:AM139""),MATCH(D53,IMPORTRANGE(""1y0FWgjbB0gVlqn-q5LMJbGIsqOrzru4yowQz67dz2yc"", ""'MTY'!D3:D139""),0))"),107975)</f>
        <v>107975</v>
      </c>
      <c r="Z53" s="2"/>
      <c r="AA53" s="2"/>
      <c r="AB53" s="2"/>
      <c r="AC53" s="2"/>
    </row>
    <row r="54" spans="1:29">
      <c r="A54" s="9" t="s">
        <v>147</v>
      </c>
      <c r="B54" s="9" t="s">
        <v>168</v>
      </c>
      <c r="C54" s="2" t="s">
        <v>30</v>
      </c>
      <c r="D54" s="151" t="s">
        <v>171</v>
      </c>
      <c r="E54" s="9" t="s">
        <v>38</v>
      </c>
      <c r="F54" s="9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458">
        <v>107246</v>
      </c>
      <c r="Q54" s="459">
        <v>107246</v>
      </c>
      <c r="R54" s="4"/>
      <c r="S54" s="4"/>
      <c r="T54" s="4"/>
      <c r="U54" s="4"/>
      <c r="V54" s="4"/>
      <c r="W54" s="4"/>
      <c r="X54" s="458">
        <v>107501</v>
      </c>
      <c r="Y54" s="12">
        <f ca="1">IFERROR(__xludf.DUMMYFUNCTION("INDEX(IMPORTRANGE(""1y0FWgjbB0gVlqn-q5LMJbGIsqOrzru4yowQz67dz2yc"", ""'MTY'!AM3:AM139""),MATCH(D54,IMPORTRANGE(""1y0FWgjbB0gVlqn-q5LMJbGIsqOrzru4yowQz67dz2yc"", ""'MTY'!D3:D139""),0))"),108002)</f>
        <v>108002</v>
      </c>
      <c r="Z54" s="2"/>
      <c r="AA54" s="2"/>
      <c r="AB54" s="2"/>
      <c r="AC54" s="2"/>
    </row>
    <row r="55" spans="1:29">
      <c r="A55" s="9" t="s">
        <v>147</v>
      </c>
      <c r="B55" s="9" t="s">
        <v>168</v>
      </c>
      <c r="C55" s="2" t="s">
        <v>36</v>
      </c>
      <c r="D55" s="149" t="s">
        <v>173</v>
      </c>
      <c r="E55" s="9" t="s">
        <v>38</v>
      </c>
      <c r="F55" s="9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26">
        <f t="shared" ref="P55:Q55" si="13">P53/P54</f>
        <v>1</v>
      </c>
      <c r="Q55" s="26">
        <f t="shared" si="13"/>
        <v>1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26">
        <f>X53/X54</f>
        <v>1</v>
      </c>
      <c r="Y55" s="26">
        <f ca="1">IFERROR(__xludf.DUMMYFUNCTION("INDEX(IMPORTRANGE(""1y0FWgjbB0gVlqn-q5LMJbGIsqOrzru4yowQz67dz2yc"", ""'MTY'!AM3:AM139""),MATCH(D55,IMPORTRANGE(""1y0FWgjbB0gVlqn-q5LMJbGIsqOrzru4yowQz67dz2yc"", ""'MTY'!D3:D139""),0))"),0.999750004629543)</f>
        <v>0.999750004629543</v>
      </c>
      <c r="Z55" s="2"/>
      <c r="AA55" s="2"/>
      <c r="AB55" s="2"/>
      <c r="AC55" s="2"/>
    </row>
    <row r="56" spans="1:29">
      <c r="A56" s="9" t="s">
        <v>147</v>
      </c>
      <c r="B56" s="9" t="s">
        <v>168</v>
      </c>
      <c r="C56" s="2" t="s">
        <v>30</v>
      </c>
      <c r="D56" s="149" t="s">
        <v>175</v>
      </c>
      <c r="E56" s="9" t="s">
        <v>38</v>
      </c>
      <c r="F56" s="9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375160</v>
      </c>
      <c r="Q56" s="12">
        <v>375160</v>
      </c>
      <c r="R56" s="4"/>
      <c r="S56" s="4"/>
      <c r="T56" s="4"/>
      <c r="U56" s="4"/>
      <c r="V56" s="4"/>
      <c r="W56" s="4"/>
      <c r="X56" s="12">
        <v>375160</v>
      </c>
      <c r="Y56" s="12">
        <f ca="1">IFERROR(__xludf.DUMMYFUNCTION("INDEX(IMPORTRANGE(""1y0FWgjbB0gVlqn-q5LMJbGIsqOrzru4yowQz67dz2yc"", ""'MTY'!AM3:AM139""),MATCH(D56,IMPORTRANGE(""1y0FWgjbB0gVlqn-q5LMJbGIsqOrzru4yowQz67dz2yc"", ""'MTY'!D3:D139""),0))"),375160)</f>
        <v>375160</v>
      </c>
      <c r="Z56" s="2"/>
      <c r="AA56" s="2"/>
      <c r="AB56" s="2"/>
      <c r="AC56" s="2"/>
    </row>
    <row r="57" spans="1:29">
      <c r="A57" s="9" t="s">
        <v>147</v>
      </c>
      <c r="B57" s="9" t="s">
        <v>168</v>
      </c>
      <c r="C57" s="2" t="s">
        <v>36</v>
      </c>
      <c r="D57" s="454" t="s">
        <v>177</v>
      </c>
      <c r="E57" s="9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457">
        <f t="shared" ref="P57:Q57" si="14">P56/P35</f>
        <v>1</v>
      </c>
      <c r="Q57" s="457">
        <f t="shared" si="14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457">
        <f>X56/X35</f>
        <v>1</v>
      </c>
      <c r="Y57" s="457">
        <f ca="1">IFERROR(__xludf.DUMMYFUNCTION("INDEX(IMPORTRANGE(""1y0FWgjbB0gVlqn-q5LMJbGIsqOrzru4yowQz67dz2yc"", ""'MTY'!AM3:AM139""),MATCH(D57,IMPORTRANGE(""1y0FWgjbB0gVlqn-q5LMJbGIsqOrzru4yowQz67dz2yc"", ""'MTY'!D3:D139""),0))"),1)</f>
        <v>1</v>
      </c>
      <c r="Z57" s="2"/>
      <c r="AA57" s="2"/>
      <c r="AB57" s="2"/>
      <c r="AC57" s="2"/>
    </row>
    <row r="58" spans="1:29">
      <c r="A58" s="9" t="s">
        <v>147</v>
      </c>
      <c r="B58" s="9" t="s">
        <v>168</v>
      </c>
      <c r="C58" s="2" t="s">
        <v>30</v>
      </c>
      <c r="D58" s="149" t="s">
        <v>179</v>
      </c>
      <c r="E58" s="9" t="s">
        <v>38</v>
      </c>
      <c r="F58" s="9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460">
        <v>30000000</v>
      </c>
      <c r="Q58" s="460">
        <v>30000000</v>
      </c>
      <c r="R58" s="4"/>
      <c r="S58" s="4"/>
      <c r="T58" s="4"/>
      <c r="U58" s="4"/>
      <c r="V58" s="4"/>
      <c r="W58" s="4"/>
      <c r="X58" s="459">
        <v>30039625.010000002</v>
      </c>
      <c r="Y58" s="23">
        <f ca="1">IFERROR(__xludf.DUMMYFUNCTION("INDEX(IMPORTRANGE(""1y0FWgjbB0gVlqn-q5LMJbGIsqOrzru4yowQz67dz2yc"", ""'MTY'!AM3:AM139""),MATCH(D58,IMPORTRANGE(""1y0FWgjbB0gVlqn-q5LMJbGIsqOrzru4yowQz67dz2yc"", ""'MTY'!D3:D139""),0))"),30066345.54)</f>
        <v>30066345.539999999</v>
      </c>
      <c r="Z58" s="2"/>
      <c r="AA58" s="2"/>
      <c r="AB58" s="2"/>
      <c r="AC58" s="2"/>
    </row>
    <row r="59" spans="1:29">
      <c r="A59" s="9" t="s">
        <v>147</v>
      </c>
      <c r="B59" s="9" t="s">
        <v>168</v>
      </c>
      <c r="C59" s="2" t="s">
        <v>30</v>
      </c>
      <c r="D59" s="149" t="s">
        <v>181</v>
      </c>
      <c r="E59" s="9" t="s">
        <v>38</v>
      </c>
      <c r="F59" s="9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460">
        <v>30000000</v>
      </c>
      <c r="Q59" s="460">
        <v>300000000</v>
      </c>
      <c r="R59" s="4"/>
      <c r="S59" s="4"/>
      <c r="T59" s="4"/>
      <c r="U59" s="4"/>
      <c r="V59" s="4"/>
      <c r="W59" s="4"/>
      <c r="X59" s="459">
        <v>30039625.010000002</v>
      </c>
      <c r="Y59" s="23">
        <f ca="1">IFERROR(__xludf.DUMMYFUNCTION("INDEX(IMPORTRANGE(""1y0FWgjbB0gVlqn-q5LMJbGIsqOrzru4yowQz67dz2yc"", ""'MTY'!AM3:AM139""),MATCH(D59,IMPORTRANGE(""1y0FWgjbB0gVlqn-q5LMJbGIsqOrzru4yowQz67dz2yc"", ""'MTY'!D3:D139""),0))"),30072979.9399999)</f>
        <v>30072979.939999901</v>
      </c>
      <c r="Z59" s="2"/>
      <c r="AA59" s="2"/>
      <c r="AB59" s="2"/>
      <c r="AC59" s="2"/>
    </row>
    <row r="60" spans="1:29">
      <c r="A60" s="9" t="s">
        <v>147</v>
      </c>
      <c r="B60" s="9" t="s">
        <v>168</v>
      </c>
      <c r="C60" s="2" t="s">
        <v>36</v>
      </c>
      <c r="D60" s="149" t="s">
        <v>183</v>
      </c>
      <c r="E60" s="9" t="s">
        <v>38</v>
      </c>
      <c r="F60" s="9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322">
        <f t="shared" ref="P60:Q60" si="15">P58/P59</f>
        <v>1</v>
      </c>
      <c r="Q60" s="322">
        <f t="shared" si="15"/>
        <v>0.1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322">
        <f>X58/X59</f>
        <v>1</v>
      </c>
      <c r="Y60" s="26">
        <f ca="1">IFERROR(__xludf.DUMMYFUNCTION("INDEX(IMPORTRANGE(""1y0FWgjbB0gVlqn-q5LMJbGIsqOrzru4yowQz67dz2yc"", ""'MTY'!AM3:AM139""),MATCH(D60,IMPORTRANGE(""1y0FWgjbB0gVlqn-q5LMJbGIsqOrzru4yowQz67dz2yc"", ""'MTY'!D3:D139""),0))"),0.999779390003477)</f>
        <v>0.99977939000347704</v>
      </c>
      <c r="Z60" s="2"/>
      <c r="AA60" s="2"/>
      <c r="AB60" s="2"/>
      <c r="AC60" s="2"/>
    </row>
    <row r="61" spans="1:29">
      <c r="A61" s="9" t="s">
        <v>147</v>
      </c>
      <c r="B61" s="9" t="s">
        <v>168</v>
      </c>
      <c r="C61" s="2" t="s">
        <v>30</v>
      </c>
      <c r="D61" s="149" t="s">
        <v>185</v>
      </c>
      <c r="E61" s="9" t="s">
        <v>38</v>
      </c>
      <c r="F61" s="9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461">
        <v>158559.6</v>
      </c>
      <c r="Q61" s="461">
        <v>158559.6</v>
      </c>
      <c r="R61" s="4"/>
      <c r="S61" s="4"/>
      <c r="T61" s="4"/>
      <c r="U61" s="4"/>
      <c r="V61" s="4"/>
      <c r="W61" s="4"/>
      <c r="X61" s="459">
        <v>159323.70000000001</v>
      </c>
      <c r="Y61" s="23">
        <f ca="1">IFERROR(__xludf.DUMMYFUNCTION("INDEX(IMPORTRANGE(""1y0FWgjbB0gVlqn-q5LMJbGIsqOrzru4yowQz67dz2yc"", ""'MTY'!AM3:AM139""),MATCH(D61,IMPORTRANGE(""1y0FWgjbB0gVlqn-q5LMJbGIsqOrzru4yowQz67dz2yc"", ""'MTY'!D3:D139""),0))"),159617.25)</f>
        <v>159617.25</v>
      </c>
      <c r="Z61" s="2"/>
      <c r="AA61" s="2"/>
      <c r="AB61" s="2"/>
      <c r="AC61" s="2"/>
    </row>
    <row r="62" spans="1:29">
      <c r="A62" s="9" t="s">
        <v>147</v>
      </c>
      <c r="B62" s="9" t="s">
        <v>168</v>
      </c>
      <c r="C62" s="2" t="s">
        <v>30</v>
      </c>
      <c r="D62" s="149" t="s">
        <v>187</v>
      </c>
      <c r="E62" s="9" t="s">
        <v>38</v>
      </c>
      <c r="F62" s="9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461">
        <v>158605.20000000001</v>
      </c>
      <c r="Q62" s="461">
        <v>158605.20000000001</v>
      </c>
      <c r="R62" s="4"/>
      <c r="S62" s="4"/>
      <c r="T62" s="4"/>
      <c r="U62" s="4"/>
      <c r="V62" s="4"/>
      <c r="W62" s="4"/>
      <c r="X62" s="459">
        <v>159323.70000000001</v>
      </c>
      <c r="Y62" s="23">
        <f ca="1">IFERROR(__xludf.DUMMYFUNCTION("INDEX(IMPORTRANGE(""1y0FWgjbB0gVlqn-q5LMJbGIsqOrzru4yowQz67dz2yc"", ""'MTY'!AM3:AM139""),MATCH(D62,IMPORTRANGE(""1y0FWgjbB0gVlqn-q5LMJbGIsqOrzru4yowQz67dz2yc"", ""'MTY'!D3:D139""),0))"),159586.25)</f>
        <v>159586.25</v>
      </c>
      <c r="Z62" s="2"/>
      <c r="AA62" s="2"/>
      <c r="AB62" s="2"/>
      <c r="AC62" s="2"/>
    </row>
    <row r="63" spans="1:29">
      <c r="A63" s="9" t="s">
        <v>147</v>
      </c>
      <c r="B63" s="9" t="s">
        <v>168</v>
      </c>
      <c r="C63" s="2" t="s">
        <v>36</v>
      </c>
      <c r="D63" s="149" t="s">
        <v>189</v>
      </c>
      <c r="E63" s="9" t="s">
        <v>38</v>
      </c>
      <c r="F63" s="9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462">
        <f t="shared" ref="P63:Q63" si="16">P61/P62</f>
        <v>0.99971249366351167</v>
      </c>
      <c r="Q63" s="462">
        <f t="shared" si="16"/>
        <v>0.99971249366351167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462">
        <f>X61/X62</f>
        <v>1</v>
      </c>
      <c r="Y63" s="435">
        <f ca="1">IFERROR(__xludf.DUMMYFUNCTION("INDEX(IMPORTRANGE(""1y0FWgjbB0gVlqn-q5LMJbGIsqOrzru4yowQz67dz2yc"", ""'MTY'!AM3:AM139""),MATCH(D63,IMPORTRANGE(""1y0FWgjbB0gVlqn-q5LMJbGIsqOrzru4yowQz67dz2yc"", ""'MTY'!D3:D139""),0))"),1.00019425232437)</f>
        <v>1.0001942523243701</v>
      </c>
      <c r="Z63" s="2"/>
      <c r="AA63" s="2"/>
      <c r="AB63" s="2"/>
      <c r="AC63" s="2"/>
    </row>
    <row r="64" spans="1:29">
      <c r="A64" s="9" t="s">
        <v>147</v>
      </c>
      <c r="B64" s="9" t="s">
        <v>168</v>
      </c>
      <c r="C64" s="2" t="s">
        <v>30</v>
      </c>
      <c r="D64" s="149" t="s">
        <v>191</v>
      </c>
      <c r="E64" s="9" t="s">
        <v>38</v>
      </c>
      <c r="F64" s="9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23">
        <v>0</v>
      </c>
      <c r="Q64" s="23">
        <v>4.8600000000000003</v>
      </c>
      <c r="R64" s="2">
        <v>28.8</v>
      </c>
      <c r="S64" s="2">
        <v>13</v>
      </c>
      <c r="T64" s="2">
        <v>34.299999999999997</v>
      </c>
      <c r="U64" s="2">
        <v>13</v>
      </c>
      <c r="V64" s="2">
        <v>34.4</v>
      </c>
      <c r="W64" s="2">
        <v>97.5</v>
      </c>
      <c r="X64" s="24">
        <v>22.32</v>
      </c>
      <c r="Y64" s="23">
        <f ca="1">IFERROR(__xludf.DUMMYFUNCTION("INDEX(IMPORTRANGE(""1y0FWgjbB0gVlqn-q5LMJbGIsqOrzru4yowQz67dz2yc"", ""'MTY'!AM3:AM139""),MATCH(D64,IMPORTRANGE(""1y0FWgjbB0gVlqn-q5LMJbGIsqOrzru4yowQz67dz2yc"", ""'MTY'!D3:D139""),0))"),39.18)</f>
        <v>39.18</v>
      </c>
      <c r="Z64" s="2"/>
      <c r="AA64" s="2"/>
      <c r="AB64" s="2"/>
      <c r="AC64" s="2"/>
    </row>
    <row r="65" spans="1:29">
      <c r="A65" s="9" t="s">
        <v>147</v>
      </c>
      <c r="B65" s="9" t="s">
        <v>168</v>
      </c>
      <c r="C65" s="2" t="s">
        <v>30</v>
      </c>
      <c r="D65" s="149" t="s">
        <v>193</v>
      </c>
      <c r="E65" s="9" t="s">
        <v>38</v>
      </c>
      <c r="F65" s="9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23">
        <v>0</v>
      </c>
      <c r="Q65" s="23">
        <v>4.5580000000000002E-2</v>
      </c>
      <c r="R65" s="2">
        <v>0.64</v>
      </c>
      <c r="S65" s="2">
        <v>0.15</v>
      </c>
      <c r="T65" s="2">
        <v>0.41</v>
      </c>
      <c r="U65" s="2">
        <v>0.2</v>
      </c>
      <c r="V65" s="2">
        <v>0.5</v>
      </c>
      <c r="W65" s="2">
        <v>1.55</v>
      </c>
      <c r="X65" s="23">
        <v>0.76</v>
      </c>
      <c r="Y65" s="23">
        <f ca="1">IFERROR(__xludf.DUMMYFUNCTION("INDEX(IMPORTRANGE(""1y0FWgjbB0gVlqn-q5LMJbGIsqOrzru4yowQz67dz2yc"", ""'MTY'!AM3:AM139""),MATCH(D65,IMPORTRANGE(""1y0FWgjbB0gVlqn-q5LMJbGIsqOrzru4yowQz67dz2yc"", ""'MTY'!D3:D139""),0))"),1.69581)</f>
        <v>1.69581</v>
      </c>
      <c r="Z65" s="2"/>
      <c r="AA65" s="2"/>
      <c r="AB65" s="2"/>
      <c r="AC65" s="2"/>
    </row>
    <row r="66" spans="1:29">
      <c r="A66" s="9" t="s">
        <v>147</v>
      </c>
      <c r="B66" s="9" t="s">
        <v>168</v>
      </c>
      <c r="C66" s="2" t="s">
        <v>30</v>
      </c>
      <c r="D66" s="149" t="s">
        <v>195</v>
      </c>
      <c r="E66" s="9" t="s">
        <v>38</v>
      </c>
      <c r="F66" s="9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2">
        <v>0</v>
      </c>
      <c r="Q66" s="2">
        <v>0</v>
      </c>
      <c r="R66" s="4"/>
      <c r="S66" s="4"/>
      <c r="T66" s="4"/>
      <c r="U66" s="4"/>
      <c r="V66" s="4"/>
      <c r="W66" s="4"/>
      <c r="X66" s="2">
        <v>0</v>
      </c>
      <c r="Y66" s="2" t="str">
        <f ca="1">IFERROR(__xludf.DUMMYFUNCTION("INDEX(IMPORTRANGE(""1y0FWgjbB0gVlqn-q5LMJbGIsqOrzru4yowQz67dz2yc"", ""'MTY'!AM3:AM139""),MATCH(D66,IMPORTRANGE(""1y0FWgjbB0gVlqn-q5LMJbGIsqOrzru4yowQz67dz2yc"", ""'MTY'!D3:D139""),0))"),"")</f>
        <v/>
      </c>
      <c r="Z66" s="2"/>
      <c r="AA66" s="2"/>
      <c r="AB66" s="2"/>
      <c r="AC66" s="2"/>
    </row>
    <row r="67" spans="1:29">
      <c r="A67" s="9" t="s">
        <v>147</v>
      </c>
      <c r="B67" s="9" t="s">
        <v>168</v>
      </c>
      <c r="C67" s="2" t="s">
        <v>36</v>
      </c>
      <c r="D67" s="149" t="s">
        <v>197</v>
      </c>
      <c r="E67" s="9" t="s">
        <v>38</v>
      </c>
      <c r="F67" s="9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f t="shared" ref="P67:X67" si="17">P64+P65</f>
        <v>0</v>
      </c>
      <c r="Q67" s="23">
        <f t="shared" si="17"/>
        <v>4.9055800000000005</v>
      </c>
      <c r="R67" s="4">
        <f t="shared" si="17"/>
        <v>29.44</v>
      </c>
      <c r="S67" s="4">
        <f t="shared" si="17"/>
        <v>13.15</v>
      </c>
      <c r="T67" s="4">
        <f t="shared" si="17"/>
        <v>34.709999999999994</v>
      </c>
      <c r="U67" s="4">
        <f t="shared" si="17"/>
        <v>13.2</v>
      </c>
      <c r="V67" s="4">
        <f t="shared" si="17"/>
        <v>34.9</v>
      </c>
      <c r="W67" s="4">
        <f t="shared" si="17"/>
        <v>99.05</v>
      </c>
      <c r="X67" s="23">
        <f t="shared" si="17"/>
        <v>23.080000000000002</v>
      </c>
      <c r="Y67" s="23">
        <f ca="1">IFERROR(__xludf.DUMMYFUNCTION("INDEX(IMPORTRANGE(""1y0FWgjbB0gVlqn-q5LMJbGIsqOrzru4yowQz67dz2yc"", ""'MTY'!AM3:AM139""),MATCH(D67,IMPORTRANGE(""1y0FWgjbB0gVlqn-q5LMJbGIsqOrzru4yowQz67dz2yc"", ""'MTY'!D3:D139""),0))"),40.87581)</f>
        <v>40.875810000000001</v>
      </c>
      <c r="Z67" s="2"/>
      <c r="AA67" s="2"/>
      <c r="AB67" s="2"/>
      <c r="AC67" s="2"/>
    </row>
    <row r="68" spans="1:29">
      <c r="A68" s="9" t="s">
        <v>199</v>
      </c>
      <c r="B68" s="9" t="s">
        <v>200</v>
      </c>
      <c r="C68" s="2" t="s">
        <v>36</v>
      </c>
      <c r="D68" s="149" t="s">
        <v>201</v>
      </c>
      <c r="E68" s="9" t="s">
        <v>38</v>
      </c>
      <c r="F68" s="9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3">
        <v>5.12</v>
      </c>
      <c r="Q68" s="23">
        <v>5.12</v>
      </c>
      <c r="R68" s="2">
        <v>7</v>
      </c>
      <c r="S68" s="2">
        <v>9</v>
      </c>
      <c r="T68" s="2">
        <v>11</v>
      </c>
      <c r="U68" s="2">
        <v>13</v>
      </c>
      <c r="V68" s="2">
        <v>15</v>
      </c>
      <c r="W68" s="2">
        <v>15</v>
      </c>
      <c r="X68" s="23">
        <v>5.12</v>
      </c>
      <c r="Y68" s="23">
        <f ca="1">IFERROR(__xludf.DUMMYFUNCTION("INDEX(IMPORTRANGE(""1y0FWgjbB0gVlqn-q5LMJbGIsqOrzru4yowQz67dz2yc"", ""'MTY'!AM3:AM139""),MATCH(D68,IMPORTRANGE(""1y0FWgjbB0gVlqn-q5LMJbGIsqOrzru4yowQz67dz2yc"", ""'MTY'!D3:D139""),0))"),9.59)</f>
        <v>9.59</v>
      </c>
      <c r="Z68" s="2"/>
      <c r="AA68" s="2"/>
      <c r="AB68" s="2"/>
      <c r="AC68" s="2"/>
    </row>
    <row r="69" spans="1:29">
      <c r="A69" s="9" t="s">
        <v>199</v>
      </c>
      <c r="B69" s="9" t="s">
        <v>200</v>
      </c>
      <c r="C69" s="2" t="s">
        <v>30</v>
      </c>
      <c r="D69" s="149" t="s">
        <v>203</v>
      </c>
      <c r="E69" s="9" t="s">
        <v>38</v>
      </c>
      <c r="F69" s="9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2">
        <v>12135</v>
      </c>
      <c r="S69" s="12">
        <v>4000</v>
      </c>
      <c r="T69" s="12">
        <v>9000</v>
      </c>
      <c r="U69" s="12">
        <v>3000</v>
      </c>
      <c r="V69" s="12">
        <v>6000</v>
      </c>
      <c r="W69" s="12">
        <v>27135</v>
      </c>
      <c r="X69" s="23">
        <v>9971.4699999999993</v>
      </c>
      <c r="Y69" s="23">
        <f ca="1">IFERROR(__xludf.DUMMYFUNCTION("INDEX(IMPORTRANGE(""1y0FWgjbB0gVlqn-q5LMJbGIsqOrzru4yowQz67dz2yc"", ""'MTY'!AM3:AM139""),MATCH(D69,IMPORTRANGE(""1y0FWgjbB0gVlqn-q5LMJbGIsqOrzru4yowQz67dz2yc"", ""'MTY'!D3:D139""),0))"),14313.29)</f>
        <v>14313.29</v>
      </c>
      <c r="Z69" s="23"/>
      <c r="AA69" s="2"/>
      <c r="AB69" s="2"/>
      <c r="AC69" s="2"/>
    </row>
    <row r="70" spans="1:29">
      <c r="A70" s="9" t="s">
        <v>199</v>
      </c>
      <c r="B70" s="9" t="s">
        <v>200</v>
      </c>
      <c r="C70" s="2" t="s">
        <v>30</v>
      </c>
      <c r="D70" s="149" t="s">
        <v>205</v>
      </c>
      <c r="E70" s="9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2">
        <v>440</v>
      </c>
      <c r="S70" s="12">
        <v>200</v>
      </c>
      <c r="T70" s="12">
        <v>440</v>
      </c>
      <c r="U70" s="12">
        <v>200</v>
      </c>
      <c r="V70" s="12">
        <v>445</v>
      </c>
      <c r="W70" s="12">
        <v>1325</v>
      </c>
      <c r="X70" s="23">
        <v>320</v>
      </c>
      <c r="Y70" s="23">
        <f ca="1">IFERROR(__xludf.DUMMYFUNCTION("INDEX(IMPORTRANGE(""1y0FWgjbB0gVlqn-q5LMJbGIsqOrzru4yowQz67dz2yc"", ""'MTY'!AM3:AM139""),MATCH(D70,IMPORTRANGE(""1y0FWgjbB0gVlqn-q5LMJbGIsqOrzru4yowQz67dz2yc"", ""'MTY'!D3:D139""),0))"),2089.33999999999)</f>
        <v>2089.3399999999901</v>
      </c>
      <c r="Z70" s="2"/>
      <c r="AA70" s="2"/>
      <c r="AB70" s="2"/>
      <c r="AC70" s="2"/>
    </row>
    <row r="71" spans="1:29">
      <c r="A71" s="9" t="s">
        <v>199</v>
      </c>
      <c r="B71" s="9" t="s">
        <v>200</v>
      </c>
      <c r="C71" s="2" t="s">
        <v>30</v>
      </c>
      <c r="D71" s="149" t="s">
        <v>207</v>
      </c>
      <c r="E71" s="9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2">
        <v>8780</v>
      </c>
      <c r="S71" s="12">
        <v>3000</v>
      </c>
      <c r="T71" s="12">
        <v>10000</v>
      </c>
      <c r="U71" s="12">
        <v>2000</v>
      </c>
      <c r="V71" s="12">
        <v>5000</v>
      </c>
      <c r="W71" s="12">
        <v>23780</v>
      </c>
      <c r="X71" s="23">
        <v>8778.8700000000008</v>
      </c>
      <c r="Y71" s="23">
        <f ca="1">IFERROR(__xludf.DUMMYFUNCTION("INDEX(IMPORTRANGE(""1y0FWgjbB0gVlqn-q5LMJbGIsqOrzru4yowQz67dz2yc"", ""'MTY'!AM3:AM139""),MATCH(D71,IMPORTRANGE(""1y0FWgjbB0gVlqn-q5LMJbGIsqOrzru4yowQz67dz2yc"", ""'MTY'!D3:D139""),0))"),10548.2099999999)</f>
        <v>10548.209999999901</v>
      </c>
      <c r="Z71" s="2"/>
      <c r="AA71" s="2"/>
      <c r="AB71" s="2"/>
      <c r="AC71" s="2"/>
    </row>
    <row r="72" spans="1:29">
      <c r="A72" s="9" t="s">
        <v>199</v>
      </c>
      <c r="B72" s="9" t="s">
        <v>200</v>
      </c>
      <c r="C72" s="2" t="s">
        <v>36</v>
      </c>
      <c r="D72" s="149" t="s">
        <v>209</v>
      </c>
      <c r="E72" s="9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6">
        <f t="shared" ref="R72:W72" si="18">SUM(R69:R71)</f>
        <v>21355</v>
      </c>
      <c r="S72" s="6">
        <f t="shared" si="18"/>
        <v>7200</v>
      </c>
      <c r="T72" s="6">
        <f t="shared" si="18"/>
        <v>19440</v>
      </c>
      <c r="U72" s="6">
        <f t="shared" si="18"/>
        <v>5200</v>
      </c>
      <c r="V72" s="6">
        <f t="shared" si="18"/>
        <v>11445</v>
      </c>
      <c r="W72" s="6">
        <f t="shared" si="18"/>
        <v>52240</v>
      </c>
      <c r="X72" s="23">
        <f>X69+X70+X71</f>
        <v>19070.34</v>
      </c>
      <c r="Y72" s="23">
        <f ca="1">IFERROR(__xludf.DUMMYFUNCTION("INDEX(IMPORTRANGE(""1y0FWgjbB0gVlqn-q5LMJbGIsqOrzru4yowQz67dz2yc"", ""'MTY'!AM3:AM139""),MATCH(D72,IMPORTRANGE(""1y0FWgjbB0gVlqn-q5LMJbGIsqOrzru4yowQz67dz2yc"", ""'MTY'!D3:D139""),0))"),26950.8399999999)</f>
        <v>26950.839999999898</v>
      </c>
      <c r="Z72" s="2"/>
      <c r="AA72" s="2"/>
      <c r="AB72" s="2"/>
      <c r="AC72" s="2"/>
    </row>
    <row r="73" spans="1:29">
      <c r="A73" s="9" t="s">
        <v>199</v>
      </c>
      <c r="B73" s="9" t="s">
        <v>200</v>
      </c>
      <c r="C73" s="2" t="s">
        <v>30</v>
      </c>
      <c r="D73" s="151" t="s">
        <v>211</v>
      </c>
      <c r="E73" s="9" t="s">
        <v>38</v>
      </c>
      <c r="F73" s="9" t="s">
        <v>212</v>
      </c>
      <c r="G73" s="21" t="s">
        <v>213</v>
      </c>
      <c r="H73" s="22" t="s">
        <v>214</v>
      </c>
      <c r="I73" s="9" t="s">
        <v>215</v>
      </c>
      <c r="J73" s="4"/>
      <c r="K73" s="9" t="s">
        <v>216</v>
      </c>
      <c r="L73" s="4"/>
      <c r="M73" s="9" t="s">
        <v>217</v>
      </c>
      <c r="N73" s="2" t="s">
        <v>218</v>
      </c>
      <c r="O73" s="2" t="s">
        <v>218</v>
      </c>
      <c r="P73" s="36">
        <v>405781762.76999998</v>
      </c>
      <c r="Q73" s="50">
        <v>405781762.76999998</v>
      </c>
      <c r="R73" s="178"/>
      <c r="S73" s="178"/>
      <c r="T73" s="178"/>
      <c r="U73" s="178"/>
      <c r="V73" s="178"/>
      <c r="W73" s="178"/>
      <c r="X73" s="50">
        <v>405781762.76999998</v>
      </c>
      <c r="Y73" s="184" t="str">
        <f ca="1">IFERROR(__xludf.DUMMYFUNCTION("INDEX(IMPORTRANGE(""1y0FWgjbB0gVlqn-q5LMJbGIsqOrzru4yowQz67dz2yc"", ""'MTY'!AM3:AM139""),MATCH(D73,IMPORTRANGE(""1y0FWgjbB0gVlqn-q5LMJbGIsqOrzru4yowQz67dz2yc"", ""'MTY'!D3:D139""),0))"),"")</f>
        <v/>
      </c>
      <c r="Z73" s="2"/>
      <c r="AA73" s="2"/>
      <c r="AB73" s="2"/>
      <c r="AC73" s="2"/>
    </row>
    <row r="74" spans="1:29">
      <c r="A74" s="9" t="s">
        <v>199</v>
      </c>
      <c r="B74" s="9" t="s">
        <v>200</v>
      </c>
      <c r="C74" s="2" t="s">
        <v>30</v>
      </c>
      <c r="D74" s="151" t="s">
        <v>219</v>
      </c>
      <c r="E74" s="9" t="s">
        <v>38</v>
      </c>
      <c r="F74" s="9" t="s">
        <v>220</v>
      </c>
      <c r="G74" s="21" t="s">
        <v>213</v>
      </c>
      <c r="H74" s="22" t="s">
        <v>214</v>
      </c>
      <c r="I74" s="9" t="s">
        <v>215</v>
      </c>
      <c r="J74" s="4"/>
      <c r="K74" s="9" t="s">
        <v>216</v>
      </c>
      <c r="L74" s="4"/>
      <c r="M74" s="9" t="s">
        <v>217</v>
      </c>
      <c r="N74" s="2" t="s">
        <v>218</v>
      </c>
      <c r="O74" s="2" t="s">
        <v>218</v>
      </c>
      <c r="P74" s="36">
        <v>45709853.130000003</v>
      </c>
      <c r="Q74" s="50">
        <v>45709853.130000003</v>
      </c>
      <c r="R74" s="178"/>
      <c r="S74" s="178"/>
      <c r="T74" s="178"/>
      <c r="U74" s="178"/>
      <c r="V74" s="178"/>
      <c r="W74" s="178"/>
      <c r="X74" s="50">
        <v>45709853.130000003</v>
      </c>
      <c r="Y74" s="184" t="str">
        <f ca="1">IFERROR(__xludf.DUMMYFUNCTION("INDEX(IMPORTRANGE(""1y0FWgjbB0gVlqn-q5LMJbGIsqOrzru4yowQz67dz2yc"", ""'MTY'!AM3:AM139""),MATCH(D74,IMPORTRANGE(""1y0FWgjbB0gVlqn-q5LMJbGIsqOrzru4yowQz67dz2yc"", ""'MTY'!D3:D139""),0))"),"")</f>
        <v/>
      </c>
      <c r="Z74" s="2"/>
      <c r="AA74" s="2"/>
      <c r="AB74" s="2"/>
      <c r="AC74" s="2"/>
    </row>
    <row r="75" spans="1:29">
      <c r="A75" s="9" t="s">
        <v>199</v>
      </c>
      <c r="B75" s="9" t="s">
        <v>200</v>
      </c>
      <c r="C75" s="2" t="s">
        <v>36</v>
      </c>
      <c r="D75" s="149" t="s">
        <v>221</v>
      </c>
      <c r="E75" s="9" t="s">
        <v>38</v>
      </c>
      <c r="F75" s="9" t="s">
        <v>222</v>
      </c>
      <c r="G75" s="21" t="s">
        <v>213</v>
      </c>
      <c r="H75" s="22" t="s">
        <v>214</v>
      </c>
      <c r="I75" s="9" t="s">
        <v>215</v>
      </c>
      <c r="J75" s="4"/>
      <c r="K75" s="9" t="s">
        <v>216</v>
      </c>
      <c r="L75" s="4"/>
      <c r="M75" s="9" t="s">
        <v>217</v>
      </c>
      <c r="N75" s="2" t="s">
        <v>218</v>
      </c>
      <c r="O75" s="2" t="s">
        <v>218</v>
      </c>
      <c r="P75" s="15">
        <f t="shared" ref="P75:Q75" si="19">P74/P73</f>
        <v>0.1126463959788865</v>
      </c>
      <c r="Q75" s="15">
        <f t="shared" si="19"/>
        <v>0.1126463959788865</v>
      </c>
      <c r="R75" s="26"/>
      <c r="S75" s="54">
        <v>0.19</v>
      </c>
      <c r="T75" s="465"/>
      <c r="U75" s="54">
        <v>0.14000000000000001</v>
      </c>
      <c r="V75" s="54">
        <v>0.1</v>
      </c>
      <c r="W75" s="54">
        <v>0.1</v>
      </c>
      <c r="X75" s="15">
        <f>X74/X73</f>
        <v>0.1126463959788865</v>
      </c>
      <c r="Y75" s="179" t="str">
        <f ca="1">IFERROR(__xludf.DUMMYFUNCTION("INDEX(IMPORTRANGE(""1y0FWgjbB0gVlqn-q5LMJbGIsqOrzru4yowQz67dz2yc"", ""'MTY'!AM3:AM139""),MATCH(D75,IMPORTRANGE(""1y0FWgjbB0gVlqn-q5LMJbGIsqOrzru4yowQz67dz2yc"", ""'MTY'!D3:D139""),0))"),"")</f>
        <v/>
      </c>
      <c r="Z75" s="2"/>
      <c r="AA75" s="2"/>
      <c r="AB75" s="2"/>
      <c r="AC75" s="2"/>
    </row>
    <row r="76" spans="1:29">
      <c r="A76" s="9" t="s">
        <v>199</v>
      </c>
      <c r="B76" s="9" t="s">
        <v>200</v>
      </c>
      <c r="C76" s="2" t="s">
        <v>30</v>
      </c>
      <c r="D76" s="149" t="s">
        <v>223</v>
      </c>
      <c r="E76" s="9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0</v>
      </c>
      <c r="Q76" s="2">
        <v>0</v>
      </c>
      <c r="R76" s="2">
        <v>50</v>
      </c>
      <c r="S76" s="2">
        <v>10</v>
      </c>
      <c r="T76" s="2">
        <v>25</v>
      </c>
      <c r="U76" s="2">
        <v>10</v>
      </c>
      <c r="V76" s="2">
        <v>25</v>
      </c>
      <c r="W76" s="2">
        <v>100</v>
      </c>
      <c r="X76" s="2">
        <v>0</v>
      </c>
      <c r="Y76" s="2">
        <f ca="1">IFERROR(__xludf.DUMMYFUNCTION("INDEX(IMPORTRANGE(""1y0FWgjbB0gVlqn-q5LMJbGIsqOrzru4yowQz67dz2yc"", ""'MTY'!AM3:AM139""),MATCH(D76,IMPORTRANGE(""1y0FWgjbB0gVlqn-q5LMJbGIsqOrzru4yowQz67dz2yc"", ""'MTY'!D3:D139""),0))"),42)</f>
        <v>42</v>
      </c>
      <c r="Z76" s="2"/>
      <c r="AA76" s="2"/>
      <c r="AB76" s="2"/>
      <c r="AC76" s="2"/>
    </row>
    <row r="77" spans="1:29">
      <c r="A77" s="9" t="s">
        <v>199</v>
      </c>
      <c r="B77" s="9" t="s">
        <v>200</v>
      </c>
      <c r="C77" s="2" t="s">
        <v>30</v>
      </c>
      <c r="D77" s="151" t="s">
        <v>225</v>
      </c>
      <c r="E77" s="9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f ca="1">IFERROR(__xludf.DUMMYFUNCTION("INDEX(IMPORTRANGE(""1y0FWgjbB0gVlqn-q5LMJbGIsqOrzru4yowQz67dz2yc"", ""'MTY'!AM3:AM139""),MATCH(D77,IMPORTRANGE(""1y0FWgjbB0gVlqn-q5LMJbGIsqOrzru4yowQz67dz2yc"", ""'MTY'!D3:D139""),0))"),0)</f>
        <v>0</v>
      </c>
      <c r="Z77" s="2"/>
      <c r="AA77" s="2"/>
      <c r="AB77" s="2"/>
      <c r="AC77" s="2"/>
    </row>
    <row r="78" spans="1:29">
      <c r="A78" s="9" t="s">
        <v>199</v>
      </c>
      <c r="B78" s="9" t="s">
        <v>200</v>
      </c>
      <c r="C78" s="2" t="s">
        <v>36</v>
      </c>
      <c r="D78" s="151" t="s">
        <v>226</v>
      </c>
      <c r="E78" s="9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23">
        <f t="shared" ref="P78:Q78" si="20">P76+P77</f>
        <v>0</v>
      </c>
      <c r="Q78" s="23">
        <f t="shared" si="20"/>
        <v>0</v>
      </c>
      <c r="R78" s="6">
        <f t="shared" ref="R78:W78" si="21">SUM(R76:R77)</f>
        <v>50</v>
      </c>
      <c r="S78" s="6">
        <f t="shared" si="21"/>
        <v>10</v>
      </c>
      <c r="T78" s="6">
        <f t="shared" si="21"/>
        <v>25</v>
      </c>
      <c r="U78" s="6">
        <f t="shared" si="21"/>
        <v>10</v>
      </c>
      <c r="V78" s="6">
        <f t="shared" si="21"/>
        <v>25</v>
      </c>
      <c r="W78" s="6">
        <f t="shared" si="21"/>
        <v>100</v>
      </c>
      <c r="X78" s="23">
        <f>X76+X77</f>
        <v>0</v>
      </c>
      <c r="Y78" s="23">
        <f ca="1">IFERROR(__xludf.DUMMYFUNCTION("INDEX(IMPORTRANGE(""1y0FWgjbB0gVlqn-q5LMJbGIsqOrzru4yowQz67dz2yc"", ""'MTY'!AM3:AM139""),MATCH(D78,IMPORTRANGE(""1y0FWgjbB0gVlqn-q5LMJbGIsqOrzru4yowQz67dz2yc"", ""'MTY'!D3:D139""),0))"),42)</f>
        <v>42</v>
      </c>
      <c r="Z78" s="2"/>
      <c r="AA78" s="2"/>
      <c r="AB78" s="2"/>
      <c r="AC78" s="2"/>
    </row>
    <row r="79" spans="1:29">
      <c r="A79" s="9" t="s">
        <v>199</v>
      </c>
      <c r="B79" s="9" t="s">
        <v>228</v>
      </c>
      <c r="C79" s="2" t="s">
        <v>30</v>
      </c>
      <c r="D79" s="149" t="s">
        <v>229</v>
      </c>
      <c r="E79" s="9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417</v>
      </c>
      <c r="Q79" s="2">
        <v>801</v>
      </c>
      <c r="R79" s="4"/>
      <c r="S79" s="4"/>
      <c r="T79" s="4"/>
      <c r="U79" s="4"/>
      <c r="V79" s="4"/>
      <c r="W79" s="4"/>
      <c r="X79" s="2">
        <v>322</v>
      </c>
      <c r="Y79" s="2">
        <f ca="1">IFERROR(__xludf.DUMMYFUNCTION("INDEX(IMPORTRANGE(""1y0FWgjbB0gVlqn-q5LMJbGIsqOrzru4yowQz67dz2yc"", ""'MTY'!AM3:AM139""),MATCH(D79,IMPORTRANGE(""1y0FWgjbB0gVlqn-q5LMJbGIsqOrzru4yowQz67dz2yc"", ""'MTY'!D3:D139""),0))"),629)</f>
        <v>629</v>
      </c>
      <c r="Z79" s="2"/>
      <c r="AA79" s="2"/>
      <c r="AB79" s="2"/>
      <c r="AC79" s="2"/>
    </row>
    <row r="80" spans="1:29">
      <c r="A80" s="9" t="s">
        <v>199</v>
      </c>
      <c r="B80" s="9" t="s">
        <v>228</v>
      </c>
      <c r="C80" s="2" t="s">
        <v>30</v>
      </c>
      <c r="D80" s="149" t="s">
        <v>233</v>
      </c>
      <c r="E80" s="9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47</v>
      </c>
      <c r="Q80" s="2">
        <v>97</v>
      </c>
      <c r="R80" s="6"/>
      <c r="S80" s="6"/>
      <c r="T80" s="6"/>
      <c r="U80" s="6"/>
      <c r="V80" s="6"/>
      <c r="W80" s="6"/>
      <c r="X80" s="2">
        <v>24</v>
      </c>
      <c r="Y80" s="2">
        <f ca="1">IFERROR(__xludf.DUMMYFUNCTION("INDEX(IMPORTRANGE(""1y0FWgjbB0gVlqn-q5LMJbGIsqOrzru4yowQz67dz2yc"", ""'MTY'!AM3:AM139""),MATCH(D80,IMPORTRANGE(""1y0FWgjbB0gVlqn-q5LMJbGIsqOrzru4yowQz67dz2yc"", ""'MTY'!D3:D139""),0))"),77)</f>
        <v>77</v>
      </c>
      <c r="Z80" s="2"/>
      <c r="AA80" s="2"/>
      <c r="AB80" s="2"/>
      <c r="AC80" s="2"/>
    </row>
    <row r="81" spans="1:29">
      <c r="A81" s="9" t="s">
        <v>199</v>
      </c>
      <c r="B81" s="9" t="s">
        <v>228</v>
      </c>
      <c r="C81" s="2" t="s">
        <v>30</v>
      </c>
      <c r="D81" s="149" t="s">
        <v>235</v>
      </c>
      <c r="E81" s="9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12566</v>
      </c>
      <c r="Q81" s="2">
        <v>23525</v>
      </c>
      <c r="R81" s="4"/>
      <c r="S81" s="4"/>
      <c r="T81" s="4"/>
      <c r="U81" s="4"/>
      <c r="V81" s="4"/>
      <c r="W81" s="4"/>
      <c r="X81" s="2">
        <v>10796</v>
      </c>
      <c r="Y81" s="2">
        <f ca="1">IFERROR(__xludf.DUMMYFUNCTION("INDEX(IMPORTRANGE(""1y0FWgjbB0gVlqn-q5LMJbGIsqOrzru4yowQz67dz2yc"", ""'MTY'!AM3:AM139""),MATCH(D81,IMPORTRANGE(""1y0FWgjbB0gVlqn-q5LMJbGIsqOrzru4yowQz67dz2yc"", ""'MTY'!D3:D139""),0))"),22239)</f>
        <v>22239</v>
      </c>
      <c r="Z81" s="2"/>
      <c r="AA81" s="2"/>
      <c r="AB81" s="2"/>
      <c r="AC81" s="2"/>
    </row>
    <row r="82" spans="1:29">
      <c r="A82" s="9" t="s">
        <v>199</v>
      </c>
      <c r="B82" s="9" t="s">
        <v>228</v>
      </c>
      <c r="C82" s="2" t="s">
        <v>30</v>
      </c>
      <c r="D82" s="149" t="s">
        <v>237</v>
      </c>
      <c r="E82" s="9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580</v>
      </c>
      <c r="Q82" s="2">
        <v>1310</v>
      </c>
      <c r="R82" s="4"/>
      <c r="S82" s="4"/>
      <c r="T82" s="4"/>
      <c r="U82" s="4"/>
      <c r="V82" s="4"/>
      <c r="W82" s="4"/>
      <c r="X82" s="2">
        <v>434</v>
      </c>
      <c r="Y82" s="2">
        <f ca="1">IFERROR(__xludf.DUMMYFUNCTION("INDEX(IMPORTRANGE(""1y0FWgjbB0gVlqn-q5LMJbGIsqOrzru4yowQz67dz2yc"", ""'MTY'!AM3:AM139""),MATCH(D82,IMPORTRANGE(""1y0FWgjbB0gVlqn-q5LMJbGIsqOrzru4yowQz67dz2yc"", ""'MTY'!D3:D139""),0))"),1507)</f>
        <v>1507</v>
      </c>
      <c r="Z82" s="2"/>
      <c r="AA82" s="2"/>
      <c r="AB82" s="2"/>
      <c r="AC82" s="2"/>
    </row>
    <row r="83" spans="1:29">
      <c r="A83" s="9" t="s">
        <v>199</v>
      </c>
      <c r="B83" s="9" t="s">
        <v>228</v>
      </c>
      <c r="C83" s="2" t="s">
        <v>30</v>
      </c>
      <c r="D83" s="149" t="s">
        <v>239</v>
      </c>
      <c r="E83" s="9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3003</v>
      </c>
      <c r="Q83" s="2">
        <v>5668</v>
      </c>
      <c r="R83" s="4"/>
      <c r="S83" s="4"/>
      <c r="T83" s="4"/>
      <c r="U83" s="4"/>
      <c r="V83" s="4"/>
      <c r="W83" s="4"/>
      <c r="X83" s="2">
        <v>1812</v>
      </c>
      <c r="Y83" s="2">
        <f ca="1">IFERROR(__xludf.DUMMYFUNCTION("INDEX(IMPORTRANGE(""1y0FWgjbB0gVlqn-q5LMJbGIsqOrzru4yowQz67dz2yc"", ""'MTY'!AM3:AM139""),MATCH(D83,IMPORTRANGE(""1y0FWgjbB0gVlqn-q5LMJbGIsqOrzru4yowQz67dz2yc"", ""'MTY'!D3:D139""),0))"),3683)</f>
        <v>3683</v>
      </c>
      <c r="Z83" s="2"/>
      <c r="AA83" s="2"/>
      <c r="AB83" s="2"/>
      <c r="AC83" s="2"/>
    </row>
    <row r="84" spans="1:29">
      <c r="A84" s="9" t="s">
        <v>199</v>
      </c>
      <c r="B84" s="9" t="s">
        <v>228</v>
      </c>
      <c r="C84" s="2" t="s">
        <v>36</v>
      </c>
      <c r="D84" s="149" t="s">
        <v>241</v>
      </c>
      <c r="E84" s="9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f t="shared" ref="P84:Q84" si="22">SUM(P79:P83)</f>
        <v>16613</v>
      </c>
      <c r="Q84" s="12">
        <f t="shared" si="22"/>
        <v>31401</v>
      </c>
      <c r="R84" s="6">
        <v>31213</v>
      </c>
      <c r="S84" s="6">
        <v>16447</v>
      </c>
      <c r="T84" s="6">
        <v>30961</v>
      </c>
      <c r="U84" s="6">
        <v>16314</v>
      </c>
      <c r="V84" s="6">
        <v>30773</v>
      </c>
      <c r="W84" s="6">
        <v>30773</v>
      </c>
      <c r="X84" s="12">
        <f>SUM(X79:X83)</f>
        <v>13388</v>
      </c>
      <c r="Y84" s="12">
        <f ca="1">IFERROR(__xludf.DUMMYFUNCTION("INDEX(IMPORTRANGE(""1y0FWgjbB0gVlqn-q5LMJbGIsqOrzru4yowQz67dz2yc"", ""'MTY'!AM3:AM139""),MATCH(D84,IMPORTRANGE(""1y0FWgjbB0gVlqn-q5LMJbGIsqOrzru4yowQz67dz2yc"", ""'MTY'!D3:D139""),0))"),28135)</f>
        <v>28135</v>
      </c>
      <c r="Z84" s="2"/>
      <c r="AA84" s="2"/>
      <c r="AB84" s="2"/>
      <c r="AC84" s="2"/>
    </row>
    <row r="85" spans="1:29">
      <c r="A85" s="9" t="s">
        <v>243</v>
      </c>
      <c r="B85" s="9" t="s">
        <v>244</v>
      </c>
      <c r="C85" s="2" t="s">
        <v>36</v>
      </c>
      <c r="D85" s="149" t="s">
        <v>245</v>
      </c>
      <c r="E85" s="9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5</v>
      </c>
      <c r="Q85" s="2">
        <v>12</v>
      </c>
      <c r="R85" s="2">
        <v>157</v>
      </c>
      <c r="S85" s="2">
        <v>87</v>
      </c>
      <c r="T85" s="2">
        <v>157</v>
      </c>
      <c r="U85" s="2">
        <v>87</v>
      </c>
      <c r="V85" s="2">
        <v>157</v>
      </c>
      <c r="W85" s="2">
        <v>471</v>
      </c>
      <c r="X85" s="2">
        <v>94</v>
      </c>
      <c r="Y85" s="2">
        <f ca="1">IFERROR(__xludf.DUMMYFUNCTION("INDEX(IMPORTRANGE(""1y0FWgjbB0gVlqn-q5LMJbGIsqOrzru4yowQz67dz2yc"", ""'MTY'!AM3:AM139""),MATCH(D85,IMPORTRANGE(""1y0FWgjbB0gVlqn-q5LMJbGIsqOrzru4yowQz67dz2yc"", ""'MTY'!D3:D139""),0))"),255)</f>
        <v>255</v>
      </c>
      <c r="Z85" s="2"/>
      <c r="AA85" s="2"/>
      <c r="AB85" s="2"/>
      <c r="AC85" s="2"/>
    </row>
    <row r="86" spans="1:29">
      <c r="A86" s="9" t="s">
        <v>243</v>
      </c>
      <c r="B86" s="9" t="s">
        <v>247</v>
      </c>
      <c r="C86" s="2" t="s">
        <v>36</v>
      </c>
      <c r="D86" s="149" t="s">
        <v>248</v>
      </c>
      <c r="E86" s="9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2">
        <v>2</v>
      </c>
      <c r="Q86" s="2">
        <v>2</v>
      </c>
      <c r="R86" s="2">
        <v>2</v>
      </c>
      <c r="S86" s="2">
        <v>22</v>
      </c>
      <c r="T86" s="2">
        <v>27</v>
      </c>
      <c r="U86" s="2">
        <v>32</v>
      </c>
      <c r="V86" s="2">
        <v>40</v>
      </c>
      <c r="W86" s="2">
        <v>40</v>
      </c>
      <c r="X86" s="2">
        <v>2</v>
      </c>
      <c r="Y86" s="2">
        <f ca="1">IFERROR(__xludf.DUMMYFUNCTION("INDEX(IMPORTRANGE(""1y0FWgjbB0gVlqn-q5LMJbGIsqOrzru4yowQz67dz2yc"", ""'MTY'!AM3:AM139""),MATCH(D86,IMPORTRANGE(""1y0FWgjbB0gVlqn-q5LMJbGIsqOrzru4yowQz67dz2yc"", ""'MTY'!D3:D139""),0))"),4)</f>
        <v>4</v>
      </c>
      <c r="Z86" s="2"/>
      <c r="AA86" s="2"/>
      <c r="AB86" s="2"/>
      <c r="AC86" s="2"/>
    </row>
    <row r="87" spans="1:29">
      <c r="A87" s="9" t="s">
        <v>243</v>
      </c>
      <c r="B87" s="9" t="s">
        <v>250</v>
      </c>
      <c r="C87" s="2" t="s">
        <v>36</v>
      </c>
      <c r="D87" s="149" t="s">
        <v>251</v>
      </c>
      <c r="E87" s="9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100</v>
      </c>
      <c r="Q87" s="2">
        <v>100</v>
      </c>
      <c r="R87" s="2">
        <v>100</v>
      </c>
      <c r="S87" s="2">
        <v>100</v>
      </c>
      <c r="T87" s="2">
        <v>100</v>
      </c>
      <c r="U87" s="2">
        <v>100</v>
      </c>
      <c r="V87" s="2">
        <v>100</v>
      </c>
      <c r="W87" s="2">
        <v>100</v>
      </c>
      <c r="X87" s="24">
        <v>99.77</v>
      </c>
      <c r="Y87" s="24">
        <f ca="1">IFERROR(__xludf.DUMMYFUNCTION("INDEX(IMPORTRANGE(""1y0FWgjbB0gVlqn-q5LMJbGIsqOrzru4yowQz67dz2yc"", ""'MTY'!AM3:AM139""),MATCH(D87,IMPORTRANGE(""1y0FWgjbB0gVlqn-q5LMJbGIsqOrzru4yowQz67dz2yc"", ""'MTY'!D3:D139""),0))"),99.78)</f>
        <v>99.78</v>
      </c>
      <c r="Z87" s="2"/>
      <c r="AA87" s="2"/>
      <c r="AB87" s="2"/>
      <c r="AC87" s="2"/>
    </row>
    <row r="88" spans="1:29">
      <c r="A88" s="9" t="s">
        <v>243</v>
      </c>
      <c r="B88" s="9" t="s">
        <v>257</v>
      </c>
      <c r="C88" s="2" t="s">
        <v>36</v>
      </c>
      <c r="D88" s="149" t="s">
        <v>258</v>
      </c>
      <c r="E88" s="9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2">
        <v>0</v>
      </c>
      <c r="R88" s="2">
        <v>4</v>
      </c>
      <c r="S88" s="2">
        <v>4</v>
      </c>
      <c r="T88" s="2">
        <v>4</v>
      </c>
      <c r="U88" s="2">
        <v>4</v>
      </c>
      <c r="V88" s="2">
        <v>4</v>
      </c>
      <c r="W88" s="2">
        <v>4</v>
      </c>
      <c r="X88" s="257">
        <v>0</v>
      </c>
      <c r="Y88" s="257">
        <f ca="1">IFERROR(__xludf.DUMMYFUNCTION("INDEX(IMPORTRANGE(""1y0FWgjbB0gVlqn-q5LMJbGIsqOrzru4yowQz67dz2yc"", ""'MTY'!AM3:AM139""),MATCH(D88,IMPORTRANGE(""1y0FWgjbB0gVlqn-q5LMJbGIsqOrzru4yowQz67dz2yc"", ""'MTY'!D3:D139""),0))"),0)</f>
        <v>0</v>
      </c>
      <c r="Z88" s="2"/>
      <c r="AA88" s="2"/>
      <c r="AB88" s="2"/>
      <c r="AC88" s="2"/>
    </row>
    <row r="89" spans="1:29">
      <c r="A89" s="9" t="s">
        <v>243</v>
      </c>
      <c r="B89" s="9" t="s">
        <v>260</v>
      </c>
      <c r="C89" s="2" t="s">
        <v>30</v>
      </c>
      <c r="D89" s="149" t="s">
        <v>261</v>
      </c>
      <c r="E89" s="9" t="s">
        <v>38</v>
      </c>
      <c r="F89" s="9" t="s">
        <v>262</v>
      </c>
      <c r="G89" s="10">
        <v>44469</v>
      </c>
      <c r="H89" s="463"/>
      <c r="I89" s="11">
        <v>44651</v>
      </c>
      <c r="J89" s="4"/>
      <c r="K89" s="11">
        <v>45016</v>
      </c>
      <c r="L89" s="4"/>
      <c r="M89" s="11">
        <v>45382</v>
      </c>
      <c r="N89" s="4"/>
      <c r="O89" s="11">
        <v>45565</v>
      </c>
      <c r="P89" s="254"/>
      <c r="Q89" s="254"/>
      <c r="R89" s="4"/>
      <c r="S89" s="4"/>
      <c r="T89" s="4"/>
      <c r="U89" s="4"/>
      <c r="V89" s="4"/>
      <c r="W89" s="4"/>
      <c r="X89" s="2">
        <v>6</v>
      </c>
      <c r="Y89" s="2">
        <f ca="1">IFERROR(__xludf.DUMMYFUNCTION("INDEX(IMPORTRANGE(""1y0FWgjbB0gVlqn-q5LMJbGIsqOrzru4yowQz67dz2yc"", ""'MTY'!AM3:AM139""),MATCH(D89,IMPORTRANGE(""1y0FWgjbB0gVlqn-q5LMJbGIsqOrzru4yowQz67dz2yc"", ""'MTY'!D3:D139""),0))"),6)</f>
        <v>6</v>
      </c>
      <c r="Z89" s="2"/>
      <c r="AA89" s="2"/>
      <c r="AB89" s="2"/>
      <c r="AC89" s="2"/>
    </row>
    <row r="90" spans="1:29">
      <c r="A90" s="9" t="s">
        <v>243</v>
      </c>
      <c r="B90" s="9" t="s">
        <v>260</v>
      </c>
      <c r="C90" s="2" t="s">
        <v>30</v>
      </c>
      <c r="D90" s="149" t="s">
        <v>263</v>
      </c>
      <c r="E90" s="9" t="s">
        <v>38</v>
      </c>
      <c r="F90" s="9" t="s">
        <v>264</v>
      </c>
      <c r="G90" s="10">
        <v>44469</v>
      </c>
      <c r="H90" s="3"/>
      <c r="I90" s="11">
        <v>44651</v>
      </c>
      <c r="J90" s="4"/>
      <c r="K90" s="11">
        <v>45016</v>
      </c>
      <c r="L90" s="4"/>
      <c r="M90" s="11">
        <v>45382</v>
      </c>
      <c r="N90" s="4"/>
      <c r="O90" s="11">
        <v>45565</v>
      </c>
      <c r="P90" s="254"/>
      <c r="Q90" s="254"/>
      <c r="R90" s="4"/>
      <c r="S90" s="4"/>
      <c r="T90" s="4"/>
      <c r="U90" s="4"/>
      <c r="V90" s="4"/>
      <c r="W90" s="4"/>
      <c r="X90" s="2">
        <v>12</v>
      </c>
      <c r="Y90" s="2">
        <f ca="1">IFERROR(__xludf.DUMMYFUNCTION("INDEX(IMPORTRANGE(""1y0FWgjbB0gVlqn-q5LMJbGIsqOrzru4yowQz67dz2yc"", ""'MTY'!AM3:AM139""),MATCH(D90,IMPORTRANGE(""1y0FWgjbB0gVlqn-q5LMJbGIsqOrzru4yowQz67dz2yc"", ""'MTY'!D3:D139""),0))"),12)</f>
        <v>12</v>
      </c>
      <c r="Z90" s="2"/>
      <c r="AA90" s="2"/>
      <c r="AB90" s="2"/>
      <c r="AC90" s="2"/>
    </row>
    <row r="91" spans="1:29">
      <c r="A91" s="9" t="s">
        <v>243</v>
      </c>
      <c r="B91" s="9" t="s">
        <v>260</v>
      </c>
      <c r="C91" s="2" t="s">
        <v>30</v>
      </c>
      <c r="D91" s="149" t="s">
        <v>265</v>
      </c>
      <c r="E91" s="9" t="s">
        <v>38</v>
      </c>
      <c r="F91" s="9" t="s">
        <v>266</v>
      </c>
      <c r="G91" s="10">
        <v>44469</v>
      </c>
      <c r="H91" s="3"/>
      <c r="I91" s="11">
        <v>44651</v>
      </c>
      <c r="J91" s="4"/>
      <c r="K91" s="11">
        <v>45016</v>
      </c>
      <c r="L91" s="4"/>
      <c r="M91" s="11">
        <v>45382</v>
      </c>
      <c r="N91" s="4"/>
      <c r="O91" s="11">
        <v>45565</v>
      </c>
      <c r="P91" s="254"/>
      <c r="Q91" s="254"/>
      <c r="R91" s="4"/>
      <c r="S91" s="4"/>
      <c r="T91" s="4"/>
      <c r="U91" s="4"/>
      <c r="V91" s="4"/>
      <c r="W91" s="4"/>
      <c r="X91" s="2">
        <v>0</v>
      </c>
      <c r="Y91" s="2">
        <f ca="1">IFERROR(__xludf.DUMMYFUNCTION("INDEX(IMPORTRANGE(""1y0FWgjbB0gVlqn-q5LMJbGIsqOrzru4yowQz67dz2yc"", ""'MTY'!AM3:AM139""),MATCH(D91,IMPORTRANGE(""1y0FWgjbB0gVlqn-q5LMJbGIsqOrzru4yowQz67dz2yc"", ""'MTY'!D3:D139""),0))"),0)</f>
        <v>0</v>
      </c>
      <c r="Z91" s="2"/>
      <c r="AA91" s="2"/>
      <c r="AB91" s="2"/>
      <c r="AC91" s="2"/>
    </row>
    <row r="92" spans="1:29">
      <c r="A92" s="9" t="s">
        <v>243</v>
      </c>
      <c r="B92" s="9" t="s">
        <v>260</v>
      </c>
      <c r="C92" s="2" t="s">
        <v>30</v>
      </c>
      <c r="D92" s="149" t="s">
        <v>267</v>
      </c>
      <c r="E92" s="9" t="s">
        <v>38</v>
      </c>
      <c r="F92" s="9" t="s">
        <v>268</v>
      </c>
      <c r="G92" s="10">
        <v>44469</v>
      </c>
      <c r="H92" s="3"/>
      <c r="I92" s="11">
        <v>44651</v>
      </c>
      <c r="J92" s="4"/>
      <c r="K92" s="11">
        <v>45016</v>
      </c>
      <c r="L92" s="4"/>
      <c r="M92" s="11">
        <v>45382</v>
      </c>
      <c r="N92" s="4"/>
      <c r="O92" s="11">
        <v>45565</v>
      </c>
      <c r="P92" s="254"/>
      <c r="Q92" s="254"/>
      <c r="R92" s="4"/>
      <c r="S92" s="4"/>
      <c r="T92" s="4"/>
      <c r="U92" s="4"/>
      <c r="V92" s="4"/>
      <c r="W92" s="4"/>
      <c r="X92" s="2">
        <v>0</v>
      </c>
      <c r="Y92" s="2">
        <f ca="1">IFERROR(__xludf.DUMMYFUNCTION("INDEX(IMPORTRANGE(""1y0FWgjbB0gVlqn-q5LMJbGIsqOrzru4yowQz67dz2yc"", ""'MTY'!AM3:AM139""),MATCH(D92,IMPORTRANGE(""1y0FWgjbB0gVlqn-q5LMJbGIsqOrzru4yowQz67dz2yc"", ""'MTY'!D3:D139""),0))"),0)</f>
        <v>0</v>
      </c>
      <c r="Z92" s="2"/>
      <c r="AA92" s="2"/>
      <c r="AB92" s="2"/>
      <c r="AC92" s="2"/>
    </row>
    <row r="93" spans="1:29">
      <c r="A93" s="9" t="s">
        <v>243</v>
      </c>
      <c r="B93" s="9" t="s">
        <v>260</v>
      </c>
      <c r="C93" s="2" t="s">
        <v>30</v>
      </c>
      <c r="D93" s="149" t="s">
        <v>269</v>
      </c>
      <c r="E93" s="9" t="s">
        <v>38</v>
      </c>
      <c r="F93" s="9" t="s">
        <v>270</v>
      </c>
      <c r="G93" s="10">
        <v>44469</v>
      </c>
      <c r="H93" s="3"/>
      <c r="I93" s="11">
        <v>44651</v>
      </c>
      <c r="J93" s="4"/>
      <c r="K93" s="11">
        <v>45016</v>
      </c>
      <c r="L93" s="4"/>
      <c r="M93" s="11">
        <v>45382</v>
      </c>
      <c r="N93" s="4"/>
      <c r="O93" s="11">
        <v>45565</v>
      </c>
      <c r="P93" s="254"/>
      <c r="Q93" s="254"/>
      <c r="R93" s="4"/>
      <c r="S93" s="4"/>
      <c r="T93" s="4"/>
      <c r="U93" s="4"/>
      <c r="V93" s="4"/>
      <c r="W93" s="4"/>
      <c r="X93" s="2">
        <v>35</v>
      </c>
      <c r="Y93" s="2">
        <f ca="1">IFERROR(__xludf.DUMMYFUNCTION("INDEX(IMPORTRANGE(""1y0FWgjbB0gVlqn-q5LMJbGIsqOrzru4yowQz67dz2yc"", ""'MTY'!AM3:AM139""),MATCH(D93,IMPORTRANGE(""1y0FWgjbB0gVlqn-q5LMJbGIsqOrzru4yowQz67dz2yc"", ""'MTY'!D3:D139""),0))"),42)</f>
        <v>42</v>
      </c>
      <c r="Z93" s="2"/>
      <c r="AA93" s="2"/>
      <c r="AB93" s="2"/>
      <c r="AC93" s="2"/>
    </row>
    <row r="94" spans="1:29">
      <c r="A94" s="9" t="s">
        <v>243</v>
      </c>
      <c r="B94" s="9" t="s">
        <v>260</v>
      </c>
      <c r="C94" s="2" t="s">
        <v>30</v>
      </c>
      <c r="D94" s="149" t="s">
        <v>271</v>
      </c>
      <c r="E94" s="9" t="s">
        <v>38</v>
      </c>
      <c r="F94" s="9" t="s">
        <v>272</v>
      </c>
      <c r="G94" s="10">
        <v>44469</v>
      </c>
      <c r="H94" s="3"/>
      <c r="I94" s="11">
        <v>44651</v>
      </c>
      <c r="J94" s="4"/>
      <c r="K94" s="11">
        <v>45016</v>
      </c>
      <c r="L94" s="4"/>
      <c r="M94" s="11">
        <v>45382</v>
      </c>
      <c r="N94" s="4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98</v>
      </c>
      <c r="Y94" s="2">
        <f ca="1">IFERROR(__xludf.DUMMYFUNCTION("INDEX(IMPORTRANGE(""1y0FWgjbB0gVlqn-q5LMJbGIsqOrzru4yowQz67dz2yc"", ""'MTY'!AM3:AM139""),MATCH(D94,IMPORTRANGE(""1y0FWgjbB0gVlqn-q5LMJbGIsqOrzru4yowQz67dz2yc"", ""'MTY'!D3:D139""),0))"),102)</f>
        <v>102</v>
      </c>
      <c r="Z94" s="2"/>
      <c r="AA94" s="2"/>
      <c r="AB94" s="2"/>
      <c r="AC94" s="2"/>
    </row>
    <row r="95" spans="1:29">
      <c r="A95" s="9" t="s">
        <v>243</v>
      </c>
      <c r="B95" s="9" t="s">
        <v>260</v>
      </c>
      <c r="C95" s="2" t="s">
        <v>36</v>
      </c>
      <c r="D95" s="149" t="s">
        <v>273</v>
      </c>
      <c r="E95" s="9" t="s">
        <v>38</v>
      </c>
      <c r="F95" s="9" t="s">
        <v>274</v>
      </c>
      <c r="G95" s="10">
        <v>44469</v>
      </c>
      <c r="H95" s="3"/>
      <c r="I95" s="11">
        <v>44651</v>
      </c>
      <c r="J95" s="4"/>
      <c r="K95" s="11">
        <v>45016</v>
      </c>
      <c r="L95" s="4"/>
      <c r="M95" s="11">
        <v>45382</v>
      </c>
      <c r="N95" s="4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15">
        <f>SUM(X89,X91,X93)/SUM(X90,X92,X94)</f>
        <v>0.37272727272727274</v>
      </c>
      <c r="Y95" s="15">
        <f ca="1">IFERROR(__xludf.DUMMYFUNCTION("INDEX(IMPORTRANGE(""1y0FWgjbB0gVlqn-q5LMJbGIsqOrzru4yowQz67dz2yc"", ""'MTY'!AM3:AM139""),MATCH(D95,IMPORTRANGE(""1y0FWgjbB0gVlqn-q5LMJbGIsqOrzru4yowQz67dz2yc"", ""'MTY'!D3:D139""),0))"),0.421052631578947)</f>
        <v>0.42105263157894701</v>
      </c>
      <c r="Z95" s="2"/>
      <c r="AA95" s="2"/>
      <c r="AB95" s="2"/>
      <c r="AC95" s="2"/>
    </row>
    <row r="96" spans="1:29">
      <c r="A96" s="9" t="s">
        <v>275</v>
      </c>
      <c r="B96" s="9" t="s">
        <v>276</v>
      </c>
      <c r="C96" s="2" t="s">
        <v>30</v>
      </c>
      <c r="D96" s="149" t="s">
        <v>277</v>
      </c>
      <c r="E96" s="9" t="s">
        <v>278</v>
      </c>
      <c r="F96" s="9" t="s">
        <v>279</v>
      </c>
      <c r="G96" s="10" t="s">
        <v>213</v>
      </c>
      <c r="H96" s="22" t="s">
        <v>214</v>
      </c>
      <c r="I96" s="9" t="s">
        <v>215</v>
      </c>
      <c r="J96" s="4"/>
      <c r="K96" s="9" t="s">
        <v>216</v>
      </c>
      <c r="L96" s="4"/>
      <c r="M96" s="9" t="s">
        <v>217</v>
      </c>
      <c r="N96" s="2" t="s">
        <v>218</v>
      </c>
      <c r="O96" s="2" t="s">
        <v>218</v>
      </c>
      <c r="P96" s="36">
        <v>3081185453.3200002</v>
      </c>
      <c r="Q96" s="36">
        <v>3081185453.3200002</v>
      </c>
      <c r="R96" s="4"/>
      <c r="S96" s="4"/>
      <c r="T96" s="4"/>
      <c r="U96" s="4"/>
      <c r="V96" s="4"/>
      <c r="W96" s="4"/>
      <c r="X96" s="36">
        <v>3081185453.3200002</v>
      </c>
      <c r="Y96" s="178" t="str">
        <f ca="1">IFERROR(__xludf.DUMMYFUNCTION("INDEX(IMPORTRANGE(""1y0FWgjbB0gVlqn-q5LMJbGIsqOrzru4yowQz67dz2yc"", ""'MTY'!AM3:AM139""),MATCH(D96,IMPORTRANGE(""1y0FWgjbB0gVlqn-q5LMJbGIsqOrzru4yowQz67dz2yc"", ""'MTY'!D3:D139""),0))"),"")</f>
        <v/>
      </c>
      <c r="Z96" s="2"/>
      <c r="AA96" s="2"/>
      <c r="AB96" s="2"/>
      <c r="AC96" s="2"/>
    </row>
    <row r="97" spans="1:29">
      <c r="A97" s="9" t="s">
        <v>275</v>
      </c>
      <c r="B97" s="9" t="s">
        <v>276</v>
      </c>
      <c r="C97" s="2" t="s">
        <v>30</v>
      </c>
      <c r="D97" s="149" t="s">
        <v>280</v>
      </c>
      <c r="E97" s="9" t="s">
        <v>278</v>
      </c>
      <c r="F97" s="9" t="s">
        <v>281</v>
      </c>
      <c r="G97" s="21" t="s">
        <v>213</v>
      </c>
      <c r="H97" s="22" t="s">
        <v>214</v>
      </c>
      <c r="I97" s="9" t="s">
        <v>215</v>
      </c>
      <c r="J97" s="4"/>
      <c r="K97" s="9" t="s">
        <v>216</v>
      </c>
      <c r="L97" s="4"/>
      <c r="M97" s="9" t="s">
        <v>217</v>
      </c>
      <c r="N97" s="2" t="s">
        <v>218</v>
      </c>
      <c r="O97" s="2" t="s">
        <v>218</v>
      </c>
      <c r="P97" s="36">
        <v>6868671716.9499998</v>
      </c>
      <c r="Q97" s="36">
        <v>6868671716.9499998</v>
      </c>
      <c r="R97" s="4"/>
      <c r="S97" s="4"/>
      <c r="T97" s="4"/>
      <c r="U97" s="4"/>
      <c r="V97" s="4"/>
      <c r="W97" s="4"/>
      <c r="X97" s="36">
        <v>6868671716.9499998</v>
      </c>
      <c r="Y97" s="178" t="str">
        <f ca="1">IFERROR(__xludf.DUMMYFUNCTION("INDEX(IMPORTRANGE(""1y0FWgjbB0gVlqn-q5LMJbGIsqOrzru4yowQz67dz2yc"", ""'MTY'!AM3:AM139""),MATCH(D97,IMPORTRANGE(""1y0FWgjbB0gVlqn-q5LMJbGIsqOrzru4yowQz67dz2yc"", ""'MTY'!D3:D139""),0))"),"")</f>
        <v/>
      </c>
      <c r="Z97" s="2"/>
      <c r="AA97" s="2"/>
      <c r="AB97" s="2"/>
      <c r="AC97" s="2"/>
    </row>
    <row r="98" spans="1:29">
      <c r="A98" s="9" t="s">
        <v>275</v>
      </c>
      <c r="B98" s="9" t="s">
        <v>276</v>
      </c>
      <c r="C98" s="2" t="s">
        <v>36</v>
      </c>
      <c r="D98" s="149" t="s">
        <v>282</v>
      </c>
      <c r="E98" s="9" t="s">
        <v>278</v>
      </c>
      <c r="F98" s="9" t="s">
        <v>283</v>
      </c>
      <c r="G98" s="21" t="s">
        <v>213</v>
      </c>
      <c r="H98" s="22" t="s">
        <v>214</v>
      </c>
      <c r="I98" s="9" t="s">
        <v>215</v>
      </c>
      <c r="J98" s="4"/>
      <c r="K98" s="9" t="s">
        <v>216</v>
      </c>
      <c r="L98" s="4"/>
      <c r="M98" s="9" t="s">
        <v>217</v>
      </c>
      <c r="N98" s="2" t="s">
        <v>218</v>
      </c>
      <c r="O98" s="2" t="s">
        <v>218</v>
      </c>
      <c r="P98" s="15">
        <f t="shared" ref="P98:Q98" si="23">P96/P97</f>
        <v>0.4485853423037352</v>
      </c>
      <c r="Q98" s="15">
        <f t="shared" si="23"/>
        <v>0.4485853423037352</v>
      </c>
      <c r="R98" s="26"/>
      <c r="S98" s="26"/>
      <c r="T98" s="26"/>
      <c r="U98" s="26"/>
      <c r="V98" s="26"/>
      <c r="W98" s="26"/>
      <c r="X98" s="15">
        <f>X96/X97</f>
        <v>0.4485853423037352</v>
      </c>
      <c r="Y98" s="179" t="str">
        <f ca="1">IFERROR(__xludf.DUMMYFUNCTION("INDEX(IMPORTRANGE(""1y0FWgjbB0gVlqn-q5LMJbGIsqOrzru4yowQz67dz2yc"", ""'MTY'!AM3:AM139""),MATCH(D98,IMPORTRANGE(""1y0FWgjbB0gVlqn-q5LMJbGIsqOrzru4yowQz67dz2yc"", ""'MTY'!D3:D139""),0))"),"")</f>
        <v/>
      </c>
      <c r="Z98" s="2"/>
      <c r="AA98" s="2"/>
      <c r="AB98" s="2"/>
      <c r="AC98" s="2"/>
    </row>
    <row r="99" spans="1:29">
      <c r="A99" s="9" t="s">
        <v>275</v>
      </c>
      <c r="B99" s="9" t="s">
        <v>284</v>
      </c>
      <c r="C99" s="2" t="s">
        <v>30</v>
      </c>
      <c r="D99" s="151" t="s">
        <v>285</v>
      </c>
      <c r="E99" s="9" t="s">
        <v>278</v>
      </c>
      <c r="F99" s="9" t="s">
        <v>286</v>
      </c>
      <c r="G99" s="21" t="s">
        <v>213</v>
      </c>
      <c r="H99" s="22" t="s">
        <v>214</v>
      </c>
      <c r="I99" s="9" t="s">
        <v>215</v>
      </c>
      <c r="J99" s="4"/>
      <c r="K99" s="9" t="s">
        <v>216</v>
      </c>
      <c r="L99" s="4"/>
      <c r="M99" s="9" t="s">
        <v>217</v>
      </c>
      <c r="N99" s="2" t="s">
        <v>218</v>
      </c>
      <c r="O99" s="2" t="s">
        <v>218</v>
      </c>
      <c r="P99" s="50">
        <v>5072924918.2700005</v>
      </c>
      <c r="Q99" s="50">
        <v>5072924918.2700005</v>
      </c>
      <c r="R99" s="178"/>
      <c r="S99" s="178"/>
      <c r="T99" s="178"/>
      <c r="U99" s="178"/>
      <c r="V99" s="178"/>
      <c r="W99" s="178"/>
      <c r="X99" s="50">
        <v>5072924918.2700005</v>
      </c>
      <c r="Y99" s="184" t="str">
        <f ca="1">IFERROR(__xludf.DUMMYFUNCTION("INDEX(IMPORTRANGE(""1y0FWgjbB0gVlqn-q5LMJbGIsqOrzru4yowQz67dz2yc"", ""'MTY'!AM3:AM139""),MATCH(D99,IMPORTRANGE(""1y0FWgjbB0gVlqn-q5LMJbGIsqOrzru4yowQz67dz2yc"", ""'MTY'!D3:D139""),0))"),"")</f>
        <v/>
      </c>
      <c r="Z99" s="2"/>
      <c r="AA99" s="2"/>
      <c r="AB99" s="2"/>
      <c r="AC99" s="2"/>
    </row>
    <row r="100" spans="1:29">
      <c r="A100" s="9" t="s">
        <v>275</v>
      </c>
      <c r="B100" s="9" t="s">
        <v>276</v>
      </c>
      <c r="C100" s="2" t="s">
        <v>36</v>
      </c>
      <c r="D100" s="151" t="s">
        <v>287</v>
      </c>
      <c r="E100" s="9" t="s">
        <v>278</v>
      </c>
      <c r="F100" s="9" t="s">
        <v>288</v>
      </c>
      <c r="G100" s="21" t="s">
        <v>213</v>
      </c>
      <c r="H100" s="22" t="s">
        <v>214</v>
      </c>
      <c r="I100" s="9" t="s">
        <v>215</v>
      </c>
      <c r="J100" s="4"/>
      <c r="K100" s="9" t="s">
        <v>216</v>
      </c>
      <c r="L100" s="4"/>
      <c r="M100" s="9" t="s">
        <v>217</v>
      </c>
      <c r="N100" s="2" t="s">
        <v>218</v>
      </c>
      <c r="O100" s="2" t="s">
        <v>218</v>
      </c>
      <c r="P100" s="15">
        <f t="shared" ref="P100:Q100" si="24">P96/P99</f>
        <v>0.60737848538289907</v>
      </c>
      <c r="Q100" s="15">
        <f t="shared" si="24"/>
        <v>0.60737848538289907</v>
      </c>
      <c r="R100" s="26"/>
      <c r="S100" s="26"/>
      <c r="T100" s="26"/>
      <c r="U100" s="26"/>
      <c r="V100" s="26"/>
      <c r="W100" s="26"/>
      <c r="X100" s="15">
        <f>X96/X99</f>
        <v>0.60737848538289907</v>
      </c>
      <c r="Y100" s="179" t="str">
        <f ca="1">IFERROR(__xludf.DUMMYFUNCTION("INDEX(IMPORTRANGE(""1y0FWgjbB0gVlqn-q5LMJbGIsqOrzru4yowQz67dz2yc"", ""'MTY'!AM3:AM139""),MATCH(D100,IMPORTRANGE(""1y0FWgjbB0gVlqn-q5LMJbGIsqOrzru4yowQz67dz2yc"", ""'MTY'!D3:D139""),0))"),"")</f>
        <v/>
      </c>
      <c r="Z100" s="2"/>
      <c r="AA100" s="2"/>
      <c r="AB100" s="2"/>
      <c r="AC100" s="2"/>
    </row>
    <row r="101" spans="1:29">
      <c r="A101" s="9" t="s">
        <v>275</v>
      </c>
      <c r="B101" s="9" t="s">
        <v>276</v>
      </c>
      <c r="C101" s="2" t="s">
        <v>30</v>
      </c>
      <c r="D101" s="149" t="s">
        <v>289</v>
      </c>
      <c r="E101" s="9" t="s">
        <v>38</v>
      </c>
      <c r="F101" s="9" t="s">
        <v>112</v>
      </c>
      <c r="G101" s="21" t="s">
        <v>254</v>
      </c>
      <c r="H101" s="21" t="s">
        <v>254</v>
      </c>
      <c r="I101" s="9" t="s">
        <v>254</v>
      </c>
      <c r="J101" s="4"/>
      <c r="K101" s="9" t="s">
        <v>255</v>
      </c>
      <c r="L101" s="4"/>
      <c r="M101" s="9" t="s">
        <v>256</v>
      </c>
      <c r="N101" s="49">
        <v>45536</v>
      </c>
      <c r="O101" s="2" t="s">
        <v>218</v>
      </c>
      <c r="P101" s="12">
        <v>426298</v>
      </c>
      <c r="Q101" s="12">
        <v>426298</v>
      </c>
      <c r="R101" s="6"/>
      <c r="S101" s="6"/>
      <c r="T101" s="6"/>
      <c r="U101" s="6"/>
      <c r="V101" s="6"/>
      <c r="W101" s="6"/>
      <c r="X101" s="12">
        <v>426298</v>
      </c>
      <c r="Y101" s="6" t="str">
        <f ca="1">IFERROR(__xludf.DUMMYFUNCTION("INDEX(IMPORTRANGE(""1y0FWgjbB0gVlqn-q5LMJbGIsqOrzru4yowQz67dz2yc"", ""'MTY'!AM3:AM139""),MATCH(D101,IMPORTRANGE(""1y0FWgjbB0gVlqn-q5LMJbGIsqOrzru4yowQz67dz2yc"", ""'MTY'!D3:D139""),0))"),"")</f>
        <v/>
      </c>
      <c r="Z101" s="2"/>
      <c r="AA101" s="2"/>
      <c r="AB101" s="2"/>
      <c r="AC101" s="2"/>
    </row>
    <row r="102" spans="1:29">
      <c r="A102" s="9" t="s">
        <v>275</v>
      </c>
      <c r="B102" s="9" t="s">
        <v>276</v>
      </c>
      <c r="C102" s="2" t="s">
        <v>30</v>
      </c>
      <c r="D102" s="149" t="s">
        <v>290</v>
      </c>
      <c r="E102" s="9" t="s">
        <v>38</v>
      </c>
      <c r="F102" s="9" t="s">
        <v>291</v>
      </c>
      <c r="G102" s="21" t="s">
        <v>213</v>
      </c>
      <c r="H102" s="22" t="s">
        <v>214</v>
      </c>
      <c r="I102" s="9" t="s">
        <v>215</v>
      </c>
      <c r="J102" s="4"/>
      <c r="K102" s="9" t="s">
        <v>216</v>
      </c>
      <c r="L102" s="4"/>
      <c r="M102" s="9" t="s">
        <v>217</v>
      </c>
      <c r="N102" s="2" t="s">
        <v>218</v>
      </c>
      <c r="O102" s="2" t="s">
        <v>218</v>
      </c>
      <c r="P102" s="12">
        <v>276910</v>
      </c>
      <c r="Q102" s="12">
        <v>276910</v>
      </c>
      <c r="R102" s="30"/>
      <c r="S102" s="30"/>
      <c r="T102" s="30"/>
      <c r="U102" s="30"/>
      <c r="V102" s="30"/>
      <c r="W102" s="30"/>
      <c r="X102" s="12">
        <v>276910</v>
      </c>
      <c r="Y102" s="6" t="str">
        <f ca="1">IFERROR(__xludf.DUMMYFUNCTION("INDEX(IMPORTRANGE(""1y0FWgjbB0gVlqn-q5LMJbGIsqOrzru4yowQz67dz2yc"", ""'MTY'!AM3:AM139""),MATCH(D102,IMPORTRANGE(""1y0FWgjbB0gVlqn-q5LMJbGIsqOrzru4yowQz67dz2yc"", ""'MTY'!D3:D139""),0))"),"")</f>
        <v/>
      </c>
      <c r="Z102" s="2"/>
      <c r="AA102" s="2"/>
      <c r="AB102" s="2"/>
      <c r="AC102" s="2"/>
    </row>
    <row r="103" spans="1:29">
      <c r="A103" s="9" t="s">
        <v>275</v>
      </c>
      <c r="B103" s="9" t="s">
        <v>276</v>
      </c>
      <c r="C103" s="2" t="s">
        <v>36</v>
      </c>
      <c r="D103" s="149" t="s">
        <v>292</v>
      </c>
      <c r="E103" s="9" t="s">
        <v>38</v>
      </c>
      <c r="F103" s="9" t="s">
        <v>293</v>
      </c>
      <c r="G103" s="21" t="s">
        <v>213</v>
      </c>
      <c r="H103" s="2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5">P102/P101</f>
        <v>0.64956908078386477</v>
      </c>
      <c r="Q103" s="15">
        <f t="shared" si="25"/>
        <v>0.64956908078386477</v>
      </c>
      <c r="R103" s="26"/>
      <c r="S103" s="26"/>
      <c r="T103" s="26"/>
      <c r="U103" s="26"/>
      <c r="V103" s="26"/>
      <c r="W103" s="26"/>
      <c r="X103" s="15">
        <f>X102/X101</f>
        <v>0.64956908078386477</v>
      </c>
      <c r="Y103" s="179" t="str">
        <f ca="1">IFERROR(__xludf.DUMMYFUNCTION("INDEX(IMPORTRANGE(""1y0FWgjbB0gVlqn-q5LMJbGIsqOrzru4yowQz67dz2yc"", ""'MTY'!AM3:AM139""),MATCH(D103,IMPORTRANGE(""1y0FWgjbB0gVlqn-q5LMJbGIsqOrzru4yowQz67dz2yc"", ""'MTY'!D3:D139""),0))"),"")</f>
        <v/>
      </c>
      <c r="Z103" s="2"/>
      <c r="AA103" s="2"/>
      <c r="AB103" s="2"/>
      <c r="AC103" s="2"/>
    </row>
    <row r="104" spans="1:29">
      <c r="A104" s="21" t="s">
        <v>275</v>
      </c>
      <c r="B104" s="21" t="s">
        <v>276</v>
      </c>
      <c r="C104" s="21" t="s">
        <v>30</v>
      </c>
      <c r="D104" s="151" t="s">
        <v>294</v>
      </c>
      <c r="E104" s="21" t="s">
        <v>38</v>
      </c>
      <c r="F104" s="21" t="s">
        <v>295</v>
      </c>
      <c r="G104" s="21" t="s">
        <v>213</v>
      </c>
      <c r="H104" s="22" t="s">
        <v>214</v>
      </c>
      <c r="I104" s="21" t="s">
        <v>215</v>
      </c>
      <c r="J104" s="3"/>
      <c r="K104" s="21" t="s">
        <v>216</v>
      </c>
      <c r="L104" s="3"/>
      <c r="M104" s="21" t="s">
        <v>217</v>
      </c>
      <c r="N104" s="22" t="s">
        <v>218</v>
      </c>
      <c r="O104" s="22" t="s">
        <v>218</v>
      </c>
      <c r="P104" s="36"/>
      <c r="Q104" s="36"/>
      <c r="R104" s="36"/>
      <c r="S104" s="36"/>
      <c r="T104" s="36"/>
      <c r="U104" s="36"/>
      <c r="V104" s="36"/>
      <c r="W104" s="36"/>
      <c r="X104" s="36"/>
      <c r="Y104" s="178" t="str">
        <f ca="1">IFERROR(__xludf.DUMMYFUNCTION("INDEX(IMPORTRANGE(""1y0FWgjbB0gVlqn-q5LMJbGIsqOrzru4yowQz67dz2yc"", ""'MTY'!AM3:AM139""),MATCH(D104,IMPORTRANGE(""1y0FWgjbB0gVlqn-q5LMJbGIsqOrzru4yowQz67dz2yc"", ""'MTY'!D3:D139""),0))"),"")</f>
        <v/>
      </c>
      <c r="Z104" s="2"/>
      <c r="AA104" s="2"/>
      <c r="AB104" s="2"/>
      <c r="AC104" s="2"/>
    </row>
    <row r="105" spans="1:29">
      <c r="A105" s="21" t="s">
        <v>275</v>
      </c>
      <c r="B105" s="21" t="s">
        <v>276</v>
      </c>
      <c r="C105" s="21" t="s">
        <v>36</v>
      </c>
      <c r="D105" s="151" t="s">
        <v>296</v>
      </c>
      <c r="E105" s="21" t="s">
        <v>38</v>
      </c>
      <c r="F105" s="21" t="s">
        <v>297</v>
      </c>
      <c r="G105" s="21" t="s">
        <v>213</v>
      </c>
      <c r="H105" s="22" t="s">
        <v>214</v>
      </c>
      <c r="I105" s="21" t="s">
        <v>215</v>
      </c>
      <c r="J105" s="3"/>
      <c r="K105" s="21" t="s">
        <v>216</v>
      </c>
      <c r="L105" s="3"/>
      <c r="M105" s="21" t="s">
        <v>217</v>
      </c>
      <c r="N105" s="22" t="s">
        <v>218</v>
      </c>
      <c r="O105" s="22" t="s">
        <v>218</v>
      </c>
      <c r="P105" s="36">
        <v>1379390367.3499999</v>
      </c>
      <c r="Q105" s="36">
        <v>1379390367.3499999</v>
      </c>
      <c r="R105" s="36"/>
      <c r="S105" s="36"/>
      <c r="T105" s="36"/>
      <c r="U105" s="36"/>
      <c r="V105" s="36"/>
      <c r="W105" s="36"/>
      <c r="X105" s="36">
        <v>1379390367.3499999</v>
      </c>
      <c r="Y105" s="178" t="str">
        <f ca="1">IFERROR(__xludf.DUMMYFUNCTION("INDEX(IMPORTRANGE(""1y0FWgjbB0gVlqn-q5LMJbGIsqOrzru4yowQz67dz2yc"", ""'MTY'!AM3:AM139""),MATCH(D105,IMPORTRANGE(""1y0FWgjbB0gVlqn-q5LMJbGIsqOrzru4yowQz67dz2yc"", ""'MTY'!D3:D139""),0))"),"")</f>
        <v/>
      </c>
      <c r="Z105" s="2"/>
      <c r="AA105" s="2"/>
      <c r="AB105" s="2"/>
      <c r="AC105" s="2"/>
    </row>
    <row r="106" spans="1:29">
      <c r="A106" s="9" t="s">
        <v>275</v>
      </c>
      <c r="B106" s="9" t="s">
        <v>298</v>
      </c>
      <c r="C106" s="2" t="s">
        <v>30</v>
      </c>
      <c r="D106" s="149" t="s">
        <v>299</v>
      </c>
      <c r="E106" s="9" t="s">
        <v>278</v>
      </c>
      <c r="F106" s="9" t="s">
        <v>300</v>
      </c>
      <c r="G106" s="21" t="s">
        <v>213</v>
      </c>
      <c r="H106" s="22" t="s">
        <v>214</v>
      </c>
      <c r="I106" s="9" t="s">
        <v>215</v>
      </c>
      <c r="J106" s="4"/>
      <c r="K106" s="9" t="s">
        <v>216</v>
      </c>
      <c r="L106" s="4"/>
      <c r="M106" s="9" t="s">
        <v>217</v>
      </c>
      <c r="N106" s="2" t="s">
        <v>218</v>
      </c>
      <c r="O106" s="2" t="s">
        <v>218</v>
      </c>
      <c r="P106" s="36">
        <v>7008731456.6499996</v>
      </c>
      <c r="Q106" s="36">
        <v>7008731456.6499996</v>
      </c>
      <c r="R106" s="178"/>
      <c r="S106" s="178"/>
      <c r="T106" s="178"/>
      <c r="U106" s="178"/>
      <c r="V106" s="178"/>
      <c r="W106" s="178"/>
      <c r="X106" s="36">
        <v>7008731456.6499996</v>
      </c>
      <c r="Y106" s="178" t="str">
        <f ca="1">IFERROR(__xludf.DUMMYFUNCTION("INDEX(IMPORTRANGE(""1y0FWgjbB0gVlqn-q5LMJbGIsqOrzru4yowQz67dz2yc"", ""'MTY'!AM3:AM139""),MATCH(D106,IMPORTRANGE(""1y0FWgjbB0gVlqn-q5LMJbGIsqOrzru4yowQz67dz2yc"", ""'MTY'!D3:D139""),0))"),"")</f>
        <v/>
      </c>
      <c r="Z106" s="2"/>
      <c r="AA106" s="2"/>
      <c r="AB106" s="2"/>
      <c r="AC106" s="2"/>
    </row>
    <row r="107" spans="1:29">
      <c r="A107" s="9" t="s">
        <v>275</v>
      </c>
      <c r="B107" s="9" t="s">
        <v>298</v>
      </c>
      <c r="C107" s="2" t="s">
        <v>36</v>
      </c>
      <c r="D107" s="149" t="s">
        <v>301</v>
      </c>
      <c r="E107" s="9" t="s">
        <v>278</v>
      </c>
      <c r="F107" s="9" t="s">
        <v>302</v>
      </c>
      <c r="G107" s="21" t="s">
        <v>213</v>
      </c>
      <c r="H107" s="22" t="s">
        <v>214</v>
      </c>
      <c r="I107" s="9" t="s">
        <v>215</v>
      </c>
      <c r="J107" s="4"/>
      <c r="K107" s="9" t="s">
        <v>216</v>
      </c>
      <c r="L107" s="4"/>
      <c r="M107" s="9" t="s">
        <v>217</v>
      </c>
      <c r="N107" s="2" t="s">
        <v>218</v>
      </c>
      <c r="O107" s="2" t="s">
        <v>218</v>
      </c>
      <c r="P107" s="15">
        <f t="shared" ref="P107:Q107" si="26">P99/P106</f>
        <v>0.72380072622938429</v>
      </c>
      <c r="Q107" s="15">
        <f t="shared" si="26"/>
        <v>0.72380072622938429</v>
      </c>
      <c r="R107" s="26"/>
      <c r="S107" s="26"/>
      <c r="T107" s="26"/>
      <c r="U107" s="26"/>
      <c r="V107" s="26"/>
      <c r="W107" s="26"/>
      <c r="X107" s="15">
        <f>X99/X106</f>
        <v>0.72380072622938429</v>
      </c>
      <c r="Y107" s="179" t="str">
        <f ca="1">IFERROR(__xludf.DUMMYFUNCTION("INDEX(IMPORTRANGE(""1y0FWgjbB0gVlqn-q5LMJbGIsqOrzru4yowQz67dz2yc"", ""'MTY'!AM3:AM139""),MATCH(D107,IMPORTRANGE(""1y0FWgjbB0gVlqn-q5LMJbGIsqOrzru4yowQz67dz2yc"", ""'MTY'!D3:D139""),0))"),"")</f>
        <v/>
      </c>
      <c r="Z107" s="2"/>
      <c r="AA107" s="2"/>
      <c r="AB107" s="2"/>
      <c r="AC107" s="2"/>
    </row>
    <row r="108" spans="1:29">
      <c r="A108" s="9" t="s">
        <v>275</v>
      </c>
      <c r="B108" s="9" t="s">
        <v>303</v>
      </c>
      <c r="C108" s="2" t="s">
        <v>36</v>
      </c>
      <c r="D108" s="149" t="s">
        <v>304</v>
      </c>
      <c r="E108" s="9" t="s">
        <v>305</v>
      </c>
      <c r="F108" s="9" t="s">
        <v>306</v>
      </c>
      <c r="G108" s="10" t="s">
        <v>307</v>
      </c>
      <c r="H108" s="3"/>
      <c r="I108" s="2" t="s">
        <v>254</v>
      </c>
      <c r="J108" s="4"/>
      <c r="K108" s="2" t="s">
        <v>255</v>
      </c>
      <c r="L108" s="4"/>
      <c r="M108" s="2" t="s">
        <v>256</v>
      </c>
      <c r="N108" s="49">
        <v>45473</v>
      </c>
      <c r="O108" s="2"/>
      <c r="P108" s="30" t="s">
        <v>308</v>
      </c>
      <c r="Q108" s="30" t="s">
        <v>308</v>
      </c>
      <c r="R108" s="30" t="s">
        <v>308</v>
      </c>
      <c r="S108" s="30" t="s">
        <v>308</v>
      </c>
      <c r="T108" s="30" t="s">
        <v>308</v>
      </c>
      <c r="U108" s="30" t="s">
        <v>308</v>
      </c>
      <c r="V108" s="30" t="s">
        <v>308</v>
      </c>
      <c r="W108" s="30" t="s">
        <v>308</v>
      </c>
      <c r="X108" s="30" t="s">
        <v>308</v>
      </c>
      <c r="Y108" s="254" t="str">
        <f ca="1">IFERROR(__xludf.DUMMYFUNCTION("INDEX(IMPORTRANGE(""1y0FWgjbB0gVlqn-q5LMJbGIsqOrzru4yowQz67dz2yc"", ""'MTY'!AM3:AM139""),MATCH(D108,IMPORTRANGE(""1y0FWgjbB0gVlqn-q5LMJbGIsqOrzru4yowQz67dz2yc"", ""'MTY'!D3:D139""),0))"),"")</f>
        <v/>
      </c>
      <c r="Z108" s="2"/>
      <c r="AA108" s="2"/>
      <c r="AB108" s="2"/>
      <c r="AC108" s="2"/>
    </row>
    <row r="109" spans="1:29">
      <c r="A109" s="2"/>
      <c r="B109" s="2"/>
      <c r="C109" s="2"/>
      <c r="D109" s="148"/>
      <c r="E109" s="2"/>
      <c r="F109" s="2"/>
      <c r="G109" s="10" t="s">
        <v>307</v>
      </c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28B4-D12E-B04E-8445-46F714D6A052}">
  <dimension ref="A1:M30"/>
  <sheetViews>
    <sheetView workbookViewId="0">
      <selection activeCell="N4" sqref="N4"/>
    </sheetView>
  </sheetViews>
  <sheetFormatPr baseColWidth="10" defaultRowHeight="16"/>
  <cols>
    <col min="1" max="1" width="10.83203125" style="118"/>
    <col min="3" max="3" width="19.33203125" customWidth="1"/>
    <col min="4" max="5" width="12.83203125" customWidth="1"/>
    <col min="7" max="7" width="12.33203125" customWidth="1"/>
    <col min="8" max="8" width="12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37">
        <f>VLOOKUP(C2,'BD EVA 1 MTY'!$D$3:$Q$108,14,0)</f>
        <v>1125</v>
      </c>
      <c r="F2" s="75">
        <v>44834</v>
      </c>
      <c r="G2" s="137">
        <f ca="1">VLOOKUP(C2,'BD EVA 1 MTY'!$D$3:$Y$108,22,0)</f>
        <v>1119</v>
      </c>
      <c r="H2" s="137">
        <f>VLOOKUP(C2,'BD EVA 1 MTY'!$D$3:$R$108,15,0)</f>
        <v>1180</v>
      </c>
      <c r="I2" s="80">
        <f ca="1">IF(G2&gt;=E2,G2/H2,0)</f>
        <v>0</v>
      </c>
      <c r="J2" s="72" t="s">
        <v>316</v>
      </c>
      <c r="K2" s="81">
        <v>2.7</v>
      </c>
      <c r="L2" s="81">
        <f t="shared" ref="L2:L30" ca="1" si="0">IF(I2&lt;0,0,IF(I2&gt;1,K2,I2*K2))</f>
        <v>0</v>
      </c>
      <c r="M2" s="124">
        <f ca="1">SUM(L2:L4)</f>
        <v>7.2459808555134808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MTY'!$D$3:$Q$108,14,0)</f>
        <v>0.93777777777777782</v>
      </c>
      <c r="F3" s="75">
        <v>44834</v>
      </c>
      <c r="G3" s="293">
        <f ca="1">VLOOKUP(C3,'BD EVA 1 MTY'!$D$3:$Y$108,22,0)</f>
        <v>0.95621090259159902</v>
      </c>
      <c r="H3" s="79" t="s">
        <v>317</v>
      </c>
      <c r="I3" s="83">
        <f ca="1">G3/97%</f>
        <v>0.98578443566144236</v>
      </c>
      <c r="J3" s="75" t="s">
        <v>318</v>
      </c>
      <c r="K3" s="81">
        <v>3.8</v>
      </c>
      <c r="L3" s="81">
        <f t="shared" ca="1" si="0"/>
        <v>3.7459808555134808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MTY'!$D$3:$Q$108,14,0)</f>
        <v>0</v>
      </c>
      <c r="F4" s="75">
        <v>44834</v>
      </c>
      <c r="G4" s="126">
        <f ca="1">VLOOKUP(C4,'BD EVA 1 MTY'!$D$3:$Y$108,22,0)</f>
        <v>1.5192135835567401E-2</v>
      </c>
      <c r="H4" s="126">
        <f>VLOOKUP(C4,'BD EVA 1 MTY'!$D$3:$R$108,15,0)</f>
        <v>1.3559322033898305E-2</v>
      </c>
      <c r="I4" s="77">
        <f t="shared" ref="I4:I5" ca="1" si="1">G4/H4</f>
        <v>1.1204200178730959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MTY'!$D$3:$Q$108,14,0)</f>
        <v>0</v>
      </c>
      <c r="F5" s="72" t="s">
        <v>59</v>
      </c>
      <c r="G5" s="126">
        <f ca="1">VLOOKUP(C5,'BD EVA 1 MTY'!$D$3:$Y$108,22,0)</f>
        <v>0</v>
      </c>
      <c r="H5" s="128">
        <f>VLOOKUP(C5,'BD EVA 1 MTY'!$D$3:$R$108,15,0)</f>
        <v>5.0000000000000001E-3</v>
      </c>
      <c r="I5" s="77">
        <f t="shared" ca="1" si="1"/>
        <v>0</v>
      </c>
      <c r="J5" s="75" t="s">
        <v>318</v>
      </c>
      <c r="K5" s="129">
        <f>3.25*0.488</f>
        <v>1.5859999999999999</v>
      </c>
      <c r="L5" s="129">
        <f t="shared" ca="1" si="0"/>
        <v>0</v>
      </c>
      <c r="M5" s="130">
        <f ca="1">SUM(L5:L10)</f>
        <v>6.7060000000000004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MTY'!$D$3:$Q$108,14,0)</f>
        <v>13.869259117386767</v>
      </c>
      <c r="F6" s="72" t="s">
        <v>59</v>
      </c>
      <c r="G6" s="132">
        <f ca="1">VLOOKUP(C6,'BD EVA 1 MTY'!$D$3:$Y$108,22,0)</f>
        <v>17.299287465197398</v>
      </c>
      <c r="H6" s="123">
        <f>VLOOKUP(C6,'BD EVA 1 MTY'!$D$3:$R$108,15,0)</f>
        <v>13.6</v>
      </c>
      <c r="I6" s="78">
        <f t="shared" ref="I6:I10" ca="1" si="2">(G6-E6)/(H6-E6)</f>
        <v>-12.738763987269927</v>
      </c>
      <c r="J6" s="71" t="s">
        <v>319</v>
      </c>
      <c r="K6" s="129">
        <f>3.5*0.488</f>
        <v>1.708</v>
      </c>
      <c r="L6" s="12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MTY'!$D$3:$Q$108,14,0)</f>
        <v>598.0292443235104</v>
      </c>
      <c r="F7" s="72" t="s">
        <v>59</v>
      </c>
      <c r="G7" s="131">
        <f ca="1">VLOOKUP(C7,'BD EVA 1 MTY'!$D$3:$Y$108,22,0)</f>
        <v>511.14498434903999</v>
      </c>
      <c r="H7" s="123">
        <f>VLOOKUP(C7,'BD EVA 1 MTY'!$D$3:$R$108,15,0)</f>
        <v>585.20000000000005</v>
      </c>
      <c r="I7" s="78">
        <f t="shared" ca="1" si="2"/>
        <v>6.7723599132997911</v>
      </c>
      <c r="J7" s="71" t="s">
        <v>319</v>
      </c>
      <c r="K7" s="129">
        <f>3.25*0.488</f>
        <v>1.5859999999999999</v>
      </c>
      <c r="L7" s="129">
        <f t="shared" ca="1" si="0"/>
        <v>1.5859999999999999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MTY'!$D$3:$Q$108,14,0)</f>
        <v>359.94029614170421</v>
      </c>
      <c r="F8" s="72" t="s">
        <v>59</v>
      </c>
      <c r="G8" s="131">
        <f ca="1">VLOOKUP(C8,'BD EVA 1 MTY'!$D$3:$Y$108,22,0)</f>
        <v>320.20001893129501</v>
      </c>
      <c r="H8" s="123">
        <f>VLOOKUP(C8,'BD EVA 1 MTY'!$D$3:$R$108,15,0)</f>
        <v>352.2</v>
      </c>
      <c r="I8" s="78">
        <f t="shared" ca="1" si="2"/>
        <v>5.1342062994581212</v>
      </c>
      <c r="J8" s="71" t="s">
        <v>319</v>
      </c>
      <c r="K8" s="129">
        <f t="shared" ref="K8:K10" si="3">10/3*0.512</f>
        <v>1.7066666666666668</v>
      </c>
      <c r="L8" s="129">
        <f t="shared" ca="1" si="0"/>
        <v>1.7066666666666668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MTY'!$D$3:$Q$108,14,0)</f>
        <v>81.894672883617105</v>
      </c>
      <c r="F9" s="72" t="s">
        <v>59</v>
      </c>
      <c r="G9" s="131">
        <f ca="1">VLOOKUP(C9,'BD EVA 1 MTY'!$D$3:$Y$108,22,0)</f>
        <v>78.989199369391997</v>
      </c>
      <c r="H9" s="123">
        <f>VLOOKUP(C9,'BD EVA 1 MTY'!$D$3:$R$108,15,0)</f>
        <v>80.099999999999994</v>
      </c>
      <c r="I9" s="78">
        <f t="shared" ca="1" si="2"/>
        <v>1.6189432295701773</v>
      </c>
      <c r="J9" s="71" t="s">
        <v>319</v>
      </c>
      <c r="K9" s="129">
        <f t="shared" si="3"/>
        <v>1.7066666666666668</v>
      </c>
      <c r="L9" s="129">
        <f t="shared" ca="1" si="0"/>
        <v>1.7066666666666668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MTY'!$D$3:$Q$108,14,0)</f>
        <v>36.324250069346292</v>
      </c>
      <c r="F10" s="72" t="s">
        <v>59</v>
      </c>
      <c r="G10" s="131">
        <f ca="1">VLOOKUP(C10,'BD EVA 1 MTY'!$D$3:$Y$108,22,0)</f>
        <v>31.987361728100801</v>
      </c>
      <c r="H10" s="123">
        <f>VLOOKUP(C10,'BD EVA 1 MTY'!$D$3:$R$108,15,0)</f>
        <v>35.5</v>
      </c>
      <c r="I10" s="78">
        <f t="shared" ca="1" si="2"/>
        <v>5.261617199116591</v>
      </c>
      <c r="J10" s="71" t="s">
        <v>319</v>
      </c>
      <c r="K10" s="129">
        <f t="shared" si="3"/>
        <v>1.7066666666666668</v>
      </c>
      <c r="L10" s="129">
        <f t="shared" ca="1" si="0"/>
        <v>1.7066666666666668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28">
        <f>VLOOKUP(C11,'BD EVA 1 MTY'!$D$3:$Q$108,14,0)</f>
        <v>7.4101716600916947E-4</v>
      </c>
      <c r="F11" s="75">
        <v>44834</v>
      </c>
      <c r="G11" s="128">
        <f ca="1">VLOOKUP(C11,'BD EVA 1 MTY'!$D$3:$Y$108,22,0)</f>
        <v>1.00303870348651E-2</v>
      </c>
      <c r="H11" s="128">
        <f>VLOOKUP(C11,'BD EVA 1 MTY'!$D$3:$R$108,15,0)</f>
        <v>1.06E-2</v>
      </c>
      <c r="I11" s="77">
        <f t="shared" ref="I11:I14" ca="1" si="4">G11/H11</f>
        <v>0.94626292781746224</v>
      </c>
      <c r="J11" s="75" t="s">
        <v>318</v>
      </c>
      <c r="K11" s="71">
        <v>2.1</v>
      </c>
      <c r="L11" s="129">
        <f t="shared" ca="1" si="0"/>
        <v>1.9871521484166708</v>
      </c>
      <c r="M11" s="130">
        <f ca="1">SUM(L11:L14)</f>
        <v>9.8871521484166696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23">
        <f>VLOOKUP(C12,'BD EVA 1 MTY'!$D$3:$Q$108,14,0)</f>
        <v>10</v>
      </c>
      <c r="F12" s="71" t="s">
        <v>59</v>
      </c>
      <c r="G12" s="123">
        <f ca="1">VLOOKUP(C12,'BD EVA 1 MTY'!$D$3:$Y$108,22,0)</f>
        <v>25</v>
      </c>
      <c r="H12" s="123">
        <f>VLOOKUP(C12,'BD EVA 1 MTY'!$D$3:$R$108,15,0)</f>
        <v>20</v>
      </c>
      <c r="I12" s="78">
        <f t="shared" ca="1" si="4"/>
        <v>1.25</v>
      </c>
      <c r="J12" s="75" t="s">
        <v>318</v>
      </c>
      <c r="K12" s="71">
        <v>2.4</v>
      </c>
      <c r="L12" s="129">
        <f t="shared" ca="1" si="0"/>
        <v>2.4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23">
        <f>VLOOKUP(C13,'BD EVA 1 MTY'!$D$3:$Q$108,14,0)</f>
        <v>3568</v>
      </c>
      <c r="F13" s="71" t="s">
        <v>59</v>
      </c>
      <c r="G13" s="123">
        <f ca="1">VLOOKUP(C13,'BD EVA 1 MTY'!$D$3:$Y$108,22,0)</f>
        <v>1343</v>
      </c>
      <c r="H13" s="137">
        <f>VLOOKUP(C13,'BD EVA 1 MTY'!$D$3:$R$108,15,0)</f>
        <v>900</v>
      </c>
      <c r="I13" s="78">
        <f t="shared" ca="1" si="4"/>
        <v>1.4922222222222221</v>
      </c>
      <c r="J13" s="75" t="s">
        <v>318</v>
      </c>
      <c r="K13" s="71">
        <v>2.4</v>
      </c>
      <c r="L13" s="129">
        <f t="shared" ca="1" si="0"/>
        <v>2.4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23">
        <f>VLOOKUP(C14,'BD EVA 1 MTY'!$D$3:$Q$108,14,0)</f>
        <v>10</v>
      </c>
      <c r="F14" s="71" t="s">
        <v>59</v>
      </c>
      <c r="G14" s="123">
        <f ca="1">VLOOKUP(C14,'BD EVA 1 MTY'!$D$3:$Y$108,22,0)</f>
        <v>59</v>
      </c>
      <c r="H14" s="123">
        <f>VLOOKUP(C14,'BD EVA 1 MTY'!$D$3:$R$108,15,0)</f>
        <v>17</v>
      </c>
      <c r="I14" s="78">
        <f t="shared" ca="1" si="4"/>
        <v>3.4705882352941178</v>
      </c>
      <c r="J14" s="75" t="s">
        <v>318</v>
      </c>
      <c r="K14" s="71">
        <v>3.1</v>
      </c>
      <c r="L14" s="129">
        <f t="shared" ca="1" si="0"/>
        <v>3.1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7">
        <f>VLOOKUP(C15,'BD EVA 1 MTY'!$D$3:$Q$108,14,0)</f>
        <v>0</v>
      </c>
      <c r="F15" s="75">
        <v>44834</v>
      </c>
      <c r="G15" s="123">
        <f ca="1">VLOOKUP(C15,'BD EVA 1 MTY'!$D$3:$Y$108,22,0)</f>
        <v>0</v>
      </c>
      <c r="H15" s="123" t="str">
        <f>VLOOKUP(C15,'BD EVA 1 MTY'!$D$3:$R$108,15,0)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5">G15/1</f>
        <v>0</v>
      </c>
      <c r="J15" s="75" t="s">
        <v>318</v>
      </c>
      <c r="K15" s="71">
        <v>1.5</v>
      </c>
      <c r="L15" s="129">
        <f t="shared" ca="1" si="0"/>
        <v>0</v>
      </c>
      <c r="M15" s="130">
        <f ca="1">SUM(L15:L22)</f>
        <v>6.9464852814768552</v>
      </c>
    </row>
    <row r="16" spans="1:13" ht="52">
      <c r="A16" s="121" t="s">
        <v>147</v>
      </c>
      <c r="B16" s="72" t="s">
        <v>148</v>
      </c>
      <c r="C16" s="72" t="s">
        <v>158</v>
      </c>
      <c r="D16" s="75">
        <v>44469</v>
      </c>
      <c r="E16" s="123">
        <f>VLOOKUP(C16,'BD EVA 1 MTY'!$D$3:$Q$108,14,0)</f>
        <v>0</v>
      </c>
      <c r="F16" s="75">
        <v>44834</v>
      </c>
      <c r="G16" s="123">
        <f ca="1">VLOOKUP(C16,'BD EVA 1 MTY'!$D$3:$Y$108,22,0)</f>
        <v>0</v>
      </c>
      <c r="H16" s="123" t="str">
        <f>VLOOKUP(C16,'BD EVA 1 MTY'!$D$3:$R$108,15,0)</f>
        <v>Actualizado al 2017</v>
      </c>
      <c r="I16" s="125">
        <f t="shared" ca="1" si="5"/>
        <v>0</v>
      </c>
      <c r="J16" s="75" t="s">
        <v>318</v>
      </c>
      <c r="K16" s="71">
        <v>1.5</v>
      </c>
      <c r="L16" s="129">
        <f t="shared" ca="1" si="0"/>
        <v>0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26">
        <f>VLOOKUP(C17,'BD EVA 1 MTY'!$D$3:$Q$108,14,0)</f>
        <v>0.52941176470588236</v>
      </c>
      <c r="F17" s="75">
        <v>44834</v>
      </c>
      <c r="G17" s="126">
        <f ca="1">VLOOKUP(C17,'BD EVA 1 MTY'!$D$3:$Y$108,22,0)</f>
        <v>0.82352941176470495</v>
      </c>
      <c r="H17" s="125">
        <f>VLOOKUP(C17,'BD EVA 1 MTY'!$D$3:$R$108,15,0)</f>
        <v>1</v>
      </c>
      <c r="I17" s="125">
        <f t="shared" ref="I17:I25" ca="1" si="6">G17/H17</f>
        <v>0.82352941176470495</v>
      </c>
      <c r="J17" s="75" t="s">
        <v>318</v>
      </c>
      <c r="K17" s="71">
        <v>0.3</v>
      </c>
      <c r="L17" s="129">
        <f t="shared" ca="1" si="0"/>
        <v>0.24705882352941147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8">
        <f>VLOOKUP(C18,'BD EVA 1 MTY'!$D$3:$Q$108,14,0)</f>
        <v>1</v>
      </c>
      <c r="F18" s="75">
        <v>44834</v>
      </c>
      <c r="G18" s="128">
        <f ca="1">VLOOKUP(C18,'BD EVA 1 MTY'!$D$3:$Y$108,22,0)</f>
        <v>0.999750004629543</v>
      </c>
      <c r="H18" s="125">
        <f>VLOOKUP(C18,'BD EVA 1 MTY'!$D$3:$R$108,15,0)</f>
        <v>1</v>
      </c>
      <c r="I18" s="125">
        <f t="shared" ca="1" si="6"/>
        <v>0.999750004629543</v>
      </c>
      <c r="J18" s="75" t="s">
        <v>318</v>
      </c>
      <c r="K18" s="71">
        <v>1.5</v>
      </c>
      <c r="L18" s="129">
        <f t="shared" ca="1" si="0"/>
        <v>1.4996250069443144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8">
        <f>VLOOKUP(C19,'BD EVA 1 MTY'!$D$3:$Q$108,14,0)</f>
        <v>1</v>
      </c>
      <c r="F19" s="75">
        <v>44834</v>
      </c>
      <c r="G19" s="128">
        <f ca="1">VLOOKUP(C19,'BD EVA 1 MTY'!$D$3:$Y$108,22,0)</f>
        <v>1</v>
      </c>
      <c r="H19" s="125">
        <f>VLOOKUP(C19,'BD EVA 1 MTY'!$D$3:$R$108,15,0)</f>
        <v>1</v>
      </c>
      <c r="I19" s="125">
        <f t="shared" ca="1" si="6"/>
        <v>1</v>
      </c>
      <c r="J19" s="75" t="s">
        <v>318</v>
      </c>
      <c r="K19" s="71">
        <v>1.5</v>
      </c>
      <c r="L19" s="12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8">
        <f>VLOOKUP(C20,'BD EVA 1 MTY'!$D$3:$Q$108,14,0)</f>
        <v>0.1</v>
      </c>
      <c r="F20" s="75">
        <v>44834</v>
      </c>
      <c r="G20" s="128">
        <f ca="1">VLOOKUP(C20,'BD EVA 1 MTY'!$D$3:$Y$108,22,0)</f>
        <v>0.99977939000347704</v>
      </c>
      <c r="H20" s="125">
        <f>VLOOKUP(C20,'BD EVA 1 MTY'!$D$3:$R$108,15,0)</f>
        <v>1</v>
      </c>
      <c r="I20" s="125">
        <f t="shared" ca="1" si="6"/>
        <v>0.99977939000347704</v>
      </c>
      <c r="J20" s="75" t="s">
        <v>318</v>
      </c>
      <c r="K20" s="71">
        <v>0.9</v>
      </c>
      <c r="L20" s="129">
        <f t="shared" ca="1" si="0"/>
        <v>0.89980145100312936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MTY'!$D$3:$Q$108,14,0)</f>
        <v>0.99971249366351167</v>
      </c>
      <c r="F21" s="75">
        <v>44834</v>
      </c>
      <c r="G21" s="128">
        <f ca="1">VLOOKUP(C21,'BD EVA 1 MTY'!$D$3:$Y$108,22,0)</f>
        <v>1.0001942523243701</v>
      </c>
      <c r="H21" s="125">
        <f>VLOOKUP(C21,'BD EVA 1 MTY'!$D$3:$R$108,15,0)</f>
        <v>1</v>
      </c>
      <c r="I21" s="125">
        <f t="shared" ca="1" si="6"/>
        <v>1.0001942523243701</v>
      </c>
      <c r="J21" s="75" t="s">
        <v>318</v>
      </c>
      <c r="K21" s="71">
        <v>1.5</v>
      </c>
      <c r="L21" s="129">
        <f t="shared" ca="1" si="0"/>
        <v>1.5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MTY'!$D$3:$Q$108,14,0)</f>
        <v>4.9055800000000005</v>
      </c>
      <c r="F22" s="71" t="s">
        <v>59</v>
      </c>
      <c r="G22" s="131">
        <f ca="1">VLOOKUP(C22,'BD EVA 1 MTY'!$D$3:$Y$108,22,0)</f>
        <v>40.875810000000001</v>
      </c>
      <c r="H22" s="123">
        <f>VLOOKUP(C22,'BD EVA 1 MTY'!$D$3:$R$108,15,0)</f>
        <v>29.44</v>
      </c>
      <c r="I22" s="125">
        <f t="shared" ca="1" si="6"/>
        <v>1.3884446331521738</v>
      </c>
      <c r="J22" s="75" t="s">
        <v>318</v>
      </c>
      <c r="K22" s="71">
        <v>1.3</v>
      </c>
      <c r="L22" s="129">
        <f t="shared" ca="1" si="0"/>
        <v>1.3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1">
        <f>VLOOKUP(C23,'BD EVA 1 MTY'!$D$3:$Q$108,14,0)</f>
        <v>5.12</v>
      </c>
      <c r="F23" s="75">
        <v>44834</v>
      </c>
      <c r="G23" s="140">
        <f ca="1">VLOOKUP(C23,'BD EVA 1 MTY'!$D$3:$Y$108,22,0)</f>
        <v>9.59</v>
      </c>
      <c r="H23" s="123">
        <f>VLOOKUP(C23,'BD EVA 1 MTY'!$D$3:$R$108,15,0)</f>
        <v>7</v>
      </c>
      <c r="I23" s="125">
        <f t="shared" ca="1" si="6"/>
        <v>1.3699999999999999</v>
      </c>
      <c r="J23" s="75" t="s">
        <v>318</v>
      </c>
      <c r="K23" s="82">
        <v>2.645</v>
      </c>
      <c r="L23" s="129">
        <f t="shared" ca="1" si="0"/>
        <v>2.645</v>
      </c>
      <c r="M23" s="130">
        <f ca="1">SUM(L23:L26)</f>
        <v>9.5518400000000003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MTY'!$D$3:$Q$108,14,0)</f>
        <v>0</v>
      </c>
      <c r="F24" s="71" t="s">
        <v>59</v>
      </c>
      <c r="G24" s="137">
        <f ca="1">VLOOKUP(C24,'BD EVA 1 MTY'!$D$3:$Y$108,22,0)</f>
        <v>26950.839999999898</v>
      </c>
      <c r="H24" s="137">
        <f>VLOOKUP(C24,'BD EVA 1 MTY'!$D$3:$R$108,15,0)</f>
        <v>21355</v>
      </c>
      <c r="I24" s="125">
        <f t="shared" ca="1" si="6"/>
        <v>1.2620388667759259</v>
      </c>
      <c r="J24" s="75" t="s">
        <v>318</v>
      </c>
      <c r="K24" s="82">
        <v>2.3340000000000001</v>
      </c>
      <c r="L24" s="129">
        <f t="shared" ca="1" si="0"/>
        <v>2.3340000000000001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31">
        <f>VLOOKUP(C25,'BD EVA 1 MTY'!$D$3:$Q$108,14,0)</f>
        <v>0</v>
      </c>
      <c r="F25" s="71" t="s">
        <v>59</v>
      </c>
      <c r="G25" s="131">
        <f ca="1">VLOOKUP(C25,'BD EVA 1 MTY'!$D$3:$Y$108,22,0)</f>
        <v>42</v>
      </c>
      <c r="H25" s="137">
        <f>VLOOKUP(C25,'BD EVA 1 MTY'!$D$3:$R$108,15,0)</f>
        <v>50</v>
      </c>
      <c r="I25" s="125">
        <f t="shared" ca="1" si="6"/>
        <v>0.84</v>
      </c>
      <c r="J25" s="75" t="s">
        <v>318</v>
      </c>
      <c r="K25" s="82">
        <v>2.8010000000000002</v>
      </c>
      <c r="L25" s="129">
        <f t="shared" ca="1" si="0"/>
        <v>2.35284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MTY'!$D$3:$Q$108,14,0)</f>
        <v>31401</v>
      </c>
      <c r="F26" s="71" t="s">
        <v>59</v>
      </c>
      <c r="G26" s="137">
        <f ca="1">VLOOKUP(C26,'BD EVA 1 MTY'!$D$3:$Y$108,22,0)</f>
        <v>28135</v>
      </c>
      <c r="H26" s="137">
        <f>VLOOKUP(C26,'BD EVA 1 MTY'!$D$3:$R$108,15,0)</f>
        <v>31213</v>
      </c>
      <c r="I26" s="78">
        <f ca="1">(G26-E26)/(H26-E26)</f>
        <v>17.372340425531913</v>
      </c>
      <c r="J26" s="71" t="s">
        <v>319</v>
      </c>
      <c r="K26" s="82">
        <v>2.2200000000000002</v>
      </c>
      <c r="L26" s="129">
        <f t="shared" ca="1" si="0"/>
        <v>2.2200000000000002</v>
      </c>
      <c r="M26" s="127"/>
    </row>
    <row r="27" spans="1:13" ht="208">
      <c r="A27" s="121" t="s">
        <v>243</v>
      </c>
      <c r="B27" s="72" t="s">
        <v>244</v>
      </c>
      <c r="C27" s="72" t="s">
        <v>245</v>
      </c>
      <c r="D27" s="71" t="s">
        <v>57</v>
      </c>
      <c r="E27" s="123">
        <f>VLOOKUP(C27,'BD EVA 1 MTY'!$D$3:$Q$108,14,0)</f>
        <v>12</v>
      </c>
      <c r="F27" s="71" t="s">
        <v>59</v>
      </c>
      <c r="G27" s="123">
        <f ca="1">VLOOKUP(C27,'BD EVA 1 MTY'!$D$3:$Y$108,22,0)</f>
        <v>255</v>
      </c>
      <c r="H27" s="123">
        <f>VLOOKUP(C27,'BD EVA 1 MTY'!$D$3:$R$108,15,0)</f>
        <v>157</v>
      </c>
      <c r="I27" s="71">
        <f t="shared" ref="I27:I30" ca="1" si="7">G27/H27</f>
        <v>1.624203821656051</v>
      </c>
      <c r="J27" s="75" t="s">
        <v>318</v>
      </c>
      <c r="K27" s="71">
        <v>2.5</v>
      </c>
      <c r="L27" s="129">
        <f t="shared" ca="1" si="0"/>
        <v>2.5</v>
      </c>
      <c r="M27" s="130">
        <f ca="1">SUM(L27:L30)</f>
        <v>7.4945000000000004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23">
        <f>VLOOKUP(C28,'BD EVA 1 MTY'!$D$3:$Q$108,14,0)</f>
        <v>2</v>
      </c>
      <c r="F28" s="75">
        <v>44834</v>
      </c>
      <c r="G28" s="123">
        <f ca="1">VLOOKUP(C28,'BD EVA 1 MTY'!$D$3:$Y$108,22,0)</f>
        <v>4</v>
      </c>
      <c r="H28" s="123">
        <f>VLOOKUP(C28,'BD EVA 1 MTY'!$D$3:$R$108,15,0)</f>
        <v>2</v>
      </c>
      <c r="I28" s="71">
        <f t="shared" ca="1" si="7"/>
        <v>2</v>
      </c>
      <c r="J28" s="75" t="s">
        <v>318</v>
      </c>
      <c r="K28" s="71">
        <v>2.5</v>
      </c>
      <c r="L28" s="129">
        <f t="shared" ca="1" si="0"/>
        <v>2.5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23">
        <f>VLOOKUP(C29,'BD EVA 1 MTY'!$D$3:$Q$108,14,0)</f>
        <v>100</v>
      </c>
      <c r="F29" s="75">
        <v>44713</v>
      </c>
      <c r="G29" s="129">
        <f ca="1">VLOOKUP(C29,'BD EVA 1 MTY'!$D$3:$Y$108,22,0)</f>
        <v>99.78</v>
      </c>
      <c r="H29" s="123">
        <f>VLOOKUP(C29,'BD EVA 1 MTY'!$D$3:$R$108,15,0)</f>
        <v>100</v>
      </c>
      <c r="I29" s="71">
        <f t="shared" ca="1" si="7"/>
        <v>0.99780000000000002</v>
      </c>
      <c r="J29" s="75" t="s">
        <v>318</v>
      </c>
      <c r="K29" s="71">
        <v>2.5</v>
      </c>
      <c r="L29" s="129">
        <f t="shared" ca="1" si="0"/>
        <v>2.4944999999999999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23">
        <f>VLOOKUP(C30,'BD EVA 1 MTY'!$D$3:$Q$108,14,0)</f>
        <v>0</v>
      </c>
      <c r="F30" s="75">
        <v>44834</v>
      </c>
      <c r="G30" s="123">
        <f ca="1">VLOOKUP(C30,'BD EVA 1 MTY'!$D$3:$Y$108,22,0)</f>
        <v>0</v>
      </c>
      <c r="H30" s="123">
        <f>VLOOKUP(C30,'BD EVA 1 MTY'!$D$3:$R$108,15,0)</f>
        <v>4</v>
      </c>
      <c r="I30" s="71">
        <f t="shared" ca="1" si="7"/>
        <v>0</v>
      </c>
      <c r="J30" s="75" t="s">
        <v>318</v>
      </c>
      <c r="K30" s="71">
        <v>2.5</v>
      </c>
      <c r="L30" s="129">
        <f t="shared" ca="1" si="0"/>
        <v>0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04D90-D969-954F-9724-42967469F607}">
  <dimension ref="A1:AC112"/>
  <sheetViews>
    <sheetView workbookViewId="0">
      <selection sqref="A1:XFD1"/>
    </sheetView>
  </sheetViews>
  <sheetFormatPr baseColWidth="10" defaultRowHeight="16"/>
  <sheetData>
    <row r="1" spans="1:29" s="111" customFormat="1" ht="78">
      <c r="A1" s="61" t="s">
        <v>0</v>
      </c>
      <c r="B1" s="61" t="s">
        <v>1</v>
      </c>
      <c r="C1" s="61" t="s">
        <v>2</v>
      </c>
      <c r="D1" s="175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2" t="s">
        <v>29</v>
      </c>
      <c r="B2" s="2" t="s">
        <v>29</v>
      </c>
      <c r="C2" s="2" t="s">
        <v>30</v>
      </c>
      <c r="D2" s="148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1136308</v>
      </c>
      <c r="Q2" s="5">
        <v>1136308</v>
      </c>
      <c r="R2" s="4"/>
      <c r="S2" s="6"/>
      <c r="T2" s="6"/>
      <c r="U2" s="6"/>
      <c r="V2" s="6"/>
      <c r="W2" s="6"/>
      <c r="X2" s="5">
        <v>1149605</v>
      </c>
      <c r="Y2" s="5">
        <v>1149605</v>
      </c>
      <c r="Z2" s="5">
        <v>1164927</v>
      </c>
      <c r="AA2" s="5">
        <v>1164927</v>
      </c>
      <c r="AB2" s="5">
        <v>1182363</v>
      </c>
      <c r="AC2" s="5">
        <v>1182363</v>
      </c>
    </row>
    <row r="3" spans="1:29">
      <c r="A3" s="9" t="s">
        <v>34</v>
      </c>
      <c r="B3" s="9" t="s">
        <v>35</v>
      </c>
      <c r="C3" s="2" t="s">
        <v>36</v>
      </c>
      <c r="D3" s="148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1125</v>
      </c>
      <c r="Q3" s="12">
        <v>1125</v>
      </c>
      <c r="R3" s="6">
        <v>1180</v>
      </c>
      <c r="S3" s="6">
        <v>1240</v>
      </c>
      <c r="T3" s="6">
        <v>1300</v>
      </c>
      <c r="U3" s="6">
        <v>1360</v>
      </c>
      <c r="V3" s="6">
        <v>1425</v>
      </c>
      <c r="W3" s="6">
        <v>1425</v>
      </c>
      <c r="X3" s="12">
        <v>1122</v>
      </c>
      <c r="Y3" s="12">
        <f ca="1">IFERROR(__xludf.DUMMYFUNCTION("INDEX(IMPORTRANGE(""1y0FWgjbB0gVlqn-q5LMJbGIsqOrzru4yowQz67dz2yc"", ""'MTY'!BH3:BH139""),MATCH(D3,IMPORTRANGE(""1y0FWgjbB0gVlqn-q5LMJbGIsqOrzru4yowQz67dz2yc"", ""'MTY'!D3:D139""),0))"),1119)</f>
        <v>1119</v>
      </c>
      <c r="Z3" s="12">
        <f ca="1">IFERROR(__xludf.DUMMYFUNCTION("INDEX(IMPORTRANGE(""1y0FWgjbB0gVlqn-q5LMJbGIsqOrzru4yowQz67dz2yc"", ""'MTY'!BI3:BI139""),MATCH(D3,IMPORTRANGE(""1y0FWgjbB0gVlqn-q5LMJbGIsqOrzru4yowQz67dz2yc"", ""'MTY'!D3:D139""),0))"),1152)</f>
        <v>1152</v>
      </c>
      <c r="AA3" s="2"/>
      <c r="AB3" s="2"/>
      <c r="AC3" s="2"/>
    </row>
    <row r="4" spans="1:29">
      <c r="A4" s="9" t="s">
        <v>34</v>
      </c>
      <c r="B4" s="9" t="s">
        <v>40</v>
      </c>
      <c r="C4" s="2" t="s">
        <v>30</v>
      </c>
      <c r="D4" s="149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1055</v>
      </c>
      <c r="Q4" s="12">
        <v>1055</v>
      </c>
      <c r="R4" s="6"/>
      <c r="S4" s="6"/>
      <c r="T4" s="6"/>
      <c r="U4" s="6"/>
      <c r="V4" s="6"/>
      <c r="W4" s="6"/>
      <c r="X4" s="12">
        <v>1054</v>
      </c>
      <c r="Y4" s="12">
        <f ca="1">IFERROR(__xludf.DUMMYFUNCTION("INDEX(IMPORTRANGE(""1y0FWgjbB0gVlqn-q5LMJbGIsqOrzru4yowQz67dz2yc"", ""'MTY'!BH3:BH139""),MATCH(D4,IMPORTRANGE(""1y0FWgjbB0gVlqn-q5LMJbGIsqOrzru4yowQz67dz2yc"", ""'MTY'!D3:D139""),0))"),1070)</f>
        <v>1070</v>
      </c>
      <c r="Z4" s="12">
        <f ca="1">IFERROR(__xludf.DUMMYFUNCTION("INDEX(IMPORTRANGE(""1y0FWgjbB0gVlqn-q5LMJbGIsqOrzru4yowQz67dz2yc"", ""'MTY'!BI3:BI139""),MATCH(D4,IMPORTRANGE(""1y0FWgjbB0gVlqn-q5LMJbGIsqOrzru4yowQz67dz2yc"", ""'MTY'!D3:D139""),0))"),1097)</f>
        <v>1097</v>
      </c>
      <c r="AA4" s="2"/>
      <c r="AB4" s="2"/>
      <c r="AC4" s="2"/>
    </row>
    <row r="5" spans="1:29">
      <c r="A5" s="9" t="s">
        <v>34</v>
      </c>
      <c r="B5" s="9" t="s">
        <v>40</v>
      </c>
      <c r="C5" s="2" t="s">
        <v>36</v>
      </c>
      <c r="D5" s="148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0.93777777777777782</v>
      </c>
      <c r="Q5" s="15">
        <f t="shared" si="0"/>
        <v>0.93777777777777782</v>
      </c>
      <c r="R5" s="31" t="s">
        <v>327</v>
      </c>
      <c r="S5" s="31" t="s">
        <v>327</v>
      </c>
      <c r="T5" s="31" t="s">
        <v>327</v>
      </c>
      <c r="U5" s="31" t="s">
        <v>327</v>
      </c>
      <c r="V5" s="31" t="s">
        <v>327</v>
      </c>
      <c r="W5" s="31" t="s">
        <v>327</v>
      </c>
      <c r="X5" s="15">
        <f>X4/X3</f>
        <v>0.93939393939393945</v>
      </c>
      <c r="Y5" s="15">
        <f ca="1">IFERROR(__xludf.DUMMYFUNCTION("INDEX(IMPORTRANGE(""1y0FWgjbB0gVlqn-q5LMJbGIsqOrzru4yowQz67dz2yc"", ""'MTY'!BH3:BH139""),MATCH(D5,IMPORTRANGE(""1y0FWgjbB0gVlqn-q5LMJbGIsqOrzru4yowQz67dz2yc"", ""'MTY'!D3:D139""),0))"),0.956210902591599)</f>
        <v>0.95621090259159902</v>
      </c>
      <c r="Z5" s="26">
        <f ca="1">IFERROR(__xludf.DUMMYFUNCTION("INDEX(IMPORTRANGE(""1y0FWgjbB0gVlqn-q5LMJbGIsqOrzru4yowQz67dz2yc"", ""'MTY'!BI3:BI139""),MATCH(D5,IMPORTRANGE(""1y0FWgjbB0gVlqn-q5LMJbGIsqOrzru4yowQz67dz2yc"", ""'MTY'!D3:D139""),0))"),0.952256944444444)</f>
        <v>0.95225694444444398</v>
      </c>
      <c r="AA5" s="2"/>
      <c r="AB5" s="2"/>
      <c r="AC5" s="2"/>
    </row>
    <row r="6" spans="1:29">
      <c r="A6" s="9" t="s">
        <v>34</v>
      </c>
      <c r="B6" s="9" t="s">
        <v>45</v>
      </c>
      <c r="C6" s="2" t="s">
        <v>30</v>
      </c>
      <c r="D6" s="471" t="s">
        <v>328</v>
      </c>
      <c r="E6" s="7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2"/>
      <c r="Y6" s="12">
        <f ca="1">IFERROR(__xludf.DUMMYFUNCTION("INDEX(IMPORTRANGE(""1y0FWgjbB0gVlqn-q5LMJbGIsqOrzru4yowQz67dz2yc"", ""'MTY'!BH3:BH139""),MATCH(D6,IMPORTRANGE(""1y0FWgjbB0gVlqn-q5LMJbGIsqOrzru4yowQz67dz2yc"", ""'MTY'!D3:D139""),0))"),16)</f>
        <v>16</v>
      </c>
      <c r="Z6" s="12">
        <f ca="1">IFERROR(__xludf.DUMMYFUNCTION("INDEX(IMPORTRANGE(""1y0FWgjbB0gVlqn-q5LMJbGIsqOrzru4yowQz67dz2yc"", ""'MTY'!BI3:BI139""),MATCH(D6,IMPORTRANGE(""1y0FWgjbB0gVlqn-q5LMJbGIsqOrzru4yowQz67dz2yc"", ""'MTY'!D3:D139""),0))"),21)</f>
        <v>21</v>
      </c>
      <c r="AA6" s="2"/>
      <c r="AB6" s="2"/>
      <c r="AC6" s="2"/>
    </row>
    <row r="7" spans="1:29">
      <c r="A7" s="9" t="s">
        <v>34</v>
      </c>
      <c r="B7" s="9" t="s">
        <v>45</v>
      </c>
      <c r="C7" s="2" t="s">
        <v>30</v>
      </c>
      <c r="D7" s="148" t="s">
        <v>329</v>
      </c>
      <c r="E7" s="7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2"/>
      <c r="Q7" s="2"/>
      <c r="R7" s="2">
        <v>16</v>
      </c>
      <c r="S7" s="2">
        <v>16</v>
      </c>
      <c r="T7" s="2">
        <v>22</v>
      </c>
      <c r="U7" s="2">
        <v>22</v>
      </c>
      <c r="V7" s="2">
        <v>35</v>
      </c>
      <c r="W7" s="2">
        <v>35</v>
      </c>
      <c r="X7" s="2"/>
      <c r="Y7" s="12">
        <f ca="1">IFERROR(__xludf.DUMMYFUNCTION("INDEX(IMPORTRANGE(""1y0FWgjbB0gVlqn-q5LMJbGIsqOrzru4yowQz67dz2yc"", ""'MTY'!BH3:BH139""),MATCH(D7,IMPORTRANGE(""1y0FWgjbB0gVlqn-q5LMJbGIsqOrzru4yowQz67dz2yc"", ""'MTY'!D3:D139""),0))"),1)</f>
        <v>1</v>
      </c>
      <c r="Z7" s="12">
        <f ca="1">IFERROR(__xludf.DUMMYFUNCTION("INDEX(IMPORTRANGE(""1y0FWgjbB0gVlqn-q5LMJbGIsqOrzru4yowQz67dz2yc"", ""'MTY'!BI3:BI139""),MATCH(D7,IMPORTRANGE(""1y0FWgjbB0gVlqn-q5LMJbGIsqOrzru4yowQz67dz2yc"", ""'MTY'!D3:D139""),0))"),0)</f>
        <v>0</v>
      </c>
      <c r="AA7" s="2"/>
      <c r="AB7" s="2"/>
      <c r="AC7" s="2"/>
    </row>
    <row r="8" spans="1:29">
      <c r="A8" s="9" t="s">
        <v>34</v>
      </c>
      <c r="B8" s="9" t="s">
        <v>45</v>
      </c>
      <c r="C8" s="2" t="s">
        <v>36</v>
      </c>
      <c r="D8" s="148" t="s">
        <v>50</v>
      </c>
      <c r="E8" s="7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15">
        <f t="shared" ref="R8:W8" si="2">R7/R3</f>
        <v>1.3559322033898305E-2</v>
      </c>
      <c r="S8" s="15">
        <f t="shared" si="2"/>
        <v>1.2903225806451613E-2</v>
      </c>
      <c r="T8" s="15">
        <f t="shared" si="2"/>
        <v>1.6923076923076923E-2</v>
      </c>
      <c r="U8" s="15">
        <f t="shared" si="2"/>
        <v>1.6176470588235296E-2</v>
      </c>
      <c r="V8" s="15">
        <f t="shared" si="2"/>
        <v>2.456140350877193E-2</v>
      </c>
      <c r="W8" s="15">
        <f t="shared" si="2"/>
        <v>2.456140350877193E-2</v>
      </c>
      <c r="X8" s="15">
        <f>X6/X3</f>
        <v>0</v>
      </c>
      <c r="Y8" s="15">
        <f ca="1">IFERROR(__xludf.DUMMYFUNCTION("INDEX(IMPORTRANGE(""1y0FWgjbB0gVlqn-q5LMJbGIsqOrzru4yowQz67dz2yc"", ""'MTY'!BH3:BH139""),MATCH(D8,IMPORTRANGE(""1y0FWgjbB0gVlqn-q5LMJbGIsqOrzru4yowQz67dz2yc"", ""'MTY'!D3:D139""),0))"),0.0151921358355674)</f>
        <v>1.5192135835567401E-2</v>
      </c>
      <c r="Z8" s="15">
        <f ca="1">IFERROR(__xludf.DUMMYFUNCTION("INDEX(IMPORTRANGE(""1y0FWgjbB0gVlqn-q5LMJbGIsqOrzru4yowQz67dz2yc"", ""'MTY'!BI3:BI139""),MATCH(D8,IMPORTRANGE(""1y0FWgjbB0gVlqn-q5LMJbGIsqOrzru4yowQz67dz2yc"", ""'MTY'!D3:D139""),0))"),0.0182291666666666)</f>
        <v>1.8229166666666598E-2</v>
      </c>
      <c r="AA8" s="2"/>
      <c r="AB8" s="2"/>
      <c r="AC8" s="2"/>
    </row>
    <row r="9" spans="1:29">
      <c r="A9" s="9" t="s">
        <v>52</v>
      </c>
      <c r="B9" s="9" t="s">
        <v>53</v>
      </c>
      <c r="C9" s="2" t="s">
        <v>30</v>
      </c>
      <c r="D9" s="149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4"/>
      <c r="S9" s="4"/>
      <c r="T9" s="4"/>
      <c r="U9" s="4"/>
      <c r="V9" s="4"/>
      <c r="W9" s="4"/>
      <c r="X9" s="2">
        <v>0</v>
      </c>
      <c r="Y9" s="12">
        <f ca="1">IFERROR(__xludf.DUMMYFUNCTION("INDEX(IMPORTRANGE(""1y0FWgjbB0gVlqn-q5LMJbGIsqOrzru4yowQz67dz2yc"", ""'MTY'!BH3:BH139""),MATCH(D9,IMPORTRANGE(""1y0FWgjbB0gVlqn-q5LMJbGIsqOrzru4yowQz67dz2yc"", ""'MTY'!D3:D139""),0))"),0)</f>
        <v>0</v>
      </c>
      <c r="Z9" s="12">
        <f ca="1">IFERROR(__xludf.DUMMYFUNCTION("INDEX(IMPORTRANGE(""1y0FWgjbB0gVlqn-q5LMJbGIsqOrzru4yowQz67dz2yc"", ""'MTY'!BI3:BI139""),MATCH(D9,IMPORTRANGE(""1y0FWgjbB0gVlqn-q5LMJbGIsqOrzru4yowQz67dz2yc"", ""'MTY'!D3:D139""),0))"),151)</f>
        <v>151</v>
      </c>
      <c r="AA9" s="2"/>
      <c r="AB9" s="2"/>
      <c r="AC9" s="2"/>
    </row>
    <row r="10" spans="1:29">
      <c r="A10" s="9" t="s">
        <v>52</v>
      </c>
      <c r="B10" s="9" t="s">
        <v>53</v>
      </c>
      <c r="C10" s="2" t="s">
        <v>30</v>
      </c>
      <c r="D10" s="149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9450</v>
      </c>
      <c r="Q10" s="12">
        <v>17558</v>
      </c>
      <c r="R10" s="4"/>
      <c r="S10" s="4"/>
      <c r="T10" s="4"/>
      <c r="U10" s="4"/>
      <c r="V10" s="4"/>
      <c r="W10" s="4"/>
      <c r="X10" s="12">
        <v>9187</v>
      </c>
      <c r="Y10" s="12">
        <f ca="1">IFERROR(__xludf.DUMMYFUNCTION("INDEX(IMPORTRANGE(""1y0FWgjbB0gVlqn-q5LMJbGIsqOrzru4yowQz67dz2yc"", ""'MTY'!BH3:BH139""),MATCH(D10,IMPORTRANGE(""1y0FWgjbB0gVlqn-q5LMJbGIsqOrzru4yowQz67dz2yc"", ""'MTY'!D3:D139""),0))"),16911)</f>
        <v>16911</v>
      </c>
      <c r="Z10" s="12">
        <f ca="1">IFERROR(__xludf.DUMMYFUNCTION("INDEX(IMPORTRANGE(""1y0FWgjbB0gVlqn-q5LMJbGIsqOrzru4yowQz67dz2yc"", ""'MTY'!BI3:BI139""),MATCH(D10,IMPORTRANGE(""1y0FWgjbB0gVlqn-q5LMJbGIsqOrzru4yowQz67dz2yc"", ""'MTY'!D3:D139""),0))"),3271)</f>
        <v>3271</v>
      </c>
      <c r="AA10" s="2"/>
      <c r="AB10" s="2"/>
      <c r="AC10" s="2"/>
    </row>
    <row r="11" spans="1:29">
      <c r="A11" s="9" t="s">
        <v>52</v>
      </c>
      <c r="B11" s="9" t="s">
        <v>53</v>
      </c>
      <c r="C11" s="2" t="s">
        <v>36</v>
      </c>
      <c r="D11" s="149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3">P9/P10</f>
        <v>0</v>
      </c>
      <c r="Q11" s="15">
        <f t="shared" si="3"/>
        <v>0</v>
      </c>
      <c r="R11" s="26">
        <v>5.0000000000000001E-3</v>
      </c>
      <c r="S11" s="26">
        <v>0.01</v>
      </c>
      <c r="T11" s="26">
        <v>0.02</v>
      </c>
      <c r="U11" s="26">
        <v>3.5000000000000003E-2</v>
      </c>
      <c r="V11" s="26">
        <v>0.05</v>
      </c>
      <c r="W11" s="26">
        <v>0.05</v>
      </c>
      <c r="X11" s="15">
        <f>X9/X10</f>
        <v>0</v>
      </c>
      <c r="Y11" s="15">
        <f ca="1">IFERROR(__xludf.DUMMYFUNCTION("INDEX(IMPORTRANGE(""1y0FWgjbB0gVlqn-q5LMJbGIsqOrzru4yowQz67dz2yc"", ""'MTY'!BH3:BH139""),MATCH(D11,IMPORTRANGE(""1y0FWgjbB0gVlqn-q5LMJbGIsqOrzru4yowQz67dz2yc"", ""'MTY'!D3:D139""),0))"),0)</f>
        <v>0</v>
      </c>
      <c r="Z11" s="15">
        <f ca="1">IFERROR(__xludf.DUMMYFUNCTION("INDEX(IMPORTRANGE(""1y0FWgjbB0gVlqn-q5LMJbGIsqOrzru4yowQz67dz2yc"", ""'MTY'!BI3:BI139""),MATCH(D11,IMPORTRANGE(""1y0FWgjbB0gVlqn-q5LMJbGIsqOrzru4yowQz67dz2yc"", ""'MTY'!D3:D139""),0))"),0.0461632528278813)</f>
        <v>4.61632528278813E-2</v>
      </c>
      <c r="AA11" s="2"/>
      <c r="AB11" s="2"/>
      <c r="AC11" s="2"/>
    </row>
    <row r="12" spans="1:29">
      <c r="A12" s="9" t="s">
        <v>52</v>
      </c>
      <c r="B12" s="9" t="s">
        <v>68</v>
      </c>
      <c r="C12" s="2" t="s">
        <v>30</v>
      </c>
      <c r="D12" s="149" t="s">
        <v>69</v>
      </c>
      <c r="E12" s="9" t="s">
        <v>444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4"/>
      <c r="S12" s="4"/>
      <c r="T12" s="4"/>
      <c r="U12" s="4"/>
      <c r="V12" s="4"/>
      <c r="W12" s="4"/>
      <c r="X12" s="2">
        <v>21</v>
      </c>
      <c r="Y12" s="12">
        <f ca="1">IFERROR(__xludf.DUMMYFUNCTION("INDEX(IMPORTRANGE(""1y0FWgjbB0gVlqn-q5LMJbGIsqOrzru4yowQz67dz2yc"", ""'MTY'!BH3:BH139""),MATCH(D12,IMPORTRANGE(""1y0FWgjbB0gVlqn-q5LMJbGIsqOrzru4yowQz67dz2yc"", ""'MTY'!D3:D139""),0))"),53)</f>
        <v>53</v>
      </c>
      <c r="Z12" s="12">
        <f ca="1">IFERROR(__xludf.DUMMYFUNCTION("INDEX(IMPORTRANGE(""1y0FWgjbB0gVlqn-q5LMJbGIsqOrzru4yowQz67dz2yc"", ""'MTY'!BI3:BI139""),MATCH(D12,IMPORTRANGE(""1y0FWgjbB0gVlqn-q5LMJbGIsqOrzru4yowQz67dz2yc"", ""'MTY'!D3:D139""),0))"),45)</f>
        <v>45</v>
      </c>
      <c r="AA12" s="2"/>
      <c r="AB12" s="2"/>
      <c r="AC12" s="2"/>
    </row>
    <row r="13" spans="1:29">
      <c r="A13" s="9" t="s">
        <v>52</v>
      </c>
      <c r="B13" s="9" t="s">
        <v>68</v>
      </c>
      <c r="C13" s="2" t="s">
        <v>36</v>
      </c>
      <c r="D13" s="149" t="s">
        <v>72</v>
      </c>
      <c r="E13" s="9" t="s">
        <v>444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v>8</v>
      </c>
      <c r="Q13" s="23"/>
      <c r="R13" s="329"/>
      <c r="S13" s="2">
        <v>7.9</v>
      </c>
      <c r="T13" s="329"/>
      <c r="U13" s="2">
        <v>7.7</v>
      </c>
      <c r="V13" s="329"/>
      <c r="W13" s="329"/>
      <c r="X13" s="23">
        <f>(X12/306371)*100000</f>
        <v>6.8544346560216205</v>
      </c>
      <c r="Y13" s="23">
        <f ca="1">IFERROR(__xludf.DUMMYFUNCTION("INDEX(IMPORTRANGE(""1y0FWgjbB0gVlqn-q5LMJbGIsqOrzru4yowQz67dz2yc"", ""'MTY'!BH3:BH139""),MATCH(D13,IMPORTRANGE(""1y0FWgjbB0gVlqn-q5LMJbGIsqOrzru4yowQz67dz2yc"", ""'MTY'!D3:D139""),0))"),17.2992874651974)</f>
        <v>17.299287465197398</v>
      </c>
      <c r="Z13" s="23">
        <f ca="1">IFERROR(__xludf.DUMMYFUNCTION("INDEX(IMPORTRANGE(""1y0FWgjbB0gVlqn-q5LMJbGIsqOrzru4yowQz67dz2yc"", ""'MTY'!BI3:BI139""),MATCH(D13,IMPORTRANGE(""1y0FWgjbB0gVlqn-q5LMJbGIsqOrzru4yowQz67dz2yc"", ""'MTY'!D3:D139""),0))"),9.54073043832235)</f>
        <v>9.5407304383223508</v>
      </c>
      <c r="AA13" s="2"/>
      <c r="AB13" s="2"/>
      <c r="AC13" s="2"/>
    </row>
    <row r="14" spans="1:29">
      <c r="A14" s="9" t="s">
        <v>52</v>
      </c>
      <c r="B14" s="9" t="s">
        <v>68</v>
      </c>
      <c r="C14" s="2" t="s">
        <v>30</v>
      </c>
      <c r="D14" s="149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/>
      <c r="Q14" s="2"/>
      <c r="R14" s="4"/>
      <c r="S14" s="4"/>
      <c r="T14" s="4"/>
      <c r="U14" s="4"/>
      <c r="V14" s="4"/>
      <c r="W14" s="4"/>
      <c r="X14" s="2">
        <v>104</v>
      </c>
      <c r="Y14" s="12">
        <f ca="1">IFERROR(__xludf.DUMMYFUNCTION("INDEX(IMPORTRANGE(""1y0FWgjbB0gVlqn-q5LMJbGIsqOrzru4yowQz67dz2yc"", ""'MTY'!BH3:BH139""),MATCH(D14,IMPORTRANGE(""1y0FWgjbB0gVlqn-q5LMJbGIsqOrzru4yowQz67dz2yc"", ""'MTY'!D3:D139""),0))"),199)</f>
        <v>199</v>
      </c>
      <c r="Z14" s="12">
        <f ca="1">IFERROR(__xludf.DUMMYFUNCTION("INDEX(IMPORTRANGE(""1y0FWgjbB0gVlqn-q5LMJbGIsqOrzru4yowQz67dz2yc"", ""'MTY'!BI3:BI139""),MATCH(D14,IMPORTRANGE(""1y0FWgjbB0gVlqn-q5LMJbGIsqOrzru4yowQz67dz2yc"", ""'MTY'!D3:D139""),0))"),90)</f>
        <v>90</v>
      </c>
      <c r="AA14" s="2"/>
      <c r="AB14" s="2"/>
      <c r="AC14" s="2"/>
    </row>
    <row r="15" spans="1:29">
      <c r="A15" s="9" t="s">
        <v>52</v>
      </c>
      <c r="B15" s="9" t="s">
        <v>68</v>
      </c>
      <c r="C15" s="2" t="s">
        <v>30</v>
      </c>
      <c r="D15" s="149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/>
      <c r="Q15" s="2"/>
      <c r="R15" s="4"/>
      <c r="S15" s="4"/>
      <c r="T15" s="4"/>
      <c r="U15" s="4"/>
      <c r="V15" s="4"/>
      <c r="W15" s="4"/>
      <c r="X15" s="2">
        <v>528</v>
      </c>
      <c r="Y15" s="12">
        <f ca="1">IFERROR(__xludf.DUMMYFUNCTION("INDEX(IMPORTRANGE(""1y0FWgjbB0gVlqn-q5LMJbGIsqOrzru4yowQz67dz2yc"", ""'MTY'!BH3:BH139""),MATCH(D15,IMPORTRANGE(""1y0FWgjbB0gVlqn-q5LMJbGIsqOrzru4yowQz67dz2yc"", ""'MTY'!D3:D139""),0))"),931)</f>
        <v>931</v>
      </c>
      <c r="Z15" s="12">
        <f ca="1">IFERROR(__xludf.DUMMYFUNCTION("INDEX(IMPORTRANGE(""1y0FWgjbB0gVlqn-q5LMJbGIsqOrzru4yowQz67dz2yc"", ""'MTY'!BI3:BI139""),MATCH(D15,IMPORTRANGE(""1y0FWgjbB0gVlqn-q5LMJbGIsqOrzru4yowQz67dz2yc"", ""'MTY'!D3:D139""),0))"),408)</f>
        <v>408</v>
      </c>
      <c r="AA15" s="2"/>
      <c r="AB15" s="2"/>
      <c r="AC15" s="2"/>
    </row>
    <row r="16" spans="1:29">
      <c r="A16" s="9" t="s">
        <v>52</v>
      </c>
      <c r="B16" s="9" t="s">
        <v>68</v>
      </c>
      <c r="C16" s="2" t="s">
        <v>30</v>
      </c>
      <c r="D16" s="149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/>
      <c r="Q16" s="2"/>
      <c r="R16" s="4"/>
      <c r="S16" s="4"/>
      <c r="T16" s="4"/>
      <c r="U16" s="4"/>
      <c r="V16" s="4"/>
      <c r="W16" s="4"/>
      <c r="X16" s="2">
        <v>144</v>
      </c>
      <c r="Y16" s="12">
        <f ca="1">IFERROR(__xludf.DUMMYFUNCTION("INDEX(IMPORTRANGE(""1y0FWgjbB0gVlqn-q5LMJbGIsqOrzru4yowQz67dz2yc"", ""'MTY'!BH3:BH139""),MATCH(D16,IMPORTRANGE(""1y0FWgjbB0gVlqn-q5LMJbGIsqOrzru4yowQz67dz2yc"", ""'MTY'!D3:D139""),0))"),285)</f>
        <v>285</v>
      </c>
      <c r="Z16" s="12">
        <f ca="1">IFERROR(__xludf.DUMMYFUNCTION("INDEX(IMPORTRANGE(""1y0FWgjbB0gVlqn-q5LMJbGIsqOrzru4yowQz67dz2yc"", ""'MTY'!BI3:BI139""),MATCH(D16,IMPORTRANGE(""1y0FWgjbB0gVlqn-q5LMJbGIsqOrzru4yowQz67dz2yc"", ""'MTY'!D3:D139""),0))"),183)</f>
        <v>183</v>
      </c>
      <c r="AA16" s="2"/>
      <c r="AB16" s="2"/>
      <c r="AC16" s="2"/>
    </row>
    <row r="17" spans="1:29">
      <c r="A17" s="9" t="s">
        <v>52</v>
      </c>
      <c r="B17" s="9" t="s">
        <v>68</v>
      </c>
      <c r="C17" s="2" t="s">
        <v>30</v>
      </c>
      <c r="D17" s="149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/>
      <c r="Q17" s="2"/>
      <c r="R17" s="4"/>
      <c r="S17" s="4"/>
      <c r="T17" s="4"/>
      <c r="U17" s="4"/>
      <c r="V17" s="4"/>
      <c r="W17" s="4"/>
      <c r="X17" s="2">
        <v>78</v>
      </c>
      <c r="Y17" s="12">
        <f ca="1">IFERROR(__xludf.DUMMYFUNCTION("INDEX(IMPORTRANGE(""1y0FWgjbB0gVlqn-q5LMJbGIsqOrzru4yowQz67dz2yc"", ""'MTY'!BH3:BH139""),MATCH(D17,IMPORTRANGE(""1y0FWgjbB0gVlqn-q5LMJbGIsqOrzru4yowQz67dz2yc"", ""'MTY'!D3:D139""),0))"),151)</f>
        <v>151</v>
      </c>
      <c r="Z17" s="12">
        <f ca="1">IFERROR(__xludf.DUMMYFUNCTION("INDEX(IMPORTRANGE(""1y0FWgjbB0gVlqn-q5LMJbGIsqOrzru4yowQz67dz2yc"", ""'MTY'!BI3:BI139""),MATCH(D17,IMPORTRANGE(""1y0FWgjbB0gVlqn-q5LMJbGIsqOrzru4yowQz67dz2yc"", ""'MTY'!D3:D139""),0))"),51)</f>
        <v>51</v>
      </c>
      <c r="AA17" s="2"/>
      <c r="AB17" s="2"/>
      <c r="AC17" s="2"/>
    </row>
    <row r="18" spans="1:29">
      <c r="A18" s="9" t="s">
        <v>52</v>
      </c>
      <c r="B18" s="9" t="s">
        <v>68</v>
      </c>
      <c r="C18" s="2" t="s">
        <v>36</v>
      </c>
      <c r="D18" s="149" t="s">
        <v>84</v>
      </c>
      <c r="E18" s="9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v>222</v>
      </c>
      <c r="Q18" s="23"/>
      <c r="R18" s="329"/>
      <c r="S18" s="2">
        <v>211.8</v>
      </c>
      <c r="T18" s="329"/>
      <c r="U18" s="2">
        <v>206.7</v>
      </c>
      <c r="V18" s="329"/>
      <c r="W18" s="329"/>
      <c r="X18" s="23">
        <f>(SUM(X14:X17)/306371)*100000</f>
        <v>278.74700934487925</v>
      </c>
      <c r="Y18" s="23">
        <f ca="1">IFERROR(__xludf.DUMMYFUNCTION("INDEX(IMPORTRANGE(""1y0FWgjbB0gVlqn-q5LMJbGIsqOrzru4yowQz67dz2yc"", ""'MTY'!BH3:BH139""),MATCH(D18,IMPORTRANGE(""1y0FWgjbB0gVlqn-q5LMJbGIsqOrzru4yowQz67dz2yc"", ""'MTY'!D3:D139""),0))"),511.14498434904)</f>
        <v>511.14498434903999</v>
      </c>
      <c r="Z18" s="23">
        <f ca="1">IFERROR(__xludf.DUMMYFUNCTION("INDEX(IMPORTRANGE(""1y0FWgjbB0gVlqn-q5LMJbGIsqOrzru4yowQz67dz2yc"", ""'MTY'!BI3:BI139""),MATCH(D18,IMPORTRANGE(""1y0FWgjbB0gVlqn-q5LMJbGIsqOrzru4yowQz67dz2yc"", ""'MTY'!D3:D139""),0))"),155.19588179671)</f>
        <v>155.19588179671001</v>
      </c>
      <c r="AA18" s="2"/>
      <c r="AB18" s="2"/>
      <c r="AC18" s="2"/>
    </row>
    <row r="19" spans="1:29">
      <c r="A19" s="9" t="s">
        <v>52</v>
      </c>
      <c r="B19" s="9" t="s">
        <v>86</v>
      </c>
      <c r="C19" s="2" t="s">
        <v>30</v>
      </c>
      <c r="D19" s="149" t="s">
        <v>87</v>
      </c>
      <c r="E19" s="9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/>
      <c r="Q19" s="2"/>
      <c r="R19" s="4"/>
      <c r="S19" s="4"/>
      <c r="T19" s="4"/>
      <c r="U19" s="4"/>
      <c r="V19" s="4"/>
      <c r="W19" s="4"/>
      <c r="X19" s="2">
        <v>445</v>
      </c>
      <c r="Y19" s="12">
        <f ca="1">IFERROR(__xludf.DUMMYFUNCTION("INDEX(IMPORTRANGE(""1y0FWgjbB0gVlqn-q5LMJbGIsqOrzru4yowQz67dz2yc"", ""'MTY'!BH3:BH139""),MATCH(D19,IMPORTRANGE(""1y0FWgjbB0gVlqn-q5LMJbGIsqOrzru4yowQz67dz2yc"", ""'MTY'!D3:D139""),0))"),981)</f>
        <v>981</v>
      </c>
      <c r="Z19" s="12">
        <f ca="1">IFERROR(__xludf.DUMMYFUNCTION("INDEX(IMPORTRANGE(""1y0FWgjbB0gVlqn-q5LMJbGIsqOrzru4yowQz67dz2yc"", ""'MTY'!BI3:BI139""),MATCH(D19,IMPORTRANGE(""1y0FWgjbB0gVlqn-q5LMJbGIsqOrzru4yowQz67dz2yc"", ""'MTY'!D3:D139""),0))"),379)</f>
        <v>379</v>
      </c>
      <c r="AA19" s="2"/>
      <c r="AB19" s="2"/>
      <c r="AC19" s="2"/>
    </row>
    <row r="20" spans="1:29">
      <c r="A20" s="9" t="s">
        <v>52</v>
      </c>
      <c r="B20" s="9" t="s">
        <v>86</v>
      </c>
      <c r="C20" s="2" t="s">
        <v>36</v>
      </c>
      <c r="D20" s="149" t="s">
        <v>89</v>
      </c>
      <c r="E20" s="9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v>95</v>
      </c>
      <c r="Q20" s="23"/>
      <c r="R20" s="329"/>
      <c r="S20" s="2">
        <v>90.4</v>
      </c>
      <c r="T20" s="329"/>
      <c r="U20" s="2">
        <v>88.2</v>
      </c>
      <c r="V20" s="329"/>
      <c r="W20" s="329"/>
      <c r="X20" s="23">
        <f>(X19/306371)*100000</f>
        <v>145.24873437760101</v>
      </c>
      <c r="Y20" s="23">
        <f ca="1">IFERROR(__xludf.DUMMYFUNCTION("INDEX(IMPORTRANGE(""1y0FWgjbB0gVlqn-q5LMJbGIsqOrzru4yowQz67dz2yc"", ""'MTY'!BH3:BH139""),MATCH(D20,IMPORTRANGE(""1y0FWgjbB0gVlqn-q5LMJbGIsqOrzru4yowQz67dz2yc"", ""'MTY'!D3:D139""),0))"),320.200018931295)</f>
        <v>320.20001893129501</v>
      </c>
      <c r="Z20" s="23">
        <f ca="1">IFERROR(__xludf.DUMMYFUNCTION("INDEX(IMPORTRANGE(""1y0FWgjbB0gVlqn-q5LMJbGIsqOrzru4yowQz67dz2yc"", ""'MTY'!BI3:BI139""),MATCH(D20,IMPORTRANGE(""1y0FWgjbB0gVlqn-q5LMJbGIsqOrzru4yowQz67dz2yc"", ""'MTY'!D3:D139""),0))"),80.3541519138705)</f>
        <v>80.354151913870496</v>
      </c>
      <c r="AA20" s="2"/>
      <c r="AB20" s="2"/>
      <c r="AC20" s="2"/>
    </row>
    <row r="21" spans="1:29">
      <c r="A21" s="9" t="s">
        <v>52</v>
      </c>
      <c r="B21" s="9" t="s">
        <v>86</v>
      </c>
      <c r="C21" s="2" t="s">
        <v>30</v>
      </c>
      <c r="D21" s="149" t="s">
        <v>91</v>
      </c>
      <c r="E21" s="9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/>
      <c r="Q21" s="2"/>
      <c r="R21" s="4"/>
      <c r="S21" s="4"/>
      <c r="T21" s="4"/>
      <c r="U21" s="4"/>
      <c r="V21" s="4"/>
      <c r="W21" s="4"/>
      <c r="X21" s="2">
        <v>112</v>
      </c>
      <c r="Y21" s="12">
        <f ca="1">IFERROR(__xludf.DUMMYFUNCTION("INDEX(IMPORTRANGE(""1y0FWgjbB0gVlqn-q5LMJbGIsqOrzru4yowQz67dz2yc"", ""'MTY'!BH3:BH139""),MATCH(D21,IMPORTRANGE(""1y0FWgjbB0gVlqn-q5LMJbGIsqOrzru4yowQz67dz2yc"", ""'MTY'!D3:D139""),0))"),242)</f>
        <v>242</v>
      </c>
      <c r="Z21" s="12">
        <f ca="1">IFERROR(__xludf.DUMMYFUNCTION("INDEX(IMPORTRANGE(""1y0FWgjbB0gVlqn-q5LMJbGIsqOrzru4yowQz67dz2yc"", ""'MTY'!BI3:BI139""),MATCH(D21,IMPORTRANGE(""1y0FWgjbB0gVlqn-q5LMJbGIsqOrzru4yowQz67dz2yc"", ""'MTY'!D3:D139""),0))"),90)</f>
        <v>90</v>
      </c>
      <c r="AA21" s="2"/>
      <c r="AB21" s="2"/>
      <c r="AC21" s="2"/>
    </row>
    <row r="22" spans="1:29">
      <c r="A22" s="9" t="s">
        <v>52</v>
      </c>
      <c r="B22" s="9" t="s">
        <v>86</v>
      </c>
      <c r="C22" s="2" t="s">
        <v>36</v>
      </c>
      <c r="D22" s="149" t="s">
        <v>93</v>
      </c>
      <c r="E22" s="9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v>27</v>
      </c>
      <c r="Q22" s="23"/>
      <c r="R22" s="329"/>
      <c r="S22" s="2">
        <v>25.5</v>
      </c>
      <c r="T22" s="329"/>
      <c r="U22" s="2">
        <v>24.9</v>
      </c>
      <c r="V22" s="329"/>
      <c r="W22" s="329"/>
      <c r="X22" s="23">
        <f>(X21/306371)*100000</f>
        <v>36.556984832115312</v>
      </c>
      <c r="Y22" s="23">
        <f ca="1">IFERROR(__xludf.DUMMYFUNCTION("INDEX(IMPORTRANGE(""1y0FWgjbB0gVlqn-q5LMJbGIsqOrzru4yowQz67dz2yc"", ""'MTY'!BH3:BH139""),MATCH(D22,IMPORTRANGE(""1y0FWgjbB0gVlqn-q5LMJbGIsqOrzru4yowQz67dz2yc"", ""'MTY'!D3:D139""),0))"),78.989199369392)</f>
        <v>78.989199369391997</v>
      </c>
      <c r="Z22" s="23">
        <f ca="1">IFERROR(__xludf.DUMMYFUNCTION("INDEX(IMPORTRANGE(""1y0FWgjbB0gVlqn-q5LMJbGIsqOrzru4yowQz67dz2yc"", ""'MTY'!BI3:BI139""),MATCH(D22,IMPORTRANGE(""1y0FWgjbB0gVlqn-q5LMJbGIsqOrzru4yowQz67dz2yc"", ""'MTY'!D3:D139""),0))"),19.0814608766447)</f>
        <v>19.081460876644702</v>
      </c>
      <c r="AA22" s="2"/>
      <c r="AB22" s="2"/>
      <c r="AC22" s="2"/>
    </row>
    <row r="23" spans="1:29">
      <c r="A23" s="9" t="s">
        <v>52</v>
      </c>
      <c r="B23" s="9" t="s">
        <v>86</v>
      </c>
      <c r="C23" s="2" t="s">
        <v>30</v>
      </c>
      <c r="D23" s="149" t="s">
        <v>95</v>
      </c>
      <c r="E23" s="9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/>
      <c r="Q23" s="2"/>
      <c r="R23" s="4"/>
      <c r="S23" s="4"/>
      <c r="T23" s="4"/>
      <c r="U23" s="4"/>
      <c r="V23" s="4"/>
      <c r="W23" s="4"/>
      <c r="X23" s="2">
        <v>9</v>
      </c>
      <c r="Y23" s="12">
        <f ca="1">IFERROR(__xludf.DUMMYFUNCTION("INDEX(IMPORTRANGE(""1y0FWgjbB0gVlqn-q5LMJbGIsqOrzru4yowQz67dz2yc"", ""'MTY'!BH3:BH139""),MATCH(D23,IMPORTRANGE(""1y0FWgjbB0gVlqn-q5LMJbGIsqOrzru4yowQz67dz2yc"", ""'MTY'!D3:D139""),0))"),25)</f>
        <v>25</v>
      </c>
      <c r="Z23" s="12">
        <f ca="1">IFERROR(__xludf.DUMMYFUNCTION("INDEX(IMPORTRANGE(""1y0FWgjbB0gVlqn-q5LMJbGIsqOrzru4yowQz67dz2yc"", ""'MTY'!BI3:BI139""),MATCH(D23,IMPORTRANGE(""1y0FWgjbB0gVlqn-q5LMJbGIsqOrzru4yowQz67dz2yc"", ""'MTY'!D3:D139""),0))"),19)</f>
        <v>19</v>
      </c>
      <c r="AA23" s="2"/>
      <c r="AB23" s="2"/>
      <c r="AC23" s="2"/>
    </row>
    <row r="24" spans="1:29">
      <c r="A24" s="9" t="s">
        <v>52</v>
      </c>
      <c r="B24" s="9" t="s">
        <v>86</v>
      </c>
      <c r="C24" s="2" t="s">
        <v>30</v>
      </c>
      <c r="D24" s="149" t="s">
        <v>97</v>
      </c>
      <c r="E24" s="9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/>
      <c r="Q24" s="2"/>
      <c r="R24" s="4"/>
      <c r="S24" s="4"/>
      <c r="T24" s="4"/>
      <c r="U24" s="4"/>
      <c r="V24" s="4"/>
      <c r="W24" s="4"/>
      <c r="X24" s="2">
        <v>7</v>
      </c>
      <c r="Y24" s="12">
        <f ca="1">IFERROR(__xludf.DUMMYFUNCTION("INDEX(IMPORTRANGE(""1y0FWgjbB0gVlqn-q5LMJbGIsqOrzru4yowQz67dz2yc"", ""'MTY'!BH3:BH139""),MATCH(D24,IMPORTRANGE(""1y0FWgjbB0gVlqn-q5LMJbGIsqOrzru4yowQz67dz2yc"", ""'MTY'!D3:D139""),0))"),31)</f>
        <v>31</v>
      </c>
      <c r="Z24" s="12">
        <f ca="1">IFERROR(__xludf.DUMMYFUNCTION("INDEX(IMPORTRANGE(""1y0FWgjbB0gVlqn-q5LMJbGIsqOrzru4yowQz67dz2yc"", ""'MTY'!BI3:BI139""),MATCH(D24,IMPORTRANGE(""1y0FWgjbB0gVlqn-q5LMJbGIsqOrzru4yowQz67dz2yc"", ""'MTY'!D3:D139""),0))"),12)</f>
        <v>12</v>
      </c>
      <c r="AA24" s="2"/>
      <c r="AB24" s="2"/>
      <c r="AC24" s="2"/>
    </row>
    <row r="25" spans="1:29">
      <c r="A25" s="9" t="s">
        <v>52</v>
      </c>
      <c r="B25" s="9" t="s">
        <v>86</v>
      </c>
      <c r="C25" s="2" t="s">
        <v>30</v>
      </c>
      <c r="D25" s="149" t="s">
        <v>99</v>
      </c>
      <c r="E25" s="9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/>
      <c r="Q25" s="2"/>
      <c r="R25" s="4"/>
      <c r="S25" s="4"/>
      <c r="T25" s="4"/>
      <c r="U25" s="4"/>
      <c r="V25" s="4"/>
      <c r="W25" s="4"/>
      <c r="X25" s="2">
        <v>2</v>
      </c>
      <c r="Y25" s="12">
        <f ca="1">IFERROR(__xludf.DUMMYFUNCTION("INDEX(IMPORTRANGE(""1y0FWgjbB0gVlqn-q5LMJbGIsqOrzru4yowQz67dz2yc"", ""'MTY'!BH3:BH139""),MATCH(D25,IMPORTRANGE(""1y0FWgjbB0gVlqn-q5LMJbGIsqOrzru4yowQz67dz2yc"", ""'MTY'!D3:D139""),0))"),11)</f>
        <v>11</v>
      </c>
      <c r="Z25" s="12">
        <f ca="1">IFERROR(__xludf.DUMMYFUNCTION("INDEX(IMPORTRANGE(""1y0FWgjbB0gVlqn-q5LMJbGIsqOrzru4yowQz67dz2yc"", ""'MTY'!BI3:BI139""),MATCH(D25,IMPORTRANGE(""1y0FWgjbB0gVlqn-q5LMJbGIsqOrzru4yowQz67dz2yc"", ""'MTY'!D3:D139""),0))"),0)</f>
        <v>0</v>
      </c>
      <c r="AA25" s="2"/>
      <c r="AB25" s="2"/>
      <c r="AC25" s="2"/>
    </row>
    <row r="26" spans="1:29">
      <c r="A26" s="9" t="s">
        <v>52</v>
      </c>
      <c r="B26" s="9" t="s">
        <v>86</v>
      </c>
      <c r="C26" s="2" t="s">
        <v>30</v>
      </c>
      <c r="D26" s="149" t="s">
        <v>101</v>
      </c>
      <c r="E26" s="9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/>
      <c r="Q26" s="2"/>
      <c r="R26" s="4"/>
      <c r="S26" s="4"/>
      <c r="T26" s="4"/>
      <c r="U26" s="4"/>
      <c r="V26" s="4"/>
      <c r="W26" s="4"/>
      <c r="X26" s="2">
        <v>0</v>
      </c>
      <c r="Y26" s="12">
        <f ca="1">IFERROR(__xludf.DUMMYFUNCTION("INDEX(IMPORTRANGE(""1y0FWgjbB0gVlqn-q5LMJbGIsqOrzru4yowQz67dz2yc"", ""'MTY'!BH3:BH139""),MATCH(D26,IMPORTRANGE(""1y0FWgjbB0gVlqn-q5LMJbGIsqOrzru4yowQz67dz2yc"", ""'MTY'!D3:D139""),0))"),1)</f>
        <v>1</v>
      </c>
      <c r="Z26" s="12">
        <f ca="1">IFERROR(__xludf.DUMMYFUNCTION("INDEX(IMPORTRANGE(""1y0FWgjbB0gVlqn-q5LMJbGIsqOrzru4yowQz67dz2yc"", ""'MTY'!BI3:BI139""),MATCH(D26,IMPORTRANGE(""1y0FWgjbB0gVlqn-q5LMJbGIsqOrzru4yowQz67dz2yc"", ""'MTY'!D3:D139""),0))"),0)</f>
        <v>0</v>
      </c>
      <c r="AA26" s="2"/>
      <c r="AB26" s="2"/>
      <c r="AC26" s="2"/>
    </row>
    <row r="27" spans="1:29">
      <c r="A27" s="9" t="s">
        <v>52</v>
      </c>
      <c r="B27" s="9" t="s">
        <v>86</v>
      </c>
      <c r="C27" s="2" t="s">
        <v>30</v>
      </c>
      <c r="D27" s="149" t="s">
        <v>103</v>
      </c>
      <c r="E27" s="9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/>
      <c r="Q27" s="2"/>
      <c r="R27" s="4"/>
      <c r="S27" s="4"/>
      <c r="T27" s="4"/>
      <c r="U27" s="4"/>
      <c r="V27" s="4"/>
      <c r="W27" s="4"/>
      <c r="X27" s="2">
        <v>2</v>
      </c>
      <c r="Y27" s="12">
        <f ca="1">IFERROR(__xludf.DUMMYFUNCTION("INDEX(IMPORTRANGE(""1y0FWgjbB0gVlqn-q5LMJbGIsqOrzru4yowQz67dz2yc"", ""'MTY'!BH3:BH139""),MATCH(D27,IMPORTRANGE(""1y0FWgjbB0gVlqn-q5LMJbGIsqOrzru4yowQz67dz2yc"", ""'MTY'!D3:D139""),0))"),4)</f>
        <v>4</v>
      </c>
      <c r="Z27" s="12">
        <f ca="1">IFERROR(__xludf.DUMMYFUNCTION("INDEX(IMPORTRANGE(""1y0FWgjbB0gVlqn-q5LMJbGIsqOrzru4yowQz67dz2yc"", ""'MTY'!BI3:BI139""),MATCH(D27,IMPORTRANGE(""1y0FWgjbB0gVlqn-q5LMJbGIsqOrzru4yowQz67dz2yc"", ""'MTY'!D3:D139""),0))"),0)</f>
        <v>0</v>
      </c>
      <c r="AA27" s="2"/>
      <c r="AB27" s="2"/>
      <c r="AC27" s="2"/>
    </row>
    <row r="28" spans="1:29">
      <c r="A28" s="9" t="s">
        <v>52</v>
      </c>
      <c r="B28" s="9" t="s">
        <v>86</v>
      </c>
      <c r="C28" s="2" t="s">
        <v>30</v>
      </c>
      <c r="D28" s="149" t="s">
        <v>105</v>
      </c>
      <c r="E28" s="9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/>
      <c r="Q28" s="2"/>
      <c r="R28" s="4"/>
      <c r="S28" s="4"/>
      <c r="T28" s="4"/>
      <c r="U28" s="4"/>
      <c r="V28" s="4"/>
      <c r="W28" s="4"/>
      <c r="X28" s="2">
        <v>0</v>
      </c>
      <c r="Y28" s="12">
        <f ca="1">IFERROR(__xludf.DUMMYFUNCTION("INDEX(IMPORTRANGE(""1y0FWgjbB0gVlqn-q5LMJbGIsqOrzru4yowQz67dz2yc"", ""'MTY'!BH3:BH139""),MATCH(D28,IMPORTRANGE(""1y0FWgjbB0gVlqn-q5LMJbGIsqOrzru4yowQz67dz2yc"", ""'MTY'!D3:D139""),0))"),0)</f>
        <v>0</v>
      </c>
      <c r="Z28" s="12">
        <f ca="1">IFERROR(__xludf.DUMMYFUNCTION("INDEX(IMPORTRANGE(""1y0FWgjbB0gVlqn-q5LMJbGIsqOrzru4yowQz67dz2yc"", ""'MTY'!BI3:BI139""),MATCH(D28,IMPORTRANGE(""1y0FWgjbB0gVlqn-q5LMJbGIsqOrzru4yowQz67dz2yc"", ""'MTY'!D3:D139""),0))"),0)</f>
        <v>0</v>
      </c>
      <c r="AA28" s="2"/>
      <c r="AB28" s="2"/>
      <c r="AC28" s="2"/>
    </row>
    <row r="29" spans="1:29">
      <c r="A29" s="9" t="s">
        <v>52</v>
      </c>
      <c r="B29" s="9" t="s">
        <v>86</v>
      </c>
      <c r="C29" s="2" t="s">
        <v>30</v>
      </c>
      <c r="D29" s="149" t="s">
        <v>107</v>
      </c>
      <c r="E29" s="9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/>
      <c r="Q29" s="2"/>
      <c r="R29" s="4"/>
      <c r="S29" s="4"/>
      <c r="T29" s="4"/>
      <c r="U29" s="4"/>
      <c r="V29" s="4"/>
      <c r="W29" s="4"/>
      <c r="X29" s="2">
        <v>6</v>
      </c>
      <c r="Y29" s="12">
        <f ca="1">IFERROR(__xludf.DUMMYFUNCTION("INDEX(IMPORTRANGE(""1y0FWgjbB0gVlqn-q5LMJbGIsqOrzru4yowQz67dz2yc"", ""'MTY'!BH3:BH139""),MATCH(D29,IMPORTRANGE(""1y0FWgjbB0gVlqn-q5LMJbGIsqOrzru4yowQz67dz2yc"", ""'MTY'!D3:D139""),0))"),18)</f>
        <v>18</v>
      </c>
      <c r="Z29" s="12">
        <f ca="1">IFERROR(__xludf.DUMMYFUNCTION("INDEX(IMPORTRANGE(""1y0FWgjbB0gVlqn-q5LMJbGIsqOrzru4yowQz67dz2yc"", ""'MTY'!BI3:BI139""),MATCH(D29,IMPORTRANGE(""1y0FWgjbB0gVlqn-q5LMJbGIsqOrzru4yowQz67dz2yc"", ""'MTY'!D3:D139""),0))"),6)</f>
        <v>6</v>
      </c>
      <c r="AA29" s="2"/>
      <c r="AB29" s="2"/>
      <c r="AC29" s="2"/>
    </row>
    <row r="30" spans="1:29">
      <c r="A30" s="9" t="s">
        <v>52</v>
      </c>
      <c r="B30" s="9" t="s">
        <v>86</v>
      </c>
      <c r="C30" s="2" t="s">
        <v>30</v>
      </c>
      <c r="D30" s="149" t="s">
        <v>109</v>
      </c>
      <c r="E30" s="9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/>
      <c r="Q30" s="2"/>
      <c r="R30" s="4"/>
      <c r="S30" s="4"/>
      <c r="T30" s="4"/>
      <c r="U30" s="4"/>
      <c r="V30" s="4"/>
      <c r="W30" s="4"/>
      <c r="X30" s="2">
        <v>3</v>
      </c>
      <c r="Y30" s="12">
        <f ca="1">IFERROR(__xludf.DUMMYFUNCTION("INDEX(IMPORTRANGE(""1y0FWgjbB0gVlqn-q5LMJbGIsqOrzru4yowQz67dz2yc"", ""'MTY'!BH3:BH139""),MATCH(D30,IMPORTRANGE(""1y0FWgjbB0gVlqn-q5LMJbGIsqOrzru4yowQz67dz2yc"", ""'MTY'!D3:D139""),0))"),5)</f>
        <v>5</v>
      </c>
      <c r="Z30" s="12">
        <f ca="1">IFERROR(__xludf.DUMMYFUNCTION("INDEX(IMPORTRANGE(""1y0FWgjbB0gVlqn-q5LMJbGIsqOrzru4yowQz67dz2yc"", ""'MTY'!BI3:BI139""),MATCH(D30,IMPORTRANGE(""1y0FWgjbB0gVlqn-q5LMJbGIsqOrzru4yowQz67dz2yc"", ""'MTY'!D3:D139""),0))"),0)</f>
        <v>0</v>
      </c>
      <c r="AA30" s="2"/>
      <c r="AB30" s="2"/>
      <c r="AC30" s="2"/>
    </row>
    <row r="31" spans="1:29">
      <c r="A31" s="9" t="s">
        <v>52</v>
      </c>
      <c r="B31" s="9" t="s">
        <v>86</v>
      </c>
      <c r="C31" s="2" t="s">
        <v>30</v>
      </c>
      <c r="D31" s="149" t="s">
        <v>111</v>
      </c>
      <c r="E31" s="9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/>
      <c r="Q31" s="2"/>
      <c r="R31" s="4"/>
      <c r="S31" s="4"/>
      <c r="T31" s="4"/>
      <c r="U31" s="4"/>
      <c r="V31" s="4"/>
      <c r="W31" s="4"/>
      <c r="X31" s="2">
        <v>0</v>
      </c>
      <c r="Y31" s="12">
        <f ca="1">IFERROR(__xludf.DUMMYFUNCTION("INDEX(IMPORTRANGE(""1y0FWgjbB0gVlqn-q5LMJbGIsqOrzru4yowQz67dz2yc"", ""'MTY'!BH3:BH139""),MATCH(D31,IMPORTRANGE(""1y0FWgjbB0gVlqn-q5LMJbGIsqOrzru4yowQz67dz2yc"", ""'MTY'!D3:D139""),0))"),0)</f>
        <v>0</v>
      </c>
      <c r="Z31" s="12">
        <f ca="1">IFERROR(__xludf.DUMMYFUNCTION("INDEX(IMPORTRANGE(""1y0FWgjbB0gVlqn-q5LMJbGIsqOrzru4yowQz67dz2yc"", ""'MTY'!BI3:BI139""),MATCH(D31,IMPORTRANGE(""1y0FWgjbB0gVlqn-q5LMJbGIsqOrzru4yowQz67dz2yc"", ""'MTY'!D3:D139""),0))"),0)</f>
        <v>0</v>
      </c>
      <c r="AA31" s="2"/>
      <c r="AB31" s="2"/>
      <c r="AC31" s="2"/>
    </row>
    <row r="32" spans="1:29">
      <c r="A32" s="9" t="s">
        <v>52</v>
      </c>
      <c r="B32" s="9" t="s">
        <v>86</v>
      </c>
      <c r="C32" s="2" t="s">
        <v>30</v>
      </c>
      <c r="D32" s="149" t="s">
        <v>113</v>
      </c>
      <c r="E32" s="9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/>
      <c r="Q32" s="2"/>
      <c r="R32" s="4"/>
      <c r="S32" s="4"/>
      <c r="T32" s="4"/>
      <c r="U32" s="4"/>
      <c r="V32" s="4"/>
      <c r="W32" s="4"/>
      <c r="X32" s="2">
        <v>1</v>
      </c>
      <c r="Y32" s="12">
        <f ca="1">IFERROR(__xludf.DUMMYFUNCTION("INDEX(IMPORTRANGE(""1y0FWgjbB0gVlqn-q5LMJbGIsqOrzru4yowQz67dz2yc"", ""'MTY'!BH3:BH139""),MATCH(D32,IMPORTRANGE(""1y0FWgjbB0gVlqn-q5LMJbGIsqOrzru4yowQz67dz2yc"", ""'MTY'!D3:D139""),0))"),3)</f>
        <v>3</v>
      </c>
      <c r="Z32" s="12">
        <f ca="1">IFERROR(__xludf.DUMMYFUNCTION("INDEX(IMPORTRANGE(""1y0FWgjbB0gVlqn-q5LMJbGIsqOrzru4yowQz67dz2yc"", ""'MTY'!BI3:BI139""),MATCH(D32,IMPORTRANGE(""1y0FWgjbB0gVlqn-q5LMJbGIsqOrzru4yowQz67dz2yc"", ""'MTY'!D3:D139""),0))"),1)</f>
        <v>1</v>
      </c>
      <c r="AA32" s="2"/>
      <c r="AB32" s="2"/>
      <c r="AC32" s="2"/>
    </row>
    <row r="33" spans="1:29">
      <c r="A33" s="9" t="s">
        <v>52</v>
      </c>
      <c r="B33" s="9" t="s">
        <v>86</v>
      </c>
      <c r="C33" s="2" t="s">
        <v>30</v>
      </c>
      <c r="D33" s="149" t="s">
        <v>115</v>
      </c>
      <c r="E33" s="9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/>
      <c r="Q33" s="2"/>
      <c r="R33" s="4"/>
      <c r="S33" s="4"/>
      <c r="T33" s="4"/>
      <c r="U33" s="4"/>
      <c r="V33" s="4"/>
      <c r="W33" s="4"/>
      <c r="X33" s="2">
        <v>0</v>
      </c>
      <c r="Y33" s="12">
        <f ca="1">IFERROR(__xludf.DUMMYFUNCTION("INDEX(IMPORTRANGE(""1y0FWgjbB0gVlqn-q5LMJbGIsqOrzru4yowQz67dz2yc"", ""'MTY'!BH3:BH139""),MATCH(D33,IMPORTRANGE(""1y0FWgjbB0gVlqn-q5LMJbGIsqOrzru4yowQz67dz2yc"", ""'MTY'!D3:D139""),0))"),0)</f>
        <v>0</v>
      </c>
      <c r="Z33" s="12">
        <f ca="1">IFERROR(__xludf.DUMMYFUNCTION("INDEX(IMPORTRANGE(""1y0FWgjbB0gVlqn-q5LMJbGIsqOrzru4yowQz67dz2yc"", ""'MTY'!BI3:BI139""),MATCH(D33,IMPORTRANGE(""1y0FWgjbB0gVlqn-q5LMJbGIsqOrzru4yowQz67dz2yc"", ""'MTY'!D3:D139""),0))"),0)</f>
        <v>0</v>
      </c>
      <c r="AA33" s="2"/>
      <c r="AB33" s="2"/>
      <c r="AC33" s="2"/>
    </row>
    <row r="34" spans="1:29">
      <c r="A34" s="9" t="s">
        <v>52</v>
      </c>
      <c r="B34" s="9" t="s">
        <v>86</v>
      </c>
      <c r="C34" s="2" t="s">
        <v>36</v>
      </c>
      <c r="D34" s="149" t="s">
        <v>117</v>
      </c>
      <c r="E34" s="9" t="s">
        <v>76</v>
      </c>
      <c r="F34" s="9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>(60/460075)*100000</f>
        <v>13.041351953485846</v>
      </c>
      <c r="Q34" s="23"/>
      <c r="R34" s="329"/>
      <c r="S34" s="2">
        <v>12.4</v>
      </c>
      <c r="T34" s="329"/>
      <c r="U34" s="2">
        <v>12.1</v>
      </c>
      <c r="V34" s="329"/>
      <c r="W34" s="329"/>
      <c r="X34" s="23">
        <f>(SUM(X23:X33)/306371)*100000</f>
        <v>9.7920495086023163</v>
      </c>
      <c r="Y34" s="23">
        <f ca="1">IFERROR(__xludf.DUMMYFUNCTION("INDEX(IMPORTRANGE(""1y0FWgjbB0gVlqn-q5LMJbGIsqOrzru4yowQz67dz2yc"", ""'MTY'!BH3:BH139""),MATCH(D34,IMPORTRANGE(""1y0FWgjbB0gVlqn-q5LMJbGIsqOrzru4yowQz67dz2yc"", ""'MTY'!D3:D139""),0))"),31.9873617281008)</f>
        <v>31.987361728100801</v>
      </c>
      <c r="Z34" s="23">
        <f ca="1">IFERROR(__xludf.DUMMYFUNCTION("INDEX(IMPORTRANGE(""1y0FWgjbB0gVlqn-q5LMJbGIsqOrzru4yowQz67dz2yc"", ""'MTY'!BI3:BI139""),MATCH(D34,IMPORTRANGE(""1y0FWgjbB0gVlqn-q5LMJbGIsqOrzru4yowQz67dz2yc"", ""'MTY'!D3:D139""),0))"),8.05661681458332)</f>
        <v>8.0566168145833199</v>
      </c>
      <c r="AA34" s="2"/>
      <c r="AB34" s="2"/>
      <c r="AC34" s="2"/>
    </row>
    <row r="35" spans="1:29">
      <c r="A35" s="9" t="s">
        <v>119</v>
      </c>
      <c r="B35" s="9" t="s">
        <v>120</v>
      </c>
      <c r="C35" s="2" t="s">
        <v>30</v>
      </c>
      <c r="D35" s="148" t="s">
        <v>121</v>
      </c>
      <c r="E35" s="257" t="s">
        <v>38</v>
      </c>
      <c r="F35" s="257" t="s">
        <v>122</v>
      </c>
      <c r="G35" s="11">
        <v>44469</v>
      </c>
      <c r="H35" s="11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9">
        <v>375160</v>
      </c>
      <c r="Q35" s="9">
        <v>375160</v>
      </c>
      <c r="R35" s="4"/>
      <c r="S35" s="4"/>
      <c r="T35" s="4"/>
      <c r="U35" s="4"/>
      <c r="V35" s="4"/>
      <c r="W35" s="4"/>
      <c r="X35" s="195">
        <v>375160</v>
      </c>
      <c r="Y35" s="12">
        <f ca="1">IFERROR(__xludf.DUMMYFUNCTION("INDEX(IMPORTRANGE(""1y0FWgjbB0gVlqn-q5LMJbGIsqOrzru4yowQz67dz2yc"", ""'MTY'!BH3:BH139""),MATCH(D35,IMPORTRANGE(""1y0FWgjbB0gVlqn-q5LMJbGIsqOrzru4yowQz67dz2yc"", ""'MTY'!D3:D139""),0))"),375160)</f>
        <v>375160</v>
      </c>
      <c r="Z35" s="12">
        <f ca="1">IFERROR(__xludf.DUMMYFUNCTION("INDEX(IMPORTRANGE(""1y0FWgjbB0gVlqn-q5LMJbGIsqOrzru4yowQz67dz2yc"", ""'MTY'!BI3:BI139""),MATCH(D35,IMPORTRANGE(""1y0FWgjbB0gVlqn-q5LMJbGIsqOrzru4yowQz67dz2yc"", ""'MTY'!D3:D139""),0))"),375160)</f>
        <v>375160</v>
      </c>
      <c r="AA35" s="2"/>
      <c r="AB35" s="2"/>
      <c r="AC35" s="2"/>
    </row>
    <row r="36" spans="1:29">
      <c r="A36" s="257" t="s">
        <v>119</v>
      </c>
      <c r="B36" s="257" t="s">
        <v>120</v>
      </c>
      <c r="C36" s="257" t="s">
        <v>30</v>
      </c>
      <c r="D36" s="454" t="s">
        <v>123</v>
      </c>
      <c r="E36" s="257" t="s">
        <v>38</v>
      </c>
      <c r="F36" s="257" t="s">
        <v>124</v>
      </c>
      <c r="G36" s="455">
        <v>44469</v>
      </c>
      <c r="H36" s="455">
        <v>44469</v>
      </c>
      <c r="I36" s="455">
        <v>44651</v>
      </c>
      <c r="J36" s="455">
        <v>44834</v>
      </c>
      <c r="K36" s="455">
        <v>45016</v>
      </c>
      <c r="L36" s="455">
        <v>45199</v>
      </c>
      <c r="M36" s="455">
        <v>45382</v>
      </c>
      <c r="N36" s="455">
        <v>45565</v>
      </c>
      <c r="O36" s="455">
        <v>45565</v>
      </c>
      <c r="P36" s="456">
        <v>278</v>
      </c>
      <c r="Q36" s="257">
        <v>278</v>
      </c>
      <c r="R36" s="456">
        <v>1500</v>
      </c>
      <c r="S36" s="456">
        <v>3000</v>
      </c>
      <c r="T36" s="456">
        <v>4500</v>
      </c>
      <c r="U36" s="456">
        <v>6000</v>
      </c>
      <c r="V36" s="456">
        <v>7219</v>
      </c>
      <c r="W36" s="456">
        <v>7219</v>
      </c>
      <c r="X36" s="456">
        <v>277</v>
      </c>
      <c r="Y36" s="12">
        <f ca="1">IFERROR(__xludf.DUMMYFUNCTION("INDEX(IMPORTRANGE(""1y0FWgjbB0gVlqn-q5LMJbGIsqOrzru4yowQz67dz2yc"", ""'MTY'!BH3:BH139""),MATCH(D36,IMPORTRANGE(""1y0FWgjbB0gVlqn-q5LMJbGIsqOrzru4yowQz67dz2yc"", ""'MTY'!D3:D139""),0))"),3763)</f>
        <v>3763</v>
      </c>
      <c r="Z36" s="12">
        <f ca="1">IFERROR(__xludf.DUMMYFUNCTION("INDEX(IMPORTRANGE(""1y0FWgjbB0gVlqn-q5LMJbGIsqOrzru4yowQz67dz2yc"", ""'MTY'!BI3:BI139""),MATCH(D36,IMPORTRANGE(""1y0FWgjbB0gVlqn-q5LMJbGIsqOrzru4yowQz67dz2yc"", ""'MTY'!D3:D139""),0))"),3763)</f>
        <v>3763</v>
      </c>
      <c r="AA36" s="2"/>
      <c r="AB36" s="2"/>
      <c r="AC36" s="2"/>
    </row>
    <row r="37" spans="1:29">
      <c r="A37" s="257" t="s">
        <v>119</v>
      </c>
      <c r="B37" s="257" t="s">
        <v>120</v>
      </c>
      <c r="C37" s="257" t="s">
        <v>36</v>
      </c>
      <c r="D37" s="454" t="s">
        <v>125</v>
      </c>
      <c r="E37" s="257" t="s">
        <v>38</v>
      </c>
      <c r="F37" s="257" t="s">
        <v>126</v>
      </c>
      <c r="G37" s="455">
        <v>44469</v>
      </c>
      <c r="H37" s="455">
        <v>44469</v>
      </c>
      <c r="I37" s="455">
        <v>44651</v>
      </c>
      <c r="J37" s="455">
        <v>44834</v>
      </c>
      <c r="K37" s="455">
        <v>45016</v>
      </c>
      <c r="L37" s="455">
        <v>45199</v>
      </c>
      <c r="M37" s="455">
        <v>45382</v>
      </c>
      <c r="N37" s="455">
        <v>45565</v>
      </c>
      <c r="O37" s="455">
        <v>45565</v>
      </c>
      <c r="P37" s="457">
        <f t="shared" ref="P37:Q37" si="4">P36/P35</f>
        <v>7.4101716600916947E-4</v>
      </c>
      <c r="Q37" s="457">
        <f t="shared" si="4"/>
        <v>7.4101716600916947E-4</v>
      </c>
      <c r="R37" s="457">
        <v>1.06E-2</v>
      </c>
      <c r="S37" s="457">
        <v>8.0000000000000002E-3</v>
      </c>
      <c r="T37" s="457">
        <v>1.2E-2</v>
      </c>
      <c r="U37" s="457">
        <v>1.6400000000000001E-2</v>
      </c>
      <c r="V37" s="457">
        <v>1.9199999999999998E-2</v>
      </c>
      <c r="W37" s="457">
        <v>1.9199999999999998E-2</v>
      </c>
      <c r="X37" s="457">
        <f>X36/X35</f>
        <v>7.3835163663503575E-4</v>
      </c>
      <c r="Y37" s="15">
        <f ca="1">IFERROR(__xludf.DUMMYFUNCTION("INDEX(IMPORTRANGE(""1y0FWgjbB0gVlqn-q5LMJbGIsqOrzru4yowQz67dz2yc"", ""'MTY'!BH3:BH139""),MATCH(D37,IMPORTRANGE(""1y0FWgjbB0gVlqn-q5LMJbGIsqOrzru4yowQz67dz2yc"", ""'MTY'!D3:D139""),0))"),0.0100303870348651)</f>
        <v>1.00303870348651E-2</v>
      </c>
      <c r="Z37" s="15">
        <f ca="1">IFERROR(__xludf.DUMMYFUNCTION("INDEX(IMPORTRANGE(""1y0FWgjbB0gVlqn-q5LMJbGIsqOrzru4yowQz67dz2yc"", ""'MTY'!BI3:BI139""),MATCH(D37,IMPORTRANGE(""1y0FWgjbB0gVlqn-q5LMJbGIsqOrzru4yowQz67dz2yc"", ""'MTY'!D3:D139""),0))"),0.0100303870348651)</f>
        <v>1.00303870348651E-2</v>
      </c>
      <c r="AA37" s="2"/>
      <c r="AB37" s="2"/>
      <c r="AC37" s="2"/>
    </row>
    <row r="38" spans="1:29">
      <c r="A38" s="7" t="s">
        <v>119</v>
      </c>
      <c r="B38" s="9" t="s">
        <v>120</v>
      </c>
      <c r="C38" s="1" t="s">
        <v>30</v>
      </c>
      <c r="D38" s="7" t="s">
        <v>330</v>
      </c>
      <c r="E38" s="257" t="s">
        <v>38</v>
      </c>
      <c r="F38" s="2" t="s">
        <v>176</v>
      </c>
      <c r="G38" s="2" t="s">
        <v>56</v>
      </c>
      <c r="H38" s="2" t="s">
        <v>57</v>
      </c>
      <c r="I38" s="9" t="s">
        <v>58</v>
      </c>
      <c r="J38" s="9" t="s">
        <v>59</v>
      </c>
      <c r="K38" s="9" t="s">
        <v>60</v>
      </c>
      <c r="L38" s="9" t="s">
        <v>61</v>
      </c>
      <c r="M38" s="9" t="s">
        <v>62</v>
      </c>
      <c r="N38" s="9" t="s">
        <v>63</v>
      </c>
      <c r="O38" s="9" t="s">
        <v>63</v>
      </c>
      <c r="P38" s="12"/>
      <c r="Q38" s="2"/>
      <c r="R38" s="2"/>
      <c r="S38" s="2"/>
      <c r="T38" s="2"/>
      <c r="U38" s="2"/>
      <c r="V38" s="2"/>
      <c r="W38" s="2"/>
      <c r="X38" s="2"/>
      <c r="Y38" s="12"/>
      <c r="Z38" s="12">
        <f ca="1">IFERROR(__xludf.DUMMYFUNCTION("INDEX(IMPORTRANGE(""1y0FWgjbB0gVlqn-q5LMJbGIsqOrzru4yowQz67dz2yc"", ""'MTY'!BI3:BI139""),MATCH(D38,IMPORTRANGE(""1y0FWgjbB0gVlqn-q5LMJbGIsqOrzru4yowQz67dz2yc"", ""'MTY'!D3:D139""),0))"),745)</f>
        <v>745</v>
      </c>
      <c r="AA38" s="2"/>
      <c r="AB38" s="2"/>
      <c r="AC38" s="2"/>
    </row>
    <row r="39" spans="1:29">
      <c r="A39" s="7" t="s">
        <v>119</v>
      </c>
      <c r="B39" s="9" t="s">
        <v>120</v>
      </c>
      <c r="C39" s="1" t="s">
        <v>30</v>
      </c>
      <c r="D39" s="7" t="s">
        <v>331</v>
      </c>
      <c r="E39" s="257" t="s">
        <v>38</v>
      </c>
      <c r="F39" s="2" t="s">
        <v>332</v>
      </c>
      <c r="G39" s="2" t="s">
        <v>56</v>
      </c>
      <c r="H39" s="2" t="s">
        <v>57</v>
      </c>
      <c r="I39" s="9" t="s">
        <v>58</v>
      </c>
      <c r="J39" s="9" t="s">
        <v>59</v>
      </c>
      <c r="K39" s="9" t="s">
        <v>60</v>
      </c>
      <c r="L39" s="9" t="s">
        <v>61</v>
      </c>
      <c r="M39" s="9" t="s">
        <v>62</v>
      </c>
      <c r="N39" s="9" t="s">
        <v>63</v>
      </c>
      <c r="O39" s="9" t="s">
        <v>63</v>
      </c>
      <c r="P39" s="12"/>
      <c r="Q39" s="2"/>
      <c r="R39" s="2"/>
      <c r="S39" s="2"/>
      <c r="T39" s="2"/>
      <c r="U39" s="2"/>
      <c r="V39" s="2"/>
      <c r="W39" s="2"/>
      <c r="X39" s="2"/>
      <c r="Y39" s="12"/>
      <c r="Z39" s="12">
        <f ca="1">IFERROR(__xludf.DUMMYFUNCTION("INDEX(IMPORTRANGE(""1y0FWgjbB0gVlqn-q5LMJbGIsqOrzru4yowQz67dz2yc"", ""'MTY'!BI3:BI139""),MATCH(D39,IMPORTRANGE(""1y0FWgjbB0gVlqn-q5LMJbGIsqOrzru4yowQz67dz2yc"", ""'MTY'!D3:D139""),0))"),178002)</f>
        <v>178002</v>
      </c>
      <c r="AA39" s="2"/>
      <c r="AB39" s="2"/>
      <c r="AC39" s="2"/>
    </row>
    <row r="40" spans="1:29">
      <c r="A40" s="7" t="s">
        <v>119</v>
      </c>
      <c r="B40" s="9" t="s">
        <v>120</v>
      </c>
      <c r="C40" s="1" t="s">
        <v>36</v>
      </c>
      <c r="D40" s="7" t="s">
        <v>333</v>
      </c>
      <c r="E40" s="257" t="s">
        <v>38</v>
      </c>
      <c r="F40" s="2" t="s">
        <v>334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467">
        <v>3.5000000000000001E-3</v>
      </c>
      <c r="S40" s="467">
        <v>3.5000000000000001E-3</v>
      </c>
      <c r="T40" s="467">
        <v>3.5000000000000001E-3</v>
      </c>
      <c r="U40" s="467">
        <v>3.5000000000000001E-3</v>
      </c>
      <c r="V40" s="467">
        <v>3.5000000000000001E-3</v>
      </c>
      <c r="W40" s="467">
        <v>3.5000000000000001E-3</v>
      </c>
      <c r="X40" s="2"/>
      <c r="Y40" s="12"/>
      <c r="Z40" s="15">
        <f ca="1">IFERROR(__xludf.DUMMYFUNCTION("INDEX(IMPORTRANGE(""1y0FWgjbB0gVlqn-q5LMJbGIsqOrzru4yowQz67dz2yc"", ""'MTY'!BI3:BI139""),MATCH(D40,IMPORTRANGE(""1y0FWgjbB0gVlqn-q5LMJbGIsqOrzru4yowQz67dz2yc"", ""'MTY'!D3:D139""),0))"),0.0041853462320648)</f>
        <v>4.1853462320648E-3</v>
      </c>
      <c r="AA40" s="2"/>
      <c r="AB40" s="2"/>
      <c r="AC40" s="2"/>
    </row>
    <row r="41" spans="1:29">
      <c r="A41" s="9" t="s">
        <v>119</v>
      </c>
      <c r="B41" s="9" t="s">
        <v>127</v>
      </c>
      <c r="C41" s="2" t="s">
        <v>36</v>
      </c>
      <c r="D41" s="149" t="s">
        <v>128</v>
      </c>
      <c r="E41" s="9" t="s">
        <v>38</v>
      </c>
      <c r="F41" s="9" t="s">
        <v>129</v>
      </c>
      <c r="G41" s="2" t="s">
        <v>56</v>
      </c>
      <c r="H41" s="22" t="s">
        <v>57</v>
      </c>
      <c r="I41" s="22" t="s">
        <v>58</v>
      </c>
      <c r="J41" s="22" t="s">
        <v>59</v>
      </c>
      <c r="K41" s="22" t="s">
        <v>335</v>
      </c>
      <c r="L41" s="22" t="s">
        <v>336</v>
      </c>
      <c r="M41" s="22" t="s">
        <v>337</v>
      </c>
      <c r="N41" s="262" t="s">
        <v>132</v>
      </c>
      <c r="O41" s="262" t="s">
        <v>132</v>
      </c>
      <c r="P41" s="12">
        <v>6</v>
      </c>
      <c r="Q41" s="2">
        <v>10</v>
      </c>
      <c r="R41" s="2">
        <v>20</v>
      </c>
      <c r="S41" s="2">
        <f>R41+3</f>
        <v>23</v>
      </c>
      <c r="T41" s="2">
        <f>S41+5</f>
        <v>28</v>
      </c>
      <c r="U41" s="2">
        <f>T41+3</f>
        <v>31</v>
      </c>
      <c r="V41" s="2">
        <f>U41+4</f>
        <v>35</v>
      </c>
      <c r="W41" s="2">
        <v>35</v>
      </c>
      <c r="X41" s="2">
        <v>12</v>
      </c>
      <c r="Y41" s="12">
        <f ca="1">IFERROR(__xludf.DUMMYFUNCTION("INDEX(IMPORTRANGE(""1y0FWgjbB0gVlqn-q5LMJbGIsqOrzru4yowQz67dz2yc"", ""'MTY'!BH3:BH139""),MATCH(D41,IMPORTRANGE(""1y0FWgjbB0gVlqn-q5LMJbGIsqOrzru4yowQz67dz2yc"", ""'MTY'!D3:D139""),0))"),25)</f>
        <v>25</v>
      </c>
      <c r="Z41" s="12">
        <f ca="1">IFERROR(__xludf.DUMMYFUNCTION("INDEX(IMPORTRANGE(""1y0FWgjbB0gVlqn-q5LMJbGIsqOrzru4yowQz67dz2yc"", ""'MTY'!BI3:BI139""),MATCH(D41,IMPORTRANGE(""1y0FWgjbB0gVlqn-q5LMJbGIsqOrzru4yowQz67dz2yc"", ""'MTY'!D3:D139""),0))"),29)</f>
        <v>29</v>
      </c>
      <c r="AA41" s="2"/>
      <c r="AB41" s="2"/>
      <c r="AC41" s="2"/>
    </row>
    <row r="42" spans="1:29">
      <c r="A42" s="9" t="s">
        <v>119</v>
      </c>
      <c r="B42" s="9" t="s">
        <v>133</v>
      </c>
      <c r="C42" s="2" t="s">
        <v>36</v>
      </c>
      <c r="D42" s="149" t="s">
        <v>134</v>
      </c>
      <c r="E42" s="9" t="s">
        <v>38</v>
      </c>
      <c r="F42" s="9" t="s">
        <v>135</v>
      </c>
      <c r="G42" s="2" t="s">
        <v>56</v>
      </c>
      <c r="H42" s="22" t="s">
        <v>57</v>
      </c>
      <c r="I42" s="22" t="s">
        <v>58</v>
      </c>
      <c r="J42" s="22" t="s">
        <v>59</v>
      </c>
      <c r="K42" s="22" t="s">
        <v>335</v>
      </c>
      <c r="L42" s="22" t="s">
        <v>336</v>
      </c>
      <c r="M42" s="22" t="s">
        <v>337</v>
      </c>
      <c r="N42" s="262" t="s">
        <v>132</v>
      </c>
      <c r="O42" s="262" t="s">
        <v>132</v>
      </c>
      <c r="P42" s="12">
        <v>1186</v>
      </c>
      <c r="Q42" s="2">
        <v>3568</v>
      </c>
      <c r="R42" s="456">
        <v>900</v>
      </c>
      <c r="S42" s="456">
        <f>1900</f>
        <v>1900</v>
      </c>
      <c r="T42" s="456">
        <f>1100+S42</f>
        <v>3000</v>
      </c>
      <c r="U42" s="456">
        <f t="shared" ref="U42:V42" si="5">T42+1000</f>
        <v>4000</v>
      </c>
      <c r="V42" s="456">
        <f t="shared" si="5"/>
        <v>5000</v>
      </c>
      <c r="W42" s="456">
        <v>5000</v>
      </c>
      <c r="X42" s="2">
        <v>446</v>
      </c>
      <c r="Y42" s="12">
        <f ca="1">IFERROR(__xludf.DUMMYFUNCTION("INDEX(IMPORTRANGE(""1y0FWgjbB0gVlqn-q5LMJbGIsqOrzru4yowQz67dz2yc"", ""'MTY'!BH3:BH139""),MATCH(D42,IMPORTRANGE(""1y0FWgjbB0gVlqn-q5LMJbGIsqOrzru4yowQz67dz2yc"", ""'MTY'!D3:D139""),0))"),1343)</f>
        <v>1343</v>
      </c>
      <c r="Z42" s="12">
        <f ca="1">IFERROR(__xludf.DUMMYFUNCTION("INDEX(IMPORTRANGE(""1y0FWgjbB0gVlqn-q5LMJbGIsqOrzru4yowQz67dz2yc"", ""'MTY'!BI3:BI139""),MATCH(D42,IMPORTRANGE(""1y0FWgjbB0gVlqn-q5LMJbGIsqOrzru4yowQz67dz2yc"", ""'MTY'!D3:D139""),0))"),5877)</f>
        <v>5877</v>
      </c>
      <c r="AA42" s="2"/>
      <c r="AB42" s="2"/>
      <c r="AC42" s="2"/>
    </row>
    <row r="43" spans="1:29">
      <c r="A43" s="9" t="s">
        <v>119</v>
      </c>
      <c r="B43" s="9" t="s">
        <v>136</v>
      </c>
      <c r="C43" s="2" t="s">
        <v>30</v>
      </c>
      <c r="D43" s="149" t="s">
        <v>137</v>
      </c>
      <c r="E43" s="9" t="s">
        <v>38</v>
      </c>
      <c r="F43" s="2" t="s">
        <v>138</v>
      </c>
      <c r="G43" s="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2</v>
      </c>
      <c r="Q43" s="2">
        <v>2</v>
      </c>
      <c r="R43" s="2">
        <v>2</v>
      </c>
      <c r="S43" s="2">
        <v>2</v>
      </c>
      <c r="T43" s="2">
        <v>4</v>
      </c>
      <c r="U43" s="2">
        <v>2</v>
      </c>
      <c r="V43" s="2">
        <v>4</v>
      </c>
      <c r="W43" s="2">
        <v>10</v>
      </c>
      <c r="X43" s="2">
        <v>1</v>
      </c>
      <c r="Y43" s="12">
        <f ca="1">IFERROR(__xludf.DUMMYFUNCTION("INDEX(IMPORTRANGE(""1y0FWgjbB0gVlqn-q5LMJbGIsqOrzru4yowQz67dz2yc"", ""'MTY'!BH3:BH139""),MATCH(D43,IMPORTRANGE(""1y0FWgjbB0gVlqn-q5LMJbGIsqOrzru4yowQz67dz2yc"", ""'MTY'!D3:D139""),0))"),4)</f>
        <v>4</v>
      </c>
      <c r="Z43" s="12">
        <f ca="1">IFERROR(__xludf.DUMMYFUNCTION("INDEX(IMPORTRANGE(""1y0FWgjbB0gVlqn-q5LMJbGIsqOrzru4yowQz67dz2yc"", ""'MTY'!BI3:BI139""),MATCH(D43,IMPORTRANGE(""1y0FWgjbB0gVlqn-q5LMJbGIsqOrzru4yowQz67dz2yc"", ""'MTY'!D3:D139""),0))"),9)</f>
        <v>9</v>
      </c>
      <c r="AA43" s="2"/>
      <c r="AB43" s="2"/>
      <c r="AC43" s="2"/>
    </row>
    <row r="44" spans="1:29">
      <c r="A44" s="9" t="s">
        <v>119</v>
      </c>
      <c r="B44" s="9" t="s">
        <v>136</v>
      </c>
      <c r="C44" s="2" t="s">
        <v>30</v>
      </c>
      <c r="D44" s="149" t="s">
        <v>139</v>
      </c>
      <c r="E44" s="9" t="s">
        <v>38</v>
      </c>
      <c r="F44" s="2" t="s">
        <v>140</v>
      </c>
      <c r="G44" s="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/>
      <c r="Q44" s="2"/>
      <c r="R44" s="2"/>
      <c r="S44" s="2"/>
      <c r="T44" s="2"/>
      <c r="U44" s="2"/>
      <c r="V44" s="2"/>
      <c r="W44" s="2"/>
      <c r="X44" s="2"/>
      <c r="Y44" s="12">
        <f ca="1">IFERROR(__xludf.DUMMYFUNCTION("INDEX(IMPORTRANGE(""1y0FWgjbB0gVlqn-q5LMJbGIsqOrzru4yowQz67dz2yc"", ""'MTY'!BH3:BH139""),MATCH(D44,IMPORTRANGE(""1y0FWgjbB0gVlqn-q5LMJbGIsqOrzru4yowQz67dz2yc"", ""'MTY'!D3:D139""),0))"),0)</f>
        <v>0</v>
      </c>
      <c r="Z44" s="12">
        <f ca="1">IFERROR(__xludf.DUMMYFUNCTION("INDEX(IMPORTRANGE(""1y0FWgjbB0gVlqn-q5LMJbGIsqOrzru4yowQz67dz2yc"", ""'MTY'!BI3:BI139""),MATCH(D44,IMPORTRANGE(""1y0FWgjbB0gVlqn-q5LMJbGIsqOrzru4yowQz67dz2yc"", ""'MTY'!D3:D139""),0))"),0)</f>
        <v>0</v>
      </c>
      <c r="AA44" s="2"/>
      <c r="AB44" s="2"/>
      <c r="AC44" s="2"/>
    </row>
    <row r="45" spans="1:29">
      <c r="A45" s="9" t="s">
        <v>119</v>
      </c>
      <c r="B45" s="9" t="s">
        <v>136</v>
      </c>
      <c r="C45" s="2" t="s">
        <v>30</v>
      </c>
      <c r="D45" s="149" t="s">
        <v>141</v>
      </c>
      <c r="E45" s="9" t="s">
        <v>38</v>
      </c>
      <c r="F45" s="2" t="s">
        <v>142</v>
      </c>
      <c r="G45" s="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4</v>
      </c>
      <c r="Q45" s="2">
        <v>8</v>
      </c>
      <c r="R45" s="2">
        <v>15</v>
      </c>
      <c r="S45" s="2">
        <v>12</v>
      </c>
      <c r="T45" s="2">
        <v>27</v>
      </c>
      <c r="U45" s="2">
        <v>12</v>
      </c>
      <c r="V45" s="2">
        <v>28</v>
      </c>
      <c r="W45" s="2">
        <v>70</v>
      </c>
      <c r="X45" s="2">
        <v>8</v>
      </c>
      <c r="Y45" s="12">
        <f ca="1">IFERROR(__xludf.DUMMYFUNCTION("INDEX(IMPORTRANGE(""1y0FWgjbB0gVlqn-q5LMJbGIsqOrzru4yowQz67dz2yc"", ""'MTY'!BH3:BH139""),MATCH(D45,IMPORTRANGE(""1y0FWgjbB0gVlqn-q5LMJbGIsqOrzru4yowQz67dz2yc"", ""'MTY'!D3:D139""),0))"),36)</f>
        <v>36</v>
      </c>
      <c r="Z45" s="12">
        <f ca="1">IFERROR(__xludf.DUMMYFUNCTION("INDEX(IMPORTRANGE(""1y0FWgjbB0gVlqn-q5LMJbGIsqOrzru4yowQz67dz2yc"", ""'MTY'!BI3:BI139""),MATCH(D45,IMPORTRANGE(""1y0FWgjbB0gVlqn-q5LMJbGIsqOrzru4yowQz67dz2yc"", ""'MTY'!D3:D139""),0))"),103)</f>
        <v>103</v>
      </c>
      <c r="AA45" s="2"/>
      <c r="AB45" s="2"/>
      <c r="AC45" s="2"/>
    </row>
    <row r="46" spans="1:29">
      <c r="A46" s="9" t="s">
        <v>119</v>
      </c>
      <c r="B46" s="9" t="s">
        <v>136</v>
      </c>
      <c r="C46" s="2" t="s">
        <v>30</v>
      </c>
      <c r="D46" s="149" t="s">
        <v>143</v>
      </c>
      <c r="E46" s="9" t="s">
        <v>38</v>
      </c>
      <c r="F46" s="2" t="s">
        <v>144</v>
      </c>
      <c r="G46" s="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2"/>
      <c r="R46" s="4"/>
      <c r="S46" s="4"/>
      <c r="T46" s="4"/>
      <c r="U46" s="4"/>
      <c r="V46" s="4"/>
      <c r="W46" s="4"/>
      <c r="X46" s="2"/>
      <c r="Y46" s="12">
        <f ca="1">IFERROR(__xludf.DUMMYFUNCTION("INDEX(IMPORTRANGE(""1y0FWgjbB0gVlqn-q5LMJbGIsqOrzru4yowQz67dz2yc"", ""'MTY'!BH3:BH139""),MATCH(D46,IMPORTRANGE(""1y0FWgjbB0gVlqn-q5LMJbGIsqOrzru4yowQz67dz2yc"", ""'MTY'!D3:D139""),0))"),19)</f>
        <v>19</v>
      </c>
      <c r="Z46" s="12">
        <f ca="1">IFERROR(__xludf.DUMMYFUNCTION("INDEX(IMPORTRANGE(""1y0FWgjbB0gVlqn-q5LMJbGIsqOrzru4yowQz67dz2yc"", ""'MTY'!BI3:BI139""),MATCH(D46,IMPORTRANGE(""1y0FWgjbB0gVlqn-q5LMJbGIsqOrzru4yowQz67dz2yc"", ""'MTY'!D3:D139""),0))"),52)</f>
        <v>52</v>
      </c>
      <c r="AA46" s="2"/>
      <c r="AB46" s="2"/>
      <c r="AC46" s="2"/>
    </row>
    <row r="47" spans="1:29">
      <c r="A47" s="9" t="s">
        <v>119</v>
      </c>
      <c r="B47" s="9" t="s">
        <v>136</v>
      </c>
      <c r="C47" s="2" t="s">
        <v>36</v>
      </c>
      <c r="D47" s="149" t="s">
        <v>145</v>
      </c>
      <c r="E47" s="9" t="s">
        <v>38</v>
      </c>
      <c r="F47" s="2" t="s">
        <v>146</v>
      </c>
      <c r="G47" s="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v>6</v>
      </c>
      <c r="Q47" s="2">
        <v>10</v>
      </c>
      <c r="R47" s="4">
        <f>R43+R45</f>
        <v>17</v>
      </c>
      <c r="S47" s="4">
        <f>S43+S45+R47</f>
        <v>31</v>
      </c>
      <c r="T47" s="4">
        <f>T43+T45-S43-S45+S47</f>
        <v>48</v>
      </c>
      <c r="U47" s="4">
        <f>U43+U45+T47</f>
        <v>62</v>
      </c>
      <c r="V47" s="4">
        <f>V43+V45-U43-U45+U47</f>
        <v>80</v>
      </c>
      <c r="W47" s="4">
        <f>W43+W45</f>
        <v>80</v>
      </c>
      <c r="X47" s="2">
        <v>9</v>
      </c>
      <c r="Y47" s="12">
        <f ca="1">IFERROR(__xludf.DUMMYFUNCTION("INDEX(IMPORTRANGE(""1y0FWgjbB0gVlqn-q5LMJbGIsqOrzru4yowQz67dz2yc"", ""'MTY'!BH3:BH139""),MATCH(D47,IMPORTRANGE(""1y0FWgjbB0gVlqn-q5LMJbGIsqOrzru4yowQz67dz2yc"", ""'MTY'!D3:D139""),0))"),59)</f>
        <v>59</v>
      </c>
      <c r="Z47" s="12">
        <f ca="1">IFERROR(__xludf.DUMMYFUNCTION("INDEX(IMPORTRANGE(""1y0FWgjbB0gVlqn-q5LMJbGIsqOrzru4yowQz67dz2yc"", ""'MTY'!BI3:BI139""),MATCH(D47,IMPORTRANGE(""1y0FWgjbB0gVlqn-q5LMJbGIsqOrzru4yowQz67dz2yc"", ""'MTY'!D3:D139""),0))"),164)</f>
        <v>164</v>
      </c>
      <c r="AA47" s="2"/>
      <c r="AB47" s="2"/>
      <c r="AC47" s="2"/>
    </row>
    <row r="48" spans="1:29">
      <c r="A48" s="9" t="s">
        <v>147</v>
      </c>
      <c r="B48" s="9" t="s">
        <v>148</v>
      </c>
      <c r="C48" s="2" t="s">
        <v>30</v>
      </c>
      <c r="D48" s="149" t="s">
        <v>149</v>
      </c>
      <c r="E48" s="9" t="s">
        <v>38</v>
      </c>
      <c r="F48" s="9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12" t="s">
        <v>150</v>
      </c>
      <c r="Q48" s="2" t="s">
        <v>150</v>
      </c>
      <c r="R48" s="2" t="s">
        <v>151</v>
      </c>
      <c r="S48" s="2" t="s">
        <v>151</v>
      </c>
      <c r="T48" s="2" t="s">
        <v>151</v>
      </c>
      <c r="U48" s="2" t="s">
        <v>151</v>
      </c>
      <c r="V48" s="2" t="s">
        <v>151</v>
      </c>
      <c r="W48" s="2" t="s">
        <v>151</v>
      </c>
      <c r="X48" s="2" t="s">
        <v>150</v>
      </c>
      <c r="Y48" s="17" t="str">
        <f ca="1">IFERROR(__xludf.DUMMYFUNCTION("INDEX(IMPORTRANGE(""1y0FWgjbB0gVlqn-q5LMJbGIsqOrzru4yowQz67dz2yc"", ""'MTY'!BH3:BH139""),MATCH(D48,IMPORTRANGE(""1y0FWgjbB0gVlqn-q5LMJbGIsqOrzru4yowQz67dz2yc"", ""'MTY'!D3:D139""),0))"),"No")</f>
        <v>No</v>
      </c>
      <c r="Z48" s="12" t="str">
        <f ca="1">IFERROR(__xludf.DUMMYFUNCTION("INDEX(IMPORTRANGE(""1y0FWgjbB0gVlqn-q5LMJbGIsqOrzru4yowQz67dz2yc"", ""'MTY'!BI3:BI139""),MATCH(D48,IMPORTRANGE(""1y0FWgjbB0gVlqn-q5LMJbGIsqOrzru4yowQz67dz2yc"", ""'MTY'!D3:D139""),0))"),"No")</f>
        <v>No</v>
      </c>
      <c r="AA48" s="2"/>
      <c r="AB48" s="2"/>
      <c r="AC48" s="2"/>
    </row>
    <row r="49" spans="1:29">
      <c r="A49" s="9" t="s">
        <v>147</v>
      </c>
      <c r="B49" s="9" t="s">
        <v>148</v>
      </c>
      <c r="C49" s="2" t="s">
        <v>30</v>
      </c>
      <c r="D49" s="149" t="s">
        <v>152</v>
      </c>
      <c r="E49" s="9" t="s">
        <v>38</v>
      </c>
      <c r="F49" s="9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 t="s">
        <v>150</v>
      </c>
      <c r="Q49" s="2" t="s">
        <v>150</v>
      </c>
      <c r="R49" s="2" t="s">
        <v>151</v>
      </c>
      <c r="S49" s="2" t="s">
        <v>151</v>
      </c>
      <c r="T49" s="2" t="s">
        <v>151</v>
      </c>
      <c r="U49" s="2" t="s">
        <v>151</v>
      </c>
      <c r="V49" s="2" t="s">
        <v>151</v>
      </c>
      <c r="W49" s="2" t="s">
        <v>151</v>
      </c>
      <c r="X49" s="2" t="s">
        <v>150</v>
      </c>
      <c r="Y49" s="17" t="str">
        <f ca="1">IFERROR(__xludf.DUMMYFUNCTION("INDEX(IMPORTRANGE(""1y0FWgjbB0gVlqn-q5LMJbGIsqOrzru4yowQz67dz2yc"", ""'MTY'!BH3:BH139""),MATCH(D49,IMPORTRANGE(""1y0FWgjbB0gVlqn-q5LMJbGIsqOrzru4yowQz67dz2yc"", ""'MTY'!D3:D139""),0))"),"No")</f>
        <v>No</v>
      </c>
      <c r="Z49" s="12" t="str">
        <f ca="1">IFERROR(__xludf.DUMMYFUNCTION("INDEX(IMPORTRANGE(""1y0FWgjbB0gVlqn-q5LMJbGIsqOrzru4yowQz67dz2yc"", ""'MTY'!BI3:BI139""),MATCH(D49,IMPORTRANGE(""1y0FWgjbB0gVlqn-q5LMJbGIsqOrzru4yowQz67dz2yc"", ""'MTY'!D3:D139""),0))"),"No")</f>
        <v>No</v>
      </c>
      <c r="AA49" s="2"/>
      <c r="AB49" s="2"/>
      <c r="AC49" s="2"/>
    </row>
    <row r="50" spans="1:29">
      <c r="A50" s="9" t="s">
        <v>147</v>
      </c>
      <c r="B50" s="9" t="s">
        <v>148</v>
      </c>
      <c r="C50" s="2" t="s">
        <v>30</v>
      </c>
      <c r="D50" s="149" t="s">
        <v>154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150</v>
      </c>
      <c r="Q50" s="2" t="s">
        <v>150</v>
      </c>
      <c r="R50" s="2" t="s">
        <v>155</v>
      </c>
      <c r="S50" s="2" t="s">
        <v>155</v>
      </c>
      <c r="T50" s="2" t="s">
        <v>155</v>
      </c>
      <c r="U50" s="2" t="s">
        <v>155</v>
      </c>
      <c r="V50" s="2" t="s">
        <v>155</v>
      </c>
      <c r="W50" s="2" t="s">
        <v>155</v>
      </c>
      <c r="X50" s="2" t="s">
        <v>150</v>
      </c>
      <c r="Y50" s="17" t="str">
        <f ca="1">IFERROR(__xludf.DUMMYFUNCTION("INDEX(IMPORTRANGE(""1y0FWgjbB0gVlqn-q5LMJbGIsqOrzru4yowQz67dz2yc"", ""'MTY'!BH3:BH139""),MATCH(D50,IMPORTRANGE(""1y0FWgjbB0gVlqn-q5LMJbGIsqOrzru4yowQz67dz2yc"", ""'MTY'!D3:D139""),0))"),"No")</f>
        <v>No</v>
      </c>
      <c r="Z50" s="12" t="str">
        <f ca="1">IFERROR(__xludf.DUMMYFUNCTION("INDEX(IMPORTRANGE(""1y0FWgjbB0gVlqn-q5LMJbGIsqOrzru4yowQz67dz2yc"", ""'MTY'!BI3:BI139""),MATCH(D50,IMPORTRANGE(""1y0FWgjbB0gVlqn-q5LMJbGIsqOrzru4yowQz67dz2yc"", ""'MTY'!D3:D139""),0))"),"No")</f>
        <v>No</v>
      </c>
      <c r="AA50" s="2"/>
      <c r="AB50" s="2"/>
      <c r="AC50" s="2"/>
    </row>
    <row r="51" spans="1:29">
      <c r="A51" s="9" t="s">
        <v>147</v>
      </c>
      <c r="B51" s="9" t="s">
        <v>148</v>
      </c>
      <c r="C51" s="2" t="s">
        <v>36</v>
      </c>
      <c r="D51" s="149" t="s">
        <v>156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91">
        <f t="shared" ref="P51:Q51" si="6">COUNTIF(P48:P50,"Sí")*(1/3)</f>
        <v>0</v>
      </c>
      <c r="Q51" s="91">
        <f t="shared" si="6"/>
        <v>0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91">
        <f>COUNTIF(X48:X50,"Sí")*(1/3)</f>
        <v>0</v>
      </c>
      <c r="Y51" s="12">
        <f ca="1">IFERROR(__xludf.DUMMYFUNCTION("INDEX(IMPORTRANGE(""1y0FWgjbB0gVlqn-q5LMJbGIsqOrzru4yowQz67dz2yc"", ""'MTY'!BH3:BH139""),MATCH(D51,IMPORTRANGE(""1y0FWgjbB0gVlqn-q5LMJbGIsqOrzru4yowQz67dz2yc"", ""'MTY'!D3:D139""),0))"),0)</f>
        <v>0</v>
      </c>
      <c r="Z51" s="12">
        <f ca="1">IFERROR(__xludf.DUMMYFUNCTION("INDEX(IMPORTRANGE(""1y0FWgjbB0gVlqn-q5LMJbGIsqOrzru4yowQz67dz2yc"", ""'MTY'!BI3:BI139""),MATCH(D51,IMPORTRANGE(""1y0FWgjbB0gVlqn-q5LMJbGIsqOrzru4yowQz67dz2yc"", ""'MTY'!D3:D139""),0))"),0)</f>
        <v>0</v>
      </c>
      <c r="AA51" s="2"/>
      <c r="AB51" s="2"/>
      <c r="AC51" s="2"/>
    </row>
    <row r="52" spans="1:29">
      <c r="A52" s="9" t="s">
        <v>147</v>
      </c>
      <c r="B52" s="9" t="s">
        <v>148</v>
      </c>
      <c r="C52" s="2" t="s">
        <v>36</v>
      </c>
      <c r="D52" s="149" t="s">
        <v>158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0</v>
      </c>
      <c r="Q52" s="2">
        <v>0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2">
        <v>0</v>
      </c>
      <c r="Y52" s="12">
        <f ca="1">IFERROR(__xludf.DUMMYFUNCTION("INDEX(IMPORTRANGE(""1y0FWgjbB0gVlqn-q5LMJbGIsqOrzru4yowQz67dz2yc"", ""'MTY'!BH3:BH139""),MATCH(D52,IMPORTRANGE(""1y0FWgjbB0gVlqn-q5LMJbGIsqOrzru4yowQz67dz2yc"", ""'MTY'!D3:D139""),0))"),0)</f>
        <v>0</v>
      </c>
      <c r="Z52" s="12">
        <f ca="1">IFERROR(__xludf.DUMMYFUNCTION("INDEX(IMPORTRANGE(""1y0FWgjbB0gVlqn-q5LMJbGIsqOrzru4yowQz67dz2yc"", ""'MTY'!BI3:BI139""),MATCH(D52,IMPORTRANGE(""1y0FWgjbB0gVlqn-q5LMJbGIsqOrzru4yowQz67dz2yc"", ""'MTY'!D3:D139""),0))"),0)</f>
        <v>0</v>
      </c>
      <c r="AA52" s="2"/>
      <c r="AB52" s="2"/>
      <c r="AC52" s="2"/>
    </row>
    <row r="53" spans="1:29">
      <c r="A53" s="9" t="s">
        <v>147</v>
      </c>
      <c r="B53" s="9" t="s">
        <v>148</v>
      </c>
      <c r="C53" s="2" t="s">
        <v>30</v>
      </c>
      <c r="D53" s="149" t="s">
        <v>162</v>
      </c>
      <c r="E53" s="9" t="s">
        <v>38</v>
      </c>
      <c r="F53" s="9" t="s">
        <v>163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17</v>
      </c>
      <c r="Q53" s="2">
        <v>17</v>
      </c>
      <c r="R53" s="4"/>
      <c r="S53" s="4"/>
      <c r="T53" s="4"/>
      <c r="U53" s="4"/>
      <c r="V53" s="4"/>
      <c r="W53" s="4"/>
      <c r="X53" s="2">
        <v>17</v>
      </c>
      <c r="Y53" s="12">
        <f ca="1">IFERROR(__xludf.DUMMYFUNCTION("INDEX(IMPORTRANGE(""1y0FWgjbB0gVlqn-q5LMJbGIsqOrzru4yowQz67dz2yc"", ""'MTY'!BH3:BH139""),MATCH(D53,IMPORTRANGE(""1y0FWgjbB0gVlqn-q5LMJbGIsqOrzru4yowQz67dz2yc"", ""'MTY'!D3:D139""),0))"),17)</f>
        <v>17</v>
      </c>
      <c r="Z53" s="12">
        <f ca="1">IFERROR(__xludf.DUMMYFUNCTION("INDEX(IMPORTRANGE(""1y0FWgjbB0gVlqn-q5LMJbGIsqOrzru4yowQz67dz2yc"", ""'MTY'!BI3:BI139""),MATCH(D53,IMPORTRANGE(""1y0FWgjbB0gVlqn-q5LMJbGIsqOrzru4yowQz67dz2yc"", ""'MTY'!D3:D139""),0))"),17)</f>
        <v>17</v>
      </c>
      <c r="AA53" s="2"/>
      <c r="AB53" s="2"/>
      <c r="AC53" s="2"/>
    </row>
    <row r="54" spans="1:29">
      <c r="A54" s="9" t="s">
        <v>147</v>
      </c>
      <c r="B54" s="9" t="s">
        <v>148</v>
      </c>
      <c r="C54" s="2" t="s">
        <v>30</v>
      </c>
      <c r="D54" s="149" t="s">
        <v>164</v>
      </c>
      <c r="E54" s="9" t="s">
        <v>38</v>
      </c>
      <c r="F54" s="9" t="s">
        <v>165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9</v>
      </c>
      <c r="Q54" s="2">
        <v>9</v>
      </c>
      <c r="R54" s="4"/>
      <c r="S54" s="4"/>
      <c r="T54" s="4"/>
      <c r="U54" s="4"/>
      <c r="V54" s="4"/>
      <c r="W54" s="4"/>
      <c r="X54" s="2">
        <v>9</v>
      </c>
      <c r="Y54" s="12">
        <f ca="1">IFERROR(__xludf.DUMMYFUNCTION("INDEX(IMPORTRANGE(""1y0FWgjbB0gVlqn-q5LMJbGIsqOrzru4yowQz67dz2yc"", ""'MTY'!BH3:BH139""),MATCH(D54,IMPORTRANGE(""1y0FWgjbB0gVlqn-q5LMJbGIsqOrzru4yowQz67dz2yc"", ""'MTY'!D3:D139""),0))"),14)</f>
        <v>14</v>
      </c>
      <c r="Z54" s="12">
        <f ca="1">IFERROR(__xludf.DUMMYFUNCTION("INDEX(IMPORTRANGE(""1y0FWgjbB0gVlqn-q5LMJbGIsqOrzru4yowQz67dz2yc"", ""'MTY'!BI3:BI139""),MATCH(D54,IMPORTRANGE(""1y0FWgjbB0gVlqn-q5LMJbGIsqOrzru4yowQz67dz2yc"", ""'MTY'!D3:D139""),0))"),14)</f>
        <v>14</v>
      </c>
      <c r="AA54" s="2"/>
      <c r="AB54" s="2"/>
      <c r="AC54" s="2"/>
    </row>
    <row r="55" spans="1:29">
      <c r="A55" s="9" t="s">
        <v>147</v>
      </c>
      <c r="B55" s="9" t="s">
        <v>148</v>
      </c>
      <c r="C55" s="2" t="s">
        <v>36</v>
      </c>
      <c r="D55" s="149" t="s">
        <v>166</v>
      </c>
      <c r="E55" s="9" t="s">
        <v>38</v>
      </c>
      <c r="F55" s="9" t="s">
        <v>167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7">P54/P53</f>
        <v>0.52941176470588236</v>
      </c>
      <c r="Q55" s="15">
        <f t="shared" si="7"/>
        <v>0.52941176470588236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X54/X53</f>
        <v>0.52941176470588236</v>
      </c>
      <c r="Y55" s="19">
        <f ca="1">IFERROR(__xludf.DUMMYFUNCTION("INDEX(IMPORTRANGE(""1y0FWgjbB0gVlqn-q5LMJbGIsqOrzru4yowQz67dz2yc"", ""'MTY'!BH3:BH139""),MATCH(D55,IMPORTRANGE(""1y0FWgjbB0gVlqn-q5LMJbGIsqOrzru4yowQz67dz2yc"", ""'MTY'!D3:D139""),0))"),0.823529411764705)</f>
        <v>0.82352941176470495</v>
      </c>
      <c r="Z55" s="15">
        <f ca="1">IFERROR(__xludf.DUMMYFUNCTION("INDEX(IMPORTRANGE(""1y0FWgjbB0gVlqn-q5LMJbGIsqOrzru4yowQz67dz2yc"", ""'MTY'!BI3:BI139""),MATCH(D55,IMPORTRANGE(""1y0FWgjbB0gVlqn-q5LMJbGIsqOrzru4yowQz67dz2yc"", ""'MTY'!D3:D139""),0))"),0.823529411764705)</f>
        <v>0.82352941176470495</v>
      </c>
      <c r="AA55" s="2"/>
      <c r="AB55" s="2"/>
      <c r="AC55" s="2"/>
    </row>
    <row r="56" spans="1:29">
      <c r="A56" s="9" t="s">
        <v>147</v>
      </c>
      <c r="B56" s="9" t="s">
        <v>168</v>
      </c>
      <c r="C56" s="2" t="s">
        <v>30</v>
      </c>
      <c r="D56" s="149" t="s">
        <v>169</v>
      </c>
      <c r="E56" s="9" t="s">
        <v>38</v>
      </c>
      <c r="F56" s="9" t="s">
        <v>170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458">
        <v>107246</v>
      </c>
      <c r="Q56" s="458">
        <v>107246</v>
      </c>
      <c r="R56" s="4"/>
      <c r="S56" s="4"/>
      <c r="T56" s="4"/>
      <c r="U56" s="4"/>
      <c r="V56" s="4"/>
      <c r="W56" s="4"/>
      <c r="X56" s="458">
        <v>107501</v>
      </c>
      <c r="Y56" s="12">
        <f ca="1">IFERROR(__xludf.DUMMYFUNCTION("INDEX(IMPORTRANGE(""1y0FWgjbB0gVlqn-q5LMJbGIsqOrzru4yowQz67dz2yc"", ""'MTY'!BH3:BH139""),MATCH(D56,IMPORTRANGE(""1y0FWgjbB0gVlqn-q5LMJbGIsqOrzru4yowQz67dz2yc"", ""'MTY'!D3:D139""),0))"),107975)</f>
        <v>107975</v>
      </c>
      <c r="Z56" s="12">
        <f ca="1">IFERROR(__xludf.DUMMYFUNCTION("INDEX(IMPORTRANGE(""1y0FWgjbB0gVlqn-q5LMJbGIsqOrzru4yowQz67dz2yc"", ""'MTY'!BI3:BI139""),MATCH(D56,IMPORTRANGE(""1y0FWgjbB0gVlqn-q5LMJbGIsqOrzru4yowQz67dz2yc"", ""'MTY'!D3:D139""),0))"),108156)</f>
        <v>108156</v>
      </c>
      <c r="AA56" s="2"/>
      <c r="AB56" s="2"/>
      <c r="AC56" s="2"/>
    </row>
    <row r="57" spans="1:29">
      <c r="A57" s="9" t="s">
        <v>147</v>
      </c>
      <c r="B57" s="9" t="s">
        <v>168</v>
      </c>
      <c r="C57" s="2" t="s">
        <v>30</v>
      </c>
      <c r="D57" s="149" t="s">
        <v>171</v>
      </c>
      <c r="E57" s="9" t="s">
        <v>38</v>
      </c>
      <c r="F57" s="9" t="s">
        <v>172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458">
        <v>107246</v>
      </c>
      <c r="Q57" s="459">
        <v>107246</v>
      </c>
      <c r="R57" s="4"/>
      <c r="S57" s="4"/>
      <c r="T57" s="4"/>
      <c r="U57" s="4"/>
      <c r="V57" s="4"/>
      <c r="W57" s="4"/>
      <c r="X57" s="458">
        <v>107501</v>
      </c>
      <c r="Y57" s="12">
        <f ca="1">IFERROR(__xludf.DUMMYFUNCTION("INDEX(IMPORTRANGE(""1y0FWgjbB0gVlqn-q5LMJbGIsqOrzru4yowQz67dz2yc"", ""'MTY'!BH3:BH139""),MATCH(D57,IMPORTRANGE(""1y0FWgjbB0gVlqn-q5LMJbGIsqOrzru4yowQz67dz2yc"", ""'MTY'!D3:D139""),0))"),108002)</f>
        <v>108002</v>
      </c>
      <c r="Z57" s="12">
        <f ca="1">IFERROR(__xludf.DUMMYFUNCTION("INDEX(IMPORTRANGE(""1y0FWgjbB0gVlqn-q5LMJbGIsqOrzru4yowQz67dz2yc"", ""'MTY'!BI3:BI139""),MATCH(D57,IMPORTRANGE(""1y0FWgjbB0gVlqn-q5LMJbGIsqOrzru4yowQz67dz2yc"", ""'MTY'!D3:D139""),0))"),108226)</f>
        <v>108226</v>
      </c>
      <c r="AA57" s="2"/>
      <c r="AB57" s="2"/>
      <c r="AC57" s="2"/>
    </row>
    <row r="58" spans="1:29">
      <c r="A58" s="9" t="s">
        <v>147</v>
      </c>
      <c r="B58" s="9" t="s">
        <v>168</v>
      </c>
      <c r="C58" s="2" t="s">
        <v>36</v>
      </c>
      <c r="D58" s="149" t="s">
        <v>173</v>
      </c>
      <c r="E58" s="9" t="s">
        <v>38</v>
      </c>
      <c r="F58" s="9" t="s">
        <v>174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26">
        <f t="shared" ref="P58:Q58" si="8">P56/P57</f>
        <v>1</v>
      </c>
      <c r="Q58" s="26">
        <f t="shared" si="8"/>
        <v>1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26">
        <f>X56/X57</f>
        <v>1</v>
      </c>
      <c r="Y58" s="15">
        <f ca="1">IFERROR(__xludf.DUMMYFUNCTION("INDEX(IMPORTRANGE(""1y0FWgjbB0gVlqn-q5LMJbGIsqOrzru4yowQz67dz2yc"", ""'MTY'!BH3:BH139""),MATCH(D58,IMPORTRANGE(""1y0FWgjbB0gVlqn-q5LMJbGIsqOrzru4yowQz67dz2yc"", ""'MTY'!D3:D139""),0))"),0.999750004629543)</f>
        <v>0.999750004629543</v>
      </c>
      <c r="Z58" s="26">
        <f ca="1">IFERROR(__xludf.DUMMYFUNCTION("INDEX(IMPORTRANGE(""1y0FWgjbB0gVlqn-q5LMJbGIsqOrzru4yowQz67dz2yc"", ""'MTY'!BI3:BI139""),MATCH(D58,IMPORTRANGE(""1y0FWgjbB0gVlqn-q5LMJbGIsqOrzru4yowQz67dz2yc"", ""'MTY'!D3:D139""),0))"),0.999353205329588)</f>
        <v>0.99935320532958805</v>
      </c>
      <c r="AA58" s="2"/>
      <c r="AB58" s="2"/>
      <c r="AC58" s="2"/>
    </row>
    <row r="59" spans="1:29">
      <c r="A59" s="9" t="s">
        <v>147</v>
      </c>
      <c r="B59" s="9" t="s">
        <v>168</v>
      </c>
      <c r="C59" s="2" t="s">
        <v>30</v>
      </c>
      <c r="D59" s="149" t="s">
        <v>175</v>
      </c>
      <c r="E59" s="9" t="s">
        <v>38</v>
      </c>
      <c r="F59" s="9" t="s">
        <v>176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375160</v>
      </c>
      <c r="Q59" s="12">
        <v>375160</v>
      </c>
      <c r="R59" s="4"/>
      <c r="S59" s="4"/>
      <c r="T59" s="4"/>
      <c r="U59" s="4"/>
      <c r="V59" s="4"/>
      <c r="W59" s="4"/>
      <c r="X59" s="12">
        <v>375160</v>
      </c>
      <c r="Y59" s="12">
        <f ca="1">IFERROR(__xludf.DUMMYFUNCTION("INDEX(IMPORTRANGE(""1y0FWgjbB0gVlqn-q5LMJbGIsqOrzru4yowQz67dz2yc"", ""'MTY'!BH3:BH139""),MATCH(D59,IMPORTRANGE(""1y0FWgjbB0gVlqn-q5LMJbGIsqOrzru4yowQz67dz2yc"", ""'MTY'!D3:D139""),0))"),375160)</f>
        <v>375160</v>
      </c>
      <c r="Z59" s="12">
        <f ca="1">IFERROR(__xludf.DUMMYFUNCTION("INDEX(IMPORTRANGE(""1y0FWgjbB0gVlqn-q5LMJbGIsqOrzru4yowQz67dz2yc"", ""'MTY'!BI3:BI139""),MATCH(D59,IMPORTRANGE(""1y0FWgjbB0gVlqn-q5LMJbGIsqOrzru4yowQz67dz2yc"", ""'MTY'!D3:D139""),0))"),375160)</f>
        <v>375160</v>
      </c>
      <c r="AA59" s="2"/>
      <c r="AB59" s="2"/>
      <c r="AC59" s="2"/>
    </row>
    <row r="60" spans="1:29">
      <c r="A60" s="9" t="s">
        <v>147</v>
      </c>
      <c r="B60" s="9" t="s">
        <v>168</v>
      </c>
      <c r="C60" s="2" t="s">
        <v>36</v>
      </c>
      <c r="D60" s="454" t="s">
        <v>177</v>
      </c>
      <c r="E60" s="9" t="s">
        <v>38</v>
      </c>
      <c r="F60" s="2" t="s">
        <v>178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457">
        <f t="shared" ref="P60:Q60" si="9">P59/P35</f>
        <v>1</v>
      </c>
      <c r="Q60" s="457">
        <f t="shared" si="9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457">
        <f>X59/X35</f>
        <v>1</v>
      </c>
      <c r="Y60" s="15">
        <f ca="1">IFERROR(__xludf.DUMMYFUNCTION("INDEX(IMPORTRANGE(""1y0FWgjbB0gVlqn-q5LMJbGIsqOrzru4yowQz67dz2yc"", ""'MTY'!BH3:BH139""),MATCH(D60,IMPORTRANGE(""1y0FWgjbB0gVlqn-q5LMJbGIsqOrzru4yowQz67dz2yc"", ""'MTY'!D3:D139""),0))"),1)</f>
        <v>1</v>
      </c>
      <c r="Z60" s="12">
        <f ca="1">IFERROR(__xludf.DUMMYFUNCTION("INDEX(IMPORTRANGE(""1y0FWgjbB0gVlqn-q5LMJbGIsqOrzru4yowQz67dz2yc"", ""'MTY'!BI3:BI139""),MATCH(D60,IMPORTRANGE(""1y0FWgjbB0gVlqn-q5LMJbGIsqOrzru4yowQz67dz2yc"", ""'MTY'!D3:D139""),0))"),1)</f>
        <v>1</v>
      </c>
      <c r="AA60" s="2"/>
      <c r="AB60" s="2"/>
      <c r="AC60" s="2"/>
    </row>
    <row r="61" spans="1:29">
      <c r="A61" s="9" t="s">
        <v>147</v>
      </c>
      <c r="B61" s="9" t="s">
        <v>168</v>
      </c>
      <c r="C61" s="2" t="s">
        <v>30</v>
      </c>
      <c r="D61" s="149" t="s">
        <v>179</v>
      </c>
      <c r="E61" s="9" t="s">
        <v>38</v>
      </c>
      <c r="F61" s="9" t="s">
        <v>180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460">
        <v>30000000</v>
      </c>
      <c r="Q61" s="460">
        <v>30000000</v>
      </c>
      <c r="R61" s="4"/>
      <c r="S61" s="4"/>
      <c r="T61" s="4"/>
      <c r="U61" s="4"/>
      <c r="V61" s="4"/>
      <c r="W61" s="4"/>
      <c r="X61" s="459">
        <v>30039625.010000002</v>
      </c>
      <c r="Y61" s="12">
        <f ca="1">IFERROR(__xludf.DUMMYFUNCTION("INDEX(IMPORTRANGE(""1y0FWgjbB0gVlqn-q5LMJbGIsqOrzru4yowQz67dz2yc"", ""'MTY'!BH3:BH139""),MATCH(D61,IMPORTRANGE(""1y0FWgjbB0gVlqn-q5LMJbGIsqOrzru4yowQz67dz2yc"", ""'MTY'!D3:D139""),0))"),30066345.54)</f>
        <v>30066345.539999999</v>
      </c>
      <c r="Z61" s="12">
        <f ca="1">IFERROR(__xludf.DUMMYFUNCTION("INDEX(IMPORTRANGE(""1y0FWgjbB0gVlqn-q5LMJbGIsqOrzru4yowQz67dz2yc"", ""'MTY'!BI3:BI139""),MATCH(D61,IMPORTRANGE(""1y0FWgjbB0gVlqn-q5LMJbGIsqOrzru4yowQz67dz2yc"", ""'MTY'!D3:D139""),0))"),30104042.39)</f>
        <v>30104042.390000001</v>
      </c>
      <c r="AA61" s="2"/>
      <c r="AB61" s="2"/>
      <c r="AC61" s="2"/>
    </row>
    <row r="62" spans="1:29">
      <c r="A62" s="9" t="s">
        <v>147</v>
      </c>
      <c r="B62" s="9" t="s">
        <v>168</v>
      </c>
      <c r="C62" s="2" t="s">
        <v>30</v>
      </c>
      <c r="D62" s="149" t="s">
        <v>181</v>
      </c>
      <c r="E62" s="9" t="s">
        <v>38</v>
      </c>
      <c r="F62" s="9" t="s">
        <v>182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460">
        <v>30000000</v>
      </c>
      <c r="Q62" s="460">
        <v>300000000</v>
      </c>
      <c r="R62" s="4"/>
      <c r="S62" s="4"/>
      <c r="T62" s="4"/>
      <c r="U62" s="4"/>
      <c r="V62" s="4"/>
      <c r="W62" s="4"/>
      <c r="X62" s="459">
        <v>30039625.010000002</v>
      </c>
      <c r="Y62" s="12">
        <f ca="1">IFERROR(__xludf.DUMMYFUNCTION("INDEX(IMPORTRANGE(""1y0FWgjbB0gVlqn-q5LMJbGIsqOrzru4yowQz67dz2yc"", ""'MTY'!BH3:BH139""),MATCH(D62,IMPORTRANGE(""1y0FWgjbB0gVlqn-q5LMJbGIsqOrzru4yowQz67dz2yc"", ""'MTY'!D3:D139""),0))"),30072979.9399999)</f>
        <v>30072979.939999901</v>
      </c>
      <c r="Z62" s="12">
        <f ca="1">IFERROR(__xludf.DUMMYFUNCTION("INDEX(IMPORTRANGE(""1y0FWgjbB0gVlqn-q5LMJbGIsqOrzru4yowQz67dz2yc"", ""'MTY'!BI3:BI139""),MATCH(D62,IMPORTRANGE(""1y0FWgjbB0gVlqn-q5LMJbGIsqOrzru4yowQz67dz2yc"", ""'MTY'!D3:D139""),0))"),30109034.39)</f>
        <v>30109034.390000001</v>
      </c>
      <c r="AA62" s="2"/>
      <c r="AB62" s="2"/>
      <c r="AC62" s="2"/>
    </row>
    <row r="63" spans="1:29">
      <c r="A63" s="9" t="s">
        <v>147</v>
      </c>
      <c r="B63" s="9" t="s">
        <v>168</v>
      </c>
      <c r="C63" s="2" t="s">
        <v>36</v>
      </c>
      <c r="D63" s="149" t="s">
        <v>183</v>
      </c>
      <c r="E63" s="9" t="s">
        <v>38</v>
      </c>
      <c r="F63" s="9" t="s">
        <v>184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322">
        <f t="shared" ref="P63:Q63" si="10">P61/P62</f>
        <v>1</v>
      </c>
      <c r="Q63" s="322">
        <f t="shared" si="10"/>
        <v>0.1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322">
        <f>X61/X62</f>
        <v>1</v>
      </c>
      <c r="Y63" s="15">
        <f ca="1">IFERROR(__xludf.DUMMYFUNCTION("INDEX(IMPORTRANGE(""1y0FWgjbB0gVlqn-q5LMJbGIsqOrzru4yowQz67dz2yc"", ""'MTY'!BH3:BH139""),MATCH(D63,IMPORTRANGE(""1y0FWgjbB0gVlqn-q5LMJbGIsqOrzru4yowQz67dz2yc"", ""'MTY'!D3:D139""),0))"),0.999779390003477)</f>
        <v>0.99977939000347704</v>
      </c>
      <c r="Z63" s="12">
        <f ca="1">IFERROR(__xludf.DUMMYFUNCTION("INDEX(IMPORTRANGE(""1y0FWgjbB0gVlqn-q5LMJbGIsqOrzru4yowQz67dz2yc"", ""'MTY'!BI3:BI139""),MATCH(D63,IMPORTRANGE(""1y0FWgjbB0gVlqn-q5LMJbGIsqOrzru4yowQz67dz2yc"", ""'MTY'!D3:D139""),0))"),0.999834202587325)</f>
        <v>0.99983420258732503</v>
      </c>
      <c r="AA63" s="2"/>
      <c r="AB63" s="2"/>
      <c r="AC63" s="2"/>
    </row>
    <row r="64" spans="1:29">
      <c r="A64" s="9" t="s">
        <v>147</v>
      </c>
      <c r="B64" s="9" t="s">
        <v>168</v>
      </c>
      <c r="C64" s="2" t="s">
        <v>30</v>
      </c>
      <c r="D64" s="149" t="s">
        <v>185</v>
      </c>
      <c r="E64" s="9" t="s">
        <v>38</v>
      </c>
      <c r="F64" s="9" t="s">
        <v>186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461">
        <v>158559.6</v>
      </c>
      <c r="Q64" s="461">
        <v>158559.6</v>
      </c>
      <c r="R64" s="4"/>
      <c r="S64" s="4"/>
      <c r="T64" s="4"/>
      <c r="U64" s="4"/>
      <c r="V64" s="4"/>
      <c r="W64" s="4"/>
      <c r="X64" s="459">
        <v>159323.70000000001</v>
      </c>
      <c r="Y64" s="12">
        <f ca="1">IFERROR(__xludf.DUMMYFUNCTION("INDEX(IMPORTRANGE(""1y0FWgjbB0gVlqn-q5LMJbGIsqOrzru4yowQz67dz2yc"", ""'MTY'!BH3:BH139""),MATCH(D64,IMPORTRANGE(""1y0FWgjbB0gVlqn-q5LMJbGIsqOrzru4yowQz67dz2yc"", ""'MTY'!D3:D139""),0))"),159617.25)</f>
        <v>159617.25</v>
      </c>
      <c r="Z64" s="12">
        <f ca="1">IFERROR(__xludf.DUMMYFUNCTION("INDEX(IMPORTRANGE(""1y0FWgjbB0gVlqn-q5LMJbGIsqOrzru4yowQz67dz2yc"", ""'MTY'!BI3:BI139""),MATCH(D64,IMPORTRANGE(""1y0FWgjbB0gVlqn-q5LMJbGIsqOrzru4yowQz67dz2yc"", ""'MTY'!D3:D139""),0))"),159737.25)</f>
        <v>159737.25</v>
      </c>
      <c r="AA64" s="2"/>
      <c r="AB64" s="2"/>
      <c r="AC64" s="2"/>
    </row>
    <row r="65" spans="1:29">
      <c r="A65" s="9" t="s">
        <v>147</v>
      </c>
      <c r="B65" s="9" t="s">
        <v>168</v>
      </c>
      <c r="C65" s="2" t="s">
        <v>30</v>
      </c>
      <c r="D65" s="149" t="s">
        <v>187</v>
      </c>
      <c r="E65" s="9" t="s">
        <v>38</v>
      </c>
      <c r="F65" s="9" t="s">
        <v>188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461">
        <v>158605.20000000001</v>
      </c>
      <c r="Q65" s="461">
        <v>158605.20000000001</v>
      </c>
      <c r="R65" s="4"/>
      <c r="S65" s="4"/>
      <c r="T65" s="4"/>
      <c r="U65" s="4"/>
      <c r="V65" s="4"/>
      <c r="W65" s="4"/>
      <c r="X65" s="459">
        <v>159323.70000000001</v>
      </c>
      <c r="Y65" s="12">
        <f ca="1">IFERROR(__xludf.DUMMYFUNCTION("INDEX(IMPORTRANGE(""1y0FWgjbB0gVlqn-q5LMJbGIsqOrzru4yowQz67dz2yc"", ""'MTY'!BH3:BH139""),MATCH(D65,IMPORTRANGE(""1y0FWgjbB0gVlqn-q5LMJbGIsqOrzru4yowQz67dz2yc"", ""'MTY'!D3:D139""),0))"),159586.25)</f>
        <v>159586.25</v>
      </c>
      <c r="Z65" s="12">
        <f ca="1">IFERROR(__xludf.DUMMYFUNCTION("INDEX(IMPORTRANGE(""1y0FWgjbB0gVlqn-q5LMJbGIsqOrzru4yowQz67dz2yc"", ""'MTY'!BI3:BI139""),MATCH(D65,IMPORTRANGE(""1y0FWgjbB0gVlqn-q5LMJbGIsqOrzru4yowQz67dz2yc"", ""'MTY'!D3:D139""),0))"),159737.25)</f>
        <v>159737.25</v>
      </c>
      <c r="AA65" s="2"/>
      <c r="AB65" s="2"/>
      <c r="AC65" s="2"/>
    </row>
    <row r="66" spans="1:29">
      <c r="A66" s="9" t="s">
        <v>147</v>
      </c>
      <c r="B66" s="9" t="s">
        <v>168</v>
      </c>
      <c r="C66" s="2" t="s">
        <v>36</v>
      </c>
      <c r="D66" s="149" t="s">
        <v>189</v>
      </c>
      <c r="E66" s="9" t="s">
        <v>38</v>
      </c>
      <c r="F66" s="9" t="s">
        <v>190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462">
        <f t="shared" ref="P66:Q66" si="11">P64/P65</f>
        <v>0.99971249366351167</v>
      </c>
      <c r="Q66" s="462">
        <f t="shared" si="11"/>
        <v>0.99971249366351167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462">
        <f>X64/X65</f>
        <v>1</v>
      </c>
      <c r="Y66" s="19">
        <f ca="1">IFERROR(__xludf.DUMMYFUNCTION("INDEX(IMPORTRANGE(""1y0FWgjbB0gVlqn-q5LMJbGIsqOrzru4yowQz67dz2yc"", ""'MTY'!BH3:BH139""),MATCH(D66,IMPORTRANGE(""1y0FWgjbB0gVlqn-q5LMJbGIsqOrzru4yowQz67dz2yc"", ""'MTY'!D3:D139""),0))"),1.00019425232437)</f>
        <v>1.0001942523243701</v>
      </c>
      <c r="Z66" s="12">
        <f ca="1">IFERROR(__xludf.DUMMYFUNCTION("INDEX(IMPORTRANGE(""1y0FWgjbB0gVlqn-q5LMJbGIsqOrzru4yowQz67dz2yc"", ""'MTY'!BI3:BI139""),MATCH(D66,IMPORTRANGE(""1y0FWgjbB0gVlqn-q5LMJbGIsqOrzru4yowQz67dz2yc"", ""'MTY'!D3:D139""),0))"),1)</f>
        <v>1</v>
      </c>
      <c r="AA66" s="2"/>
      <c r="AB66" s="2"/>
      <c r="AC66" s="2"/>
    </row>
    <row r="67" spans="1:29">
      <c r="A67" s="9" t="s">
        <v>147</v>
      </c>
      <c r="B67" s="9" t="s">
        <v>168</v>
      </c>
      <c r="C67" s="2" t="s">
        <v>30</v>
      </c>
      <c r="D67" s="149" t="s">
        <v>191</v>
      </c>
      <c r="E67" s="9" t="s">
        <v>38</v>
      </c>
      <c r="F67" s="9" t="s">
        <v>192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v>0</v>
      </c>
      <c r="Q67" s="23">
        <v>4.8600000000000003</v>
      </c>
      <c r="R67" s="2">
        <v>28.8</v>
      </c>
      <c r="S67" s="2">
        <v>13</v>
      </c>
      <c r="T67" s="2">
        <v>34.299999999999997</v>
      </c>
      <c r="U67" s="2">
        <v>13</v>
      </c>
      <c r="V67" s="2">
        <v>34.4</v>
      </c>
      <c r="W67" s="2">
        <v>97.5</v>
      </c>
      <c r="X67" s="24">
        <v>22.32</v>
      </c>
      <c r="Y67" s="23">
        <f ca="1">IFERROR(__xludf.DUMMYFUNCTION("INDEX(IMPORTRANGE(""1y0FWgjbB0gVlqn-q5LMJbGIsqOrzru4yowQz67dz2yc"", ""'MTY'!BH3:BH139""),MATCH(D67,IMPORTRANGE(""1y0FWgjbB0gVlqn-q5LMJbGIsqOrzru4yowQz67dz2yc"", ""'MTY'!D3:D139""),0))"),39.18)</f>
        <v>39.18</v>
      </c>
      <c r="Z67" s="12">
        <f ca="1">IFERROR(__xludf.DUMMYFUNCTION("INDEX(IMPORTRANGE(""1y0FWgjbB0gVlqn-q5LMJbGIsqOrzru4yowQz67dz2yc"", ""'MTY'!BI3:BI139""),MATCH(D67,IMPORTRANGE(""1y0FWgjbB0gVlqn-q5LMJbGIsqOrzru4yowQz67dz2yc"", ""'MTY'!D3:D139""),0))"),15.19)</f>
        <v>15.19</v>
      </c>
      <c r="AA67" s="2"/>
      <c r="AB67" s="2"/>
      <c r="AC67" s="2"/>
    </row>
    <row r="68" spans="1:29">
      <c r="A68" s="9" t="s">
        <v>147</v>
      </c>
      <c r="B68" s="9" t="s">
        <v>168</v>
      </c>
      <c r="C68" s="2" t="s">
        <v>30</v>
      </c>
      <c r="D68" s="149" t="s">
        <v>193</v>
      </c>
      <c r="E68" s="9" t="s">
        <v>38</v>
      </c>
      <c r="F68" s="9" t="s">
        <v>194</v>
      </c>
      <c r="G68" s="2" t="s">
        <v>56</v>
      </c>
      <c r="H68" s="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23">
        <v>0</v>
      </c>
      <c r="Q68" s="23">
        <v>4.5580000000000002E-2</v>
      </c>
      <c r="R68" s="2">
        <v>0.64</v>
      </c>
      <c r="S68" s="2">
        <v>0.15</v>
      </c>
      <c r="T68" s="2">
        <v>0.41</v>
      </c>
      <c r="U68" s="2">
        <v>0.2</v>
      </c>
      <c r="V68" s="2">
        <v>0.5</v>
      </c>
      <c r="W68" s="2">
        <v>1.55</v>
      </c>
      <c r="X68" s="23">
        <v>0.76</v>
      </c>
      <c r="Y68" s="23">
        <f ca="1">IFERROR(__xludf.DUMMYFUNCTION("INDEX(IMPORTRANGE(""1y0FWgjbB0gVlqn-q5LMJbGIsqOrzru4yowQz67dz2yc"", ""'MTY'!BH3:BH139""),MATCH(D68,IMPORTRANGE(""1y0FWgjbB0gVlqn-q5LMJbGIsqOrzru4yowQz67dz2yc"", ""'MTY'!D3:D139""),0))"),1.69581)</f>
        <v>1.69581</v>
      </c>
      <c r="Z68" s="12">
        <f ca="1">IFERROR(__xludf.DUMMYFUNCTION("INDEX(IMPORTRANGE(""1y0FWgjbB0gVlqn-q5LMJbGIsqOrzru4yowQz67dz2yc"", ""'MTY'!BI3:BI139""),MATCH(D68,IMPORTRANGE(""1y0FWgjbB0gVlqn-q5LMJbGIsqOrzru4yowQz67dz2yc"", ""'MTY'!D3:D139""),0))"),0.0985)</f>
        <v>9.8500000000000004E-2</v>
      </c>
      <c r="AA68" s="2"/>
      <c r="AB68" s="2"/>
      <c r="AC68" s="2"/>
    </row>
    <row r="69" spans="1:29">
      <c r="A69" s="9" t="s">
        <v>147</v>
      </c>
      <c r="B69" s="9" t="s">
        <v>168</v>
      </c>
      <c r="C69" s="2" t="s">
        <v>30</v>
      </c>
      <c r="D69" s="149" t="s">
        <v>195</v>
      </c>
      <c r="E69" s="9" t="s">
        <v>38</v>
      </c>
      <c r="F69" s="9" t="s">
        <v>196</v>
      </c>
      <c r="G69" s="11">
        <v>44469</v>
      </c>
      <c r="H69" s="11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2">
        <v>0</v>
      </c>
      <c r="Q69" s="2">
        <v>0</v>
      </c>
      <c r="R69" s="4"/>
      <c r="S69" s="4"/>
      <c r="T69" s="4"/>
      <c r="U69" s="4"/>
      <c r="V69" s="4"/>
      <c r="W69" s="4"/>
      <c r="X69" s="2">
        <v>0</v>
      </c>
      <c r="Y69" s="23" t="str">
        <f ca="1">IFERROR(__xludf.DUMMYFUNCTION("INDEX(IMPORTRANGE(""1y0FWgjbB0gVlqn-q5LMJbGIsqOrzru4yowQz67dz2yc"", ""'MTY'!BH3:BH139""),MATCH(D69,IMPORTRANGE(""1y0FWgjbB0gVlqn-q5LMJbGIsqOrzru4yowQz67dz2yc"", ""'MTY'!D3:D139""),0))"),"")</f>
        <v/>
      </c>
      <c r="Z69" s="12" t="str">
        <f ca="1">IFERROR(__xludf.DUMMYFUNCTION("INDEX(IMPORTRANGE(""1y0FWgjbB0gVlqn-q5LMJbGIsqOrzru4yowQz67dz2yc"", ""'MTY'!BI3:BI139""),MATCH(D69,IMPORTRANGE(""1y0FWgjbB0gVlqn-q5LMJbGIsqOrzru4yowQz67dz2yc"", ""'MTY'!D3:D139""),0))"),"")</f>
        <v/>
      </c>
      <c r="AA69" s="2"/>
      <c r="AB69" s="2"/>
      <c r="AC69" s="2"/>
    </row>
    <row r="70" spans="1:29">
      <c r="A70" s="9" t="s">
        <v>147</v>
      </c>
      <c r="B70" s="9" t="s">
        <v>168</v>
      </c>
      <c r="C70" s="2" t="s">
        <v>36</v>
      </c>
      <c r="D70" s="149" t="s">
        <v>197</v>
      </c>
      <c r="E70" s="9" t="s">
        <v>38</v>
      </c>
      <c r="F70" s="9" t="s">
        <v>198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f t="shared" ref="P70:X70" si="12">P67+P68</f>
        <v>0</v>
      </c>
      <c r="Q70" s="23">
        <f t="shared" si="12"/>
        <v>4.9055800000000005</v>
      </c>
      <c r="R70" s="4">
        <f t="shared" si="12"/>
        <v>29.44</v>
      </c>
      <c r="S70" s="4">
        <f t="shared" si="12"/>
        <v>13.15</v>
      </c>
      <c r="T70" s="4">
        <f t="shared" si="12"/>
        <v>34.709999999999994</v>
      </c>
      <c r="U70" s="4">
        <f t="shared" si="12"/>
        <v>13.2</v>
      </c>
      <c r="V70" s="4">
        <f t="shared" si="12"/>
        <v>34.9</v>
      </c>
      <c r="W70" s="4">
        <f t="shared" si="12"/>
        <v>99.05</v>
      </c>
      <c r="X70" s="23">
        <f t="shared" si="12"/>
        <v>23.080000000000002</v>
      </c>
      <c r="Y70" s="23">
        <f ca="1">IFERROR(__xludf.DUMMYFUNCTION("INDEX(IMPORTRANGE(""1y0FWgjbB0gVlqn-q5LMJbGIsqOrzru4yowQz67dz2yc"", ""'MTY'!BH3:BH139""),MATCH(D70,IMPORTRANGE(""1y0FWgjbB0gVlqn-q5LMJbGIsqOrzru4yowQz67dz2yc"", ""'MTY'!D3:D139""),0))"),40.87581)</f>
        <v>40.875810000000001</v>
      </c>
      <c r="Z70" s="12">
        <f ca="1">IFERROR(__xludf.DUMMYFUNCTION("INDEX(IMPORTRANGE(""1y0FWgjbB0gVlqn-q5LMJbGIsqOrzru4yowQz67dz2yc"", ""'MTY'!BI3:BI139""),MATCH(D70,IMPORTRANGE(""1y0FWgjbB0gVlqn-q5LMJbGIsqOrzru4yowQz67dz2yc"", ""'MTY'!D3:D139""),0))"),15.2885)</f>
        <v>15.288500000000001</v>
      </c>
      <c r="AA70" s="2"/>
      <c r="AB70" s="2"/>
      <c r="AC70" s="2"/>
    </row>
    <row r="71" spans="1:29">
      <c r="A71" s="9" t="s">
        <v>199</v>
      </c>
      <c r="B71" s="9" t="s">
        <v>200</v>
      </c>
      <c r="C71" s="2" t="s">
        <v>36</v>
      </c>
      <c r="D71" s="149" t="s">
        <v>201</v>
      </c>
      <c r="E71" s="9" t="s">
        <v>38</v>
      </c>
      <c r="F71" s="9" t="s">
        <v>202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3">
        <v>5.12</v>
      </c>
      <c r="Q71" s="23">
        <v>5.12</v>
      </c>
      <c r="R71" s="2">
        <v>7</v>
      </c>
      <c r="S71" s="2">
        <v>9</v>
      </c>
      <c r="T71" s="2">
        <v>11</v>
      </c>
      <c r="U71" s="2">
        <v>13</v>
      </c>
      <c r="V71" s="2">
        <v>15</v>
      </c>
      <c r="W71" s="2">
        <v>15</v>
      </c>
      <c r="X71" s="23">
        <v>5.12</v>
      </c>
      <c r="Y71" s="23">
        <f ca="1">IFERROR(__xludf.DUMMYFUNCTION("INDEX(IMPORTRANGE(""1y0FWgjbB0gVlqn-q5LMJbGIsqOrzru4yowQz67dz2yc"", ""'MTY'!BH3:BH139""),MATCH(D71,IMPORTRANGE(""1y0FWgjbB0gVlqn-q5LMJbGIsqOrzru4yowQz67dz2yc"", ""'MTY'!D3:D139""),0))"),9.59)</f>
        <v>9.59</v>
      </c>
      <c r="Z71" s="30">
        <f ca="1">IFERROR(__xludf.DUMMYFUNCTION("INDEX(IMPORTRANGE(""1y0FWgjbB0gVlqn-q5LMJbGIsqOrzru4yowQz67dz2yc"", ""'MTY'!BI3:BI139""),MATCH(D71,IMPORTRANGE(""1y0FWgjbB0gVlqn-q5LMJbGIsqOrzru4yowQz67dz2yc"", ""'MTY'!D3:D139""),0))"),9.205)</f>
        <v>9.2050000000000001</v>
      </c>
      <c r="AA71" s="2"/>
      <c r="AB71" s="2"/>
      <c r="AC71" s="2"/>
    </row>
    <row r="72" spans="1:29">
      <c r="A72" s="9" t="s">
        <v>199</v>
      </c>
      <c r="B72" s="9" t="s">
        <v>200</v>
      </c>
      <c r="C72" s="2" t="s">
        <v>30</v>
      </c>
      <c r="D72" s="149" t="s">
        <v>203</v>
      </c>
      <c r="E72" s="9" t="s">
        <v>38</v>
      </c>
      <c r="F72" s="9" t="s">
        <v>204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2">
        <v>12135</v>
      </c>
      <c r="S72" s="12">
        <v>4000</v>
      </c>
      <c r="T72" s="12">
        <v>9000</v>
      </c>
      <c r="U72" s="12">
        <v>3000</v>
      </c>
      <c r="V72" s="12">
        <v>6000</v>
      </c>
      <c r="W72" s="12">
        <v>27135</v>
      </c>
      <c r="X72" s="23">
        <v>9971.4699999999993</v>
      </c>
      <c r="Y72" s="23">
        <f ca="1">IFERROR(__xludf.DUMMYFUNCTION("INDEX(IMPORTRANGE(""1y0FWgjbB0gVlqn-q5LMJbGIsqOrzru4yowQz67dz2yc"", ""'MTY'!BH3:BH139""),MATCH(D72,IMPORTRANGE(""1y0FWgjbB0gVlqn-q5LMJbGIsqOrzru4yowQz67dz2yc"", ""'MTY'!D3:D139""),0))"),14313.29)</f>
        <v>14313.29</v>
      </c>
      <c r="Z72" s="12">
        <f ca="1">IFERROR(__xludf.DUMMYFUNCTION("INDEX(IMPORTRANGE(""1y0FWgjbB0gVlqn-q5LMJbGIsqOrzru4yowQz67dz2yc"", ""'MTY'!BI3:BI139""),MATCH(D72,IMPORTRANGE(""1y0FWgjbB0gVlqn-q5LMJbGIsqOrzru4yowQz67dz2yc"", ""'MTY'!D3:D139""),0))"),1518.72)</f>
        <v>1518.72</v>
      </c>
      <c r="AA72" s="2"/>
      <c r="AB72" s="2"/>
      <c r="AC72" s="2"/>
    </row>
    <row r="73" spans="1:29">
      <c r="A73" s="9" t="s">
        <v>199</v>
      </c>
      <c r="B73" s="9" t="s">
        <v>200</v>
      </c>
      <c r="C73" s="2" t="s">
        <v>30</v>
      </c>
      <c r="D73" s="149" t="s">
        <v>205</v>
      </c>
      <c r="E73" s="9" t="s">
        <v>38</v>
      </c>
      <c r="F73" s="9" t="s">
        <v>206</v>
      </c>
      <c r="G73" s="2" t="s">
        <v>56</v>
      </c>
      <c r="H73" s="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12">
        <v>440</v>
      </c>
      <c r="S73" s="12">
        <v>200</v>
      </c>
      <c r="T73" s="12">
        <v>440</v>
      </c>
      <c r="U73" s="12">
        <v>200</v>
      </c>
      <c r="V73" s="12">
        <v>445</v>
      </c>
      <c r="W73" s="12">
        <v>1325</v>
      </c>
      <c r="X73" s="23">
        <v>320</v>
      </c>
      <c r="Y73" s="23">
        <f ca="1">IFERROR(__xludf.DUMMYFUNCTION("INDEX(IMPORTRANGE(""1y0FWgjbB0gVlqn-q5LMJbGIsqOrzru4yowQz67dz2yc"", ""'MTY'!BH3:BH139""),MATCH(D73,IMPORTRANGE(""1y0FWgjbB0gVlqn-q5LMJbGIsqOrzru4yowQz67dz2yc"", ""'MTY'!D3:D139""),0))"),2089.33999999999)</f>
        <v>2089.3399999999901</v>
      </c>
      <c r="Z73" s="12">
        <f ca="1">IFERROR(__xludf.DUMMYFUNCTION("INDEX(IMPORTRANGE(""1y0FWgjbB0gVlqn-q5LMJbGIsqOrzru4yowQz67dz2yc"", ""'MTY'!BI3:BI139""),MATCH(D73,IMPORTRANGE(""1y0FWgjbB0gVlqn-q5LMJbGIsqOrzru4yowQz67dz2yc"", ""'MTY'!D3:D139""),0))"),6313.13999999999)</f>
        <v>6313.1399999999903</v>
      </c>
      <c r="AA73" s="2"/>
      <c r="AB73" s="2"/>
      <c r="AC73" s="2"/>
    </row>
    <row r="74" spans="1:29">
      <c r="A74" s="9" t="s">
        <v>199</v>
      </c>
      <c r="B74" s="9" t="s">
        <v>200</v>
      </c>
      <c r="C74" s="2" t="s">
        <v>30</v>
      </c>
      <c r="D74" s="149" t="s">
        <v>207</v>
      </c>
      <c r="E74" s="9" t="s">
        <v>38</v>
      </c>
      <c r="F74" s="9" t="s">
        <v>208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2">
        <v>8780</v>
      </c>
      <c r="S74" s="12">
        <v>3000</v>
      </c>
      <c r="T74" s="12">
        <v>10000</v>
      </c>
      <c r="U74" s="12">
        <v>2000</v>
      </c>
      <c r="V74" s="12">
        <v>5000</v>
      </c>
      <c r="W74" s="12">
        <v>23780</v>
      </c>
      <c r="X74" s="23">
        <v>8778.8700000000008</v>
      </c>
      <c r="Y74" s="23">
        <f ca="1">IFERROR(__xludf.DUMMYFUNCTION("INDEX(IMPORTRANGE(""1y0FWgjbB0gVlqn-q5LMJbGIsqOrzru4yowQz67dz2yc"", ""'MTY'!BH3:BH139""),MATCH(D74,IMPORTRANGE(""1y0FWgjbB0gVlqn-q5LMJbGIsqOrzru4yowQz67dz2yc"", ""'MTY'!D3:D139""),0))"),10548.2099999999)</f>
        <v>10548.209999999901</v>
      </c>
      <c r="Z74" s="12">
        <f ca="1">IFERROR(__xludf.DUMMYFUNCTION("INDEX(IMPORTRANGE(""1y0FWgjbB0gVlqn-q5LMJbGIsqOrzru4yowQz67dz2yc"", ""'MTY'!BI3:BI139""),MATCH(D74,IMPORTRANGE(""1y0FWgjbB0gVlqn-q5LMJbGIsqOrzru4yowQz67dz2yc"", ""'MTY'!D3:D139""),0))"),6313.13999999999)</f>
        <v>6313.1399999999903</v>
      </c>
      <c r="AA74" s="2"/>
      <c r="AB74" s="2"/>
      <c r="AC74" s="2"/>
    </row>
    <row r="75" spans="1:29">
      <c r="A75" s="9" t="s">
        <v>199</v>
      </c>
      <c r="B75" s="9" t="s">
        <v>200</v>
      </c>
      <c r="C75" s="2" t="s">
        <v>36</v>
      </c>
      <c r="D75" s="149" t="s">
        <v>209</v>
      </c>
      <c r="E75" s="9" t="s">
        <v>38</v>
      </c>
      <c r="F75" s="9" t="s">
        <v>210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6">
        <f t="shared" ref="R75:W75" si="13">SUM(R72:R74)</f>
        <v>21355</v>
      </c>
      <c r="S75" s="6">
        <f t="shared" si="13"/>
        <v>7200</v>
      </c>
      <c r="T75" s="6">
        <f t="shared" si="13"/>
        <v>19440</v>
      </c>
      <c r="U75" s="6">
        <f t="shared" si="13"/>
        <v>5200</v>
      </c>
      <c r="V75" s="6">
        <f t="shared" si="13"/>
        <v>11445</v>
      </c>
      <c r="W75" s="6">
        <f t="shared" si="13"/>
        <v>52240</v>
      </c>
      <c r="X75" s="23">
        <f>X72+X73+X74</f>
        <v>19070.34</v>
      </c>
      <c r="Y75" s="23">
        <f ca="1">IFERROR(__xludf.DUMMYFUNCTION("INDEX(IMPORTRANGE(""1y0FWgjbB0gVlqn-q5LMJbGIsqOrzru4yowQz67dz2yc"", ""'MTY'!BH3:BH139""),MATCH(D75,IMPORTRANGE(""1y0FWgjbB0gVlqn-q5LMJbGIsqOrzru4yowQz67dz2yc"", ""'MTY'!D3:D139""),0))"),26950.8399999999)</f>
        <v>26950.839999999898</v>
      </c>
      <c r="Z75" s="12">
        <f ca="1">IFERROR(__xludf.DUMMYFUNCTION("INDEX(IMPORTRANGE(""1y0FWgjbB0gVlqn-q5LMJbGIsqOrzru4yowQz67dz2yc"", ""'MTY'!BI3:BI139""),MATCH(D75,IMPORTRANGE(""1y0FWgjbB0gVlqn-q5LMJbGIsqOrzru4yowQz67dz2yc"", ""'MTY'!D3:D139""),0))"),14145)</f>
        <v>14145</v>
      </c>
      <c r="AA75" s="2"/>
      <c r="AB75" s="2"/>
      <c r="AC75" s="2"/>
    </row>
    <row r="76" spans="1:29">
      <c r="A76" s="9" t="s">
        <v>199</v>
      </c>
      <c r="B76" s="9" t="s">
        <v>200</v>
      </c>
      <c r="C76" s="2" t="s">
        <v>30</v>
      </c>
      <c r="D76" s="149" t="s">
        <v>211</v>
      </c>
      <c r="E76" s="9" t="s">
        <v>38</v>
      </c>
      <c r="F76" s="9" t="s">
        <v>212</v>
      </c>
      <c r="G76" s="9" t="s">
        <v>213</v>
      </c>
      <c r="H76" s="2" t="s">
        <v>214</v>
      </c>
      <c r="I76" s="9" t="s">
        <v>215</v>
      </c>
      <c r="J76" s="4"/>
      <c r="K76" s="9" t="s">
        <v>216</v>
      </c>
      <c r="L76" s="4"/>
      <c r="M76" s="9" t="s">
        <v>217</v>
      </c>
      <c r="N76" s="2" t="s">
        <v>218</v>
      </c>
      <c r="O76" s="2" t="s">
        <v>218</v>
      </c>
      <c r="P76" s="36">
        <v>405781762.76999998</v>
      </c>
      <c r="Q76" s="50">
        <v>405781762.76999998</v>
      </c>
      <c r="R76" s="178"/>
      <c r="S76" s="178"/>
      <c r="T76" s="178"/>
      <c r="U76" s="178"/>
      <c r="V76" s="178"/>
      <c r="W76" s="178"/>
      <c r="X76" s="50">
        <v>405781762.76999998</v>
      </c>
      <c r="Y76" s="468" t="str">
        <f ca="1">IFERROR(__xludf.DUMMYFUNCTION("INDEX(IMPORTRANGE(""1y0FWgjbB0gVlqn-q5LMJbGIsqOrzru4yowQz67dz2yc"", ""'MTY'!BH3:BH139""),MATCH(D76,IMPORTRANGE(""1y0FWgjbB0gVlqn-q5LMJbGIsqOrzru4yowQz67dz2yc"", ""'MTY'!D3:D139""),0))"),"")</f>
        <v/>
      </c>
      <c r="Z76" s="12">
        <f ca="1">IFERROR(__xludf.DUMMYFUNCTION("INDEX(IMPORTRANGE(""1y0FWgjbB0gVlqn-q5LMJbGIsqOrzru4yowQz67dz2yc"", ""'MTY'!BI3:BI139""),MATCH(D76,IMPORTRANGE(""1y0FWgjbB0gVlqn-q5LMJbGIsqOrzru4yowQz67dz2yc"", ""'MTY'!D3:D139""),0))"),184765477.29)</f>
        <v>184765477.28999999</v>
      </c>
      <c r="AA76" s="2"/>
      <c r="AB76" s="2"/>
      <c r="AC76" s="2"/>
    </row>
    <row r="77" spans="1:29">
      <c r="A77" s="9" t="s">
        <v>199</v>
      </c>
      <c r="B77" s="9" t="s">
        <v>200</v>
      </c>
      <c r="C77" s="2" t="s">
        <v>30</v>
      </c>
      <c r="D77" s="149" t="s">
        <v>219</v>
      </c>
      <c r="E77" s="9" t="s">
        <v>38</v>
      </c>
      <c r="F77" s="9" t="s">
        <v>220</v>
      </c>
      <c r="G77" s="9" t="s">
        <v>213</v>
      </c>
      <c r="H77" s="2" t="s">
        <v>214</v>
      </c>
      <c r="I77" s="9" t="s">
        <v>215</v>
      </c>
      <c r="J77" s="4"/>
      <c r="K77" s="9" t="s">
        <v>216</v>
      </c>
      <c r="L77" s="4"/>
      <c r="M77" s="9" t="s">
        <v>217</v>
      </c>
      <c r="N77" s="2" t="s">
        <v>218</v>
      </c>
      <c r="O77" s="2" t="s">
        <v>218</v>
      </c>
      <c r="P77" s="36">
        <v>45709853.130000003</v>
      </c>
      <c r="Q77" s="50">
        <v>45709853.130000003</v>
      </c>
      <c r="R77" s="178"/>
      <c r="S77" s="178"/>
      <c r="T77" s="178"/>
      <c r="U77" s="178"/>
      <c r="V77" s="178"/>
      <c r="W77" s="178"/>
      <c r="X77" s="50">
        <v>45709853.130000003</v>
      </c>
      <c r="Y77" s="468" t="str">
        <f ca="1">IFERROR(__xludf.DUMMYFUNCTION("INDEX(IMPORTRANGE(""1y0FWgjbB0gVlqn-q5LMJbGIsqOrzru4yowQz67dz2yc"", ""'MTY'!BH3:BH139""),MATCH(D77,IMPORTRANGE(""1y0FWgjbB0gVlqn-q5LMJbGIsqOrzru4yowQz67dz2yc"", ""'MTY'!D3:D139""),0))"),"")</f>
        <v/>
      </c>
      <c r="Z77" s="12">
        <f ca="1">IFERROR(__xludf.DUMMYFUNCTION("INDEX(IMPORTRANGE(""1y0FWgjbB0gVlqn-q5LMJbGIsqOrzru4yowQz67dz2yc"", ""'MTY'!BI3:BI139""),MATCH(D77,IMPORTRANGE(""1y0FWgjbB0gVlqn-q5LMJbGIsqOrzru4yowQz67dz2yc"", ""'MTY'!D3:D139""),0))"),48730397.06)</f>
        <v>48730397.060000002</v>
      </c>
      <c r="AA77" s="2"/>
      <c r="AB77" s="2"/>
      <c r="AC77" s="2"/>
    </row>
    <row r="78" spans="1:29">
      <c r="A78" s="9" t="s">
        <v>199</v>
      </c>
      <c r="B78" s="9" t="s">
        <v>200</v>
      </c>
      <c r="C78" s="2" t="s">
        <v>36</v>
      </c>
      <c r="D78" s="149" t="s">
        <v>221</v>
      </c>
      <c r="E78" s="9" t="s">
        <v>38</v>
      </c>
      <c r="F78" s="9" t="s">
        <v>222</v>
      </c>
      <c r="G78" s="9" t="s">
        <v>213</v>
      </c>
      <c r="H78" s="2" t="s">
        <v>214</v>
      </c>
      <c r="I78" s="9" t="s">
        <v>215</v>
      </c>
      <c r="J78" s="4"/>
      <c r="K78" s="9" t="s">
        <v>216</v>
      </c>
      <c r="L78" s="4"/>
      <c r="M78" s="9" t="s">
        <v>217</v>
      </c>
      <c r="N78" s="2" t="s">
        <v>218</v>
      </c>
      <c r="O78" s="2" t="s">
        <v>218</v>
      </c>
      <c r="P78" s="15">
        <f t="shared" ref="P78:Q78" si="14">P77/P76</f>
        <v>0.1126463959788865</v>
      </c>
      <c r="Q78" s="15">
        <f t="shared" si="14"/>
        <v>0.1126463959788865</v>
      </c>
      <c r="R78" s="26"/>
      <c r="S78" s="26">
        <v>0.19</v>
      </c>
      <c r="T78" s="469"/>
      <c r="U78" s="26">
        <v>0.14000000000000001</v>
      </c>
      <c r="V78" s="26">
        <v>0.1</v>
      </c>
      <c r="W78" s="26">
        <v>0.1</v>
      </c>
      <c r="X78" s="15">
        <f>X77/X76</f>
        <v>0.1126463959788865</v>
      </c>
      <c r="Y78" s="468" t="str">
        <f ca="1">IFERROR(__xludf.DUMMYFUNCTION("INDEX(IMPORTRANGE(""1y0FWgjbB0gVlqn-q5LMJbGIsqOrzru4yowQz67dz2yc"", ""'MTY'!BH3:BH139""),MATCH(D78,IMPORTRANGE(""1y0FWgjbB0gVlqn-q5LMJbGIsqOrzru4yowQz67dz2yc"", ""'MTY'!D3:D139""),0))"),"")</f>
        <v/>
      </c>
      <c r="Z78" s="26">
        <f ca="1">IFERROR(__xludf.DUMMYFUNCTION("INDEX(IMPORTRANGE(""1y0FWgjbB0gVlqn-q5LMJbGIsqOrzru4yowQz67dz2yc"", ""'MTY'!BI3:BI139""),MATCH(D78,IMPORTRANGE(""1y0FWgjbB0gVlqn-q5LMJbGIsqOrzru4yowQz67dz2yc"", ""'MTY'!D3:D139""),0))"),0.263741894723735)</f>
        <v>0.26374189472373499</v>
      </c>
      <c r="AA78" s="2"/>
      <c r="AB78" s="2"/>
      <c r="AC78" s="2"/>
    </row>
    <row r="79" spans="1:29">
      <c r="A79" s="9" t="s">
        <v>199</v>
      </c>
      <c r="B79" s="9" t="s">
        <v>200</v>
      </c>
      <c r="C79" s="2" t="s">
        <v>30</v>
      </c>
      <c r="D79" s="149" t="s">
        <v>223</v>
      </c>
      <c r="E79" s="9" t="s">
        <v>38</v>
      </c>
      <c r="F79" s="9" t="s">
        <v>224</v>
      </c>
      <c r="G79" s="2" t="s">
        <v>56</v>
      </c>
      <c r="H79" s="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0</v>
      </c>
      <c r="Q79" s="2">
        <v>0</v>
      </c>
      <c r="R79" s="2">
        <v>50</v>
      </c>
      <c r="S79" s="2">
        <v>10</v>
      </c>
      <c r="T79" s="2">
        <v>25</v>
      </c>
      <c r="U79" s="2">
        <v>10</v>
      </c>
      <c r="V79" s="2">
        <v>25</v>
      </c>
      <c r="W79" s="2">
        <v>100</v>
      </c>
      <c r="X79" s="2">
        <v>0</v>
      </c>
      <c r="Y79" s="12">
        <f ca="1">IFERROR(__xludf.DUMMYFUNCTION("INDEX(IMPORTRANGE(""1y0FWgjbB0gVlqn-q5LMJbGIsqOrzru4yowQz67dz2yc"", ""'MTY'!BH3:BH139""),MATCH(D79,IMPORTRANGE(""1y0FWgjbB0gVlqn-q5LMJbGIsqOrzru4yowQz67dz2yc"", ""'MTY'!D3:D139""),0))"),42)</f>
        <v>42</v>
      </c>
      <c r="Z79" s="12">
        <f ca="1">IFERROR(__xludf.DUMMYFUNCTION("INDEX(IMPORTRANGE(""1y0FWgjbB0gVlqn-q5LMJbGIsqOrzru4yowQz67dz2yc"", ""'MTY'!BI3:BI139""),MATCH(D79,IMPORTRANGE(""1y0FWgjbB0gVlqn-q5LMJbGIsqOrzru4yowQz67dz2yc"", ""'MTY'!D3:D139""),0))"),46)</f>
        <v>46</v>
      </c>
      <c r="AA79" s="2"/>
      <c r="AB79" s="2"/>
      <c r="AC79" s="2"/>
    </row>
    <row r="80" spans="1:29">
      <c r="A80" s="9" t="s">
        <v>199</v>
      </c>
      <c r="B80" s="9" t="s">
        <v>200</v>
      </c>
      <c r="C80" s="2" t="s">
        <v>30</v>
      </c>
      <c r="D80" s="149" t="s">
        <v>225</v>
      </c>
      <c r="E80" s="9" t="s">
        <v>38</v>
      </c>
      <c r="F80" s="9" t="s">
        <v>182</v>
      </c>
      <c r="G80" s="2" t="s">
        <v>56</v>
      </c>
      <c r="H80" s="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12">
        <f ca="1">IFERROR(__xludf.DUMMYFUNCTION("INDEX(IMPORTRANGE(""1y0FWgjbB0gVlqn-q5LMJbGIsqOrzru4yowQz67dz2yc"", ""'MTY'!BH3:BH139""),MATCH(D80,IMPORTRANGE(""1y0FWgjbB0gVlqn-q5LMJbGIsqOrzru4yowQz67dz2yc"", ""'MTY'!D3:D139""),0))"),0)</f>
        <v>0</v>
      </c>
      <c r="Z80" s="12">
        <f ca="1">IFERROR(__xludf.DUMMYFUNCTION("INDEX(IMPORTRANGE(""1y0FWgjbB0gVlqn-q5LMJbGIsqOrzru4yowQz67dz2yc"", ""'MTY'!BI3:BI139""),MATCH(D80,IMPORTRANGE(""1y0FWgjbB0gVlqn-q5LMJbGIsqOrzru4yowQz67dz2yc"", ""'MTY'!D3:D139""),0))"),0)</f>
        <v>0</v>
      </c>
      <c r="AA80" s="2"/>
      <c r="AB80" s="2"/>
      <c r="AC80" s="2"/>
    </row>
    <row r="81" spans="1:29">
      <c r="A81" s="9" t="s">
        <v>199</v>
      </c>
      <c r="B81" s="9" t="s">
        <v>200</v>
      </c>
      <c r="C81" s="2" t="s">
        <v>36</v>
      </c>
      <c r="D81" s="149" t="s">
        <v>226</v>
      </c>
      <c r="E81" s="9" t="s">
        <v>38</v>
      </c>
      <c r="F81" s="9" t="s">
        <v>227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23">
        <f t="shared" ref="P81:Q81" si="15">P79+P80</f>
        <v>0</v>
      </c>
      <c r="Q81" s="23">
        <f t="shared" si="15"/>
        <v>0</v>
      </c>
      <c r="R81" s="6">
        <f t="shared" ref="R81:W81" si="16">SUM(R79:R80)</f>
        <v>50</v>
      </c>
      <c r="S81" s="6">
        <f t="shared" si="16"/>
        <v>10</v>
      </c>
      <c r="T81" s="6">
        <f t="shared" si="16"/>
        <v>25</v>
      </c>
      <c r="U81" s="6">
        <f t="shared" si="16"/>
        <v>10</v>
      </c>
      <c r="V81" s="6">
        <f t="shared" si="16"/>
        <v>25</v>
      </c>
      <c r="W81" s="6">
        <f t="shared" si="16"/>
        <v>100</v>
      </c>
      <c r="X81" s="23">
        <f>X79+X80</f>
        <v>0</v>
      </c>
      <c r="Y81" s="12">
        <f ca="1">IFERROR(__xludf.DUMMYFUNCTION("INDEX(IMPORTRANGE(""1y0FWgjbB0gVlqn-q5LMJbGIsqOrzru4yowQz67dz2yc"", ""'MTY'!BH3:BH139""),MATCH(D81,IMPORTRANGE(""1y0FWgjbB0gVlqn-q5LMJbGIsqOrzru4yowQz67dz2yc"", ""'MTY'!D3:D139""),0))"),42)</f>
        <v>42</v>
      </c>
      <c r="Z81" s="12">
        <f ca="1">IFERROR(__xludf.DUMMYFUNCTION("INDEX(IMPORTRANGE(""1y0FWgjbB0gVlqn-q5LMJbGIsqOrzru4yowQz67dz2yc"", ""'MTY'!BI3:BI139""),MATCH(D81,IMPORTRANGE(""1y0FWgjbB0gVlqn-q5LMJbGIsqOrzru4yowQz67dz2yc"", ""'MTY'!D3:D139""),0))"),46)</f>
        <v>46</v>
      </c>
      <c r="AA81" s="2"/>
      <c r="AB81" s="2"/>
      <c r="AC81" s="2"/>
    </row>
    <row r="82" spans="1:29">
      <c r="A82" s="9" t="s">
        <v>199</v>
      </c>
      <c r="B82" s="9" t="s">
        <v>228</v>
      </c>
      <c r="C82" s="2" t="s">
        <v>30</v>
      </c>
      <c r="D82" s="149" t="s">
        <v>229</v>
      </c>
      <c r="E82" s="9" t="s">
        <v>38</v>
      </c>
      <c r="F82" s="9" t="s">
        <v>230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417</v>
      </c>
      <c r="Q82" s="2">
        <v>801</v>
      </c>
      <c r="R82" s="4"/>
      <c r="S82" s="4"/>
      <c r="T82" s="4"/>
      <c r="U82" s="4"/>
      <c r="V82" s="4"/>
      <c r="W82" s="4"/>
      <c r="X82" s="2">
        <v>322</v>
      </c>
      <c r="Y82" s="12">
        <f ca="1">IFERROR(__xludf.DUMMYFUNCTION("INDEX(IMPORTRANGE(""1y0FWgjbB0gVlqn-q5LMJbGIsqOrzru4yowQz67dz2yc"", ""'MTY'!BH3:BH139""),MATCH(D82,IMPORTRANGE(""1y0FWgjbB0gVlqn-q5LMJbGIsqOrzru4yowQz67dz2yc"", ""'MTY'!D3:D139""),0))"),629)</f>
        <v>629</v>
      </c>
      <c r="Z82" s="12">
        <f ca="1">IFERROR(__xludf.DUMMYFUNCTION("INDEX(IMPORTRANGE(""1y0FWgjbB0gVlqn-q5LMJbGIsqOrzru4yowQz67dz2yc"", ""'MTY'!BI3:BI139""),MATCH(D82,IMPORTRANGE(""1y0FWgjbB0gVlqn-q5LMJbGIsqOrzru4yowQz67dz2yc"", ""'MTY'!D3:D139""),0))"),366)</f>
        <v>366</v>
      </c>
      <c r="AA82" s="2"/>
      <c r="AB82" s="2"/>
      <c r="AC82" s="2"/>
    </row>
    <row r="83" spans="1:29">
      <c r="A83" s="9" t="s">
        <v>199</v>
      </c>
      <c r="B83" s="9" t="s">
        <v>228</v>
      </c>
      <c r="C83" s="2" t="s">
        <v>30</v>
      </c>
      <c r="D83" s="149" t="s">
        <v>233</v>
      </c>
      <c r="E83" s="9" t="s">
        <v>38</v>
      </c>
      <c r="F83" s="9" t="s">
        <v>234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47</v>
      </c>
      <c r="Q83" s="2">
        <v>97</v>
      </c>
      <c r="R83" s="6"/>
      <c r="S83" s="6"/>
      <c r="T83" s="6"/>
      <c r="U83" s="6"/>
      <c r="V83" s="6"/>
      <c r="W83" s="6"/>
      <c r="X83" s="2">
        <v>24</v>
      </c>
      <c r="Y83" s="12">
        <f ca="1">IFERROR(__xludf.DUMMYFUNCTION("INDEX(IMPORTRANGE(""1y0FWgjbB0gVlqn-q5LMJbGIsqOrzru4yowQz67dz2yc"", ""'MTY'!BH3:BH139""),MATCH(D83,IMPORTRANGE(""1y0FWgjbB0gVlqn-q5LMJbGIsqOrzru4yowQz67dz2yc"", ""'MTY'!D3:D139""),0))"),77)</f>
        <v>77</v>
      </c>
      <c r="Z83" s="12">
        <f ca="1">IFERROR(__xludf.DUMMYFUNCTION("INDEX(IMPORTRANGE(""1y0FWgjbB0gVlqn-q5LMJbGIsqOrzru4yowQz67dz2yc"", ""'MTY'!BI3:BI139""),MATCH(D83,IMPORTRANGE(""1y0FWgjbB0gVlqn-q5LMJbGIsqOrzru4yowQz67dz2yc"", ""'MTY'!D3:D139""),0))"),44)</f>
        <v>44</v>
      </c>
      <c r="AA83" s="2"/>
      <c r="AB83" s="2"/>
      <c r="AC83" s="2"/>
    </row>
    <row r="84" spans="1:29">
      <c r="A84" s="9" t="s">
        <v>199</v>
      </c>
      <c r="B84" s="9" t="s">
        <v>228</v>
      </c>
      <c r="C84" s="2" t="s">
        <v>30</v>
      </c>
      <c r="D84" s="149" t="s">
        <v>235</v>
      </c>
      <c r="E84" s="9" t="s">
        <v>38</v>
      </c>
      <c r="F84" s="9" t="s">
        <v>236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12566</v>
      </c>
      <c r="Q84" s="2">
        <v>23525</v>
      </c>
      <c r="R84" s="4"/>
      <c r="S84" s="4"/>
      <c r="T84" s="4"/>
      <c r="U84" s="4"/>
      <c r="V84" s="4"/>
      <c r="W84" s="4"/>
      <c r="X84" s="2">
        <v>10796</v>
      </c>
      <c r="Y84" s="12">
        <f ca="1">IFERROR(__xludf.DUMMYFUNCTION("INDEX(IMPORTRANGE(""1y0FWgjbB0gVlqn-q5LMJbGIsqOrzru4yowQz67dz2yc"", ""'MTY'!BH3:BH139""),MATCH(D84,IMPORTRANGE(""1y0FWgjbB0gVlqn-q5LMJbGIsqOrzru4yowQz67dz2yc"", ""'MTY'!D3:D139""),0))"),22239)</f>
        <v>22239</v>
      </c>
      <c r="Z84" s="12">
        <f ca="1">IFERROR(__xludf.DUMMYFUNCTION("INDEX(IMPORTRANGE(""1y0FWgjbB0gVlqn-q5LMJbGIsqOrzru4yowQz67dz2yc"", ""'MTY'!BI3:BI139""),MATCH(D84,IMPORTRANGE(""1y0FWgjbB0gVlqn-q5LMJbGIsqOrzru4yowQz67dz2yc"", ""'MTY'!D3:D139""),0))"),12580)</f>
        <v>12580</v>
      </c>
      <c r="AA84" s="2"/>
      <c r="AB84" s="2"/>
      <c r="AC84" s="2"/>
    </row>
    <row r="85" spans="1:29">
      <c r="A85" s="9" t="s">
        <v>199</v>
      </c>
      <c r="B85" s="9" t="s">
        <v>228</v>
      </c>
      <c r="C85" s="2" t="s">
        <v>30</v>
      </c>
      <c r="D85" s="149" t="s">
        <v>237</v>
      </c>
      <c r="E85" s="9" t="s">
        <v>38</v>
      </c>
      <c r="F85" s="9" t="s">
        <v>238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580</v>
      </c>
      <c r="Q85" s="2">
        <v>1310</v>
      </c>
      <c r="R85" s="4"/>
      <c r="S85" s="4"/>
      <c r="T85" s="4"/>
      <c r="U85" s="4"/>
      <c r="V85" s="4"/>
      <c r="W85" s="4"/>
      <c r="X85" s="2">
        <v>434</v>
      </c>
      <c r="Y85" s="12">
        <f ca="1">IFERROR(__xludf.DUMMYFUNCTION("INDEX(IMPORTRANGE(""1y0FWgjbB0gVlqn-q5LMJbGIsqOrzru4yowQz67dz2yc"", ""'MTY'!BH3:BH139""),MATCH(D85,IMPORTRANGE(""1y0FWgjbB0gVlqn-q5LMJbGIsqOrzru4yowQz67dz2yc"", ""'MTY'!D3:D139""),0))"),1507)</f>
        <v>1507</v>
      </c>
      <c r="Z85" s="12">
        <f ca="1">IFERROR(__xludf.DUMMYFUNCTION("INDEX(IMPORTRANGE(""1y0FWgjbB0gVlqn-q5LMJbGIsqOrzru4yowQz67dz2yc"", ""'MTY'!BI3:BI139""),MATCH(D85,IMPORTRANGE(""1y0FWgjbB0gVlqn-q5LMJbGIsqOrzru4yowQz67dz2yc"", ""'MTY'!D3:D139""),0))"),1082)</f>
        <v>1082</v>
      </c>
      <c r="AA85" s="2"/>
      <c r="AB85" s="2"/>
      <c r="AC85" s="2"/>
    </row>
    <row r="86" spans="1:29">
      <c r="A86" s="9" t="s">
        <v>199</v>
      </c>
      <c r="B86" s="9" t="s">
        <v>228</v>
      </c>
      <c r="C86" s="2" t="s">
        <v>30</v>
      </c>
      <c r="D86" s="149" t="s">
        <v>239</v>
      </c>
      <c r="E86" s="9" t="s">
        <v>38</v>
      </c>
      <c r="F86" s="9" t="s">
        <v>240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3003</v>
      </c>
      <c r="Q86" s="2">
        <v>5668</v>
      </c>
      <c r="R86" s="4"/>
      <c r="S86" s="4"/>
      <c r="T86" s="4"/>
      <c r="U86" s="4"/>
      <c r="V86" s="4"/>
      <c r="W86" s="4"/>
      <c r="X86" s="2">
        <v>1812</v>
      </c>
      <c r="Y86" s="12">
        <f ca="1">IFERROR(__xludf.DUMMYFUNCTION("INDEX(IMPORTRANGE(""1y0FWgjbB0gVlqn-q5LMJbGIsqOrzru4yowQz67dz2yc"", ""'MTY'!BH3:BH139""),MATCH(D86,IMPORTRANGE(""1y0FWgjbB0gVlqn-q5LMJbGIsqOrzru4yowQz67dz2yc"", ""'MTY'!D3:D139""),0))"),3683)</f>
        <v>3683</v>
      </c>
      <c r="Z86" s="12">
        <f ca="1">IFERROR(__xludf.DUMMYFUNCTION("INDEX(IMPORTRANGE(""1y0FWgjbB0gVlqn-q5LMJbGIsqOrzru4yowQz67dz2yc"", ""'MTY'!BI3:BI139""),MATCH(D86,IMPORTRANGE(""1y0FWgjbB0gVlqn-q5LMJbGIsqOrzru4yowQz67dz2yc"", ""'MTY'!D3:D139""),0))"),1836)</f>
        <v>1836</v>
      </c>
      <c r="AA86" s="2"/>
      <c r="AB86" s="2"/>
      <c r="AC86" s="2"/>
    </row>
    <row r="87" spans="1:29">
      <c r="A87" s="9" t="s">
        <v>199</v>
      </c>
      <c r="B87" s="9" t="s">
        <v>228</v>
      </c>
      <c r="C87" s="2" t="s">
        <v>36</v>
      </c>
      <c r="D87" s="149" t="s">
        <v>241</v>
      </c>
      <c r="E87" s="9" t="s">
        <v>38</v>
      </c>
      <c r="F87" s="2" t="s">
        <v>242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f t="shared" ref="P87:Q87" si="17">SUM(P82:P86)</f>
        <v>16613</v>
      </c>
      <c r="Q87" s="12">
        <f t="shared" si="17"/>
        <v>31401</v>
      </c>
      <c r="R87" s="6">
        <v>31213</v>
      </c>
      <c r="S87" s="6">
        <v>16447</v>
      </c>
      <c r="T87" s="6">
        <v>30961</v>
      </c>
      <c r="U87" s="6">
        <v>16314</v>
      </c>
      <c r="V87" s="6">
        <v>30773</v>
      </c>
      <c r="W87" s="6">
        <v>30773</v>
      </c>
      <c r="X87" s="12">
        <f>SUM(X82:X86)</f>
        <v>13388</v>
      </c>
      <c r="Y87" s="12">
        <f ca="1">IFERROR(__xludf.DUMMYFUNCTION("INDEX(IMPORTRANGE(""1y0FWgjbB0gVlqn-q5LMJbGIsqOrzru4yowQz67dz2yc"", ""'MTY'!BH3:BH139""),MATCH(D87,IMPORTRANGE(""1y0FWgjbB0gVlqn-q5LMJbGIsqOrzru4yowQz67dz2yc"", ""'MTY'!D3:D139""),0))"),28135)</f>
        <v>28135</v>
      </c>
      <c r="Z87" s="12">
        <f ca="1">IFERROR(__xludf.DUMMYFUNCTION("INDEX(IMPORTRANGE(""1y0FWgjbB0gVlqn-q5LMJbGIsqOrzru4yowQz67dz2yc"", ""'MTY'!BI3:BI139""),MATCH(D87,IMPORTRANGE(""1y0FWgjbB0gVlqn-q5LMJbGIsqOrzru4yowQz67dz2yc"", ""'MTY'!D3:D139""),0))"),15908)</f>
        <v>15908</v>
      </c>
      <c r="AA87" s="2"/>
      <c r="AB87" s="2"/>
      <c r="AC87" s="2"/>
    </row>
    <row r="88" spans="1:29">
      <c r="A88" s="9" t="s">
        <v>243</v>
      </c>
      <c r="B88" s="9" t="s">
        <v>244</v>
      </c>
      <c r="C88" s="2" t="s">
        <v>36</v>
      </c>
      <c r="D88" s="149" t="s">
        <v>338</v>
      </c>
      <c r="E88" s="9" t="s">
        <v>38</v>
      </c>
      <c r="F88" s="9" t="s">
        <v>246</v>
      </c>
      <c r="G88" s="2" t="s">
        <v>56</v>
      </c>
      <c r="H88" s="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5</v>
      </c>
      <c r="Q88" s="2">
        <v>12</v>
      </c>
      <c r="R88" s="2">
        <v>157</v>
      </c>
      <c r="S88" s="2">
        <v>87</v>
      </c>
      <c r="T88" s="2">
        <v>157</v>
      </c>
      <c r="U88" s="2">
        <v>87</v>
      </c>
      <c r="V88" s="2">
        <v>157</v>
      </c>
      <c r="W88" s="2">
        <v>471</v>
      </c>
      <c r="X88" s="2">
        <v>94</v>
      </c>
      <c r="Y88" s="2">
        <f ca="1">IFERROR(__xludf.DUMMYFUNCTION("INDEX(IMPORTRANGE(""1y0FWgjbB0gVlqn-q5LMJbGIsqOrzru4yowQz67dz2yc"", ""'MTY'!BH3:BH139""),MATCH(D88,IMPORTRANGE(""1y0FWgjbB0gVlqn-q5LMJbGIsqOrzru4yowQz67dz2yc"", ""'MTY'!D3:D139""),0))"),255)</f>
        <v>255</v>
      </c>
      <c r="Z88" s="12">
        <f ca="1">IFERROR(__xludf.DUMMYFUNCTION("INDEX(IMPORTRANGE(""1y0FWgjbB0gVlqn-q5LMJbGIsqOrzru4yowQz67dz2yc"", ""'MTY'!BI3:BI139""),MATCH(D88,IMPORTRANGE(""1y0FWgjbB0gVlqn-q5LMJbGIsqOrzru4yowQz67dz2yc"", ""'MTY'!D3:D139""),0))"),178)</f>
        <v>178</v>
      </c>
      <c r="AA88" s="2"/>
      <c r="AB88" s="2"/>
      <c r="AC88" s="2"/>
    </row>
    <row r="89" spans="1:29">
      <c r="A89" s="9" t="s">
        <v>243</v>
      </c>
      <c r="B89" s="9" t="s">
        <v>247</v>
      </c>
      <c r="C89" s="2" t="s">
        <v>36</v>
      </c>
      <c r="D89" s="149" t="s">
        <v>248</v>
      </c>
      <c r="E89" s="9" t="s">
        <v>38</v>
      </c>
      <c r="F89" s="9" t="s">
        <v>249</v>
      </c>
      <c r="G89" s="11">
        <v>44469</v>
      </c>
      <c r="H89" s="11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2">
        <v>2</v>
      </c>
      <c r="Q89" s="2">
        <v>2</v>
      </c>
      <c r="R89" s="2">
        <v>2</v>
      </c>
      <c r="S89" s="2">
        <v>22</v>
      </c>
      <c r="T89" s="2">
        <v>27</v>
      </c>
      <c r="U89" s="2">
        <v>32</v>
      </c>
      <c r="V89" s="2">
        <v>40</v>
      </c>
      <c r="W89" s="2">
        <v>40</v>
      </c>
      <c r="X89" s="2">
        <v>2</v>
      </c>
      <c r="Y89" s="2">
        <f ca="1">IFERROR(__xludf.DUMMYFUNCTION("INDEX(IMPORTRANGE(""1y0FWgjbB0gVlqn-q5LMJbGIsqOrzru4yowQz67dz2yc"", ""'MTY'!BH3:BH139""),MATCH(D89,IMPORTRANGE(""1y0FWgjbB0gVlqn-q5LMJbGIsqOrzru4yowQz67dz2yc"", ""'MTY'!D3:D139""),0))"),4)</f>
        <v>4</v>
      </c>
      <c r="Z89" s="12">
        <f ca="1">IFERROR(__xludf.DUMMYFUNCTION("INDEX(IMPORTRANGE(""1y0FWgjbB0gVlqn-q5LMJbGIsqOrzru4yowQz67dz2yc"", ""'MTY'!BI3:BI139""),MATCH(D89,IMPORTRANGE(""1y0FWgjbB0gVlqn-q5LMJbGIsqOrzru4yowQz67dz2yc"", ""'MTY'!D3:D139""),0))"),3)</f>
        <v>3</v>
      </c>
      <c r="AA89" s="2"/>
      <c r="AB89" s="2"/>
      <c r="AC89" s="2"/>
    </row>
    <row r="90" spans="1:29">
      <c r="A90" s="9" t="s">
        <v>243</v>
      </c>
      <c r="B90" s="9" t="s">
        <v>250</v>
      </c>
      <c r="C90" s="2" t="s">
        <v>36</v>
      </c>
      <c r="D90" s="149" t="s">
        <v>251</v>
      </c>
      <c r="E90" s="9" t="s">
        <v>252</v>
      </c>
      <c r="F90" s="9" t="s">
        <v>253</v>
      </c>
      <c r="G90" s="11">
        <v>44469</v>
      </c>
      <c r="H90" s="11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100</v>
      </c>
      <c r="Q90" s="2">
        <v>100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24">
        <v>99.77</v>
      </c>
      <c r="Y90" s="23">
        <f ca="1">IFERROR(__xludf.DUMMYFUNCTION("INDEX(IMPORTRANGE(""1y0FWgjbB0gVlqn-q5LMJbGIsqOrzru4yowQz67dz2yc"", ""'MTY'!BH3:BH139""),MATCH(D90,IMPORTRANGE(""1y0FWgjbB0gVlqn-q5LMJbGIsqOrzru4yowQz67dz2yc"", ""'MTY'!D3:D139""),0))"),99.78)</f>
        <v>99.78</v>
      </c>
      <c r="Z90" s="12">
        <f ca="1">IFERROR(__xludf.DUMMYFUNCTION("INDEX(IMPORTRANGE(""1y0FWgjbB0gVlqn-q5LMJbGIsqOrzru4yowQz67dz2yc"", ""'MTY'!BI3:BI139""),MATCH(D90,IMPORTRANGE(""1y0FWgjbB0gVlqn-q5LMJbGIsqOrzru4yowQz67dz2yc"", ""'MTY'!D3:D139""),0))"),99.95)</f>
        <v>99.95</v>
      </c>
      <c r="AA90" s="2"/>
      <c r="AB90" s="2"/>
      <c r="AC90" s="2"/>
    </row>
    <row r="91" spans="1:29">
      <c r="A91" s="9" t="s">
        <v>243</v>
      </c>
      <c r="B91" s="9" t="s">
        <v>257</v>
      </c>
      <c r="C91" s="2" t="s">
        <v>36</v>
      </c>
      <c r="D91" s="149" t="s">
        <v>258</v>
      </c>
      <c r="E91" s="9" t="s">
        <v>38</v>
      </c>
      <c r="F91" s="9" t="s">
        <v>259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257">
        <v>0</v>
      </c>
      <c r="Y91" s="9">
        <f ca="1">IFERROR(__xludf.DUMMYFUNCTION("INDEX(IMPORTRANGE(""1y0FWgjbB0gVlqn-q5LMJbGIsqOrzru4yowQz67dz2yc"", ""'MTY'!BH3:BH139""),MATCH(D91,IMPORTRANGE(""1y0FWgjbB0gVlqn-q5LMJbGIsqOrzru4yowQz67dz2yc"", ""'MTY'!D3:D139""),0))"),0)</f>
        <v>0</v>
      </c>
      <c r="Z91" s="12">
        <f ca="1">IFERROR(__xludf.DUMMYFUNCTION("INDEX(IMPORTRANGE(""1y0FWgjbB0gVlqn-q5LMJbGIsqOrzru4yowQz67dz2yc"", ""'MTY'!BI3:BI139""),MATCH(D91,IMPORTRANGE(""1y0FWgjbB0gVlqn-q5LMJbGIsqOrzru4yowQz67dz2yc"", ""'MTY'!D3:D139""),0))"),2.56890168654874)</f>
        <v>2.56890168654874</v>
      </c>
      <c r="AA91" s="2"/>
      <c r="AB91" s="2"/>
      <c r="AC91" s="2"/>
    </row>
    <row r="92" spans="1:29">
      <c r="A92" s="9" t="s">
        <v>243</v>
      </c>
      <c r="B92" s="9" t="s">
        <v>260</v>
      </c>
      <c r="C92" s="2" t="s">
        <v>30</v>
      </c>
      <c r="D92" s="149" t="s">
        <v>261</v>
      </c>
      <c r="E92" s="9" t="s">
        <v>38</v>
      </c>
      <c r="F92" s="9" t="s">
        <v>262</v>
      </c>
      <c r="G92" s="11">
        <v>44469</v>
      </c>
      <c r="H92" s="470"/>
      <c r="I92" s="11">
        <v>44651</v>
      </c>
      <c r="J92" s="4"/>
      <c r="K92" s="11">
        <v>45016</v>
      </c>
      <c r="L92" s="4"/>
      <c r="M92" s="11">
        <v>45382</v>
      </c>
      <c r="N92" s="4"/>
      <c r="O92" s="11">
        <v>45565</v>
      </c>
      <c r="P92" s="254"/>
      <c r="Q92" s="254"/>
      <c r="R92" s="4"/>
      <c r="S92" s="4"/>
      <c r="T92" s="4"/>
      <c r="U92" s="4"/>
      <c r="V92" s="4"/>
      <c r="W92" s="4"/>
      <c r="X92" s="2">
        <v>6</v>
      </c>
      <c r="Y92" s="9">
        <f ca="1">IFERROR(__xludf.DUMMYFUNCTION("INDEX(IMPORTRANGE(""1y0FWgjbB0gVlqn-q5LMJbGIsqOrzru4yowQz67dz2yc"", ""'MTY'!BH3:BH139""),MATCH(D92,IMPORTRANGE(""1y0FWgjbB0gVlqn-q5LMJbGIsqOrzru4yowQz67dz2yc"", ""'MTY'!D3:D139""),0))"),6)</f>
        <v>6</v>
      </c>
      <c r="Z92" s="12">
        <f ca="1">IFERROR(__xludf.DUMMYFUNCTION("INDEX(IMPORTRANGE(""1y0FWgjbB0gVlqn-q5LMJbGIsqOrzru4yowQz67dz2yc"", ""'MTY'!BI3:BI139""),MATCH(D92,IMPORTRANGE(""1y0FWgjbB0gVlqn-q5LMJbGIsqOrzru4yowQz67dz2yc"", ""'MTY'!D3:D139""),0))"),5)</f>
        <v>5</v>
      </c>
      <c r="AA92" s="2"/>
      <c r="AB92" s="2"/>
      <c r="AC92" s="2"/>
    </row>
    <row r="93" spans="1:29">
      <c r="A93" s="9" t="s">
        <v>243</v>
      </c>
      <c r="B93" s="9" t="s">
        <v>260</v>
      </c>
      <c r="C93" s="2" t="s">
        <v>30</v>
      </c>
      <c r="D93" s="149" t="s">
        <v>263</v>
      </c>
      <c r="E93" s="9" t="s">
        <v>38</v>
      </c>
      <c r="F93" s="9" t="s">
        <v>264</v>
      </c>
      <c r="G93" s="11">
        <v>44469</v>
      </c>
      <c r="H93" s="4"/>
      <c r="I93" s="11">
        <v>44651</v>
      </c>
      <c r="J93" s="4"/>
      <c r="K93" s="11">
        <v>45016</v>
      </c>
      <c r="L93" s="4"/>
      <c r="M93" s="11">
        <v>45382</v>
      </c>
      <c r="N93" s="4"/>
      <c r="O93" s="11">
        <v>45565</v>
      </c>
      <c r="P93" s="254"/>
      <c r="Q93" s="254"/>
      <c r="R93" s="4"/>
      <c r="S93" s="4"/>
      <c r="T93" s="4"/>
      <c r="U93" s="4"/>
      <c r="V93" s="4"/>
      <c r="W93" s="4"/>
      <c r="X93" s="2">
        <v>12</v>
      </c>
      <c r="Y93" s="9">
        <f ca="1">IFERROR(__xludf.DUMMYFUNCTION("INDEX(IMPORTRANGE(""1y0FWgjbB0gVlqn-q5LMJbGIsqOrzru4yowQz67dz2yc"", ""'MTY'!BH3:BH139""),MATCH(D93,IMPORTRANGE(""1y0FWgjbB0gVlqn-q5LMJbGIsqOrzru4yowQz67dz2yc"", ""'MTY'!D3:D139""),0))"),12)</f>
        <v>12</v>
      </c>
      <c r="Z93" s="12">
        <f ca="1">IFERROR(__xludf.DUMMYFUNCTION("INDEX(IMPORTRANGE(""1y0FWgjbB0gVlqn-q5LMJbGIsqOrzru4yowQz67dz2yc"", ""'MTY'!BI3:BI139""),MATCH(D93,IMPORTRANGE(""1y0FWgjbB0gVlqn-q5LMJbGIsqOrzru4yowQz67dz2yc"", ""'MTY'!D3:D139""),0))"),12)</f>
        <v>12</v>
      </c>
      <c r="AA93" s="2"/>
      <c r="AB93" s="2"/>
      <c r="AC93" s="2"/>
    </row>
    <row r="94" spans="1:29">
      <c r="A94" s="9" t="s">
        <v>243</v>
      </c>
      <c r="B94" s="9" t="s">
        <v>260</v>
      </c>
      <c r="C94" s="2" t="s">
        <v>30</v>
      </c>
      <c r="D94" s="149" t="s">
        <v>265</v>
      </c>
      <c r="E94" s="9" t="s">
        <v>38</v>
      </c>
      <c r="F94" s="9" t="s">
        <v>266</v>
      </c>
      <c r="G94" s="11">
        <v>44469</v>
      </c>
      <c r="H94" s="4"/>
      <c r="I94" s="11">
        <v>44651</v>
      </c>
      <c r="J94" s="4"/>
      <c r="K94" s="11">
        <v>45016</v>
      </c>
      <c r="L94" s="4"/>
      <c r="M94" s="11">
        <v>45382</v>
      </c>
      <c r="N94" s="4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0</v>
      </c>
      <c r="Y94" s="9">
        <f ca="1">IFERROR(__xludf.DUMMYFUNCTION("INDEX(IMPORTRANGE(""1y0FWgjbB0gVlqn-q5LMJbGIsqOrzru4yowQz67dz2yc"", ""'MTY'!BH3:BH139""),MATCH(D94,IMPORTRANGE(""1y0FWgjbB0gVlqn-q5LMJbGIsqOrzru4yowQz67dz2yc"", ""'MTY'!D3:D139""),0))"),0)</f>
        <v>0</v>
      </c>
      <c r="Z94" s="12">
        <f ca="1">IFERROR(__xludf.DUMMYFUNCTION("INDEX(IMPORTRANGE(""1y0FWgjbB0gVlqn-q5LMJbGIsqOrzru4yowQz67dz2yc"", ""'MTY'!BI3:BI139""),MATCH(D94,IMPORTRANGE(""1y0FWgjbB0gVlqn-q5LMJbGIsqOrzru4yowQz67dz2yc"", ""'MTY'!D3:D139""),0))"),0)</f>
        <v>0</v>
      </c>
      <c r="AA94" s="2"/>
      <c r="AB94" s="2"/>
      <c r="AC94" s="2"/>
    </row>
    <row r="95" spans="1:29">
      <c r="A95" s="9" t="s">
        <v>243</v>
      </c>
      <c r="B95" s="9" t="s">
        <v>260</v>
      </c>
      <c r="C95" s="2" t="s">
        <v>30</v>
      </c>
      <c r="D95" s="149" t="s">
        <v>267</v>
      </c>
      <c r="E95" s="9" t="s">
        <v>38</v>
      </c>
      <c r="F95" s="9" t="s">
        <v>268</v>
      </c>
      <c r="G95" s="11">
        <v>44469</v>
      </c>
      <c r="H95" s="4"/>
      <c r="I95" s="11">
        <v>44651</v>
      </c>
      <c r="J95" s="4"/>
      <c r="K95" s="11">
        <v>45016</v>
      </c>
      <c r="L95" s="4"/>
      <c r="M95" s="11">
        <v>45382</v>
      </c>
      <c r="N95" s="4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0</v>
      </c>
      <c r="Y95" s="9">
        <f ca="1">IFERROR(__xludf.DUMMYFUNCTION("INDEX(IMPORTRANGE(""1y0FWgjbB0gVlqn-q5LMJbGIsqOrzru4yowQz67dz2yc"", ""'MTY'!BH3:BH139""),MATCH(D95,IMPORTRANGE(""1y0FWgjbB0gVlqn-q5LMJbGIsqOrzru4yowQz67dz2yc"", ""'MTY'!D3:D139""),0))"),0)</f>
        <v>0</v>
      </c>
      <c r="Z95" s="12">
        <f ca="1">IFERROR(__xludf.DUMMYFUNCTION("INDEX(IMPORTRANGE(""1y0FWgjbB0gVlqn-q5LMJbGIsqOrzru4yowQz67dz2yc"", ""'MTY'!BI3:BI139""),MATCH(D95,IMPORTRANGE(""1y0FWgjbB0gVlqn-q5LMJbGIsqOrzru4yowQz67dz2yc"", ""'MTY'!D3:D139""),0))"),0)</f>
        <v>0</v>
      </c>
      <c r="AA95" s="2"/>
      <c r="AB95" s="2"/>
      <c r="AC95" s="2"/>
    </row>
    <row r="96" spans="1:29">
      <c r="A96" s="9" t="s">
        <v>243</v>
      </c>
      <c r="B96" s="9" t="s">
        <v>260</v>
      </c>
      <c r="C96" s="2" t="s">
        <v>30</v>
      </c>
      <c r="D96" s="149" t="s">
        <v>269</v>
      </c>
      <c r="E96" s="9" t="s">
        <v>38</v>
      </c>
      <c r="F96" s="9" t="s">
        <v>270</v>
      </c>
      <c r="G96" s="11">
        <v>44469</v>
      </c>
      <c r="H96" s="4"/>
      <c r="I96" s="11">
        <v>44651</v>
      </c>
      <c r="J96" s="4"/>
      <c r="K96" s="11">
        <v>45016</v>
      </c>
      <c r="L96" s="4"/>
      <c r="M96" s="11">
        <v>45382</v>
      </c>
      <c r="N96" s="4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35</v>
      </c>
      <c r="Y96" s="9">
        <f ca="1">IFERROR(__xludf.DUMMYFUNCTION("INDEX(IMPORTRANGE(""1y0FWgjbB0gVlqn-q5LMJbGIsqOrzru4yowQz67dz2yc"", ""'MTY'!BH3:BH139""),MATCH(D96,IMPORTRANGE(""1y0FWgjbB0gVlqn-q5LMJbGIsqOrzru4yowQz67dz2yc"", ""'MTY'!D3:D139""),0))"),42)</f>
        <v>42</v>
      </c>
      <c r="Z96" s="12">
        <f ca="1">IFERROR(__xludf.DUMMYFUNCTION("INDEX(IMPORTRANGE(""1y0FWgjbB0gVlqn-q5LMJbGIsqOrzru4yowQz67dz2yc"", ""'MTY'!BI3:BI139""),MATCH(D96,IMPORTRANGE(""1y0FWgjbB0gVlqn-q5LMJbGIsqOrzru4yowQz67dz2yc"", ""'MTY'!D3:D139""),0))"),42)</f>
        <v>42</v>
      </c>
      <c r="AA96" s="2"/>
      <c r="AB96" s="2"/>
      <c r="AC96" s="2"/>
    </row>
    <row r="97" spans="1:29">
      <c r="A97" s="9" t="s">
        <v>243</v>
      </c>
      <c r="B97" s="9" t="s">
        <v>260</v>
      </c>
      <c r="C97" s="2" t="s">
        <v>30</v>
      </c>
      <c r="D97" s="149" t="s">
        <v>271</v>
      </c>
      <c r="E97" s="9" t="s">
        <v>38</v>
      </c>
      <c r="F97" s="9" t="s">
        <v>272</v>
      </c>
      <c r="G97" s="11">
        <v>44469</v>
      </c>
      <c r="H97" s="4"/>
      <c r="I97" s="11">
        <v>44651</v>
      </c>
      <c r="J97" s="4"/>
      <c r="K97" s="11">
        <v>45016</v>
      </c>
      <c r="L97" s="4"/>
      <c r="M97" s="11">
        <v>45382</v>
      </c>
      <c r="N97" s="4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98</v>
      </c>
      <c r="Y97" s="9">
        <f ca="1">IFERROR(__xludf.DUMMYFUNCTION("INDEX(IMPORTRANGE(""1y0FWgjbB0gVlqn-q5LMJbGIsqOrzru4yowQz67dz2yc"", ""'MTY'!BH3:BH139""),MATCH(D97,IMPORTRANGE(""1y0FWgjbB0gVlqn-q5LMJbGIsqOrzru4yowQz67dz2yc"", ""'MTY'!D3:D139""),0))"),102)</f>
        <v>102</v>
      </c>
      <c r="Z97" s="12">
        <f ca="1">IFERROR(__xludf.DUMMYFUNCTION("INDEX(IMPORTRANGE(""1y0FWgjbB0gVlqn-q5LMJbGIsqOrzru4yowQz67dz2yc"", ""'MTY'!BI3:BI139""),MATCH(D97,IMPORTRANGE(""1y0FWgjbB0gVlqn-q5LMJbGIsqOrzru4yowQz67dz2yc"", ""'MTY'!D3:D139""),0))"),103)</f>
        <v>103</v>
      </c>
      <c r="AA97" s="2"/>
      <c r="AB97" s="2"/>
      <c r="AC97" s="2"/>
    </row>
    <row r="98" spans="1:29">
      <c r="A98" s="9" t="s">
        <v>243</v>
      </c>
      <c r="B98" s="9" t="s">
        <v>260</v>
      </c>
      <c r="C98" s="2" t="s">
        <v>36</v>
      </c>
      <c r="D98" s="149" t="s">
        <v>273</v>
      </c>
      <c r="E98" s="9" t="s">
        <v>38</v>
      </c>
      <c r="F98" s="9" t="s">
        <v>274</v>
      </c>
      <c r="G98" s="11">
        <v>44469</v>
      </c>
      <c r="H98" s="4"/>
      <c r="I98" s="11">
        <v>44651</v>
      </c>
      <c r="J98" s="4"/>
      <c r="K98" s="11">
        <v>45016</v>
      </c>
      <c r="L98" s="4"/>
      <c r="M98" s="11">
        <v>45382</v>
      </c>
      <c r="N98" s="4"/>
      <c r="O98" s="11">
        <v>45565</v>
      </c>
      <c r="P98" s="254"/>
      <c r="Q98" s="254"/>
      <c r="R98" s="4"/>
      <c r="S98" s="60">
        <v>0.5</v>
      </c>
      <c r="T98" s="4"/>
      <c r="U98" s="60">
        <v>0.5</v>
      </c>
      <c r="V98" s="60">
        <v>0.5</v>
      </c>
      <c r="W98" s="60">
        <v>0.5</v>
      </c>
      <c r="X98" s="15">
        <f>SUM(X92,X94,X96)/SUM(X93,X95,X97)</f>
        <v>0.37272727272727274</v>
      </c>
      <c r="Y98" s="15">
        <f ca="1">IFERROR(__xludf.DUMMYFUNCTION("INDEX(IMPORTRANGE(""1y0FWgjbB0gVlqn-q5LMJbGIsqOrzru4yowQz67dz2yc"", ""'MTY'!BH3:BH139""),MATCH(D98,IMPORTRANGE(""1y0FWgjbB0gVlqn-q5LMJbGIsqOrzru4yowQz67dz2yc"", ""'MTY'!D3:D139""),0))"),0.421052631578947)</f>
        <v>0.42105263157894701</v>
      </c>
      <c r="Z98" s="15">
        <f ca="1">IFERROR(__xludf.DUMMYFUNCTION("INDEX(IMPORTRANGE(""1y0FWgjbB0gVlqn-q5LMJbGIsqOrzru4yowQz67dz2yc"", ""'MTY'!BI3:BI139""),MATCH(D98,IMPORTRANGE(""1y0FWgjbB0gVlqn-q5LMJbGIsqOrzru4yowQz67dz2yc"", ""'MTY'!D3:D139""),0))"),0.408695652173913)</f>
        <v>0.40869565217391302</v>
      </c>
      <c r="AA98" s="2"/>
      <c r="AB98" s="2"/>
      <c r="AC98" s="2"/>
    </row>
    <row r="99" spans="1:29">
      <c r="A99" s="9" t="s">
        <v>275</v>
      </c>
      <c r="B99" s="9" t="s">
        <v>276</v>
      </c>
      <c r="C99" s="2" t="s">
        <v>30</v>
      </c>
      <c r="D99" s="149" t="s">
        <v>277</v>
      </c>
      <c r="E99" s="9" t="s">
        <v>278</v>
      </c>
      <c r="F99" s="9" t="s">
        <v>279</v>
      </c>
      <c r="G99" s="11" t="s">
        <v>213</v>
      </c>
      <c r="H99" s="2" t="s">
        <v>214</v>
      </c>
      <c r="I99" s="9" t="s">
        <v>215</v>
      </c>
      <c r="J99" s="4"/>
      <c r="K99" s="9" t="s">
        <v>216</v>
      </c>
      <c r="L99" s="4"/>
      <c r="M99" s="9" t="s">
        <v>217</v>
      </c>
      <c r="N99" s="2" t="s">
        <v>218</v>
      </c>
      <c r="O99" s="2" t="s">
        <v>218</v>
      </c>
      <c r="P99" s="36">
        <v>3081185453.3200002</v>
      </c>
      <c r="Q99" s="36">
        <v>3081185453.3200002</v>
      </c>
      <c r="R99" s="4"/>
      <c r="S99" s="4"/>
      <c r="T99" s="4"/>
      <c r="U99" s="4"/>
      <c r="V99" s="4"/>
      <c r="W99" s="4"/>
      <c r="X99" s="36">
        <v>3081185453.3200002</v>
      </c>
      <c r="Y99" s="468" t="str">
        <f ca="1">IFERROR(__xludf.DUMMYFUNCTION("INDEX(IMPORTRANGE(""1y0FWgjbB0gVlqn-q5LMJbGIsqOrzru4yowQz67dz2yc"", ""'MTY'!BH3:BH139""),MATCH(D99,IMPORTRANGE(""1y0FWgjbB0gVlqn-q5LMJbGIsqOrzru4yowQz67dz2yc"", ""'MTY'!D3:D139""),0))"),"")</f>
        <v/>
      </c>
      <c r="Z99" s="12">
        <f ca="1">IFERROR(__xludf.DUMMYFUNCTION("INDEX(IMPORTRANGE(""1y0FWgjbB0gVlqn-q5LMJbGIsqOrzru4yowQz67dz2yc"", ""'MTY'!BI3:BI139""),MATCH(D99,IMPORTRANGE(""1y0FWgjbB0gVlqn-q5LMJbGIsqOrzru4yowQz67dz2yc"", ""'MTY'!D3:D139""),0))"),3540135702.81)</f>
        <v>3540135702.8099999</v>
      </c>
      <c r="AA99" s="2"/>
      <c r="AB99" s="2"/>
      <c r="AC99" s="2"/>
    </row>
    <row r="100" spans="1:29">
      <c r="A100" s="9" t="s">
        <v>275</v>
      </c>
      <c r="B100" s="9" t="s">
        <v>276</v>
      </c>
      <c r="C100" s="2" t="s">
        <v>30</v>
      </c>
      <c r="D100" s="149" t="s">
        <v>280</v>
      </c>
      <c r="E100" s="9" t="s">
        <v>278</v>
      </c>
      <c r="F100" s="9" t="s">
        <v>281</v>
      </c>
      <c r="G100" s="9" t="s">
        <v>213</v>
      </c>
      <c r="H100" s="2" t="s">
        <v>214</v>
      </c>
      <c r="I100" s="9" t="s">
        <v>215</v>
      </c>
      <c r="J100" s="4"/>
      <c r="K100" s="9" t="s">
        <v>216</v>
      </c>
      <c r="L100" s="4"/>
      <c r="M100" s="9" t="s">
        <v>217</v>
      </c>
      <c r="N100" s="2" t="s">
        <v>218</v>
      </c>
      <c r="O100" s="2" t="s">
        <v>218</v>
      </c>
      <c r="P100" s="36">
        <v>6868671716.9499998</v>
      </c>
      <c r="Q100" s="36">
        <v>6868671716.9499998</v>
      </c>
      <c r="R100" s="4"/>
      <c r="S100" s="4"/>
      <c r="T100" s="4"/>
      <c r="U100" s="4"/>
      <c r="V100" s="4"/>
      <c r="W100" s="4"/>
      <c r="X100" s="36">
        <v>6868671716.9499998</v>
      </c>
      <c r="Y100" s="468" t="str">
        <f ca="1">IFERROR(__xludf.DUMMYFUNCTION("INDEX(IMPORTRANGE(""1y0FWgjbB0gVlqn-q5LMJbGIsqOrzru4yowQz67dz2yc"", ""'MTY'!BH3:BH139""),MATCH(D100,IMPORTRANGE(""1y0FWgjbB0gVlqn-q5LMJbGIsqOrzru4yowQz67dz2yc"", ""'MTY'!D3:D139""),0))"),"")</f>
        <v/>
      </c>
      <c r="Z100" s="12">
        <f ca="1">IFERROR(__xludf.DUMMYFUNCTION("INDEX(IMPORTRANGE(""1y0FWgjbB0gVlqn-q5LMJbGIsqOrzru4yowQz67dz2yc"", ""'MTY'!BI3:BI139""),MATCH(D100,IMPORTRANGE(""1y0FWgjbB0gVlqn-q5LMJbGIsqOrzru4yowQz67dz2yc"", ""'MTY'!D3:D139""),0))"),8222789935)</f>
        <v>8222789935</v>
      </c>
      <c r="AA100" s="2"/>
      <c r="AB100" s="2"/>
      <c r="AC100" s="2"/>
    </row>
    <row r="101" spans="1:29">
      <c r="A101" s="9" t="s">
        <v>275</v>
      </c>
      <c r="B101" s="9" t="s">
        <v>276</v>
      </c>
      <c r="C101" s="2" t="s">
        <v>36</v>
      </c>
      <c r="D101" s="149" t="s">
        <v>282</v>
      </c>
      <c r="E101" s="9" t="s">
        <v>278</v>
      </c>
      <c r="F101" s="9" t="s">
        <v>283</v>
      </c>
      <c r="G101" s="9" t="s">
        <v>213</v>
      </c>
      <c r="H101" s="2" t="s">
        <v>214</v>
      </c>
      <c r="I101" s="9" t="s">
        <v>215</v>
      </c>
      <c r="J101" s="4"/>
      <c r="K101" s="9" t="s">
        <v>216</v>
      </c>
      <c r="L101" s="4"/>
      <c r="M101" s="9" t="s">
        <v>217</v>
      </c>
      <c r="N101" s="2" t="s">
        <v>218</v>
      </c>
      <c r="O101" s="2" t="s">
        <v>218</v>
      </c>
      <c r="P101" s="15">
        <f t="shared" ref="P101:Q101" si="18">P99/P100</f>
        <v>0.4485853423037352</v>
      </c>
      <c r="Q101" s="15">
        <f t="shared" si="18"/>
        <v>0.4485853423037352</v>
      </c>
      <c r="R101" s="26"/>
      <c r="S101" s="15">
        <v>0.45900000000000002</v>
      </c>
      <c r="T101" s="15"/>
      <c r="U101" s="15">
        <v>0.46899999999999997</v>
      </c>
      <c r="V101" s="15">
        <v>0.46899999999999997</v>
      </c>
      <c r="W101" s="15">
        <v>0.46899999999999997</v>
      </c>
      <c r="X101" s="15">
        <f>X99/X100</f>
        <v>0.4485853423037352</v>
      </c>
      <c r="Y101" s="468" t="str">
        <f ca="1">IFERROR(__xludf.DUMMYFUNCTION("INDEX(IMPORTRANGE(""1y0FWgjbB0gVlqn-q5LMJbGIsqOrzru4yowQz67dz2yc"", ""'MTY'!BH3:BH139""),MATCH(D101,IMPORTRANGE(""1y0FWgjbB0gVlqn-q5LMJbGIsqOrzru4yowQz67dz2yc"", ""'MTY'!D3:D139""),0))"),"")</f>
        <v/>
      </c>
      <c r="Z101" s="26">
        <f ca="1">IFERROR(__xludf.DUMMYFUNCTION("INDEX(IMPORTRANGE(""1y0FWgjbB0gVlqn-q5LMJbGIsqOrzru4yowQz67dz2yc"", ""'MTY'!BI3:BI139""),MATCH(D101,IMPORTRANGE(""1y0FWgjbB0gVlqn-q5LMJbGIsqOrzru4yowQz67dz2yc"", ""'MTY'!D3:D139""),0))"),0.430527318683108)</f>
        <v>0.43052731868310801</v>
      </c>
      <c r="AA101" s="2"/>
      <c r="AB101" s="2"/>
      <c r="AC101" s="2"/>
    </row>
    <row r="102" spans="1:29">
      <c r="A102" s="9" t="s">
        <v>275</v>
      </c>
      <c r="B102" s="9" t="s">
        <v>284</v>
      </c>
      <c r="C102" s="2" t="s">
        <v>30</v>
      </c>
      <c r="D102" s="149" t="s">
        <v>285</v>
      </c>
      <c r="E102" s="9" t="s">
        <v>278</v>
      </c>
      <c r="F102" s="9" t="s">
        <v>286</v>
      </c>
      <c r="G102" s="9" t="s">
        <v>213</v>
      </c>
      <c r="H102" s="2" t="s">
        <v>214</v>
      </c>
      <c r="I102" s="9" t="s">
        <v>215</v>
      </c>
      <c r="J102" s="4"/>
      <c r="K102" s="9" t="s">
        <v>216</v>
      </c>
      <c r="L102" s="4"/>
      <c r="M102" s="9" t="s">
        <v>217</v>
      </c>
      <c r="N102" s="2" t="s">
        <v>218</v>
      </c>
      <c r="O102" s="2" t="s">
        <v>218</v>
      </c>
      <c r="P102" s="50">
        <v>5072924918.2700005</v>
      </c>
      <c r="Q102" s="50">
        <v>5072924918.2700005</v>
      </c>
      <c r="R102" s="178"/>
      <c r="S102" s="178"/>
      <c r="T102" s="178"/>
      <c r="U102" s="178"/>
      <c r="V102" s="178"/>
      <c r="W102" s="178"/>
      <c r="X102" s="50">
        <v>5072924918.2700005</v>
      </c>
      <c r="Y102" s="468" t="str">
        <f ca="1">IFERROR(__xludf.DUMMYFUNCTION("INDEX(IMPORTRANGE(""1y0FWgjbB0gVlqn-q5LMJbGIsqOrzru4yowQz67dz2yc"", ""'MTY'!BH3:BH139""),MATCH(D102,IMPORTRANGE(""1y0FWgjbB0gVlqn-q5LMJbGIsqOrzru4yowQz67dz2yc"", ""'MTY'!D3:D139""),0))"),"")</f>
        <v/>
      </c>
      <c r="Z102" s="12">
        <f ca="1">IFERROR(__xludf.DUMMYFUNCTION("INDEX(IMPORTRANGE(""1y0FWgjbB0gVlqn-q5LMJbGIsqOrzru4yowQz67dz2yc"", ""'MTY'!BI3:BI139""),MATCH(D102,IMPORTRANGE(""1y0FWgjbB0gVlqn-q5LMJbGIsqOrzru4yowQz67dz2yc"", ""'MTY'!D3:D139""),0))"),5361668150.05)</f>
        <v>5361668150.0500002</v>
      </c>
      <c r="AA102" s="2"/>
      <c r="AB102" s="2"/>
      <c r="AC102" s="2"/>
    </row>
    <row r="103" spans="1:29">
      <c r="A103" s="9" t="s">
        <v>275</v>
      </c>
      <c r="B103" s="9" t="s">
        <v>276</v>
      </c>
      <c r="C103" s="2" t="s">
        <v>36</v>
      </c>
      <c r="D103" s="149" t="s">
        <v>287</v>
      </c>
      <c r="E103" s="9" t="s">
        <v>278</v>
      </c>
      <c r="F103" s="9" t="s">
        <v>288</v>
      </c>
      <c r="G103" s="9" t="s">
        <v>213</v>
      </c>
      <c r="H103" s="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19">P99/P102</f>
        <v>0.60737848538289907</v>
      </c>
      <c r="Q103" s="15">
        <f t="shared" si="19"/>
        <v>0.60737848538289907</v>
      </c>
      <c r="R103" s="26"/>
      <c r="S103" s="15">
        <v>0.61</v>
      </c>
      <c r="T103" s="15"/>
      <c r="U103" s="15">
        <v>0.62</v>
      </c>
      <c r="V103" s="15">
        <v>0.62</v>
      </c>
      <c r="W103" s="15">
        <v>0.62</v>
      </c>
      <c r="X103" s="15">
        <f>X99/X102</f>
        <v>0.60737848538289907</v>
      </c>
      <c r="Y103" s="468" t="str">
        <f ca="1">IFERROR(__xludf.DUMMYFUNCTION("INDEX(IMPORTRANGE(""1y0FWgjbB0gVlqn-q5LMJbGIsqOrzru4yowQz67dz2yc"", ""'MTY'!BH3:BH139""),MATCH(D103,IMPORTRANGE(""1y0FWgjbB0gVlqn-q5LMJbGIsqOrzru4yowQz67dz2yc"", ""'MTY'!D3:D139""),0))"),"")</f>
        <v/>
      </c>
      <c r="Z103" s="12">
        <f ca="1">IFERROR(__xludf.DUMMYFUNCTION("INDEX(IMPORTRANGE(""1y0FWgjbB0gVlqn-q5LMJbGIsqOrzru4yowQz67dz2yc"", ""'MTY'!BI3:BI139""),MATCH(D103,IMPORTRANGE(""1y0FWgjbB0gVlqn-q5LMJbGIsqOrzru4yowQz67dz2yc"", ""'MTY'!D3:D139""),0))"),0.660267589066844)</f>
        <v>0.66026758906684402</v>
      </c>
      <c r="AA103" s="2"/>
      <c r="AB103" s="2"/>
      <c r="AC103" s="2"/>
    </row>
    <row r="104" spans="1:29">
      <c r="A104" s="9" t="s">
        <v>275</v>
      </c>
      <c r="B104" s="9" t="s">
        <v>276</v>
      </c>
      <c r="C104" s="2" t="s">
        <v>30</v>
      </c>
      <c r="D104" s="149" t="s">
        <v>289</v>
      </c>
      <c r="E104" s="9" t="s">
        <v>38</v>
      </c>
      <c r="F104" s="9" t="s">
        <v>112</v>
      </c>
      <c r="G104" s="9" t="s">
        <v>254</v>
      </c>
      <c r="H104" s="9" t="s">
        <v>254</v>
      </c>
      <c r="I104" s="9" t="s">
        <v>254</v>
      </c>
      <c r="J104" s="4"/>
      <c r="K104" s="9" t="s">
        <v>255</v>
      </c>
      <c r="L104" s="4"/>
      <c r="M104" s="9" t="s">
        <v>256</v>
      </c>
      <c r="N104" s="49">
        <v>45536</v>
      </c>
      <c r="O104" s="2" t="s">
        <v>218</v>
      </c>
      <c r="P104" s="12">
        <v>426298</v>
      </c>
      <c r="Q104" s="12">
        <v>426298</v>
      </c>
      <c r="R104" s="6"/>
      <c r="S104" s="6"/>
      <c r="T104" s="6"/>
      <c r="U104" s="6"/>
      <c r="V104" s="6"/>
      <c r="W104" s="6"/>
      <c r="X104" s="12">
        <v>426298</v>
      </c>
      <c r="Y104" s="468" t="str">
        <f ca="1">IFERROR(__xludf.DUMMYFUNCTION("INDEX(IMPORTRANGE(""1y0FWgjbB0gVlqn-q5LMJbGIsqOrzru4yowQz67dz2yc"", ""'MTY'!BH3:BH139""),MATCH(D104,IMPORTRANGE(""1y0FWgjbB0gVlqn-q5LMJbGIsqOrzru4yowQz67dz2yc"", ""'MTY'!D3:D139""),0))"),"")</f>
        <v/>
      </c>
      <c r="Z104" s="12">
        <f ca="1">IFERROR(__xludf.DUMMYFUNCTION("INDEX(IMPORTRANGE(""1y0FWgjbB0gVlqn-q5LMJbGIsqOrzru4yowQz67dz2yc"", ""'MTY'!BI3:BI139""),MATCH(D104,IMPORTRANGE(""1y0FWgjbB0gVlqn-q5LMJbGIsqOrzru4yowQz67dz2yc"", ""'MTY'!D3:D139""),0))"),432349)</f>
        <v>432349</v>
      </c>
      <c r="AA104" s="2"/>
      <c r="AB104" s="2"/>
      <c r="AC104" s="2"/>
    </row>
    <row r="105" spans="1:29">
      <c r="A105" s="9" t="s">
        <v>275</v>
      </c>
      <c r="B105" s="9" t="s">
        <v>276</v>
      </c>
      <c r="C105" s="2" t="s">
        <v>30</v>
      </c>
      <c r="D105" s="149" t="s">
        <v>290</v>
      </c>
      <c r="E105" s="9" t="s">
        <v>38</v>
      </c>
      <c r="F105" s="9" t="s">
        <v>291</v>
      </c>
      <c r="G105" s="9" t="s">
        <v>213</v>
      </c>
      <c r="H105" s="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2">
        <v>276910</v>
      </c>
      <c r="Q105" s="12">
        <v>276910</v>
      </c>
      <c r="R105" s="30"/>
      <c r="S105" s="30"/>
      <c r="T105" s="30"/>
      <c r="U105" s="30"/>
      <c r="V105" s="30"/>
      <c r="W105" s="30"/>
      <c r="X105" s="12">
        <v>276910</v>
      </c>
      <c r="Y105" s="468" t="str">
        <f ca="1">IFERROR(__xludf.DUMMYFUNCTION("INDEX(IMPORTRANGE(""1y0FWgjbB0gVlqn-q5LMJbGIsqOrzru4yowQz67dz2yc"", ""'MTY'!BH3:BH139""),MATCH(D105,IMPORTRANGE(""1y0FWgjbB0gVlqn-q5LMJbGIsqOrzru4yowQz67dz2yc"", ""'MTY'!D3:D139""),0))"),"")</f>
        <v/>
      </c>
      <c r="Z105" s="12">
        <f ca="1">IFERROR(__xludf.DUMMYFUNCTION("INDEX(IMPORTRANGE(""1y0FWgjbB0gVlqn-q5LMJbGIsqOrzru4yowQz67dz2yc"", ""'MTY'!BI3:BI139""),MATCH(D105,IMPORTRANGE(""1y0FWgjbB0gVlqn-q5LMJbGIsqOrzru4yowQz67dz2yc"", ""'MTY'!D3:D139""),0))"),276172)</f>
        <v>276172</v>
      </c>
      <c r="AA105" s="2"/>
      <c r="AB105" s="2"/>
      <c r="AC105" s="2"/>
    </row>
    <row r="106" spans="1:29">
      <c r="A106" s="9" t="s">
        <v>275</v>
      </c>
      <c r="B106" s="9" t="s">
        <v>276</v>
      </c>
      <c r="C106" s="2" t="s">
        <v>36</v>
      </c>
      <c r="D106" s="149" t="s">
        <v>292</v>
      </c>
      <c r="E106" s="9" t="s">
        <v>38</v>
      </c>
      <c r="F106" s="9" t="s">
        <v>293</v>
      </c>
      <c r="G106" s="9" t="s">
        <v>213</v>
      </c>
      <c r="H106" s="2" t="s">
        <v>214</v>
      </c>
      <c r="I106" s="9" t="s">
        <v>215</v>
      </c>
      <c r="J106" s="4"/>
      <c r="K106" s="9" t="s">
        <v>216</v>
      </c>
      <c r="L106" s="4"/>
      <c r="M106" s="9" t="s">
        <v>217</v>
      </c>
      <c r="N106" s="2" t="s">
        <v>218</v>
      </c>
      <c r="O106" s="2" t="s">
        <v>218</v>
      </c>
      <c r="P106" s="15">
        <f t="shared" ref="P106:Q106" si="20">P105/P104</f>
        <v>0.64956908078386477</v>
      </c>
      <c r="Q106" s="15">
        <f t="shared" si="20"/>
        <v>0.64956908078386477</v>
      </c>
      <c r="R106" s="26"/>
      <c r="S106" s="15">
        <v>0.65</v>
      </c>
      <c r="T106" s="15"/>
      <c r="U106" s="15">
        <v>0.66</v>
      </c>
      <c r="V106" s="15">
        <v>0.61</v>
      </c>
      <c r="W106" s="15">
        <v>0.61</v>
      </c>
      <c r="X106" s="15">
        <f>X105/X104</f>
        <v>0.64956908078386477</v>
      </c>
      <c r="Y106" s="468" t="str">
        <f ca="1">IFERROR(__xludf.DUMMYFUNCTION("INDEX(IMPORTRANGE(""1y0FWgjbB0gVlqn-q5LMJbGIsqOrzru4yowQz67dz2yc"", ""'MTY'!BH3:BH139""),MATCH(D106,IMPORTRANGE(""1y0FWgjbB0gVlqn-q5LMJbGIsqOrzru4yowQz67dz2yc"", ""'MTY'!D3:D139""),0))"),"")</f>
        <v/>
      </c>
      <c r="Z106" s="15">
        <f ca="1">IFERROR(__xludf.DUMMYFUNCTION("INDEX(IMPORTRANGE(""1y0FWgjbB0gVlqn-q5LMJbGIsqOrzru4yowQz67dz2yc"", ""'MTY'!BI3:BI139""),MATCH(D106,IMPORTRANGE(""1y0FWgjbB0gVlqn-q5LMJbGIsqOrzru4yowQz67dz2yc"", ""'MTY'!D3:D139""),0))"),0.638770992878438)</f>
        <v>0.63877099287843797</v>
      </c>
      <c r="AA106" s="2"/>
      <c r="AB106" s="2"/>
      <c r="AC106" s="2"/>
    </row>
    <row r="107" spans="1:29">
      <c r="A107" s="9" t="s">
        <v>275</v>
      </c>
      <c r="B107" s="9" t="s">
        <v>276</v>
      </c>
      <c r="C107" s="9" t="s">
        <v>30</v>
      </c>
      <c r="D107" s="149" t="s">
        <v>294</v>
      </c>
      <c r="E107" s="9" t="s">
        <v>38</v>
      </c>
      <c r="F107" s="9" t="s">
        <v>295</v>
      </c>
      <c r="G107" s="9" t="s">
        <v>213</v>
      </c>
      <c r="H107" s="2" t="s">
        <v>214</v>
      </c>
      <c r="I107" s="9" t="s">
        <v>215</v>
      </c>
      <c r="J107" s="4"/>
      <c r="K107" s="9" t="s">
        <v>216</v>
      </c>
      <c r="L107" s="4"/>
      <c r="M107" s="9" t="s">
        <v>217</v>
      </c>
      <c r="N107" s="2" t="s">
        <v>218</v>
      </c>
      <c r="O107" s="2" t="s">
        <v>218</v>
      </c>
      <c r="P107" s="36"/>
      <c r="Q107" s="36"/>
      <c r="R107" s="36"/>
      <c r="S107" s="36"/>
      <c r="T107" s="36"/>
      <c r="U107" s="36"/>
      <c r="V107" s="36"/>
      <c r="W107" s="36"/>
      <c r="X107" s="36"/>
      <c r="Y107" s="468" t="str">
        <f ca="1">IFERROR(__xludf.DUMMYFUNCTION("INDEX(IMPORTRANGE(""1y0FWgjbB0gVlqn-q5LMJbGIsqOrzru4yowQz67dz2yc"", ""'MTY'!BH3:BH139""),MATCH(D107,IMPORTRANGE(""1y0FWgjbB0gVlqn-q5LMJbGIsqOrzru4yowQz67dz2yc"", ""'MTY'!D3:D139""),0))"),"")</f>
        <v/>
      </c>
      <c r="Z107" s="12">
        <f ca="1">IFERROR(__xludf.DUMMYFUNCTION("INDEX(IMPORTRANGE(""1y0FWgjbB0gVlqn-q5LMJbGIsqOrzru4yowQz67dz2yc"", ""'MTY'!BI3:BI139""),MATCH(D107,IMPORTRANGE(""1y0FWgjbB0gVlqn-q5LMJbGIsqOrzru4yowQz67dz2yc"", ""'MTY'!D3:D139""),0))"),1437821747.75999)</f>
        <v>1437821747.75999</v>
      </c>
      <c r="AA107" s="2"/>
      <c r="AB107" s="2"/>
      <c r="AC107" s="2"/>
    </row>
    <row r="108" spans="1:29">
      <c r="A108" s="9" t="s">
        <v>275</v>
      </c>
      <c r="B108" s="9" t="s">
        <v>276</v>
      </c>
      <c r="C108" s="9" t="s">
        <v>36</v>
      </c>
      <c r="D108" s="149" t="s">
        <v>296</v>
      </c>
      <c r="E108" s="9" t="s">
        <v>38</v>
      </c>
      <c r="F108" s="9" t="s">
        <v>297</v>
      </c>
      <c r="G108" s="9" t="s">
        <v>213</v>
      </c>
      <c r="H108" s="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36">
        <v>1379390367.3499999</v>
      </c>
      <c r="Q108" s="36">
        <v>1379390367.3499999</v>
      </c>
      <c r="R108" s="36"/>
      <c r="S108" s="36">
        <v>1480000000</v>
      </c>
      <c r="T108" s="36"/>
      <c r="U108" s="36">
        <v>1480000000</v>
      </c>
      <c r="V108" s="36">
        <v>1455000000</v>
      </c>
      <c r="W108" s="36">
        <v>1455000000</v>
      </c>
      <c r="X108" s="36">
        <v>1379390367.3499999</v>
      </c>
      <c r="Y108" s="468" t="str">
        <f ca="1">IFERROR(__xludf.DUMMYFUNCTION("INDEX(IMPORTRANGE(""1y0FWgjbB0gVlqn-q5LMJbGIsqOrzru4yowQz67dz2yc"", ""'MTY'!BH3:BH139""),MATCH(D108,IMPORTRANGE(""1y0FWgjbB0gVlqn-q5LMJbGIsqOrzru4yowQz67dz2yc"", ""'MTY'!D3:D139""),0))"),"")</f>
        <v/>
      </c>
      <c r="Z108" s="12">
        <f ca="1">IFERROR(__xludf.DUMMYFUNCTION("INDEX(IMPORTRANGE(""1y0FWgjbB0gVlqn-q5LMJbGIsqOrzru4yowQz67dz2yc"", ""'MTY'!BI3:BI139""),MATCH(D108,IMPORTRANGE(""1y0FWgjbB0gVlqn-q5LMJbGIsqOrzru4yowQz67dz2yc"", ""'MTY'!D3:D139""),0))"),1540788108.32)</f>
        <v>1540788108.3199999</v>
      </c>
      <c r="AA108" s="2"/>
      <c r="AB108" s="2"/>
      <c r="AC108" s="2"/>
    </row>
    <row r="109" spans="1:29">
      <c r="A109" s="9" t="s">
        <v>275</v>
      </c>
      <c r="B109" s="9" t="s">
        <v>298</v>
      </c>
      <c r="C109" s="2" t="s">
        <v>30</v>
      </c>
      <c r="D109" s="149" t="s">
        <v>299</v>
      </c>
      <c r="E109" s="9" t="s">
        <v>278</v>
      </c>
      <c r="F109" s="9" t="s">
        <v>300</v>
      </c>
      <c r="G109" s="9" t="s">
        <v>213</v>
      </c>
      <c r="H109" s="2" t="s">
        <v>214</v>
      </c>
      <c r="I109" s="9" t="s">
        <v>215</v>
      </c>
      <c r="J109" s="4"/>
      <c r="K109" s="9" t="s">
        <v>216</v>
      </c>
      <c r="L109" s="4"/>
      <c r="M109" s="9" t="s">
        <v>217</v>
      </c>
      <c r="N109" s="2" t="s">
        <v>218</v>
      </c>
      <c r="O109" s="2" t="s">
        <v>218</v>
      </c>
      <c r="P109" s="36">
        <v>7008731456.6499996</v>
      </c>
      <c r="Q109" s="36">
        <v>7008731456.6499996</v>
      </c>
      <c r="R109" s="178"/>
      <c r="S109" s="178"/>
      <c r="T109" s="178"/>
      <c r="U109" s="178"/>
      <c r="V109" s="178"/>
      <c r="W109" s="178"/>
      <c r="X109" s="36">
        <v>7008731456.6499996</v>
      </c>
      <c r="Y109" s="468" t="str">
        <f ca="1">IFERROR(__xludf.DUMMYFUNCTION("INDEX(IMPORTRANGE(""1y0FWgjbB0gVlqn-q5LMJbGIsqOrzru4yowQz67dz2yc"", ""'MTY'!BH3:BH139""),MATCH(D109,IMPORTRANGE(""1y0FWgjbB0gVlqn-q5LMJbGIsqOrzru4yowQz67dz2yc"", ""'MTY'!D3:D139""),0))"),"")</f>
        <v/>
      </c>
      <c r="Z109" s="12">
        <f ca="1">IFERROR(__xludf.DUMMYFUNCTION("INDEX(IMPORTRANGE(""1y0FWgjbB0gVlqn-q5LMJbGIsqOrzru4yowQz67dz2yc"", ""'MTY'!BI3:BI139""),MATCH(D109,IMPORTRANGE(""1y0FWgjbB0gVlqn-q5LMJbGIsqOrzru4yowQz67dz2yc"", ""'MTY'!D3:D139""),0))"),7869734755.85)</f>
        <v>7869734755.8500004</v>
      </c>
      <c r="AA109" s="2"/>
      <c r="AB109" s="2"/>
      <c r="AC109" s="2"/>
    </row>
    <row r="110" spans="1:29">
      <c r="A110" s="9" t="s">
        <v>275</v>
      </c>
      <c r="B110" s="9" t="s">
        <v>298</v>
      </c>
      <c r="C110" s="2" t="s">
        <v>36</v>
      </c>
      <c r="D110" s="149" t="s">
        <v>301</v>
      </c>
      <c r="E110" s="9" t="s">
        <v>278</v>
      </c>
      <c r="F110" s="9" t="s">
        <v>302</v>
      </c>
      <c r="G110" s="9" t="s">
        <v>213</v>
      </c>
      <c r="H110" s="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15">
        <f t="shared" ref="P110:Q110" si="21">P102/P109</f>
        <v>0.72380072622938429</v>
      </c>
      <c r="Q110" s="15">
        <f t="shared" si="21"/>
        <v>0.72380072622938429</v>
      </c>
      <c r="R110" s="26"/>
      <c r="S110" s="26">
        <v>0.72</v>
      </c>
      <c r="T110" s="26"/>
      <c r="U110" s="26">
        <v>0.71499999999999997</v>
      </c>
      <c r="V110" s="26">
        <v>0.71</v>
      </c>
      <c r="W110" s="26">
        <v>0.71</v>
      </c>
      <c r="X110" s="15">
        <f>X102/X109</f>
        <v>0.72380072622938429</v>
      </c>
      <c r="Y110" s="468" t="str">
        <f ca="1">IFERROR(__xludf.DUMMYFUNCTION("INDEX(IMPORTRANGE(""1y0FWgjbB0gVlqn-q5LMJbGIsqOrzru4yowQz67dz2yc"", ""'MTY'!BH3:BH139""),MATCH(D110,IMPORTRANGE(""1y0FWgjbB0gVlqn-q5LMJbGIsqOrzru4yowQz67dz2yc"", ""'MTY'!D3:D139""),0))"),"")</f>
        <v/>
      </c>
      <c r="Z110" s="12">
        <f ca="1">IFERROR(__xludf.DUMMYFUNCTION("INDEX(IMPORTRANGE(""1y0FWgjbB0gVlqn-q5LMJbGIsqOrzru4yowQz67dz2yc"", ""'MTY'!BI3:BI139""),MATCH(D110,IMPORTRANGE(""1y0FWgjbB0gVlqn-q5LMJbGIsqOrzru4yowQz67dz2yc"", ""'MTY'!D3:D139""),0))"),0.681302269566884)</f>
        <v>0.681302269566884</v>
      </c>
      <c r="AA110" s="2"/>
      <c r="AB110" s="2"/>
      <c r="AC110" s="2"/>
    </row>
    <row r="111" spans="1:29">
      <c r="A111" s="9" t="s">
        <v>275</v>
      </c>
      <c r="B111" s="9" t="s">
        <v>303</v>
      </c>
      <c r="C111" s="2" t="s">
        <v>36</v>
      </c>
      <c r="D111" s="149" t="s">
        <v>304</v>
      </c>
      <c r="E111" s="9" t="s">
        <v>305</v>
      </c>
      <c r="F111" s="9" t="s">
        <v>306</v>
      </c>
      <c r="G111" s="11" t="s">
        <v>307</v>
      </c>
      <c r="H111" s="4"/>
      <c r="I111" s="2" t="s">
        <v>254</v>
      </c>
      <c r="J111" s="4"/>
      <c r="K111" s="2" t="s">
        <v>255</v>
      </c>
      <c r="L111" s="4"/>
      <c r="M111" s="2" t="s">
        <v>256</v>
      </c>
      <c r="N111" s="49">
        <v>45473</v>
      </c>
      <c r="O111" s="2"/>
      <c r="P111" s="30" t="s">
        <v>308</v>
      </c>
      <c r="Q111" s="30" t="s">
        <v>308</v>
      </c>
      <c r="R111" s="30" t="s">
        <v>308</v>
      </c>
      <c r="S111" s="30" t="s">
        <v>308</v>
      </c>
      <c r="T111" s="30" t="s">
        <v>308</v>
      </c>
      <c r="U111" s="30" t="s">
        <v>308</v>
      </c>
      <c r="V111" s="30" t="s">
        <v>308</v>
      </c>
      <c r="W111" s="30" t="s">
        <v>308</v>
      </c>
      <c r="X111" s="30" t="s">
        <v>308</v>
      </c>
      <c r="Y111" s="468" t="str">
        <f ca="1">IFERROR(__xludf.DUMMYFUNCTION("INDEX(IMPORTRANGE(""1y0FWgjbB0gVlqn-q5LMJbGIsqOrzru4yowQz67dz2yc"", ""'MTY'!BH3:BH139""),MATCH(D111,IMPORTRANGE(""1y0FWgjbB0gVlqn-q5LMJbGIsqOrzru4yowQz67dz2yc"", ""'MTY'!D3:D139""),0))"),"")</f>
        <v/>
      </c>
      <c r="Z111" s="12" t="str">
        <f ca="1">IFERROR(__xludf.DUMMYFUNCTION("INDEX(IMPORTRANGE(""1y0FWgjbB0gVlqn-q5LMJbGIsqOrzru4yowQz67dz2yc"", ""'MTY'!BI3:BI139""),MATCH(D111,IMPORTRANGE(""1y0FWgjbB0gVlqn-q5LMJbGIsqOrzru4yowQz67dz2yc"", ""'MTY'!D3:D139""),0))"),"Verde")</f>
        <v>Verde</v>
      </c>
      <c r="AA111" s="2"/>
      <c r="AB111" s="2"/>
      <c r="AC111" s="2"/>
    </row>
    <row r="112" spans="1:29">
      <c r="A112" s="2"/>
      <c r="B112" s="2"/>
      <c r="C112" s="2"/>
      <c r="D112" s="148"/>
      <c r="E112" s="2"/>
      <c r="F112" s="2"/>
      <c r="G112" s="11" t="s">
        <v>307</v>
      </c>
      <c r="H112" s="4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17E3F-2E68-684C-A0D5-D4D23CE244D6}">
  <dimension ref="A1:AC113"/>
  <sheetViews>
    <sheetView workbookViewId="0"/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3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665734</v>
      </c>
      <c r="Q2" s="5">
        <v>665734</v>
      </c>
      <c r="R2" s="4"/>
      <c r="S2" s="6"/>
      <c r="T2" s="6"/>
      <c r="U2" s="6"/>
      <c r="V2" s="6"/>
      <c r="W2" s="6"/>
      <c r="X2" s="5">
        <v>685177</v>
      </c>
      <c r="Y2" s="5">
        <v>685177</v>
      </c>
      <c r="Z2" s="5">
        <v>693045</v>
      </c>
      <c r="AA2" s="5">
        <v>693045</v>
      </c>
      <c r="AB2" s="5">
        <v>699613</v>
      </c>
      <c r="AC2" s="5">
        <v>699613</v>
      </c>
    </row>
    <row r="3" spans="1:29">
      <c r="A3" s="149" t="s">
        <v>34</v>
      </c>
      <c r="B3" s="149" t="s">
        <v>35</v>
      </c>
      <c r="C3" s="148" t="s">
        <v>36</v>
      </c>
      <c r="D3" s="150" t="s">
        <v>37</v>
      </c>
      <c r="E3" s="14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835</v>
      </c>
      <c r="Q3" s="2">
        <v>835</v>
      </c>
      <c r="R3" s="4">
        <v>790</v>
      </c>
      <c r="S3" s="4">
        <v>840</v>
      </c>
      <c r="T3" s="4">
        <v>840</v>
      </c>
      <c r="U3" s="4">
        <v>890</v>
      </c>
      <c r="V3" s="4">
        <v>890</v>
      </c>
      <c r="W3" s="4">
        <v>890</v>
      </c>
      <c r="X3" s="2">
        <v>853</v>
      </c>
      <c r="Y3" s="2">
        <f ca="1">IFERROR(__xludf.DUMMYFUNCTION("INDEX(IMPORTRANGE(""1y0FWgjbB0gVlqn-q5LMJbGIsqOrzru4yowQz67dz2yc"", ""'APO'!BG3:BG139""),MATCH($D3,IMPORTRANGE(""1y0FWgjbB0gVlqn-q5LMJbGIsqOrzru4yowQz67dz2yc"", ""'APO'!D3:D139""),0))"),818)</f>
        <v>818</v>
      </c>
      <c r="Z3" s="2">
        <f ca="1">IFERROR(__xludf.DUMMYFUNCTION("INDEX(IMPORTRANGE(""1y0FWgjbB0gVlqn-q5LMJbGIsqOrzru4yowQz67dz2yc"", ""'APO'!BH3:BH139""),MATCH($D3,IMPORTRANGE(""1y0FWgjbB0gVlqn-q5LMJbGIsqOrzru4yowQz67dz2yc"", ""'APO'!D3:D139""),0))"),817)</f>
        <v>817</v>
      </c>
      <c r="AA3" s="2">
        <f ca="1">IFERROR(__xludf.DUMMYFUNCTION("INDEX(IMPORTRANGE(""1y0FWgjbB0gVlqn-q5LMJbGIsqOrzru4yowQz67dz2yc"", ""'APO'!BI3:BI139""),MATCH($D3,IMPORTRANGE(""1y0FWgjbB0gVlqn-q5LMJbGIsqOrzru4yowQz67dz2yc"", ""'APO'!D3:D139""),0))"),845)</f>
        <v>845</v>
      </c>
      <c r="AB3" s="2"/>
      <c r="AC3" s="2"/>
    </row>
    <row r="4" spans="1:29">
      <c r="A4" s="149" t="s">
        <v>34</v>
      </c>
      <c r="B4" s="149" t="s">
        <v>40</v>
      </c>
      <c r="C4" s="148" t="s">
        <v>30</v>
      </c>
      <c r="D4" s="150" t="s">
        <v>41</v>
      </c>
      <c r="E4" s="14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835</v>
      </c>
      <c r="Q4" s="2">
        <v>835</v>
      </c>
      <c r="R4" s="13"/>
      <c r="S4" s="13"/>
      <c r="T4" s="13"/>
      <c r="U4" s="13"/>
      <c r="V4" s="13"/>
      <c r="W4" s="13"/>
      <c r="X4" s="2">
        <v>853</v>
      </c>
      <c r="Y4" s="2">
        <f ca="1">IFERROR(__xludf.DUMMYFUNCTION("INDEX(IMPORTRANGE(""1y0FWgjbB0gVlqn-q5LMJbGIsqOrzru4yowQz67dz2yc"", ""'APO'!BG3:BG139""),MATCH($D4,IMPORTRANGE(""1y0FWgjbB0gVlqn-q5LMJbGIsqOrzru4yowQz67dz2yc"", ""'APO'!D3:D139""),0))"),787)</f>
        <v>787</v>
      </c>
      <c r="Z4" s="2">
        <f ca="1">IFERROR(__xludf.DUMMYFUNCTION("INDEX(IMPORTRANGE(""1y0FWgjbB0gVlqn-q5LMJbGIsqOrzru4yowQz67dz2yc"", ""'APO'!BH3:BH139""),MATCH($D4,IMPORTRANGE(""1y0FWgjbB0gVlqn-q5LMJbGIsqOrzru4yowQz67dz2yc"", ""'APO'!D3:D139""),0))"),817)</f>
        <v>817</v>
      </c>
      <c r="AA4" s="2">
        <f ca="1">IFERROR(__xludf.DUMMYFUNCTION("INDEX(IMPORTRANGE(""1y0FWgjbB0gVlqn-q5LMJbGIsqOrzru4yowQz67dz2yc"", ""'APO'!BI3:BI139""),MATCH($D4,IMPORTRANGE(""1y0FWgjbB0gVlqn-q5LMJbGIsqOrzru4yowQz67dz2yc"", ""'APO'!D3:D139""),0))"),836)</f>
        <v>836</v>
      </c>
      <c r="AB4" s="2"/>
      <c r="AC4" s="2"/>
    </row>
    <row r="5" spans="1:29">
      <c r="A5" s="149" t="s">
        <v>34</v>
      </c>
      <c r="B5" s="149" t="s">
        <v>40</v>
      </c>
      <c r="C5" s="148" t="s">
        <v>36</v>
      </c>
      <c r="D5" s="150" t="s">
        <v>43</v>
      </c>
      <c r="E5" s="149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4">
        <f t="shared" ref="P5:Q5" si="0">P4/P3</f>
        <v>1</v>
      </c>
      <c r="Q5" s="14">
        <f t="shared" si="0"/>
        <v>1</v>
      </c>
      <c r="R5" s="2" t="s">
        <v>327</v>
      </c>
      <c r="S5" s="2" t="s">
        <v>327</v>
      </c>
      <c r="T5" s="2" t="s">
        <v>327</v>
      </c>
      <c r="U5" s="2" t="s">
        <v>327</v>
      </c>
      <c r="V5" s="2" t="s">
        <v>327</v>
      </c>
      <c r="W5" s="2" t="s">
        <v>327</v>
      </c>
      <c r="X5" s="15">
        <f>X4/X3</f>
        <v>1</v>
      </c>
      <c r="Y5" s="15">
        <f ca="1">IFERROR(__xludf.DUMMYFUNCTION("INDEX(IMPORTRANGE(""1y0FWgjbB0gVlqn-q5LMJbGIsqOrzru4yowQz67dz2yc"", ""'APO'!BG3:BG139""),MATCH($D5,IMPORTRANGE(""1y0FWgjbB0gVlqn-q5LMJbGIsqOrzru4yowQz67dz2yc"", ""'APO'!D3:D139""),0))"),0.962102689486552)</f>
        <v>0.96210268948655198</v>
      </c>
      <c r="Z5" s="15">
        <f ca="1">IFERROR(__xludf.DUMMYFUNCTION("INDEX(IMPORTRANGE(""1y0FWgjbB0gVlqn-q5LMJbGIsqOrzru4yowQz67dz2yc"", ""'APO'!BH3:BH139""),MATCH($D5,IMPORTRANGE(""1y0FWgjbB0gVlqn-q5LMJbGIsqOrzru4yowQz67dz2yc"", ""'APO'!D3:D139""),0))"),1)</f>
        <v>1</v>
      </c>
      <c r="AA5" s="15">
        <f ca="1">IFERROR(__xludf.DUMMYFUNCTION("INDEX(IMPORTRANGE(""1y0FWgjbB0gVlqn-q5LMJbGIsqOrzru4yowQz67dz2yc"", ""'APO'!BI3:BI139""),MATCH($D5,IMPORTRANGE(""1y0FWgjbB0gVlqn-q5LMJbGIsqOrzru4yowQz67dz2yc"", ""'APO'!D3:D139""),0))"),0.989349112426035)</f>
        <v>0.98934911242603496</v>
      </c>
      <c r="AB5" s="15"/>
      <c r="AC5" s="15"/>
    </row>
    <row r="6" spans="1:29">
      <c r="A6" s="149" t="s">
        <v>34</v>
      </c>
      <c r="B6" s="149" t="s">
        <v>45</v>
      </c>
      <c r="C6" s="148" t="s">
        <v>30</v>
      </c>
      <c r="D6" s="148" t="s">
        <v>328</v>
      </c>
      <c r="E6" s="151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""'APO'!BG3:BG139""),MATCH($D6,IMPORTRANGE(""1y0FWgjbB0gVlqn-q5LMJbGIsqOrzru4yowQz67dz2yc"", ""'APO'!D3:D139""),0))"),5)</f>
        <v>5</v>
      </c>
      <c r="Z6" s="2">
        <f ca="1">IFERROR(__xludf.DUMMYFUNCTION("INDEX(IMPORTRANGE(""1y0FWgjbB0gVlqn-q5LMJbGIsqOrzru4yowQz67dz2yc"", ""'APO'!BH3:BH139""),MATCH($D6,IMPORTRANGE(""1y0FWgjbB0gVlqn-q5LMJbGIsqOrzru4yowQz67dz2yc"", ""'APO'!D3:D139""),0))"),7)</f>
        <v>7</v>
      </c>
      <c r="AA6" s="2">
        <f ca="1">IFERROR(__xludf.DUMMYFUNCTION("INDEX(IMPORTRANGE(""1y0FWgjbB0gVlqn-q5LMJbGIsqOrzru4yowQz67dz2yc"", ""'APO'!BI3:BI139""),MATCH($D6,IMPORTRANGE(""1y0FWgjbB0gVlqn-q5LMJbGIsqOrzru4yowQz67dz2yc"", ""'APO'!D3:D139""),0))"),8)</f>
        <v>8</v>
      </c>
      <c r="AB6" s="2"/>
      <c r="AC6" s="2"/>
    </row>
    <row r="7" spans="1:29">
      <c r="A7" s="149" t="s">
        <v>34</v>
      </c>
      <c r="B7" s="149" t="s">
        <v>45</v>
      </c>
      <c r="C7" s="148" t="s">
        <v>30</v>
      </c>
      <c r="D7" s="148" t="s">
        <v>329</v>
      </c>
      <c r="E7" s="151" t="s">
        <v>38</v>
      </c>
      <c r="F7" s="9" t="s">
        <v>49</v>
      </c>
      <c r="G7" s="10">
        <v>44469</v>
      </c>
      <c r="H7" s="10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1"/>
      <c r="X7" s="19"/>
      <c r="Y7" s="2">
        <f ca="1">IFERROR(__xludf.DUMMYFUNCTION("INDEX(IMPORTRANGE(""1y0FWgjbB0gVlqn-q5LMJbGIsqOrzru4yowQz67dz2yc"", ""'APO'!BG3:BG139""),MATCH($D7,IMPORTRANGE(""1y0FWgjbB0gVlqn-q5LMJbGIsqOrzru4yowQz67dz2yc"", ""'APO'!D3:D139""),0))"),4)</f>
        <v>4</v>
      </c>
      <c r="Z7" s="2">
        <f ca="1">IFERROR(__xludf.DUMMYFUNCTION("INDEX(IMPORTRANGE(""1y0FWgjbB0gVlqn-q5LMJbGIsqOrzru4yowQz67dz2yc"", ""'APO'!BH3:BH139""),MATCH($D7,IMPORTRANGE(""1y0FWgjbB0gVlqn-q5LMJbGIsqOrzru4yowQz67dz2yc"", ""'APO'!D3:D139""),0))"),3)</f>
        <v>3</v>
      </c>
      <c r="AA7" s="2">
        <f ca="1">IFERROR(__xludf.DUMMYFUNCTION("INDEX(IMPORTRANGE(""1y0FWgjbB0gVlqn-q5LMJbGIsqOrzru4yowQz67dz2yc"", ""'APO'!BI3:BI139""),MATCH($D7,IMPORTRANGE(""1y0FWgjbB0gVlqn-q5LMJbGIsqOrzru4yowQz67dz2yc"", ""'APO'!D3:D139""),0))"),3)</f>
        <v>3</v>
      </c>
      <c r="AB7" s="2"/>
      <c r="AC7" s="2"/>
    </row>
    <row r="8" spans="1:29">
      <c r="A8" s="149" t="s">
        <v>34</v>
      </c>
      <c r="B8" s="149" t="s">
        <v>45</v>
      </c>
      <c r="C8" s="148" t="s">
        <v>36</v>
      </c>
      <c r="D8" s="148" t="s">
        <v>50</v>
      </c>
      <c r="E8" s="15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3.3E-3</v>
      </c>
      <c r="S8" s="26">
        <v>3.3E-3</v>
      </c>
      <c r="T8" s="26">
        <v>6.7000000000000002E-3</v>
      </c>
      <c r="U8" s="26">
        <v>6.7000000000000002E-3</v>
      </c>
      <c r="V8" s="26">
        <v>0.01</v>
      </c>
      <c r="W8" s="26">
        <v>0.01</v>
      </c>
      <c r="X8" s="19">
        <f>X6/X3</f>
        <v>0</v>
      </c>
      <c r="Y8" s="15">
        <f ca="1">IFERROR(__xludf.DUMMYFUNCTION("INDEX(IMPORTRANGE(""1y0FWgjbB0gVlqn-q5LMJbGIsqOrzru4yowQz67dz2yc"", ""'APO'!BG3:BG139""),MATCH($D8,IMPORTRANGE(""1y0FWgjbB0gVlqn-q5LMJbGIsqOrzru4yowQz67dz2yc"", ""'APO'!D3:D139""),0))"),0.011002444987775)</f>
        <v>1.1002444987775001E-2</v>
      </c>
      <c r="Z8" s="15">
        <f ca="1">IFERROR(__xludf.DUMMYFUNCTION("INDEX(IMPORTRANGE(""1y0FWgjbB0gVlqn-q5LMJbGIsqOrzru4yowQz67dz2yc"", ""'APO'!BH3:BH139""),MATCH($D8,IMPORTRANGE(""1y0FWgjbB0gVlqn-q5LMJbGIsqOrzru4yowQz67dz2yc"", ""'APO'!D3:D139""),0))"),0.0122399020807833)</f>
        <v>1.2239902080783301E-2</v>
      </c>
      <c r="AA8" s="15">
        <f ca="1">IFERROR(__xludf.DUMMYFUNCTION("INDEX(IMPORTRANGE(""1y0FWgjbB0gVlqn-q5LMJbGIsqOrzru4yowQz67dz2yc"", ""'APO'!BI3:BI139""),MATCH($D8,IMPORTRANGE(""1y0FWgjbB0gVlqn-q5LMJbGIsqOrzru4yowQz67dz2yc"", ""'APO'!D3:D139""),0))"),0.0130177514792899)</f>
        <v>1.30177514792899E-2</v>
      </c>
      <c r="AB8" s="15"/>
      <c r="AC8" s="15"/>
    </row>
    <row r="9" spans="1:29">
      <c r="A9" s="149" t="s">
        <v>52</v>
      </c>
      <c r="B9" s="149" t="s">
        <v>53</v>
      </c>
      <c r="C9" s="148" t="s">
        <v>30</v>
      </c>
      <c r="D9" s="149" t="s">
        <v>54</v>
      </c>
      <c r="E9" s="14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2">
        <f ca="1">IFERROR(__xludf.DUMMYFUNCTION("INDEX(IMPORTRANGE(""1y0FWgjbB0gVlqn-q5LMJbGIsqOrzru4yowQz67dz2yc"", ""'APO'!BG3:BG139""),MATCH($D9,IMPORTRANGE(""1y0FWgjbB0gVlqn-q5LMJbGIsqOrzru4yowQz67dz2yc"", ""'APO'!D3:D139""),0))"),23)</f>
        <v>23</v>
      </c>
      <c r="Z9" s="2">
        <f ca="1">IFERROR(__xludf.DUMMYFUNCTION("INDEX(IMPORTRANGE(""1y0FWgjbB0gVlqn-q5LMJbGIsqOrzru4yowQz67dz2yc"", ""'APO'!BH3:BH139""),MATCH($D9,IMPORTRANGE(""1y0FWgjbB0gVlqn-q5LMJbGIsqOrzru4yowQz67dz2yc"", ""'APO'!D3:D139""),0))"),48)</f>
        <v>48</v>
      </c>
      <c r="AA9" s="2">
        <f ca="1">IFERROR(__xludf.DUMMYFUNCTION("INDEX(IMPORTRANGE(""1y0FWgjbB0gVlqn-q5LMJbGIsqOrzru4yowQz67dz2yc"", ""'APO'!BI3:BI139""),MATCH($D9,IMPORTRANGE(""1y0FWgjbB0gVlqn-q5LMJbGIsqOrzru4yowQz67dz2yc"", ""'APO'!D3:D139""),0))"),194)</f>
        <v>194</v>
      </c>
      <c r="AB9" s="2"/>
      <c r="AC9" s="2"/>
    </row>
    <row r="10" spans="1:29">
      <c r="A10" s="149" t="s">
        <v>52</v>
      </c>
      <c r="B10" s="149" t="s">
        <v>53</v>
      </c>
      <c r="C10" s="148" t="s">
        <v>30</v>
      </c>
      <c r="D10" s="149" t="s">
        <v>64</v>
      </c>
      <c r="E10" s="14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3313</v>
      </c>
      <c r="Q10" s="12">
        <v>6449</v>
      </c>
      <c r="R10" s="13"/>
      <c r="S10" s="13"/>
      <c r="T10" s="13"/>
      <c r="U10" s="13"/>
      <c r="V10" s="13"/>
      <c r="W10" s="13"/>
      <c r="X10" s="2">
        <v>3629</v>
      </c>
      <c r="Y10" s="2">
        <f ca="1">IFERROR(__xludf.DUMMYFUNCTION("INDEX(IMPORTRANGE(""1y0FWgjbB0gVlqn-q5LMJbGIsqOrzru4yowQz67dz2yc"", ""'APO'!BG3:BG139""),MATCH($D10,IMPORTRANGE(""1y0FWgjbB0gVlqn-q5LMJbGIsqOrzru4yowQz67dz2yc"", ""'APO'!D3:D139""),0))"),225)</f>
        <v>225</v>
      </c>
      <c r="Z10" s="2">
        <f ca="1">IFERROR(__xludf.DUMMYFUNCTION("INDEX(IMPORTRANGE(""1y0FWgjbB0gVlqn-q5LMJbGIsqOrzru4yowQz67dz2yc"", ""'APO'!BH3:BH139""),MATCH($D10,IMPORTRANGE(""1y0FWgjbB0gVlqn-q5LMJbGIsqOrzru4yowQz67dz2yc"", ""'APO'!D3:D139""),0))"),328)</f>
        <v>328</v>
      </c>
      <c r="AA10" s="2">
        <f ca="1">IFERROR(__xludf.DUMMYFUNCTION("INDEX(IMPORTRANGE(""1y0FWgjbB0gVlqn-q5LMJbGIsqOrzru4yowQz67dz2yc"", ""'APO'!BI3:BI139""),MATCH($D10,IMPORTRANGE(""1y0FWgjbB0gVlqn-q5LMJbGIsqOrzru4yowQz67dz2yc"", ""'APO'!D3:D139""),0))"),744)</f>
        <v>744</v>
      </c>
      <c r="AB10" s="2"/>
      <c r="AC10" s="2"/>
    </row>
    <row r="11" spans="1:29">
      <c r="A11" s="149" t="s">
        <v>52</v>
      </c>
      <c r="B11" s="149" t="s">
        <v>53</v>
      </c>
      <c r="C11" s="148" t="s">
        <v>36</v>
      </c>
      <c r="D11" s="149" t="s">
        <v>66</v>
      </c>
      <c r="E11" s="14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v>6.7000000000000004E-2</v>
      </c>
      <c r="S11" s="15">
        <v>0.13300000000000001</v>
      </c>
      <c r="T11" s="15">
        <v>0.2</v>
      </c>
      <c r="U11" s="15">
        <v>0.26700000000000002</v>
      </c>
      <c r="V11" s="15">
        <v>0.33300000000000002</v>
      </c>
      <c r="W11" s="15">
        <v>0.33329999999999999</v>
      </c>
      <c r="X11" s="15">
        <f>X9/X10</f>
        <v>0</v>
      </c>
      <c r="Y11" s="15">
        <f ca="1">IFERROR(__xludf.DUMMYFUNCTION("INDEX(IMPORTRANGE(""1y0FWgjbB0gVlqn-q5LMJbGIsqOrzru4yowQz67dz2yc"", ""'APO'!BG3:BG139""),MATCH($D11,IMPORTRANGE(""1y0FWgjbB0gVlqn-q5LMJbGIsqOrzru4yowQz67dz2yc"", ""'APO'!D3:D139""),0))"),0.102222222222222)</f>
        <v>0.10222222222222201</v>
      </c>
      <c r="Z11" s="15">
        <f ca="1">IFERROR(__xludf.DUMMYFUNCTION("INDEX(IMPORTRANGE(""1y0FWgjbB0gVlqn-q5LMJbGIsqOrzru4yowQz67dz2yc"", ""'APO'!BH3:BH139""),MATCH($D11,IMPORTRANGE(""1y0FWgjbB0gVlqn-q5LMJbGIsqOrzru4yowQz67dz2yc"", ""'APO'!D3:D139""),0))"),0.146341463414634)</f>
        <v>0.146341463414634</v>
      </c>
      <c r="AA11" s="15">
        <f ca="1">IFERROR(__xludf.DUMMYFUNCTION("INDEX(IMPORTRANGE(""1y0FWgjbB0gVlqn-q5LMJbGIsqOrzru4yowQz67dz2yc"", ""'APO'!BI3:BI139""),MATCH($D11,IMPORTRANGE(""1y0FWgjbB0gVlqn-q5LMJbGIsqOrzru4yowQz67dz2yc"", ""'APO'!D3:D139""),0))"),0.260752688172043)</f>
        <v>0.260752688172043</v>
      </c>
      <c r="AB11" s="15"/>
      <c r="AC11" s="15"/>
    </row>
    <row r="12" spans="1:29">
      <c r="A12" s="149" t="s">
        <v>52</v>
      </c>
      <c r="B12" s="149" t="s">
        <v>68</v>
      </c>
      <c r="C12" s="148" t="s">
        <v>30</v>
      </c>
      <c r="D12" s="149" t="s">
        <v>69</v>
      </c>
      <c r="E12" s="149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2">
        <v>92</v>
      </c>
      <c r="R12" s="13"/>
      <c r="S12" s="13"/>
      <c r="T12" s="13"/>
      <c r="U12" s="13"/>
      <c r="V12" s="13"/>
      <c r="W12" s="13"/>
      <c r="X12" s="2">
        <v>27</v>
      </c>
      <c r="Y12" s="2">
        <f ca="1">IFERROR(__xludf.DUMMYFUNCTION("INDEX(IMPORTRANGE(""1y0FWgjbB0gVlqn-q5LMJbGIsqOrzru4yowQz67dz2yc"", ""'APO'!BG3:BG139""),MATCH($D12,IMPORTRANGE(""1y0FWgjbB0gVlqn-q5LMJbGIsqOrzru4yowQz67dz2yc"", ""'APO'!D3:D139""),0))"),70)</f>
        <v>70</v>
      </c>
      <c r="Z12" s="2">
        <f ca="1">IFERROR(__xludf.DUMMYFUNCTION("INDEX(IMPORTRANGE(""1y0FWgjbB0gVlqn-q5LMJbGIsqOrzru4yowQz67dz2yc"", ""'APO'!BH3:BH139""),MATCH($D12,IMPORTRANGE(""1y0FWgjbB0gVlqn-q5LMJbGIsqOrzru4yowQz67dz2yc"", ""'APO'!D3:D139""),0))"),38)</f>
        <v>38</v>
      </c>
      <c r="AA12" s="2">
        <f ca="1">IFERROR(__xludf.DUMMYFUNCTION("INDEX(IMPORTRANGE(""1y0FWgjbB0gVlqn-q5LMJbGIsqOrzru4yowQz67dz2yc"", ""'APO'!BI3:BI139""),MATCH($D12,IMPORTRANGE(""1y0FWgjbB0gVlqn-q5LMJbGIsqOrzru4yowQz67dz2yc"", ""'APO'!D3:D139""),0))"),78)</f>
        <v>78</v>
      </c>
      <c r="AB12" s="2"/>
      <c r="AC12" s="2"/>
    </row>
    <row r="13" spans="1:29">
      <c r="A13" s="149" t="s">
        <v>52</v>
      </c>
      <c r="B13" s="149" t="s">
        <v>68</v>
      </c>
      <c r="C13" s="148" t="s">
        <v>36</v>
      </c>
      <c r="D13" s="149" t="s">
        <v>72</v>
      </c>
      <c r="E13" s="14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4.5063043197433208</v>
      </c>
      <c r="Q13" s="23">
        <f t="shared" si="3"/>
        <v>13.819333247212851</v>
      </c>
      <c r="R13" s="2">
        <v>13.3</v>
      </c>
      <c r="S13" s="2">
        <v>3.7</v>
      </c>
      <c r="T13" s="2">
        <v>12.6</v>
      </c>
      <c r="U13" s="2">
        <v>3.5</v>
      </c>
      <c r="V13" s="2">
        <v>12</v>
      </c>
      <c r="W13" s="2">
        <v>12</v>
      </c>
      <c r="X13" s="23">
        <f>(X12/X$2)*100000</f>
        <v>3.9405876145871797</v>
      </c>
      <c r="Y13" s="24">
        <f ca="1">IFERROR(__xludf.DUMMYFUNCTION("INDEX(IMPORTRANGE(""1y0FWgjbB0gVlqn-q5LMJbGIsqOrzru4yowQz67dz2yc"", ""'APO'!BG3:BG139""),MATCH($D13,IMPORTRANGE(""1y0FWgjbB0gVlqn-q5LMJbGIsqOrzru4yowQz67dz2yc"", ""'APO'!D3:D139""),0))"),10.2163382600408)</f>
        <v>10.2163382600408</v>
      </c>
      <c r="Z13" s="24">
        <f ca="1">IFERROR(__xludf.DUMMYFUNCTION("INDEX(IMPORTRANGE(""1y0FWgjbB0gVlqn-q5LMJbGIsqOrzru4yowQz67dz2yc"", ""'APO'!BH3:BH139""),MATCH($D13,IMPORTRANGE(""1y0FWgjbB0gVlqn-q5LMJbGIsqOrzru4yowQz67dz2yc"", ""'APO'!D3:D139""),0))"),5.48304944123397)</f>
        <v>5.4830494412339696</v>
      </c>
      <c r="AA13" s="24">
        <f ca="1">IFERROR(__xludf.DUMMYFUNCTION("INDEX(IMPORTRANGE(""1y0FWgjbB0gVlqn-q5LMJbGIsqOrzru4yowQz67dz2yc"", ""'APO'!BI3:BI139""),MATCH($D13,IMPORTRANGE(""1y0FWgjbB0gVlqn-q5LMJbGIsqOrzru4yowQz67dz2yc"", ""'APO'!D3:D139""),0))"),11.2546804320065)</f>
        <v>11.2546804320065</v>
      </c>
      <c r="AB13" s="24"/>
      <c r="AC13" s="24"/>
    </row>
    <row r="14" spans="1:29">
      <c r="A14" s="149" t="s">
        <v>52</v>
      </c>
      <c r="B14" s="149" t="s">
        <v>68</v>
      </c>
      <c r="C14" s="148" t="s">
        <v>30</v>
      </c>
      <c r="D14" s="149" t="s">
        <v>75</v>
      </c>
      <c r="E14" s="14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197</v>
      </c>
      <c r="Q14" s="12">
        <v>334</v>
      </c>
      <c r="R14" s="13"/>
      <c r="S14" s="13"/>
      <c r="T14" s="13"/>
      <c r="U14" s="13"/>
      <c r="V14" s="13"/>
      <c r="W14" s="13"/>
      <c r="X14" s="12">
        <v>112</v>
      </c>
      <c r="Y14" s="2">
        <f ca="1">IFERROR(__xludf.DUMMYFUNCTION("INDEX(IMPORTRANGE(""1y0FWgjbB0gVlqn-q5LMJbGIsqOrzru4yowQz67dz2yc"", ""'APO'!BG3:BG139""),MATCH($D14,IMPORTRANGE(""1y0FWgjbB0gVlqn-q5LMJbGIsqOrzru4yowQz67dz2yc"", ""'APO'!D3:D139""),0))"),235)</f>
        <v>235</v>
      </c>
      <c r="Z14" s="2">
        <f ca="1">IFERROR(__xludf.DUMMYFUNCTION("INDEX(IMPORTRANGE(""1y0FWgjbB0gVlqn-q5LMJbGIsqOrzru4yowQz67dz2yc"", ""'APO'!BH3:BH139""),MATCH($D14,IMPORTRANGE(""1y0FWgjbB0gVlqn-q5LMJbGIsqOrzru4yowQz67dz2yc"", ""'APO'!D3:D139""),0))"),112)</f>
        <v>112</v>
      </c>
      <c r="AA14" s="2">
        <f ca="1">IFERROR(__xludf.DUMMYFUNCTION("INDEX(IMPORTRANGE(""1y0FWgjbB0gVlqn-q5LMJbGIsqOrzru4yowQz67dz2yc"", ""'APO'!BI3:BI139""),MATCH($D14,IMPORTRANGE(""1y0FWgjbB0gVlqn-q5LMJbGIsqOrzru4yowQz67dz2yc"", ""'APO'!D3:D139""),0))"),241)</f>
        <v>241</v>
      </c>
      <c r="AB14" s="2"/>
      <c r="AC14" s="2"/>
    </row>
    <row r="15" spans="1:29">
      <c r="A15" s="149" t="s">
        <v>52</v>
      </c>
      <c r="B15" s="149" t="s">
        <v>68</v>
      </c>
      <c r="C15" s="148" t="s">
        <v>30</v>
      </c>
      <c r="D15" s="149" t="s">
        <v>78</v>
      </c>
      <c r="E15" s="14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481</v>
      </c>
      <c r="Q15" s="12">
        <v>860</v>
      </c>
      <c r="R15" s="13"/>
      <c r="S15" s="13"/>
      <c r="T15" s="13"/>
      <c r="U15" s="13"/>
      <c r="V15" s="13"/>
      <c r="W15" s="13"/>
      <c r="X15" s="12">
        <v>389</v>
      </c>
      <c r="Y15" s="2">
        <f ca="1">IFERROR(__xludf.DUMMYFUNCTION("INDEX(IMPORTRANGE(""1y0FWgjbB0gVlqn-q5LMJbGIsqOrzru4yowQz67dz2yc"", ""'APO'!BG3:BG139""),MATCH($D15,IMPORTRANGE(""1y0FWgjbB0gVlqn-q5LMJbGIsqOrzru4yowQz67dz2yc"", ""'APO'!D3:D139""),0))"),747)</f>
        <v>747</v>
      </c>
      <c r="Z15" s="2">
        <f ca="1">IFERROR(__xludf.DUMMYFUNCTION("INDEX(IMPORTRANGE(""1y0FWgjbB0gVlqn-q5LMJbGIsqOrzru4yowQz67dz2yc"", ""'APO'!BH3:BH139""),MATCH($D15,IMPORTRANGE(""1y0FWgjbB0gVlqn-q5LMJbGIsqOrzru4yowQz67dz2yc"", ""'APO'!D3:D139""),0))"),292)</f>
        <v>292</v>
      </c>
      <c r="AA15" s="2">
        <f ca="1">IFERROR(__xludf.DUMMYFUNCTION("INDEX(IMPORTRANGE(""1y0FWgjbB0gVlqn-q5LMJbGIsqOrzru4yowQz67dz2yc"", ""'APO'!BI3:BI139""),MATCH($D15,IMPORTRANGE(""1y0FWgjbB0gVlqn-q5LMJbGIsqOrzru4yowQz67dz2yc"", ""'APO'!D3:D139""),0))"),619)</f>
        <v>619</v>
      </c>
      <c r="AB15" s="2"/>
      <c r="AC15" s="2"/>
    </row>
    <row r="16" spans="1:29">
      <c r="A16" s="149" t="s">
        <v>52</v>
      </c>
      <c r="B16" s="149" t="s">
        <v>68</v>
      </c>
      <c r="C16" s="148" t="s">
        <v>30</v>
      </c>
      <c r="D16" s="149" t="s">
        <v>80</v>
      </c>
      <c r="E16" s="14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227</v>
      </c>
      <c r="Q16" s="12">
        <v>481</v>
      </c>
      <c r="R16" s="13"/>
      <c r="S16" s="13"/>
      <c r="T16" s="13"/>
      <c r="U16" s="13"/>
      <c r="V16" s="13"/>
      <c r="W16" s="13"/>
      <c r="X16" s="12">
        <v>188</v>
      </c>
      <c r="Y16" s="2">
        <f ca="1">IFERROR(__xludf.DUMMYFUNCTION("INDEX(IMPORTRANGE(""1y0FWgjbB0gVlqn-q5LMJbGIsqOrzru4yowQz67dz2yc"", ""'APO'!BG3:BG139""),MATCH($D16,IMPORTRANGE(""1y0FWgjbB0gVlqn-q5LMJbGIsqOrzru4yowQz67dz2yc"", ""'APO'!D3:D139""),0))"),341)</f>
        <v>341</v>
      </c>
      <c r="Z16" s="2">
        <f ca="1">IFERROR(__xludf.DUMMYFUNCTION("INDEX(IMPORTRANGE(""1y0FWgjbB0gVlqn-q5LMJbGIsqOrzru4yowQz67dz2yc"", ""'APO'!BH3:BH139""),MATCH($D16,IMPORTRANGE(""1y0FWgjbB0gVlqn-q5LMJbGIsqOrzru4yowQz67dz2yc"", ""'APO'!D3:D139""),0))"),167)</f>
        <v>167</v>
      </c>
      <c r="AA16" s="2">
        <f ca="1">IFERROR(__xludf.DUMMYFUNCTION("INDEX(IMPORTRANGE(""1y0FWgjbB0gVlqn-q5LMJbGIsqOrzru4yowQz67dz2yc"", ""'APO'!BI3:BI139""),MATCH($D16,IMPORTRANGE(""1y0FWgjbB0gVlqn-q5LMJbGIsqOrzru4yowQz67dz2yc"", ""'APO'!D3:D139""),0))"),305)</f>
        <v>305</v>
      </c>
      <c r="AB16" s="2"/>
      <c r="AC16" s="2"/>
    </row>
    <row r="17" spans="1:29">
      <c r="A17" s="149" t="s">
        <v>52</v>
      </c>
      <c r="B17" s="149" t="s">
        <v>68</v>
      </c>
      <c r="C17" s="148" t="s">
        <v>30</v>
      </c>
      <c r="D17" s="149" t="s">
        <v>82</v>
      </c>
      <c r="E17" s="14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73</v>
      </c>
      <c r="Q17" s="12">
        <v>151</v>
      </c>
      <c r="R17" s="13"/>
      <c r="S17" s="13"/>
      <c r="T17" s="13"/>
      <c r="U17" s="13"/>
      <c r="V17" s="13"/>
      <c r="W17" s="13"/>
      <c r="X17" s="12">
        <v>45</v>
      </c>
      <c r="Y17" s="2">
        <f ca="1">IFERROR(__xludf.DUMMYFUNCTION("INDEX(IMPORTRANGE(""1y0FWgjbB0gVlqn-q5LMJbGIsqOrzru4yowQz67dz2yc"", ""'APO'!BG3:BG139""),MATCH($D17,IMPORTRANGE(""1y0FWgjbB0gVlqn-q5LMJbGIsqOrzru4yowQz67dz2yc"", ""'APO'!D3:D139""),0))"),86)</f>
        <v>86</v>
      </c>
      <c r="Z17" s="2">
        <f ca="1">IFERROR(__xludf.DUMMYFUNCTION("INDEX(IMPORTRANGE(""1y0FWgjbB0gVlqn-q5LMJbGIsqOrzru4yowQz67dz2yc"", ""'APO'!BH3:BH139""),MATCH($D17,IMPORTRANGE(""1y0FWgjbB0gVlqn-q5LMJbGIsqOrzru4yowQz67dz2yc"", ""'APO'!D3:D139""),0))"),52)</f>
        <v>52</v>
      </c>
      <c r="AA17" s="2">
        <f ca="1">IFERROR(__xludf.DUMMYFUNCTION("INDEX(IMPORTRANGE(""1y0FWgjbB0gVlqn-q5LMJbGIsqOrzru4yowQz67dz2yc"", ""'APO'!BI3:BI139""),MATCH($D17,IMPORTRANGE(""1y0FWgjbB0gVlqn-q5LMJbGIsqOrzru4yowQz67dz2yc"", ""'APO'!D3:D139""),0))"),92)</f>
        <v>92</v>
      </c>
      <c r="AB17" s="2"/>
      <c r="AC17" s="2"/>
    </row>
    <row r="18" spans="1:29">
      <c r="A18" s="149" t="s">
        <v>52</v>
      </c>
      <c r="B18" s="149" t="s">
        <v>68</v>
      </c>
      <c r="C18" s="148" t="s">
        <v>30</v>
      </c>
      <c r="D18" s="149" t="s">
        <v>342</v>
      </c>
      <c r="E18" s="149" t="str">
        <f>E17</f>
        <v>Secretaría de Seguridad Pública del Estado, CONAPO</v>
      </c>
      <c r="F18" s="9"/>
      <c r="G18" s="22" t="s">
        <v>343</v>
      </c>
      <c r="H18" s="22" t="s">
        <v>344</v>
      </c>
      <c r="I18" s="9" t="s">
        <v>345</v>
      </c>
      <c r="J18" s="9" t="s">
        <v>336</v>
      </c>
      <c r="K18" s="9" t="s">
        <v>346</v>
      </c>
      <c r="L18" s="9" t="s">
        <v>347</v>
      </c>
      <c r="M18" s="9" t="s">
        <v>348</v>
      </c>
      <c r="N18" s="9" t="s">
        <v>349</v>
      </c>
      <c r="O18" s="9" t="s">
        <v>349</v>
      </c>
      <c r="P18" s="12">
        <f t="shared" ref="P18:Q18" si="4">SUM(P14:P17)</f>
        <v>978</v>
      </c>
      <c r="Q18" s="12">
        <f t="shared" si="4"/>
        <v>1826</v>
      </c>
      <c r="R18" s="13"/>
      <c r="S18" s="13"/>
      <c r="T18" s="13"/>
      <c r="U18" s="13"/>
      <c r="V18" s="13"/>
      <c r="W18" s="13"/>
      <c r="X18" s="12">
        <f>SUM(X14:X17)</f>
        <v>734</v>
      </c>
      <c r="Y18" s="2">
        <f ca="1">IFERROR(__xludf.DUMMYFUNCTION("INDEX(IMPORTRANGE(""1y0FWgjbB0gVlqn-q5LMJbGIsqOrzru4yowQz67dz2yc"", ""'APO'!BG3:BG139""),MATCH($D18,IMPORTRANGE(""1y0FWgjbB0gVlqn-q5LMJbGIsqOrzru4yowQz67dz2yc"", ""'APO'!D3:D139""),0))"),1409)</f>
        <v>1409</v>
      </c>
      <c r="Z18" s="2">
        <f ca="1">IFERROR(__xludf.DUMMYFUNCTION("INDEX(IMPORTRANGE(""1y0FWgjbB0gVlqn-q5LMJbGIsqOrzru4yowQz67dz2yc"", ""'APO'!BH3:BH139""),MATCH($D18,IMPORTRANGE(""1y0FWgjbB0gVlqn-q5LMJbGIsqOrzru4yowQz67dz2yc"", ""'APO'!D3:D139""),0))"),623)</f>
        <v>623</v>
      </c>
      <c r="AA18" s="2">
        <f ca="1">IFERROR(__xludf.DUMMYFUNCTION("INDEX(IMPORTRANGE(""1y0FWgjbB0gVlqn-q5LMJbGIsqOrzru4yowQz67dz2yc"", ""'APO'!BI3:BI139""),MATCH($D18,IMPORTRANGE(""1y0FWgjbB0gVlqn-q5LMJbGIsqOrzru4yowQz67dz2yc"", ""'APO'!D3:D139""),0))"),1257)</f>
        <v>1257</v>
      </c>
      <c r="AB18" s="12"/>
      <c r="AC18" s="12"/>
    </row>
    <row r="19" spans="1:29">
      <c r="A19" s="149" t="s">
        <v>52</v>
      </c>
      <c r="B19" s="149" t="s">
        <v>68</v>
      </c>
      <c r="C19" s="148" t="s">
        <v>36</v>
      </c>
      <c r="D19" s="149" t="s">
        <v>84</v>
      </c>
      <c r="E19" s="149" t="s">
        <v>76</v>
      </c>
      <c r="F19" s="9" t="s">
        <v>85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5">(SUM(P14:P17)/P2)*100000</f>
        <v>146.90552082363226</v>
      </c>
      <c r="Q19" s="23">
        <f t="shared" si="5"/>
        <v>274.28372292837679</v>
      </c>
      <c r="R19" s="2">
        <v>261.2</v>
      </c>
      <c r="S19" s="2">
        <v>134.6</v>
      </c>
      <c r="T19" s="2">
        <v>252.5</v>
      </c>
      <c r="U19" s="2">
        <v>130</v>
      </c>
      <c r="V19" s="2">
        <v>244.27</v>
      </c>
      <c r="W19" s="2">
        <v>243.13</v>
      </c>
      <c r="X19" s="23">
        <f>(SUM(X14:X17)/X2)*100000</f>
        <v>107.12560404099963</v>
      </c>
      <c r="Y19" s="24">
        <f ca="1">IFERROR(__xludf.DUMMYFUNCTION("INDEX(IMPORTRANGE(""1y0FWgjbB0gVlqn-q5LMJbGIsqOrzru4yowQz67dz2yc"", ""'APO'!BG3:BG139""),MATCH($D19,IMPORTRANGE(""1y0FWgjbB0gVlqn-q5LMJbGIsqOrzru4yowQz67dz2yc"", ""'APO'!D3:D139""),0))"),205.640294405679)</f>
        <v>205.64029440567899</v>
      </c>
      <c r="Z19" s="24">
        <f ca="1">IFERROR(__xludf.DUMMYFUNCTION("INDEX(IMPORTRANGE(""1y0FWgjbB0gVlqn-q5LMJbGIsqOrzru4yowQz67dz2yc"", ""'APO'!BH3:BH139""),MATCH($D19,IMPORTRANGE(""1y0FWgjbB0gVlqn-q5LMJbGIsqOrzru4yowQz67dz2yc"", ""'APO'!D3:D139""),0))"),89.8931526812833)</f>
        <v>89.893152681283297</v>
      </c>
      <c r="AA19" s="24">
        <f ca="1">IFERROR(__xludf.DUMMYFUNCTION("INDEX(IMPORTRANGE(""1y0FWgjbB0gVlqn-q5LMJbGIsqOrzru4yowQz67dz2yc"", ""'APO'!BI3:BI139""),MATCH($D19,IMPORTRANGE(""1y0FWgjbB0gVlqn-q5LMJbGIsqOrzru4yowQz67dz2yc"", ""'APO'!D3:D139""),0))"),181.373503885029)</f>
        <v>181.37350388502901</v>
      </c>
      <c r="AB19" s="24"/>
      <c r="AC19" s="24"/>
    </row>
    <row r="20" spans="1:29">
      <c r="A20" s="149" t="s">
        <v>52</v>
      </c>
      <c r="B20" s="149" t="s">
        <v>86</v>
      </c>
      <c r="C20" s="148" t="s">
        <v>30</v>
      </c>
      <c r="D20" s="149" t="s">
        <v>87</v>
      </c>
      <c r="E20" s="149" t="s">
        <v>76</v>
      </c>
      <c r="F20" s="9" t="s">
        <v>88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2213</v>
      </c>
      <c r="Q20" s="12">
        <v>5571</v>
      </c>
      <c r="R20" s="13"/>
      <c r="S20" s="13"/>
      <c r="T20" s="13"/>
      <c r="U20" s="13"/>
      <c r="V20" s="13"/>
      <c r="W20" s="13"/>
      <c r="X20" s="12">
        <v>2488</v>
      </c>
      <c r="Y20" s="2">
        <f ca="1">IFERROR(__xludf.DUMMYFUNCTION("INDEX(IMPORTRANGE(""1y0FWgjbB0gVlqn-q5LMJbGIsqOrzru4yowQz67dz2yc"", ""'APO'!BG3:BG139""),MATCH($D20,IMPORTRANGE(""1y0FWgjbB0gVlqn-q5LMJbGIsqOrzru4yowQz67dz2yc"", ""'APO'!D3:D139""),0))"),5401)</f>
        <v>5401</v>
      </c>
      <c r="Z20" s="2">
        <f ca="1">IFERROR(__xludf.DUMMYFUNCTION("INDEX(IMPORTRANGE(""1y0FWgjbB0gVlqn-q5LMJbGIsqOrzru4yowQz67dz2yc"", ""'APO'!BH3:BH139""),MATCH($D20,IMPORTRANGE(""1y0FWgjbB0gVlqn-q5LMJbGIsqOrzru4yowQz67dz2yc"", ""'APO'!D3:D139""),0))"),2134)</f>
        <v>2134</v>
      </c>
      <c r="AA20" s="2">
        <f ca="1">IFERROR(__xludf.DUMMYFUNCTION("INDEX(IMPORTRANGE(""1y0FWgjbB0gVlqn-q5LMJbGIsqOrzru4yowQz67dz2yc"", ""'APO'!BI3:BI139""),MATCH($D20,IMPORTRANGE(""1y0FWgjbB0gVlqn-q5LMJbGIsqOrzru4yowQz67dz2yc"", ""'APO'!D3:D139""),0))"),4580)</f>
        <v>4580</v>
      </c>
      <c r="AB20" s="2"/>
      <c r="AC20" s="2"/>
    </row>
    <row r="21" spans="1:29">
      <c r="A21" s="149" t="s">
        <v>52</v>
      </c>
      <c r="B21" s="149" t="s">
        <v>86</v>
      </c>
      <c r="C21" s="148" t="s">
        <v>36</v>
      </c>
      <c r="D21" s="149" t="s">
        <v>89</v>
      </c>
      <c r="E21" s="149" t="s">
        <v>76</v>
      </c>
      <c r="F21" s="9" t="s">
        <v>90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6">(P20/P$2)*100000</f>
        <v>332.41504865306564</v>
      </c>
      <c r="Q21" s="23">
        <f t="shared" si="6"/>
        <v>836.82071217633472</v>
      </c>
      <c r="R21" s="2">
        <v>797.02</v>
      </c>
      <c r="S21" s="2">
        <v>309.79000000000002</v>
      </c>
      <c r="T21" s="2">
        <v>779.31</v>
      </c>
      <c r="U21" s="2">
        <v>298.02</v>
      </c>
      <c r="V21" s="2">
        <v>761.13</v>
      </c>
      <c r="W21" s="2">
        <v>757.56</v>
      </c>
      <c r="X21" s="23">
        <f>(X20/X$2)*100000</f>
        <v>363.11785129973714</v>
      </c>
      <c r="Y21" s="24">
        <f ca="1">IFERROR(__xludf.DUMMYFUNCTION("INDEX(IMPORTRANGE(""1y0FWgjbB0gVlqn-q5LMJbGIsqOrzru4yowQz67dz2yc"", ""'APO'!BG3:BG139""),MATCH($D21,IMPORTRANGE(""1y0FWgjbB0gVlqn-q5LMJbGIsqOrzru4yowQz67dz2yc"", ""'APO'!D3:D139""),0))"),788.263470606865)</f>
        <v>788.26347060686498</v>
      </c>
      <c r="Z21" s="24">
        <f ca="1">IFERROR(__xludf.DUMMYFUNCTION("INDEX(IMPORTRANGE(""1y0FWgjbB0gVlqn-q5LMJbGIsqOrzru4yowQz67dz2yc"", ""'APO'!BH3:BH139""),MATCH($D21,IMPORTRANGE(""1y0FWgjbB0gVlqn-q5LMJbGIsqOrzru4yowQz67dz2yc"", ""'APO'!D3:D139""),0))"),307.916513357718)</f>
        <v>307.91651335771797</v>
      </c>
      <c r="AA21" s="24">
        <f ca="1">IFERROR(__xludf.DUMMYFUNCTION("INDEX(IMPORTRANGE(""1y0FWgjbB0gVlqn-q5LMJbGIsqOrzru4yowQz67dz2yc"", ""'APO'!BI3:BI139""),MATCH($D21,IMPORTRANGE(""1y0FWgjbB0gVlqn-q5LMJbGIsqOrzru4yowQz67dz2yc"", ""'APO'!D3:D139""),0))"),660.851748443463)</f>
        <v>660.85174844346295</v>
      </c>
      <c r="AB21" s="24"/>
      <c r="AC21" s="24"/>
    </row>
    <row r="22" spans="1:29">
      <c r="A22" s="149" t="s">
        <v>52</v>
      </c>
      <c r="B22" s="149" t="s">
        <v>86</v>
      </c>
      <c r="C22" s="148" t="s">
        <v>30</v>
      </c>
      <c r="D22" s="149" t="s">
        <v>91</v>
      </c>
      <c r="E22" s="149" t="s">
        <v>76</v>
      </c>
      <c r="F22" s="9" t="s">
        <v>92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367</v>
      </c>
      <c r="Q22" s="12">
        <v>810</v>
      </c>
      <c r="R22" s="13"/>
      <c r="S22" s="13"/>
      <c r="T22" s="13"/>
      <c r="U22" s="13"/>
      <c r="V22" s="13"/>
      <c r="W22" s="13"/>
      <c r="X22" s="12">
        <v>365</v>
      </c>
      <c r="Y22" s="2">
        <f ca="1">IFERROR(__xludf.DUMMYFUNCTION("INDEX(IMPORTRANGE(""1y0FWgjbB0gVlqn-q5LMJbGIsqOrzru4yowQz67dz2yc"", ""'APO'!BG3:BG139""),MATCH($D22,IMPORTRANGE(""1y0FWgjbB0gVlqn-q5LMJbGIsqOrzru4yowQz67dz2yc"", ""'APO'!D3:D139""),0))"),810)</f>
        <v>810</v>
      </c>
      <c r="Z22" s="2">
        <f ca="1">IFERROR(__xludf.DUMMYFUNCTION("INDEX(IMPORTRANGE(""1y0FWgjbB0gVlqn-q5LMJbGIsqOrzru4yowQz67dz2yc"", ""'APO'!BH3:BH139""),MATCH($D22,IMPORTRANGE(""1y0FWgjbB0gVlqn-q5LMJbGIsqOrzru4yowQz67dz2yc"", ""'APO'!D3:D139""),0))"),296)</f>
        <v>296</v>
      </c>
      <c r="AA22" s="2">
        <f ca="1">IFERROR(__xludf.DUMMYFUNCTION("INDEX(IMPORTRANGE(""1y0FWgjbB0gVlqn-q5LMJbGIsqOrzru4yowQz67dz2yc"", ""'APO'!BI3:BI139""),MATCH($D22,IMPORTRANGE(""1y0FWgjbB0gVlqn-q5LMJbGIsqOrzru4yowQz67dz2yc"", ""'APO'!D3:D139""),0))"),673)</f>
        <v>673</v>
      </c>
      <c r="AB22" s="2"/>
      <c r="AC22" s="2"/>
    </row>
    <row r="23" spans="1:29">
      <c r="A23" s="149" t="s">
        <v>52</v>
      </c>
      <c r="B23" s="149" t="s">
        <v>86</v>
      </c>
      <c r="C23" s="148" t="s">
        <v>36</v>
      </c>
      <c r="D23" s="149" t="s">
        <v>93</v>
      </c>
      <c r="E23" s="149" t="s">
        <v>76</v>
      </c>
      <c r="F23" s="9" t="s">
        <v>94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7">(P22/P$2)*100000</f>
        <v>55.127122844859954</v>
      </c>
      <c r="Q23" s="23">
        <f t="shared" si="7"/>
        <v>121.67021663306967</v>
      </c>
      <c r="R23" s="2">
        <v>116.46</v>
      </c>
      <c r="S23" s="2">
        <v>51.36</v>
      </c>
      <c r="T23" s="2">
        <v>112.97</v>
      </c>
      <c r="U23" s="2">
        <v>50.17</v>
      </c>
      <c r="V23" s="2">
        <v>110.77</v>
      </c>
      <c r="W23" s="2">
        <v>110.34</v>
      </c>
      <c r="X23" s="23">
        <f>(X22/X$2)*100000</f>
        <v>53.270906641641503</v>
      </c>
      <c r="Y23" s="24">
        <f ca="1">IFERROR(__xludf.DUMMYFUNCTION("INDEX(IMPORTRANGE(""1y0FWgjbB0gVlqn-q5LMJbGIsqOrzru4yowQz67dz2yc"", ""'APO'!BG3:BG139""),MATCH($D23,IMPORTRANGE(""1y0FWgjbB0gVlqn-q5LMJbGIsqOrzru4yowQz67dz2yc"", ""'APO'!D3:D139""),0))"),118.217628437615)</f>
        <v>118.21762843761501</v>
      </c>
      <c r="Z23" s="24">
        <f ca="1">IFERROR(__xludf.DUMMYFUNCTION("INDEX(IMPORTRANGE(""1y0FWgjbB0gVlqn-q5LMJbGIsqOrzru4yowQz67dz2yc"", ""'APO'!BH3:BH139""),MATCH($D23,IMPORTRANGE(""1y0FWgjbB0gVlqn-q5LMJbGIsqOrzru4yowQz67dz2yc"", ""'APO'!D3:D139""),0))"),42.7100693317172)</f>
        <v>42.7100693317172</v>
      </c>
      <c r="AA23" s="24">
        <f ca="1">IFERROR(__xludf.DUMMYFUNCTION("INDEX(IMPORTRANGE(""1y0FWgjbB0gVlqn-q5LMJbGIsqOrzru4yowQz67dz2yc"", ""'APO'!BI3:BI139""),MATCH($D23,IMPORTRANGE(""1y0FWgjbB0gVlqn-q5LMJbGIsqOrzru4yowQz67dz2yc"", ""'APO'!D3:D139""),0))"),97.107691419749)</f>
        <v>97.107691419749003</v>
      </c>
      <c r="AB23" s="24"/>
      <c r="AC23" s="24"/>
    </row>
    <row r="24" spans="1:29">
      <c r="A24" s="149" t="s">
        <v>52</v>
      </c>
      <c r="B24" s="149" t="s">
        <v>86</v>
      </c>
      <c r="C24" s="148" t="s">
        <v>30</v>
      </c>
      <c r="D24" s="149" t="s">
        <v>95</v>
      </c>
      <c r="E24" s="149" t="s">
        <v>76</v>
      </c>
      <c r="F24" s="9" t="s">
        <v>96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4</v>
      </c>
      <c r="Q24" s="12">
        <v>17</v>
      </c>
      <c r="R24" s="13"/>
      <c r="S24" s="13"/>
      <c r="T24" s="13"/>
      <c r="U24" s="13"/>
      <c r="V24" s="13"/>
      <c r="W24" s="13"/>
      <c r="X24" s="12">
        <v>7</v>
      </c>
      <c r="Y24" s="2">
        <f ca="1">IFERROR(__xludf.DUMMYFUNCTION("INDEX(IMPORTRANGE(""1y0FWgjbB0gVlqn-q5LMJbGIsqOrzru4yowQz67dz2yc"", ""'APO'!BG3:BG139""),MATCH($D24,IMPORTRANGE(""1y0FWgjbB0gVlqn-q5LMJbGIsqOrzru4yowQz67dz2yc"", ""'APO'!D3:D139""),0))"),23)</f>
        <v>23</v>
      </c>
      <c r="Z24" s="2">
        <f ca="1">IFERROR(__xludf.DUMMYFUNCTION("INDEX(IMPORTRANGE(""1y0FWgjbB0gVlqn-q5LMJbGIsqOrzru4yowQz67dz2yc"", ""'APO'!BH3:BH139""),MATCH($D24,IMPORTRANGE(""1y0FWgjbB0gVlqn-q5LMJbGIsqOrzru4yowQz67dz2yc"", ""'APO'!D3:D139""),0))"),10)</f>
        <v>10</v>
      </c>
      <c r="AA24" s="2">
        <f ca="1">IFERROR(__xludf.DUMMYFUNCTION("INDEX(IMPORTRANGE(""1y0FWgjbB0gVlqn-q5LMJbGIsqOrzru4yowQz67dz2yc"", ""'APO'!BI3:BI139""),MATCH($D24,IMPORTRANGE(""1y0FWgjbB0gVlqn-q5LMJbGIsqOrzru4yowQz67dz2yc"", ""'APO'!D3:D139""),0))"),28)</f>
        <v>28</v>
      </c>
      <c r="AB24" s="2"/>
      <c r="AC24" s="2"/>
    </row>
    <row r="25" spans="1:29">
      <c r="A25" s="149" t="s">
        <v>52</v>
      </c>
      <c r="B25" s="149" t="s">
        <v>86</v>
      </c>
      <c r="C25" s="148" t="s">
        <v>30</v>
      </c>
      <c r="D25" s="149" t="s">
        <v>97</v>
      </c>
      <c r="E25" s="149" t="s">
        <v>76</v>
      </c>
      <c r="F25" s="9" t="s">
        <v>98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17</v>
      </c>
      <c r="Q25" s="12">
        <v>31</v>
      </c>
      <c r="R25" s="13"/>
      <c r="S25" s="13"/>
      <c r="T25" s="13"/>
      <c r="U25" s="13"/>
      <c r="V25" s="13"/>
      <c r="W25" s="13"/>
      <c r="X25" s="12">
        <v>5</v>
      </c>
      <c r="Y25" s="2">
        <f ca="1">IFERROR(__xludf.DUMMYFUNCTION("INDEX(IMPORTRANGE(""1y0FWgjbB0gVlqn-q5LMJbGIsqOrzru4yowQz67dz2yc"", ""'APO'!BG3:BG139""),MATCH($D25,IMPORTRANGE(""1y0FWgjbB0gVlqn-q5LMJbGIsqOrzru4yowQz67dz2yc"", ""'APO'!D3:D139""),0))"),19)</f>
        <v>19</v>
      </c>
      <c r="Z25" s="2">
        <f ca="1">IFERROR(__xludf.DUMMYFUNCTION("INDEX(IMPORTRANGE(""1y0FWgjbB0gVlqn-q5LMJbGIsqOrzru4yowQz67dz2yc"", ""'APO'!BH3:BH139""),MATCH($D25,IMPORTRANGE(""1y0FWgjbB0gVlqn-q5LMJbGIsqOrzru4yowQz67dz2yc"", ""'APO'!D3:D139""),0))"),6)</f>
        <v>6</v>
      </c>
      <c r="AA25" s="2">
        <f ca="1">IFERROR(__xludf.DUMMYFUNCTION("INDEX(IMPORTRANGE(""1y0FWgjbB0gVlqn-q5LMJbGIsqOrzru4yowQz67dz2yc"", ""'APO'!BI3:BI139""),MATCH($D25,IMPORTRANGE(""1y0FWgjbB0gVlqn-q5LMJbGIsqOrzru4yowQz67dz2yc"", ""'APO'!D3:D139""),0))"),24)</f>
        <v>24</v>
      </c>
      <c r="AB25" s="2"/>
      <c r="AC25" s="2"/>
    </row>
    <row r="26" spans="1:29">
      <c r="A26" s="149" t="s">
        <v>52</v>
      </c>
      <c r="B26" s="149" t="s">
        <v>86</v>
      </c>
      <c r="C26" s="148" t="s">
        <v>30</v>
      </c>
      <c r="D26" s="149" t="s">
        <v>99</v>
      </c>
      <c r="E26" s="149" t="s">
        <v>76</v>
      </c>
      <c r="F26" s="9" t="s">
        <v>100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13</v>
      </c>
      <c r="Q26" s="12">
        <v>20</v>
      </c>
      <c r="R26" s="13"/>
      <c r="S26" s="13"/>
      <c r="T26" s="13"/>
      <c r="U26" s="13"/>
      <c r="V26" s="13"/>
      <c r="W26" s="13"/>
      <c r="X26" s="12">
        <v>2</v>
      </c>
      <c r="Y26" s="2">
        <f ca="1">IFERROR(__xludf.DUMMYFUNCTION("INDEX(IMPORTRANGE(""1y0FWgjbB0gVlqn-q5LMJbGIsqOrzru4yowQz67dz2yc"", ""'APO'!BG3:BG139""),MATCH($D26,IMPORTRANGE(""1y0FWgjbB0gVlqn-q5LMJbGIsqOrzru4yowQz67dz2yc"", ""'APO'!D3:D139""),0))"),7)</f>
        <v>7</v>
      </c>
      <c r="Z26" s="2">
        <f ca="1">IFERROR(__xludf.DUMMYFUNCTION("INDEX(IMPORTRANGE(""1y0FWgjbB0gVlqn-q5LMJbGIsqOrzru4yowQz67dz2yc"", ""'APO'!BH3:BH139""),MATCH($D26,IMPORTRANGE(""1y0FWgjbB0gVlqn-q5LMJbGIsqOrzru4yowQz67dz2yc"", ""'APO'!D3:D139""),0))"),7)</f>
        <v>7</v>
      </c>
      <c r="AA26" s="2">
        <f ca="1">IFERROR(__xludf.DUMMYFUNCTION("INDEX(IMPORTRANGE(""1y0FWgjbB0gVlqn-q5LMJbGIsqOrzru4yowQz67dz2yc"", ""'APO'!BI3:BI139""),MATCH($D26,IMPORTRANGE(""1y0FWgjbB0gVlqn-q5LMJbGIsqOrzru4yowQz67dz2yc"", ""'APO'!D3:D139""),0))"),10)</f>
        <v>10</v>
      </c>
      <c r="AB26" s="2"/>
      <c r="AC26" s="2"/>
    </row>
    <row r="27" spans="1:29">
      <c r="A27" s="149" t="s">
        <v>52</v>
      </c>
      <c r="B27" s="149" t="s">
        <v>86</v>
      </c>
      <c r="C27" s="148" t="s">
        <v>30</v>
      </c>
      <c r="D27" s="149" t="s">
        <v>101</v>
      </c>
      <c r="E27" s="149" t="s">
        <v>76</v>
      </c>
      <c r="F27" s="9" t="s">
        <v>102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13"/>
      <c r="S27" s="13"/>
      <c r="T27" s="13"/>
      <c r="U27" s="13"/>
      <c r="V27" s="13"/>
      <c r="W27" s="13"/>
      <c r="X27" s="12">
        <v>0</v>
      </c>
      <c r="Y27" s="2">
        <f ca="1">IFERROR(__xludf.DUMMYFUNCTION("INDEX(IMPORTRANGE(""1y0FWgjbB0gVlqn-q5LMJbGIsqOrzru4yowQz67dz2yc"", ""'APO'!BG3:BG139""),MATCH($D27,IMPORTRANGE(""1y0FWgjbB0gVlqn-q5LMJbGIsqOrzru4yowQz67dz2yc"", ""'APO'!D3:D139""),0))"),1)</f>
        <v>1</v>
      </c>
      <c r="Z27" s="2">
        <f ca="1">IFERROR(__xludf.DUMMYFUNCTION("INDEX(IMPORTRANGE(""1y0FWgjbB0gVlqn-q5LMJbGIsqOrzru4yowQz67dz2yc"", ""'APO'!BH3:BH139""),MATCH($D27,IMPORTRANGE(""1y0FWgjbB0gVlqn-q5LMJbGIsqOrzru4yowQz67dz2yc"", ""'APO'!D3:D139""),0))"),0)</f>
        <v>0</v>
      </c>
      <c r="AA27" s="2">
        <f ca="1">IFERROR(__xludf.DUMMYFUNCTION("INDEX(IMPORTRANGE(""1y0FWgjbB0gVlqn-q5LMJbGIsqOrzru4yowQz67dz2yc"", ""'APO'!BI3:BI139""),MATCH($D27,IMPORTRANGE(""1y0FWgjbB0gVlqn-q5LMJbGIsqOrzru4yowQz67dz2yc"", ""'APO'!D3:D139""),0))"),1)</f>
        <v>1</v>
      </c>
      <c r="AB27" s="2"/>
      <c r="AC27" s="2"/>
    </row>
    <row r="28" spans="1:29">
      <c r="A28" s="149" t="s">
        <v>52</v>
      </c>
      <c r="B28" s="149" t="s">
        <v>86</v>
      </c>
      <c r="C28" s="148" t="s">
        <v>30</v>
      </c>
      <c r="D28" s="149" t="s">
        <v>103</v>
      </c>
      <c r="E28" s="149" t="s">
        <v>76</v>
      </c>
      <c r="F28" s="9" t="s">
        <v>104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2</v>
      </c>
      <c r="R28" s="13"/>
      <c r="S28" s="13"/>
      <c r="T28" s="13"/>
      <c r="U28" s="13"/>
      <c r="V28" s="13"/>
      <c r="W28" s="13"/>
      <c r="X28" s="12">
        <v>0</v>
      </c>
      <c r="Y28" s="2">
        <f ca="1">IFERROR(__xludf.DUMMYFUNCTION("INDEX(IMPORTRANGE(""1y0FWgjbB0gVlqn-q5LMJbGIsqOrzru4yowQz67dz2yc"", ""'APO'!BG3:BG139""),MATCH($D28,IMPORTRANGE(""1y0FWgjbB0gVlqn-q5LMJbGIsqOrzru4yowQz67dz2yc"", ""'APO'!D3:D139""),0))"),1)</f>
        <v>1</v>
      </c>
      <c r="Z28" s="2">
        <f ca="1">IFERROR(__xludf.DUMMYFUNCTION("INDEX(IMPORTRANGE(""1y0FWgjbB0gVlqn-q5LMJbGIsqOrzru4yowQz67dz2yc"", ""'APO'!BH3:BH139""),MATCH($D28,IMPORTRANGE(""1y0FWgjbB0gVlqn-q5LMJbGIsqOrzru4yowQz67dz2yc"", ""'APO'!D3:D139""),0))"),0)</f>
        <v>0</v>
      </c>
      <c r="AA28" s="2">
        <f ca="1">IFERROR(__xludf.DUMMYFUNCTION("INDEX(IMPORTRANGE(""1y0FWgjbB0gVlqn-q5LMJbGIsqOrzru4yowQz67dz2yc"", ""'APO'!BI3:BI139""),MATCH($D28,IMPORTRANGE(""1y0FWgjbB0gVlqn-q5LMJbGIsqOrzru4yowQz67dz2yc"", ""'APO'!D3:D139""),0))"),0)</f>
        <v>0</v>
      </c>
      <c r="AB28" s="2"/>
      <c r="AC28" s="2"/>
    </row>
    <row r="29" spans="1:29">
      <c r="A29" s="149" t="s">
        <v>52</v>
      </c>
      <c r="B29" s="149" t="s">
        <v>86</v>
      </c>
      <c r="C29" s="148" t="s">
        <v>30</v>
      </c>
      <c r="D29" s="149" t="s">
        <v>105</v>
      </c>
      <c r="E29" s="149" t="s">
        <v>76</v>
      </c>
      <c r="F29" s="9" t="s">
        <v>106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13"/>
      <c r="X29" s="12">
        <v>0</v>
      </c>
      <c r="Y29" s="2">
        <f ca="1">IFERROR(__xludf.DUMMYFUNCTION("INDEX(IMPORTRANGE(""1y0FWgjbB0gVlqn-q5LMJbGIsqOrzru4yowQz67dz2yc"", ""'APO'!BG3:BG139""),MATCH($D29,IMPORTRANGE(""1y0FWgjbB0gVlqn-q5LMJbGIsqOrzru4yowQz67dz2yc"", ""'APO'!D3:D139""),0))"),0)</f>
        <v>0</v>
      </c>
      <c r="Z29" s="2">
        <f ca="1">IFERROR(__xludf.DUMMYFUNCTION("INDEX(IMPORTRANGE(""1y0FWgjbB0gVlqn-q5LMJbGIsqOrzru4yowQz67dz2yc"", ""'APO'!BH3:BH139""),MATCH($D29,IMPORTRANGE(""1y0FWgjbB0gVlqn-q5LMJbGIsqOrzru4yowQz67dz2yc"", ""'APO'!D3:D139""),0))"),0)</f>
        <v>0</v>
      </c>
      <c r="AA29" s="2">
        <f ca="1">IFERROR(__xludf.DUMMYFUNCTION("INDEX(IMPORTRANGE(""1y0FWgjbB0gVlqn-q5LMJbGIsqOrzru4yowQz67dz2yc"", ""'APO'!BI3:BI139""),MATCH($D29,IMPORTRANGE(""1y0FWgjbB0gVlqn-q5LMJbGIsqOrzru4yowQz67dz2yc"", ""'APO'!D3:D139""),0))"),0)</f>
        <v>0</v>
      </c>
      <c r="AB29" s="2"/>
      <c r="AC29" s="2"/>
    </row>
    <row r="30" spans="1:29">
      <c r="A30" s="149" t="s">
        <v>52</v>
      </c>
      <c r="B30" s="149" t="s">
        <v>86</v>
      </c>
      <c r="C30" s="148" t="s">
        <v>30</v>
      </c>
      <c r="D30" s="149" t="s">
        <v>107</v>
      </c>
      <c r="E30" s="149" t="s">
        <v>76</v>
      </c>
      <c r="F30" s="9" t="s">
        <v>108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12">
        <v>10</v>
      </c>
      <c r="R30" s="13"/>
      <c r="S30" s="13"/>
      <c r="T30" s="13"/>
      <c r="U30" s="13"/>
      <c r="V30" s="13"/>
      <c r="W30" s="13"/>
      <c r="X30" s="12">
        <v>4</v>
      </c>
      <c r="Y30" s="2">
        <f ca="1">IFERROR(__xludf.DUMMYFUNCTION("INDEX(IMPORTRANGE(""1y0FWgjbB0gVlqn-q5LMJbGIsqOrzru4yowQz67dz2yc"", ""'APO'!BG3:BG139""),MATCH($D30,IMPORTRANGE(""1y0FWgjbB0gVlqn-q5LMJbGIsqOrzru4yowQz67dz2yc"", ""'APO'!D3:D139""),0))"),11)</f>
        <v>11</v>
      </c>
      <c r="Z30" s="2">
        <f ca="1">IFERROR(__xludf.DUMMYFUNCTION("INDEX(IMPORTRANGE(""1y0FWgjbB0gVlqn-q5LMJbGIsqOrzru4yowQz67dz2yc"", ""'APO'!BH3:BH139""),MATCH($D30,IMPORTRANGE(""1y0FWgjbB0gVlqn-q5LMJbGIsqOrzru4yowQz67dz2yc"", ""'APO'!D3:D139""),0))"),1)</f>
        <v>1</v>
      </c>
      <c r="AA30" s="2">
        <f ca="1">IFERROR(__xludf.DUMMYFUNCTION("INDEX(IMPORTRANGE(""1y0FWgjbB0gVlqn-q5LMJbGIsqOrzru4yowQz67dz2yc"", ""'APO'!BI3:BI139""),MATCH($D30,IMPORTRANGE(""1y0FWgjbB0gVlqn-q5LMJbGIsqOrzru4yowQz67dz2yc"", ""'APO'!D3:D139""),0))"),5)</f>
        <v>5</v>
      </c>
      <c r="AB30" s="2"/>
      <c r="AC30" s="2"/>
    </row>
    <row r="31" spans="1:29">
      <c r="A31" s="149" t="s">
        <v>52</v>
      </c>
      <c r="B31" s="149" t="s">
        <v>86</v>
      </c>
      <c r="C31" s="148" t="s">
        <v>30</v>
      </c>
      <c r="D31" s="149" t="s">
        <v>109</v>
      </c>
      <c r="E31" s="149" t="s">
        <v>76</v>
      </c>
      <c r="F31" s="9" t="s">
        <v>110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1</v>
      </c>
      <c r="Q31" s="12">
        <v>1</v>
      </c>
      <c r="R31" s="13"/>
      <c r="S31" s="13"/>
      <c r="T31" s="13"/>
      <c r="U31" s="13"/>
      <c r="V31" s="13"/>
      <c r="W31" s="13"/>
      <c r="X31" s="12">
        <v>2</v>
      </c>
      <c r="Y31" s="2">
        <f ca="1">IFERROR(__xludf.DUMMYFUNCTION("INDEX(IMPORTRANGE(""1y0FWgjbB0gVlqn-q5LMJbGIsqOrzru4yowQz67dz2yc"", ""'APO'!BG3:BG139""),MATCH($D31,IMPORTRANGE(""1y0FWgjbB0gVlqn-q5LMJbGIsqOrzru4yowQz67dz2yc"", ""'APO'!D3:D139""),0))"),3)</f>
        <v>3</v>
      </c>
      <c r="Z31" s="2">
        <f ca="1">IFERROR(__xludf.DUMMYFUNCTION("INDEX(IMPORTRANGE(""1y0FWgjbB0gVlqn-q5LMJbGIsqOrzru4yowQz67dz2yc"", ""'APO'!BH3:BH139""),MATCH($D31,IMPORTRANGE(""1y0FWgjbB0gVlqn-q5LMJbGIsqOrzru4yowQz67dz2yc"", ""'APO'!D3:D139""),0))"),0)</f>
        <v>0</v>
      </c>
      <c r="AA31" s="2">
        <f ca="1">IFERROR(__xludf.DUMMYFUNCTION("INDEX(IMPORTRANGE(""1y0FWgjbB0gVlqn-q5LMJbGIsqOrzru4yowQz67dz2yc"", ""'APO'!BI3:BI139""),MATCH($D31,IMPORTRANGE(""1y0FWgjbB0gVlqn-q5LMJbGIsqOrzru4yowQz67dz2yc"", ""'APO'!D3:D139""),0))"),0)</f>
        <v>0</v>
      </c>
      <c r="AB31" s="2"/>
      <c r="AC31" s="2"/>
    </row>
    <row r="32" spans="1:29">
      <c r="A32" s="149" t="s">
        <v>52</v>
      </c>
      <c r="B32" s="149" t="s">
        <v>86</v>
      </c>
      <c r="C32" s="148" t="s">
        <v>30</v>
      </c>
      <c r="D32" s="149" t="s">
        <v>111</v>
      </c>
      <c r="E32" s="149" t="s">
        <v>76</v>
      </c>
      <c r="F32" s="9" t="s">
        <v>112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0</v>
      </c>
      <c r="Y32" s="2">
        <f ca="1">IFERROR(__xludf.DUMMYFUNCTION("INDEX(IMPORTRANGE(""1y0FWgjbB0gVlqn-q5LMJbGIsqOrzru4yowQz67dz2yc"", ""'APO'!BG3:BG139""),MATCH($D32,IMPORTRANGE(""1y0FWgjbB0gVlqn-q5LMJbGIsqOrzru4yowQz67dz2yc"", ""'APO'!D3:D139""),0))"),0)</f>
        <v>0</v>
      </c>
      <c r="Z32" s="2">
        <f ca="1">IFERROR(__xludf.DUMMYFUNCTION("INDEX(IMPORTRANGE(""1y0FWgjbB0gVlqn-q5LMJbGIsqOrzru4yowQz67dz2yc"", ""'APO'!BH3:BH139""),MATCH($D32,IMPORTRANGE(""1y0FWgjbB0gVlqn-q5LMJbGIsqOrzru4yowQz67dz2yc"", ""'APO'!D3:D139""),0))"),0)</f>
        <v>0</v>
      </c>
      <c r="AA32" s="2">
        <f ca="1">IFERROR(__xludf.DUMMYFUNCTION("INDEX(IMPORTRANGE(""1y0FWgjbB0gVlqn-q5LMJbGIsqOrzru4yowQz67dz2yc"", ""'APO'!BI3:BI139""),MATCH($D32,IMPORTRANGE(""1y0FWgjbB0gVlqn-q5LMJbGIsqOrzru4yowQz67dz2yc"", ""'APO'!D3:D139""),0))"),0)</f>
        <v>0</v>
      </c>
      <c r="AB32" s="2"/>
      <c r="AC32" s="2"/>
    </row>
    <row r="33" spans="1:29">
      <c r="A33" s="149" t="s">
        <v>52</v>
      </c>
      <c r="B33" s="149" t="s">
        <v>86</v>
      </c>
      <c r="C33" s="148" t="s">
        <v>30</v>
      </c>
      <c r="D33" s="149" t="s">
        <v>113</v>
      </c>
      <c r="E33" s="149" t="s">
        <v>76</v>
      </c>
      <c r="F33" s="9" t="s">
        <v>114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1</v>
      </c>
      <c r="Q33" s="12">
        <v>6</v>
      </c>
      <c r="R33" s="13"/>
      <c r="S33" s="13"/>
      <c r="T33" s="13"/>
      <c r="U33" s="13"/>
      <c r="V33" s="13"/>
      <c r="W33" s="13"/>
      <c r="X33" s="12">
        <v>2</v>
      </c>
      <c r="Y33" s="2">
        <f ca="1">IFERROR(__xludf.DUMMYFUNCTION("INDEX(IMPORTRANGE(""1y0FWgjbB0gVlqn-q5LMJbGIsqOrzru4yowQz67dz2yc"", ""'APO'!BG3:BG139""),MATCH($D33,IMPORTRANGE(""1y0FWgjbB0gVlqn-q5LMJbGIsqOrzru4yowQz67dz2yc"", ""'APO'!D3:D139""),0))"),2)</f>
        <v>2</v>
      </c>
      <c r="Z33" s="2">
        <f ca="1">IFERROR(__xludf.DUMMYFUNCTION("INDEX(IMPORTRANGE(""1y0FWgjbB0gVlqn-q5LMJbGIsqOrzru4yowQz67dz2yc"", ""'APO'!BH3:BH139""),MATCH($D33,IMPORTRANGE(""1y0FWgjbB0gVlqn-q5LMJbGIsqOrzru4yowQz67dz2yc"", ""'APO'!D3:D139""),0))"),4)</f>
        <v>4</v>
      </c>
      <c r="AA33" s="2">
        <f ca="1">IFERROR(__xludf.DUMMYFUNCTION("INDEX(IMPORTRANGE(""1y0FWgjbB0gVlqn-q5LMJbGIsqOrzru4yowQz67dz2yc"", ""'APO'!BI3:BI139""),MATCH($D33,IMPORTRANGE(""1y0FWgjbB0gVlqn-q5LMJbGIsqOrzru4yowQz67dz2yc"", ""'APO'!D3:D139""),0))"),6)</f>
        <v>6</v>
      </c>
      <c r="AB33" s="2"/>
      <c r="AC33" s="2"/>
    </row>
    <row r="34" spans="1:29">
      <c r="A34" s="149" t="s">
        <v>52</v>
      </c>
      <c r="B34" s="149" t="s">
        <v>86</v>
      </c>
      <c r="C34" s="148" t="s">
        <v>30</v>
      </c>
      <c r="D34" s="149" t="s">
        <v>115</v>
      </c>
      <c r="E34" s="149" t="s">
        <v>76</v>
      </c>
      <c r="F34" s="2" t="s">
        <v>116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1</v>
      </c>
      <c r="Q34" s="12">
        <v>1</v>
      </c>
      <c r="R34" s="13"/>
      <c r="S34" s="13"/>
      <c r="T34" s="13"/>
      <c r="U34" s="13"/>
      <c r="V34" s="13"/>
      <c r="W34" s="13"/>
      <c r="X34" s="12">
        <v>0</v>
      </c>
      <c r="Y34" s="2">
        <f ca="1">IFERROR(__xludf.DUMMYFUNCTION("INDEX(IMPORTRANGE(""1y0FWgjbB0gVlqn-q5LMJbGIsqOrzru4yowQz67dz2yc"", ""'APO'!BG3:BG139""),MATCH($D34,IMPORTRANGE(""1y0FWgjbB0gVlqn-q5LMJbGIsqOrzru4yowQz67dz2yc"", ""'APO'!D3:D139""),0))"),1)</f>
        <v>1</v>
      </c>
      <c r="Z34" s="2">
        <f ca="1">IFERROR(__xludf.DUMMYFUNCTION("INDEX(IMPORTRANGE(""1y0FWgjbB0gVlqn-q5LMJbGIsqOrzru4yowQz67dz2yc"", ""'APO'!BH3:BH139""),MATCH($D34,IMPORTRANGE(""1y0FWgjbB0gVlqn-q5LMJbGIsqOrzru4yowQz67dz2yc"", ""'APO'!D3:D139""),0))"),1)</f>
        <v>1</v>
      </c>
      <c r="AA34" s="2">
        <f ca="1">IFERROR(__xludf.DUMMYFUNCTION("INDEX(IMPORTRANGE(""1y0FWgjbB0gVlqn-q5LMJbGIsqOrzru4yowQz67dz2yc"", ""'APO'!BI3:BI139""),MATCH($D34,IMPORTRANGE(""1y0FWgjbB0gVlqn-q5LMJbGIsqOrzru4yowQz67dz2yc"", ""'APO'!D3:D139""),0))"),1)</f>
        <v>1</v>
      </c>
      <c r="AB34" s="2"/>
      <c r="AC34" s="2"/>
    </row>
    <row r="35" spans="1:29">
      <c r="A35" s="149" t="s">
        <v>52</v>
      </c>
      <c r="B35" s="149" t="s">
        <v>86</v>
      </c>
      <c r="C35" s="148" t="s">
        <v>30</v>
      </c>
      <c r="D35" s="149" t="s">
        <v>350</v>
      </c>
      <c r="E35" s="149" t="s">
        <v>76</v>
      </c>
      <c r="F35" s="2"/>
      <c r="G35" s="22" t="s">
        <v>343</v>
      </c>
      <c r="H35" s="22" t="s">
        <v>344</v>
      </c>
      <c r="I35" s="9" t="s">
        <v>345</v>
      </c>
      <c r="J35" s="9" t="s">
        <v>336</v>
      </c>
      <c r="K35" s="9" t="s">
        <v>346</v>
      </c>
      <c r="L35" s="9" t="s">
        <v>347</v>
      </c>
      <c r="M35" s="9" t="s">
        <v>348</v>
      </c>
      <c r="N35" s="9" t="s">
        <v>349</v>
      </c>
      <c r="O35" s="9" t="s">
        <v>349</v>
      </c>
      <c r="P35" s="12">
        <f t="shared" ref="P35:Q35" si="8">SUM(P24:P34)</f>
        <v>41</v>
      </c>
      <c r="Q35" s="12">
        <f t="shared" si="8"/>
        <v>89</v>
      </c>
      <c r="R35" s="13"/>
      <c r="S35" s="13"/>
      <c r="T35" s="13"/>
      <c r="U35" s="13"/>
      <c r="V35" s="13"/>
      <c r="W35" s="13"/>
      <c r="X35" s="12">
        <f>SUM(X24:X34)</f>
        <v>22</v>
      </c>
      <c r="Y35" s="2">
        <f ca="1">IFERROR(__xludf.DUMMYFUNCTION("INDEX(IMPORTRANGE(""1y0FWgjbB0gVlqn-q5LMJbGIsqOrzru4yowQz67dz2yc"", ""'APO'!BG3:BG139""),MATCH($D35,IMPORTRANGE(""1y0FWgjbB0gVlqn-q5LMJbGIsqOrzru4yowQz67dz2yc"", ""'APO'!D3:D139""),0))"),68)</f>
        <v>68</v>
      </c>
      <c r="Z35" s="2">
        <f ca="1">IFERROR(__xludf.DUMMYFUNCTION("INDEX(IMPORTRANGE(""1y0FWgjbB0gVlqn-q5LMJbGIsqOrzru4yowQz67dz2yc"", ""'APO'!BH3:BH139""),MATCH($D35,IMPORTRANGE(""1y0FWgjbB0gVlqn-q5LMJbGIsqOrzru4yowQz67dz2yc"", ""'APO'!D3:D139""),0))"),29)</f>
        <v>29</v>
      </c>
      <c r="AA35" s="2">
        <f ca="1">IFERROR(__xludf.DUMMYFUNCTION("INDEX(IMPORTRANGE(""1y0FWgjbB0gVlqn-q5LMJbGIsqOrzru4yowQz67dz2yc"", ""'APO'!BI3:BI139""),MATCH($D35,IMPORTRANGE(""1y0FWgjbB0gVlqn-q5LMJbGIsqOrzru4yowQz67dz2yc"", ""'APO'!D3:D139""),0))"),75)</f>
        <v>75</v>
      </c>
      <c r="AB35" s="24"/>
      <c r="AC35" s="24"/>
    </row>
    <row r="36" spans="1:29">
      <c r="A36" s="149" t="s">
        <v>52</v>
      </c>
      <c r="B36" s="149" t="s">
        <v>86</v>
      </c>
      <c r="C36" s="148" t="s">
        <v>36</v>
      </c>
      <c r="D36" s="149" t="s">
        <v>117</v>
      </c>
      <c r="E36" s="149" t="s">
        <v>76</v>
      </c>
      <c r="F36" s="2" t="s">
        <v>118</v>
      </c>
      <c r="G36" s="22" t="s">
        <v>56</v>
      </c>
      <c r="H36" s="2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9">(SUM(P24:P34)/P$2)*100000</f>
        <v>6.1586159036492054</v>
      </c>
      <c r="Q36" s="23">
        <f t="shared" si="9"/>
        <v>13.368702815238519</v>
      </c>
      <c r="R36" s="2">
        <v>12.55</v>
      </c>
      <c r="S36" s="2">
        <v>5.77</v>
      </c>
      <c r="T36" s="2">
        <v>12.26</v>
      </c>
      <c r="U36" s="2">
        <v>5.43</v>
      </c>
      <c r="V36" s="2">
        <v>11.86</v>
      </c>
      <c r="W36" s="2">
        <v>11.72</v>
      </c>
      <c r="X36" s="23">
        <f>(SUM(X24:X34)/X$2)*100000</f>
        <v>3.2108491674414057</v>
      </c>
      <c r="Y36" s="24">
        <f ca="1">IFERROR(__xludf.DUMMYFUNCTION("INDEX(IMPORTRANGE(""1y0FWgjbB0gVlqn-q5LMJbGIsqOrzru4yowQz67dz2yc"", ""'APO'!BG3:BG139""),MATCH($D36,IMPORTRANGE(""1y0FWgjbB0gVlqn-q5LMJbGIsqOrzru4yowQz67dz2yc"", ""'APO'!D3:D139""),0))"),9.92444288118252)</f>
        <v>9.9244428811825198</v>
      </c>
      <c r="Z36" s="24">
        <f ca="1">IFERROR(__xludf.DUMMYFUNCTION("INDEX(IMPORTRANGE(""1y0FWgjbB0gVlqn-q5LMJbGIsqOrzru4yowQz67dz2yc"", ""'APO'!BH3:BH139""),MATCH($D36,IMPORTRANGE(""1y0FWgjbB0gVlqn-q5LMJbGIsqOrzru4yowQz67dz2yc"", ""'APO'!D3:D139""),0))"),4.18443246831013)</f>
        <v>4.1844324683101304</v>
      </c>
      <c r="AA36" s="24">
        <f ca="1">IFERROR(__xludf.DUMMYFUNCTION("INDEX(IMPORTRANGE(""1y0FWgjbB0gVlqn-q5LMJbGIsqOrzru4yowQz67dz2yc"", ""'APO'!BI3:BI139""),MATCH($D36,IMPORTRANGE(""1y0FWgjbB0gVlqn-q5LMJbGIsqOrzru4yowQz67dz2yc"", ""'APO'!D3:D139""),0))"),10.8218081076986)</f>
        <v>10.821808107698599</v>
      </c>
      <c r="AB36" s="24"/>
      <c r="AC36" s="24"/>
    </row>
    <row r="37" spans="1:29">
      <c r="A37" s="149" t="s">
        <v>119</v>
      </c>
      <c r="B37" s="149" t="s">
        <v>120</v>
      </c>
      <c r="C37" s="148" t="s">
        <v>30</v>
      </c>
      <c r="D37" s="148" t="s">
        <v>121</v>
      </c>
      <c r="E37" s="149" t="s">
        <v>38</v>
      </c>
      <c r="F37" s="2" t="s">
        <v>122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208236</v>
      </c>
      <c r="Q37" s="12">
        <v>208236</v>
      </c>
      <c r="R37" s="13"/>
      <c r="S37" s="13"/>
      <c r="T37" s="13"/>
      <c r="U37" s="13"/>
      <c r="V37" s="13"/>
      <c r="W37" s="13"/>
      <c r="X37" s="12">
        <v>208236</v>
      </c>
      <c r="Y37" s="12">
        <f ca="1">IFERROR(__xludf.DUMMYFUNCTION("INDEX(IMPORTRANGE(""1y0FWgjbB0gVlqn-q5LMJbGIsqOrzru4yowQz67dz2yc"", ""'APO'!BG3:BG139""),MATCH($D37,IMPORTRANGE(""1y0FWgjbB0gVlqn-q5LMJbGIsqOrzru4yowQz67dz2yc"", ""'APO'!D3:D139""),0))"),211206)</f>
        <v>211206</v>
      </c>
      <c r="Z37" s="12">
        <f ca="1">IFERROR(__xludf.DUMMYFUNCTION("INDEX(IMPORTRANGE(""1y0FWgjbB0gVlqn-q5LMJbGIsqOrzru4yowQz67dz2yc"", ""'APO'!BH3:BH139""),MATCH($D37,IMPORTRANGE(""1y0FWgjbB0gVlqn-q5LMJbGIsqOrzru4yowQz67dz2yc"", ""'APO'!D3:D139""),0))"),212648)</f>
        <v>212648</v>
      </c>
      <c r="AA37" s="12">
        <f ca="1">IFERROR(__xludf.DUMMYFUNCTION("INDEX(IMPORTRANGE(""1y0FWgjbB0gVlqn-q5LMJbGIsqOrzru4yowQz67dz2yc"", ""'APO'!BI3:BI139""),MATCH($D37,IMPORTRANGE(""1y0FWgjbB0gVlqn-q5LMJbGIsqOrzru4yowQz67dz2yc"", ""'APO'!D3:D139""),0))"),213729)</f>
        <v>213729</v>
      </c>
      <c r="AB37" s="12"/>
      <c r="AC37" s="12"/>
    </row>
    <row r="38" spans="1:29">
      <c r="A38" s="149" t="s">
        <v>119</v>
      </c>
      <c r="B38" s="149" t="s">
        <v>120</v>
      </c>
      <c r="C38" s="148" t="s">
        <v>30</v>
      </c>
      <c r="D38" s="148" t="s">
        <v>123</v>
      </c>
      <c r="E38" s="149" t="s">
        <v>38</v>
      </c>
      <c r="F38" s="2" t="s">
        <v>124</v>
      </c>
      <c r="G38" s="10">
        <v>44469</v>
      </c>
      <c r="H38" s="10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0</v>
      </c>
      <c r="Q38" s="2">
        <v>0</v>
      </c>
      <c r="R38" s="13"/>
      <c r="S38" s="13"/>
      <c r="T38" s="13"/>
      <c r="U38" s="13"/>
      <c r="V38" s="13"/>
      <c r="W38" s="13"/>
      <c r="X38" s="2">
        <v>0</v>
      </c>
      <c r="Y38" s="2">
        <f ca="1">IFERROR(__xludf.DUMMYFUNCTION("INDEX(IMPORTRANGE(""1y0FWgjbB0gVlqn-q5LMJbGIsqOrzru4yowQz67dz2yc"", ""'APO'!BG3:BG139""),MATCH($D38,IMPORTRANGE(""1y0FWgjbB0gVlqn-q5LMJbGIsqOrzru4yowQz67dz2yc"", ""'APO'!D3:D139""),0))"),0)</f>
        <v>0</v>
      </c>
      <c r="Z38" s="2">
        <f ca="1">IFERROR(__xludf.DUMMYFUNCTION("INDEX(IMPORTRANGE(""1y0FWgjbB0gVlqn-q5LMJbGIsqOrzru4yowQz67dz2yc"", ""'APO'!BH3:BH139""),MATCH($D38,IMPORTRANGE(""1y0FWgjbB0gVlqn-q5LMJbGIsqOrzru4yowQz67dz2yc"", ""'APO'!D3:D139""),0))"),0)</f>
        <v>0</v>
      </c>
      <c r="AA38" s="2">
        <f ca="1">IFERROR(__xludf.DUMMYFUNCTION("INDEX(IMPORTRANGE(""1y0FWgjbB0gVlqn-q5LMJbGIsqOrzru4yowQz67dz2yc"", ""'APO'!BI3:BI139""),MATCH($D38,IMPORTRANGE(""1y0FWgjbB0gVlqn-q5LMJbGIsqOrzru4yowQz67dz2yc"", ""'APO'!D3:D139""),0))"),0)</f>
        <v>0</v>
      </c>
      <c r="AB38" s="2"/>
      <c r="AC38" s="2"/>
    </row>
    <row r="39" spans="1:29">
      <c r="A39" s="149" t="s">
        <v>119</v>
      </c>
      <c r="B39" s="149" t="s">
        <v>120</v>
      </c>
      <c r="C39" s="148" t="s">
        <v>36</v>
      </c>
      <c r="D39" s="148" t="s">
        <v>125</v>
      </c>
      <c r="E39" s="149" t="s">
        <v>38</v>
      </c>
      <c r="F39" s="2" t="s">
        <v>126</v>
      </c>
      <c r="G39" s="10">
        <v>44469</v>
      </c>
      <c r="H39" s="10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26">
        <f t="shared" ref="P39:Q39" si="10">P38/P37</f>
        <v>0</v>
      </c>
      <c r="Q39" s="26">
        <f t="shared" si="10"/>
        <v>0</v>
      </c>
      <c r="R39" s="54">
        <v>1.9E-3</v>
      </c>
      <c r="S39" s="54">
        <v>3.7000000000000002E-3</v>
      </c>
      <c r="T39" s="54">
        <v>5.5999999999999999E-3</v>
      </c>
      <c r="U39" s="54">
        <v>7.4000000000000003E-3</v>
      </c>
      <c r="V39" s="54">
        <v>9.2999999999999992E-3</v>
      </c>
      <c r="W39" s="54">
        <v>9.2999999999999992E-3</v>
      </c>
      <c r="X39" s="15">
        <f>X38/X37</f>
        <v>0</v>
      </c>
      <c r="Y39" s="2">
        <f ca="1">IFERROR(__xludf.DUMMYFUNCTION("INDEX(IMPORTRANGE(""1y0FWgjbB0gVlqn-q5LMJbGIsqOrzru4yowQz67dz2yc"", ""'APO'!BG3:BG139""),MATCH($D39,IMPORTRANGE(""1y0FWgjbB0gVlqn-q5LMJbGIsqOrzru4yowQz67dz2yc"", ""'APO'!D3:D139""),0))"),0)</f>
        <v>0</v>
      </c>
      <c r="Z39" s="15">
        <f ca="1">IFERROR(__xludf.DUMMYFUNCTION("INDEX(IMPORTRANGE(""1y0FWgjbB0gVlqn-q5LMJbGIsqOrzru4yowQz67dz2yc"", ""'APO'!BH3:BH139""),MATCH($D39,IMPORTRANGE(""1y0FWgjbB0gVlqn-q5LMJbGIsqOrzru4yowQz67dz2yc"", ""'APO'!D3:D139""),0))"),0)</f>
        <v>0</v>
      </c>
      <c r="AA39" s="15">
        <f ca="1">IFERROR(__xludf.DUMMYFUNCTION("INDEX(IMPORTRANGE(""1y0FWgjbB0gVlqn-q5LMJbGIsqOrzru4yowQz67dz2yc"", ""'APO'!BI3:BI139""),MATCH($D39,IMPORTRANGE(""1y0FWgjbB0gVlqn-q5LMJbGIsqOrzru4yowQz67dz2yc"", ""'APO'!D3:D139""),0))"),0)</f>
        <v>0</v>
      </c>
      <c r="AB39" s="2"/>
      <c r="AC39" s="15"/>
    </row>
    <row r="40" spans="1:29">
      <c r="A40" s="149" t="s">
        <v>119</v>
      </c>
      <c r="B40" s="149" t="s">
        <v>120</v>
      </c>
      <c r="C40" s="148" t="s">
        <v>30</v>
      </c>
      <c r="D40" s="149" t="s">
        <v>330</v>
      </c>
      <c r="E40" s="149" t="s">
        <v>38</v>
      </c>
      <c r="F40" s="2" t="s">
        <v>176</v>
      </c>
      <c r="G40" s="22" t="s">
        <v>56</v>
      </c>
      <c r="H40" s="2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1"/>
      <c r="S40" s="1"/>
      <c r="T40" s="2">
        <v>3600</v>
      </c>
      <c r="U40" s="2">
        <v>2500</v>
      </c>
      <c r="V40" s="2">
        <v>100</v>
      </c>
      <c r="W40" s="2"/>
      <c r="X40" s="2"/>
      <c r="Y40" s="2" t="str">
        <f ca="1">IFERROR(__xludf.DUMMYFUNCTION("INDEX(IMPORTRANGE(""1y0FWgjbB0gVlqn-q5LMJbGIsqOrzru4yowQz67dz2yc"", ""'APO'!BG3:BG139""),MATCH($D40,IMPORTRANGE(""1y0FWgjbB0gVlqn-q5LMJbGIsqOrzru4yowQz67dz2yc"", ""'APO'!D3:D139""),0))"),"")</f>
        <v/>
      </c>
      <c r="Z40" s="24">
        <f ca="1">IFERROR(__xludf.DUMMYFUNCTION("INDEX(IMPORTRANGE(""1y0FWgjbB0gVlqn-q5LMJbGIsqOrzru4yowQz67dz2yc"", ""'APO'!BH3:BH139""),MATCH($D40,IMPORTRANGE(""1y0FWgjbB0gVlqn-q5LMJbGIsqOrzru4yowQz67dz2yc"", ""'APO'!D3:D139""),0))"),114.66)</f>
        <v>114.66</v>
      </c>
      <c r="AA40" s="24">
        <f ca="1">IFERROR(__xludf.DUMMYFUNCTION("INDEX(IMPORTRANGE(""1y0FWgjbB0gVlqn-q5LMJbGIsqOrzru4yowQz67dz2yc"", ""'APO'!BI3:BI139""),MATCH($D40,IMPORTRANGE(""1y0FWgjbB0gVlqn-q5LMJbGIsqOrzru4yowQz67dz2yc"", ""'APO'!D3:D139""),0))"),204.5861)</f>
        <v>204.58609999999999</v>
      </c>
      <c r="AB40" s="2"/>
      <c r="AC40" s="24"/>
    </row>
    <row r="41" spans="1:29">
      <c r="A41" s="149" t="s">
        <v>119</v>
      </c>
      <c r="B41" s="149" t="s">
        <v>120</v>
      </c>
      <c r="C41" s="148" t="s">
        <v>30</v>
      </c>
      <c r="D41" s="149" t="s">
        <v>331</v>
      </c>
      <c r="E41" s="149" t="s">
        <v>38</v>
      </c>
      <c r="F41" s="2" t="s">
        <v>332</v>
      </c>
      <c r="G41" s="22" t="s">
        <v>56</v>
      </c>
      <c r="H41" s="2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2"/>
      <c r="R41" s="1"/>
      <c r="S41" s="1"/>
      <c r="T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U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V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W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X41" s="2"/>
      <c r="Y41" s="2" t="str">
        <f ca="1">IFERROR(__xludf.DUMMYFUNCTION("INDEX(IMPORTRANGE(""1y0FWgjbB0gVlqn-q5LMJbGIsqOrzru4yowQz67dz2yc"", ""'APO'!BG3:BG139""),MATCH($D41,IMPORTRANGE(""1y0FWgjbB0gVlqn-q5LMJbGIsqOrzru4yowQz67dz2yc"", ""'APO'!D3:D139""),0))"),"")</f>
        <v/>
      </c>
      <c r="Z41" s="24">
        <f ca="1">IFERROR(__xludf.DUMMYFUNCTION("INDEX(IMPORTRANGE(""1y0FWgjbB0gVlqn-q5LMJbGIsqOrzru4yowQz67dz2yc"", ""'APO'!BH3:BH139""),MATCH($D41,IMPORTRANGE(""1y0FWgjbB0gVlqn-q5LMJbGIsqOrzru4yowQz67dz2yc"", ""'APO'!D3:D139""),0))"),209010.84)</f>
        <v>209010.84</v>
      </c>
      <c r="AA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AB41" s="2"/>
      <c r="AC41" s="24"/>
    </row>
    <row r="42" spans="1:29">
      <c r="A42" s="149" t="s">
        <v>119</v>
      </c>
      <c r="B42" s="149" t="s">
        <v>120</v>
      </c>
      <c r="C42" s="148" t="s">
        <v>36</v>
      </c>
      <c r="D42" s="149" t="s">
        <v>333</v>
      </c>
      <c r="E42" s="149" t="s">
        <v>38</v>
      </c>
      <c r="F42" s="2" t="s">
        <v>334</v>
      </c>
      <c r="G42" s="22" t="s">
        <v>56</v>
      </c>
      <c r="H42" s="2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2"/>
      <c r="R42" s="2"/>
      <c r="S42" s="152">
        <v>5.4858398731855249E-4</v>
      </c>
      <c r="T42" s="176">
        <f>(S42*1.1)</f>
        <v>6.0344238605040783E-4</v>
      </c>
      <c r="U42" s="176">
        <f t="shared" ref="U42:W42" ca="1" si="11">U40/U41</f>
        <v>5.9416668538291731E-3</v>
      </c>
      <c r="V42" s="176">
        <f t="shared" ca="1" si="11"/>
        <v>2.3766667415316692E-4</v>
      </c>
      <c r="W42" s="176">
        <f t="shared" ca="1" si="11"/>
        <v>0</v>
      </c>
      <c r="X42" s="2"/>
      <c r="Y42" s="2" t="str">
        <f ca="1">IFERROR(__xludf.DUMMYFUNCTION("INDEX(IMPORTRANGE(""1y0FWgjbB0gVlqn-q5LMJbGIsqOrzru4yowQz67dz2yc"", ""'APO'!BG3:BG139""),MATCH($D42,IMPORTRANGE(""1y0FWgjbB0gVlqn-q5LMJbGIsqOrzru4yowQz67dz2yc"", ""'APO'!D3:D139""),0))"),"")</f>
        <v/>
      </c>
      <c r="Z42" s="26">
        <f ca="1">IFERROR(__xludf.DUMMYFUNCTION("INDEX(IMPORTRANGE(""1y0FWgjbB0gVlqn-q5LMJbGIsqOrzru4yowQz67dz2yc"", ""'APO'!BH3:BH139""),MATCH($D42,IMPORTRANGE(""1y0FWgjbB0gVlqn-q5LMJbGIsqOrzru4yowQz67dz2yc"", ""'APO'!D3:D139""),0))"),0.000548583987318552)</f>
        <v>5.4858398731855195E-4</v>
      </c>
      <c r="AA42" s="26">
        <f ca="1">IFERROR(__xludf.DUMMYFUNCTION("INDEX(IMPORTRANGE(""1y0FWgjbB0gVlqn-q5LMJbGIsqOrzru4yowQz67dz2yc"", ""'APO'!BI3:BI139""),MATCH($D42,IMPORTRANGE(""1y0FWgjbB0gVlqn-q5LMJbGIsqOrzru4yowQz67dz2yc"", ""'APO'!D3:D139""),0))"),0.000486232979649672)</f>
        <v>4.86232979649672E-4</v>
      </c>
      <c r="AB42" s="2"/>
      <c r="AC42" s="26"/>
    </row>
    <row r="43" spans="1:29">
      <c r="A43" s="149" t="s">
        <v>119</v>
      </c>
      <c r="B43" s="149" t="s">
        <v>127</v>
      </c>
      <c r="C43" s="148" t="s">
        <v>36</v>
      </c>
      <c r="D43" s="149" t="s">
        <v>128</v>
      </c>
      <c r="E43" s="149" t="s">
        <v>38</v>
      </c>
      <c r="F43" s="2" t="s">
        <v>129</v>
      </c>
      <c r="G43" s="22" t="s">
        <v>56</v>
      </c>
      <c r="H43" s="2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2" t="s">
        <v>132</v>
      </c>
      <c r="O43" s="2" t="s">
        <v>132</v>
      </c>
      <c r="P43" s="12">
        <v>0</v>
      </c>
      <c r="Q43" s="2">
        <v>0</v>
      </c>
      <c r="R43" s="2">
        <v>1</v>
      </c>
      <c r="S43" s="2">
        <v>1</v>
      </c>
      <c r="T43" s="2">
        <v>1</v>
      </c>
      <c r="U43" s="2">
        <v>1</v>
      </c>
      <c r="V43" s="2">
        <v>1</v>
      </c>
      <c r="W43" s="2">
        <v>1</v>
      </c>
      <c r="X43" s="2">
        <v>1</v>
      </c>
      <c r="Y43" s="2">
        <f ca="1">IFERROR(__xludf.DUMMYFUNCTION("INDEX(IMPORTRANGE(""1y0FWgjbB0gVlqn-q5LMJbGIsqOrzru4yowQz67dz2yc"", ""'APO'!BG3:BG139""),MATCH($D43,IMPORTRANGE(""1y0FWgjbB0gVlqn-q5LMJbGIsqOrzru4yowQz67dz2yc"", ""'APO'!D3:D139""),0))"),2)</f>
        <v>2</v>
      </c>
      <c r="Z43" s="2">
        <f ca="1">IFERROR(__xludf.DUMMYFUNCTION("INDEX(IMPORTRANGE(""1y0FWgjbB0gVlqn-q5LMJbGIsqOrzru4yowQz67dz2yc"", ""'APO'!BH3:BH139""),MATCH($D43,IMPORTRANGE(""1y0FWgjbB0gVlqn-q5LMJbGIsqOrzru4yowQz67dz2yc"", ""'APO'!D3:D139""),0))"),2)</f>
        <v>2</v>
      </c>
      <c r="AA43" s="2">
        <f ca="1">IFERROR(__xludf.DUMMYFUNCTION("INDEX(IMPORTRANGE(""1y0FWgjbB0gVlqn-q5LMJbGIsqOrzru4yowQz67dz2yc"", ""'APO'!BI3:BI139""),MATCH($D43,IMPORTRANGE(""1y0FWgjbB0gVlqn-q5LMJbGIsqOrzru4yowQz67dz2yc"", ""'APO'!D3:D139""),0))"),2)</f>
        <v>2</v>
      </c>
      <c r="AB43" s="2"/>
      <c r="AC43" s="2"/>
    </row>
    <row r="44" spans="1:29">
      <c r="A44" s="149" t="s">
        <v>119</v>
      </c>
      <c r="B44" s="149" t="s">
        <v>133</v>
      </c>
      <c r="C44" s="148" t="s">
        <v>36</v>
      </c>
      <c r="D44" s="149" t="s">
        <v>134</v>
      </c>
      <c r="E44" s="149" t="s">
        <v>38</v>
      </c>
      <c r="F44" s="2" t="s">
        <v>135</v>
      </c>
      <c r="G44" s="22" t="s">
        <v>56</v>
      </c>
      <c r="H44" s="2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2" t="s">
        <v>132</v>
      </c>
      <c r="O44" s="2" t="s">
        <v>132</v>
      </c>
      <c r="P44" s="12">
        <v>348</v>
      </c>
      <c r="Q44" s="12">
        <v>1074</v>
      </c>
      <c r="R44" s="12">
        <v>1859</v>
      </c>
      <c r="S44" s="12">
        <v>2644</v>
      </c>
      <c r="T44" s="12">
        <v>3430</v>
      </c>
      <c r="U44" s="12">
        <v>4215</v>
      </c>
      <c r="V44" s="12">
        <v>5000</v>
      </c>
      <c r="W44" s="12">
        <v>5000</v>
      </c>
      <c r="X44" s="12">
        <v>599</v>
      </c>
      <c r="Y44" s="2">
        <f ca="1">IFERROR(__xludf.DUMMYFUNCTION("INDEX(IMPORTRANGE(""1y0FWgjbB0gVlqn-q5LMJbGIsqOrzru4yowQz67dz2yc"", ""'APO'!BG3:BG139""),MATCH($D44,IMPORTRANGE(""1y0FWgjbB0gVlqn-q5LMJbGIsqOrzru4yowQz67dz2yc"", ""'APO'!D3:D139""),0))"),2539)</f>
        <v>2539</v>
      </c>
      <c r="Z44" s="2">
        <f ca="1">IFERROR(__xludf.DUMMYFUNCTION("INDEX(IMPORTRANGE(""1y0FWgjbB0gVlqn-q5LMJbGIsqOrzru4yowQz67dz2yc"", ""'APO'!BH3:BH139""),MATCH($D44,IMPORTRANGE(""1y0FWgjbB0gVlqn-q5LMJbGIsqOrzru4yowQz67dz2yc"", ""'APO'!D3:D139""),0))"),8722)</f>
        <v>8722</v>
      </c>
      <c r="AA44" s="2">
        <f ca="1">IFERROR(__xludf.DUMMYFUNCTION("INDEX(IMPORTRANGE(""1y0FWgjbB0gVlqn-q5LMJbGIsqOrzru4yowQz67dz2yc"", ""'APO'!BI3:BI139""),MATCH($D44,IMPORTRANGE(""1y0FWgjbB0gVlqn-q5LMJbGIsqOrzru4yowQz67dz2yc"", ""'APO'!D3:D139""),0))"),15046)</f>
        <v>15046</v>
      </c>
      <c r="AB44" s="2"/>
      <c r="AC44" s="2"/>
    </row>
    <row r="45" spans="1:29">
      <c r="A45" s="151" t="s">
        <v>119</v>
      </c>
      <c r="B45" s="151" t="s">
        <v>136</v>
      </c>
      <c r="C45" s="150" t="s">
        <v>30</v>
      </c>
      <c r="D45" s="151" t="s">
        <v>137</v>
      </c>
      <c r="E45" s="151" t="s">
        <v>38</v>
      </c>
      <c r="F45" s="22" t="s">
        <v>138</v>
      </c>
      <c r="G45" s="22" t="s">
        <v>56</v>
      </c>
      <c r="H45" s="2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2" t="s">
        <v>132</v>
      </c>
      <c r="O45" s="2" t="s">
        <v>132</v>
      </c>
      <c r="P45" s="12">
        <v>0</v>
      </c>
      <c r="Q45" s="2">
        <v>0</v>
      </c>
      <c r="R45" s="13"/>
      <c r="S45" s="13"/>
      <c r="T45" s="13"/>
      <c r="U45" s="13"/>
      <c r="V45" s="13"/>
      <c r="W45" s="13"/>
      <c r="X45" s="2">
        <v>2</v>
      </c>
      <c r="Y45" s="2">
        <f ca="1">IFERROR(__xludf.DUMMYFUNCTION("INDEX(IMPORTRANGE(""1y0FWgjbB0gVlqn-q5LMJbGIsqOrzru4yowQz67dz2yc"", ""'APO'!BG3:BG139""),MATCH($D45,IMPORTRANGE(""1y0FWgjbB0gVlqn-q5LMJbGIsqOrzru4yowQz67dz2yc"", ""'APO'!D3:D139""),0))"),6)</f>
        <v>6</v>
      </c>
      <c r="Z45" s="2">
        <f ca="1">IFERROR(__xludf.DUMMYFUNCTION("INDEX(IMPORTRANGE(""1y0FWgjbB0gVlqn-q5LMJbGIsqOrzru4yowQz67dz2yc"", ""'APO'!BH3:BH139""),MATCH($D45,IMPORTRANGE(""1y0FWgjbB0gVlqn-q5LMJbGIsqOrzru4yowQz67dz2yc"", ""'APO'!D3:D139""),0))"),9)</f>
        <v>9</v>
      </c>
      <c r="AA45" s="2">
        <f ca="1">IFERROR(__xludf.DUMMYFUNCTION("INDEX(IMPORTRANGE(""1y0FWgjbB0gVlqn-q5LMJbGIsqOrzru4yowQz67dz2yc"", ""'APO'!BI3:BI139""),MATCH($D45,IMPORTRANGE(""1y0FWgjbB0gVlqn-q5LMJbGIsqOrzru4yowQz67dz2yc"", ""'APO'!D3:D139""),0))"),9)</f>
        <v>9</v>
      </c>
      <c r="AB45" s="2"/>
      <c r="AC45" s="2"/>
    </row>
    <row r="46" spans="1:29">
      <c r="A46" s="151" t="s">
        <v>119</v>
      </c>
      <c r="B46" s="151" t="s">
        <v>136</v>
      </c>
      <c r="C46" s="150" t="s">
        <v>30</v>
      </c>
      <c r="D46" s="151" t="s">
        <v>139</v>
      </c>
      <c r="E46" s="151" t="s">
        <v>38</v>
      </c>
      <c r="F46" s="22" t="s">
        <v>140</v>
      </c>
      <c r="G46" s="22" t="s">
        <v>56</v>
      </c>
      <c r="H46" s="2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2" t="s">
        <v>132</v>
      </c>
      <c r="O46" s="2" t="s">
        <v>132</v>
      </c>
      <c r="P46" s="12"/>
      <c r="Q46" s="2"/>
      <c r="R46" s="13"/>
      <c r="S46" s="13"/>
      <c r="T46" s="13"/>
      <c r="U46" s="13"/>
      <c r="V46" s="13"/>
      <c r="W46" s="13"/>
      <c r="X46" s="2"/>
      <c r="Y46" s="2">
        <f ca="1">IFERROR(__xludf.DUMMYFUNCTION("INDEX(IMPORTRANGE(""1y0FWgjbB0gVlqn-q5LMJbGIsqOrzru4yowQz67dz2yc"", ""'APO'!BG3:BG139""),MATCH($D46,IMPORTRANGE(""1y0FWgjbB0gVlqn-q5LMJbGIsqOrzru4yowQz67dz2yc"", ""'APO'!D3:D139""),0))"),0)</f>
        <v>0</v>
      </c>
      <c r="Z46" s="2">
        <f ca="1">IFERROR(__xludf.DUMMYFUNCTION("INDEX(IMPORTRANGE(""1y0FWgjbB0gVlqn-q5LMJbGIsqOrzru4yowQz67dz2yc"", ""'APO'!BH3:BH139""),MATCH($D46,IMPORTRANGE(""1y0FWgjbB0gVlqn-q5LMJbGIsqOrzru4yowQz67dz2yc"", ""'APO'!D3:D139""),0))"),0)</f>
        <v>0</v>
      </c>
      <c r="AA46" s="2">
        <f ca="1">IFERROR(__xludf.DUMMYFUNCTION("INDEX(IMPORTRANGE(""1y0FWgjbB0gVlqn-q5LMJbGIsqOrzru4yowQz67dz2yc"", ""'APO'!BI3:BI139""),MATCH($D46,IMPORTRANGE(""1y0FWgjbB0gVlqn-q5LMJbGIsqOrzru4yowQz67dz2yc"", ""'APO'!D3:D139""),0))"),0)</f>
        <v>0</v>
      </c>
      <c r="AB46" s="2"/>
      <c r="AC46" s="2"/>
    </row>
    <row r="47" spans="1:29">
      <c r="A47" s="151" t="s">
        <v>119</v>
      </c>
      <c r="B47" s="151" t="s">
        <v>136</v>
      </c>
      <c r="C47" s="150" t="s">
        <v>30</v>
      </c>
      <c r="D47" s="151" t="s">
        <v>141</v>
      </c>
      <c r="E47" s="151" t="s">
        <v>38</v>
      </c>
      <c r="F47" s="22" t="s">
        <v>142</v>
      </c>
      <c r="G47" s="22" t="s">
        <v>56</v>
      </c>
      <c r="H47" s="2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2" t="s">
        <v>132</v>
      </c>
      <c r="O47" s="2" t="s">
        <v>132</v>
      </c>
      <c r="P47" s="12">
        <v>1</v>
      </c>
      <c r="Q47" s="2">
        <v>1</v>
      </c>
      <c r="R47" s="13"/>
      <c r="S47" s="13"/>
      <c r="T47" s="13"/>
      <c r="U47" s="13"/>
      <c r="V47" s="13"/>
      <c r="W47" s="13"/>
      <c r="X47" s="2">
        <v>0</v>
      </c>
      <c r="Y47" s="2">
        <f ca="1">IFERROR(__xludf.DUMMYFUNCTION("INDEX(IMPORTRANGE(""1y0FWgjbB0gVlqn-q5LMJbGIsqOrzru4yowQz67dz2yc"", ""'APO'!BG3:BG139""),MATCH($D47,IMPORTRANGE(""1y0FWgjbB0gVlqn-q5LMJbGIsqOrzru4yowQz67dz2yc"", ""'APO'!D3:D139""),0))"),0)</f>
        <v>0</v>
      </c>
      <c r="Z47" s="2">
        <f ca="1">IFERROR(__xludf.DUMMYFUNCTION("INDEX(IMPORTRANGE(""1y0FWgjbB0gVlqn-q5LMJbGIsqOrzru4yowQz67dz2yc"", ""'APO'!BH3:BH139""),MATCH($D47,IMPORTRANGE(""1y0FWgjbB0gVlqn-q5LMJbGIsqOrzru4yowQz67dz2yc"", ""'APO'!D3:D139""),0))"),0)</f>
        <v>0</v>
      </c>
      <c r="AA47" s="2">
        <f ca="1">IFERROR(__xludf.DUMMYFUNCTION("INDEX(IMPORTRANGE(""1y0FWgjbB0gVlqn-q5LMJbGIsqOrzru4yowQz67dz2yc"", ""'APO'!BI3:BI139""),MATCH($D47,IMPORTRANGE(""1y0FWgjbB0gVlqn-q5LMJbGIsqOrzru4yowQz67dz2yc"", ""'APO'!D3:D139""),0))"),1)</f>
        <v>1</v>
      </c>
      <c r="AB47" s="2"/>
      <c r="AC47" s="2"/>
    </row>
    <row r="48" spans="1:29">
      <c r="A48" s="151" t="s">
        <v>119</v>
      </c>
      <c r="B48" s="151" t="s">
        <v>136</v>
      </c>
      <c r="C48" s="150" t="s">
        <v>30</v>
      </c>
      <c r="D48" s="151" t="s">
        <v>143</v>
      </c>
      <c r="E48" s="151" t="s">
        <v>38</v>
      </c>
      <c r="F48" s="22" t="s">
        <v>144</v>
      </c>
      <c r="G48" s="22" t="s">
        <v>56</v>
      </c>
      <c r="H48" s="2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2" t="s">
        <v>132</v>
      </c>
      <c r="O48" s="2" t="s">
        <v>132</v>
      </c>
      <c r="P48" s="12"/>
      <c r="Q48" s="12"/>
      <c r="R48" s="13"/>
      <c r="S48" s="13"/>
      <c r="T48" s="13"/>
      <c r="U48" s="13"/>
      <c r="V48" s="13"/>
      <c r="W48" s="13"/>
      <c r="X48" s="12"/>
      <c r="Y48" s="2">
        <f ca="1">IFERROR(__xludf.DUMMYFUNCTION("INDEX(IMPORTRANGE(""1y0FWgjbB0gVlqn-q5LMJbGIsqOrzru4yowQz67dz2yc"", ""'APO'!BG3:BG139""),MATCH($D48,IMPORTRANGE(""1y0FWgjbB0gVlqn-q5LMJbGIsqOrzru4yowQz67dz2yc"", ""'APO'!D3:D139""),0))"),0)</f>
        <v>0</v>
      </c>
      <c r="Z48" s="2">
        <f ca="1">IFERROR(__xludf.DUMMYFUNCTION("INDEX(IMPORTRANGE(""1y0FWgjbB0gVlqn-q5LMJbGIsqOrzru4yowQz67dz2yc"", ""'APO'!BH3:BH139""),MATCH($D48,IMPORTRANGE(""1y0FWgjbB0gVlqn-q5LMJbGIsqOrzru4yowQz67dz2yc"", ""'APO'!D3:D139""),0))"),0)</f>
        <v>0</v>
      </c>
      <c r="AA48" s="2">
        <f ca="1">IFERROR(__xludf.DUMMYFUNCTION("INDEX(IMPORTRANGE(""1y0FWgjbB0gVlqn-q5LMJbGIsqOrzru4yowQz67dz2yc"", ""'APO'!BI3:BI139""),MATCH($D48,IMPORTRANGE(""1y0FWgjbB0gVlqn-q5LMJbGIsqOrzru4yowQz67dz2yc"", ""'APO'!D3:D139""),0))"),0)</f>
        <v>0</v>
      </c>
      <c r="AB48" s="2"/>
      <c r="AC48" s="2"/>
    </row>
    <row r="49" spans="1:29">
      <c r="A49" s="151" t="s">
        <v>119</v>
      </c>
      <c r="B49" s="151" t="s">
        <v>136</v>
      </c>
      <c r="C49" s="150" t="s">
        <v>36</v>
      </c>
      <c r="D49" s="151" t="s">
        <v>145</v>
      </c>
      <c r="E49" s="151" t="s">
        <v>38</v>
      </c>
      <c r="F49" s="22" t="s">
        <v>146</v>
      </c>
      <c r="G49" s="22" t="s">
        <v>56</v>
      </c>
      <c r="H49" s="2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2" t="s">
        <v>132</v>
      </c>
      <c r="O49" s="2" t="s">
        <v>132</v>
      </c>
      <c r="P49" s="12">
        <f t="shared" ref="P49:Q49" si="12">P45+P47</f>
        <v>1</v>
      </c>
      <c r="Q49" s="12">
        <f t="shared" si="12"/>
        <v>1</v>
      </c>
      <c r="R49" s="29">
        <v>11</v>
      </c>
      <c r="S49" s="29">
        <f>5+R49</f>
        <v>16</v>
      </c>
      <c r="T49" s="29">
        <f>S49+5</f>
        <v>21</v>
      </c>
      <c r="U49" s="29">
        <f>5+T49</f>
        <v>26</v>
      </c>
      <c r="V49" s="29">
        <f>U49+6</f>
        <v>32</v>
      </c>
      <c r="W49" s="2">
        <v>32</v>
      </c>
      <c r="X49" s="12">
        <f>X45+X47</f>
        <v>2</v>
      </c>
      <c r="Y49" s="2">
        <f ca="1">IFERROR(__xludf.DUMMYFUNCTION("INDEX(IMPORTRANGE(""1y0FWgjbB0gVlqn-q5LMJbGIsqOrzru4yowQz67dz2yc"", ""'APO'!BG3:BG139""),MATCH($D49,IMPORTRANGE(""1y0FWgjbB0gVlqn-q5LMJbGIsqOrzru4yowQz67dz2yc"", ""'APO'!D3:D139""),0))"),6)</f>
        <v>6</v>
      </c>
      <c r="Z49" s="2">
        <f ca="1">IFERROR(__xludf.DUMMYFUNCTION("INDEX(IMPORTRANGE(""1y0FWgjbB0gVlqn-q5LMJbGIsqOrzru4yowQz67dz2yc"", ""'APO'!BH3:BH139""),MATCH($D49,IMPORTRANGE(""1y0FWgjbB0gVlqn-q5LMJbGIsqOrzru4yowQz67dz2yc"", ""'APO'!D3:D139""),0))"),9)</f>
        <v>9</v>
      </c>
      <c r="AA49" s="2">
        <f ca="1">IFERROR(__xludf.DUMMYFUNCTION("INDEX(IMPORTRANGE(""1y0FWgjbB0gVlqn-q5LMJbGIsqOrzru4yowQz67dz2yc"", ""'APO'!BI3:BI139""),MATCH($D49,IMPORTRANGE(""1y0FWgjbB0gVlqn-q5LMJbGIsqOrzru4yowQz67dz2yc"", ""'APO'!D3:D139""),0))"),10)</f>
        <v>10</v>
      </c>
      <c r="AB49" s="2"/>
      <c r="AC49" s="2"/>
    </row>
    <row r="50" spans="1:29">
      <c r="A50" s="149" t="s">
        <v>147</v>
      </c>
      <c r="B50" s="149" t="s">
        <v>148</v>
      </c>
      <c r="C50" s="148" t="s">
        <v>30</v>
      </c>
      <c r="D50" s="149" t="s">
        <v>149</v>
      </c>
      <c r="E50" s="149" t="s">
        <v>38</v>
      </c>
      <c r="F50" s="2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150</v>
      </c>
      <c r="Q50" s="2" t="s">
        <v>150</v>
      </c>
      <c r="R50" s="2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""'APO'!BG3:BG139""),MATCH($D50,IMPORTRANGE(""1y0FWgjbB0gVlqn-q5LMJbGIsqOrzru4yowQz67dz2yc"", ""'APO'!D3:D139""),0))"),"Sí")</f>
        <v>Sí</v>
      </c>
      <c r="Z50" s="2" t="str">
        <f ca="1">IFERROR(__xludf.DUMMYFUNCTION("INDEX(IMPORTRANGE(""1y0FWgjbB0gVlqn-q5LMJbGIsqOrzru4yowQz67dz2yc"", ""'APO'!BH3:BH139""),MATCH($D50,IMPORTRANGE(""1y0FWgjbB0gVlqn-q5LMJbGIsqOrzru4yowQz67dz2yc"", ""'APO'!D3:D139""),0))"),"Sí")</f>
        <v>Sí</v>
      </c>
      <c r="AA50" s="2" t="str">
        <f ca="1">IFERROR(__xludf.DUMMYFUNCTION("INDEX(IMPORTRANGE(""1y0FWgjbB0gVlqn-q5LMJbGIsqOrzru4yowQz67dz2yc"", ""'APO'!BI3:BI139""),MATCH($D50,IMPORTRANGE(""1y0FWgjbB0gVlqn-q5LMJbGIsqOrzru4yowQz67dz2yc"", ""'APO'!D3:D139""),0))"),"Sí")</f>
        <v>Sí</v>
      </c>
      <c r="AB50" s="2"/>
      <c r="AC50" s="2"/>
    </row>
    <row r="51" spans="1:29">
      <c r="A51" s="149" t="s">
        <v>147</v>
      </c>
      <c r="B51" s="149" t="s">
        <v>148</v>
      </c>
      <c r="C51" s="148" t="s">
        <v>30</v>
      </c>
      <c r="D51" s="149" t="s">
        <v>152</v>
      </c>
      <c r="E51" s="149" t="s">
        <v>38</v>
      </c>
      <c r="F51" s="2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 t="s">
        <v>153</v>
      </c>
      <c r="Q51" s="2" t="s">
        <v>153</v>
      </c>
      <c r="R51" s="2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153</v>
      </c>
      <c r="Y51" s="2" t="str">
        <f ca="1">IFERROR(__xludf.DUMMYFUNCTION("INDEX(IMPORTRANGE(""1y0FWgjbB0gVlqn-q5LMJbGIsqOrzru4yowQz67dz2yc"", ""'APO'!BG3:BG139""),MATCH($D51,IMPORTRANGE(""1y0FWgjbB0gVlqn-q5LMJbGIsqOrzru4yowQz67dz2yc"", ""'APO'!D3:D139""),0))"),"Sí")</f>
        <v>Sí</v>
      </c>
      <c r="Z51" s="2" t="str">
        <f ca="1">IFERROR(__xludf.DUMMYFUNCTION("INDEX(IMPORTRANGE(""1y0FWgjbB0gVlqn-q5LMJbGIsqOrzru4yowQz67dz2yc"", ""'APO'!BH3:BH139""),MATCH($D51,IMPORTRANGE(""1y0FWgjbB0gVlqn-q5LMJbGIsqOrzru4yowQz67dz2yc"", ""'APO'!D3:D139""),0))"),"Sí")</f>
        <v>Sí</v>
      </c>
      <c r="AA51" s="2" t="str">
        <f ca="1">IFERROR(__xludf.DUMMYFUNCTION("INDEX(IMPORTRANGE(""1y0FWgjbB0gVlqn-q5LMJbGIsqOrzru4yowQz67dz2yc"", ""'APO'!BI3:BI139""),MATCH($D51,IMPORTRANGE(""1y0FWgjbB0gVlqn-q5LMJbGIsqOrzru4yowQz67dz2yc"", ""'APO'!D3:D139""),0))"),"Sí")</f>
        <v>Sí</v>
      </c>
      <c r="AB51" s="2"/>
      <c r="AC51" s="2"/>
    </row>
    <row r="52" spans="1:29">
      <c r="A52" s="149" t="s">
        <v>147</v>
      </c>
      <c r="B52" s="149" t="s">
        <v>148</v>
      </c>
      <c r="C52" s="148" t="s">
        <v>30</v>
      </c>
      <c r="D52" s="149" t="s">
        <v>154</v>
      </c>
      <c r="E52" s="149" t="s">
        <v>38</v>
      </c>
      <c r="F52" s="2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 t="s">
        <v>153</v>
      </c>
      <c r="Q52" s="2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153</v>
      </c>
      <c r="Y52" s="2" t="str">
        <f ca="1">IFERROR(__xludf.DUMMYFUNCTION("INDEX(IMPORTRANGE(""1y0FWgjbB0gVlqn-q5LMJbGIsqOrzru4yowQz67dz2yc"", ""'APO'!BG3:BG139""),MATCH($D52,IMPORTRANGE(""1y0FWgjbB0gVlqn-q5LMJbGIsqOrzru4yowQz67dz2yc"", ""'APO'!D3:D139""),0))"),"Sí")</f>
        <v>Sí</v>
      </c>
      <c r="Z52" s="2" t="str">
        <f ca="1">IFERROR(__xludf.DUMMYFUNCTION("INDEX(IMPORTRANGE(""1y0FWgjbB0gVlqn-q5LMJbGIsqOrzru4yowQz67dz2yc"", ""'APO'!BH3:BH139""),MATCH($D52,IMPORTRANGE(""1y0FWgjbB0gVlqn-q5LMJbGIsqOrzru4yowQz67dz2yc"", ""'APO'!D3:D139""),0))"),"Sí")</f>
        <v>Sí</v>
      </c>
      <c r="AA52" s="2" t="str">
        <f ca="1">IFERROR(__xludf.DUMMYFUNCTION("INDEX(IMPORTRANGE(""1y0FWgjbB0gVlqn-q5LMJbGIsqOrzru4yowQz67dz2yc"", ""'APO'!BI3:BI139""),MATCH($D52,IMPORTRANGE(""1y0FWgjbB0gVlqn-q5LMJbGIsqOrzru4yowQz67dz2yc"", ""'APO'!D3:D139""),0))"),"Sí")</f>
        <v>Sí</v>
      </c>
      <c r="AB52" s="2"/>
      <c r="AC52" s="2"/>
    </row>
    <row r="53" spans="1:29">
      <c r="A53" s="149" t="s">
        <v>147</v>
      </c>
      <c r="B53" s="149" t="s">
        <v>148</v>
      </c>
      <c r="C53" s="148" t="s">
        <v>36</v>
      </c>
      <c r="D53" s="149" t="s">
        <v>156</v>
      </c>
      <c r="E53" s="149" t="s">
        <v>38</v>
      </c>
      <c r="F53" s="2"/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30">
        <f t="shared" ref="P53:Q53" si="13">COUNTIF(P50:P52,"Sí")*(1/3)</f>
        <v>0.66666666666666663</v>
      </c>
      <c r="Q53" s="30">
        <f t="shared" si="13"/>
        <v>0.66666666666666663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30">
        <f>COUNTIF(X50:X52,"Sí")*(1/3)</f>
        <v>0.66666666666666663</v>
      </c>
      <c r="Y53" s="2">
        <f ca="1">IFERROR(__xludf.DUMMYFUNCTION("INDEX(IMPORTRANGE(""1y0FWgjbB0gVlqn-q5LMJbGIsqOrzru4yowQz67dz2yc"", ""'APO'!BG3:BG139""),MATCH($D53,IMPORTRANGE(""1y0FWgjbB0gVlqn-q5LMJbGIsqOrzru4yowQz67dz2yc"", ""'APO'!D3:D139""),0))"),1)</f>
        <v>1</v>
      </c>
      <c r="Z53" s="2">
        <f ca="1">IFERROR(__xludf.DUMMYFUNCTION("INDEX(IMPORTRANGE(""1y0FWgjbB0gVlqn-q5LMJbGIsqOrzru4yowQz67dz2yc"", ""'APO'!BH3:BH139""),MATCH($D53,IMPORTRANGE(""1y0FWgjbB0gVlqn-q5LMJbGIsqOrzru4yowQz67dz2yc"", ""'APO'!D3:D139""),0))"),1)</f>
        <v>1</v>
      </c>
      <c r="AA53" s="2">
        <f ca="1">IFERROR(__xludf.DUMMYFUNCTION("INDEX(IMPORTRANGE(""1y0FWgjbB0gVlqn-q5LMJbGIsqOrzru4yowQz67dz2yc"", ""'APO'!BI3:BI139""),MATCH($D53,IMPORTRANGE(""1y0FWgjbB0gVlqn-q5LMJbGIsqOrzru4yowQz67dz2yc"", ""'APO'!D3:D139""),0))"),1)</f>
        <v>1</v>
      </c>
      <c r="AB53" s="2"/>
      <c r="AC53" s="2"/>
    </row>
    <row r="54" spans="1:29">
      <c r="A54" s="149" t="s">
        <v>147</v>
      </c>
      <c r="B54" s="149" t="s">
        <v>148</v>
      </c>
      <c r="C54" s="148" t="s">
        <v>36</v>
      </c>
      <c r="D54" s="149" t="s">
        <v>351</v>
      </c>
      <c r="E54" s="149" t="s">
        <v>38</v>
      </c>
      <c r="F54" s="2"/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1</v>
      </c>
      <c r="Y54" s="2">
        <f ca="1">IFERROR(__xludf.DUMMYFUNCTION("INDEX(IMPORTRANGE(""1y0FWgjbB0gVlqn-q5LMJbGIsqOrzru4yowQz67dz2yc"", ""'APO'!BG3:BG139""),MATCH($D54,IMPORTRANGE(""1y0FWgjbB0gVlqn-q5LMJbGIsqOrzru4yowQz67dz2yc"", ""'APO'!D3:D139""),0))"),1)</f>
        <v>1</v>
      </c>
      <c r="Z54" s="2">
        <f ca="1">IFERROR(__xludf.DUMMYFUNCTION("INDEX(IMPORTRANGE(""1y0FWgjbB0gVlqn-q5LMJbGIsqOrzru4yowQz67dz2yc"", ""'APO'!BH3:BH139""),MATCH($D54,IMPORTRANGE(""1y0FWgjbB0gVlqn-q5LMJbGIsqOrzru4yowQz67dz2yc"", ""'APO'!D3:D139""),0))"),1)</f>
        <v>1</v>
      </c>
      <c r="AA54" s="2">
        <f ca="1">IFERROR(__xludf.DUMMYFUNCTION("INDEX(IMPORTRANGE(""1y0FWgjbB0gVlqn-q5LMJbGIsqOrzru4yowQz67dz2yc"", ""'APO'!BI3:BI139""),MATCH($D54,IMPORTRANGE(""1y0FWgjbB0gVlqn-q5LMJbGIsqOrzru4yowQz67dz2yc"", ""'APO'!D3:D139""),0))"),1)</f>
        <v>1</v>
      </c>
      <c r="AB54" s="2"/>
      <c r="AC54" s="2"/>
    </row>
    <row r="55" spans="1:29">
      <c r="A55" s="149" t="s">
        <v>147</v>
      </c>
      <c r="B55" s="149" t="s">
        <v>148</v>
      </c>
      <c r="C55" s="148" t="s">
        <v>30</v>
      </c>
      <c r="D55" s="149" t="s">
        <v>162</v>
      </c>
      <c r="E55" s="149" t="s">
        <v>38</v>
      </c>
      <c r="F55" s="2" t="s">
        <v>163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</v>
      </c>
      <c r="Q55" s="12">
        <v>1</v>
      </c>
      <c r="R55" s="13"/>
      <c r="S55" s="13"/>
      <c r="T55" s="13"/>
      <c r="U55" s="13"/>
      <c r="V55" s="13"/>
      <c r="W55" s="13"/>
      <c r="X55" s="12">
        <v>2</v>
      </c>
      <c r="Y55" s="2">
        <f ca="1">IFERROR(__xludf.DUMMYFUNCTION("INDEX(IMPORTRANGE(""1y0FWgjbB0gVlqn-q5LMJbGIsqOrzru4yowQz67dz2yc"", ""'APO'!BG3:BG139""),MATCH($D55,IMPORTRANGE(""1y0FWgjbB0gVlqn-q5LMJbGIsqOrzru4yowQz67dz2yc"", ""'APO'!D3:D139""),0))"),2)</f>
        <v>2</v>
      </c>
      <c r="Z55" s="2">
        <f ca="1">IFERROR(__xludf.DUMMYFUNCTION("INDEX(IMPORTRANGE(""1y0FWgjbB0gVlqn-q5LMJbGIsqOrzru4yowQz67dz2yc"", ""'APO'!BH3:BH139""),MATCH($D55,IMPORTRANGE(""1y0FWgjbB0gVlqn-q5LMJbGIsqOrzru4yowQz67dz2yc"", ""'APO'!D3:D139""),0))"),2)</f>
        <v>2</v>
      </c>
      <c r="AA55" s="2">
        <f ca="1">IFERROR(__xludf.DUMMYFUNCTION("INDEX(IMPORTRANGE(""1y0FWgjbB0gVlqn-q5LMJbGIsqOrzru4yowQz67dz2yc"", ""'APO'!BI3:BI139""),MATCH($D55,IMPORTRANGE(""1y0FWgjbB0gVlqn-q5LMJbGIsqOrzru4yowQz67dz2yc"", ""'APO'!D3:D139""),0))"),2)</f>
        <v>2</v>
      </c>
      <c r="AB55" s="2"/>
      <c r="AC55" s="2"/>
    </row>
    <row r="56" spans="1:29">
      <c r="A56" s="149" t="s">
        <v>147</v>
      </c>
      <c r="B56" s="149" t="s">
        <v>148</v>
      </c>
      <c r="C56" s="148" t="s">
        <v>30</v>
      </c>
      <c r="D56" s="149" t="s">
        <v>164</v>
      </c>
      <c r="E56" s="149" t="s">
        <v>38</v>
      </c>
      <c r="F56" s="2" t="s">
        <v>165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13"/>
      <c r="X56" s="12">
        <v>1</v>
      </c>
      <c r="Y56" s="2">
        <f ca="1">IFERROR(__xludf.DUMMYFUNCTION("INDEX(IMPORTRANGE(""1y0FWgjbB0gVlqn-q5LMJbGIsqOrzru4yowQz67dz2yc"", ""'APO'!BG3:BG139""),MATCH($D56,IMPORTRANGE(""1y0FWgjbB0gVlqn-q5LMJbGIsqOrzru4yowQz67dz2yc"", ""'APO'!D3:D139""),0))"),0)</f>
        <v>0</v>
      </c>
      <c r="Z56" s="2">
        <f ca="1">IFERROR(__xludf.DUMMYFUNCTION("INDEX(IMPORTRANGE(""1y0FWgjbB0gVlqn-q5LMJbGIsqOrzru4yowQz67dz2yc"", ""'APO'!BH3:BH139""),MATCH($D56,IMPORTRANGE(""1y0FWgjbB0gVlqn-q5LMJbGIsqOrzru4yowQz67dz2yc"", ""'APO'!D3:D139""),0))"),0)</f>
        <v>0</v>
      </c>
      <c r="AA56" s="2">
        <f ca="1">IFERROR(__xludf.DUMMYFUNCTION("INDEX(IMPORTRANGE(""1y0FWgjbB0gVlqn-q5LMJbGIsqOrzru4yowQz67dz2yc"", ""'APO'!BI3:BI139""),MATCH($D56,IMPORTRANGE(""1y0FWgjbB0gVlqn-q5LMJbGIsqOrzru4yowQz67dz2yc"", ""'APO'!D3:D139""),0))"),0)</f>
        <v>0</v>
      </c>
      <c r="AB56" s="2"/>
      <c r="AC56" s="2"/>
    </row>
    <row r="57" spans="1:29">
      <c r="A57" s="149" t="s">
        <v>147</v>
      </c>
      <c r="B57" s="149" t="s">
        <v>148</v>
      </c>
      <c r="C57" s="148" t="s">
        <v>36</v>
      </c>
      <c r="D57" s="149" t="s">
        <v>166</v>
      </c>
      <c r="E57" s="149" t="s">
        <v>38</v>
      </c>
      <c r="F57" s="2" t="s">
        <v>167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4">
        <f t="shared" ref="P57:Q57" si="14">P56/P55</f>
        <v>0</v>
      </c>
      <c r="Q57" s="14">
        <f t="shared" si="14"/>
        <v>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0.5</v>
      </c>
      <c r="Y57" s="15">
        <f ca="1">IFERROR(__xludf.DUMMYFUNCTION("INDEX(IMPORTRANGE(""1y0FWgjbB0gVlqn-q5LMJbGIsqOrzru4yowQz67dz2yc"", ""'APO'!BG3:BG139""),MATCH($D57,IMPORTRANGE(""1y0FWgjbB0gVlqn-q5LMJbGIsqOrzru4yowQz67dz2yc"", ""'APO'!D3:D139""),0))"),0)</f>
        <v>0</v>
      </c>
      <c r="Z57" s="15">
        <f ca="1">IFERROR(__xludf.DUMMYFUNCTION("INDEX(IMPORTRANGE(""1y0FWgjbB0gVlqn-q5LMJbGIsqOrzru4yowQz67dz2yc"", ""'APO'!BH3:BH139""),MATCH($D57,IMPORTRANGE(""1y0FWgjbB0gVlqn-q5LMJbGIsqOrzru4yowQz67dz2yc"", ""'APO'!D3:D139""),0))"),0)</f>
        <v>0</v>
      </c>
      <c r="AA57" s="15">
        <f ca="1">IFERROR(__xludf.DUMMYFUNCTION("INDEX(IMPORTRANGE(""1y0FWgjbB0gVlqn-q5LMJbGIsqOrzru4yowQz67dz2yc"", ""'APO'!BI3:BI139""),MATCH($D57,IMPORTRANGE(""1y0FWgjbB0gVlqn-q5LMJbGIsqOrzru4yowQz67dz2yc"", ""'APO'!D3:D139""),0))"),0)</f>
        <v>0</v>
      </c>
      <c r="AB57" s="15"/>
      <c r="AC57" s="15"/>
    </row>
    <row r="58" spans="1:29">
      <c r="A58" s="149" t="s">
        <v>147</v>
      </c>
      <c r="B58" s="149" t="s">
        <v>168</v>
      </c>
      <c r="C58" s="148" t="s">
        <v>30</v>
      </c>
      <c r="D58" s="149" t="s">
        <v>169</v>
      </c>
      <c r="E58" s="149" t="s">
        <v>38</v>
      </c>
      <c r="F58" s="2" t="s">
        <v>170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52390</v>
      </c>
      <c r="Q58" s="12">
        <v>52390</v>
      </c>
      <c r="R58" s="13"/>
      <c r="S58" s="13"/>
      <c r="T58" s="13"/>
      <c r="U58" s="13"/>
      <c r="V58" s="13"/>
      <c r="W58" s="13"/>
      <c r="X58" s="12">
        <v>52800</v>
      </c>
      <c r="Y58" s="12">
        <f ca="1">IFERROR(__xludf.DUMMYFUNCTION("INDEX(IMPORTRANGE(""1y0FWgjbB0gVlqn-q5LMJbGIsqOrzru4yowQz67dz2yc"", ""'APO'!BG3:BG139""),MATCH($D58,IMPORTRANGE(""1y0FWgjbB0gVlqn-q5LMJbGIsqOrzru4yowQz67dz2yc"", ""'APO'!D3:D139""),0))"),53950)</f>
        <v>53950</v>
      </c>
      <c r="Z58" s="12">
        <f ca="1">IFERROR(__xludf.DUMMYFUNCTION("INDEX(IMPORTRANGE(""1y0FWgjbB0gVlqn-q5LMJbGIsqOrzru4yowQz67dz2yc"", ""'APO'!BH3:BH139""),MATCH($D58,IMPORTRANGE(""1y0FWgjbB0gVlqn-q5LMJbGIsqOrzru4yowQz67dz2yc"", ""'APO'!D3:D139""),0))"),54080)</f>
        <v>54080</v>
      </c>
      <c r="AA58" s="12">
        <f ca="1">IFERROR(__xludf.DUMMYFUNCTION("INDEX(IMPORTRANGE(""1y0FWgjbB0gVlqn-q5LMJbGIsqOrzru4yowQz67dz2yc"", ""'APO'!BI3:BI139""),MATCH($D58,IMPORTRANGE(""1y0FWgjbB0gVlqn-q5LMJbGIsqOrzru4yowQz67dz2yc"", ""'APO'!D3:D139""),0))"),54170)</f>
        <v>54170</v>
      </c>
      <c r="AB58" s="12"/>
      <c r="AC58" s="12"/>
    </row>
    <row r="59" spans="1:29">
      <c r="A59" s="149" t="s">
        <v>147</v>
      </c>
      <c r="B59" s="149" t="s">
        <v>168</v>
      </c>
      <c r="C59" s="148" t="s">
        <v>30</v>
      </c>
      <c r="D59" s="149" t="s">
        <v>171</v>
      </c>
      <c r="E59" s="149" t="s">
        <v>38</v>
      </c>
      <c r="F59" s="2" t="s">
        <v>172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52500</v>
      </c>
      <c r="Q59" s="12">
        <v>52500</v>
      </c>
      <c r="R59" s="13"/>
      <c r="S59" s="13"/>
      <c r="T59" s="13"/>
      <c r="U59" s="13"/>
      <c r="V59" s="13"/>
      <c r="W59" s="13"/>
      <c r="X59" s="12">
        <v>53200</v>
      </c>
      <c r="Y59" s="12">
        <f ca="1">IFERROR(__xludf.DUMMYFUNCTION("INDEX(IMPORTRANGE(""1y0FWgjbB0gVlqn-q5LMJbGIsqOrzru4yowQz67dz2yc"", ""'APO'!BG3:BG139""),MATCH($D59,IMPORTRANGE(""1y0FWgjbB0gVlqn-q5LMJbGIsqOrzru4yowQz67dz2yc"", ""'APO'!D3:D139""),0))"),54800)</f>
        <v>54800</v>
      </c>
      <c r="Z59" s="12">
        <f ca="1">IFERROR(__xludf.DUMMYFUNCTION("INDEX(IMPORTRANGE(""1y0FWgjbB0gVlqn-q5LMJbGIsqOrzru4yowQz67dz2yc"", ""'APO'!BH3:BH139""),MATCH($D59,IMPORTRANGE(""1y0FWgjbB0gVlqn-q5LMJbGIsqOrzru4yowQz67dz2yc"", ""'APO'!D3:D139""),0))"),55100)</f>
        <v>55100</v>
      </c>
      <c r="AA59" s="12">
        <f ca="1">IFERROR(__xludf.DUMMYFUNCTION("INDEX(IMPORTRANGE(""1y0FWgjbB0gVlqn-q5LMJbGIsqOrzru4yowQz67dz2yc"", ""'APO'!BI3:BI139""),MATCH($D59,IMPORTRANGE(""1y0FWgjbB0gVlqn-q5LMJbGIsqOrzru4yowQz67dz2yc"", ""'APO'!D3:D139""),0))"),55225)</f>
        <v>55225</v>
      </c>
      <c r="AB59" s="12"/>
      <c r="AC59" s="12"/>
    </row>
    <row r="60" spans="1:29">
      <c r="A60" s="149" t="s">
        <v>147</v>
      </c>
      <c r="B60" s="149" t="s">
        <v>168</v>
      </c>
      <c r="C60" s="148" t="s">
        <v>36</v>
      </c>
      <c r="D60" s="149" t="s">
        <v>173</v>
      </c>
      <c r="E60" s="149" t="s">
        <v>38</v>
      </c>
      <c r="F60" s="2" t="s">
        <v>174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5">P58/P59</f>
        <v>0.99790476190476185</v>
      </c>
      <c r="Q60" s="15">
        <f t="shared" si="15"/>
        <v>0.99790476190476185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0.99248120300751874</v>
      </c>
      <c r="Y60" s="15">
        <f ca="1">IFERROR(__xludf.DUMMYFUNCTION("INDEX(IMPORTRANGE(""1y0FWgjbB0gVlqn-q5LMJbGIsqOrzru4yowQz67dz2yc"", ""'APO'!BG3:BG139""),MATCH($D60,IMPORTRANGE(""1y0FWgjbB0gVlqn-q5LMJbGIsqOrzru4yowQz67dz2yc"", ""'APO'!D3:D139""),0))"),0.98448905109489)</f>
        <v>0.98448905109489004</v>
      </c>
      <c r="Z60" s="15">
        <f ca="1">IFERROR(__xludf.DUMMYFUNCTION("INDEX(IMPORTRANGE(""1y0FWgjbB0gVlqn-q5LMJbGIsqOrzru4yowQz67dz2yc"", ""'APO'!BH3:BH139""),MATCH($D60,IMPORTRANGE(""1y0FWgjbB0gVlqn-q5LMJbGIsqOrzru4yowQz67dz2yc"", ""'APO'!D3:D139""),0))"),0.981488203266787)</f>
        <v>0.98148820326678698</v>
      </c>
      <c r="AA60" s="15">
        <f ca="1">IFERROR(__xludf.DUMMYFUNCTION("INDEX(IMPORTRANGE(""1y0FWgjbB0gVlqn-q5LMJbGIsqOrzru4yowQz67dz2yc"", ""'APO'!BI3:BI139""),MATCH($D60,IMPORTRANGE(""1y0FWgjbB0gVlqn-q5LMJbGIsqOrzru4yowQz67dz2yc"", ""'APO'!D3:D139""),0))"),0.980896333182435)</f>
        <v>0.98089633318243497</v>
      </c>
      <c r="AB60" s="15"/>
      <c r="AC60" s="15"/>
    </row>
    <row r="61" spans="1:29">
      <c r="A61" s="149" t="s">
        <v>147</v>
      </c>
      <c r="B61" s="149" t="s">
        <v>168</v>
      </c>
      <c r="C61" s="148" t="s">
        <v>30</v>
      </c>
      <c r="D61" s="148" t="s">
        <v>175</v>
      </c>
      <c r="E61" s="149" t="s">
        <v>38</v>
      </c>
      <c r="F61" s="2" t="s">
        <v>176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208236</v>
      </c>
      <c r="Q61" s="12">
        <v>208236</v>
      </c>
      <c r="R61" s="13"/>
      <c r="S61" s="13"/>
      <c r="T61" s="13"/>
      <c r="U61" s="13"/>
      <c r="V61" s="13"/>
      <c r="W61" s="13"/>
      <c r="X61" s="12">
        <v>208236</v>
      </c>
      <c r="Y61" s="12">
        <f ca="1">IFERROR(__xludf.DUMMYFUNCTION("INDEX(IMPORTRANGE(""1y0FWgjbB0gVlqn-q5LMJbGIsqOrzru4yowQz67dz2yc"", ""'APO'!BG3:BG139""),MATCH($D61,IMPORTRANGE(""1y0FWgjbB0gVlqn-q5LMJbGIsqOrzru4yowQz67dz2yc"", ""'APO'!D3:D139""),0))"),211206)</f>
        <v>211206</v>
      </c>
      <c r="Z61" s="12">
        <f ca="1">IFERROR(__xludf.DUMMYFUNCTION("INDEX(IMPORTRANGE(""1y0FWgjbB0gVlqn-q5LMJbGIsqOrzru4yowQz67dz2yc"", ""'APO'!BH3:BH139""),MATCH($D61,IMPORTRANGE(""1y0FWgjbB0gVlqn-q5LMJbGIsqOrzru4yowQz67dz2yc"", ""'APO'!D3:D139""),0))"),212648)</f>
        <v>212648</v>
      </c>
      <c r="AA61" s="12">
        <f ca="1">IFERROR(__xludf.DUMMYFUNCTION("INDEX(IMPORTRANGE(""1y0FWgjbB0gVlqn-q5LMJbGIsqOrzru4yowQz67dz2yc"", ""'APO'!BI3:BI139""),MATCH($D61,IMPORTRANGE(""1y0FWgjbB0gVlqn-q5LMJbGIsqOrzru4yowQz67dz2yc"", ""'APO'!D3:D139""),0))"),213729)</f>
        <v>213729</v>
      </c>
      <c r="AB61" s="12"/>
      <c r="AC61" s="12"/>
    </row>
    <row r="62" spans="1:29">
      <c r="A62" s="149" t="s">
        <v>147</v>
      </c>
      <c r="B62" s="149" t="s">
        <v>168</v>
      </c>
      <c r="C62" s="148" t="s">
        <v>36</v>
      </c>
      <c r="D62" s="148" t="s">
        <v>177</v>
      </c>
      <c r="E62" s="149" t="s">
        <v>38</v>
      </c>
      <c r="F62" s="2" t="s">
        <v>178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4">
        <f t="shared" ref="P62:Q62" si="16">P61/P37</f>
        <v>1</v>
      </c>
      <c r="Q62" s="14">
        <f t="shared" si="16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4">
        <f>X61/X37</f>
        <v>1</v>
      </c>
      <c r="Y62" s="14">
        <f ca="1">IFERROR(__xludf.DUMMYFUNCTION("INDEX(IMPORTRANGE(""1y0FWgjbB0gVlqn-q5LMJbGIsqOrzru4yowQz67dz2yc"", ""'APO'!BG3:BG139""),MATCH($D62,IMPORTRANGE(""1y0FWgjbB0gVlqn-q5LMJbGIsqOrzru4yowQz67dz2yc"", ""'APO'!D3:D139""),0))"),1)</f>
        <v>1</v>
      </c>
      <c r="Z62" s="14">
        <f ca="1">IFERROR(__xludf.DUMMYFUNCTION("INDEX(IMPORTRANGE(""1y0FWgjbB0gVlqn-q5LMJbGIsqOrzru4yowQz67dz2yc"", ""'APO'!BH3:BH139""),MATCH($D62,IMPORTRANGE(""1y0FWgjbB0gVlqn-q5LMJbGIsqOrzru4yowQz67dz2yc"", ""'APO'!D3:D139""),0))"),1)</f>
        <v>1</v>
      </c>
      <c r="AA62" s="14">
        <f ca="1">IFERROR(__xludf.DUMMYFUNCTION("INDEX(IMPORTRANGE(""1y0FWgjbB0gVlqn-q5LMJbGIsqOrzru4yowQz67dz2yc"", ""'APO'!BI3:BI139""),MATCH($D62,IMPORTRANGE(""1y0FWgjbB0gVlqn-q5LMJbGIsqOrzru4yowQz67dz2yc"", ""'APO'!D3:D139""),0))"),1)</f>
        <v>1</v>
      </c>
      <c r="AB62" s="14"/>
      <c r="AC62" s="14"/>
    </row>
    <row r="63" spans="1:29">
      <c r="A63" s="149" t="s">
        <v>147</v>
      </c>
      <c r="B63" s="149" t="s">
        <v>168</v>
      </c>
      <c r="C63" s="148" t="s">
        <v>30</v>
      </c>
      <c r="D63" s="149" t="s">
        <v>179</v>
      </c>
      <c r="E63" s="149" t="s">
        <v>38</v>
      </c>
      <c r="F63" s="2" t="s">
        <v>180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518511</v>
      </c>
      <c r="Q63" s="12">
        <v>518511</v>
      </c>
      <c r="R63" s="13"/>
      <c r="S63" s="13"/>
      <c r="T63" s="13"/>
      <c r="U63" s="13"/>
      <c r="V63" s="13"/>
      <c r="W63" s="13"/>
      <c r="X63" s="12">
        <v>559131</v>
      </c>
      <c r="Y63" s="12">
        <f ca="1">IFERROR(__xludf.DUMMYFUNCTION("INDEX(IMPORTRANGE(""1y0FWgjbB0gVlqn-q5LMJbGIsqOrzru4yowQz67dz2yc"", ""'APO'!BG3:BG139""),MATCH($D63,IMPORTRANGE(""1y0FWgjbB0gVlqn-q5LMJbGIsqOrzru4yowQz67dz2yc"", ""'APO'!D3:D139""),0))"),620815)</f>
        <v>620815</v>
      </c>
      <c r="Z63" s="12">
        <f ca="1">IFERROR(__xludf.DUMMYFUNCTION("INDEX(IMPORTRANGE(""1y0FWgjbB0gVlqn-q5LMJbGIsqOrzru4yowQz67dz2yc"", ""'APO'!BH3:BH139""),MATCH($D63,IMPORTRANGE(""1y0FWgjbB0gVlqn-q5LMJbGIsqOrzru4yowQz67dz2yc"", ""'APO'!D3:D139""),0))"),679920)</f>
        <v>679920</v>
      </c>
      <c r="AA63" s="12">
        <f ca="1">IFERROR(__xludf.DUMMYFUNCTION("INDEX(IMPORTRANGE(""1y0FWgjbB0gVlqn-q5LMJbGIsqOrzru4yowQz67dz2yc"", ""'APO'!BI3:BI139""),MATCH($D63,IMPORTRANGE(""1y0FWgjbB0gVlqn-q5LMJbGIsqOrzru4yowQz67dz2yc"", ""'APO'!D3:D139""),0))"),812057)</f>
        <v>812057</v>
      </c>
      <c r="AB63" s="12"/>
      <c r="AC63" s="12"/>
    </row>
    <row r="64" spans="1:29">
      <c r="A64" s="149" t="s">
        <v>147</v>
      </c>
      <c r="B64" s="149" t="s">
        <v>168</v>
      </c>
      <c r="C64" s="148" t="s">
        <v>30</v>
      </c>
      <c r="D64" s="149" t="s">
        <v>181</v>
      </c>
      <c r="E64" s="149" t="s">
        <v>38</v>
      </c>
      <c r="F64" s="2" t="s">
        <v>182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987831</v>
      </c>
      <c r="Q64" s="12">
        <v>987831</v>
      </c>
      <c r="R64" s="13"/>
      <c r="S64" s="13"/>
      <c r="T64" s="13"/>
      <c r="U64" s="13"/>
      <c r="V64" s="13"/>
      <c r="W64" s="13"/>
      <c r="X64" s="12">
        <v>987831</v>
      </c>
      <c r="Y64" s="12">
        <f ca="1">IFERROR(__xludf.DUMMYFUNCTION("INDEX(IMPORTRANGE(""1y0FWgjbB0gVlqn-q5LMJbGIsqOrzru4yowQz67dz2yc"", ""'APO'!BG3:BG139""),MATCH($D64,IMPORTRANGE(""1y0FWgjbB0gVlqn-q5LMJbGIsqOrzru4yowQz67dz2yc"", ""'APO'!D3:D139""),0))"),1028451)</f>
        <v>1028451</v>
      </c>
      <c r="Z64" s="12">
        <f ca="1">IFERROR(__xludf.DUMMYFUNCTION("INDEX(IMPORTRANGE(""1y0FWgjbB0gVlqn-q5LMJbGIsqOrzru4yowQz67dz2yc"", ""'APO'!BH3:BH139""),MATCH($D64,IMPORTRANGE(""1y0FWgjbB0gVlqn-q5LMJbGIsqOrzru4yowQz67dz2yc"", ""'APO'!D3:D139""),0))"),1028546)</f>
        <v>1028546</v>
      </c>
      <c r="AA64" s="12">
        <f ca="1">IFERROR(__xludf.DUMMYFUNCTION("INDEX(IMPORTRANGE(""1y0FWgjbB0gVlqn-q5LMJbGIsqOrzru4yowQz67dz2yc"", ""'APO'!BI3:BI139""),MATCH($D64,IMPORTRANGE(""1y0FWgjbB0gVlqn-q5LMJbGIsqOrzru4yowQz67dz2yc"", ""'APO'!D3:D139""),0))"),1087556)</f>
        <v>1087556</v>
      </c>
      <c r="AB64" s="12"/>
      <c r="AC64" s="12"/>
    </row>
    <row r="65" spans="1:29">
      <c r="A65" s="149" t="s">
        <v>147</v>
      </c>
      <c r="B65" s="149" t="s">
        <v>168</v>
      </c>
      <c r="C65" s="148" t="s">
        <v>36</v>
      </c>
      <c r="D65" s="149" t="s">
        <v>183</v>
      </c>
      <c r="E65" s="149" t="s">
        <v>38</v>
      </c>
      <c r="F65" s="2" t="s">
        <v>184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7">P63/P64</f>
        <v>0.52489848972141995</v>
      </c>
      <c r="Q65" s="15">
        <f t="shared" si="17"/>
        <v>0.52489848972141995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0.56601888379692478</v>
      </c>
      <c r="Y65" s="15">
        <f ca="1">IFERROR(__xludf.DUMMYFUNCTION("INDEX(IMPORTRANGE(""1y0FWgjbB0gVlqn-q5LMJbGIsqOrzru4yowQz67dz2yc"", ""'APO'!BG3:BG139""),MATCH($D65,IMPORTRANGE(""1y0FWgjbB0gVlqn-q5LMJbGIsqOrzru4yowQz67dz2yc"", ""'APO'!D3:D139""),0))"),0.603640815167664)</f>
        <v>0.60364081516766399</v>
      </c>
      <c r="Z65" s="15">
        <f ca="1">IFERROR(__xludf.DUMMYFUNCTION("INDEX(IMPORTRANGE(""1y0FWgjbB0gVlqn-q5LMJbGIsqOrzru4yowQz67dz2yc"", ""'APO'!BH3:BH139""),MATCH($D65,IMPORTRANGE(""1y0FWgjbB0gVlqn-q5LMJbGIsqOrzru4yowQz67dz2yc"", ""'APO'!D3:D139""),0))"),0.661049675950322)</f>
        <v>0.66104967595032205</v>
      </c>
      <c r="AA65" s="15">
        <f ca="1">IFERROR(__xludf.DUMMYFUNCTION("INDEX(IMPORTRANGE(""1y0FWgjbB0gVlqn-q5LMJbGIsqOrzru4yowQz67dz2yc"", ""'APO'!BI3:BI139""),MATCH($D65,IMPORTRANGE(""1y0FWgjbB0gVlqn-q5LMJbGIsqOrzru4yowQz67dz2yc"", ""'APO'!D3:D139""),0))"),0.746680630698557)</f>
        <v>0.74668063069855695</v>
      </c>
      <c r="AB65" s="15"/>
      <c r="AC65" s="15"/>
    </row>
    <row r="66" spans="1:29">
      <c r="A66" s="149" t="s">
        <v>147</v>
      </c>
      <c r="B66" s="149" t="s">
        <v>168</v>
      </c>
      <c r="C66" s="148" t="s">
        <v>30</v>
      </c>
      <c r="D66" s="149" t="s">
        <v>185</v>
      </c>
      <c r="E66" s="149" t="s">
        <v>38</v>
      </c>
      <c r="F66" s="2" t="s">
        <v>186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22977</v>
      </c>
      <c r="Q66" s="12">
        <v>22977</v>
      </c>
      <c r="R66" s="13"/>
      <c r="S66" s="13"/>
      <c r="T66" s="13"/>
      <c r="U66" s="13"/>
      <c r="V66" s="13"/>
      <c r="W66" s="13"/>
      <c r="X66" s="12">
        <v>22977</v>
      </c>
      <c r="Y66" s="12">
        <f ca="1">IFERROR(__xludf.DUMMYFUNCTION("INDEX(IMPORTRANGE(""1y0FWgjbB0gVlqn-q5LMJbGIsqOrzru4yowQz67dz2yc"", ""'APO'!BG3:BG139""),MATCH($D66,IMPORTRANGE(""1y0FWgjbB0gVlqn-q5LMJbGIsqOrzru4yowQz67dz2yc"", ""'APO'!D3:D139""),0))"),23377)</f>
        <v>23377</v>
      </c>
      <c r="Z66" s="12">
        <f ca="1">IFERROR(__xludf.DUMMYFUNCTION("INDEX(IMPORTRANGE(""1y0FWgjbB0gVlqn-q5LMJbGIsqOrzru4yowQz67dz2yc"", ""'APO'!BH3:BH139""),MATCH($D66,IMPORTRANGE(""1y0FWgjbB0gVlqn-q5LMJbGIsqOrzru4yowQz67dz2yc"", ""'APO'!D3:D139""),0))"),23504.5)</f>
        <v>23504.5</v>
      </c>
      <c r="AA66" s="12">
        <f ca="1">IFERROR(__xludf.DUMMYFUNCTION("INDEX(IMPORTRANGE(""1y0FWgjbB0gVlqn-q5LMJbGIsqOrzru4yowQz67dz2yc"", ""'APO'!BI3:BI139""),MATCH($D66,IMPORTRANGE(""1y0FWgjbB0gVlqn-q5LMJbGIsqOrzru4yowQz67dz2yc"", ""'APO'!D3:D139""),0))"),24325)</f>
        <v>24325</v>
      </c>
      <c r="AB66" s="12"/>
      <c r="AC66" s="12"/>
    </row>
    <row r="67" spans="1:29">
      <c r="A67" s="149" t="s">
        <v>147</v>
      </c>
      <c r="B67" s="149" t="s">
        <v>168</v>
      </c>
      <c r="C67" s="148" t="s">
        <v>30</v>
      </c>
      <c r="D67" s="149" t="s">
        <v>187</v>
      </c>
      <c r="E67" s="149" t="s">
        <v>38</v>
      </c>
      <c r="F67" s="2" t="s">
        <v>188</v>
      </c>
      <c r="G67" s="10">
        <v>44469</v>
      </c>
      <c r="H67" s="10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32977</v>
      </c>
      <c r="Q67" s="12">
        <v>32977</v>
      </c>
      <c r="R67" s="13"/>
      <c r="S67" s="13"/>
      <c r="T67" s="13"/>
      <c r="U67" s="13"/>
      <c r="V67" s="13"/>
      <c r="W67" s="13"/>
      <c r="X67" s="12">
        <v>32977</v>
      </c>
      <c r="Y67" s="12">
        <f ca="1">IFERROR(__xludf.DUMMYFUNCTION("INDEX(IMPORTRANGE(""1y0FWgjbB0gVlqn-q5LMJbGIsqOrzru4yowQz67dz2yc"", ""'APO'!BG3:BG139""),MATCH($D67,IMPORTRANGE(""1y0FWgjbB0gVlqn-q5LMJbGIsqOrzru4yowQz67dz2yc"", ""'APO'!D3:D139""),0))"),32977)</f>
        <v>32977</v>
      </c>
      <c r="Z67" s="12">
        <f ca="1">IFERROR(__xludf.DUMMYFUNCTION("INDEX(IMPORTRANGE(""1y0FWgjbB0gVlqn-q5LMJbGIsqOrzru4yowQz67dz2yc"", ""'APO'!BH3:BH139""),MATCH($D67,IMPORTRANGE(""1y0FWgjbB0gVlqn-q5LMJbGIsqOrzru4yowQz67dz2yc"", ""'APO'!D3:D139""),0))"),32977)</f>
        <v>32977</v>
      </c>
      <c r="AA67" s="12">
        <f ca="1">IFERROR(__xludf.DUMMYFUNCTION("INDEX(IMPORTRANGE(""1y0FWgjbB0gVlqn-q5LMJbGIsqOrzru4yowQz67dz2yc"", ""'APO'!BI3:BI139""),MATCH($D67,IMPORTRANGE(""1y0FWgjbB0gVlqn-q5LMJbGIsqOrzru4yowQz67dz2yc"", ""'APO'!D3:D139""),0))"),32977)</f>
        <v>32977</v>
      </c>
      <c r="AB67" s="12"/>
      <c r="AC67" s="12"/>
    </row>
    <row r="68" spans="1:29">
      <c r="A68" s="149" t="s">
        <v>147</v>
      </c>
      <c r="B68" s="149" t="s">
        <v>168</v>
      </c>
      <c r="C68" s="148" t="s">
        <v>36</v>
      </c>
      <c r="D68" s="149" t="s">
        <v>189</v>
      </c>
      <c r="E68" s="149" t="s">
        <v>38</v>
      </c>
      <c r="F68" s="2" t="s">
        <v>190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8">P66/P67</f>
        <v>0.69675834672650638</v>
      </c>
      <c r="Q68" s="15">
        <f t="shared" si="18"/>
        <v>0.69675834672650638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0.69675834672650638</v>
      </c>
      <c r="Y68" s="15">
        <f ca="1">IFERROR(__xludf.DUMMYFUNCTION("INDEX(IMPORTRANGE(""1y0FWgjbB0gVlqn-q5LMJbGIsqOrzru4yowQz67dz2yc"", ""'APO'!BG3:BG139""),MATCH($D68,IMPORTRANGE(""1y0FWgjbB0gVlqn-q5LMJbGIsqOrzru4yowQz67dz2yc"", ""'APO'!D3:D139""),0))"),0.708888012857446)</f>
        <v>0.70888801285744596</v>
      </c>
      <c r="Z68" s="15">
        <f ca="1">IFERROR(__xludf.DUMMYFUNCTION("INDEX(IMPORTRANGE(""1y0FWgjbB0gVlqn-q5LMJbGIsqOrzru4yowQz67dz2yc"", ""'APO'!BH3:BH139""),MATCH($D68,IMPORTRANGE(""1y0FWgjbB0gVlqn-q5LMJbGIsqOrzru4yowQz67dz2yc"", ""'APO'!D3:D139""),0))"),0.712754343936683)</f>
        <v>0.71275434393668302</v>
      </c>
      <c r="AA68" s="15">
        <f ca="1">IFERROR(__xludf.DUMMYFUNCTION("INDEX(IMPORTRANGE(""1y0FWgjbB0gVlqn-q5LMJbGIsqOrzru4yowQz67dz2yc"", ""'APO'!BI3:BI139""),MATCH($D68,IMPORTRANGE(""1y0FWgjbB0gVlqn-q5LMJbGIsqOrzru4yowQz67dz2yc"", ""'APO'!D3:D139""),0))"),0.737635321587773)</f>
        <v>0.73763532158777301</v>
      </c>
      <c r="AB68" s="15"/>
      <c r="AC68" s="15"/>
    </row>
    <row r="69" spans="1:29">
      <c r="A69" s="149" t="s">
        <v>147</v>
      </c>
      <c r="B69" s="149" t="s">
        <v>168</v>
      </c>
      <c r="C69" s="148" t="s">
        <v>30</v>
      </c>
      <c r="D69" s="149" t="s">
        <v>191</v>
      </c>
      <c r="E69" s="149" t="s">
        <v>38</v>
      </c>
      <c r="F69" s="2" t="s">
        <v>192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2">
        <v>0</v>
      </c>
      <c r="Q69" s="24">
        <v>1.75</v>
      </c>
      <c r="R69" s="1"/>
      <c r="S69" s="1"/>
      <c r="T69" s="1"/>
      <c r="U69" s="1"/>
      <c r="V69" s="1"/>
      <c r="W69" s="1"/>
      <c r="X69" s="24">
        <v>10.209999999999999</v>
      </c>
      <c r="Y69" s="24">
        <f ca="1">IFERROR(__xludf.DUMMYFUNCTION("INDEX(IMPORTRANGE(""1y0FWgjbB0gVlqn-q5LMJbGIsqOrzru4yowQz67dz2yc"", ""'APO'!BG3:BG139""),MATCH($D69,IMPORTRANGE(""1y0FWgjbB0gVlqn-q5LMJbGIsqOrzru4yowQz67dz2yc"", ""'APO'!D3:D139""),0))"),19.81)</f>
        <v>19.809999999999999</v>
      </c>
      <c r="Z69" s="2">
        <f ca="1">IFERROR(__xludf.DUMMYFUNCTION("INDEX(IMPORTRANGE(""1y0FWgjbB0gVlqn-q5LMJbGIsqOrzru4yowQz67dz2yc"", ""'APO'!BH3:BH139""),MATCH($D69,IMPORTRANGE(""1y0FWgjbB0gVlqn-q5LMJbGIsqOrzru4yowQz67dz2yc"", ""'APO'!D3:D139""),0))"),7.1)</f>
        <v>7.1</v>
      </c>
      <c r="AA69" s="2">
        <f ca="1">IFERROR(__xludf.DUMMYFUNCTION("INDEX(IMPORTRANGE(""1y0FWgjbB0gVlqn-q5LMJbGIsqOrzru4yowQz67dz2yc"", ""'APO'!BI3:BI139""),MATCH($D69,IMPORTRANGE(""1y0FWgjbB0gVlqn-q5LMJbGIsqOrzru4yowQz67dz2yc"", ""'APO'!D3:D139""),0))"),14.2999999999999)</f>
        <v>14.299999999999899</v>
      </c>
      <c r="AB69" s="24"/>
      <c r="AC69" s="2"/>
    </row>
    <row r="70" spans="1:29">
      <c r="A70" s="149" t="s">
        <v>147</v>
      </c>
      <c r="B70" s="149" t="s">
        <v>168</v>
      </c>
      <c r="C70" s="148" t="s">
        <v>30</v>
      </c>
      <c r="D70" s="149" t="s">
        <v>193</v>
      </c>
      <c r="E70" s="149" t="s">
        <v>38</v>
      </c>
      <c r="F70" s="2" t="s">
        <v>194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2">
        <v>1.4</v>
      </c>
      <c r="R70" s="1"/>
      <c r="S70" s="1"/>
      <c r="T70" s="1"/>
      <c r="U70" s="1"/>
      <c r="V70" s="1"/>
      <c r="W70" s="1"/>
      <c r="X70" s="2">
        <v>8.4</v>
      </c>
      <c r="Y70" s="2">
        <f ca="1">IFERROR(__xludf.DUMMYFUNCTION("INDEX(IMPORTRANGE(""1y0FWgjbB0gVlqn-q5LMJbGIsqOrzru4yowQz67dz2yc"", ""'APO'!BG3:BG139""),MATCH($D70,IMPORTRANGE(""1y0FWgjbB0gVlqn-q5LMJbGIsqOrzru4yowQz67dz2yc"", ""'APO'!D3:D139""),0))"),8.4)</f>
        <v>8.4</v>
      </c>
      <c r="Z70" s="2">
        <f ca="1">IFERROR(__xludf.DUMMYFUNCTION("INDEX(IMPORTRANGE(""1y0FWgjbB0gVlqn-q5LMJbGIsqOrzru4yowQz67dz2yc"", ""'APO'!BH3:BH139""),MATCH($D70,IMPORTRANGE(""1y0FWgjbB0gVlqn-q5LMJbGIsqOrzru4yowQz67dz2yc"", ""'APO'!D3:D139""),0))"),0)</f>
        <v>0</v>
      </c>
      <c r="AA70" s="2">
        <f ca="1">IFERROR(__xludf.DUMMYFUNCTION("INDEX(IMPORTRANGE(""1y0FWgjbB0gVlqn-q5LMJbGIsqOrzru4yowQz67dz2yc"", ""'APO'!BI3:BI139""),MATCH($D70,IMPORTRANGE(""1y0FWgjbB0gVlqn-q5LMJbGIsqOrzru4yowQz67dz2yc"", ""'APO'!D3:D139""),0))"),0)</f>
        <v>0</v>
      </c>
      <c r="AB70" s="2"/>
      <c r="AC70" s="2"/>
    </row>
    <row r="71" spans="1:29">
      <c r="A71" s="149" t="s">
        <v>147</v>
      </c>
      <c r="B71" s="149" t="s">
        <v>168</v>
      </c>
      <c r="C71" s="148" t="s">
        <v>30</v>
      </c>
      <c r="D71" s="149" t="s">
        <v>195</v>
      </c>
      <c r="E71" s="149" t="s">
        <v>38</v>
      </c>
      <c r="F71" s="2" t="s">
        <v>196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13"/>
      <c r="S71" s="13"/>
      <c r="T71" s="13"/>
      <c r="U71" s="13"/>
      <c r="V71" s="13"/>
      <c r="W71" s="13"/>
      <c r="X71" s="12">
        <v>0</v>
      </c>
      <c r="Y71" s="2" t="str">
        <f ca="1">IFERROR(__xludf.DUMMYFUNCTION("INDEX(IMPORTRANGE(""1y0FWgjbB0gVlqn-q5LMJbGIsqOrzru4yowQz67dz2yc"", ""'APO'!BG3:BG139""),MATCH($D71,IMPORTRANGE(""1y0FWgjbB0gVlqn-q5LMJbGIsqOrzru4yowQz67dz2yc"", ""'APO'!D3:D139""),0))"),"")</f>
        <v/>
      </c>
      <c r="Z71" s="177" t="str">
        <f ca="1">IFERROR(__xludf.DUMMYFUNCTION("INDEX(IMPORTRANGE(""1y0FWgjbB0gVlqn-q5LMJbGIsqOrzru4yowQz67dz2yc"", ""'APO'!BH3:BH139""),MATCH($D71,IMPORTRANGE(""1y0FWgjbB0gVlqn-q5LMJbGIsqOrzru4yowQz67dz2yc"", ""'APO'!D3:D139""),0))"),"http://apodaca.gob.mx/dwfiles/_NuevaTransparencia_/informacion_interes/Alcalde%20Como%20Vamos/Servicios%20Publicos/PROGRAMA%20DE%20MANTENIMIENTO%20PREVENTIVO%20DRENAJES%20PLUVIALES%20DE%20APODACA%20NL.pdf")</f>
        <v>http://apodaca.gob.mx/dwfiles/_NuevaTransparencia_/informacion_interes/Alcalde%20Como%20Vamos/Servicios%20Publicos/PROGRAMA%20DE%20MANTENIMIENTO%20PREVENTIVO%20DRENAJES%20PLUVIALES%20DE%20APODACA%20NL.pdf</v>
      </c>
      <c r="AA71" s="2" t="str">
        <f ca="1">IFERROR(__xludf.DUMMYFUNCTION("INDEX(IMPORTRANGE(""1y0FWgjbB0gVlqn-q5LMJbGIsqOrzru4yowQz67dz2yc"", ""'APO'!BI3:BI139""),MATCH($D71,IMPORTRANGE(""1y0FWgjbB0gVlqn-q5LMJbGIsqOrzru4yowQz67dz2yc"", ""'APO'!D3:D139""),0))"),"")</f>
        <v/>
      </c>
      <c r="AB71" s="2"/>
      <c r="AC71" s="2"/>
    </row>
    <row r="72" spans="1:29">
      <c r="A72" s="149" t="s">
        <v>147</v>
      </c>
      <c r="B72" s="149" t="s">
        <v>168</v>
      </c>
      <c r="C72" s="148" t="s">
        <v>36</v>
      </c>
      <c r="D72" s="149" t="s">
        <v>197</v>
      </c>
      <c r="E72" s="149" t="s">
        <v>38</v>
      </c>
      <c r="F72" s="2" t="s">
        <v>198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2">
        <v>0</v>
      </c>
      <c r="Q72" s="23">
        <v>3.15</v>
      </c>
      <c r="R72" s="4">
        <f>57/3</f>
        <v>19</v>
      </c>
      <c r="S72" s="4">
        <f>T72/2</f>
        <v>9.5</v>
      </c>
      <c r="T72" s="4">
        <f>57/3</f>
        <v>19</v>
      </c>
      <c r="U72" s="4">
        <f>V72/2</f>
        <v>9.5</v>
      </c>
      <c r="V72" s="4">
        <f>57/3</f>
        <v>19</v>
      </c>
      <c r="W72" s="4">
        <v>57</v>
      </c>
      <c r="X72" s="23">
        <v>18.61</v>
      </c>
      <c r="Y72" s="2">
        <f ca="1">IFERROR(__xludf.DUMMYFUNCTION("INDEX(IMPORTRANGE(""1y0FWgjbB0gVlqn-q5LMJbGIsqOrzru4yowQz67dz2yc"", ""'APO'!BG3:BG139""),MATCH($D72,IMPORTRANGE(""1y0FWgjbB0gVlqn-q5LMJbGIsqOrzru4yowQz67dz2yc"", ""'APO'!D3:D139""),0))"),28.21)</f>
        <v>28.21</v>
      </c>
      <c r="Z72" s="2">
        <f ca="1">IFERROR(__xludf.DUMMYFUNCTION("INDEX(IMPORTRANGE(""1y0FWgjbB0gVlqn-q5LMJbGIsqOrzru4yowQz67dz2yc"", ""'APO'!BH3:BH139""),MATCH($D72,IMPORTRANGE(""1y0FWgjbB0gVlqn-q5LMJbGIsqOrzru4yowQz67dz2yc"", ""'APO'!D3:D139""),0))"),7.1)</f>
        <v>7.1</v>
      </c>
      <c r="AA72" s="2">
        <f ca="1">IFERROR(__xludf.DUMMYFUNCTION("INDEX(IMPORTRANGE(""1y0FWgjbB0gVlqn-q5LMJbGIsqOrzru4yowQz67dz2yc"", ""'APO'!BI3:BI139""),MATCH($D72,IMPORTRANGE(""1y0FWgjbB0gVlqn-q5LMJbGIsqOrzru4yowQz67dz2yc"", ""'APO'!D3:D139""),0))"),14.2999999999999)</f>
        <v>14.299999999999899</v>
      </c>
      <c r="AB72" s="2"/>
      <c r="AC72" s="2"/>
    </row>
    <row r="73" spans="1:29">
      <c r="A73" s="149" t="s">
        <v>199</v>
      </c>
      <c r="B73" s="149" t="s">
        <v>200</v>
      </c>
      <c r="C73" s="148" t="s">
        <v>36</v>
      </c>
      <c r="D73" s="149" t="s">
        <v>201</v>
      </c>
      <c r="E73" s="149" t="s">
        <v>38</v>
      </c>
      <c r="F73" s="2" t="s">
        <v>202</v>
      </c>
      <c r="G73" s="10">
        <v>44469</v>
      </c>
      <c r="H73" s="10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12">
        <v>6.0339999999999998</v>
      </c>
      <c r="Q73" s="12">
        <v>6.0339999999999998</v>
      </c>
      <c r="R73" s="23">
        <f t="shared" ref="R73:W73" si="19">+Q73+2/5</f>
        <v>6.4340000000000002</v>
      </c>
      <c r="S73" s="23">
        <f t="shared" si="19"/>
        <v>6.8340000000000005</v>
      </c>
      <c r="T73" s="23">
        <f t="shared" si="19"/>
        <v>7.2340000000000009</v>
      </c>
      <c r="U73" s="23">
        <f t="shared" si="19"/>
        <v>7.6340000000000012</v>
      </c>
      <c r="V73" s="23">
        <f t="shared" si="19"/>
        <v>8.0340000000000007</v>
      </c>
      <c r="W73" s="23">
        <f t="shared" si="19"/>
        <v>8.4340000000000011</v>
      </c>
      <c r="X73" s="23">
        <v>6.0339999999999998</v>
      </c>
      <c r="Y73" s="23">
        <f ca="1">IFERROR(__xludf.DUMMYFUNCTION("INDEX(IMPORTRANGE(""1y0FWgjbB0gVlqn-q5LMJbGIsqOrzru4yowQz67dz2yc"", ""'APO'!BG3:BG139""),MATCH($D73,IMPORTRANGE(""1y0FWgjbB0gVlqn-q5LMJbGIsqOrzru4yowQz67dz2yc"", ""'APO'!D3:D139""),0))"),9.53)</f>
        <v>9.5299999999999994</v>
      </c>
      <c r="Z73" s="2">
        <f ca="1">IFERROR(__xludf.DUMMYFUNCTION("INDEX(IMPORTRANGE(""1y0FWgjbB0gVlqn-q5LMJbGIsqOrzru4yowQz67dz2yc"", ""'APO'!BH3:BH139""),MATCH($D73,IMPORTRANGE(""1y0FWgjbB0gVlqn-q5LMJbGIsqOrzru4yowQz67dz2yc"", ""'APO'!D3:D139""),0))"),9.5)</f>
        <v>9.5</v>
      </c>
      <c r="AA73" s="2">
        <f ca="1">IFERROR(__xludf.DUMMYFUNCTION("INDEX(IMPORTRANGE(""1y0FWgjbB0gVlqn-q5LMJbGIsqOrzru4yowQz67dz2yc"", ""'APO'!BI3:BI139""),MATCH($D73,IMPORTRANGE(""1y0FWgjbB0gVlqn-q5LMJbGIsqOrzru4yowQz67dz2yc"", ""'APO'!D3:D139""),0))"),0)</f>
        <v>0</v>
      </c>
      <c r="AB73" s="23"/>
      <c r="AC73" s="2"/>
    </row>
    <row r="74" spans="1:29">
      <c r="A74" s="149" t="s">
        <v>199</v>
      </c>
      <c r="B74" s="149" t="s">
        <v>200</v>
      </c>
      <c r="C74" s="148" t="s">
        <v>30</v>
      </c>
      <c r="D74" s="149" t="s">
        <v>203</v>
      </c>
      <c r="E74" s="149" t="s">
        <v>38</v>
      </c>
      <c r="F74" s="2" t="s">
        <v>204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13"/>
      <c r="Q74" s="13"/>
      <c r="R74" s="1"/>
      <c r="S74" s="1"/>
      <c r="T74" s="1"/>
      <c r="U74" s="1"/>
      <c r="V74" s="1"/>
      <c r="W74" s="154"/>
      <c r="X74" s="12">
        <v>10081</v>
      </c>
      <c r="Y74" s="12">
        <f ca="1">IFERROR(__xludf.DUMMYFUNCTION("INDEX(IMPORTRANGE(""1y0FWgjbB0gVlqn-q5LMJbGIsqOrzru4yowQz67dz2yc"", ""'APO'!BG3:BG139""),MATCH($D74,IMPORTRANGE(""1y0FWgjbB0gVlqn-q5LMJbGIsqOrzru4yowQz67dz2yc"", ""'APO'!D3:D139""),0))"),12599)</f>
        <v>12599</v>
      </c>
      <c r="Z74" s="12">
        <f ca="1">IFERROR(__xludf.DUMMYFUNCTION("INDEX(IMPORTRANGE(""1y0FWgjbB0gVlqn-q5LMJbGIsqOrzru4yowQz67dz2yc"", ""'APO'!BH3:BH139""),MATCH($D74,IMPORTRANGE(""1y0FWgjbB0gVlqn-q5LMJbGIsqOrzru4yowQz67dz2yc"", ""'APO'!D3:D139""),0))"),2400)</f>
        <v>2400</v>
      </c>
      <c r="AA74" s="12">
        <f ca="1">IFERROR(__xludf.DUMMYFUNCTION("INDEX(IMPORTRANGE(""1y0FWgjbB0gVlqn-q5LMJbGIsqOrzru4yowQz67dz2yc"", ""'APO'!BI3:BI139""),MATCH($D74,IMPORTRANGE(""1y0FWgjbB0gVlqn-q5LMJbGIsqOrzru4yowQz67dz2yc"", ""'APO'!D3:D139""),0))"),2400)</f>
        <v>2400</v>
      </c>
      <c r="AB74" s="12"/>
      <c r="AC74" s="12"/>
    </row>
    <row r="75" spans="1:29">
      <c r="A75" s="149" t="s">
        <v>199</v>
      </c>
      <c r="B75" s="149" t="s">
        <v>200</v>
      </c>
      <c r="C75" s="148" t="s">
        <v>30</v>
      </c>
      <c r="D75" s="149" t="s">
        <v>205</v>
      </c>
      <c r="E75" s="149" t="s">
        <v>38</v>
      </c>
      <c r="F75" s="9" t="s">
        <v>206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13"/>
      <c r="Q75" s="13"/>
      <c r="R75" s="1"/>
      <c r="S75" s="1"/>
      <c r="T75" s="1"/>
      <c r="U75" s="1"/>
      <c r="V75" s="1"/>
      <c r="W75" s="1"/>
      <c r="X75" s="12">
        <v>0</v>
      </c>
      <c r="Y75" s="2">
        <f ca="1">IFERROR(__xludf.DUMMYFUNCTION("INDEX(IMPORTRANGE(""1y0FWgjbB0gVlqn-q5LMJbGIsqOrzru4yowQz67dz2yc"", ""'APO'!BG3:BG139""),MATCH($D75,IMPORTRANGE(""1y0FWgjbB0gVlqn-q5LMJbGIsqOrzru4yowQz67dz2yc"", ""'APO'!D3:D139""),0))"),0)</f>
        <v>0</v>
      </c>
      <c r="Z75" s="2">
        <f ca="1">IFERROR(__xludf.DUMMYFUNCTION("INDEX(IMPORTRANGE(""1y0FWgjbB0gVlqn-q5LMJbGIsqOrzru4yowQz67dz2yc"", ""'APO'!BH3:BH139""),MATCH($D75,IMPORTRANGE(""1y0FWgjbB0gVlqn-q5LMJbGIsqOrzru4yowQz67dz2yc"", ""'APO'!D3:D139""),0))"),0)</f>
        <v>0</v>
      </c>
      <c r="AA75" s="2">
        <f ca="1">IFERROR(__xludf.DUMMYFUNCTION("INDEX(IMPORTRANGE(""1y0FWgjbB0gVlqn-q5LMJbGIsqOrzru4yowQz67dz2yc"", ""'APO'!BI3:BI139""),MATCH($D75,IMPORTRANGE(""1y0FWgjbB0gVlqn-q5LMJbGIsqOrzru4yowQz67dz2yc"", ""'APO'!D3:D139""),0))"),0)</f>
        <v>0</v>
      </c>
      <c r="AB75" s="2"/>
      <c r="AC75" s="2"/>
    </row>
    <row r="76" spans="1:29">
      <c r="A76" s="149" t="s">
        <v>199</v>
      </c>
      <c r="B76" s="149" t="s">
        <v>200</v>
      </c>
      <c r="C76" s="148" t="s">
        <v>30</v>
      </c>
      <c r="D76" s="149" t="s">
        <v>207</v>
      </c>
      <c r="E76" s="149" t="s">
        <v>38</v>
      </c>
      <c r="F76" s="9" t="s">
        <v>208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3"/>
      <c r="Q76" s="13"/>
      <c r="R76" s="1"/>
      <c r="S76" s="1"/>
      <c r="T76" s="1"/>
      <c r="U76" s="1"/>
      <c r="V76" s="1"/>
      <c r="W76" s="1"/>
      <c r="X76" s="12">
        <v>133</v>
      </c>
      <c r="Y76" s="2">
        <f ca="1">IFERROR(__xludf.DUMMYFUNCTION("INDEX(IMPORTRANGE(""1y0FWgjbB0gVlqn-q5LMJbGIsqOrzru4yowQz67dz2yc"", ""'APO'!BG3:BG139""),MATCH($D76,IMPORTRANGE(""1y0FWgjbB0gVlqn-q5LMJbGIsqOrzru4yowQz67dz2yc"", ""'APO'!D3:D139""),0))"),1907)</f>
        <v>1907</v>
      </c>
      <c r="Z76" s="2">
        <f ca="1">IFERROR(__xludf.DUMMYFUNCTION("INDEX(IMPORTRANGE(""1y0FWgjbB0gVlqn-q5LMJbGIsqOrzru4yowQz67dz2yc"", ""'APO'!BH3:BH139""),MATCH($D76,IMPORTRANGE(""1y0FWgjbB0gVlqn-q5LMJbGIsqOrzru4yowQz67dz2yc"", ""'APO'!D3:D139""),0))"),399)</f>
        <v>399</v>
      </c>
      <c r="AA76" s="2">
        <f ca="1">IFERROR(__xludf.DUMMYFUNCTION("INDEX(IMPORTRANGE(""1y0FWgjbB0gVlqn-q5LMJbGIsqOrzru4yowQz67dz2yc"", ""'APO'!BI3:BI139""),MATCH($D76,IMPORTRANGE(""1y0FWgjbB0gVlqn-q5LMJbGIsqOrzru4yowQz67dz2yc"", ""'APO'!D3:D139""),0))"),1582)</f>
        <v>1582</v>
      </c>
      <c r="AB76" s="2"/>
      <c r="AC76" s="2"/>
    </row>
    <row r="77" spans="1:29">
      <c r="A77" s="149" t="s">
        <v>199</v>
      </c>
      <c r="B77" s="149" t="s">
        <v>200</v>
      </c>
      <c r="C77" s="148" t="s">
        <v>36</v>
      </c>
      <c r="D77" s="149" t="s">
        <v>209</v>
      </c>
      <c r="E77" s="149" t="s">
        <v>38</v>
      </c>
      <c r="F77" s="9" t="s">
        <v>210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4"/>
      <c r="Q77" s="4"/>
      <c r="R77" s="2">
        <f>$W$77/3</f>
        <v>1350</v>
      </c>
      <c r="S77" s="2">
        <f>T77/2</f>
        <v>675</v>
      </c>
      <c r="T77" s="2">
        <f>$W$77/3</f>
        <v>1350</v>
      </c>
      <c r="U77" s="2">
        <f>V77/2</f>
        <v>675</v>
      </c>
      <c r="V77" s="2">
        <f>$W$77/3</f>
        <v>1350</v>
      </c>
      <c r="W77" s="35">
        <v>4050</v>
      </c>
      <c r="X77" s="12">
        <f>SUM(X74:X76)</f>
        <v>10214</v>
      </c>
      <c r="Y77" s="12">
        <f ca="1">IFERROR(__xludf.DUMMYFUNCTION("INDEX(IMPORTRANGE(""1y0FWgjbB0gVlqn-q5LMJbGIsqOrzru4yowQz67dz2yc"", ""'APO'!BG3:BG139""),MATCH($D77,IMPORTRANGE(""1y0FWgjbB0gVlqn-q5LMJbGIsqOrzru4yowQz67dz2yc"", ""'APO'!D3:D139""),0))"),14506)</f>
        <v>14506</v>
      </c>
      <c r="Z77" s="12">
        <f ca="1">IFERROR(__xludf.DUMMYFUNCTION("INDEX(IMPORTRANGE(""1y0FWgjbB0gVlqn-q5LMJbGIsqOrzru4yowQz67dz2yc"", ""'APO'!BH3:BH139""),MATCH($D77,IMPORTRANGE(""1y0FWgjbB0gVlqn-q5LMJbGIsqOrzru4yowQz67dz2yc"", ""'APO'!D3:D139""),0))"),2799)</f>
        <v>2799</v>
      </c>
      <c r="AA77" s="12">
        <f ca="1">IFERROR(__xludf.DUMMYFUNCTION("INDEX(IMPORTRANGE(""1y0FWgjbB0gVlqn-q5LMJbGIsqOrzru4yowQz67dz2yc"", ""'APO'!BI3:BI139""),MATCH($D77,IMPORTRANGE(""1y0FWgjbB0gVlqn-q5LMJbGIsqOrzru4yowQz67dz2yc"", ""'APO'!D3:D139""),0))"),3982)</f>
        <v>3982</v>
      </c>
      <c r="AB77" s="12"/>
      <c r="AC77" s="12"/>
    </row>
    <row r="78" spans="1:29">
      <c r="A78" s="149" t="s">
        <v>199</v>
      </c>
      <c r="B78" s="149" t="s">
        <v>200</v>
      </c>
      <c r="C78" s="148" t="s">
        <v>30</v>
      </c>
      <c r="D78" s="149" t="s">
        <v>211</v>
      </c>
      <c r="E78" s="149" t="s">
        <v>38</v>
      </c>
      <c r="F78" s="9" t="s">
        <v>212</v>
      </c>
      <c r="G78" s="155" t="s">
        <v>213</v>
      </c>
      <c r="H78" s="156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2" t="s">
        <v>218</v>
      </c>
      <c r="O78" s="2" t="s">
        <v>218</v>
      </c>
      <c r="P78" s="36">
        <v>155199137.53</v>
      </c>
      <c r="Q78" s="36">
        <v>155199137.53</v>
      </c>
      <c r="R78" s="13"/>
      <c r="S78" s="13"/>
      <c r="T78" s="13"/>
      <c r="U78" s="13"/>
      <c r="V78" s="13"/>
      <c r="W78" s="13"/>
      <c r="X78" s="36">
        <v>155199137.53</v>
      </c>
      <c r="Y78" s="4" t="str">
        <f ca="1">IFERROR(__xludf.DUMMYFUNCTION("INDEX(IMPORTRANGE(""1y0FWgjbB0gVlqn-q5LMJbGIsqOrzru4yowQz67dz2yc"", ""'APO'!BG3:BG139""),MATCH($D78,IMPORTRANGE(""1y0FWgjbB0gVlqn-q5LMJbGIsqOrzru4yowQz67dz2yc"", ""'APO'!D3:D139""),0))"),"")</f>
        <v/>
      </c>
      <c r="Z78" s="36">
        <f ca="1">IFERROR(__xludf.DUMMYFUNCTION("INDEX(IMPORTRANGE(""1y0FWgjbB0gVlqn-q5LMJbGIsqOrzru4yowQz67dz2yc"", ""'APO'!BH3:BH139""),MATCH($D78,IMPORTRANGE(""1y0FWgjbB0gVlqn-q5LMJbGIsqOrzru4yowQz67dz2yc"", ""'APO'!D3:D139""),0))"),158563355.41)</f>
        <v>158563355.41</v>
      </c>
      <c r="AA78" s="178" t="str">
        <f ca="1">IFERROR(__xludf.DUMMYFUNCTION("INDEX(IMPORTRANGE(""1y0FWgjbB0gVlqn-q5LMJbGIsqOrzru4yowQz67dz2yc"", ""'APO'!BI3:BI139""),MATCH($D78,IMPORTRANGE(""1y0FWgjbB0gVlqn-q5LMJbGIsqOrzru4yowQz67dz2yc"", ""'APO'!D3:D139""),0))"),"")</f>
        <v/>
      </c>
      <c r="AB78" s="2"/>
      <c r="AC78" s="36"/>
    </row>
    <row r="79" spans="1:29">
      <c r="A79" s="149" t="s">
        <v>199</v>
      </c>
      <c r="B79" s="149" t="s">
        <v>200</v>
      </c>
      <c r="C79" s="148" t="s">
        <v>30</v>
      </c>
      <c r="D79" s="149" t="s">
        <v>219</v>
      </c>
      <c r="E79" s="149" t="s">
        <v>38</v>
      </c>
      <c r="F79" s="9" t="s">
        <v>220</v>
      </c>
      <c r="G79" s="155" t="s">
        <v>213</v>
      </c>
      <c r="H79" s="156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2" t="s">
        <v>218</v>
      </c>
      <c r="O79" s="2" t="s">
        <v>218</v>
      </c>
      <c r="P79" s="36">
        <v>23239909.559999999</v>
      </c>
      <c r="Q79" s="36">
        <v>23239909.559999999</v>
      </c>
      <c r="R79" s="13"/>
      <c r="S79" s="13"/>
      <c r="T79" s="13"/>
      <c r="U79" s="13"/>
      <c r="V79" s="13"/>
      <c r="W79" s="13"/>
      <c r="X79" s="36">
        <v>23239909.559999999</v>
      </c>
      <c r="Y79" s="4" t="str">
        <f ca="1">IFERROR(__xludf.DUMMYFUNCTION("INDEX(IMPORTRANGE(""1y0FWgjbB0gVlqn-q5LMJbGIsqOrzru4yowQz67dz2yc"", ""'APO'!BG3:BG139""),MATCH($D79,IMPORTRANGE(""1y0FWgjbB0gVlqn-q5LMJbGIsqOrzru4yowQz67dz2yc"", ""'APO'!D3:D139""),0))"),"")</f>
        <v/>
      </c>
      <c r="Z79" s="36">
        <f ca="1">IFERROR(__xludf.DUMMYFUNCTION("INDEX(IMPORTRANGE(""1y0FWgjbB0gVlqn-q5LMJbGIsqOrzru4yowQz67dz2yc"", ""'APO'!BH3:BH139""),MATCH($D79,IMPORTRANGE(""1y0FWgjbB0gVlqn-q5LMJbGIsqOrzru4yowQz67dz2yc"", ""'APO'!D3:D139""),0))"),83291575.22)</f>
        <v>83291575.219999999</v>
      </c>
      <c r="AA79" s="178" t="str">
        <f ca="1">IFERROR(__xludf.DUMMYFUNCTION("INDEX(IMPORTRANGE(""1y0FWgjbB0gVlqn-q5LMJbGIsqOrzru4yowQz67dz2yc"", ""'APO'!BI3:BI139""),MATCH($D79,IMPORTRANGE(""1y0FWgjbB0gVlqn-q5LMJbGIsqOrzru4yowQz67dz2yc"", ""'APO'!D3:D139""),0))"),"")</f>
        <v/>
      </c>
      <c r="AB79" s="2"/>
      <c r="AC79" s="36"/>
    </row>
    <row r="80" spans="1:29">
      <c r="A80" s="149" t="s">
        <v>199</v>
      </c>
      <c r="B80" s="149" t="s">
        <v>200</v>
      </c>
      <c r="C80" s="148" t="s">
        <v>36</v>
      </c>
      <c r="D80" s="149" t="s">
        <v>221</v>
      </c>
      <c r="E80" s="149" t="s">
        <v>38</v>
      </c>
      <c r="F80" s="9" t="s">
        <v>222</v>
      </c>
      <c r="G80" s="21" t="s">
        <v>213</v>
      </c>
      <c r="H80" s="22" t="s">
        <v>214</v>
      </c>
      <c r="I80" s="9" t="s">
        <v>215</v>
      </c>
      <c r="J80" s="4"/>
      <c r="K80" s="9" t="s">
        <v>216</v>
      </c>
      <c r="L80" s="4"/>
      <c r="M80" s="9" t="s">
        <v>217</v>
      </c>
      <c r="N80" s="2" t="s">
        <v>218</v>
      </c>
      <c r="O80" s="2" t="s">
        <v>218</v>
      </c>
      <c r="P80" s="15">
        <f t="shared" ref="P80:Q80" si="20">P79/P78</f>
        <v>0.14974251745121794</v>
      </c>
      <c r="Q80" s="15">
        <f t="shared" si="20"/>
        <v>0.14974251745121794</v>
      </c>
      <c r="R80" s="2"/>
      <c r="S80" s="14">
        <v>0.16</v>
      </c>
      <c r="T80" s="2"/>
      <c r="U80" s="14">
        <v>0.17</v>
      </c>
      <c r="V80" s="14">
        <v>0.18</v>
      </c>
      <c r="W80" s="14">
        <v>0.18</v>
      </c>
      <c r="X80" s="15">
        <f>X79/X78</f>
        <v>0.14974251745121794</v>
      </c>
      <c r="Y80" s="4" t="str">
        <f ca="1">IFERROR(__xludf.DUMMYFUNCTION("INDEX(IMPORTRANGE(""1y0FWgjbB0gVlqn-q5LMJbGIsqOrzru4yowQz67dz2yc"", ""'APO'!BG3:BG139""),MATCH($D80,IMPORTRANGE(""1y0FWgjbB0gVlqn-q5LMJbGIsqOrzru4yowQz67dz2yc"", ""'APO'!D3:D139""),0))"),"")</f>
        <v/>
      </c>
      <c r="Z80" s="15">
        <f ca="1">IFERROR(__xludf.DUMMYFUNCTION("INDEX(IMPORTRANGE(""1y0FWgjbB0gVlqn-q5LMJbGIsqOrzru4yowQz67dz2yc"", ""'APO'!BH3:BH139""),MATCH($D80,IMPORTRANGE(""1y0FWgjbB0gVlqn-q5LMJbGIsqOrzru4yowQz67dz2yc"", ""'APO'!D3:D139""),0))"),0.525288929492136)</f>
        <v>0.52528892949213601</v>
      </c>
      <c r="AA80" s="179" t="str">
        <f ca="1">IFERROR(__xludf.DUMMYFUNCTION("INDEX(IMPORTRANGE(""1y0FWgjbB0gVlqn-q5LMJbGIsqOrzru4yowQz67dz2yc"", ""'APO'!BI3:BI139""),MATCH($D80,IMPORTRANGE(""1y0FWgjbB0gVlqn-q5LMJbGIsqOrzru4yowQz67dz2yc"", ""'APO'!D3:D139""),0))"),"")</f>
        <v/>
      </c>
      <c r="AB80" s="2"/>
      <c r="AC80" s="15"/>
    </row>
    <row r="81" spans="1:29">
      <c r="A81" s="149" t="s">
        <v>199</v>
      </c>
      <c r="B81" s="149" t="s">
        <v>200</v>
      </c>
      <c r="C81" s="148" t="s">
        <v>30</v>
      </c>
      <c r="D81" s="149" t="s">
        <v>223</v>
      </c>
      <c r="E81" s="149" t="s">
        <v>38</v>
      </c>
      <c r="F81" s="9" t="s">
        <v>224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3</v>
      </c>
      <c r="Q81" s="12">
        <v>6</v>
      </c>
      <c r="R81" s="1"/>
      <c r="S81" s="1"/>
      <c r="T81" s="1"/>
      <c r="U81" s="1"/>
      <c r="V81" s="1"/>
      <c r="W81" s="1"/>
      <c r="X81" s="12">
        <v>1</v>
      </c>
      <c r="Y81" s="2">
        <f ca="1">IFERROR(__xludf.DUMMYFUNCTION("INDEX(IMPORTRANGE(""1y0FWgjbB0gVlqn-q5LMJbGIsqOrzru4yowQz67dz2yc"", ""'APO'!BG3:BG139""),MATCH($D81,IMPORTRANGE(""1y0FWgjbB0gVlqn-q5LMJbGIsqOrzru4yowQz67dz2yc"", ""'APO'!D3:D139""),0))"),13)</f>
        <v>13</v>
      </c>
      <c r="Z81" s="2">
        <f ca="1">IFERROR(__xludf.DUMMYFUNCTION("INDEX(IMPORTRANGE(""1y0FWgjbB0gVlqn-q5LMJbGIsqOrzru4yowQz67dz2yc"", ""'APO'!BH3:BH139""),MATCH($D81,IMPORTRANGE(""1y0FWgjbB0gVlqn-q5LMJbGIsqOrzru4yowQz67dz2yc"", ""'APO'!D3:D139""),0))"),5)</f>
        <v>5</v>
      </c>
      <c r="AA81" s="2">
        <f ca="1">IFERROR(__xludf.DUMMYFUNCTION("INDEX(IMPORTRANGE(""1y0FWgjbB0gVlqn-q5LMJbGIsqOrzru4yowQz67dz2yc"", ""'APO'!BI3:BI139""),MATCH($D81,IMPORTRANGE(""1y0FWgjbB0gVlqn-q5LMJbGIsqOrzru4yowQz67dz2yc"", ""'APO'!D3:D139""),0))"),25)</f>
        <v>25</v>
      </c>
      <c r="AB81" s="2"/>
      <c r="AC81" s="2"/>
    </row>
    <row r="82" spans="1:29">
      <c r="A82" s="149" t="s">
        <v>199</v>
      </c>
      <c r="B82" s="149" t="s">
        <v>200</v>
      </c>
      <c r="C82" s="148" t="s">
        <v>30</v>
      </c>
      <c r="D82" s="149" t="s">
        <v>225</v>
      </c>
      <c r="E82" s="149" t="s">
        <v>38</v>
      </c>
      <c r="F82" s="9" t="s">
        <v>182</v>
      </c>
      <c r="G82" s="22" t="s">
        <v>56</v>
      </c>
      <c r="H82" s="2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1</v>
      </c>
      <c r="Q82" s="12">
        <v>4</v>
      </c>
      <c r="R82" s="1"/>
      <c r="S82" s="1"/>
      <c r="T82" s="1"/>
      <c r="U82" s="1"/>
      <c r="V82" s="1"/>
      <c r="W82" s="1"/>
      <c r="X82" s="12">
        <v>2</v>
      </c>
      <c r="Y82" s="2">
        <f ca="1">IFERROR(__xludf.DUMMYFUNCTION("INDEX(IMPORTRANGE(""1y0FWgjbB0gVlqn-q5LMJbGIsqOrzru4yowQz67dz2yc"", ""'APO'!BG3:BG139""),MATCH($D82,IMPORTRANGE(""1y0FWgjbB0gVlqn-q5LMJbGIsqOrzru4yowQz67dz2yc"", ""'APO'!D3:D139""),0))"),5)</f>
        <v>5</v>
      </c>
      <c r="Z82" s="2">
        <f ca="1">IFERROR(__xludf.DUMMYFUNCTION("INDEX(IMPORTRANGE(""1y0FWgjbB0gVlqn-q5LMJbGIsqOrzru4yowQz67dz2yc"", ""'APO'!BH3:BH139""),MATCH($D82,IMPORTRANGE(""1y0FWgjbB0gVlqn-q5LMJbGIsqOrzru4yowQz67dz2yc"", ""'APO'!D3:D139""),0))"),0)</f>
        <v>0</v>
      </c>
      <c r="AA82" s="2">
        <f ca="1">IFERROR(__xludf.DUMMYFUNCTION("INDEX(IMPORTRANGE(""1y0FWgjbB0gVlqn-q5LMJbGIsqOrzru4yowQz67dz2yc"", ""'APO'!BI3:BI139""),MATCH($D82,IMPORTRANGE(""1y0FWgjbB0gVlqn-q5LMJbGIsqOrzru4yowQz67dz2yc"", ""'APO'!D3:D139""),0))"),3)</f>
        <v>3</v>
      </c>
      <c r="AB82" s="2"/>
      <c r="AC82" s="2"/>
    </row>
    <row r="83" spans="1:29">
      <c r="A83" s="149" t="s">
        <v>199</v>
      </c>
      <c r="B83" s="149" t="s">
        <v>200</v>
      </c>
      <c r="C83" s="148" t="s">
        <v>36</v>
      </c>
      <c r="D83" s="149" t="s">
        <v>226</v>
      </c>
      <c r="E83" s="149" t="s">
        <v>38</v>
      </c>
      <c r="F83" s="9" t="s">
        <v>227</v>
      </c>
      <c r="G83" s="22" t="s">
        <v>56</v>
      </c>
      <c r="H83" s="2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1">P81+P82</f>
        <v>4</v>
      </c>
      <c r="Q83" s="12">
        <f t="shared" si="21"/>
        <v>10</v>
      </c>
      <c r="R83" s="4">
        <v>8</v>
      </c>
      <c r="S83" s="4">
        <v>4</v>
      </c>
      <c r="T83" s="4">
        <v>8</v>
      </c>
      <c r="U83" s="4">
        <v>4</v>
      </c>
      <c r="V83" s="4">
        <v>9</v>
      </c>
      <c r="W83" s="4">
        <v>25</v>
      </c>
      <c r="X83" s="12">
        <f>X81+X82</f>
        <v>3</v>
      </c>
      <c r="Y83" s="2">
        <f ca="1">IFERROR(__xludf.DUMMYFUNCTION("INDEX(IMPORTRANGE(""1y0FWgjbB0gVlqn-q5LMJbGIsqOrzru4yowQz67dz2yc"", ""'APO'!BG3:BG139""),MATCH($D83,IMPORTRANGE(""1y0FWgjbB0gVlqn-q5LMJbGIsqOrzru4yowQz67dz2yc"", ""'APO'!D3:D139""),0))"),18)</f>
        <v>18</v>
      </c>
      <c r="Z83" s="2">
        <f ca="1">IFERROR(__xludf.DUMMYFUNCTION("INDEX(IMPORTRANGE(""1y0FWgjbB0gVlqn-q5LMJbGIsqOrzru4yowQz67dz2yc"", ""'APO'!BH3:BH139""),MATCH($D83,IMPORTRANGE(""1y0FWgjbB0gVlqn-q5LMJbGIsqOrzru4yowQz67dz2yc"", ""'APO'!D3:D139""),0))"),5)</f>
        <v>5</v>
      </c>
      <c r="AA83" s="2">
        <f ca="1">IFERROR(__xludf.DUMMYFUNCTION("INDEX(IMPORTRANGE(""1y0FWgjbB0gVlqn-q5LMJbGIsqOrzru4yowQz67dz2yc"", ""'APO'!BI3:BI139""),MATCH($D83,IMPORTRANGE(""1y0FWgjbB0gVlqn-q5LMJbGIsqOrzru4yowQz67dz2yc"", ""'APO'!D3:D139""),0))"),28)</f>
        <v>28</v>
      </c>
      <c r="AB83" s="2"/>
      <c r="AC83" s="2"/>
    </row>
    <row r="84" spans="1:29">
      <c r="A84" s="149" t="s">
        <v>199</v>
      </c>
      <c r="B84" s="149" t="s">
        <v>228</v>
      </c>
      <c r="C84" s="148" t="s">
        <v>30</v>
      </c>
      <c r="D84" s="149" t="s">
        <v>229</v>
      </c>
      <c r="E84" s="149" t="s">
        <v>38</v>
      </c>
      <c r="F84" s="9" t="s">
        <v>230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67</v>
      </c>
      <c r="Q84" s="12">
        <v>66</v>
      </c>
      <c r="R84" s="13"/>
      <c r="S84" s="13"/>
      <c r="T84" s="13"/>
      <c r="U84" s="13"/>
      <c r="V84" s="13"/>
      <c r="W84" s="13"/>
      <c r="X84" s="12">
        <v>37</v>
      </c>
      <c r="Y84" s="2">
        <f ca="1">IFERROR(__xludf.DUMMYFUNCTION("INDEX(IMPORTRANGE(""1y0FWgjbB0gVlqn-q5LMJbGIsqOrzru4yowQz67dz2yc"", ""'APO'!BG3:BG139""),MATCH($D84,IMPORTRANGE(""1y0FWgjbB0gVlqn-q5LMJbGIsqOrzru4yowQz67dz2yc"", ""'APO'!D3:D139""),0))"),68)</f>
        <v>68</v>
      </c>
      <c r="Z84" s="2">
        <f ca="1">IFERROR(__xludf.DUMMYFUNCTION("INDEX(IMPORTRANGE(""1y0FWgjbB0gVlqn-q5LMJbGIsqOrzru4yowQz67dz2yc"", ""'APO'!BH3:BH139""),MATCH($D84,IMPORTRANGE(""1y0FWgjbB0gVlqn-q5LMJbGIsqOrzru4yowQz67dz2yc"", ""'APO'!D3:D139""),0))"),53)</f>
        <v>53</v>
      </c>
      <c r="AA84" s="2">
        <f ca="1">IFERROR(__xludf.DUMMYFUNCTION("INDEX(IMPORTRANGE(""1y0FWgjbB0gVlqn-q5LMJbGIsqOrzru4yowQz67dz2yc"", ""'APO'!BI3:BI139""),MATCH($D84,IMPORTRANGE(""1y0FWgjbB0gVlqn-q5LMJbGIsqOrzru4yowQz67dz2yc"", ""'APO'!D3:D139""),0))"),66)</f>
        <v>66</v>
      </c>
      <c r="AB84" s="2"/>
      <c r="AC84" s="2"/>
    </row>
    <row r="85" spans="1:29">
      <c r="A85" s="149" t="s">
        <v>199</v>
      </c>
      <c r="B85" s="149" t="s">
        <v>228</v>
      </c>
      <c r="C85" s="148" t="s">
        <v>30</v>
      </c>
      <c r="D85" s="149" t="s">
        <v>233</v>
      </c>
      <c r="E85" s="149" t="s">
        <v>38</v>
      </c>
      <c r="F85" s="9" t="s">
        <v>234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18</v>
      </c>
      <c r="Q85" s="12">
        <v>25</v>
      </c>
      <c r="R85" s="13"/>
      <c r="S85" s="13"/>
      <c r="T85" s="13"/>
      <c r="U85" s="13"/>
      <c r="V85" s="13"/>
      <c r="W85" s="13"/>
      <c r="X85" s="12">
        <v>3</v>
      </c>
      <c r="Y85" s="2">
        <f ca="1">IFERROR(__xludf.DUMMYFUNCTION("INDEX(IMPORTRANGE(""1y0FWgjbB0gVlqn-q5LMJbGIsqOrzru4yowQz67dz2yc"", ""'APO'!BG3:BG139""),MATCH($D85,IMPORTRANGE(""1y0FWgjbB0gVlqn-q5LMJbGIsqOrzru4yowQz67dz2yc"", ""'APO'!D3:D139""),0))"),4)</f>
        <v>4</v>
      </c>
      <c r="Z85" s="2">
        <f ca="1">IFERROR(__xludf.DUMMYFUNCTION("INDEX(IMPORTRANGE(""1y0FWgjbB0gVlqn-q5LMJbGIsqOrzru4yowQz67dz2yc"", ""'APO'!BH3:BH139""),MATCH($D85,IMPORTRANGE(""1y0FWgjbB0gVlqn-q5LMJbGIsqOrzru4yowQz67dz2yc"", ""'APO'!D3:D139""),0))"),3)</f>
        <v>3</v>
      </c>
      <c r="AA85" s="2">
        <f ca="1">IFERROR(__xludf.DUMMYFUNCTION("INDEX(IMPORTRANGE(""1y0FWgjbB0gVlqn-q5LMJbGIsqOrzru4yowQz67dz2yc"", ""'APO'!BI3:BI139""),MATCH($D85,IMPORTRANGE(""1y0FWgjbB0gVlqn-q5LMJbGIsqOrzru4yowQz67dz2yc"", ""'APO'!D3:D139""),0))"),3)</f>
        <v>3</v>
      </c>
      <c r="AB85" s="2"/>
      <c r="AC85" s="2"/>
    </row>
    <row r="86" spans="1:29">
      <c r="A86" s="149" t="s">
        <v>199</v>
      </c>
      <c r="B86" s="149" t="s">
        <v>228</v>
      </c>
      <c r="C86" s="148" t="s">
        <v>30</v>
      </c>
      <c r="D86" s="149" t="s">
        <v>235</v>
      </c>
      <c r="E86" s="149" t="s">
        <v>38</v>
      </c>
      <c r="F86" s="9" t="s">
        <v>236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1583</v>
      </c>
      <c r="Q86" s="12">
        <v>2794</v>
      </c>
      <c r="R86" s="13"/>
      <c r="S86" s="13"/>
      <c r="T86" s="13"/>
      <c r="U86" s="13"/>
      <c r="V86" s="13"/>
      <c r="W86" s="13"/>
      <c r="X86" s="12">
        <v>880</v>
      </c>
      <c r="Y86" s="2">
        <f ca="1">IFERROR(__xludf.DUMMYFUNCTION("INDEX(IMPORTRANGE(""1y0FWgjbB0gVlqn-q5LMJbGIsqOrzru4yowQz67dz2yc"", ""'APO'!BG3:BG139""),MATCH($D86,IMPORTRANGE(""1y0FWgjbB0gVlqn-q5LMJbGIsqOrzru4yowQz67dz2yc"", ""'APO'!D3:D139""),0))"),1949)</f>
        <v>1949</v>
      </c>
      <c r="Z86" s="2">
        <f ca="1">IFERROR(__xludf.DUMMYFUNCTION("INDEX(IMPORTRANGE(""1y0FWgjbB0gVlqn-q5LMJbGIsqOrzru4yowQz67dz2yc"", ""'APO'!BH3:BH139""),MATCH($D86,IMPORTRANGE(""1y0FWgjbB0gVlqn-q5LMJbGIsqOrzru4yowQz67dz2yc"", ""'APO'!D3:D139""),0))"),1470)</f>
        <v>1470</v>
      </c>
      <c r="AA86" s="2">
        <f ca="1">IFERROR(__xludf.DUMMYFUNCTION("INDEX(IMPORTRANGE(""1y0FWgjbB0gVlqn-q5LMJbGIsqOrzru4yowQz67dz2yc"", ""'APO'!BI3:BI139""),MATCH($D86,IMPORTRANGE(""1y0FWgjbB0gVlqn-q5LMJbGIsqOrzru4yowQz67dz2yc"", ""'APO'!D3:D139""),0))"),2906)</f>
        <v>2906</v>
      </c>
      <c r="AB86" s="2"/>
      <c r="AC86" s="2"/>
    </row>
    <row r="87" spans="1:29">
      <c r="A87" s="149" t="s">
        <v>199</v>
      </c>
      <c r="B87" s="149" t="s">
        <v>228</v>
      </c>
      <c r="C87" s="148" t="s">
        <v>30</v>
      </c>
      <c r="D87" s="149" t="s">
        <v>237</v>
      </c>
      <c r="E87" s="149" t="s">
        <v>38</v>
      </c>
      <c r="F87" s="9" t="s">
        <v>238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70</v>
      </c>
      <c r="Q87" s="12">
        <v>123</v>
      </c>
      <c r="R87" s="13"/>
      <c r="S87" s="13"/>
      <c r="T87" s="13"/>
      <c r="U87" s="13"/>
      <c r="V87" s="13"/>
      <c r="W87" s="13"/>
      <c r="X87" s="12">
        <v>34</v>
      </c>
      <c r="Y87" s="2">
        <f ca="1">IFERROR(__xludf.DUMMYFUNCTION("INDEX(IMPORTRANGE(""1y0FWgjbB0gVlqn-q5LMJbGIsqOrzru4yowQz67dz2yc"", ""'APO'!BG3:BG139""),MATCH($D87,IMPORTRANGE(""1y0FWgjbB0gVlqn-q5LMJbGIsqOrzru4yowQz67dz2yc"", ""'APO'!D3:D139""),0))"),93)</f>
        <v>93</v>
      </c>
      <c r="Z87" s="2">
        <f ca="1">IFERROR(__xludf.DUMMYFUNCTION("INDEX(IMPORTRANGE(""1y0FWgjbB0gVlqn-q5LMJbGIsqOrzru4yowQz67dz2yc"", ""'APO'!BH3:BH139""),MATCH($D87,IMPORTRANGE(""1y0FWgjbB0gVlqn-q5LMJbGIsqOrzru4yowQz67dz2yc"", ""'APO'!D3:D139""),0))"),106)</f>
        <v>106</v>
      </c>
      <c r="AA87" s="2">
        <f ca="1">IFERROR(__xludf.DUMMYFUNCTION("INDEX(IMPORTRANGE(""1y0FWgjbB0gVlqn-q5LMJbGIsqOrzru4yowQz67dz2yc"", ""'APO'!BI3:BI139""),MATCH($D87,IMPORTRANGE(""1y0FWgjbB0gVlqn-q5LMJbGIsqOrzru4yowQz67dz2yc"", ""'APO'!D3:D139""),0))"),237)</f>
        <v>237</v>
      </c>
      <c r="AB87" s="2"/>
      <c r="AC87" s="2"/>
    </row>
    <row r="88" spans="1:29">
      <c r="A88" s="149" t="s">
        <v>199</v>
      </c>
      <c r="B88" s="149" t="s">
        <v>228</v>
      </c>
      <c r="C88" s="148" t="s">
        <v>30</v>
      </c>
      <c r="D88" s="149" t="s">
        <v>239</v>
      </c>
      <c r="E88" s="149" t="s">
        <v>38</v>
      </c>
      <c r="F88" s="9" t="s">
        <v>240</v>
      </c>
      <c r="G88" s="22" t="s">
        <v>231</v>
      </c>
      <c r="H88" s="2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519</v>
      </c>
      <c r="Q88" s="12">
        <v>1150</v>
      </c>
      <c r="R88" s="13"/>
      <c r="S88" s="13"/>
      <c r="T88" s="13"/>
      <c r="U88" s="13"/>
      <c r="V88" s="13"/>
      <c r="W88" s="13"/>
      <c r="X88" s="12">
        <v>139</v>
      </c>
      <c r="Y88" s="2">
        <f ca="1">IFERROR(__xludf.DUMMYFUNCTION("INDEX(IMPORTRANGE(""1y0FWgjbB0gVlqn-q5LMJbGIsqOrzru4yowQz67dz2yc"", ""'APO'!BG3:BG139""),MATCH($D88,IMPORTRANGE(""1y0FWgjbB0gVlqn-q5LMJbGIsqOrzru4yowQz67dz2yc"", ""'APO'!D3:D139""),0))"),324)</f>
        <v>324</v>
      </c>
      <c r="Z88" s="2">
        <f ca="1">IFERROR(__xludf.DUMMYFUNCTION("INDEX(IMPORTRANGE(""1y0FWgjbB0gVlqn-q5LMJbGIsqOrzru4yowQz67dz2yc"", ""'APO'!BH3:BH139""),MATCH($D88,IMPORTRANGE(""1y0FWgjbB0gVlqn-q5LMJbGIsqOrzru4yowQz67dz2yc"", ""'APO'!D3:D139""),0))"),426)</f>
        <v>426</v>
      </c>
      <c r="AA88" s="2">
        <f ca="1">IFERROR(__xludf.DUMMYFUNCTION("INDEX(IMPORTRANGE(""1y0FWgjbB0gVlqn-q5LMJbGIsqOrzru4yowQz67dz2yc"", ""'APO'!BI3:BI139""),MATCH($D88,IMPORTRANGE(""1y0FWgjbB0gVlqn-q5LMJbGIsqOrzru4yowQz67dz2yc"", ""'APO'!D3:D139""),0))"),710)</f>
        <v>710</v>
      </c>
      <c r="AB88" s="2"/>
      <c r="AC88" s="2"/>
    </row>
    <row r="89" spans="1:29">
      <c r="A89" s="149" t="s">
        <v>199</v>
      </c>
      <c r="B89" s="149" t="s">
        <v>228</v>
      </c>
      <c r="C89" s="148" t="s">
        <v>36</v>
      </c>
      <c r="D89" s="149" t="s">
        <v>241</v>
      </c>
      <c r="E89" s="149" t="s">
        <v>38</v>
      </c>
      <c r="F89" s="2" t="s">
        <v>242</v>
      </c>
      <c r="G89" s="22" t="s">
        <v>231</v>
      </c>
      <c r="H89" s="2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2">SUM(P84:P88)</f>
        <v>2257</v>
      </c>
      <c r="Q89" s="12">
        <f t="shared" si="22"/>
        <v>4158</v>
      </c>
      <c r="R89" s="22">
        <v>4038</v>
      </c>
      <c r="S89" s="22">
        <v>2212</v>
      </c>
      <c r="T89" s="22">
        <v>3928</v>
      </c>
      <c r="U89" s="22">
        <v>2167</v>
      </c>
      <c r="V89" s="22">
        <v>3806</v>
      </c>
      <c r="W89" s="2">
        <v>3798</v>
      </c>
      <c r="X89" s="12">
        <f>SUM(X84:X88)</f>
        <v>1093</v>
      </c>
      <c r="Y89" s="12">
        <f ca="1">IFERROR(__xludf.DUMMYFUNCTION("INDEX(IMPORTRANGE(""1y0FWgjbB0gVlqn-q5LMJbGIsqOrzru4yowQz67dz2yc"", ""'APO'!BG3:BG139""),MATCH($D89,IMPORTRANGE(""1y0FWgjbB0gVlqn-q5LMJbGIsqOrzru4yowQz67dz2yc"", ""'APO'!D3:D139""),0))"),2438)</f>
        <v>2438</v>
      </c>
      <c r="Z89" s="12">
        <f ca="1">IFERROR(__xludf.DUMMYFUNCTION("INDEX(IMPORTRANGE(""1y0FWgjbB0gVlqn-q5LMJbGIsqOrzru4yowQz67dz2yc"", ""'APO'!BH3:BH139""),MATCH($D89,IMPORTRANGE(""1y0FWgjbB0gVlqn-q5LMJbGIsqOrzru4yowQz67dz2yc"", ""'APO'!D3:D139""),0))"),2058)</f>
        <v>2058</v>
      </c>
      <c r="AA89" s="12">
        <f ca="1">IFERROR(__xludf.DUMMYFUNCTION("INDEX(IMPORTRANGE(""1y0FWgjbB0gVlqn-q5LMJbGIsqOrzru4yowQz67dz2yc"", ""'APO'!BI3:BI139""),MATCH($D89,IMPORTRANGE(""1y0FWgjbB0gVlqn-q5LMJbGIsqOrzru4yowQz67dz2yc"", ""'APO'!D3:D139""),0))"),3922)</f>
        <v>3922</v>
      </c>
      <c r="AB89" s="12"/>
      <c r="AC89" s="12"/>
    </row>
    <row r="90" spans="1:29">
      <c r="A90" s="149" t="s">
        <v>243</v>
      </c>
      <c r="B90" s="149" t="s">
        <v>244</v>
      </c>
      <c r="C90" s="148" t="s">
        <v>36</v>
      </c>
      <c r="D90" s="149" t="s">
        <v>338</v>
      </c>
      <c r="E90" s="149" t="s">
        <v>38</v>
      </c>
      <c r="F90" s="9" t="s">
        <v>246</v>
      </c>
      <c r="G90" s="22" t="s">
        <v>56</v>
      </c>
      <c r="H90" s="2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3</v>
      </c>
      <c r="Q90" s="2">
        <v>3</v>
      </c>
      <c r="R90" s="22">
        <v>5</v>
      </c>
      <c r="S90" s="57">
        <v>3</v>
      </c>
      <c r="T90" s="22">
        <v>7</v>
      </c>
      <c r="U90" s="22">
        <v>5</v>
      </c>
      <c r="V90" s="22">
        <v>10</v>
      </c>
      <c r="W90" s="22">
        <v>10</v>
      </c>
      <c r="X90" s="2">
        <v>3</v>
      </c>
      <c r="Y90" s="2">
        <f ca="1">IFERROR(__xludf.DUMMYFUNCTION("INDEX(IMPORTRANGE(""1y0FWgjbB0gVlqn-q5LMJbGIsqOrzru4yowQz67dz2yc"", ""'APO'!BG3:BG139""),MATCH($D90,IMPORTRANGE(""1y0FWgjbB0gVlqn-q5LMJbGIsqOrzru4yowQz67dz2yc"", ""'APO'!D3:D139""),0))"),6)</f>
        <v>6</v>
      </c>
      <c r="Z90" s="2">
        <f ca="1">IFERROR(__xludf.DUMMYFUNCTION("INDEX(IMPORTRANGE(""1y0FWgjbB0gVlqn-q5LMJbGIsqOrzru4yowQz67dz2yc"", ""'APO'!BH3:BH139""),MATCH($D90,IMPORTRANGE(""1y0FWgjbB0gVlqn-q5LMJbGIsqOrzru4yowQz67dz2yc"", ""'APO'!D3:D139""),0))"),7)</f>
        <v>7</v>
      </c>
      <c r="AA90" s="2">
        <f ca="1">IFERROR(__xludf.DUMMYFUNCTION("INDEX(IMPORTRANGE(""1y0FWgjbB0gVlqn-q5LMJbGIsqOrzru4yowQz67dz2yc"", ""'APO'!BI3:BI139""),MATCH($D90,IMPORTRANGE(""1y0FWgjbB0gVlqn-q5LMJbGIsqOrzru4yowQz67dz2yc"", ""'APO'!D3:D139""),0))"),14)</f>
        <v>14</v>
      </c>
      <c r="AB90" s="2"/>
      <c r="AC90" s="2"/>
    </row>
    <row r="91" spans="1:29">
      <c r="A91" s="149" t="s">
        <v>243</v>
      </c>
      <c r="B91" s="149" t="s">
        <v>247</v>
      </c>
      <c r="C91" s="148" t="s">
        <v>36</v>
      </c>
      <c r="D91" s="149" t="s">
        <v>248</v>
      </c>
      <c r="E91" s="149" t="s">
        <v>38</v>
      </c>
      <c r="F91" s="9" t="s">
        <v>249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3</v>
      </c>
      <c r="Q91" s="2">
        <v>3</v>
      </c>
      <c r="R91" s="2">
        <v>4</v>
      </c>
      <c r="S91" s="2">
        <v>5</v>
      </c>
      <c r="T91" s="2">
        <v>5</v>
      </c>
      <c r="U91" s="2">
        <v>6</v>
      </c>
      <c r="V91" s="2">
        <v>6</v>
      </c>
      <c r="W91" s="2">
        <v>6</v>
      </c>
      <c r="X91" s="2">
        <v>5</v>
      </c>
      <c r="Y91" s="2">
        <f ca="1">IFERROR(__xludf.DUMMYFUNCTION("INDEX(IMPORTRANGE(""1y0FWgjbB0gVlqn-q5LMJbGIsqOrzru4yowQz67dz2yc"", ""'APO'!BG3:BG139""),MATCH($D91,IMPORTRANGE(""1y0FWgjbB0gVlqn-q5LMJbGIsqOrzru4yowQz67dz2yc"", ""'APO'!D3:D139""),0))"),5)</f>
        <v>5</v>
      </c>
      <c r="Z91" s="2">
        <f ca="1">IFERROR(__xludf.DUMMYFUNCTION("INDEX(IMPORTRANGE(""1y0FWgjbB0gVlqn-q5LMJbGIsqOrzru4yowQz67dz2yc"", ""'APO'!BH3:BH139""),MATCH($D91,IMPORTRANGE(""1y0FWgjbB0gVlqn-q5LMJbGIsqOrzru4yowQz67dz2yc"", ""'APO'!D3:D139""),0))"),5)</f>
        <v>5</v>
      </c>
      <c r="AA91" s="2">
        <f ca="1">IFERROR(__xludf.DUMMYFUNCTION("INDEX(IMPORTRANGE(""1y0FWgjbB0gVlqn-q5LMJbGIsqOrzru4yowQz67dz2yc"", ""'APO'!BI3:BI139""),MATCH($D91,IMPORTRANGE(""1y0FWgjbB0gVlqn-q5LMJbGIsqOrzru4yowQz67dz2yc"", ""'APO'!D3:D139""),0))"),6)</f>
        <v>6</v>
      </c>
      <c r="AB91" s="2"/>
      <c r="AC91" s="2"/>
    </row>
    <row r="92" spans="1:29">
      <c r="A92" s="149" t="s">
        <v>243</v>
      </c>
      <c r="B92" s="149" t="s">
        <v>250</v>
      </c>
      <c r="C92" s="148" t="s">
        <v>36</v>
      </c>
      <c r="D92" s="149" t="s">
        <v>251</v>
      </c>
      <c r="E92" s="149" t="s">
        <v>252</v>
      </c>
      <c r="F92" s="9" t="s">
        <v>253</v>
      </c>
      <c r="G92" s="10">
        <v>44469</v>
      </c>
      <c r="H92" s="10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f ca="1">IFERROR(__xludf.DUMMYFUNCTION("INDEX(IMPORTRANGE(""1y0FWgjbB0gVlqn-q5LMJbGIsqOrzru4yowQz67dz2yc"", ""'APO'!BG3:BG139""),MATCH($D92,IMPORTRANGE(""1y0FWgjbB0gVlqn-q5LMJbGIsqOrzru4yowQz67dz2yc"", ""'APO'!D3:D139""),0))"),100)</f>
        <v>100</v>
      </c>
      <c r="Z92" s="2">
        <f ca="1">IFERROR(__xludf.DUMMYFUNCTION("INDEX(IMPORTRANGE(""1y0FWgjbB0gVlqn-q5LMJbGIsqOrzru4yowQz67dz2yc"", ""'APO'!BH3:BH139""),MATCH($D92,IMPORTRANGE(""1y0FWgjbB0gVlqn-q5LMJbGIsqOrzru4yowQz67dz2yc"", ""'APO'!D3:D139""),0))"),100)</f>
        <v>100</v>
      </c>
      <c r="AA92" s="2">
        <f ca="1">IFERROR(__xludf.DUMMYFUNCTION("INDEX(IMPORTRANGE(""1y0FWgjbB0gVlqn-q5LMJbGIsqOrzru4yowQz67dz2yc"", ""'APO'!BI3:BI139""),MATCH($D92,IMPORTRANGE(""1y0FWgjbB0gVlqn-q5LMJbGIsqOrzru4yowQz67dz2yc"", ""'APO'!D3:D139""),0))"),100)</f>
        <v>100</v>
      </c>
      <c r="AB92" s="2"/>
      <c r="AC92" s="2"/>
    </row>
    <row r="93" spans="1:29">
      <c r="A93" s="149" t="s">
        <v>243</v>
      </c>
      <c r="B93" s="149" t="s">
        <v>257</v>
      </c>
      <c r="C93" s="148" t="s">
        <v>36</v>
      </c>
      <c r="D93" s="149" t="s">
        <v>258</v>
      </c>
      <c r="E93" s="149" t="s">
        <v>38</v>
      </c>
      <c r="F93" s="9" t="s">
        <v>259</v>
      </c>
      <c r="G93" s="10">
        <v>44469</v>
      </c>
      <c r="H93" s="10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4">
        <f ca="1">IFERROR(__xludf.DUMMYFUNCTION("INDEX(IMPORTRANGE(""1y0FWgjbB0gVlqn-q5LMJbGIsqOrzru4yowQz67dz2yc"", ""'APO'!BG3:BG139""),MATCH($D93,IMPORTRANGE(""1y0FWgjbB0gVlqn-q5LMJbGIsqOrzru4yowQz67dz2yc"", ""'APO'!D3:D139""),0))"),3.17045454545454)</f>
        <v>3.1704545454545401</v>
      </c>
      <c r="Z93" s="24">
        <f ca="1">IFERROR(__xludf.DUMMYFUNCTION("INDEX(IMPORTRANGE(""1y0FWgjbB0gVlqn-q5LMJbGIsqOrzru4yowQz67dz2yc"", ""'APO'!BH3:BH139""),MATCH($D93,IMPORTRANGE(""1y0FWgjbB0gVlqn-q5LMJbGIsqOrzru4yowQz67dz2yc"", ""'APO'!D3:D139""),0))"),2.85849444672974)</f>
        <v>2.8584944467297402</v>
      </c>
      <c r="AA93" s="24">
        <f ca="1">IFERROR(__xludf.DUMMYFUNCTION("INDEX(IMPORTRANGE(""1y0FWgjbB0gVlqn-q5LMJbGIsqOrzru4yowQz67dz2yc"", ""'APO'!BI3:BI139""),MATCH($D93,IMPORTRANGE(""1y0FWgjbB0gVlqn-q5LMJbGIsqOrzru4yowQz67dz2yc"", ""'APO'!D3:D139""),0))"),2.96750308515014)</f>
        <v>2.9675030851501401</v>
      </c>
      <c r="AB93" s="24"/>
      <c r="AC93" s="24"/>
    </row>
    <row r="94" spans="1:29">
      <c r="A94" s="149" t="s">
        <v>243</v>
      </c>
      <c r="B94" s="149" t="s">
        <v>260</v>
      </c>
      <c r="C94" s="148" t="s">
        <v>30</v>
      </c>
      <c r="D94" s="149" t="s">
        <v>261</v>
      </c>
      <c r="E94" s="149" t="s">
        <v>38</v>
      </c>
      <c r="F94" s="9" t="s">
        <v>262</v>
      </c>
      <c r="G94" s="10">
        <v>44469</v>
      </c>
      <c r="H94" s="157"/>
      <c r="I94" s="11">
        <v>44651</v>
      </c>
      <c r="J94" s="13"/>
      <c r="K94" s="11">
        <v>45016</v>
      </c>
      <c r="L94" s="13"/>
      <c r="M94" s="11">
        <v>45382</v>
      </c>
      <c r="N94" s="4"/>
      <c r="O94" s="11">
        <v>45565</v>
      </c>
      <c r="P94" s="13"/>
      <c r="Q94" s="13"/>
      <c r="R94" s="13"/>
      <c r="S94" s="13"/>
      <c r="T94" s="13"/>
      <c r="U94" s="13"/>
      <c r="V94" s="13"/>
      <c r="W94" s="13"/>
      <c r="X94" s="2">
        <v>5</v>
      </c>
      <c r="Y94" s="2">
        <f ca="1">IFERROR(__xludf.DUMMYFUNCTION("INDEX(IMPORTRANGE(""1y0FWgjbB0gVlqn-q5LMJbGIsqOrzru4yowQz67dz2yc"", ""'APO'!BG3:BG139""),MATCH($D94,IMPORTRANGE(""1y0FWgjbB0gVlqn-q5LMJbGIsqOrzru4yowQz67dz2yc"", ""'APO'!D3:D139""),0))"),5)</f>
        <v>5</v>
      </c>
      <c r="Z94" s="2">
        <f ca="1">IFERROR(__xludf.DUMMYFUNCTION("INDEX(IMPORTRANGE(""1y0FWgjbB0gVlqn-q5LMJbGIsqOrzru4yowQz67dz2yc"", ""'APO'!BH3:BH139""),MATCH($D94,IMPORTRANGE(""1y0FWgjbB0gVlqn-q5LMJbGIsqOrzru4yowQz67dz2yc"", ""'APO'!D3:D139""),0))"),6)</f>
        <v>6</v>
      </c>
      <c r="AA94" s="2" t="str">
        <f ca="1">IFERROR(__xludf.DUMMYFUNCTION("INDEX(IMPORTRANGE(""1y0FWgjbB0gVlqn-q5LMJbGIsqOrzru4yowQz67dz2yc"", ""'APO'!BI3:BI139""),MATCH($D94,IMPORTRANGE(""1y0FWgjbB0gVlqn-q5LMJbGIsqOrzru4yowQz67dz2yc"", ""'APO'!D3:D139""),0))"),"")</f>
        <v/>
      </c>
      <c r="AB94" s="2"/>
      <c r="AC94" s="2"/>
    </row>
    <row r="95" spans="1:29">
      <c r="A95" s="149" t="s">
        <v>243</v>
      </c>
      <c r="B95" s="149" t="s">
        <v>260</v>
      </c>
      <c r="C95" s="148" t="s">
        <v>30</v>
      </c>
      <c r="D95" s="149" t="s">
        <v>263</v>
      </c>
      <c r="E95" s="149" t="s">
        <v>38</v>
      </c>
      <c r="F95" s="9" t="s">
        <v>264</v>
      </c>
      <c r="G95" s="10">
        <v>44469</v>
      </c>
      <c r="H95" s="158"/>
      <c r="I95" s="11">
        <v>44651</v>
      </c>
      <c r="J95" s="13"/>
      <c r="K95" s="11">
        <v>45016</v>
      </c>
      <c r="L95" s="13"/>
      <c r="M95" s="11">
        <v>45382</v>
      </c>
      <c r="N95" s="4"/>
      <c r="O95" s="11">
        <v>45565</v>
      </c>
      <c r="P95" s="13"/>
      <c r="Q95" s="13"/>
      <c r="R95" s="13"/>
      <c r="S95" s="13"/>
      <c r="T95" s="13"/>
      <c r="U95" s="13"/>
      <c r="V95" s="13"/>
      <c r="W95" s="13"/>
      <c r="X95" s="2">
        <v>17</v>
      </c>
      <c r="Y95" s="2">
        <f ca="1">IFERROR(__xludf.DUMMYFUNCTION("INDEX(IMPORTRANGE(""1y0FWgjbB0gVlqn-q5LMJbGIsqOrzru4yowQz67dz2yc"", ""'APO'!BG3:BG139""),MATCH($D95,IMPORTRANGE(""1y0FWgjbB0gVlqn-q5LMJbGIsqOrzru4yowQz67dz2yc"", ""'APO'!D3:D139""),0))"),17)</f>
        <v>17</v>
      </c>
      <c r="Z95" s="2">
        <f ca="1">IFERROR(__xludf.DUMMYFUNCTION("INDEX(IMPORTRANGE(""1y0FWgjbB0gVlqn-q5LMJbGIsqOrzru4yowQz67dz2yc"", ""'APO'!BH3:BH139""),MATCH($D95,IMPORTRANGE(""1y0FWgjbB0gVlqn-q5LMJbGIsqOrzru4yowQz67dz2yc"", ""'APO'!D3:D139""),0))"),17)</f>
        <v>17</v>
      </c>
      <c r="AA95" s="2">
        <f ca="1">IFERROR(__xludf.DUMMYFUNCTION("INDEX(IMPORTRANGE(""1y0FWgjbB0gVlqn-q5LMJbGIsqOrzru4yowQz67dz2yc"", ""'APO'!BI3:BI139""),MATCH($D95,IMPORTRANGE(""1y0FWgjbB0gVlqn-q5LMJbGIsqOrzru4yowQz67dz2yc"", ""'APO'!D3:D139""),0))"),0)</f>
        <v>0</v>
      </c>
      <c r="AB95" s="2"/>
      <c r="AC95" s="2"/>
    </row>
    <row r="96" spans="1:29">
      <c r="A96" s="149" t="s">
        <v>243</v>
      </c>
      <c r="B96" s="149" t="s">
        <v>260</v>
      </c>
      <c r="C96" s="148" t="s">
        <v>30</v>
      </c>
      <c r="D96" s="149" t="s">
        <v>265</v>
      </c>
      <c r="E96" s="149" t="s">
        <v>38</v>
      </c>
      <c r="F96" s="9" t="s">
        <v>266</v>
      </c>
      <c r="G96" s="10">
        <v>44469</v>
      </c>
      <c r="H96" s="158"/>
      <c r="I96" s="11">
        <v>44651</v>
      </c>
      <c r="J96" s="13"/>
      <c r="K96" s="11">
        <v>45016</v>
      </c>
      <c r="L96" s="13"/>
      <c r="M96" s="11">
        <v>45382</v>
      </c>
      <c r="N96" s="4"/>
      <c r="O96" s="11">
        <v>45565</v>
      </c>
      <c r="P96" s="13"/>
      <c r="Q96" s="13"/>
      <c r="R96" s="13"/>
      <c r="S96" s="13"/>
      <c r="T96" s="13"/>
      <c r="U96" s="13"/>
      <c r="V96" s="13"/>
      <c r="W96" s="13"/>
      <c r="X96" s="2">
        <v>4</v>
      </c>
      <c r="Y96" s="2">
        <f ca="1">IFERROR(__xludf.DUMMYFUNCTION("INDEX(IMPORTRANGE(""1y0FWgjbB0gVlqn-q5LMJbGIsqOrzru4yowQz67dz2yc"", ""'APO'!BG3:BG139""),MATCH($D96,IMPORTRANGE(""1y0FWgjbB0gVlqn-q5LMJbGIsqOrzru4yowQz67dz2yc"", ""'APO'!D3:D139""),0))"),4)</f>
        <v>4</v>
      </c>
      <c r="Z96" s="2">
        <f ca="1">IFERROR(__xludf.DUMMYFUNCTION("INDEX(IMPORTRANGE(""1y0FWgjbB0gVlqn-q5LMJbGIsqOrzru4yowQz67dz2yc"", ""'APO'!BH3:BH139""),MATCH($D96,IMPORTRANGE(""1y0FWgjbB0gVlqn-q5LMJbGIsqOrzru4yowQz67dz2yc"", ""'APO'!D3:D139""),0))"),4)</f>
        <v>4</v>
      </c>
      <c r="AA96" s="2" t="str">
        <f ca="1">IFERROR(__xludf.DUMMYFUNCTION("INDEX(IMPORTRANGE(""1y0FWgjbB0gVlqn-q5LMJbGIsqOrzru4yowQz67dz2yc"", ""'APO'!BI3:BI139""),MATCH($D96,IMPORTRANGE(""1y0FWgjbB0gVlqn-q5LMJbGIsqOrzru4yowQz67dz2yc"", ""'APO'!D3:D139""),0))"),"")</f>
        <v/>
      </c>
      <c r="AB96" s="2"/>
      <c r="AC96" s="2"/>
    </row>
    <row r="97" spans="1:29">
      <c r="A97" s="149" t="s">
        <v>243</v>
      </c>
      <c r="B97" s="149" t="s">
        <v>260</v>
      </c>
      <c r="C97" s="148" t="s">
        <v>30</v>
      </c>
      <c r="D97" s="149" t="s">
        <v>267</v>
      </c>
      <c r="E97" s="149" t="s">
        <v>38</v>
      </c>
      <c r="F97" s="9" t="s">
        <v>268</v>
      </c>
      <c r="G97" s="10">
        <v>44469</v>
      </c>
      <c r="H97" s="158"/>
      <c r="I97" s="11">
        <v>44651</v>
      </c>
      <c r="J97" s="13"/>
      <c r="K97" s="11">
        <v>45016</v>
      </c>
      <c r="L97" s="13"/>
      <c r="M97" s="11">
        <v>45382</v>
      </c>
      <c r="N97" s="4"/>
      <c r="O97" s="11">
        <v>45565</v>
      </c>
      <c r="P97" s="13"/>
      <c r="Q97" s="13"/>
      <c r="R97" s="13"/>
      <c r="S97" s="13"/>
      <c r="T97" s="13"/>
      <c r="U97" s="13"/>
      <c r="V97" s="13"/>
      <c r="W97" s="13"/>
      <c r="X97" s="2">
        <v>9</v>
      </c>
      <c r="Y97" s="2">
        <f ca="1">IFERROR(__xludf.DUMMYFUNCTION("INDEX(IMPORTRANGE(""1y0FWgjbB0gVlqn-q5LMJbGIsqOrzru4yowQz67dz2yc"", ""'APO'!BG3:BG139""),MATCH($D97,IMPORTRANGE(""1y0FWgjbB0gVlqn-q5LMJbGIsqOrzru4yowQz67dz2yc"", ""'APO'!D3:D139""),0))"),11)</f>
        <v>11</v>
      </c>
      <c r="Z97" s="2">
        <f ca="1">IFERROR(__xludf.DUMMYFUNCTION("INDEX(IMPORTRANGE(""1y0FWgjbB0gVlqn-q5LMJbGIsqOrzru4yowQz67dz2yc"", ""'APO'!BH3:BH139""),MATCH($D97,IMPORTRANGE(""1y0FWgjbB0gVlqn-q5LMJbGIsqOrzru4yowQz67dz2yc"", ""'APO'!D3:D139""),0))"),11)</f>
        <v>11</v>
      </c>
      <c r="AA97" s="2">
        <f ca="1">IFERROR(__xludf.DUMMYFUNCTION("INDEX(IMPORTRANGE(""1y0FWgjbB0gVlqn-q5LMJbGIsqOrzru4yowQz67dz2yc"", ""'APO'!BI3:BI139""),MATCH($D97,IMPORTRANGE(""1y0FWgjbB0gVlqn-q5LMJbGIsqOrzru4yowQz67dz2yc"", ""'APO'!D3:D139""),0))"),0)</f>
        <v>0</v>
      </c>
      <c r="AB97" s="2"/>
      <c r="AC97" s="2"/>
    </row>
    <row r="98" spans="1:29">
      <c r="A98" s="149" t="s">
        <v>243</v>
      </c>
      <c r="B98" s="149" t="s">
        <v>260</v>
      </c>
      <c r="C98" s="148" t="s">
        <v>30</v>
      </c>
      <c r="D98" s="149" t="s">
        <v>269</v>
      </c>
      <c r="E98" s="149" t="s">
        <v>38</v>
      </c>
      <c r="F98" s="9" t="s">
        <v>270</v>
      </c>
      <c r="G98" s="10">
        <v>44469</v>
      </c>
      <c r="H98" s="158"/>
      <c r="I98" s="11">
        <v>44651</v>
      </c>
      <c r="J98" s="13"/>
      <c r="K98" s="11">
        <v>45016</v>
      </c>
      <c r="L98" s="13"/>
      <c r="M98" s="11">
        <v>45382</v>
      </c>
      <c r="N98" s="4"/>
      <c r="O98" s="11">
        <v>45565</v>
      </c>
      <c r="P98" s="13"/>
      <c r="Q98" s="13"/>
      <c r="R98" s="13"/>
      <c r="S98" s="13"/>
      <c r="T98" s="13"/>
      <c r="U98" s="13"/>
      <c r="V98" s="13"/>
      <c r="W98" s="13"/>
      <c r="X98" s="2">
        <v>22</v>
      </c>
      <c r="Y98" s="2">
        <f ca="1">IFERROR(__xludf.DUMMYFUNCTION("INDEX(IMPORTRANGE(""1y0FWgjbB0gVlqn-q5LMJbGIsqOrzru4yowQz67dz2yc"", ""'APO'!BG3:BG139""),MATCH($D98,IMPORTRANGE(""1y0FWgjbB0gVlqn-q5LMJbGIsqOrzru4yowQz67dz2yc"", ""'APO'!D3:D139""),0))"),27)</f>
        <v>27</v>
      </c>
      <c r="Z98" s="2">
        <f ca="1">IFERROR(__xludf.DUMMYFUNCTION("INDEX(IMPORTRANGE(""1y0FWgjbB0gVlqn-q5LMJbGIsqOrzru4yowQz67dz2yc"", ""'APO'!BH3:BH139""),MATCH($D98,IMPORTRANGE(""1y0FWgjbB0gVlqn-q5LMJbGIsqOrzru4yowQz67dz2yc"", ""'APO'!D3:D139""),0))"),28)</f>
        <v>28</v>
      </c>
      <c r="AA98" s="2" t="str">
        <f ca="1">IFERROR(__xludf.DUMMYFUNCTION("INDEX(IMPORTRANGE(""1y0FWgjbB0gVlqn-q5LMJbGIsqOrzru4yowQz67dz2yc"", ""'APO'!BI3:BI139""),MATCH($D98,IMPORTRANGE(""1y0FWgjbB0gVlqn-q5LMJbGIsqOrzru4yowQz67dz2yc"", ""'APO'!D3:D139""),0))"),"")</f>
        <v/>
      </c>
      <c r="AB98" s="2"/>
      <c r="AC98" s="2"/>
    </row>
    <row r="99" spans="1:29">
      <c r="A99" s="149" t="s">
        <v>243</v>
      </c>
      <c r="B99" s="149" t="s">
        <v>260</v>
      </c>
      <c r="C99" s="148" t="s">
        <v>30</v>
      </c>
      <c r="D99" s="149" t="s">
        <v>271</v>
      </c>
      <c r="E99" s="149" t="s">
        <v>38</v>
      </c>
      <c r="F99" s="9" t="s">
        <v>272</v>
      </c>
      <c r="G99" s="10">
        <v>44469</v>
      </c>
      <c r="H99" s="158"/>
      <c r="I99" s="11">
        <v>44651</v>
      </c>
      <c r="J99" s="13"/>
      <c r="K99" s="11">
        <v>45016</v>
      </c>
      <c r="L99" s="13"/>
      <c r="M99" s="11">
        <v>45382</v>
      </c>
      <c r="N99" s="4"/>
      <c r="O99" s="11">
        <v>45565</v>
      </c>
      <c r="P99" s="13"/>
      <c r="Q99" s="13"/>
      <c r="R99" s="13"/>
      <c r="S99" s="13"/>
      <c r="T99" s="13"/>
      <c r="U99" s="13"/>
      <c r="V99" s="13"/>
      <c r="W99" s="13"/>
      <c r="X99" s="2">
        <v>67</v>
      </c>
      <c r="Y99" s="2">
        <f ca="1">IFERROR(__xludf.DUMMYFUNCTION("INDEX(IMPORTRANGE(""1y0FWgjbB0gVlqn-q5LMJbGIsqOrzru4yowQz67dz2yc"", ""'APO'!BG3:BG139""),MATCH($D99,IMPORTRANGE(""1y0FWgjbB0gVlqn-q5LMJbGIsqOrzru4yowQz67dz2yc"", ""'APO'!D3:D139""),0))"),73)</f>
        <v>73</v>
      </c>
      <c r="Z99" s="2">
        <f ca="1">IFERROR(__xludf.DUMMYFUNCTION("INDEX(IMPORTRANGE(""1y0FWgjbB0gVlqn-q5LMJbGIsqOrzru4yowQz67dz2yc"", ""'APO'!BH3:BH139""),MATCH($D99,IMPORTRANGE(""1y0FWgjbB0gVlqn-q5LMJbGIsqOrzru4yowQz67dz2yc"", ""'APO'!D3:D139""),0))"),73)</f>
        <v>73</v>
      </c>
      <c r="AA99" s="2">
        <f ca="1">IFERROR(__xludf.DUMMYFUNCTION("INDEX(IMPORTRANGE(""1y0FWgjbB0gVlqn-q5LMJbGIsqOrzru4yowQz67dz2yc"", ""'APO'!BI3:BI139""),MATCH($D99,IMPORTRANGE(""1y0FWgjbB0gVlqn-q5LMJbGIsqOrzru4yowQz67dz2yc"", ""'APO'!D3:D139""),0))"),0)</f>
        <v>0</v>
      </c>
      <c r="AB99" s="2"/>
      <c r="AC99" s="2"/>
    </row>
    <row r="100" spans="1:29">
      <c r="A100" s="149" t="s">
        <v>243</v>
      </c>
      <c r="B100" s="149" t="s">
        <v>260</v>
      </c>
      <c r="C100" s="148" t="s">
        <v>36</v>
      </c>
      <c r="D100" s="149" t="s">
        <v>273</v>
      </c>
      <c r="E100" s="149" t="s">
        <v>38</v>
      </c>
      <c r="F100" s="9" t="s">
        <v>274</v>
      </c>
      <c r="G100" s="10">
        <v>44469</v>
      </c>
      <c r="H100" s="59"/>
      <c r="I100" s="11">
        <v>44651</v>
      </c>
      <c r="J100" s="4"/>
      <c r="K100" s="11">
        <v>45016</v>
      </c>
      <c r="L100" s="4"/>
      <c r="M100" s="11">
        <v>45382</v>
      </c>
      <c r="N100" s="4"/>
      <c r="O100" s="11">
        <v>45565</v>
      </c>
      <c r="P100" s="4"/>
      <c r="Q100" s="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0.33333333333333331</v>
      </c>
      <c r="Y100" s="15">
        <f ca="1">IFERROR(__xludf.DUMMYFUNCTION("INDEX(IMPORTRANGE(""1y0FWgjbB0gVlqn-q5LMJbGIsqOrzru4yowQz67dz2yc"", ""'APO'!BG3:BG139""),MATCH($D100,IMPORTRANGE(""1y0FWgjbB0gVlqn-q5LMJbGIsqOrzru4yowQz67dz2yc"", ""'APO'!D3:D139""),0))"),0.356435643564356)</f>
        <v>0.35643564356435598</v>
      </c>
      <c r="Z100" s="15">
        <f ca="1">IFERROR(__xludf.DUMMYFUNCTION("INDEX(IMPORTRANGE(""1y0FWgjbB0gVlqn-q5LMJbGIsqOrzru4yowQz67dz2yc"", ""'APO'!BH3:BH139""),MATCH($D100,IMPORTRANGE(""1y0FWgjbB0gVlqn-q5LMJbGIsqOrzru4yowQz67dz2yc"", ""'APO'!D3:D139""),0))"),0.376237623762376)</f>
        <v>0.37623762376237602</v>
      </c>
      <c r="AA100" s="24" t="str">
        <f ca="1">IFERROR(__xludf.DUMMYFUNCTION("INDEX(IMPORTRANGE(""1y0FWgjbB0gVlqn-q5LMJbGIsqOrzru4yowQz67dz2yc"", ""'APO'!BI3:BI139""),MATCH($D100,IMPORTRANGE(""1y0FWgjbB0gVlqn-q5LMJbGIsqOrzru4yowQz67dz2yc"", ""'APO'!D3:D139""),0))"),"")</f>
        <v/>
      </c>
      <c r="AB100" s="15"/>
      <c r="AC100" s="15"/>
    </row>
    <row r="101" spans="1:29">
      <c r="A101" s="149" t="s">
        <v>275</v>
      </c>
      <c r="B101" s="149" t="s">
        <v>276</v>
      </c>
      <c r="C101" s="148" t="s">
        <v>30</v>
      </c>
      <c r="D101" s="149" t="s">
        <v>277</v>
      </c>
      <c r="E101" s="149" t="s">
        <v>278</v>
      </c>
      <c r="F101" s="9" t="s">
        <v>279</v>
      </c>
      <c r="G101" s="159" t="s">
        <v>213</v>
      </c>
      <c r="H101" s="156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2" t="s">
        <v>218</v>
      </c>
      <c r="O101" s="2" t="s">
        <v>218</v>
      </c>
      <c r="P101" s="36">
        <v>1031576851.17</v>
      </c>
      <c r="Q101" s="36">
        <v>1031576851.17</v>
      </c>
      <c r="R101" s="13"/>
      <c r="S101" s="13"/>
      <c r="T101" s="13"/>
      <c r="U101" s="13"/>
      <c r="V101" s="13"/>
      <c r="W101" s="13"/>
      <c r="X101" s="36">
        <v>1031576851.17</v>
      </c>
      <c r="Y101" s="4" t="str">
        <f ca="1">IFERROR(__xludf.DUMMYFUNCTION("INDEX(IMPORTRANGE(""1y0FWgjbB0gVlqn-q5LMJbGIsqOrzru4yowQz67dz2yc"", ""'APO'!BG3:BG139""),MATCH($D101,IMPORTRANGE(""1y0FWgjbB0gVlqn-q5LMJbGIsqOrzru4yowQz67dz2yc"", ""'APO'!D3:D139""),0))"),"")</f>
        <v/>
      </c>
      <c r="Z101" s="36">
        <f ca="1">IFERROR(__xludf.DUMMYFUNCTION("INDEX(IMPORTRANGE(""1y0FWgjbB0gVlqn-q5LMJbGIsqOrzru4yowQz67dz2yc"", ""'APO'!BH3:BH139""),MATCH($D101,IMPORTRANGE(""1y0FWgjbB0gVlqn-q5LMJbGIsqOrzru4yowQz67dz2yc"", ""'APO'!D3:D139""),0))"),1176864063.45)</f>
        <v>1176864063.45</v>
      </c>
      <c r="AA101" s="178" t="str">
        <f ca="1">IFERROR(__xludf.DUMMYFUNCTION("INDEX(IMPORTRANGE(""1y0FWgjbB0gVlqn-q5LMJbGIsqOrzru4yowQz67dz2yc"", ""'APO'!BI3:BI139""),MATCH($D101,IMPORTRANGE(""1y0FWgjbB0gVlqn-q5LMJbGIsqOrzru4yowQz67dz2yc"", ""'APO'!D3:D139""),0))"),"")</f>
        <v/>
      </c>
      <c r="AB101" s="2"/>
      <c r="AC101" s="36"/>
    </row>
    <row r="102" spans="1:29">
      <c r="A102" s="149" t="s">
        <v>275</v>
      </c>
      <c r="B102" s="149" t="s">
        <v>276</v>
      </c>
      <c r="C102" s="148" t="s">
        <v>30</v>
      </c>
      <c r="D102" s="149" t="s">
        <v>280</v>
      </c>
      <c r="E102" s="149" t="s">
        <v>278</v>
      </c>
      <c r="F102" s="9" t="s">
        <v>281</v>
      </c>
      <c r="G102" s="155" t="s">
        <v>213</v>
      </c>
      <c r="H102" s="156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2" t="s">
        <v>218</v>
      </c>
      <c r="O102" s="2" t="s">
        <v>218</v>
      </c>
      <c r="P102" s="36">
        <v>2318688211.6999998</v>
      </c>
      <c r="Q102" s="36">
        <v>2318688211.6999998</v>
      </c>
      <c r="R102" s="13"/>
      <c r="S102" s="13"/>
      <c r="T102" s="13"/>
      <c r="U102" s="13"/>
      <c r="V102" s="13"/>
      <c r="W102" s="13"/>
      <c r="X102" s="36">
        <v>2318688211.6999998</v>
      </c>
      <c r="Y102" s="4" t="str">
        <f ca="1">IFERROR(__xludf.DUMMYFUNCTION("INDEX(IMPORTRANGE(""1y0FWgjbB0gVlqn-q5LMJbGIsqOrzru4yowQz67dz2yc"", ""'APO'!BG3:BG139""),MATCH($D102,IMPORTRANGE(""1y0FWgjbB0gVlqn-q5LMJbGIsqOrzru4yowQz67dz2yc"", ""'APO'!D3:D139""),0))"),"")</f>
        <v/>
      </c>
      <c r="Z102" s="36">
        <f ca="1">IFERROR(__xludf.DUMMYFUNCTION("INDEX(IMPORTRANGE(""1y0FWgjbB0gVlqn-q5LMJbGIsqOrzru4yowQz67dz2yc"", ""'APO'!BH3:BH139""),MATCH($D102,IMPORTRANGE(""1y0FWgjbB0gVlqn-q5LMJbGIsqOrzru4yowQz67dz2yc"", ""'APO'!D3:D139""),0))"),2800159859.21)</f>
        <v>2800159859.21</v>
      </c>
      <c r="AA102" s="178" t="str">
        <f ca="1">IFERROR(__xludf.DUMMYFUNCTION("INDEX(IMPORTRANGE(""1y0FWgjbB0gVlqn-q5LMJbGIsqOrzru4yowQz67dz2yc"", ""'APO'!BI3:BI139""),MATCH($D102,IMPORTRANGE(""1y0FWgjbB0gVlqn-q5LMJbGIsqOrzru4yowQz67dz2yc"", ""'APO'!D3:D139""),0))"),"")</f>
        <v/>
      </c>
      <c r="AB102" s="2"/>
      <c r="AC102" s="36"/>
    </row>
    <row r="103" spans="1:29">
      <c r="A103" s="149" t="s">
        <v>275</v>
      </c>
      <c r="B103" s="149" t="s">
        <v>276</v>
      </c>
      <c r="C103" s="148" t="s">
        <v>36</v>
      </c>
      <c r="D103" s="149" t="s">
        <v>282</v>
      </c>
      <c r="E103" s="149" t="s">
        <v>278</v>
      </c>
      <c r="F103" s="9" t="s">
        <v>283</v>
      </c>
      <c r="G103" s="21" t="s">
        <v>213</v>
      </c>
      <c r="H103" s="2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3">P101/P102</f>
        <v>0.44489675065612877</v>
      </c>
      <c r="Q103" s="15">
        <f t="shared" si="23"/>
        <v>0.44489675065612877</v>
      </c>
      <c r="R103" s="2"/>
      <c r="S103" s="15">
        <f>P103+($W$103-$P$103)/3</f>
        <v>0.46326450043741918</v>
      </c>
      <c r="T103" s="2"/>
      <c r="U103" s="15">
        <f>S103+($W$103-$P$103)/3</f>
        <v>0.48163225021870959</v>
      </c>
      <c r="V103" s="14">
        <v>0.5</v>
      </c>
      <c r="W103" s="14">
        <v>0.5</v>
      </c>
      <c r="X103" s="15">
        <f>X101/X102</f>
        <v>0.44489675065612877</v>
      </c>
      <c r="Y103" s="4" t="str">
        <f ca="1">IFERROR(__xludf.DUMMYFUNCTION("INDEX(IMPORTRANGE(""1y0FWgjbB0gVlqn-q5LMJbGIsqOrzru4yowQz67dz2yc"", ""'APO'!BG3:BG139""),MATCH($D103,IMPORTRANGE(""1y0FWgjbB0gVlqn-q5LMJbGIsqOrzru4yowQz67dz2yc"", ""'APO'!D3:D139""),0))"),"")</f>
        <v/>
      </c>
      <c r="Z103" s="15">
        <f ca="1">IFERROR(__xludf.DUMMYFUNCTION("INDEX(IMPORTRANGE(""1y0FWgjbB0gVlqn-q5LMJbGIsqOrzru4yowQz67dz2yc"", ""'APO'!BH3:BH139""),MATCH($D103,IMPORTRANGE(""1y0FWgjbB0gVlqn-q5LMJbGIsqOrzru4yowQz67dz2yc"", ""'APO'!D3:D139""),0))"),0.420284598959298)</f>
        <v>0.42028459895929798</v>
      </c>
      <c r="AA103" s="179" t="str">
        <f ca="1">IFERROR(__xludf.DUMMYFUNCTION("INDEX(IMPORTRANGE(""1y0FWgjbB0gVlqn-q5LMJbGIsqOrzru4yowQz67dz2yc"", ""'APO'!BI3:BI139""),MATCH($D103,IMPORTRANGE(""1y0FWgjbB0gVlqn-q5LMJbGIsqOrzru4yowQz67dz2yc"", ""'APO'!D3:D139""),0))"),"")</f>
        <v/>
      </c>
      <c r="AB103" s="2"/>
      <c r="AC103" s="15"/>
    </row>
    <row r="104" spans="1:29">
      <c r="A104" s="149" t="s">
        <v>275</v>
      </c>
      <c r="B104" s="149" t="s">
        <v>284</v>
      </c>
      <c r="C104" s="148" t="s">
        <v>30</v>
      </c>
      <c r="D104" s="149" t="s">
        <v>285</v>
      </c>
      <c r="E104" s="149" t="s">
        <v>278</v>
      </c>
      <c r="F104" s="9" t="s">
        <v>286</v>
      </c>
      <c r="G104" s="155" t="s">
        <v>213</v>
      </c>
      <c r="H104" s="156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2" t="s">
        <v>218</v>
      </c>
      <c r="O104" s="2" t="s">
        <v>218</v>
      </c>
      <c r="P104" s="36">
        <v>1903248572.6500001</v>
      </c>
      <c r="Q104" s="36">
        <v>1903248572.6500001</v>
      </c>
      <c r="R104" s="13"/>
      <c r="S104" s="13"/>
      <c r="T104" s="13"/>
      <c r="U104" s="13"/>
      <c r="V104" s="13"/>
      <c r="W104" s="13"/>
      <c r="X104" s="36">
        <v>1903248572.6500001</v>
      </c>
      <c r="Y104" s="4" t="str">
        <f ca="1">IFERROR(__xludf.DUMMYFUNCTION("INDEX(IMPORTRANGE(""1y0FWgjbB0gVlqn-q5LMJbGIsqOrzru4yowQz67dz2yc"", ""'APO'!BG3:BG139""),MATCH($D104,IMPORTRANGE(""1y0FWgjbB0gVlqn-q5LMJbGIsqOrzru4yowQz67dz2yc"", ""'APO'!D3:D139""),0))"),"")</f>
        <v/>
      </c>
      <c r="Z104" s="36">
        <f ca="1">IFERROR(__xludf.DUMMYFUNCTION("INDEX(IMPORTRANGE(""1y0FWgjbB0gVlqn-q5LMJbGIsqOrzru4yowQz67dz2yc"", ""'APO'!BH3:BH139""),MATCH($D104,IMPORTRANGE(""1y0FWgjbB0gVlqn-q5LMJbGIsqOrzru4yowQz67dz2yc"", ""'APO'!D3:D139""),0))"),2230428654.02)</f>
        <v>2230428654.02</v>
      </c>
      <c r="AA104" s="178" t="str">
        <f ca="1">IFERROR(__xludf.DUMMYFUNCTION("INDEX(IMPORTRANGE(""1y0FWgjbB0gVlqn-q5LMJbGIsqOrzru4yowQz67dz2yc"", ""'APO'!BI3:BI139""),MATCH($D104,IMPORTRANGE(""1y0FWgjbB0gVlqn-q5LMJbGIsqOrzru4yowQz67dz2yc"", ""'APO'!D3:D139""),0))"),"")</f>
        <v/>
      </c>
      <c r="AB104" s="2"/>
      <c r="AC104" s="36"/>
    </row>
    <row r="105" spans="1:29">
      <c r="A105" s="149" t="s">
        <v>275</v>
      </c>
      <c r="B105" s="149" t="s">
        <v>276</v>
      </c>
      <c r="C105" s="148" t="s">
        <v>36</v>
      </c>
      <c r="D105" s="149" t="s">
        <v>287</v>
      </c>
      <c r="E105" s="149" t="s">
        <v>278</v>
      </c>
      <c r="F105" s="9" t="s">
        <v>288</v>
      </c>
      <c r="G105" s="21" t="s">
        <v>213</v>
      </c>
      <c r="H105" s="2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5">
        <f t="shared" ref="P105:Q105" si="24">P101/P104</f>
        <v>0.54200847224788795</v>
      </c>
      <c r="Q105" s="15">
        <f t="shared" si="24"/>
        <v>0.54200847224788795</v>
      </c>
      <c r="R105" s="2"/>
      <c r="S105" s="15">
        <v>0.55800000000000005</v>
      </c>
      <c r="T105" s="2"/>
      <c r="U105" s="15">
        <v>0.57399999999999995</v>
      </c>
      <c r="V105" s="14">
        <v>0.59</v>
      </c>
      <c r="W105" s="14">
        <f>V105</f>
        <v>0.59</v>
      </c>
      <c r="X105" s="15">
        <f>X101/X104</f>
        <v>0.54200847224788795</v>
      </c>
      <c r="Y105" s="4" t="str">
        <f ca="1">IFERROR(__xludf.DUMMYFUNCTION("INDEX(IMPORTRANGE(""1y0FWgjbB0gVlqn-q5LMJbGIsqOrzru4yowQz67dz2yc"", ""'APO'!BG3:BG139""),MATCH($D105,IMPORTRANGE(""1y0FWgjbB0gVlqn-q5LMJbGIsqOrzru4yowQz67dz2yc"", ""'APO'!D3:D139""),0))"),"")</f>
        <v/>
      </c>
      <c r="Z105" s="15">
        <f ca="1">IFERROR(__xludf.DUMMYFUNCTION("INDEX(IMPORTRANGE(""1y0FWgjbB0gVlqn-q5LMJbGIsqOrzru4yowQz67dz2yc"", ""'APO'!BH3:BH139""),MATCH($D105,IMPORTRANGE(""1y0FWgjbB0gVlqn-q5LMJbGIsqOrzru4yowQz67dz2yc"", ""'APO'!D3:D139""),0))"),0.527640308659452)</f>
        <v>0.527640308659452</v>
      </c>
      <c r="AA105" s="179" t="str">
        <f ca="1">IFERROR(__xludf.DUMMYFUNCTION("INDEX(IMPORTRANGE(""1y0FWgjbB0gVlqn-q5LMJbGIsqOrzru4yowQz67dz2yc"", ""'APO'!BI3:BI139""),MATCH($D105,IMPORTRANGE(""1y0FWgjbB0gVlqn-q5LMJbGIsqOrzru4yowQz67dz2yc"", ""'APO'!D3:D139""),0))"),"")</f>
        <v/>
      </c>
      <c r="AB105" s="2"/>
      <c r="AC105" s="15"/>
    </row>
    <row r="106" spans="1:29">
      <c r="A106" s="149" t="s">
        <v>275</v>
      </c>
      <c r="B106" s="149" t="s">
        <v>276</v>
      </c>
      <c r="C106" s="148" t="s">
        <v>30</v>
      </c>
      <c r="D106" s="149" t="s">
        <v>289</v>
      </c>
      <c r="E106" s="149" t="s">
        <v>38</v>
      </c>
      <c r="F106" s="9" t="s">
        <v>112</v>
      </c>
      <c r="G106" s="155" t="s">
        <v>254</v>
      </c>
      <c r="H106" s="155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49">
        <v>45536</v>
      </c>
      <c r="O106" s="2" t="s">
        <v>218</v>
      </c>
      <c r="P106" s="12">
        <v>250305</v>
      </c>
      <c r="Q106" s="12">
        <v>250305</v>
      </c>
      <c r="R106" s="13"/>
      <c r="S106" s="13"/>
      <c r="T106" s="13"/>
      <c r="U106" s="13"/>
      <c r="V106" s="13"/>
      <c r="W106" s="13"/>
      <c r="X106" s="12">
        <v>250305</v>
      </c>
      <c r="Y106" s="4" t="str">
        <f ca="1">IFERROR(__xludf.DUMMYFUNCTION("INDEX(IMPORTRANGE(""1y0FWgjbB0gVlqn-q5LMJbGIsqOrzru4yowQz67dz2yc"", ""'APO'!BG3:BG139""),MATCH($D106,IMPORTRANGE(""1y0FWgjbB0gVlqn-q5LMJbGIsqOrzru4yowQz67dz2yc"", ""'APO'!D3:D139""),0))"),"")</f>
        <v/>
      </c>
      <c r="Z106" s="12">
        <f ca="1">IFERROR(__xludf.DUMMYFUNCTION("INDEX(IMPORTRANGE(""1y0FWgjbB0gVlqn-q5LMJbGIsqOrzru4yowQz67dz2yc"", ""'APO'!BH3:BH139""),MATCH($D106,IMPORTRANGE(""1y0FWgjbB0gVlqn-q5LMJbGIsqOrzru4yowQz67dz2yc"", ""'APO'!D3:D139""),0))"),252942)</f>
        <v>252942</v>
      </c>
      <c r="AA106" s="6" t="str">
        <f ca="1">IFERROR(__xludf.DUMMYFUNCTION("INDEX(IMPORTRANGE(""1y0FWgjbB0gVlqn-q5LMJbGIsqOrzru4yowQz67dz2yc"", ""'APO'!BI3:BI139""),MATCH($D106,IMPORTRANGE(""1y0FWgjbB0gVlqn-q5LMJbGIsqOrzru4yowQz67dz2yc"", ""'APO'!D3:D139""),0))"),"")</f>
        <v/>
      </c>
      <c r="AB106" s="2"/>
      <c r="AC106" s="12"/>
    </row>
    <row r="107" spans="1:29">
      <c r="A107" s="149" t="s">
        <v>275</v>
      </c>
      <c r="B107" s="149" t="s">
        <v>276</v>
      </c>
      <c r="C107" s="148" t="s">
        <v>30</v>
      </c>
      <c r="D107" s="149" t="s">
        <v>290</v>
      </c>
      <c r="E107" s="149" t="s">
        <v>38</v>
      </c>
      <c r="F107" s="9" t="s">
        <v>291</v>
      </c>
      <c r="G107" s="155" t="s">
        <v>213</v>
      </c>
      <c r="H107" s="156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2" t="s">
        <v>218</v>
      </c>
      <c r="O107" s="2" t="s">
        <v>218</v>
      </c>
      <c r="P107" s="12">
        <v>124005</v>
      </c>
      <c r="Q107" s="12">
        <v>124005</v>
      </c>
      <c r="R107" s="13"/>
      <c r="S107" s="13"/>
      <c r="T107" s="13"/>
      <c r="U107" s="13"/>
      <c r="V107" s="13"/>
      <c r="W107" s="13"/>
      <c r="X107" s="12">
        <v>124005</v>
      </c>
      <c r="Y107" s="4" t="str">
        <f ca="1">IFERROR(__xludf.DUMMYFUNCTION("INDEX(IMPORTRANGE(""1y0FWgjbB0gVlqn-q5LMJbGIsqOrzru4yowQz67dz2yc"", ""'APO'!BG3:BG139""),MATCH($D107,IMPORTRANGE(""1y0FWgjbB0gVlqn-q5LMJbGIsqOrzru4yowQz67dz2yc"", ""'APO'!D3:D139""),0))"),"")</f>
        <v/>
      </c>
      <c r="Z107" s="12">
        <f ca="1">IFERROR(__xludf.DUMMYFUNCTION("INDEX(IMPORTRANGE(""1y0FWgjbB0gVlqn-q5LMJbGIsqOrzru4yowQz67dz2yc"", ""'APO'!BH3:BH139""),MATCH($D107,IMPORTRANGE(""1y0FWgjbB0gVlqn-q5LMJbGIsqOrzru4yowQz67dz2yc"", ""'APO'!D3:D139""),0))"),129385)</f>
        <v>129385</v>
      </c>
      <c r="AA107" s="6" t="str">
        <f ca="1">IFERROR(__xludf.DUMMYFUNCTION("INDEX(IMPORTRANGE(""1y0FWgjbB0gVlqn-q5LMJbGIsqOrzru4yowQz67dz2yc"", ""'APO'!BI3:BI139""),MATCH($D107,IMPORTRANGE(""1y0FWgjbB0gVlqn-q5LMJbGIsqOrzru4yowQz67dz2yc"", ""'APO'!D3:D139""),0))"),"")</f>
        <v/>
      </c>
      <c r="AB107" s="2"/>
      <c r="AC107" s="12"/>
    </row>
    <row r="108" spans="1:29">
      <c r="A108" s="149" t="s">
        <v>275</v>
      </c>
      <c r="B108" s="149" t="s">
        <v>276</v>
      </c>
      <c r="C108" s="148" t="s">
        <v>36</v>
      </c>
      <c r="D108" s="149" t="s">
        <v>292</v>
      </c>
      <c r="E108" s="149" t="s">
        <v>38</v>
      </c>
      <c r="F108" s="9" t="s">
        <v>293</v>
      </c>
      <c r="G108" s="21" t="s">
        <v>213</v>
      </c>
      <c r="H108" s="2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15">
        <f t="shared" ref="P108:Q108" si="25">P107/P106</f>
        <v>0.49541559297656856</v>
      </c>
      <c r="Q108" s="15">
        <f t="shared" si="25"/>
        <v>0.49541559297656856</v>
      </c>
      <c r="R108" s="2"/>
      <c r="S108" s="15">
        <v>0.50700000000000001</v>
      </c>
      <c r="T108" s="15"/>
      <c r="U108" s="15">
        <v>0.51800000000000002</v>
      </c>
      <c r="V108" s="15">
        <v>0.53</v>
      </c>
      <c r="W108" s="14">
        <v>0.53</v>
      </c>
      <c r="X108" s="15">
        <f>X107/X106</f>
        <v>0.49541559297656856</v>
      </c>
      <c r="Y108" s="4" t="str">
        <f ca="1">IFERROR(__xludf.DUMMYFUNCTION("INDEX(IMPORTRANGE(""1y0FWgjbB0gVlqn-q5LMJbGIsqOrzru4yowQz67dz2yc"", ""'APO'!BG3:BG139""),MATCH($D108,IMPORTRANGE(""1y0FWgjbB0gVlqn-q5LMJbGIsqOrzru4yowQz67dz2yc"", ""'APO'!D3:D139""),0))"),"")</f>
        <v/>
      </c>
      <c r="Z108" s="15">
        <f ca="1">IFERROR(__xludf.DUMMYFUNCTION("INDEX(IMPORTRANGE(""1y0FWgjbB0gVlqn-q5LMJbGIsqOrzru4yowQz67dz2yc"", ""'APO'!BH3:BH139""),MATCH($D108,IMPORTRANGE(""1y0FWgjbB0gVlqn-q5LMJbGIsqOrzru4yowQz67dz2yc"", ""'APO'!D3:D139""),0))"),0.51152042760791)</f>
        <v>0.51152042760791006</v>
      </c>
      <c r="AA108" s="179" t="str">
        <f ca="1">IFERROR(__xludf.DUMMYFUNCTION("INDEX(IMPORTRANGE(""1y0FWgjbB0gVlqn-q5LMJbGIsqOrzru4yowQz67dz2yc"", ""'APO'!BI3:BI139""),MATCH($D108,IMPORTRANGE(""1y0FWgjbB0gVlqn-q5LMJbGIsqOrzru4yowQz67dz2yc"", ""'APO'!D3:D139""),0))"),"")</f>
        <v/>
      </c>
      <c r="AB108" s="2"/>
      <c r="AC108" s="15"/>
    </row>
    <row r="109" spans="1:29">
      <c r="A109" s="149" t="s">
        <v>275</v>
      </c>
      <c r="B109" s="149" t="s">
        <v>276</v>
      </c>
      <c r="C109" s="151" t="s">
        <v>30</v>
      </c>
      <c r="D109" s="149" t="s">
        <v>294</v>
      </c>
      <c r="E109" s="149" t="s">
        <v>38</v>
      </c>
      <c r="F109" s="9" t="s">
        <v>295</v>
      </c>
      <c r="G109" s="155" t="s">
        <v>213</v>
      </c>
      <c r="H109" s="156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2" t="s">
        <v>218</v>
      </c>
      <c r="O109" s="2" t="s">
        <v>218</v>
      </c>
      <c r="P109" s="50"/>
      <c r="Q109" s="50"/>
      <c r="R109" s="1"/>
      <c r="S109" s="1"/>
      <c r="T109" s="1"/>
      <c r="U109" s="1"/>
      <c r="V109" s="1"/>
      <c r="W109" s="1"/>
      <c r="X109" s="50"/>
      <c r="Y109" s="4" t="str">
        <f ca="1">IFERROR(__xludf.DUMMYFUNCTION("INDEX(IMPORTRANGE(""1y0FWgjbB0gVlqn-q5LMJbGIsqOrzru4yowQz67dz2yc"", ""'APO'!BG3:BG139""),MATCH($D109,IMPORTRANGE(""1y0FWgjbB0gVlqn-q5LMJbGIsqOrzru4yowQz67dz2yc"", ""'APO'!D3:D139""),0))"),"")</f>
        <v/>
      </c>
      <c r="Z109" s="50">
        <f ca="1">IFERROR(__xludf.DUMMYFUNCTION("INDEX(IMPORTRANGE(""1y0FWgjbB0gVlqn-q5LMJbGIsqOrzru4yowQz67dz2yc"", ""'APO'!BH3:BH139""),MATCH($D109,IMPORTRANGE(""1y0FWgjbB0gVlqn-q5LMJbGIsqOrzru4yowQz67dz2yc"", ""'APO'!D3:D139""),0))"),351120632.049999)</f>
        <v>351120632.049999</v>
      </c>
      <c r="AA109" s="184" t="str">
        <f ca="1">IFERROR(__xludf.DUMMYFUNCTION("INDEX(IMPORTRANGE(""1y0FWgjbB0gVlqn-q5LMJbGIsqOrzru4yowQz67dz2yc"", ""'APO'!BI3:BI139""),MATCH($D109,IMPORTRANGE(""1y0FWgjbB0gVlqn-q5LMJbGIsqOrzru4yowQz67dz2yc"", ""'APO'!D3:D139""),0))"),"")</f>
        <v/>
      </c>
      <c r="AB109" s="2"/>
      <c r="AC109" s="50"/>
    </row>
    <row r="110" spans="1:29">
      <c r="A110" s="149" t="s">
        <v>275</v>
      </c>
      <c r="B110" s="149" t="s">
        <v>276</v>
      </c>
      <c r="C110" s="151" t="s">
        <v>36</v>
      </c>
      <c r="D110" s="149" t="s">
        <v>296</v>
      </c>
      <c r="E110" s="149" t="s">
        <v>38</v>
      </c>
      <c r="F110" s="9" t="s">
        <v>297</v>
      </c>
      <c r="G110" s="21" t="s">
        <v>213</v>
      </c>
      <c r="H110" s="2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50">
        <v>325523993.34999996</v>
      </c>
      <c r="Q110" s="50">
        <v>325523993.34999996</v>
      </c>
      <c r="R110" s="2"/>
      <c r="S110" s="36">
        <v>328825456.89999998</v>
      </c>
      <c r="T110" s="2"/>
      <c r="U110" s="36">
        <v>332126920.5</v>
      </c>
      <c r="V110" s="36">
        <v>335428384</v>
      </c>
      <c r="W110" s="36">
        <v>335428384</v>
      </c>
      <c r="X110" s="50">
        <v>325523993.34999996</v>
      </c>
      <c r="Y110" s="4" t="str">
        <f ca="1">IFERROR(__xludf.DUMMYFUNCTION("INDEX(IMPORTRANGE(""1y0FWgjbB0gVlqn-q5LMJbGIsqOrzru4yowQz67dz2yc"", ""'APO'!BG3:BG139""),MATCH($D110,IMPORTRANGE(""1y0FWgjbB0gVlqn-q5LMJbGIsqOrzru4yowQz67dz2yc"", ""'APO'!D3:D139""),0))"),"")</f>
        <v/>
      </c>
      <c r="Z110" s="50">
        <f ca="1">IFERROR(__xludf.DUMMYFUNCTION("INDEX(IMPORTRANGE(""1y0FWgjbB0gVlqn-q5LMJbGIsqOrzru4yowQz67dz2yc"", ""'APO'!BH3:BH139""),MATCH($D110,IMPORTRANGE(""1y0FWgjbB0gVlqn-q5LMJbGIsqOrzru4yowQz67dz2yc"", ""'APO'!D3:D139""),0))"),369978124.259999)</f>
        <v>369978124.25999898</v>
      </c>
      <c r="AA110" s="184" t="str">
        <f ca="1">IFERROR(__xludf.DUMMYFUNCTION("INDEX(IMPORTRANGE(""1y0FWgjbB0gVlqn-q5LMJbGIsqOrzru4yowQz67dz2yc"", ""'APO'!BI3:BI139""),MATCH($D110,IMPORTRANGE(""1y0FWgjbB0gVlqn-q5LMJbGIsqOrzru4yowQz67dz2yc"", ""'APO'!D3:D139""),0))"),"")</f>
        <v/>
      </c>
      <c r="AB110" s="2"/>
      <c r="AC110" s="50"/>
    </row>
    <row r="111" spans="1:29">
      <c r="A111" s="149" t="s">
        <v>275</v>
      </c>
      <c r="B111" s="149" t="s">
        <v>298</v>
      </c>
      <c r="C111" s="148" t="s">
        <v>30</v>
      </c>
      <c r="D111" s="149" t="s">
        <v>299</v>
      </c>
      <c r="E111" s="149" t="s">
        <v>278</v>
      </c>
      <c r="F111" s="9" t="s">
        <v>300</v>
      </c>
      <c r="G111" s="155" t="s">
        <v>213</v>
      </c>
      <c r="H111" s="156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2" t="s">
        <v>218</v>
      </c>
      <c r="O111" s="2" t="s">
        <v>218</v>
      </c>
      <c r="P111" s="50">
        <v>2328307996.9899998</v>
      </c>
      <c r="Q111" s="50">
        <v>2328307996.9899998</v>
      </c>
      <c r="R111" s="13"/>
      <c r="S111" s="13"/>
      <c r="T111" s="13"/>
      <c r="U111" s="13"/>
      <c r="V111" s="13"/>
      <c r="W111" s="13"/>
      <c r="X111" s="50">
        <v>2328307996.9899998</v>
      </c>
      <c r="Y111" s="4" t="str">
        <f ca="1">IFERROR(__xludf.DUMMYFUNCTION("INDEX(IMPORTRANGE(""1y0FWgjbB0gVlqn-q5LMJbGIsqOrzru4yowQz67dz2yc"", ""'APO'!BG3:BG139""),MATCH($D111,IMPORTRANGE(""1y0FWgjbB0gVlqn-q5LMJbGIsqOrzru4yowQz67dz2yc"", ""'APO'!D3:D139""),0))"),"")</f>
        <v/>
      </c>
      <c r="Z111" s="50">
        <f ca="1">IFERROR(__xludf.DUMMYFUNCTION("INDEX(IMPORTRANGE(""1y0FWgjbB0gVlqn-q5LMJbGIsqOrzru4yowQz67dz2yc"", ""'APO'!BH3:BH139""),MATCH($D111,IMPORTRANGE(""1y0FWgjbB0gVlqn-q5LMJbGIsqOrzru4yowQz67dz2yc"", ""'APO'!D3:D139""),0))"),2737154294.2)</f>
        <v>2737154294.1999998</v>
      </c>
      <c r="AA111" s="184" t="str">
        <f ca="1">IFERROR(__xludf.DUMMYFUNCTION("INDEX(IMPORTRANGE(""1y0FWgjbB0gVlqn-q5LMJbGIsqOrzru4yowQz67dz2yc"", ""'APO'!BI3:BI139""),MATCH($D111,IMPORTRANGE(""1y0FWgjbB0gVlqn-q5LMJbGIsqOrzru4yowQz67dz2yc"", ""'APO'!D3:D139""),0))"),"")</f>
        <v/>
      </c>
      <c r="AB111" s="2"/>
      <c r="AC111" s="50"/>
    </row>
    <row r="112" spans="1:29">
      <c r="A112" s="149" t="s">
        <v>275</v>
      </c>
      <c r="B112" s="149" t="s">
        <v>298</v>
      </c>
      <c r="C112" s="148" t="s">
        <v>36</v>
      </c>
      <c r="D112" s="149" t="s">
        <v>301</v>
      </c>
      <c r="E112" s="149" t="s">
        <v>278</v>
      </c>
      <c r="F112" s="9" t="s">
        <v>302</v>
      </c>
      <c r="G112" s="21" t="s">
        <v>213</v>
      </c>
      <c r="H112" s="22" t="s">
        <v>214</v>
      </c>
      <c r="I112" s="9" t="s">
        <v>215</v>
      </c>
      <c r="J112" s="4"/>
      <c r="K112" s="9" t="s">
        <v>216</v>
      </c>
      <c r="L112" s="4"/>
      <c r="M112" s="9" t="s">
        <v>217</v>
      </c>
      <c r="N112" s="2" t="s">
        <v>218</v>
      </c>
      <c r="O112" s="2" t="s">
        <v>218</v>
      </c>
      <c r="P112" s="15">
        <f t="shared" ref="P112:Q112" si="26">P104/P111</f>
        <v>0.81743848971462973</v>
      </c>
      <c r="Q112" s="15">
        <f t="shared" si="26"/>
        <v>0.81743848971462973</v>
      </c>
      <c r="R112" s="2"/>
      <c r="S112" s="14">
        <v>0.8</v>
      </c>
      <c r="T112" s="2"/>
      <c r="U112" s="14">
        <v>0.8</v>
      </c>
      <c r="V112" s="14">
        <v>0.8</v>
      </c>
      <c r="W112" s="14">
        <v>0.8</v>
      </c>
      <c r="X112" s="15">
        <f>X104/X111</f>
        <v>0.81743848971462973</v>
      </c>
      <c r="Y112" s="4" t="str">
        <f ca="1">IFERROR(__xludf.DUMMYFUNCTION("INDEX(IMPORTRANGE(""1y0FWgjbB0gVlqn-q5LMJbGIsqOrzru4yowQz67dz2yc"", ""'APO'!BG3:BG139""),MATCH($D112,IMPORTRANGE(""1y0FWgjbB0gVlqn-q5LMJbGIsqOrzru4yowQz67dz2yc"", ""'APO'!D3:D139""),0))"),"")</f>
        <v/>
      </c>
      <c r="Z112" s="15">
        <f ca="1">IFERROR(__xludf.DUMMYFUNCTION("INDEX(IMPORTRANGE(""1y0FWgjbB0gVlqn-q5LMJbGIsqOrzru4yowQz67dz2yc"", ""'APO'!BH3:BH139""),MATCH($D112,IMPORTRANGE(""1y0FWgjbB0gVlqn-q5LMJbGIsqOrzru4yowQz67dz2yc"", ""'APO'!D3:D139""),0))"),0.814871364302061)</f>
        <v>0.81487136430206097</v>
      </c>
      <c r="AA112" s="179" t="str">
        <f ca="1">IFERROR(__xludf.DUMMYFUNCTION("INDEX(IMPORTRANGE(""1y0FWgjbB0gVlqn-q5LMJbGIsqOrzru4yowQz67dz2yc"", ""'APO'!BI3:BI139""),MATCH($D112,IMPORTRANGE(""1y0FWgjbB0gVlqn-q5LMJbGIsqOrzru4yowQz67dz2yc"", ""'APO'!D3:D139""),0))"),"")</f>
        <v/>
      </c>
      <c r="AB112" s="2"/>
      <c r="AC112" s="15"/>
    </row>
    <row r="113" spans="1:29">
      <c r="A113" s="149" t="s">
        <v>275</v>
      </c>
      <c r="B113" s="149" t="s">
        <v>303</v>
      </c>
      <c r="C113" s="148" t="s">
        <v>36</v>
      </c>
      <c r="D113" s="149" t="s">
        <v>304</v>
      </c>
      <c r="E113" s="149" t="s">
        <v>305</v>
      </c>
      <c r="F113" s="9" t="s">
        <v>306</v>
      </c>
      <c r="G113" s="10" t="s">
        <v>307</v>
      </c>
      <c r="H113" s="59"/>
      <c r="I113" s="2" t="s">
        <v>254</v>
      </c>
      <c r="J113" s="4"/>
      <c r="K113" s="2" t="s">
        <v>255</v>
      </c>
      <c r="L113" s="4"/>
      <c r="M113" s="2" t="s">
        <v>256</v>
      </c>
      <c r="N113" s="49">
        <v>45473</v>
      </c>
      <c r="O113" s="2"/>
      <c r="P113" s="12" t="s">
        <v>308</v>
      </c>
      <c r="Q113" s="12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12" t="s">
        <v>308</v>
      </c>
      <c r="Y113" s="4" t="str">
        <f ca="1">IFERROR(__xludf.DUMMYFUNCTION("INDEX(IMPORTRANGE(""1y0FWgjbB0gVlqn-q5LMJbGIsqOrzru4yowQz67dz2yc"", ""'APO'!BG3:BG139""),MATCH($D113,IMPORTRANGE(""1y0FWgjbB0gVlqn-q5LMJbGIsqOrzru4yowQz67dz2yc"", ""'APO'!D3:D139""),0))"),"")</f>
        <v/>
      </c>
      <c r="Z113" s="15" t="str">
        <f ca="1">IFERROR(__xludf.DUMMYFUNCTION("INDEX(IMPORTRANGE(""1y0FWgjbB0gVlqn-q5LMJbGIsqOrzru4yowQz67dz2yc"", ""'APO'!BH3:BH139""),MATCH($D113,IMPORTRANGE(""1y0FWgjbB0gVlqn-q5LMJbGIsqOrzru4yowQz67dz2yc"", ""'APO'!D3:D139""),0))"),"Verde")</f>
        <v>Verde</v>
      </c>
      <c r="AA113" s="179" t="str">
        <f ca="1">IFERROR(__xludf.DUMMYFUNCTION("INDEX(IMPORTRANGE(""1y0FWgjbB0gVlqn-q5LMJbGIsqOrzru4yowQz67dz2yc"", ""'APO'!BI3:BI139""),MATCH($D113,IMPORTRANGE(""1y0FWgjbB0gVlqn-q5LMJbGIsqOrzru4yowQz67dz2yc"", ""'APO'!D3:D139""),0))"),"")</f>
        <v/>
      </c>
      <c r="AB113" s="2"/>
      <c r="AC113" s="1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6ED6-2E87-8348-83AF-8F399162CC11}">
  <dimension ref="A1:M39"/>
  <sheetViews>
    <sheetView workbookViewId="0">
      <selection activeCell="M2" sqref="M2:M4"/>
    </sheetView>
  </sheetViews>
  <sheetFormatPr baseColWidth="10" defaultRowHeight="16"/>
  <cols>
    <col min="1" max="1" width="10.83203125" style="118"/>
    <col min="3" max="3" width="19.1640625" customWidth="1"/>
    <col min="4" max="4" width="11.83203125" customWidth="1"/>
    <col min="5" max="5" width="13.1640625" customWidth="1"/>
    <col min="7" max="7" width="13.33203125" customWidth="1"/>
    <col min="8" max="8" width="14.6640625" customWidth="1"/>
    <col min="9" max="9" width="10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MTY'!$D$3:$Y$114,4,0)</f>
        <v>44469</v>
      </c>
      <c r="E2" s="212">
        <f>VLOOKUP(C2,'BD EVA 2 MTY'!$D$3:$Q$114,13,0)</f>
        <v>1125</v>
      </c>
      <c r="F2" s="75">
        <f>VLOOKUP(C2,'BD EVA 2 MTY'!$D$3:$Y$114,8,0)</f>
        <v>45016</v>
      </c>
      <c r="G2" s="212">
        <f ca="1">VLOOKUP(C2,'BD EVA 2 MTY'!$D$3:$AC$114,23,0)</f>
        <v>1152</v>
      </c>
      <c r="H2" s="212">
        <f>VLOOKUP(C2,'BD EVA 2 MTY'!$D$3:$AC$114,16,0)</f>
        <v>1240</v>
      </c>
      <c r="I2" s="78">
        <f ca="1">IF(G2&gt;=E2,G2/H2,0)</f>
        <v>0.92903225806451617</v>
      </c>
      <c r="J2" s="72" t="s">
        <v>316</v>
      </c>
      <c r="K2" s="81">
        <v>2.7</v>
      </c>
      <c r="L2" s="81">
        <f t="shared" ref="L2:L39" ca="1" si="0">IF(I2&lt;0,0,IF(I2&gt;1,K2,I2*K2))</f>
        <v>2.5083870967741939</v>
      </c>
      <c r="M2" s="124">
        <f ca="1">SUM(L2:L4)</f>
        <v>9.7388782193400569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MTY'!$D$3:$Y$114,4,0)</f>
        <v>44469</v>
      </c>
      <c r="E3" s="207">
        <f>VLOOKUP(C3,'BD EVA 2 MTY'!$D$3:$Q$114,13,0)</f>
        <v>0.93777777777777782</v>
      </c>
      <c r="F3" s="75">
        <f>VLOOKUP(C3,'BD EVA 2 MTY'!$D$3:$Y$114,8,0)</f>
        <v>45016</v>
      </c>
      <c r="G3" s="207">
        <f ca="1">VLOOKUP(C3,'BD EVA 2 MTY'!$D$3:$AC$114,23,0)</f>
        <v>0.95225694444444398</v>
      </c>
      <c r="H3" s="207" t="str">
        <f>VLOOKUP(C3,'BD EVA 2 MTY'!$D$3:$AC$114,16,0)</f>
        <v>&gt;=97%</v>
      </c>
      <c r="I3" s="78">
        <f ca="1">IF(G3&gt;=97%,1,G3/97%)</f>
        <v>0.98170819014891131</v>
      </c>
      <c r="J3" s="75" t="s">
        <v>318</v>
      </c>
      <c r="K3" s="81">
        <v>3.8</v>
      </c>
      <c r="L3" s="81">
        <f t="shared" ca="1" si="0"/>
        <v>3.730491122565863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MTY'!$D$3:$Y$114,4,0)</f>
        <v>44469</v>
      </c>
      <c r="E4" s="207">
        <f>VLOOKUP(C4,'BD EVA 2 MTY'!$D$3:$Q$114,13,0)</f>
        <v>0</v>
      </c>
      <c r="F4" s="75">
        <f>VLOOKUP(C4,'BD EVA 2 MTY'!$D$3:$Y$114,8,0)</f>
        <v>45016</v>
      </c>
      <c r="G4" s="207">
        <f ca="1">VLOOKUP(C4,'BD EVA 2 MTY'!$D$3:$AC$114,23,0)</f>
        <v>1.8229166666666598E-2</v>
      </c>
      <c r="H4" s="207">
        <f>VLOOKUP(C4,'BD EVA 2 MTY'!$D$3:$AC$114,16,0)</f>
        <v>1.2903225806451613E-2</v>
      </c>
      <c r="I4" s="77">
        <f t="shared" ref="I4:I5" ca="1" si="1">G4/H4</f>
        <v>1.4127604166666614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MTY'!$D$3:$Y$114,4,0)</f>
        <v>octubre 20 - mar 21</v>
      </c>
      <c r="E5" s="207">
        <f>VLOOKUP(C5,'BD EVA 2 MTY'!$D$3:$Q$114,13,0)</f>
        <v>0</v>
      </c>
      <c r="F5" s="72" t="str">
        <f>VLOOKUP(C5,'BD EVA 2 MTY'!$D$3:$Y$114,8,0)</f>
        <v>octubre 22- mar 23</v>
      </c>
      <c r="G5" s="78">
        <f ca="1">VLOOKUP(C5,'BD EVA 2 MTY'!$D$3:$AC$114,23,0)</f>
        <v>4.61632528278813E-2</v>
      </c>
      <c r="H5" s="207">
        <f>VLOOKUP(C5,'BD EVA 2 MTY'!$D$3:$AC$114,16,0)</f>
        <v>0.01</v>
      </c>
      <c r="I5" s="77">
        <f t="shared" ca="1" si="1"/>
        <v>4.6163252827881296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MTY'!$D$3:$Y$114,4,0)</f>
        <v>octubre 20 - mar 21</v>
      </c>
      <c r="E6" s="211">
        <f>VLOOKUP(C6,'BD EVA 2 MTY'!$D$3:$Q$114,13,0)</f>
        <v>8</v>
      </c>
      <c r="F6" s="72" t="str">
        <f>VLOOKUP(C6,'BD EVA 2 MTY'!$D$3:$Y$114,8,0)</f>
        <v>octubre 22- mar 23</v>
      </c>
      <c r="G6" s="82">
        <f ca="1">VLOOKUP(C6,'BD EVA 2 MTY'!$D$3:$AC$114,23,0)</f>
        <v>9.5407304383223508</v>
      </c>
      <c r="H6" s="209">
        <f>VLOOKUP(C6,'BD EVA 2 MTY'!$D$3:$AC$114,16,0)</f>
        <v>7.9</v>
      </c>
      <c r="I6" s="78">
        <f t="shared" ref="I6:I10" ca="1" si="2">IF(AND(G6&gt;E6,G6&gt;H6),0,(G6-E6)/(H6-E6))</f>
        <v>0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MTY'!$D$3:$Y$114,4,0)</f>
        <v>octubre 20 - mar 21</v>
      </c>
      <c r="E7" s="208">
        <f>VLOOKUP(C7,'BD EVA 2 MTY'!$D$3:$Q$114,13,0)</f>
        <v>222</v>
      </c>
      <c r="F7" s="72" t="str">
        <f>VLOOKUP(C7,'BD EVA 2 MTY'!$D$3:$Y$114,8,0)</f>
        <v>octubre 22- mar 23</v>
      </c>
      <c r="G7" s="81">
        <f ca="1">VLOOKUP(C7,'BD EVA 2 MTY'!$D$3:$AC$114,23,0)</f>
        <v>155.19588179671001</v>
      </c>
      <c r="H7" s="208">
        <f>VLOOKUP(C7,'BD EVA 2 MTY'!$D$3:$AC$114,16,0)</f>
        <v>211.8</v>
      </c>
      <c r="I7" s="78">
        <f t="shared" ca="1" si="2"/>
        <v>6.549423353263732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MTY'!$D$3:$Y$114,4,0)</f>
        <v>octubre 20 - mar 21</v>
      </c>
      <c r="E8" s="208">
        <f>VLOOKUP(C8,'BD EVA 2 MTY'!$D$3:$Q$114,13,0)</f>
        <v>95</v>
      </c>
      <c r="F8" s="72" t="str">
        <f>VLOOKUP(C8,'BD EVA 2 MTY'!$D$3:$Y$114,8,0)</f>
        <v>octubre 22- mar 23</v>
      </c>
      <c r="G8" s="81">
        <f ca="1">VLOOKUP(C8,'BD EVA 2 MTY'!$D$3:$AC$114,23,0)</f>
        <v>80.354151913870496</v>
      </c>
      <c r="H8" s="208">
        <f>VLOOKUP(C8,'BD EVA 2 MTY'!$D$3:$AC$114,16,0)</f>
        <v>90.4</v>
      </c>
      <c r="I8" s="78">
        <f t="shared" ca="1" si="2"/>
        <v>3.1838800187238094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MTY'!$D$3:$Y$114,4,0)</f>
        <v>octubre 20 - mar 21</v>
      </c>
      <c r="E9" s="208">
        <f>VLOOKUP(C9,'BD EVA 2 MTY'!$D$3:$Q$114,13,0)</f>
        <v>27</v>
      </c>
      <c r="F9" s="72" t="str">
        <f>VLOOKUP(C9,'BD EVA 2 MTY'!$D$3:$Y$114,8,0)</f>
        <v>octubre 22- mar 23</v>
      </c>
      <c r="G9" s="81">
        <f ca="1">VLOOKUP(C9,'BD EVA 2 MTY'!$D$3:$AC$114,23,0)</f>
        <v>19.081460876644702</v>
      </c>
      <c r="H9" s="208">
        <f>VLOOKUP(C9,'BD EVA 2 MTY'!$D$3:$AC$114,16,0)</f>
        <v>25.5</v>
      </c>
      <c r="I9" s="78">
        <f t="shared" ca="1" si="2"/>
        <v>5.2790260822368653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MTY'!$D$3:$Y$114,4,0)</f>
        <v>octubre 20 - mar 21</v>
      </c>
      <c r="E10" s="208">
        <f>VLOOKUP(C10,'BD EVA 2 MTY'!$D$3:$Q$114,13,0)</f>
        <v>13.041351953485846</v>
      </c>
      <c r="F10" s="72" t="str">
        <f>VLOOKUP(C10,'BD EVA 2 MTY'!$D$3:$Y$114,8,0)</f>
        <v>octubre 22- mar 23</v>
      </c>
      <c r="G10" s="81">
        <f ca="1">VLOOKUP(C10,'BD EVA 2 MTY'!$D$3:$AC$114,23,0)</f>
        <v>8.0566168145833199</v>
      </c>
      <c r="H10" s="208">
        <f>VLOOKUP(C10,'BD EVA 2 MTY'!$D$3:$AC$114,16,0)</f>
        <v>12.4</v>
      </c>
      <c r="I10" s="78">
        <f t="shared" ca="1" si="2"/>
        <v>7.7722303827247021</v>
      </c>
      <c r="J10" s="71" t="s">
        <v>319</v>
      </c>
      <c r="K10" s="209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MTY'!$D$3:$Y$114,4,0)</f>
        <v>44469</v>
      </c>
      <c r="E11" s="78">
        <f>VLOOKUP(C11,'BD EVA 2 MTY'!$D$3:$Q$114,13,0)</f>
        <v>7.4101716600916947E-4</v>
      </c>
      <c r="F11" s="89">
        <f>VLOOKUP(C11,'BD EVA 2 MTY'!$D$3:$Y$114,8,0)</f>
        <v>45016</v>
      </c>
      <c r="G11" s="78">
        <f ca="1">VLOOKUP(C11,'BD EVA 2 MTY'!$D$3:$AC$114,23,0)</f>
        <v>1.00303870348651E-2</v>
      </c>
      <c r="H11" s="78">
        <f>VLOOKUP(C11,'BD EVA 2 MTY'!$D$3:$AC$114,16,0)</f>
        <v>8.0000000000000002E-3</v>
      </c>
      <c r="I11" s="77">
        <f t="shared" ref="I11:I15" ca="1" si="3">G11/H11</f>
        <v>1.2537983793581375</v>
      </c>
      <c r="J11" s="89" t="s">
        <v>318</v>
      </c>
      <c r="K11" s="71">
        <v>1.1000000000000001</v>
      </c>
      <c r="L11" s="209">
        <f t="shared" ca="1" si="0"/>
        <v>1.1000000000000001</v>
      </c>
      <c r="M11" s="130">
        <f ca="1">SUM(L11:L15)</f>
        <v>10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MTY'!$D$3:$Y$114,4,0)</f>
        <v>octubre 20 - mar 21</v>
      </c>
      <c r="E12" s="212">
        <f>VLOOKUP(C12,'BD EVA 2 MTY'!$D$3:$Q$114,13,0)</f>
        <v>0</v>
      </c>
      <c r="F12" s="71" t="str">
        <f>VLOOKUP(C12,'BD EVA 2 MTY'!$D$3:$Y$114,8,0)</f>
        <v>octubre 22- mar 23</v>
      </c>
      <c r="G12" s="210">
        <f ca="1">VLOOKUP(C12,'BD EVA 2 MTY'!$D$3:$AC$114,23,0)</f>
        <v>4.1853462320648E-3</v>
      </c>
      <c r="H12" s="207">
        <f>VLOOKUP(C12,'BD EVA 2 MTY'!$D$3:$AC$114,16,0)</f>
        <v>3.5000000000000001E-3</v>
      </c>
      <c r="I12" s="78">
        <f t="shared" ca="1" si="3"/>
        <v>1.1958132091613713</v>
      </c>
      <c r="J12" s="75" t="s">
        <v>318</v>
      </c>
      <c r="K12" s="71">
        <v>1.1000000000000001</v>
      </c>
      <c r="L12" s="209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MTY'!$D$3:$Y$114,4,0)</f>
        <v>octubre 20 - mar 21</v>
      </c>
      <c r="E13" s="212">
        <f>VLOOKUP(C13,'BD EVA 2 MTY'!$D$3:$Q$114,13,0)</f>
        <v>6</v>
      </c>
      <c r="F13" s="71" t="str">
        <f>VLOOKUP(C13,'BD EVA 2 MTY'!$D$3:$Y$114,8,0)</f>
        <v>octubre 21 - mar 23</v>
      </c>
      <c r="G13" s="212">
        <f ca="1">VLOOKUP(C13,'BD EVA 2 MTY'!$D$3:$AC$114,23,0)</f>
        <v>29</v>
      </c>
      <c r="H13" s="212">
        <f>VLOOKUP(C13,'BD EVA 2 MTY'!$D$3:$AC$114,16,0)</f>
        <v>23</v>
      </c>
      <c r="I13" s="78">
        <f t="shared" ca="1" si="3"/>
        <v>1.2608695652173914</v>
      </c>
      <c r="J13" s="75" t="s">
        <v>318</v>
      </c>
      <c r="K13" s="82">
        <v>2.35</v>
      </c>
      <c r="L13" s="209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MTY'!$D$3:$Y$114,4,0)</f>
        <v>octubre 20 - mar 21</v>
      </c>
      <c r="E14" s="212">
        <f>VLOOKUP(C14,'BD EVA 2 MTY'!$D$3:$Q$114,13,0)</f>
        <v>1186</v>
      </c>
      <c r="F14" s="71" t="str">
        <f>VLOOKUP(C14,'BD EVA 2 MTY'!$D$3:$Y$114,8,0)</f>
        <v>octubre 21 - mar 23</v>
      </c>
      <c r="G14" s="212">
        <f ca="1">VLOOKUP(C14,'BD EVA 2 MTY'!$D$3:$AC$114,23,0)</f>
        <v>5877</v>
      </c>
      <c r="H14" s="212">
        <f>VLOOKUP(C14,'BD EVA 2 MTY'!$D$3:$AC$114,16,0)</f>
        <v>1900</v>
      </c>
      <c r="I14" s="78">
        <f t="shared" ca="1" si="3"/>
        <v>3.0931578947368421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MTY'!$D$3:$Y$114,4,0)</f>
        <v>octubre 20 - mar 21</v>
      </c>
      <c r="E15" s="212">
        <f>VLOOKUP(C15,'BD EVA 2 MTY'!$D$3:$Q$114,13,0)</f>
        <v>6</v>
      </c>
      <c r="F15" s="89" t="str">
        <f>VLOOKUP(C15,'BD EVA 2 MTY'!$D$3:$Y$114,8,0)</f>
        <v>octubre 21 - mar 23</v>
      </c>
      <c r="G15" s="212">
        <f ca="1">VLOOKUP(C15,'BD EVA 2 MTY'!$D$3:$AC$114,23,0)</f>
        <v>164</v>
      </c>
      <c r="H15" s="212">
        <f>VLOOKUP(C15,'BD EVA 2 MTY'!$D$3:$AC$114,16,0)</f>
        <v>31</v>
      </c>
      <c r="I15" s="78">
        <f t="shared" ca="1" si="3"/>
        <v>5.290322580645161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MTY'!$D$3:$Y$114,4,0)</f>
        <v>44469</v>
      </c>
      <c r="E16" s="212">
        <f>VLOOKUP(C16,'BD EVA 2 MTY'!$D$3:$Q$114,13,0)</f>
        <v>0</v>
      </c>
      <c r="F16" s="75">
        <f>VLOOKUP(C16,'BD EVA 2 MTY'!$D$3:$Y$114,8,0)</f>
        <v>45016</v>
      </c>
      <c r="G16" s="212">
        <f ca="1">VLOOKUP(C16,'BD EVA 2 MTY'!$D$3:$AC$114,23,0)</f>
        <v>0</v>
      </c>
      <c r="H16" s="213" t="str">
        <f>VLOOKUP(C16,'BD EVA 2 MTY'!$D$3:$AC$114,16,0)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</v>
      </c>
      <c r="J16" s="75" t="s">
        <v>318</v>
      </c>
      <c r="K16" s="71">
        <v>1.5</v>
      </c>
      <c r="L16" s="209">
        <f t="shared" ca="1" si="0"/>
        <v>0</v>
      </c>
      <c r="M16" s="130">
        <f ca="1">SUM(L16:L23)</f>
        <v>6.9459394138523862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MTY'!$D$3:$Y$114,4,0)</f>
        <v>44469</v>
      </c>
      <c r="E17" s="212">
        <f>VLOOKUP(C17,'BD EVA 2 MTY'!$D$3:$Q$114,13,0)</f>
        <v>0</v>
      </c>
      <c r="F17" s="75">
        <f>VLOOKUP(C17,'BD EVA 2 MTY'!$D$3:$Y$114,8,0)</f>
        <v>45016</v>
      </c>
      <c r="G17" s="212">
        <f ca="1">VLOOKUP(C17,'BD EVA 2 MTY'!$D$3:$AC$114,23,0)</f>
        <v>0</v>
      </c>
      <c r="H17" s="212" t="str">
        <f>VLOOKUP(C17,'BD EVA 2 MTY'!$D$3:$AC$114,16,0)</f>
        <v>Actualizado al 2018</v>
      </c>
      <c r="I17" s="214">
        <f t="shared" ca="1" si="4"/>
        <v>0</v>
      </c>
      <c r="J17" s="75" t="s">
        <v>318</v>
      </c>
      <c r="K17" s="7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MTY'!$D$3:$Y$114,4,0)</f>
        <v>44469</v>
      </c>
      <c r="E18" s="207">
        <f>VLOOKUP(C18,'BD EVA 2 MTY'!$D$3:$Q$114,13,0)</f>
        <v>0.52941176470588236</v>
      </c>
      <c r="F18" s="75">
        <f>VLOOKUP(C18,'BD EVA 2 MTY'!$D$3:$Y$114,8,0)</f>
        <v>45016</v>
      </c>
      <c r="G18" s="207">
        <f ca="1">VLOOKUP(C18,'BD EVA 2 MTY'!$D$3:$AC$114,23,0)</f>
        <v>0.82352941176470495</v>
      </c>
      <c r="H18" s="207">
        <f>VLOOKUP(C18,'BD EVA 2 MTY'!$D$3:$AC$114,16,0)</f>
        <v>1</v>
      </c>
      <c r="I18" s="214">
        <f t="shared" ref="I18:I27" ca="1" si="5">G18/H18</f>
        <v>0.82352941176470495</v>
      </c>
      <c r="J18" s="75" t="s">
        <v>318</v>
      </c>
      <c r="K18" s="71">
        <v>0.3</v>
      </c>
      <c r="L18" s="209">
        <f t="shared" ca="1" si="0"/>
        <v>0.24705882352941147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MTY'!$D$3:$Y$114,4,0)</f>
        <v>44469</v>
      </c>
      <c r="E19" s="207">
        <f>VLOOKUP(C19,'BD EVA 2 MTY'!$D$3:$Q$114,13,0)</f>
        <v>1</v>
      </c>
      <c r="F19" s="75">
        <f>VLOOKUP(C19,'BD EVA 2 MTY'!$D$3:$Y$114,8,0)</f>
        <v>45016</v>
      </c>
      <c r="G19" s="207">
        <f ca="1">VLOOKUP(C19,'BD EVA 2 MTY'!$D$3:$AC$114,23,0)</f>
        <v>0.99935320532958805</v>
      </c>
      <c r="H19" s="207">
        <f>VLOOKUP(C19,'BD EVA 2 MTY'!$D$3:$AC$114,16,0)</f>
        <v>1</v>
      </c>
      <c r="I19" s="214">
        <f t="shared" ca="1" si="5"/>
        <v>0.99935320532958805</v>
      </c>
      <c r="J19" s="75" t="s">
        <v>318</v>
      </c>
      <c r="K19" s="71">
        <v>1.5</v>
      </c>
      <c r="L19" s="209">
        <f t="shared" ca="1" si="0"/>
        <v>1.499029807994382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MTY'!$D$3:$Y$114,4,0)</f>
        <v>44469</v>
      </c>
      <c r="E20" s="214">
        <f>VLOOKUP(C20,'BD EVA 2 MTY'!$D$3:$Q$114,13,0)</f>
        <v>1</v>
      </c>
      <c r="F20" s="75">
        <f>VLOOKUP(C20,'BD EVA 2 MTY'!$D$3:$Y$114,8,0)</f>
        <v>45016</v>
      </c>
      <c r="G20" s="214">
        <f ca="1">VLOOKUP(C20,'BD EVA 2 MTY'!$D$3:$AC$114,23,0)</f>
        <v>1</v>
      </c>
      <c r="H20" s="214">
        <f>VLOOKUP(C20,'BD EVA 2 MTY'!$D$3:$AC$114,16,0)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MTY'!$D$3:$Y$114,4,0)</f>
        <v>44469</v>
      </c>
      <c r="E21" s="207">
        <f>VLOOKUP(C21,'BD EVA 2 MTY'!$D$3:$Q$114,13,0)</f>
        <v>1</v>
      </c>
      <c r="F21" s="75">
        <f>VLOOKUP(C21,'BD EVA 2 MTY'!$D$3:$Y$114,8,0)</f>
        <v>45016</v>
      </c>
      <c r="G21" s="207">
        <f ca="1">VLOOKUP(C21,'BD EVA 2 MTY'!$D$3:$AC$114,23,0)</f>
        <v>0.99983420258732503</v>
      </c>
      <c r="H21" s="207">
        <f>VLOOKUP(C21,'BD EVA 2 MTY'!$D$3:$AC$114,16,0)</f>
        <v>1</v>
      </c>
      <c r="I21" s="214">
        <f t="shared" ca="1" si="5"/>
        <v>0.99983420258732503</v>
      </c>
      <c r="J21" s="75" t="s">
        <v>318</v>
      </c>
      <c r="K21" s="71">
        <v>0.9</v>
      </c>
      <c r="L21" s="209">
        <f t="shared" ca="1" si="0"/>
        <v>0.8998507823285925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MTY'!$D$3:$Y$114,4,0)</f>
        <v>44469</v>
      </c>
      <c r="E22" s="207">
        <f>VLOOKUP(C22,'BD EVA 2 MTY'!$D$3:$Q$114,13,0)</f>
        <v>0.99971249366351167</v>
      </c>
      <c r="F22" s="75">
        <f>VLOOKUP(C22,'BD EVA 2 MTY'!$D$3:$Y$114,8,0)</f>
        <v>45016</v>
      </c>
      <c r="G22" s="207">
        <f ca="1">VLOOKUP(C22,'BD EVA 2 MTY'!$D$3:$AC$114,23,0)</f>
        <v>1</v>
      </c>
      <c r="H22" s="207">
        <f>VLOOKUP(C22,'BD EVA 2 MTY'!$D$3:$AC$114,16,0)</f>
        <v>1</v>
      </c>
      <c r="I22" s="214">
        <f t="shared" ca="1" si="5"/>
        <v>1</v>
      </c>
      <c r="J22" s="75" t="s">
        <v>318</v>
      </c>
      <c r="K22" s="71">
        <v>1.5</v>
      </c>
      <c r="L22" s="209">
        <f t="shared" ca="1" si="0"/>
        <v>1.5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MTY'!$D$3:$Y$114,4,0)</f>
        <v>octubre 20 - mar 21</v>
      </c>
      <c r="E23" s="208">
        <f>VLOOKUP(C23,'BD EVA 2 MTY'!$D$3:$Q$114,13,0)</f>
        <v>0</v>
      </c>
      <c r="F23" s="89" t="str">
        <f>VLOOKUP(C23,'BD EVA 2 MTY'!$D$3:$Y$114,8,0)</f>
        <v>octubre 22 - mar 23</v>
      </c>
      <c r="G23" s="208">
        <f ca="1">VLOOKUP(C23,'BD EVA 2 MTY'!$D$3:$AC$114,23,0)</f>
        <v>15.288500000000001</v>
      </c>
      <c r="H23" s="208">
        <f>VLOOKUP(C23,'BD EVA 2 MTY'!$D$3:$AC$114,16,0)</f>
        <v>13.15</v>
      </c>
      <c r="I23" s="214">
        <f t="shared" ca="1" si="5"/>
        <v>1.1626235741444868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MTY'!$D$3:$Y$114,4,0)</f>
        <v>44469</v>
      </c>
      <c r="E24" s="171">
        <f>VLOOKUP(C24,'BD EVA 2 MTY'!$D$3:$Q$114,13,0)</f>
        <v>5.12</v>
      </c>
      <c r="F24" s="75">
        <f>VLOOKUP(C24,'BD EVA 2 MTY'!$D$3:$Y$114,8,0)</f>
        <v>45016</v>
      </c>
      <c r="G24" s="171">
        <f ca="1">VLOOKUP(C24,'BD EVA 2 MTY'!$D$3:$AC$114,23,0)</f>
        <v>9.2050000000000001</v>
      </c>
      <c r="H24" s="171">
        <f>VLOOKUP(C24,'BD EVA 2 MTY'!$D$3:$AC$114,16,0)</f>
        <v>9</v>
      </c>
      <c r="I24" s="214">
        <f t="shared" ca="1" si="5"/>
        <v>1.0227777777777778</v>
      </c>
      <c r="J24" s="75" t="s">
        <v>318</v>
      </c>
      <c r="K24" s="82">
        <v>1.9</v>
      </c>
      <c r="L24" s="209">
        <f t="shared" ca="1" si="0"/>
        <v>1.9</v>
      </c>
      <c r="M24" s="130">
        <f ca="1">SUM(L24:L28)</f>
        <v>9.8999999999999986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MTY'!$D$3:$Y$114,4,0)</f>
        <v>octubre 20 - mar 21</v>
      </c>
      <c r="E25" s="212">
        <f>VLOOKUP(C25,'BD EVA 2 MTY'!$D$3:$Q$114,13,0)</f>
        <v>0</v>
      </c>
      <c r="F25" s="71" t="str">
        <f>VLOOKUP(C25,'BD EVA 2 MTY'!$D$3:$Y$114,8,0)</f>
        <v>octubre 22 - mar 23</v>
      </c>
      <c r="G25" s="212">
        <f ca="1">VLOOKUP(C25,'BD EVA 2 MTY'!$D$3:$AC$114,23,0)</f>
        <v>14145</v>
      </c>
      <c r="H25" s="212">
        <f>VLOOKUP(C25,'BD EVA 2 MTY'!$D$3:$AC$114,16,0)</f>
        <v>7200</v>
      </c>
      <c r="I25" s="214">
        <f t="shared" ca="1" si="5"/>
        <v>1.9645833333333333</v>
      </c>
      <c r="J25" s="75" t="s">
        <v>318</v>
      </c>
      <c r="K25" s="82">
        <v>1.6</v>
      </c>
      <c r="L25" s="209">
        <f t="shared" ca="1" si="0"/>
        <v>1.6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MTY'!$D$3:$Y$114,4,0)</f>
        <v>enero - diciembre 2021</v>
      </c>
      <c r="E26" s="212">
        <f>VLOOKUP(C26,'BD EVA 2 MTY'!$D$3:$Q$114,13,0)</f>
        <v>0.1126463959788865</v>
      </c>
      <c r="F26" s="71" t="str">
        <f>VLOOKUP(C26,'BD EVA 2 MTY'!$D$3:$Y$114,8,0)</f>
        <v>enero- diciembre 2022</v>
      </c>
      <c r="G26" s="207">
        <f ca="1">VLOOKUP(C26,'BD EVA 2 MTY'!$D$3:$AC$114,23,0)</f>
        <v>0.26374189472373499</v>
      </c>
      <c r="H26" s="207">
        <f>VLOOKUP(C26,'BD EVA 2 MTY'!$D$3:$AC$114,16,0)</f>
        <v>0.19</v>
      </c>
      <c r="I26" s="214">
        <f t="shared" ca="1" si="5"/>
        <v>1.3881152353880788</v>
      </c>
      <c r="J26" s="75" t="s">
        <v>318</v>
      </c>
      <c r="K26" s="82">
        <v>2.1</v>
      </c>
      <c r="L26" s="209">
        <f t="shared" ca="1" si="0"/>
        <v>2.1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MTY'!$D$3:$Y$114,4,0)</f>
        <v>octubre 20 - mar 21</v>
      </c>
      <c r="E27" s="212">
        <f>VLOOKUP(C27,'BD EVA 2 MTY'!$D$3:$Q$114,13,0)</f>
        <v>0</v>
      </c>
      <c r="F27" s="71" t="str">
        <f>VLOOKUP(C27,'BD EVA 2 MTY'!$D$3:$Y$114,8,0)</f>
        <v>octubre 22 - mar 23</v>
      </c>
      <c r="G27" s="212">
        <f ca="1">VLOOKUP(C27,'BD EVA 2 MTY'!$D$3:$AC$114,23,0)</f>
        <v>46</v>
      </c>
      <c r="H27" s="212">
        <f>VLOOKUP(C27,'BD EVA 2 MTY'!$D$3:$AC$114,16,0)</f>
        <v>10</v>
      </c>
      <c r="I27" s="214">
        <f t="shared" ca="1" si="5"/>
        <v>4.5999999999999996</v>
      </c>
      <c r="J27" s="75" t="s">
        <v>318</v>
      </c>
      <c r="K27" s="82">
        <v>2.1</v>
      </c>
      <c r="L27" s="209">
        <f t="shared" ca="1" si="0"/>
        <v>2.1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MTY'!$D$3:$Y$114,4,0)</f>
        <v>octubre 2018 - marzo 2019</v>
      </c>
      <c r="E28" s="212">
        <f>VLOOKUP(C28,'BD EVA 2 MTY'!$D$3:$Q$114,13,0)</f>
        <v>16613</v>
      </c>
      <c r="F28" s="89" t="str">
        <f>VLOOKUP(C28,'BD EVA 2 MTY'!$D$3:$Y$114,8,0)</f>
        <v>octubre 22 - mar 23</v>
      </c>
      <c r="G28" s="212">
        <f ca="1">VLOOKUP(C28,'BD EVA 2 MTY'!$D$3:$AC$114,23,0)</f>
        <v>15908</v>
      </c>
      <c r="H28" s="212">
        <f>VLOOKUP(C28,'BD EVA 2 MTY'!$D$3:$AC$114,16,0)</f>
        <v>16447</v>
      </c>
      <c r="I28" s="78">
        <f ca="1">(G28-E28)/(H28-E28)</f>
        <v>4.2469879518072293</v>
      </c>
      <c r="J28" s="89" t="s">
        <v>319</v>
      </c>
      <c r="K28" s="82">
        <v>2.2000000000000002</v>
      </c>
      <c r="L28" s="209">
        <f t="shared" ca="1" si="0"/>
        <v>2.2000000000000002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MTY'!$D$3:$Y$114,4,0)</f>
        <v>octubre 20 - mar 21</v>
      </c>
      <c r="E29" s="212">
        <f>VLOOKUP(C29,'BD EVA 2 MTY'!$D$3:$Q$114,13,0)</f>
        <v>5</v>
      </c>
      <c r="F29" s="89" t="str">
        <f>VLOOKUP(C29,'BD EVA 2 MTY'!$D$3:$Y$114,8,0)</f>
        <v>octubre 22 - mar 23</v>
      </c>
      <c r="G29" s="212">
        <f ca="1">VLOOKUP(C29,'BD EVA 2 MTY'!$D$3:$AC$114,23,0)</f>
        <v>178</v>
      </c>
      <c r="H29" s="212">
        <f>VLOOKUP(C29,'BD EVA 2 MTY'!$D$3:$AC$114,16,0)</f>
        <v>87</v>
      </c>
      <c r="I29" s="78">
        <f t="shared" ref="I29:I33" ca="1" si="6">G29/H29</f>
        <v>2.0459770114942528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7.1909607246972946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MTY'!$D$3:$Y$114,4,0)</f>
        <v>44469</v>
      </c>
      <c r="E30" s="212">
        <f>VLOOKUP(C30,'BD EVA 2 MTY'!$D$3:$Q$114,13,0)</f>
        <v>2</v>
      </c>
      <c r="F30" s="75">
        <f>VLOOKUP(C30,'BD EVA 2 MTY'!$D$3:$Y$114,8,0)</f>
        <v>45016</v>
      </c>
      <c r="G30" s="212">
        <f ca="1">VLOOKUP(C30,'BD EVA 2 MTY'!$D$3:$AC$114,23,0)</f>
        <v>3</v>
      </c>
      <c r="H30" s="212">
        <f>VLOOKUP(C30,'BD EVA 2 MTY'!$D$3:$AC$114,16,0)</f>
        <v>22</v>
      </c>
      <c r="I30" s="78">
        <f t="shared" ca="1" si="6"/>
        <v>0.13636363636363635</v>
      </c>
      <c r="J30" s="75" t="s">
        <v>318</v>
      </c>
      <c r="K30" s="71">
        <v>2</v>
      </c>
      <c r="L30" s="209">
        <f t="shared" ca="1" si="0"/>
        <v>0.27272727272727271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MTY'!$D$3:$Y$114,4,0)</f>
        <v>44469</v>
      </c>
      <c r="E31" s="212">
        <f>VLOOKUP(C31,'BD EVA 2 MTY'!$D$3:$Q$114,13,0)</f>
        <v>100</v>
      </c>
      <c r="F31" s="75" t="str">
        <f>VLOOKUP(C31,'BD EVA 2 MTY'!$D$3:$Y$114,8,0)</f>
        <v>Dic 2022</v>
      </c>
      <c r="G31" s="212">
        <f ca="1">VLOOKUP(C31,'BD EVA 2 MTY'!$D$3:$AC$114,23,0)</f>
        <v>99.95</v>
      </c>
      <c r="H31" s="212">
        <f>VLOOKUP(C31,'BD EVA 2 MTY'!$D$3:$AC$114,16,0)</f>
        <v>100</v>
      </c>
      <c r="I31" s="78">
        <f t="shared" ca="1" si="6"/>
        <v>0.99950000000000006</v>
      </c>
      <c r="J31" s="75" t="s">
        <v>318</v>
      </c>
      <c r="K31" s="71">
        <v>2</v>
      </c>
      <c r="L31" s="209">
        <f t="shared" ca="1" si="0"/>
        <v>1.9990000000000001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MTY'!$D$3:$Y$114,4,0)</f>
        <v>44469</v>
      </c>
      <c r="E32" s="209">
        <f>VLOOKUP(C32,'BD EVA 2 MTY'!$D$3:$Q$114,13,0)</f>
        <v>0</v>
      </c>
      <c r="F32" s="75">
        <f>VLOOKUP(C32,'BD EVA 2 MTY'!$D$3:$Y$114,8,0)</f>
        <v>45016</v>
      </c>
      <c r="G32" s="209">
        <f ca="1">VLOOKUP(C32,'BD EVA 2 MTY'!$D$3:$AC$114,23,0)</f>
        <v>2.56890168654874</v>
      </c>
      <c r="H32" s="209">
        <f>VLOOKUP(C32,'BD EVA 2 MTY'!$D$3:$AC$114,16,0)</f>
        <v>4</v>
      </c>
      <c r="I32" s="78">
        <f t="shared" ca="1" si="6"/>
        <v>0.64222542163718499</v>
      </c>
      <c r="J32" s="75" t="s">
        <v>318</v>
      </c>
      <c r="K32" s="71">
        <v>2</v>
      </c>
      <c r="L32" s="209">
        <f t="shared" ca="1" si="0"/>
        <v>1.28445084327437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MTY'!$D$3:$Y$114,4,0)</f>
        <v>44469</v>
      </c>
      <c r="E33" s="209">
        <f>VLOOKUP(C33,'BD EVA 2 MTY'!$D$3:$Q$114,13,0)</f>
        <v>0</v>
      </c>
      <c r="F33" s="75">
        <f>VLOOKUP(C33,'BD EVA 2 MTY'!$D$3:$Y$114,8,0)</f>
        <v>45016</v>
      </c>
      <c r="G33" s="207">
        <f ca="1">VLOOKUP(C33,'BD EVA 2 MTY'!$D$3:$AC$114,23,0)</f>
        <v>0.40869565217391302</v>
      </c>
      <c r="H33" s="207">
        <f>VLOOKUP(C33,'BD EVA 2 MTY'!$D$3:$AC$114,16,0)</f>
        <v>0.5</v>
      </c>
      <c r="I33" s="78">
        <f t="shared" ca="1" si="6"/>
        <v>0.81739130434782603</v>
      </c>
      <c r="J33" s="75" t="s">
        <v>318</v>
      </c>
      <c r="K33" s="71">
        <v>2</v>
      </c>
      <c r="L33" s="209">
        <f t="shared" ca="1" si="0"/>
        <v>1.6347826086956521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MTY'!$D$3:$Y$114,4,0)</f>
        <v>enero - diciembre 2021</v>
      </c>
      <c r="E34" s="78">
        <f>VLOOKUP(C34,'BD EVA 2 MTY'!$D$3:$Q$114,13,0)</f>
        <v>0.4485853423037352</v>
      </c>
      <c r="F34" s="71" t="str">
        <f>VLOOKUP(C34,'BD EVA 2 MTY'!$D$3:$Y$114,8,0)</f>
        <v>enero- diciembre 2022</v>
      </c>
      <c r="G34" s="78">
        <f ca="1">VLOOKUP(C34,'BD EVA 2 MTY'!$D$3:$AC$114,23,0)</f>
        <v>0.43052731868310801</v>
      </c>
      <c r="H34" s="78">
        <f>VLOOKUP(C34,'BD EVA 2 MTY'!$D$3:$AC$114,16,0)</f>
        <v>0.45900000000000002</v>
      </c>
      <c r="I34" s="78">
        <f ca="1">(G34/H34)</f>
        <v>0.93796801456014811</v>
      </c>
      <c r="J34" s="75" t="s">
        <v>318</v>
      </c>
      <c r="K34" s="82">
        <v>2.2000000000000002</v>
      </c>
      <c r="L34" s="209">
        <f t="shared" ca="1" si="0"/>
        <v>2.063529632032326</v>
      </c>
      <c r="M34" s="130">
        <f ca="1">SUM(L34:L39)</f>
        <v>7.7635296320323253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2 MTY'!$D$3:$Y$114,4,0)</f>
        <v>enero - diciembre 2021</v>
      </c>
      <c r="E35" s="78">
        <f>VLOOKUP(C35,'BD EVA 2 MTY'!$D$3:$Q$114,13,0)</f>
        <v>0.60737848538289907</v>
      </c>
      <c r="F35" s="71" t="str">
        <f>VLOOKUP(C35,'BD EVA 2 MTY'!$D$3:$Y$114,8,0)</f>
        <v>enero- diciembre 2022</v>
      </c>
      <c r="G35" s="78">
        <f ca="1">VLOOKUP(C35,'BD EVA 2 MTY'!$D$3:$AC$114,23,0)</f>
        <v>0.66026758906684402</v>
      </c>
      <c r="H35" s="78">
        <f>VLOOKUP(C35,'BD EVA 2 MTY'!$D$3:$AC$114,16,0)</f>
        <v>0.61</v>
      </c>
      <c r="I35" s="78">
        <f ca="1">G35/H35</f>
        <v>1.0824058837161377</v>
      </c>
      <c r="J35" s="75" t="s">
        <v>318</v>
      </c>
      <c r="K35" s="82">
        <v>1.4</v>
      </c>
      <c r="L35" s="209">
        <f t="shared" ca="1" si="0"/>
        <v>1.4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2 MTY'!$D$3:$Y$114,4,0)</f>
        <v>enero - diciembre 2021</v>
      </c>
      <c r="E36" s="78">
        <f>VLOOKUP(C36,'BD EVA 2 MTY'!$D$3:$Q$114,13,0)</f>
        <v>0.64956908078386477</v>
      </c>
      <c r="F36" s="71" t="str">
        <f>VLOOKUP(C36,'BD EVA 2 MTY'!$D$3:$Y$114,8,0)</f>
        <v>enero- diciembre 2022</v>
      </c>
      <c r="G36" s="78">
        <f ca="1">VLOOKUP(C36,'BD EVA 2 MTY'!$D$3:$AC$114,23,0)</f>
        <v>0.63877099287843797</v>
      </c>
      <c r="H36" s="78">
        <f>VLOOKUP(C36,'BD EVA 2 MTY'!$D$3:$AC$114,16,0)</f>
        <v>0.65</v>
      </c>
      <c r="I36" s="78">
        <f ca="1">IF(G36&lt;E36,0,G36/H36)</f>
        <v>0</v>
      </c>
      <c r="J36" s="72" t="s">
        <v>316</v>
      </c>
      <c r="K36" s="82">
        <v>2.2000000000000002</v>
      </c>
      <c r="L36" s="209">
        <f t="shared" ca="1" si="0"/>
        <v>0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2 MTY'!$D$3:$Y$114,4,0)</f>
        <v>enero - diciembre 2021</v>
      </c>
      <c r="E37" s="90">
        <f>VLOOKUP(C37,'BD EVA 2 MTY'!$D$3:$Q$114,13,0)</f>
        <v>1379390367.3499999</v>
      </c>
      <c r="F37" s="89" t="str">
        <f>VLOOKUP(C37,'BD EVA 2 MTY'!$D$3:$Y$114,8,0)</f>
        <v>enero- diciembre 2022</v>
      </c>
      <c r="G37" s="90">
        <f ca="1">VLOOKUP(C37,'BD EVA 2 MTY'!$D$3:$AC$114,23,0)</f>
        <v>1540788108.3199999</v>
      </c>
      <c r="H37" s="90">
        <f>VLOOKUP(C37,'BD EVA 2 MTY'!$D$3:$AC$114,16,0)</f>
        <v>1480000000</v>
      </c>
      <c r="I37" s="78">
        <f ca="1">G37/H37</f>
        <v>1.041073046162162</v>
      </c>
      <c r="J37" s="75" t="s">
        <v>318</v>
      </c>
      <c r="K37" s="82">
        <v>1.1000000000000001</v>
      </c>
      <c r="L37" s="209">
        <f t="shared" ca="1" si="0"/>
        <v>1.1000000000000001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2 MTY'!$D$3:$Y$114,4,0)</f>
        <v>enero - diciembre 2021</v>
      </c>
      <c r="E38" s="78">
        <f>VLOOKUP(C38,'BD EVA 2 MTY'!$D$3:$Q$114,13,0)</f>
        <v>0.72380072622938429</v>
      </c>
      <c r="F38" s="89" t="str">
        <f>VLOOKUP(C38,'BD EVA 2 MTY'!$D$3:$Y$114,8,0)</f>
        <v>enero- diciembre 2022</v>
      </c>
      <c r="G38" s="78">
        <f ca="1">VLOOKUP(C38,'BD EVA 2 MTY'!$D$3:$AC$114,23,0)</f>
        <v>0.681302269566884</v>
      </c>
      <c r="H38" s="78">
        <f>VLOOKUP(C38,'BD EVA 2 MTY'!$D$3:$AC$114,16,0)</f>
        <v>0.72</v>
      </c>
      <c r="I38" s="78">
        <f ca="1">(H38/G38)</f>
        <v>1.0567996499669916</v>
      </c>
      <c r="J38" s="89" t="s">
        <v>341</v>
      </c>
      <c r="K38" s="82">
        <v>1.6</v>
      </c>
      <c r="L38" s="209">
        <f t="shared" ca="1" si="0"/>
        <v>1.6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MTY'!$D$3:$Y$114,4,0)</f>
        <v>Dic 2020</v>
      </c>
      <c r="E39" s="76" t="str">
        <f>VLOOKUP(C39,'BD EVA 2 MTY'!$D$3:$Q$114,13,0)</f>
        <v>Verde</v>
      </c>
      <c r="F39" s="89" t="str">
        <f>VLOOKUP(C39,'BD EVA 2 MTY'!$D$3:$Y$114,8,0)</f>
        <v>Dic 2022</v>
      </c>
      <c r="G39" s="76" t="str">
        <f ca="1">VLOOKUP(C39,'BD EVA 2 MTY'!$D$3:$AC$114,23,0)</f>
        <v>Verde</v>
      </c>
      <c r="H39" s="76" t="str">
        <f>VLOOKUP(C39,'BD EVA 2 MTY'!$D$3:$AC$114,16,0)</f>
        <v>Verde</v>
      </c>
      <c r="I39" s="76">
        <f ca="1">IF(G39="Verde",1,0)</f>
        <v>1</v>
      </c>
      <c r="J39" s="75" t="s">
        <v>318</v>
      </c>
      <c r="K39" s="82">
        <v>1.6</v>
      </c>
      <c r="L39" s="209">
        <f t="shared" ca="1" si="0"/>
        <v>1.6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672B7-E090-7C4E-B6D6-6ACB56887909}">
  <dimension ref="A1:AC114"/>
  <sheetViews>
    <sheetView workbookViewId="0">
      <selection sqref="A1:XFD1"/>
    </sheetView>
  </sheetViews>
  <sheetFormatPr baseColWidth="10" defaultRowHeight="16"/>
  <sheetData>
    <row r="1" spans="1:29" s="111" customFormat="1" ht="78">
      <c r="A1" s="61" t="s">
        <v>0</v>
      </c>
      <c r="B1" s="61" t="s">
        <v>1</v>
      </c>
      <c r="C1" s="61" t="s">
        <v>2</v>
      </c>
      <c r="D1" s="175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2" t="s">
        <v>29</v>
      </c>
      <c r="B2" s="2" t="s">
        <v>29</v>
      </c>
      <c r="C2" s="2" t="s">
        <v>30</v>
      </c>
      <c r="D2" s="148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1136308</v>
      </c>
      <c r="Q2" s="5">
        <v>1136308</v>
      </c>
      <c r="R2" s="4"/>
      <c r="S2" s="6"/>
      <c r="T2" s="6"/>
      <c r="U2" s="6"/>
      <c r="V2" s="6"/>
      <c r="W2" s="6"/>
      <c r="X2" s="5">
        <v>1149605</v>
      </c>
      <c r="Y2" s="5">
        <v>1149605</v>
      </c>
      <c r="Z2" s="5">
        <v>1164927</v>
      </c>
      <c r="AA2" s="5">
        <v>1164927</v>
      </c>
      <c r="AB2" s="5">
        <v>1182363</v>
      </c>
      <c r="AC2" s="5">
        <v>1182363</v>
      </c>
    </row>
    <row r="3" spans="1:29">
      <c r="A3" s="9" t="s">
        <v>34</v>
      </c>
      <c r="B3" s="9" t="s">
        <v>35</v>
      </c>
      <c r="C3" s="2" t="s">
        <v>36</v>
      </c>
      <c r="D3" s="148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1125</v>
      </c>
      <c r="Q3" s="12">
        <v>1125</v>
      </c>
      <c r="R3" s="6">
        <v>1180</v>
      </c>
      <c r="S3" s="6">
        <v>1240</v>
      </c>
      <c r="T3" s="6">
        <v>1300</v>
      </c>
      <c r="U3" s="6">
        <v>1360</v>
      </c>
      <c r="V3" s="6">
        <v>1425</v>
      </c>
      <c r="W3" s="6">
        <v>1425</v>
      </c>
      <c r="X3" s="12">
        <v>1122</v>
      </c>
      <c r="Y3" s="12">
        <f ca="1">IFERROR(__xludf.DUMMYFUNCTION("INDEX(IMPORTRANGE(""1y0FWgjbB0gVlqn-q5LMJbGIsqOrzru4yowQz67dz2yc"", ""'MTY'!BG3:BG139""),MATCH($D3,IMPORTRANGE(""1y0FWgjbB0gVlqn-q5LMJbGIsqOrzru4yowQz67dz2yc"", ""'MTY'!D3:D139""),0))"),1119)</f>
        <v>1119</v>
      </c>
      <c r="Z3" s="12">
        <f ca="1">IFERROR(__xludf.DUMMYFUNCTION("INDEX(IMPORTRANGE(""1y0FWgjbB0gVlqn-q5LMJbGIsqOrzru4yowQz67dz2yc"", ""'MTY'!BH3:BH139""),MATCH($D3,IMPORTRANGE(""1y0FWgjbB0gVlqn-q5LMJbGIsqOrzru4yowQz67dz2yc"", ""'MTY'!D3:D139""),0))"),1152)</f>
        <v>1152</v>
      </c>
      <c r="AA3" s="12">
        <f ca="1">IFERROR(__xludf.DUMMYFUNCTION("INDEX(IMPORTRANGE(""1y0FWgjbB0gVlqn-q5LMJbGIsqOrzru4yowQz67dz2yc"", ""'MTY'!BI3:BI139""),MATCH($D3,IMPORTRANGE(""1y0FWgjbB0gVlqn-q5LMJbGIsqOrzru4yowQz67dz2yc"", ""'MTY'!D3:D139""),0))"),1190)</f>
        <v>1190</v>
      </c>
      <c r="AB3" s="2"/>
      <c r="AC3" s="2"/>
    </row>
    <row r="4" spans="1:29">
      <c r="A4" s="9" t="s">
        <v>34</v>
      </c>
      <c r="B4" s="9" t="s">
        <v>40</v>
      </c>
      <c r="C4" s="2" t="s">
        <v>30</v>
      </c>
      <c r="D4" s="149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1055</v>
      </c>
      <c r="Q4" s="12">
        <v>1055</v>
      </c>
      <c r="R4" s="6"/>
      <c r="S4" s="6"/>
      <c r="T4" s="6"/>
      <c r="U4" s="6"/>
      <c r="V4" s="6"/>
      <c r="W4" s="6"/>
      <c r="X4" s="12">
        <v>1054</v>
      </c>
      <c r="Y4" s="12">
        <f ca="1">IFERROR(__xludf.DUMMYFUNCTION("INDEX(IMPORTRANGE(""1y0FWgjbB0gVlqn-q5LMJbGIsqOrzru4yowQz67dz2yc"", ""'MTY'!BG3:BG139""),MATCH($D4,IMPORTRANGE(""1y0FWgjbB0gVlqn-q5LMJbGIsqOrzru4yowQz67dz2yc"", ""'MTY'!D3:D139""),0))"),1070)</f>
        <v>1070</v>
      </c>
      <c r="Z4" s="12">
        <f ca="1">IFERROR(__xludf.DUMMYFUNCTION("INDEX(IMPORTRANGE(""1y0FWgjbB0gVlqn-q5LMJbGIsqOrzru4yowQz67dz2yc"", ""'MTY'!BH3:BH139""),MATCH($D4,IMPORTRANGE(""1y0FWgjbB0gVlqn-q5LMJbGIsqOrzru4yowQz67dz2yc"", ""'MTY'!D3:D139""),0))"),1097)</f>
        <v>1097</v>
      </c>
      <c r="AA4" s="12">
        <f ca="1">IFERROR(__xludf.DUMMYFUNCTION("INDEX(IMPORTRANGE(""1y0FWgjbB0gVlqn-q5LMJbGIsqOrzru4yowQz67dz2yc"", ""'MTY'!BI3:BI139""),MATCH($D4,IMPORTRANGE(""1y0FWgjbB0gVlqn-q5LMJbGIsqOrzru4yowQz67dz2yc"", ""'MTY'!D3:D139""),0))"),1118)</f>
        <v>1118</v>
      </c>
      <c r="AB4" s="2"/>
      <c r="AC4" s="2"/>
    </row>
    <row r="5" spans="1:29">
      <c r="A5" s="9" t="s">
        <v>34</v>
      </c>
      <c r="B5" s="9" t="s">
        <v>40</v>
      </c>
      <c r="C5" s="2" t="s">
        <v>36</v>
      </c>
      <c r="D5" s="148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0.93777777777777782</v>
      </c>
      <c r="Q5" s="15">
        <f t="shared" si="0"/>
        <v>0.93777777777777782</v>
      </c>
      <c r="R5" s="31" t="s">
        <v>327</v>
      </c>
      <c r="S5" s="31" t="s">
        <v>327</v>
      </c>
      <c r="T5" s="31" t="s">
        <v>327</v>
      </c>
      <c r="U5" s="31" t="s">
        <v>327</v>
      </c>
      <c r="V5" s="31" t="s">
        <v>327</v>
      </c>
      <c r="W5" s="31" t="s">
        <v>327</v>
      </c>
      <c r="X5" s="15">
        <f>X4/X3</f>
        <v>0.93939393939393945</v>
      </c>
      <c r="Y5" s="15">
        <f ca="1">IFERROR(__xludf.DUMMYFUNCTION("INDEX(IMPORTRANGE(""1y0FWgjbB0gVlqn-q5LMJbGIsqOrzru4yowQz67dz2yc"", ""'MTY'!BG3:BG139""),MATCH($D5,IMPORTRANGE(""1y0FWgjbB0gVlqn-q5LMJbGIsqOrzru4yowQz67dz2yc"", ""'MTY'!D3:D139""),0))"),0.956210902591599)</f>
        <v>0.95621090259159902</v>
      </c>
      <c r="Z5" s="15">
        <f ca="1">IFERROR(__xludf.DUMMYFUNCTION("INDEX(IMPORTRANGE(""1y0FWgjbB0gVlqn-q5LMJbGIsqOrzru4yowQz67dz2yc"", ""'MTY'!BH3:BH139""),MATCH($D5,IMPORTRANGE(""1y0FWgjbB0gVlqn-q5LMJbGIsqOrzru4yowQz67dz2yc"", ""'MTY'!D3:D139""),0))"),0.952256944444444)</f>
        <v>0.95225694444444398</v>
      </c>
      <c r="AA5" s="15">
        <f ca="1">IFERROR(__xludf.DUMMYFUNCTION("INDEX(IMPORTRANGE(""1y0FWgjbB0gVlqn-q5LMJbGIsqOrzru4yowQz67dz2yc"", ""'MTY'!BI3:BI139""),MATCH($D5,IMPORTRANGE(""1y0FWgjbB0gVlqn-q5LMJbGIsqOrzru4yowQz67dz2yc"", ""'MTY'!D3:D139""),0))"),0.939495798319327)</f>
        <v>0.93949579831932695</v>
      </c>
      <c r="AB5" s="2"/>
      <c r="AC5" s="2"/>
    </row>
    <row r="6" spans="1:29">
      <c r="A6" s="9" t="s">
        <v>34</v>
      </c>
      <c r="B6" s="9" t="s">
        <v>45</v>
      </c>
      <c r="C6" s="2" t="s">
        <v>30</v>
      </c>
      <c r="D6" s="47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2"/>
      <c r="Y6" s="12">
        <f ca="1">IFERROR(__xludf.DUMMYFUNCTION("INDEX(IMPORTRANGE(""1y0FWgjbB0gVlqn-q5LMJbGIsqOrzru4yowQz67dz2yc"", ""'MTY'!BG3:BG139""),MATCH($D6,IMPORTRANGE(""1y0FWgjbB0gVlqn-q5LMJbGIsqOrzru4yowQz67dz2yc"", ""'MTY'!D3:D139""),0))"),16)</f>
        <v>16</v>
      </c>
      <c r="Z6" s="12">
        <f ca="1">IFERROR(__xludf.DUMMYFUNCTION("INDEX(IMPORTRANGE(""1y0FWgjbB0gVlqn-q5LMJbGIsqOrzru4yowQz67dz2yc"", ""'MTY'!BH3:BH139""),MATCH($D6,IMPORTRANGE(""1y0FWgjbB0gVlqn-q5LMJbGIsqOrzru4yowQz67dz2yc"", ""'MTY'!D3:D139""),0))"),21)</f>
        <v>21</v>
      </c>
      <c r="AA6" s="12">
        <f ca="1">IFERROR(__xludf.DUMMYFUNCTION("INDEX(IMPORTRANGE(""1y0FWgjbB0gVlqn-q5LMJbGIsqOrzru4yowQz67dz2yc"", ""'MTY'!BI3:BI139""),MATCH($D6,IMPORTRANGE(""1y0FWgjbB0gVlqn-q5LMJbGIsqOrzru4yowQz67dz2yc"", ""'MTY'!D3:D139""),0))"),23)</f>
        <v>23</v>
      </c>
      <c r="AB6" s="2"/>
      <c r="AC6" s="2"/>
    </row>
    <row r="7" spans="1:29">
      <c r="A7" s="9" t="s">
        <v>34</v>
      </c>
      <c r="B7" s="9" t="s">
        <v>45</v>
      </c>
      <c r="C7" s="2" t="s">
        <v>30</v>
      </c>
      <c r="D7" s="148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2"/>
      <c r="Q7" s="2"/>
      <c r="R7" s="2">
        <v>16</v>
      </c>
      <c r="S7" s="2">
        <v>16</v>
      </c>
      <c r="T7" s="2">
        <v>22</v>
      </c>
      <c r="U7" s="2">
        <v>22</v>
      </c>
      <c r="V7" s="2">
        <v>35</v>
      </c>
      <c r="W7" s="2">
        <v>35</v>
      </c>
      <c r="X7" s="2"/>
      <c r="Y7" s="12">
        <f ca="1">IFERROR(__xludf.DUMMYFUNCTION("INDEX(IMPORTRANGE(""1y0FWgjbB0gVlqn-q5LMJbGIsqOrzru4yowQz67dz2yc"", ""'MTY'!BG3:BG139""),MATCH($D7,IMPORTRANGE(""1y0FWgjbB0gVlqn-q5LMJbGIsqOrzru4yowQz67dz2yc"", ""'MTY'!D3:D139""),0))"),1)</f>
        <v>1</v>
      </c>
      <c r="Z7" s="12">
        <f ca="1">IFERROR(__xludf.DUMMYFUNCTION("INDEX(IMPORTRANGE(""1y0FWgjbB0gVlqn-q5LMJbGIsqOrzru4yowQz67dz2yc"", ""'MTY'!BH3:BH139""),MATCH($D7,IMPORTRANGE(""1y0FWgjbB0gVlqn-q5LMJbGIsqOrzru4yowQz67dz2yc"", ""'MTY'!D3:D139""),0))"),0)</f>
        <v>0</v>
      </c>
      <c r="AA7" s="12">
        <f ca="1">IFERROR(__xludf.DUMMYFUNCTION("INDEX(IMPORTRANGE(""1y0FWgjbB0gVlqn-q5LMJbGIsqOrzru4yowQz67dz2yc"", ""'MTY'!BI3:BI139""),MATCH($D7,IMPORTRANGE(""1y0FWgjbB0gVlqn-q5LMJbGIsqOrzru4yowQz67dz2yc"", ""'MTY'!D3:D139""),0))"),0)</f>
        <v>0</v>
      </c>
      <c r="AB7" s="2"/>
      <c r="AC7" s="2"/>
    </row>
    <row r="8" spans="1:29">
      <c r="A8" s="9" t="s">
        <v>34</v>
      </c>
      <c r="B8" s="9" t="s">
        <v>45</v>
      </c>
      <c r="C8" s="2" t="s">
        <v>36</v>
      </c>
      <c r="D8" s="148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15">
        <f t="shared" ref="R8:W8" si="2">R7/R3</f>
        <v>1.3559322033898305E-2</v>
      </c>
      <c r="S8" s="15">
        <f t="shared" si="2"/>
        <v>1.2903225806451613E-2</v>
      </c>
      <c r="T8" s="15">
        <f t="shared" si="2"/>
        <v>1.6923076923076923E-2</v>
      </c>
      <c r="U8" s="15">
        <f t="shared" si="2"/>
        <v>1.6176470588235296E-2</v>
      </c>
      <c r="V8" s="15">
        <f t="shared" si="2"/>
        <v>2.456140350877193E-2</v>
      </c>
      <c r="W8" s="15">
        <f t="shared" si="2"/>
        <v>2.456140350877193E-2</v>
      </c>
      <c r="X8" s="15">
        <f>X6/X3</f>
        <v>0</v>
      </c>
      <c r="Y8" s="15">
        <f ca="1">IFERROR(__xludf.DUMMYFUNCTION("INDEX(IMPORTRANGE(""1y0FWgjbB0gVlqn-q5LMJbGIsqOrzru4yowQz67dz2yc"", ""'MTY'!BG3:BG139""),MATCH($D8,IMPORTRANGE(""1y0FWgjbB0gVlqn-q5LMJbGIsqOrzru4yowQz67dz2yc"", ""'MTY'!D3:D139""),0))"),0.0151921358355674)</f>
        <v>1.5192135835567401E-2</v>
      </c>
      <c r="Z8" s="15">
        <f ca="1">IFERROR(__xludf.DUMMYFUNCTION("INDEX(IMPORTRANGE(""1y0FWgjbB0gVlqn-q5LMJbGIsqOrzru4yowQz67dz2yc"", ""'MTY'!BH3:BH139""),MATCH($D8,IMPORTRANGE(""1y0FWgjbB0gVlqn-q5LMJbGIsqOrzru4yowQz67dz2yc"", ""'MTY'!D3:D139""),0))"),0.0182291666666666)</f>
        <v>1.8229166666666598E-2</v>
      </c>
      <c r="AA8" s="15">
        <f ca="1">IFERROR(__xludf.DUMMYFUNCTION("INDEX(IMPORTRANGE(""1y0FWgjbB0gVlqn-q5LMJbGIsqOrzru4yowQz67dz2yc"", ""'MTY'!BI3:BI139""),MATCH($D8,IMPORTRANGE(""1y0FWgjbB0gVlqn-q5LMJbGIsqOrzru4yowQz67dz2yc"", ""'MTY'!D3:D139""),0))"),0.0193277310924369)</f>
        <v>1.9327731092436899E-2</v>
      </c>
      <c r="AB8" s="2"/>
      <c r="AC8" s="2"/>
    </row>
    <row r="9" spans="1:29">
      <c r="A9" s="9" t="s">
        <v>52</v>
      </c>
      <c r="B9" s="9" t="s">
        <v>53</v>
      </c>
      <c r="C9" s="2" t="s">
        <v>30</v>
      </c>
      <c r="D9" s="149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4"/>
      <c r="S9" s="4"/>
      <c r="T9" s="4"/>
      <c r="U9" s="4"/>
      <c r="V9" s="4"/>
      <c r="W9" s="4"/>
      <c r="X9" s="2">
        <v>0</v>
      </c>
      <c r="Y9" s="12">
        <f ca="1">IFERROR(__xludf.DUMMYFUNCTION("INDEX(IMPORTRANGE(""1y0FWgjbB0gVlqn-q5LMJbGIsqOrzru4yowQz67dz2yc"", ""'MTY'!BG3:BG139""),MATCH($D9,IMPORTRANGE(""1y0FWgjbB0gVlqn-q5LMJbGIsqOrzru4yowQz67dz2yc"", ""'MTY'!D3:D139""),0))"),0)</f>
        <v>0</v>
      </c>
      <c r="Z9" s="12">
        <f ca="1">IFERROR(__xludf.DUMMYFUNCTION("INDEX(IMPORTRANGE(""1y0FWgjbB0gVlqn-q5LMJbGIsqOrzru4yowQz67dz2yc"", ""'MTY'!BH3:BH139""),MATCH($D9,IMPORTRANGE(""1y0FWgjbB0gVlqn-q5LMJbGIsqOrzru4yowQz67dz2yc"", ""'MTY'!D3:D139""),0))"),151)</f>
        <v>151</v>
      </c>
      <c r="AA9" s="12">
        <f ca="1">IFERROR(__xludf.DUMMYFUNCTION("INDEX(IMPORTRANGE(""1y0FWgjbB0gVlqn-q5LMJbGIsqOrzru4yowQz67dz2yc"", ""'MTY'!BI3:BI139""),MATCH($D9,IMPORTRANGE(""1y0FWgjbB0gVlqn-q5LMJbGIsqOrzru4yowQz67dz2yc"", ""'MTY'!D3:D139""),0))"),266)</f>
        <v>266</v>
      </c>
      <c r="AB9" s="2"/>
      <c r="AC9" s="2"/>
    </row>
    <row r="10" spans="1:29">
      <c r="A10" s="9" t="s">
        <v>52</v>
      </c>
      <c r="B10" s="9" t="s">
        <v>53</v>
      </c>
      <c r="C10" s="2" t="s">
        <v>30</v>
      </c>
      <c r="D10" s="149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9450</v>
      </c>
      <c r="Q10" s="12">
        <v>17558</v>
      </c>
      <c r="R10" s="4"/>
      <c r="S10" s="4"/>
      <c r="T10" s="4"/>
      <c r="U10" s="4"/>
      <c r="V10" s="4"/>
      <c r="W10" s="4"/>
      <c r="X10" s="12">
        <v>9187</v>
      </c>
      <c r="Y10" s="12">
        <f ca="1">IFERROR(__xludf.DUMMYFUNCTION("INDEX(IMPORTRANGE(""1y0FWgjbB0gVlqn-q5LMJbGIsqOrzru4yowQz67dz2yc"", ""'MTY'!BG3:BG139""),MATCH($D10,IMPORTRANGE(""1y0FWgjbB0gVlqn-q5LMJbGIsqOrzru4yowQz67dz2yc"", ""'MTY'!D3:D139""),0))"),16911)</f>
        <v>16911</v>
      </c>
      <c r="Z10" s="12">
        <f ca="1">IFERROR(__xludf.DUMMYFUNCTION("INDEX(IMPORTRANGE(""1y0FWgjbB0gVlqn-q5LMJbGIsqOrzru4yowQz67dz2yc"", ""'MTY'!BH3:BH139""),MATCH($D10,IMPORTRANGE(""1y0FWgjbB0gVlqn-q5LMJbGIsqOrzru4yowQz67dz2yc"", ""'MTY'!D3:D139""),0))"),3271)</f>
        <v>3271</v>
      </c>
      <c r="AA10" s="12">
        <f ca="1">IFERROR(__xludf.DUMMYFUNCTION("INDEX(IMPORTRANGE(""1y0FWgjbB0gVlqn-q5LMJbGIsqOrzru4yowQz67dz2yc"", ""'MTY'!BI3:BI139""),MATCH($D10,IMPORTRANGE(""1y0FWgjbB0gVlqn-q5LMJbGIsqOrzru4yowQz67dz2yc"", ""'MTY'!D3:D139""),0))"),6698)</f>
        <v>6698</v>
      </c>
      <c r="AB10" s="2"/>
      <c r="AC10" s="2"/>
    </row>
    <row r="11" spans="1:29">
      <c r="A11" s="9" t="s">
        <v>52</v>
      </c>
      <c r="B11" s="9" t="s">
        <v>53</v>
      </c>
      <c r="C11" s="2" t="s">
        <v>36</v>
      </c>
      <c r="D11" s="149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3">P9/P10</f>
        <v>0</v>
      </c>
      <c r="Q11" s="15">
        <f t="shared" si="3"/>
        <v>0</v>
      </c>
      <c r="R11" s="26">
        <v>5.0000000000000001E-3</v>
      </c>
      <c r="S11" s="26">
        <v>0.01</v>
      </c>
      <c r="T11" s="26">
        <v>0.02</v>
      </c>
      <c r="U11" s="26">
        <v>3.5000000000000003E-2</v>
      </c>
      <c r="V11" s="26">
        <v>0.05</v>
      </c>
      <c r="W11" s="26">
        <v>0.05</v>
      </c>
      <c r="X11" s="15">
        <f>X9/X10</f>
        <v>0</v>
      </c>
      <c r="Y11" s="15">
        <f ca="1">IFERROR(__xludf.DUMMYFUNCTION("INDEX(IMPORTRANGE(""1y0FWgjbB0gVlqn-q5LMJbGIsqOrzru4yowQz67dz2yc"", ""'MTY'!BG3:BG139""),MATCH($D11,IMPORTRANGE(""1y0FWgjbB0gVlqn-q5LMJbGIsqOrzru4yowQz67dz2yc"", ""'MTY'!D3:D139""),0))"),0)</f>
        <v>0</v>
      </c>
      <c r="Z11" s="15">
        <f ca="1">IFERROR(__xludf.DUMMYFUNCTION("INDEX(IMPORTRANGE(""1y0FWgjbB0gVlqn-q5LMJbGIsqOrzru4yowQz67dz2yc"", ""'MTY'!BH3:BH139""),MATCH($D11,IMPORTRANGE(""1y0FWgjbB0gVlqn-q5LMJbGIsqOrzru4yowQz67dz2yc"", ""'MTY'!D3:D139""),0))"),0.0461632528278813)</f>
        <v>4.61632528278813E-2</v>
      </c>
      <c r="AA11" s="15">
        <f ca="1">IFERROR(__xludf.DUMMYFUNCTION("INDEX(IMPORTRANGE(""1y0FWgjbB0gVlqn-q5LMJbGIsqOrzru4yowQz67dz2yc"", ""'MTY'!BI3:BI139""),MATCH($D11,IMPORTRANGE(""1y0FWgjbB0gVlqn-q5LMJbGIsqOrzru4yowQz67dz2yc"", ""'MTY'!D3:D139""),0))"),0.0397133472678411)</f>
        <v>3.97133472678411E-2</v>
      </c>
      <c r="AB11" s="2"/>
      <c r="AC11" s="2"/>
    </row>
    <row r="12" spans="1:29">
      <c r="A12" s="9" t="s">
        <v>52</v>
      </c>
      <c r="B12" s="9" t="s">
        <v>68</v>
      </c>
      <c r="C12" s="2" t="s">
        <v>30</v>
      </c>
      <c r="D12" s="149" t="s">
        <v>69</v>
      </c>
      <c r="E12" s="9" t="s">
        <v>444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4"/>
      <c r="S12" s="4"/>
      <c r="T12" s="4"/>
      <c r="U12" s="4"/>
      <c r="V12" s="4"/>
      <c r="W12" s="4"/>
      <c r="X12" s="2">
        <v>21</v>
      </c>
      <c r="Y12" s="12">
        <f ca="1">IFERROR(__xludf.DUMMYFUNCTION("INDEX(IMPORTRANGE(""1y0FWgjbB0gVlqn-q5LMJbGIsqOrzru4yowQz67dz2yc"", ""'MTY'!BG3:BG139""),MATCH($D12,IMPORTRANGE(""1y0FWgjbB0gVlqn-q5LMJbGIsqOrzru4yowQz67dz2yc"", ""'MTY'!D3:D139""),0))"),53)</f>
        <v>53</v>
      </c>
      <c r="Z12" s="12">
        <f ca="1">IFERROR(__xludf.DUMMYFUNCTION("INDEX(IMPORTRANGE(""1y0FWgjbB0gVlqn-q5LMJbGIsqOrzru4yowQz67dz2yc"", ""'MTY'!BH3:BH139""),MATCH($D12,IMPORTRANGE(""1y0FWgjbB0gVlqn-q5LMJbGIsqOrzru4yowQz67dz2yc"", ""'MTY'!D3:D139""),0))"),45)</f>
        <v>45</v>
      </c>
      <c r="AA12" s="12">
        <f ca="1">IFERROR(__xludf.DUMMYFUNCTION("INDEX(IMPORTRANGE(""1y0FWgjbB0gVlqn-q5LMJbGIsqOrzru4yowQz67dz2yc"", ""'MTY'!BI3:BI139""),MATCH($D12,IMPORTRANGE(""1y0FWgjbB0gVlqn-q5LMJbGIsqOrzru4yowQz67dz2yc"", ""'MTY'!D3:D139""),0))"),96)</f>
        <v>96</v>
      </c>
      <c r="AB12" s="2"/>
      <c r="AC12" s="2"/>
    </row>
    <row r="13" spans="1:29">
      <c r="A13" s="9" t="s">
        <v>52</v>
      </c>
      <c r="B13" s="9" t="s">
        <v>68</v>
      </c>
      <c r="C13" s="2" t="s">
        <v>36</v>
      </c>
      <c r="D13" s="149" t="s">
        <v>72</v>
      </c>
      <c r="E13" s="9" t="s">
        <v>444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v>8</v>
      </c>
      <c r="Q13" s="23">
        <v>21</v>
      </c>
      <c r="R13" s="2">
        <v>20.7</v>
      </c>
      <c r="S13" s="2">
        <v>7.9</v>
      </c>
      <c r="T13" s="2">
        <v>20.2</v>
      </c>
      <c r="U13" s="2">
        <v>7.7</v>
      </c>
      <c r="V13" s="2">
        <v>19.600000000000001</v>
      </c>
      <c r="W13" s="2">
        <v>19.600000000000001</v>
      </c>
      <c r="X13" s="23">
        <f>(X12/306371)*100000</f>
        <v>6.8544346560216205</v>
      </c>
      <c r="Y13" s="23">
        <f ca="1">IFERROR(__xludf.DUMMYFUNCTION("INDEX(IMPORTRANGE(""1y0FWgjbB0gVlqn-q5LMJbGIsqOrzru4yowQz67dz2yc"", ""'MTY'!BG3:BG139""),MATCH($D13,IMPORTRANGE(""1y0FWgjbB0gVlqn-q5LMJbGIsqOrzru4yowQz67dz2yc"", ""'MTY'!D3:D139""),0))"),17.2992874651974)</f>
        <v>17.299287465197398</v>
      </c>
      <c r="Z13" s="23">
        <f ca="1">IFERROR(__xludf.DUMMYFUNCTION("INDEX(IMPORTRANGE(""1y0FWgjbB0gVlqn-q5LMJbGIsqOrzru4yowQz67dz2yc"", ""'MTY'!BH3:BH139""),MATCH($D13,IMPORTRANGE(""1y0FWgjbB0gVlqn-q5LMJbGIsqOrzru4yowQz67dz2yc"", ""'MTY'!D3:D139""),0))"),9.54073043832235)</f>
        <v>9.5407304383223508</v>
      </c>
      <c r="AA13" s="23">
        <f ca="1">IFERROR(__xludf.DUMMYFUNCTION("INDEX(IMPORTRANGE(""1y0FWgjbB0gVlqn-q5LMJbGIsqOrzru4yowQz67dz2yc"", ""'MTY'!BI3:BI139""),MATCH($D13,IMPORTRANGE(""1y0FWgjbB0gVlqn-q5LMJbGIsqOrzru4yowQz67dz2yc"", ""'MTY'!D3:D139""),0))"),20.353558268421)</f>
        <v>20.353558268421001</v>
      </c>
      <c r="AB13" s="2"/>
      <c r="AC13" s="2"/>
    </row>
    <row r="14" spans="1:29">
      <c r="A14" s="9" t="s">
        <v>52</v>
      </c>
      <c r="B14" s="9" t="s">
        <v>68</v>
      </c>
      <c r="C14" s="2" t="s">
        <v>30</v>
      </c>
      <c r="D14" s="149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/>
      <c r="Q14" s="2"/>
      <c r="R14" s="4"/>
      <c r="S14" s="4"/>
      <c r="T14" s="4"/>
      <c r="U14" s="4"/>
      <c r="V14" s="4"/>
      <c r="W14" s="4"/>
      <c r="X14" s="2">
        <v>104</v>
      </c>
      <c r="Y14" s="12">
        <f ca="1">IFERROR(__xludf.DUMMYFUNCTION("INDEX(IMPORTRANGE(""1y0FWgjbB0gVlqn-q5LMJbGIsqOrzru4yowQz67dz2yc"", ""'MTY'!BG3:BG139""),MATCH($D14,IMPORTRANGE(""1y0FWgjbB0gVlqn-q5LMJbGIsqOrzru4yowQz67dz2yc"", ""'MTY'!D3:D139""),0))"),199)</f>
        <v>199</v>
      </c>
      <c r="Z14" s="12">
        <f ca="1">IFERROR(__xludf.DUMMYFUNCTION("INDEX(IMPORTRANGE(""1y0FWgjbB0gVlqn-q5LMJbGIsqOrzru4yowQz67dz2yc"", ""'MTY'!BH3:BH139""),MATCH($D14,IMPORTRANGE(""1y0FWgjbB0gVlqn-q5LMJbGIsqOrzru4yowQz67dz2yc"", ""'MTY'!D3:D139""),0))"),90)</f>
        <v>90</v>
      </c>
      <c r="AA14" s="12">
        <f ca="1">IFERROR(__xludf.DUMMYFUNCTION("INDEX(IMPORTRANGE(""1y0FWgjbB0gVlqn-q5LMJbGIsqOrzru4yowQz67dz2yc"", ""'MTY'!BI3:BI139""),MATCH($D14,IMPORTRANGE(""1y0FWgjbB0gVlqn-q5LMJbGIsqOrzru4yowQz67dz2yc"", ""'MTY'!D3:D139""),0))"),164)</f>
        <v>164</v>
      </c>
      <c r="AB14" s="2"/>
      <c r="AC14" s="2"/>
    </row>
    <row r="15" spans="1:29">
      <c r="A15" s="9" t="s">
        <v>52</v>
      </c>
      <c r="B15" s="9" t="s">
        <v>68</v>
      </c>
      <c r="C15" s="2" t="s">
        <v>30</v>
      </c>
      <c r="D15" s="149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/>
      <c r="Q15" s="2"/>
      <c r="R15" s="4"/>
      <c r="S15" s="4"/>
      <c r="T15" s="4"/>
      <c r="U15" s="4"/>
      <c r="V15" s="4"/>
      <c r="W15" s="4"/>
      <c r="X15" s="2">
        <v>528</v>
      </c>
      <c r="Y15" s="12">
        <f ca="1">IFERROR(__xludf.DUMMYFUNCTION("INDEX(IMPORTRANGE(""1y0FWgjbB0gVlqn-q5LMJbGIsqOrzru4yowQz67dz2yc"", ""'MTY'!BG3:BG139""),MATCH($D15,IMPORTRANGE(""1y0FWgjbB0gVlqn-q5LMJbGIsqOrzru4yowQz67dz2yc"", ""'MTY'!D3:D139""),0))"),931)</f>
        <v>931</v>
      </c>
      <c r="Z15" s="12">
        <f ca="1">IFERROR(__xludf.DUMMYFUNCTION("INDEX(IMPORTRANGE(""1y0FWgjbB0gVlqn-q5LMJbGIsqOrzru4yowQz67dz2yc"", ""'MTY'!BH3:BH139""),MATCH($D15,IMPORTRANGE(""1y0FWgjbB0gVlqn-q5LMJbGIsqOrzru4yowQz67dz2yc"", ""'MTY'!D3:D139""),0))"),408)</f>
        <v>408</v>
      </c>
      <c r="AA15" s="12">
        <f ca="1">IFERROR(__xludf.DUMMYFUNCTION("INDEX(IMPORTRANGE(""1y0FWgjbB0gVlqn-q5LMJbGIsqOrzru4yowQz67dz2yc"", ""'MTY'!BI3:BI139""),MATCH($D15,IMPORTRANGE(""1y0FWgjbB0gVlqn-q5LMJbGIsqOrzru4yowQz67dz2yc"", ""'MTY'!D3:D139""),0))"),735)</f>
        <v>735</v>
      </c>
      <c r="AB15" s="2"/>
      <c r="AC15" s="2"/>
    </row>
    <row r="16" spans="1:29">
      <c r="A16" s="9" t="s">
        <v>52</v>
      </c>
      <c r="B16" s="9" t="s">
        <v>68</v>
      </c>
      <c r="C16" s="2" t="s">
        <v>30</v>
      </c>
      <c r="D16" s="149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/>
      <c r="Q16" s="2"/>
      <c r="R16" s="4"/>
      <c r="S16" s="4"/>
      <c r="T16" s="4"/>
      <c r="U16" s="4"/>
      <c r="V16" s="4"/>
      <c r="W16" s="4"/>
      <c r="X16" s="2">
        <v>144</v>
      </c>
      <c r="Y16" s="12">
        <f ca="1">IFERROR(__xludf.DUMMYFUNCTION("INDEX(IMPORTRANGE(""1y0FWgjbB0gVlqn-q5LMJbGIsqOrzru4yowQz67dz2yc"", ""'MTY'!BG3:BG139""),MATCH($D16,IMPORTRANGE(""1y0FWgjbB0gVlqn-q5LMJbGIsqOrzru4yowQz67dz2yc"", ""'MTY'!D3:D139""),0))"),285)</f>
        <v>285</v>
      </c>
      <c r="Z16" s="12">
        <f ca="1">IFERROR(__xludf.DUMMYFUNCTION("INDEX(IMPORTRANGE(""1y0FWgjbB0gVlqn-q5LMJbGIsqOrzru4yowQz67dz2yc"", ""'MTY'!BH3:BH139""),MATCH($D16,IMPORTRANGE(""1y0FWgjbB0gVlqn-q5LMJbGIsqOrzru4yowQz67dz2yc"", ""'MTY'!D3:D139""),0))"),183)</f>
        <v>183</v>
      </c>
      <c r="AA16" s="12">
        <f ca="1">IFERROR(__xludf.DUMMYFUNCTION("INDEX(IMPORTRANGE(""1y0FWgjbB0gVlqn-q5LMJbGIsqOrzru4yowQz67dz2yc"", ""'MTY'!BI3:BI139""),MATCH($D16,IMPORTRANGE(""1y0FWgjbB0gVlqn-q5LMJbGIsqOrzru4yowQz67dz2yc"", ""'MTY'!D3:D139""),0))"),373)</f>
        <v>373</v>
      </c>
      <c r="AB16" s="2"/>
      <c r="AC16" s="2"/>
    </row>
    <row r="17" spans="1:29">
      <c r="A17" s="9" t="s">
        <v>52</v>
      </c>
      <c r="B17" s="9" t="s">
        <v>68</v>
      </c>
      <c r="C17" s="2" t="s">
        <v>30</v>
      </c>
      <c r="D17" s="149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/>
      <c r="Q17" s="2"/>
      <c r="R17" s="4"/>
      <c r="S17" s="4"/>
      <c r="T17" s="4"/>
      <c r="U17" s="4"/>
      <c r="V17" s="4"/>
      <c r="W17" s="4"/>
      <c r="X17" s="2">
        <v>78</v>
      </c>
      <c r="Y17" s="12">
        <f ca="1">IFERROR(__xludf.DUMMYFUNCTION("INDEX(IMPORTRANGE(""1y0FWgjbB0gVlqn-q5LMJbGIsqOrzru4yowQz67dz2yc"", ""'MTY'!BG3:BG139""),MATCH($D17,IMPORTRANGE(""1y0FWgjbB0gVlqn-q5LMJbGIsqOrzru4yowQz67dz2yc"", ""'MTY'!D3:D139""),0))"),151)</f>
        <v>151</v>
      </c>
      <c r="Z17" s="12">
        <f ca="1">IFERROR(__xludf.DUMMYFUNCTION("INDEX(IMPORTRANGE(""1y0FWgjbB0gVlqn-q5LMJbGIsqOrzru4yowQz67dz2yc"", ""'MTY'!BH3:BH139""),MATCH($D17,IMPORTRANGE(""1y0FWgjbB0gVlqn-q5LMJbGIsqOrzru4yowQz67dz2yc"", ""'MTY'!D3:D139""),0))"),51)</f>
        <v>51</v>
      </c>
      <c r="AA17" s="12">
        <f ca="1">IFERROR(__xludf.DUMMYFUNCTION("INDEX(IMPORTRANGE(""1y0FWgjbB0gVlqn-q5LMJbGIsqOrzru4yowQz67dz2yc"", ""'MTY'!BI3:BI139""),MATCH($D17,IMPORTRANGE(""1y0FWgjbB0gVlqn-q5LMJbGIsqOrzru4yowQz67dz2yc"", ""'MTY'!D3:D139""),0))"),100)</f>
        <v>100</v>
      </c>
      <c r="AB17" s="2"/>
      <c r="AC17" s="2"/>
    </row>
    <row r="18" spans="1:29">
      <c r="A18" s="21" t="s">
        <v>52</v>
      </c>
      <c r="B18" s="21" t="s">
        <v>68</v>
      </c>
      <c r="C18" s="22" t="s">
        <v>30</v>
      </c>
      <c r="D18" s="21" t="s">
        <v>342</v>
      </c>
      <c r="E18" s="21" t="str">
        <f>E17</f>
        <v>Secretaría de Seguridad Pública del Estado, CONAPO</v>
      </c>
      <c r="F18" s="472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0</v>
      </c>
      <c r="Q18" s="262">
        <f t="shared" si="4"/>
        <v>0</v>
      </c>
      <c r="R18" s="473"/>
      <c r="S18" s="473"/>
      <c r="T18" s="473"/>
      <c r="U18" s="473"/>
      <c r="V18" s="473"/>
      <c r="W18" s="473"/>
      <c r="X18" s="262">
        <f t="shared" ref="X18:AA18" si="5">SUM(X14:X17)</f>
        <v>854</v>
      </c>
      <c r="Y18" s="262">
        <f t="shared" ca="1" si="5"/>
        <v>1566</v>
      </c>
      <c r="Z18" s="262">
        <f t="shared" ca="1" si="5"/>
        <v>732</v>
      </c>
      <c r="AA18" s="262">
        <f t="shared" ca="1" si="5"/>
        <v>1372</v>
      </c>
      <c r="AB18" s="268"/>
      <c r="AC18" s="268"/>
    </row>
    <row r="19" spans="1:29">
      <c r="A19" s="9" t="s">
        <v>52</v>
      </c>
      <c r="B19" s="9" t="s">
        <v>68</v>
      </c>
      <c r="C19" s="2" t="s">
        <v>36</v>
      </c>
      <c r="D19" s="149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v>222</v>
      </c>
      <c r="Q19" s="23">
        <v>392</v>
      </c>
      <c r="R19" s="2">
        <v>383.8</v>
      </c>
      <c r="S19" s="2">
        <v>211.8</v>
      </c>
      <c r="T19" s="2">
        <v>374.9</v>
      </c>
      <c r="U19" s="2">
        <v>206.7</v>
      </c>
      <c r="V19" s="2">
        <v>365.7</v>
      </c>
      <c r="W19" s="2">
        <v>365.7</v>
      </c>
      <c r="X19" s="23">
        <f>(SUM(X14:X17)/306371)*100000</f>
        <v>278.74700934487925</v>
      </c>
      <c r="Y19" s="23">
        <f ca="1">IFERROR(__xludf.DUMMYFUNCTION("INDEX(IMPORTRANGE(""1y0FWgjbB0gVlqn-q5LMJbGIsqOrzru4yowQz67dz2yc"", ""'MTY'!BG3:BG139""),MATCH($D19,IMPORTRANGE(""1y0FWgjbB0gVlqn-q5LMJbGIsqOrzru4yowQz67dz2yc"", ""'MTY'!D3:D139""),0))"),511.14498434904)</f>
        <v>511.14498434903999</v>
      </c>
      <c r="Z19" s="23">
        <f ca="1">IFERROR(__xludf.DUMMYFUNCTION("INDEX(IMPORTRANGE(""1y0FWgjbB0gVlqn-q5LMJbGIsqOrzru4yowQz67dz2yc"", ""'MTY'!BH3:BH139""),MATCH($D19,IMPORTRANGE(""1y0FWgjbB0gVlqn-q5LMJbGIsqOrzru4yowQz67dz2yc"", ""'MTY'!D3:D139""),0))"),155.19588179671)</f>
        <v>155.19588179671001</v>
      </c>
      <c r="AA19" s="23">
        <f ca="1">IFERROR(__xludf.DUMMYFUNCTION("INDEX(IMPORTRANGE(""1y0FWgjbB0gVlqn-q5LMJbGIsqOrzru4yowQz67dz2yc"", ""'MTY'!BI3:BI139""),MATCH($D19,IMPORTRANGE(""1y0FWgjbB0gVlqn-q5LMJbGIsqOrzru4yowQz67dz2yc"", ""'MTY'!D3:D139""),0))"),290.88627025285)</f>
        <v>290.88627025285001</v>
      </c>
      <c r="AB19" s="2"/>
      <c r="AC19" s="2"/>
    </row>
    <row r="20" spans="1:29">
      <c r="A20" s="9" t="s">
        <v>52</v>
      </c>
      <c r="B20" s="9" t="s">
        <v>86</v>
      </c>
      <c r="C20" s="2" t="s">
        <v>30</v>
      </c>
      <c r="D20" s="149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/>
      <c r="Q20" s="2"/>
      <c r="R20" s="4"/>
      <c r="S20" s="4"/>
      <c r="T20" s="4"/>
      <c r="U20" s="4"/>
      <c r="V20" s="4"/>
      <c r="W20" s="4"/>
      <c r="X20" s="2">
        <v>445</v>
      </c>
      <c r="Y20" s="12">
        <f ca="1">IFERROR(__xludf.DUMMYFUNCTION("INDEX(IMPORTRANGE(""1y0FWgjbB0gVlqn-q5LMJbGIsqOrzru4yowQz67dz2yc"", ""'MTY'!BG3:BG139""),MATCH($D20,IMPORTRANGE(""1y0FWgjbB0gVlqn-q5LMJbGIsqOrzru4yowQz67dz2yc"", ""'MTY'!D3:D139""),0))"),981)</f>
        <v>981</v>
      </c>
      <c r="Z20" s="12">
        <f ca="1">IFERROR(__xludf.DUMMYFUNCTION("INDEX(IMPORTRANGE(""1y0FWgjbB0gVlqn-q5LMJbGIsqOrzru4yowQz67dz2yc"", ""'MTY'!BH3:BH139""),MATCH($D20,IMPORTRANGE(""1y0FWgjbB0gVlqn-q5LMJbGIsqOrzru4yowQz67dz2yc"", ""'MTY'!D3:D139""),0))"),379)</f>
        <v>379</v>
      </c>
      <c r="AA20" s="12">
        <f ca="1">IFERROR(__xludf.DUMMYFUNCTION("INDEX(IMPORTRANGE(""1y0FWgjbB0gVlqn-q5LMJbGIsqOrzru4yowQz67dz2yc"", ""'MTY'!BI3:BI139""),MATCH($D20,IMPORTRANGE(""1y0FWgjbB0gVlqn-q5LMJbGIsqOrzru4yowQz67dz2yc"", ""'MTY'!D3:D139""),0))"),955)</f>
        <v>955</v>
      </c>
      <c r="AB20" s="2"/>
      <c r="AC20" s="2"/>
    </row>
    <row r="21" spans="1:29">
      <c r="A21" s="9" t="s">
        <v>52</v>
      </c>
      <c r="B21" s="9" t="s">
        <v>86</v>
      </c>
      <c r="C21" s="2" t="s">
        <v>36</v>
      </c>
      <c r="D21" s="149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v>95</v>
      </c>
      <c r="Q21" s="23">
        <v>211</v>
      </c>
      <c r="R21" s="2">
        <v>206.2</v>
      </c>
      <c r="S21" s="2">
        <v>90.4</v>
      </c>
      <c r="T21" s="2">
        <v>201.4</v>
      </c>
      <c r="U21" s="2">
        <v>88.2</v>
      </c>
      <c r="V21" s="2">
        <v>196.5</v>
      </c>
      <c r="W21" s="2">
        <v>196.5</v>
      </c>
      <c r="X21" s="23">
        <f>(X20/306371)*100000</f>
        <v>145.24873437760101</v>
      </c>
      <c r="Y21" s="23">
        <f ca="1">IFERROR(__xludf.DUMMYFUNCTION("INDEX(IMPORTRANGE(""1y0FWgjbB0gVlqn-q5LMJbGIsqOrzru4yowQz67dz2yc"", ""'MTY'!BG3:BG139""),MATCH($D21,IMPORTRANGE(""1y0FWgjbB0gVlqn-q5LMJbGIsqOrzru4yowQz67dz2yc"", ""'MTY'!D3:D139""),0))"),320.200018931295)</f>
        <v>320.20001893129501</v>
      </c>
      <c r="Z21" s="23">
        <f ca="1">IFERROR(__xludf.DUMMYFUNCTION("INDEX(IMPORTRANGE(""1y0FWgjbB0gVlqn-q5LMJbGIsqOrzru4yowQz67dz2yc"", ""'MTY'!BH3:BH139""),MATCH($D21,IMPORTRANGE(""1y0FWgjbB0gVlqn-q5LMJbGIsqOrzru4yowQz67dz2yc"", ""'MTY'!D3:D139""),0))"),80.3541519138705)</f>
        <v>80.354151913870496</v>
      </c>
      <c r="AA21" s="23">
        <f ca="1">IFERROR(__xludf.DUMMYFUNCTION("INDEX(IMPORTRANGE(""1y0FWgjbB0gVlqn-q5LMJbGIsqOrzru4yowQz67dz2yc"", ""'MTY'!BI3:BI139""),MATCH($D21,IMPORTRANGE(""1y0FWgjbB0gVlqn-q5LMJbGIsqOrzru4yowQz67dz2yc"", ""'MTY'!D3:D139""),0))"),202.475501524396)</f>
        <v>202.47550152439601</v>
      </c>
      <c r="AB21" s="2"/>
      <c r="AC21" s="2"/>
    </row>
    <row r="22" spans="1:29">
      <c r="A22" s="9" t="s">
        <v>52</v>
      </c>
      <c r="B22" s="9" t="s">
        <v>86</v>
      </c>
      <c r="C22" s="2" t="s">
        <v>30</v>
      </c>
      <c r="D22" s="149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/>
      <c r="Q22" s="2"/>
      <c r="R22" s="4"/>
      <c r="S22" s="4"/>
      <c r="T22" s="4"/>
      <c r="U22" s="4"/>
      <c r="V22" s="4"/>
      <c r="W22" s="4"/>
      <c r="X22" s="2">
        <v>112</v>
      </c>
      <c r="Y22" s="12">
        <f ca="1">IFERROR(__xludf.DUMMYFUNCTION("INDEX(IMPORTRANGE(""1y0FWgjbB0gVlqn-q5LMJbGIsqOrzru4yowQz67dz2yc"", ""'MTY'!BG3:BG139""),MATCH($D22,IMPORTRANGE(""1y0FWgjbB0gVlqn-q5LMJbGIsqOrzru4yowQz67dz2yc"", ""'MTY'!D3:D139""),0))"),242)</f>
        <v>242</v>
      </c>
      <c r="Z22" s="12">
        <f ca="1">IFERROR(__xludf.DUMMYFUNCTION("INDEX(IMPORTRANGE(""1y0FWgjbB0gVlqn-q5LMJbGIsqOrzru4yowQz67dz2yc"", ""'MTY'!BH3:BH139""),MATCH($D22,IMPORTRANGE(""1y0FWgjbB0gVlqn-q5LMJbGIsqOrzru4yowQz67dz2yc"", ""'MTY'!D3:D139""),0))"),90)</f>
        <v>90</v>
      </c>
      <c r="AA22" s="12">
        <f ca="1">IFERROR(__xludf.DUMMYFUNCTION("INDEX(IMPORTRANGE(""1y0FWgjbB0gVlqn-q5LMJbGIsqOrzru4yowQz67dz2yc"", ""'MTY'!BI3:BI139""),MATCH($D22,IMPORTRANGE(""1y0FWgjbB0gVlqn-q5LMJbGIsqOrzru4yowQz67dz2yc"", ""'MTY'!D3:D139""),0))"),223)</f>
        <v>223</v>
      </c>
      <c r="AB22" s="2"/>
      <c r="AC22" s="2"/>
    </row>
    <row r="23" spans="1:29">
      <c r="A23" s="9" t="s">
        <v>52</v>
      </c>
      <c r="B23" s="9" t="s">
        <v>86</v>
      </c>
      <c r="C23" s="2" t="s">
        <v>36</v>
      </c>
      <c r="D23" s="149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v>27</v>
      </c>
      <c r="Q23" s="23">
        <v>58</v>
      </c>
      <c r="R23" s="2">
        <v>57</v>
      </c>
      <c r="S23" s="2">
        <v>25.5</v>
      </c>
      <c r="T23" s="2">
        <v>55.7</v>
      </c>
      <c r="U23" s="2">
        <v>24.9</v>
      </c>
      <c r="V23" s="2">
        <v>54.4</v>
      </c>
      <c r="W23" s="2">
        <v>54.4</v>
      </c>
      <c r="X23" s="23">
        <f>(X22/306371)*100000</f>
        <v>36.556984832115312</v>
      </c>
      <c r="Y23" s="23">
        <f ca="1">IFERROR(__xludf.DUMMYFUNCTION("INDEX(IMPORTRANGE(""1y0FWgjbB0gVlqn-q5LMJbGIsqOrzru4yowQz67dz2yc"", ""'MTY'!BG3:BG139""),MATCH($D23,IMPORTRANGE(""1y0FWgjbB0gVlqn-q5LMJbGIsqOrzru4yowQz67dz2yc"", ""'MTY'!D3:D139""),0))"),78.989199369392)</f>
        <v>78.989199369391997</v>
      </c>
      <c r="Z23" s="23">
        <f ca="1">IFERROR(__xludf.DUMMYFUNCTION("INDEX(IMPORTRANGE(""1y0FWgjbB0gVlqn-q5LMJbGIsqOrzru4yowQz67dz2yc"", ""'MTY'!BH3:BH139""),MATCH($D23,IMPORTRANGE(""1y0FWgjbB0gVlqn-q5LMJbGIsqOrzru4yowQz67dz2yc"", ""'MTY'!D3:D139""),0))"),19.0814608766447)</f>
        <v>19.081460876644702</v>
      </c>
      <c r="AA23" s="23">
        <f ca="1">IFERROR(__xludf.DUMMYFUNCTION("INDEX(IMPORTRANGE(""1y0FWgjbB0gVlqn-q5LMJbGIsqOrzru4yowQz67dz2yc"", ""'MTY'!BI3:BI139""),MATCH($D23,IMPORTRANGE(""1y0FWgjbB0gVlqn-q5LMJbGIsqOrzru4yowQz67dz2yc"", ""'MTY'!D3:D139""),0))"),47.2796197276863)</f>
        <v>47.279619727686303</v>
      </c>
      <c r="AB23" s="2"/>
      <c r="AC23" s="2"/>
    </row>
    <row r="24" spans="1:29">
      <c r="A24" s="9" t="s">
        <v>52</v>
      </c>
      <c r="B24" s="9" t="s">
        <v>86</v>
      </c>
      <c r="C24" s="2" t="s">
        <v>30</v>
      </c>
      <c r="D24" s="149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/>
      <c r="Q24" s="2"/>
      <c r="R24" s="4"/>
      <c r="S24" s="4"/>
      <c r="T24" s="4"/>
      <c r="U24" s="4"/>
      <c r="V24" s="4"/>
      <c r="W24" s="4"/>
      <c r="X24" s="2">
        <v>9</v>
      </c>
      <c r="Y24" s="12">
        <f ca="1">IFERROR(__xludf.DUMMYFUNCTION("INDEX(IMPORTRANGE(""1y0FWgjbB0gVlqn-q5LMJbGIsqOrzru4yowQz67dz2yc"", ""'MTY'!BG3:BG139""),MATCH($D24,IMPORTRANGE(""1y0FWgjbB0gVlqn-q5LMJbGIsqOrzru4yowQz67dz2yc"", ""'MTY'!D3:D139""),0))"),25)</f>
        <v>25</v>
      </c>
      <c r="Z24" s="12">
        <f ca="1">IFERROR(__xludf.DUMMYFUNCTION("INDEX(IMPORTRANGE(""1y0FWgjbB0gVlqn-q5LMJbGIsqOrzru4yowQz67dz2yc"", ""'MTY'!BH3:BH139""),MATCH($D24,IMPORTRANGE(""1y0FWgjbB0gVlqn-q5LMJbGIsqOrzru4yowQz67dz2yc"", ""'MTY'!D3:D139""),0))"),19)</f>
        <v>19</v>
      </c>
      <c r="AA24" s="12">
        <f ca="1">IFERROR(__xludf.DUMMYFUNCTION("INDEX(IMPORTRANGE(""1y0FWgjbB0gVlqn-q5LMJbGIsqOrzru4yowQz67dz2yc"", ""'MTY'!BI3:BI139""),MATCH($D24,IMPORTRANGE(""1y0FWgjbB0gVlqn-q5LMJbGIsqOrzru4yowQz67dz2yc"", ""'MTY'!D3:D139""),0))"),57)</f>
        <v>57</v>
      </c>
      <c r="AB24" s="2"/>
      <c r="AC24" s="2"/>
    </row>
    <row r="25" spans="1:29">
      <c r="A25" s="9" t="s">
        <v>52</v>
      </c>
      <c r="B25" s="9" t="s">
        <v>86</v>
      </c>
      <c r="C25" s="2" t="s">
        <v>30</v>
      </c>
      <c r="D25" s="149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/>
      <c r="Q25" s="2"/>
      <c r="R25" s="4"/>
      <c r="S25" s="4"/>
      <c r="T25" s="4"/>
      <c r="U25" s="4"/>
      <c r="V25" s="4"/>
      <c r="W25" s="4"/>
      <c r="X25" s="2">
        <v>7</v>
      </c>
      <c r="Y25" s="12">
        <f ca="1">IFERROR(__xludf.DUMMYFUNCTION("INDEX(IMPORTRANGE(""1y0FWgjbB0gVlqn-q5LMJbGIsqOrzru4yowQz67dz2yc"", ""'MTY'!BG3:BG139""),MATCH($D25,IMPORTRANGE(""1y0FWgjbB0gVlqn-q5LMJbGIsqOrzru4yowQz67dz2yc"", ""'MTY'!D3:D139""),0))"),31)</f>
        <v>31</v>
      </c>
      <c r="Z25" s="12">
        <f ca="1">IFERROR(__xludf.DUMMYFUNCTION("INDEX(IMPORTRANGE(""1y0FWgjbB0gVlqn-q5LMJbGIsqOrzru4yowQz67dz2yc"", ""'MTY'!BH3:BH139""),MATCH($D25,IMPORTRANGE(""1y0FWgjbB0gVlqn-q5LMJbGIsqOrzru4yowQz67dz2yc"", ""'MTY'!D3:D139""),0))"),12)</f>
        <v>12</v>
      </c>
      <c r="AA25" s="12">
        <f ca="1">IFERROR(__xludf.DUMMYFUNCTION("INDEX(IMPORTRANGE(""1y0FWgjbB0gVlqn-q5LMJbGIsqOrzru4yowQz67dz2yc"", ""'MTY'!BI3:BI139""),MATCH($D25,IMPORTRANGE(""1y0FWgjbB0gVlqn-q5LMJbGIsqOrzru4yowQz67dz2yc"", ""'MTY'!D3:D139""),0))"),18)</f>
        <v>18</v>
      </c>
      <c r="AB25" s="2"/>
      <c r="AC25" s="2"/>
    </row>
    <row r="26" spans="1:29">
      <c r="A26" s="9" t="s">
        <v>52</v>
      </c>
      <c r="B26" s="9" t="s">
        <v>86</v>
      </c>
      <c r="C26" s="2" t="s">
        <v>30</v>
      </c>
      <c r="D26" s="149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/>
      <c r="Q26" s="2"/>
      <c r="R26" s="4"/>
      <c r="S26" s="4"/>
      <c r="T26" s="4"/>
      <c r="U26" s="4"/>
      <c r="V26" s="4"/>
      <c r="W26" s="4"/>
      <c r="X26" s="2">
        <v>2</v>
      </c>
      <c r="Y26" s="12">
        <f ca="1">IFERROR(__xludf.DUMMYFUNCTION("INDEX(IMPORTRANGE(""1y0FWgjbB0gVlqn-q5LMJbGIsqOrzru4yowQz67dz2yc"", ""'MTY'!BG3:BG139""),MATCH($D26,IMPORTRANGE(""1y0FWgjbB0gVlqn-q5LMJbGIsqOrzru4yowQz67dz2yc"", ""'MTY'!D3:D139""),0))"),11)</f>
        <v>11</v>
      </c>
      <c r="Z26" s="12">
        <f ca="1">IFERROR(__xludf.DUMMYFUNCTION("INDEX(IMPORTRANGE(""1y0FWgjbB0gVlqn-q5LMJbGIsqOrzru4yowQz67dz2yc"", ""'MTY'!BH3:BH139""),MATCH($D26,IMPORTRANGE(""1y0FWgjbB0gVlqn-q5LMJbGIsqOrzru4yowQz67dz2yc"", ""'MTY'!D3:D139""),0))"),0)</f>
        <v>0</v>
      </c>
      <c r="AA26" s="12">
        <f ca="1">IFERROR(__xludf.DUMMYFUNCTION("INDEX(IMPORTRANGE(""1y0FWgjbB0gVlqn-q5LMJbGIsqOrzru4yowQz67dz2yc"", ""'MTY'!BI3:BI139""),MATCH($D26,IMPORTRANGE(""1y0FWgjbB0gVlqn-q5LMJbGIsqOrzru4yowQz67dz2yc"", ""'MTY'!D3:D139""),0))"),6)</f>
        <v>6</v>
      </c>
      <c r="AB26" s="2"/>
      <c r="AC26" s="2"/>
    </row>
    <row r="27" spans="1:29">
      <c r="A27" s="9" t="s">
        <v>52</v>
      </c>
      <c r="B27" s="9" t="s">
        <v>86</v>
      </c>
      <c r="C27" s="2" t="s">
        <v>30</v>
      </c>
      <c r="D27" s="149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/>
      <c r="Q27" s="2"/>
      <c r="R27" s="4"/>
      <c r="S27" s="4"/>
      <c r="T27" s="4"/>
      <c r="U27" s="4"/>
      <c r="V27" s="4"/>
      <c r="W27" s="4"/>
      <c r="X27" s="2">
        <v>0</v>
      </c>
      <c r="Y27" s="12">
        <f ca="1">IFERROR(__xludf.DUMMYFUNCTION("INDEX(IMPORTRANGE(""1y0FWgjbB0gVlqn-q5LMJbGIsqOrzru4yowQz67dz2yc"", ""'MTY'!BG3:BG139""),MATCH($D27,IMPORTRANGE(""1y0FWgjbB0gVlqn-q5LMJbGIsqOrzru4yowQz67dz2yc"", ""'MTY'!D3:D139""),0))"),1)</f>
        <v>1</v>
      </c>
      <c r="Z27" s="12">
        <f ca="1">IFERROR(__xludf.DUMMYFUNCTION("INDEX(IMPORTRANGE(""1y0FWgjbB0gVlqn-q5LMJbGIsqOrzru4yowQz67dz2yc"", ""'MTY'!BH3:BH139""),MATCH($D27,IMPORTRANGE(""1y0FWgjbB0gVlqn-q5LMJbGIsqOrzru4yowQz67dz2yc"", ""'MTY'!D3:D139""),0))"),0)</f>
        <v>0</v>
      </c>
      <c r="AA27" s="12">
        <f ca="1">IFERROR(__xludf.DUMMYFUNCTION("INDEX(IMPORTRANGE(""1y0FWgjbB0gVlqn-q5LMJbGIsqOrzru4yowQz67dz2yc"", ""'MTY'!BI3:BI139""),MATCH($D27,IMPORTRANGE(""1y0FWgjbB0gVlqn-q5LMJbGIsqOrzru4yowQz67dz2yc"", ""'MTY'!D3:D139""),0))"),0)</f>
        <v>0</v>
      </c>
      <c r="AB27" s="2"/>
      <c r="AC27" s="2"/>
    </row>
    <row r="28" spans="1:29">
      <c r="A28" s="9" t="s">
        <v>52</v>
      </c>
      <c r="B28" s="9" t="s">
        <v>86</v>
      </c>
      <c r="C28" s="2" t="s">
        <v>30</v>
      </c>
      <c r="D28" s="149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/>
      <c r="Q28" s="2"/>
      <c r="R28" s="4"/>
      <c r="S28" s="4"/>
      <c r="T28" s="4"/>
      <c r="U28" s="4"/>
      <c r="V28" s="4"/>
      <c r="W28" s="4"/>
      <c r="X28" s="2">
        <v>2</v>
      </c>
      <c r="Y28" s="12">
        <f ca="1">IFERROR(__xludf.DUMMYFUNCTION("INDEX(IMPORTRANGE(""1y0FWgjbB0gVlqn-q5LMJbGIsqOrzru4yowQz67dz2yc"", ""'MTY'!BG3:BG139""),MATCH($D28,IMPORTRANGE(""1y0FWgjbB0gVlqn-q5LMJbGIsqOrzru4yowQz67dz2yc"", ""'MTY'!D3:D139""),0))"),4)</f>
        <v>4</v>
      </c>
      <c r="Z28" s="12">
        <f ca="1">IFERROR(__xludf.DUMMYFUNCTION("INDEX(IMPORTRANGE(""1y0FWgjbB0gVlqn-q5LMJbGIsqOrzru4yowQz67dz2yc"", ""'MTY'!BH3:BH139""),MATCH($D28,IMPORTRANGE(""1y0FWgjbB0gVlqn-q5LMJbGIsqOrzru4yowQz67dz2yc"", ""'MTY'!D3:D139""),0))"),0)</f>
        <v>0</v>
      </c>
      <c r="AA28" s="12">
        <f ca="1">IFERROR(__xludf.DUMMYFUNCTION("INDEX(IMPORTRANGE(""1y0FWgjbB0gVlqn-q5LMJbGIsqOrzru4yowQz67dz2yc"", ""'MTY'!BI3:BI139""),MATCH($D28,IMPORTRANGE(""1y0FWgjbB0gVlqn-q5LMJbGIsqOrzru4yowQz67dz2yc"", ""'MTY'!D3:D139""),0))"),2)</f>
        <v>2</v>
      </c>
      <c r="AB28" s="2"/>
      <c r="AC28" s="2"/>
    </row>
    <row r="29" spans="1:29">
      <c r="A29" s="9" t="s">
        <v>52</v>
      </c>
      <c r="B29" s="9" t="s">
        <v>86</v>
      </c>
      <c r="C29" s="2" t="s">
        <v>30</v>
      </c>
      <c r="D29" s="149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/>
      <c r="Q29" s="2"/>
      <c r="R29" s="4"/>
      <c r="S29" s="4"/>
      <c r="T29" s="4"/>
      <c r="U29" s="4"/>
      <c r="V29" s="4"/>
      <c r="W29" s="4"/>
      <c r="X29" s="2">
        <v>0</v>
      </c>
      <c r="Y29" s="12">
        <f ca="1">IFERROR(__xludf.DUMMYFUNCTION("INDEX(IMPORTRANGE(""1y0FWgjbB0gVlqn-q5LMJbGIsqOrzru4yowQz67dz2yc"", ""'MTY'!BG3:BG139""),MATCH($D29,IMPORTRANGE(""1y0FWgjbB0gVlqn-q5LMJbGIsqOrzru4yowQz67dz2yc"", ""'MTY'!D3:D139""),0))"),0)</f>
        <v>0</v>
      </c>
      <c r="Z29" s="12">
        <f ca="1">IFERROR(__xludf.DUMMYFUNCTION("INDEX(IMPORTRANGE(""1y0FWgjbB0gVlqn-q5LMJbGIsqOrzru4yowQz67dz2yc"", ""'MTY'!BH3:BH139""),MATCH($D29,IMPORTRANGE(""1y0FWgjbB0gVlqn-q5LMJbGIsqOrzru4yowQz67dz2yc"", ""'MTY'!D3:D139""),0))"),0)</f>
        <v>0</v>
      </c>
      <c r="AA29" s="12">
        <f ca="1">IFERROR(__xludf.DUMMYFUNCTION("INDEX(IMPORTRANGE(""1y0FWgjbB0gVlqn-q5LMJbGIsqOrzru4yowQz67dz2yc"", ""'MTY'!BI3:BI139""),MATCH($D29,IMPORTRANGE(""1y0FWgjbB0gVlqn-q5LMJbGIsqOrzru4yowQz67dz2yc"", ""'MTY'!D3:D139""),0))"),0)</f>
        <v>0</v>
      </c>
      <c r="AB29" s="2"/>
      <c r="AC29" s="2"/>
    </row>
    <row r="30" spans="1:29">
      <c r="A30" s="9" t="s">
        <v>52</v>
      </c>
      <c r="B30" s="9" t="s">
        <v>86</v>
      </c>
      <c r="C30" s="2" t="s">
        <v>30</v>
      </c>
      <c r="D30" s="149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/>
      <c r="Q30" s="2"/>
      <c r="R30" s="4"/>
      <c r="S30" s="4"/>
      <c r="T30" s="4"/>
      <c r="U30" s="4"/>
      <c r="V30" s="4"/>
      <c r="W30" s="4"/>
      <c r="X30" s="2">
        <v>6</v>
      </c>
      <c r="Y30" s="12">
        <f ca="1">IFERROR(__xludf.DUMMYFUNCTION("INDEX(IMPORTRANGE(""1y0FWgjbB0gVlqn-q5LMJbGIsqOrzru4yowQz67dz2yc"", ""'MTY'!BG3:BG139""),MATCH($D30,IMPORTRANGE(""1y0FWgjbB0gVlqn-q5LMJbGIsqOrzru4yowQz67dz2yc"", ""'MTY'!D3:D139""),0))"),18)</f>
        <v>18</v>
      </c>
      <c r="Z30" s="12">
        <f ca="1">IFERROR(__xludf.DUMMYFUNCTION("INDEX(IMPORTRANGE(""1y0FWgjbB0gVlqn-q5LMJbGIsqOrzru4yowQz67dz2yc"", ""'MTY'!BH3:BH139""),MATCH($D30,IMPORTRANGE(""1y0FWgjbB0gVlqn-q5LMJbGIsqOrzru4yowQz67dz2yc"", ""'MTY'!D3:D139""),0))"),6)</f>
        <v>6</v>
      </c>
      <c r="AA30" s="12">
        <f ca="1">IFERROR(__xludf.DUMMYFUNCTION("INDEX(IMPORTRANGE(""1y0FWgjbB0gVlqn-q5LMJbGIsqOrzru4yowQz67dz2yc"", ""'MTY'!BI3:BI139""),MATCH($D30,IMPORTRANGE(""1y0FWgjbB0gVlqn-q5LMJbGIsqOrzru4yowQz67dz2yc"", ""'MTY'!D3:D139""),0))"),18)</f>
        <v>18</v>
      </c>
      <c r="AB30" s="2"/>
      <c r="AC30" s="2"/>
    </row>
    <row r="31" spans="1:29">
      <c r="A31" s="9" t="s">
        <v>52</v>
      </c>
      <c r="B31" s="9" t="s">
        <v>86</v>
      </c>
      <c r="C31" s="2" t="s">
        <v>30</v>
      </c>
      <c r="D31" s="149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/>
      <c r="Q31" s="2"/>
      <c r="R31" s="4"/>
      <c r="S31" s="4"/>
      <c r="T31" s="4"/>
      <c r="U31" s="4"/>
      <c r="V31" s="4"/>
      <c r="W31" s="4"/>
      <c r="X31" s="2">
        <v>3</v>
      </c>
      <c r="Y31" s="12">
        <f ca="1">IFERROR(__xludf.DUMMYFUNCTION("INDEX(IMPORTRANGE(""1y0FWgjbB0gVlqn-q5LMJbGIsqOrzru4yowQz67dz2yc"", ""'MTY'!BG3:BG139""),MATCH($D31,IMPORTRANGE(""1y0FWgjbB0gVlqn-q5LMJbGIsqOrzru4yowQz67dz2yc"", ""'MTY'!D3:D139""),0))"),5)</f>
        <v>5</v>
      </c>
      <c r="Z31" s="12">
        <f ca="1">IFERROR(__xludf.DUMMYFUNCTION("INDEX(IMPORTRANGE(""1y0FWgjbB0gVlqn-q5LMJbGIsqOrzru4yowQz67dz2yc"", ""'MTY'!BH3:BH139""),MATCH($D31,IMPORTRANGE(""1y0FWgjbB0gVlqn-q5LMJbGIsqOrzru4yowQz67dz2yc"", ""'MTY'!D3:D139""),0))"),0)</f>
        <v>0</v>
      </c>
      <c r="AA31" s="12">
        <f ca="1">IFERROR(__xludf.DUMMYFUNCTION("INDEX(IMPORTRANGE(""1y0FWgjbB0gVlqn-q5LMJbGIsqOrzru4yowQz67dz2yc"", ""'MTY'!BI3:BI139""),MATCH($D31,IMPORTRANGE(""1y0FWgjbB0gVlqn-q5LMJbGIsqOrzru4yowQz67dz2yc"", ""'MTY'!D3:D139""),0))"),0)</f>
        <v>0</v>
      </c>
      <c r="AB31" s="2"/>
      <c r="AC31" s="2"/>
    </row>
    <row r="32" spans="1:29">
      <c r="A32" s="9" t="s">
        <v>52</v>
      </c>
      <c r="B32" s="9" t="s">
        <v>86</v>
      </c>
      <c r="C32" s="2" t="s">
        <v>30</v>
      </c>
      <c r="D32" s="149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/>
      <c r="Q32" s="2"/>
      <c r="R32" s="4"/>
      <c r="S32" s="4"/>
      <c r="T32" s="4"/>
      <c r="U32" s="4"/>
      <c r="V32" s="4"/>
      <c r="W32" s="4"/>
      <c r="X32" s="2">
        <v>0</v>
      </c>
      <c r="Y32" s="12">
        <f ca="1">IFERROR(__xludf.DUMMYFUNCTION("INDEX(IMPORTRANGE(""1y0FWgjbB0gVlqn-q5LMJbGIsqOrzru4yowQz67dz2yc"", ""'MTY'!BG3:BG139""),MATCH($D32,IMPORTRANGE(""1y0FWgjbB0gVlqn-q5LMJbGIsqOrzru4yowQz67dz2yc"", ""'MTY'!D3:D139""),0))"),0)</f>
        <v>0</v>
      </c>
      <c r="Z32" s="12">
        <f ca="1">IFERROR(__xludf.DUMMYFUNCTION("INDEX(IMPORTRANGE(""1y0FWgjbB0gVlqn-q5LMJbGIsqOrzru4yowQz67dz2yc"", ""'MTY'!BH3:BH139""),MATCH($D32,IMPORTRANGE(""1y0FWgjbB0gVlqn-q5LMJbGIsqOrzru4yowQz67dz2yc"", ""'MTY'!D3:D139""),0))"),0)</f>
        <v>0</v>
      </c>
      <c r="AA32" s="12">
        <f ca="1">IFERROR(__xludf.DUMMYFUNCTION("INDEX(IMPORTRANGE(""1y0FWgjbB0gVlqn-q5LMJbGIsqOrzru4yowQz67dz2yc"", ""'MTY'!BI3:BI139""),MATCH($D32,IMPORTRANGE(""1y0FWgjbB0gVlqn-q5LMJbGIsqOrzru4yowQz67dz2yc"", ""'MTY'!D3:D139""),0))"),0)</f>
        <v>0</v>
      </c>
      <c r="AB32" s="2"/>
      <c r="AC32" s="2"/>
    </row>
    <row r="33" spans="1:29">
      <c r="A33" s="9" t="s">
        <v>52</v>
      </c>
      <c r="B33" s="9" t="s">
        <v>86</v>
      </c>
      <c r="C33" s="2" t="s">
        <v>30</v>
      </c>
      <c r="D33" s="149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/>
      <c r="Q33" s="2"/>
      <c r="R33" s="4"/>
      <c r="S33" s="4"/>
      <c r="T33" s="4"/>
      <c r="U33" s="4"/>
      <c r="V33" s="4"/>
      <c r="W33" s="4"/>
      <c r="X33" s="2">
        <v>1</v>
      </c>
      <c r="Y33" s="12">
        <f ca="1">IFERROR(__xludf.DUMMYFUNCTION("INDEX(IMPORTRANGE(""1y0FWgjbB0gVlqn-q5LMJbGIsqOrzru4yowQz67dz2yc"", ""'MTY'!BG3:BG139""),MATCH($D33,IMPORTRANGE(""1y0FWgjbB0gVlqn-q5LMJbGIsqOrzru4yowQz67dz2yc"", ""'MTY'!D3:D139""),0))"),3)</f>
        <v>3</v>
      </c>
      <c r="Z33" s="12">
        <f ca="1">IFERROR(__xludf.DUMMYFUNCTION("INDEX(IMPORTRANGE(""1y0FWgjbB0gVlqn-q5LMJbGIsqOrzru4yowQz67dz2yc"", ""'MTY'!BH3:BH139""),MATCH($D33,IMPORTRANGE(""1y0FWgjbB0gVlqn-q5LMJbGIsqOrzru4yowQz67dz2yc"", ""'MTY'!D3:D139""),0))"),1)</f>
        <v>1</v>
      </c>
      <c r="AA33" s="12">
        <f ca="1">IFERROR(__xludf.DUMMYFUNCTION("INDEX(IMPORTRANGE(""1y0FWgjbB0gVlqn-q5LMJbGIsqOrzru4yowQz67dz2yc"", ""'MTY'!BI3:BI139""),MATCH($D33,IMPORTRANGE(""1y0FWgjbB0gVlqn-q5LMJbGIsqOrzru4yowQz67dz2yc"", ""'MTY'!D3:D139""),0))"),4)</f>
        <v>4</v>
      </c>
      <c r="AB33" s="2"/>
      <c r="AC33" s="2"/>
    </row>
    <row r="34" spans="1:29">
      <c r="A34" s="9" t="s">
        <v>52</v>
      </c>
      <c r="B34" s="9" t="s">
        <v>86</v>
      </c>
      <c r="C34" s="2" t="s">
        <v>30</v>
      </c>
      <c r="D34" s="149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/>
      <c r="Q34" s="2"/>
      <c r="R34" s="4"/>
      <c r="S34" s="4"/>
      <c r="T34" s="4"/>
      <c r="U34" s="4"/>
      <c r="V34" s="4"/>
      <c r="W34" s="4"/>
      <c r="X34" s="2">
        <v>0</v>
      </c>
      <c r="Y34" s="12">
        <f ca="1">IFERROR(__xludf.DUMMYFUNCTION("INDEX(IMPORTRANGE(""1y0FWgjbB0gVlqn-q5LMJbGIsqOrzru4yowQz67dz2yc"", ""'MTY'!BG3:BG139""),MATCH($D34,IMPORTRANGE(""1y0FWgjbB0gVlqn-q5LMJbGIsqOrzru4yowQz67dz2yc"", ""'MTY'!D3:D139""),0))"),0)</f>
        <v>0</v>
      </c>
      <c r="Z34" s="12">
        <f ca="1">IFERROR(__xludf.DUMMYFUNCTION("INDEX(IMPORTRANGE(""1y0FWgjbB0gVlqn-q5LMJbGIsqOrzru4yowQz67dz2yc"", ""'MTY'!BH3:BH139""),MATCH($D34,IMPORTRANGE(""1y0FWgjbB0gVlqn-q5LMJbGIsqOrzru4yowQz67dz2yc"", ""'MTY'!D3:D139""),0))"),0)</f>
        <v>0</v>
      </c>
      <c r="AA34" s="12">
        <f ca="1">IFERROR(__xludf.DUMMYFUNCTION("INDEX(IMPORTRANGE(""1y0FWgjbB0gVlqn-q5LMJbGIsqOrzru4yowQz67dz2yc"", ""'MTY'!BI3:BI139""),MATCH($D34,IMPORTRANGE(""1y0FWgjbB0gVlqn-q5LMJbGIsqOrzru4yowQz67dz2yc"", ""'MTY'!D3:D139""),0))"),0)</f>
        <v>0</v>
      </c>
      <c r="AB34" s="2"/>
      <c r="AC34" s="2"/>
    </row>
    <row r="35" spans="1:29">
      <c r="A35" s="21" t="s">
        <v>52</v>
      </c>
      <c r="B35" s="21" t="s">
        <v>86</v>
      </c>
      <c r="C35" s="22" t="s">
        <v>30</v>
      </c>
      <c r="D35" s="21" t="s">
        <v>350</v>
      </c>
      <c r="E35" s="21" t="s">
        <v>76</v>
      </c>
      <c r="F35" s="267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6">SUM(P24:P34)</f>
        <v>0</v>
      </c>
      <c r="Q35" s="262">
        <f t="shared" si="6"/>
        <v>0</v>
      </c>
      <c r="R35" s="473"/>
      <c r="S35" s="473"/>
      <c r="T35" s="473"/>
      <c r="U35" s="473"/>
      <c r="V35" s="473"/>
      <c r="W35" s="473"/>
      <c r="X35" s="262">
        <f t="shared" ref="X35:AA35" si="7">SUM(X24:X34)</f>
        <v>30</v>
      </c>
      <c r="Y35" s="262">
        <f t="shared" ca="1" si="7"/>
        <v>98</v>
      </c>
      <c r="Z35" s="262">
        <f t="shared" ca="1" si="7"/>
        <v>38</v>
      </c>
      <c r="AA35" s="262">
        <f t="shared" ca="1" si="7"/>
        <v>105</v>
      </c>
      <c r="AB35" s="474"/>
      <c r="AC35" s="474"/>
    </row>
    <row r="36" spans="1:29">
      <c r="A36" s="9" t="s">
        <v>52</v>
      </c>
      <c r="B36" s="9" t="s">
        <v>86</v>
      </c>
      <c r="C36" s="2" t="s">
        <v>36</v>
      </c>
      <c r="D36" s="149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v>13</v>
      </c>
      <c r="Q36" s="23">
        <v>28</v>
      </c>
      <c r="R36" s="2">
        <v>27.7</v>
      </c>
      <c r="S36" s="2">
        <v>12.4</v>
      </c>
      <c r="T36" s="2">
        <v>27</v>
      </c>
      <c r="U36" s="2">
        <v>12.1</v>
      </c>
      <c r="V36" s="2">
        <v>26.4</v>
      </c>
      <c r="W36" s="2">
        <v>26.4</v>
      </c>
      <c r="X36" s="23">
        <f>(SUM(X24:X34)/306371)*100000</f>
        <v>9.7920495086023163</v>
      </c>
      <c r="Y36" s="23">
        <f ca="1">IFERROR(__xludf.DUMMYFUNCTION("INDEX(IMPORTRANGE(""1y0FWgjbB0gVlqn-q5LMJbGIsqOrzru4yowQz67dz2yc"", ""'MTY'!BG3:BG139""),MATCH($D36,IMPORTRANGE(""1y0FWgjbB0gVlqn-q5LMJbGIsqOrzru4yowQz67dz2yc"", ""'MTY'!D3:D139""),0))"),31.9873617281008)</f>
        <v>31.987361728100801</v>
      </c>
      <c r="Z36" s="23">
        <f ca="1">IFERROR(__xludf.DUMMYFUNCTION("INDEX(IMPORTRANGE(""1y0FWgjbB0gVlqn-q5LMJbGIsqOrzru4yowQz67dz2yc"", ""'MTY'!BH3:BH139""),MATCH($D36,IMPORTRANGE(""1y0FWgjbB0gVlqn-q5LMJbGIsqOrzru4yowQz67dz2yc"", ""'MTY'!D3:D139""),0))"),8.05661681458332)</f>
        <v>8.0566168145833199</v>
      </c>
      <c r="AA36" s="23">
        <f ca="1">IFERROR(__xludf.DUMMYFUNCTION("INDEX(IMPORTRANGE(""1y0FWgjbB0gVlqn-q5LMJbGIsqOrzru4yowQz67dz2yc"", ""'MTY'!BI3:BI139""),MATCH($D36,IMPORTRANGE(""1y0FWgjbB0gVlqn-q5LMJbGIsqOrzru4yowQz67dz2yc"", ""'MTY'!D3:D139""),0))"),22.2617043560855)</f>
        <v>22.261704356085499</v>
      </c>
      <c r="AB36" s="2"/>
      <c r="AC36" s="2"/>
    </row>
    <row r="37" spans="1:29">
      <c r="A37" s="9" t="s">
        <v>119</v>
      </c>
      <c r="B37" s="9" t="s">
        <v>120</v>
      </c>
      <c r="C37" s="2" t="s">
        <v>30</v>
      </c>
      <c r="D37" s="148" t="s">
        <v>121</v>
      </c>
      <c r="E37" s="257" t="s">
        <v>38</v>
      </c>
      <c r="F37" s="257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9">
        <v>375160</v>
      </c>
      <c r="Q37" s="9">
        <v>375160</v>
      </c>
      <c r="R37" s="4"/>
      <c r="S37" s="4"/>
      <c r="T37" s="4"/>
      <c r="U37" s="4"/>
      <c r="V37" s="4"/>
      <c r="W37" s="4"/>
      <c r="X37" s="195">
        <v>375160</v>
      </c>
      <c r="Y37" s="12">
        <f ca="1">IFERROR(__xludf.DUMMYFUNCTION("INDEX(IMPORTRANGE(""1y0FWgjbB0gVlqn-q5LMJbGIsqOrzru4yowQz67dz2yc"", ""'MTY'!BG3:BG139""),MATCH($D37,IMPORTRANGE(""1y0FWgjbB0gVlqn-q5LMJbGIsqOrzru4yowQz67dz2yc"", ""'MTY'!D3:D139""),0))"),375160)</f>
        <v>375160</v>
      </c>
      <c r="Z37" s="12">
        <f ca="1">IFERROR(__xludf.DUMMYFUNCTION("INDEX(IMPORTRANGE(""1y0FWgjbB0gVlqn-q5LMJbGIsqOrzru4yowQz67dz2yc"", ""'MTY'!BH3:BH139""),MATCH($D37,IMPORTRANGE(""1y0FWgjbB0gVlqn-q5LMJbGIsqOrzru4yowQz67dz2yc"", ""'MTY'!D3:D139""),0))"),375160)</f>
        <v>375160</v>
      </c>
      <c r="AA37" s="12">
        <f ca="1">IFERROR(__xludf.DUMMYFUNCTION("INDEX(IMPORTRANGE(""1y0FWgjbB0gVlqn-q5LMJbGIsqOrzru4yowQz67dz2yc"", ""'MTY'!BI3:BI139""),MATCH($D37,IMPORTRANGE(""1y0FWgjbB0gVlqn-q5LMJbGIsqOrzru4yowQz67dz2yc"", ""'MTY'!D3:D139""),0))"),375160)</f>
        <v>375160</v>
      </c>
      <c r="AB37" s="2"/>
      <c r="AC37" s="2"/>
    </row>
    <row r="38" spans="1:29">
      <c r="A38" s="257" t="s">
        <v>119</v>
      </c>
      <c r="B38" s="257" t="s">
        <v>120</v>
      </c>
      <c r="C38" s="257" t="s">
        <v>30</v>
      </c>
      <c r="D38" s="454" t="s">
        <v>123</v>
      </c>
      <c r="E38" s="257" t="s">
        <v>38</v>
      </c>
      <c r="F38" s="257" t="s">
        <v>124</v>
      </c>
      <c r="G38" s="455">
        <v>44469</v>
      </c>
      <c r="H38" s="455">
        <v>44469</v>
      </c>
      <c r="I38" s="455">
        <v>44651</v>
      </c>
      <c r="J38" s="455">
        <v>44834</v>
      </c>
      <c r="K38" s="455">
        <v>45016</v>
      </c>
      <c r="L38" s="455">
        <v>45199</v>
      </c>
      <c r="M38" s="455">
        <v>45382</v>
      </c>
      <c r="N38" s="455">
        <v>45565</v>
      </c>
      <c r="O38" s="455">
        <v>45565</v>
      </c>
      <c r="P38" s="456">
        <v>278</v>
      </c>
      <c r="Q38" s="257">
        <v>278</v>
      </c>
      <c r="R38" s="456">
        <v>1500</v>
      </c>
      <c r="S38" s="456">
        <v>3000</v>
      </c>
      <c r="T38" s="456">
        <v>4500</v>
      </c>
      <c r="U38" s="456">
        <v>6000</v>
      </c>
      <c r="V38" s="456">
        <v>7219</v>
      </c>
      <c r="W38" s="456">
        <v>7219</v>
      </c>
      <c r="X38" s="456">
        <v>277</v>
      </c>
      <c r="Y38" s="12">
        <f ca="1">IFERROR(__xludf.DUMMYFUNCTION("INDEX(IMPORTRANGE(""1y0FWgjbB0gVlqn-q5LMJbGIsqOrzru4yowQz67dz2yc"", ""'MTY'!BG3:BG139""),MATCH($D38,IMPORTRANGE(""1y0FWgjbB0gVlqn-q5LMJbGIsqOrzru4yowQz67dz2yc"", ""'MTY'!D3:D139""),0))"),3763)</f>
        <v>3763</v>
      </c>
      <c r="Z38" s="12">
        <f ca="1">IFERROR(__xludf.DUMMYFUNCTION("INDEX(IMPORTRANGE(""1y0FWgjbB0gVlqn-q5LMJbGIsqOrzru4yowQz67dz2yc"", ""'MTY'!BH3:BH139""),MATCH($D38,IMPORTRANGE(""1y0FWgjbB0gVlqn-q5LMJbGIsqOrzru4yowQz67dz2yc"", ""'MTY'!D3:D139""),0))"),3763)</f>
        <v>3763</v>
      </c>
      <c r="AA38" s="12">
        <f ca="1">IFERROR(__xludf.DUMMYFUNCTION("INDEX(IMPORTRANGE(""1y0FWgjbB0gVlqn-q5LMJbGIsqOrzru4yowQz67dz2yc"", ""'MTY'!BI3:BI139""),MATCH($D38,IMPORTRANGE(""1y0FWgjbB0gVlqn-q5LMJbGIsqOrzru4yowQz67dz2yc"", ""'MTY'!D3:D139""),0))"),3763)</f>
        <v>3763</v>
      </c>
      <c r="AB38" s="2"/>
      <c r="AC38" s="2"/>
    </row>
    <row r="39" spans="1:29">
      <c r="A39" s="257" t="s">
        <v>119</v>
      </c>
      <c r="B39" s="257" t="s">
        <v>120</v>
      </c>
      <c r="C39" s="257" t="s">
        <v>36</v>
      </c>
      <c r="D39" s="454" t="s">
        <v>125</v>
      </c>
      <c r="E39" s="257" t="s">
        <v>38</v>
      </c>
      <c r="F39" s="257" t="s">
        <v>126</v>
      </c>
      <c r="G39" s="455">
        <v>44469</v>
      </c>
      <c r="H39" s="455">
        <v>44469</v>
      </c>
      <c r="I39" s="455">
        <v>44651</v>
      </c>
      <c r="J39" s="455">
        <v>44834</v>
      </c>
      <c r="K39" s="455">
        <v>45016</v>
      </c>
      <c r="L39" s="455">
        <v>45199</v>
      </c>
      <c r="M39" s="455">
        <v>45382</v>
      </c>
      <c r="N39" s="455">
        <v>45565</v>
      </c>
      <c r="O39" s="455">
        <v>45565</v>
      </c>
      <c r="P39" s="457">
        <f t="shared" ref="P39:Q39" si="8">P38/P37</f>
        <v>7.4101716600916947E-4</v>
      </c>
      <c r="Q39" s="457">
        <f t="shared" si="8"/>
        <v>7.4101716600916947E-4</v>
      </c>
      <c r="R39" s="457">
        <v>1.06E-2</v>
      </c>
      <c r="S39" s="457">
        <v>8.0000000000000002E-3</v>
      </c>
      <c r="T39" s="457">
        <v>1.2E-2</v>
      </c>
      <c r="U39" s="457">
        <v>1.6400000000000001E-2</v>
      </c>
      <c r="V39" s="457">
        <v>1.9199999999999998E-2</v>
      </c>
      <c r="W39" s="457">
        <v>1.9199999999999998E-2</v>
      </c>
      <c r="X39" s="457">
        <f>X38/X37</f>
        <v>7.3835163663503575E-4</v>
      </c>
      <c r="Y39" s="15">
        <f ca="1">IFERROR(__xludf.DUMMYFUNCTION("INDEX(IMPORTRANGE(""1y0FWgjbB0gVlqn-q5LMJbGIsqOrzru4yowQz67dz2yc"", ""'MTY'!BG3:BG139""),MATCH($D39,IMPORTRANGE(""1y0FWgjbB0gVlqn-q5LMJbGIsqOrzru4yowQz67dz2yc"", ""'MTY'!D3:D139""),0))"),0.0100303870348651)</f>
        <v>1.00303870348651E-2</v>
      </c>
      <c r="Z39" s="15">
        <f ca="1">IFERROR(__xludf.DUMMYFUNCTION("INDEX(IMPORTRANGE(""1y0FWgjbB0gVlqn-q5LMJbGIsqOrzru4yowQz67dz2yc"", ""'MTY'!BH3:BH139""),MATCH($D39,IMPORTRANGE(""1y0FWgjbB0gVlqn-q5LMJbGIsqOrzru4yowQz67dz2yc"", ""'MTY'!D3:D139""),0))"),0.0100303870348651)</f>
        <v>1.00303870348651E-2</v>
      </c>
      <c r="AA39" s="15">
        <f ca="1">IFERROR(__xludf.DUMMYFUNCTION("INDEX(IMPORTRANGE(""1y0FWgjbB0gVlqn-q5LMJbGIsqOrzru4yowQz67dz2yc"", ""'MTY'!BI3:BI139""),MATCH($D39,IMPORTRANGE(""1y0FWgjbB0gVlqn-q5LMJbGIsqOrzru4yowQz67dz2yc"", ""'MTY'!D3:D139""),0))"),0.0100303870348651)</f>
        <v>1.00303870348651E-2</v>
      </c>
      <c r="AB39" s="2"/>
      <c r="AC39" s="2"/>
    </row>
    <row r="40" spans="1:29">
      <c r="A40" s="7" t="s">
        <v>119</v>
      </c>
      <c r="B40" s="9" t="s">
        <v>120</v>
      </c>
      <c r="C40" s="1" t="s">
        <v>30</v>
      </c>
      <c r="D40" s="7" t="s">
        <v>330</v>
      </c>
      <c r="E40" s="257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2"/>
      <c r="S40" s="2"/>
      <c r="T40" s="2"/>
      <c r="U40" s="2"/>
      <c r="V40" s="2"/>
      <c r="W40" s="2"/>
      <c r="X40" s="2"/>
      <c r="Y40" s="299" t="str">
        <f ca="1">IFERROR(__xludf.DUMMYFUNCTION("INDEX(IMPORTRANGE(""1y0FWgjbB0gVlqn-q5LMJbGIsqOrzru4yowQz67dz2yc"", ""'MTY'!BG3:BG139""),MATCH($D40,IMPORTRANGE(""1y0FWgjbB0gVlqn-q5LMJbGIsqOrzru4yowQz67dz2yc"", ""'MTY'!D3:D139""),0))"),"")</f>
        <v/>
      </c>
      <c r="Z40" s="12">
        <f ca="1">IFERROR(__xludf.DUMMYFUNCTION("INDEX(IMPORTRANGE(""1y0FWgjbB0gVlqn-q5LMJbGIsqOrzru4yowQz67dz2yc"", ""'MTY'!BH3:BH139""),MATCH($D40,IMPORTRANGE(""1y0FWgjbB0gVlqn-q5LMJbGIsqOrzru4yowQz67dz2yc"", ""'MTY'!D3:D139""),0))"),745)</f>
        <v>745</v>
      </c>
      <c r="AA40" s="12">
        <f ca="1">IFERROR(__xludf.DUMMYFUNCTION("INDEX(IMPORTRANGE(""1y0FWgjbB0gVlqn-q5LMJbGIsqOrzru4yowQz67dz2yc"", ""'MTY'!BI3:BI139""),MATCH($D40,IMPORTRANGE(""1y0FWgjbB0gVlqn-q5LMJbGIsqOrzru4yowQz67dz2yc"", ""'MTY'!D3:D139""),0))"),1246.78999999999)</f>
        <v>1246.78999999999</v>
      </c>
      <c r="AB40" s="2"/>
      <c r="AC40" s="2"/>
    </row>
    <row r="41" spans="1:29">
      <c r="A41" s="7" t="s">
        <v>119</v>
      </c>
      <c r="B41" s="9" t="s">
        <v>120</v>
      </c>
      <c r="C41" s="1" t="s">
        <v>30</v>
      </c>
      <c r="D41" s="7" t="s">
        <v>331</v>
      </c>
      <c r="E41" s="257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2"/>
      <c r="R41" s="2"/>
      <c r="S41" s="2"/>
      <c r="T41" s="2"/>
      <c r="U41" s="2"/>
      <c r="V41" s="2"/>
      <c r="W41" s="2"/>
      <c r="X41" s="2"/>
      <c r="Y41" s="299" t="str">
        <f ca="1">IFERROR(__xludf.DUMMYFUNCTION("INDEX(IMPORTRANGE(""1y0FWgjbB0gVlqn-q5LMJbGIsqOrzru4yowQz67dz2yc"", ""'MTY'!BG3:BG139""),MATCH($D41,IMPORTRANGE(""1y0FWgjbB0gVlqn-q5LMJbGIsqOrzru4yowQz67dz2yc"", ""'MTY'!D3:D139""),0))"),"")</f>
        <v/>
      </c>
      <c r="Z41" s="12">
        <f ca="1">IFERROR(__xludf.DUMMYFUNCTION("INDEX(IMPORTRANGE(""1y0FWgjbB0gVlqn-q5LMJbGIsqOrzru4yowQz67dz2yc"", ""'MTY'!BH3:BH139""),MATCH($D41,IMPORTRANGE(""1y0FWgjbB0gVlqn-q5LMJbGIsqOrzru4yowQz67dz2yc"", ""'MTY'!D3:D139""),0))"),178002)</f>
        <v>178002</v>
      </c>
      <c r="AA41" s="12">
        <f ca="1">IFERROR(__xludf.DUMMYFUNCTION("INDEX(IMPORTRANGE(""1y0FWgjbB0gVlqn-q5LMJbGIsqOrzru4yowQz67dz2yc"", ""'MTY'!BI3:BI139""),MATCH($D41,IMPORTRANGE(""1y0FWgjbB0gVlqn-q5LMJbGIsqOrzru4yowQz67dz2yc"", ""'MTY'!D3:D139""),0))"),362050.36)</f>
        <v>362050.36</v>
      </c>
      <c r="AB41" s="2"/>
      <c r="AC41" s="2"/>
    </row>
    <row r="42" spans="1:29">
      <c r="A42" s="7" t="s">
        <v>119</v>
      </c>
      <c r="B42" s="9" t="s">
        <v>120</v>
      </c>
      <c r="C42" s="1" t="s">
        <v>36</v>
      </c>
      <c r="D42" s="7" t="s">
        <v>333</v>
      </c>
      <c r="E42" s="257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2"/>
      <c r="R42" s="467">
        <v>3.5000000000000001E-3</v>
      </c>
      <c r="S42" s="467">
        <v>3.5000000000000001E-3</v>
      </c>
      <c r="T42" s="467">
        <v>3.5000000000000001E-3</v>
      </c>
      <c r="U42" s="467">
        <v>3.5000000000000001E-3</v>
      </c>
      <c r="V42" s="467">
        <v>3.5000000000000001E-3</v>
      </c>
      <c r="W42" s="467">
        <v>3.5000000000000001E-3</v>
      </c>
      <c r="X42" s="2"/>
      <c r="Y42" s="299" t="str">
        <f ca="1">IFERROR(__xludf.DUMMYFUNCTION("INDEX(IMPORTRANGE(""1y0FWgjbB0gVlqn-q5LMJbGIsqOrzru4yowQz67dz2yc"", ""'MTY'!BG3:BG139""),MATCH($D42,IMPORTRANGE(""1y0FWgjbB0gVlqn-q5LMJbGIsqOrzru4yowQz67dz2yc"", ""'MTY'!D3:D139""),0))"),"")</f>
        <v/>
      </c>
      <c r="Z42" s="15">
        <f ca="1">IFERROR(__xludf.DUMMYFUNCTION("INDEX(IMPORTRANGE(""1y0FWgjbB0gVlqn-q5LMJbGIsqOrzru4yowQz67dz2yc"", ""'MTY'!BH3:BH139""),MATCH($D42,IMPORTRANGE(""1y0FWgjbB0gVlqn-q5LMJbGIsqOrzru4yowQz67dz2yc"", ""'MTY'!D3:D139""),0))"),0.0041853462320648)</f>
        <v>4.1853462320648E-3</v>
      </c>
      <c r="AA42" s="26">
        <f ca="1">IFERROR(__xludf.DUMMYFUNCTION("INDEX(IMPORTRANGE(""1y0FWgjbB0gVlqn-q5LMJbGIsqOrzru4yowQz67dz2yc"", ""'MTY'!BI3:BI139""),MATCH($D42,IMPORTRANGE(""1y0FWgjbB0gVlqn-q5LMJbGIsqOrzru4yowQz67dz2yc"", ""'MTY'!D3:D139""),0))"),0.00344369219795831)</f>
        <v>3.4436921979583098E-3</v>
      </c>
      <c r="AB42" s="2"/>
      <c r="AC42" s="2"/>
    </row>
    <row r="43" spans="1:29">
      <c r="A43" s="9" t="s">
        <v>119</v>
      </c>
      <c r="B43" s="9" t="s">
        <v>127</v>
      </c>
      <c r="C43" s="2" t="s">
        <v>36</v>
      </c>
      <c r="D43" s="149" t="s">
        <v>128</v>
      </c>
      <c r="E43" s="9" t="s">
        <v>38</v>
      </c>
      <c r="F43" s="9" t="s">
        <v>129</v>
      </c>
      <c r="G43" s="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6</v>
      </c>
      <c r="Q43" s="2">
        <v>10</v>
      </c>
      <c r="R43" s="2">
        <v>20</v>
      </c>
      <c r="S43" s="2">
        <f>R43+3</f>
        <v>23</v>
      </c>
      <c r="T43" s="2">
        <f>S43+5</f>
        <v>28</v>
      </c>
      <c r="U43" s="2">
        <f>T43+3</f>
        <v>31</v>
      </c>
      <c r="V43" s="2">
        <f>U43+4</f>
        <v>35</v>
      </c>
      <c r="W43" s="2">
        <v>35</v>
      </c>
      <c r="X43" s="2">
        <v>12</v>
      </c>
      <c r="Y43" s="12">
        <f ca="1">IFERROR(__xludf.DUMMYFUNCTION("INDEX(IMPORTRANGE(""1y0FWgjbB0gVlqn-q5LMJbGIsqOrzru4yowQz67dz2yc"", ""'MTY'!BG3:BG139""),MATCH($D43,IMPORTRANGE(""1y0FWgjbB0gVlqn-q5LMJbGIsqOrzru4yowQz67dz2yc"", ""'MTY'!D3:D139""),0))"),25)</f>
        <v>25</v>
      </c>
      <c r="Z43" s="12">
        <f ca="1">IFERROR(__xludf.DUMMYFUNCTION("INDEX(IMPORTRANGE(""1y0FWgjbB0gVlqn-q5LMJbGIsqOrzru4yowQz67dz2yc"", ""'MTY'!BH3:BH139""),MATCH($D43,IMPORTRANGE(""1y0FWgjbB0gVlqn-q5LMJbGIsqOrzru4yowQz67dz2yc"", ""'MTY'!D3:D139""),0))"),29)</f>
        <v>29</v>
      </c>
      <c r="AA43" s="12">
        <f ca="1">IFERROR(__xludf.DUMMYFUNCTION("INDEX(IMPORTRANGE(""1y0FWgjbB0gVlqn-q5LMJbGIsqOrzru4yowQz67dz2yc"", ""'MTY'!BI3:BI139""),MATCH($D43,IMPORTRANGE(""1y0FWgjbB0gVlqn-q5LMJbGIsqOrzru4yowQz67dz2yc"", ""'MTY'!D3:D139""),0))"),55)</f>
        <v>55</v>
      </c>
      <c r="AB43" s="2"/>
      <c r="AC43" s="2"/>
    </row>
    <row r="44" spans="1:29">
      <c r="A44" s="9" t="s">
        <v>119</v>
      </c>
      <c r="B44" s="9" t="s">
        <v>133</v>
      </c>
      <c r="C44" s="2" t="s">
        <v>36</v>
      </c>
      <c r="D44" s="149" t="s">
        <v>134</v>
      </c>
      <c r="E44" s="9" t="s">
        <v>38</v>
      </c>
      <c r="F44" s="9" t="s">
        <v>135</v>
      </c>
      <c r="G44" s="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>
        <v>1186</v>
      </c>
      <c r="Q44" s="2">
        <v>3568</v>
      </c>
      <c r="R44" s="456">
        <v>900</v>
      </c>
      <c r="S44" s="456">
        <f>1900</f>
        <v>1900</v>
      </c>
      <c r="T44" s="456">
        <f>1100+S44</f>
        <v>3000</v>
      </c>
      <c r="U44" s="456">
        <f t="shared" ref="U44:V44" si="9">T44+1000</f>
        <v>4000</v>
      </c>
      <c r="V44" s="456">
        <f t="shared" si="9"/>
        <v>5000</v>
      </c>
      <c r="W44" s="456">
        <v>5000</v>
      </c>
      <c r="X44" s="2">
        <v>446</v>
      </c>
      <c r="Y44" s="12">
        <f ca="1">IFERROR(__xludf.DUMMYFUNCTION("INDEX(IMPORTRANGE(""1y0FWgjbB0gVlqn-q5LMJbGIsqOrzru4yowQz67dz2yc"", ""'MTY'!BG3:BG139""),MATCH($D44,IMPORTRANGE(""1y0FWgjbB0gVlqn-q5LMJbGIsqOrzru4yowQz67dz2yc"", ""'MTY'!D3:D139""),0))"),1343)</f>
        <v>1343</v>
      </c>
      <c r="Z44" s="12">
        <f ca="1">IFERROR(__xludf.DUMMYFUNCTION("INDEX(IMPORTRANGE(""1y0FWgjbB0gVlqn-q5LMJbGIsqOrzru4yowQz67dz2yc"", ""'MTY'!BH3:BH139""),MATCH($D44,IMPORTRANGE(""1y0FWgjbB0gVlqn-q5LMJbGIsqOrzru4yowQz67dz2yc"", ""'MTY'!D3:D139""),0))"),5877)</f>
        <v>5877</v>
      </c>
      <c r="AA44" s="12">
        <f ca="1">IFERROR(__xludf.DUMMYFUNCTION("INDEX(IMPORTRANGE(""1y0FWgjbB0gVlqn-q5LMJbGIsqOrzru4yowQz67dz2yc"", ""'MTY'!BI3:BI139""),MATCH($D44,IMPORTRANGE(""1y0FWgjbB0gVlqn-q5LMJbGIsqOrzru4yowQz67dz2yc"", ""'MTY'!D3:D139""),0))"),9454)</f>
        <v>9454</v>
      </c>
      <c r="AB44" s="2"/>
      <c r="AC44" s="2"/>
    </row>
    <row r="45" spans="1:29">
      <c r="A45" s="9" t="s">
        <v>119</v>
      </c>
      <c r="B45" s="9" t="s">
        <v>136</v>
      </c>
      <c r="C45" s="2" t="s">
        <v>30</v>
      </c>
      <c r="D45" s="149" t="s">
        <v>137</v>
      </c>
      <c r="E45" s="9" t="s">
        <v>38</v>
      </c>
      <c r="F45" s="2" t="s">
        <v>138</v>
      </c>
      <c r="G45" s="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2</v>
      </c>
      <c r="Q45" s="2">
        <v>2</v>
      </c>
      <c r="R45" s="2">
        <v>2</v>
      </c>
      <c r="S45" s="2">
        <v>2</v>
      </c>
      <c r="T45" s="2">
        <v>4</v>
      </c>
      <c r="U45" s="2">
        <v>2</v>
      </c>
      <c r="V45" s="2">
        <v>4</v>
      </c>
      <c r="W45" s="2">
        <v>10</v>
      </c>
      <c r="X45" s="2">
        <v>1</v>
      </c>
      <c r="Y45" s="12">
        <f ca="1">IFERROR(__xludf.DUMMYFUNCTION("INDEX(IMPORTRANGE(""1y0FWgjbB0gVlqn-q5LMJbGIsqOrzru4yowQz67dz2yc"", ""'MTY'!BG3:BG139""),MATCH($D45,IMPORTRANGE(""1y0FWgjbB0gVlqn-q5LMJbGIsqOrzru4yowQz67dz2yc"", ""'MTY'!D3:D139""),0))"),4)</f>
        <v>4</v>
      </c>
      <c r="Z45" s="12">
        <f ca="1">IFERROR(__xludf.DUMMYFUNCTION("INDEX(IMPORTRANGE(""1y0FWgjbB0gVlqn-q5LMJbGIsqOrzru4yowQz67dz2yc"", ""'MTY'!BH3:BH139""),MATCH($D45,IMPORTRANGE(""1y0FWgjbB0gVlqn-q5LMJbGIsqOrzru4yowQz67dz2yc"", ""'MTY'!D3:D139""),0))"),9)</f>
        <v>9</v>
      </c>
      <c r="AA45" s="12">
        <f ca="1">IFERROR(__xludf.DUMMYFUNCTION("INDEX(IMPORTRANGE(""1y0FWgjbB0gVlqn-q5LMJbGIsqOrzru4yowQz67dz2yc"", ""'MTY'!BI3:BI139""),MATCH($D45,IMPORTRANGE(""1y0FWgjbB0gVlqn-q5LMJbGIsqOrzru4yowQz67dz2yc"", ""'MTY'!D3:D139""),0))"),9)</f>
        <v>9</v>
      </c>
      <c r="AB45" s="2"/>
      <c r="AC45" s="2"/>
    </row>
    <row r="46" spans="1:29">
      <c r="A46" s="9" t="s">
        <v>119</v>
      </c>
      <c r="B46" s="9" t="s">
        <v>136</v>
      </c>
      <c r="C46" s="2" t="s">
        <v>30</v>
      </c>
      <c r="D46" s="149" t="s">
        <v>139</v>
      </c>
      <c r="E46" s="9" t="s">
        <v>38</v>
      </c>
      <c r="F46" s="2" t="s">
        <v>140</v>
      </c>
      <c r="G46" s="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12">
        <f ca="1">IFERROR(__xludf.DUMMYFUNCTION("INDEX(IMPORTRANGE(""1y0FWgjbB0gVlqn-q5LMJbGIsqOrzru4yowQz67dz2yc"", ""'MTY'!BG3:BG139""),MATCH($D46,IMPORTRANGE(""1y0FWgjbB0gVlqn-q5LMJbGIsqOrzru4yowQz67dz2yc"", ""'MTY'!D3:D139""),0))"),0)</f>
        <v>0</v>
      </c>
      <c r="Z46" s="12">
        <f ca="1">IFERROR(__xludf.DUMMYFUNCTION("INDEX(IMPORTRANGE(""1y0FWgjbB0gVlqn-q5LMJbGIsqOrzru4yowQz67dz2yc"", ""'MTY'!BH3:BH139""),MATCH($D46,IMPORTRANGE(""1y0FWgjbB0gVlqn-q5LMJbGIsqOrzru4yowQz67dz2yc"", ""'MTY'!D3:D139""),0))"),0)</f>
        <v>0</v>
      </c>
      <c r="AA46" s="12">
        <f ca="1">IFERROR(__xludf.DUMMYFUNCTION("INDEX(IMPORTRANGE(""1y0FWgjbB0gVlqn-q5LMJbGIsqOrzru4yowQz67dz2yc"", ""'MTY'!BI3:BI139""),MATCH($D46,IMPORTRANGE(""1y0FWgjbB0gVlqn-q5LMJbGIsqOrzru4yowQz67dz2yc"", ""'MTY'!D3:D139""),0))"),0)</f>
        <v>0</v>
      </c>
      <c r="AB46" s="2"/>
      <c r="AC46" s="2"/>
    </row>
    <row r="47" spans="1:29">
      <c r="A47" s="9" t="s">
        <v>119</v>
      </c>
      <c r="B47" s="9" t="s">
        <v>136</v>
      </c>
      <c r="C47" s="2" t="s">
        <v>30</v>
      </c>
      <c r="D47" s="149" t="s">
        <v>141</v>
      </c>
      <c r="E47" s="9" t="s">
        <v>38</v>
      </c>
      <c r="F47" s="2" t="s">
        <v>142</v>
      </c>
      <c r="G47" s="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v>4</v>
      </c>
      <c r="Q47" s="2">
        <v>8</v>
      </c>
      <c r="R47" s="2">
        <v>15</v>
      </c>
      <c r="S47" s="2">
        <v>12</v>
      </c>
      <c r="T47" s="2">
        <v>27</v>
      </c>
      <c r="U47" s="2">
        <v>12</v>
      </c>
      <c r="V47" s="2">
        <v>28</v>
      </c>
      <c r="W47" s="2">
        <v>70</v>
      </c>
      <c r="X47" s="2">
        <v>8</v>
      </c>
      <c r="Y47" s="12">
        <f ca="1">IFERROR(__xludf.DUMMYFUNCTION("INDEX(IMPORTRANGE(""1y0FWgjbB0gVlqn-q5LMJbGIsqOrzru4yowQz67dz2yc"", ""'MTY'!BG3:BG139""),MATCH($D47,IMPORTRANGE(""1y0FWgjbB0gVlqn-q5LMJbGIsqOrzru4yowQz67dz2yc"", ""'MTY'!D3:D139""),0))"),36)</f>
        <v>36</v>
      </c>
      <c r="Z47" s="12">
        <f ca="1">IFERROR(__xludf.DUMMYFUNCTION("INDEX(IMPORTRANGE(""1y0FWgjbB0gVlqn-q5LMJbGIsqOrzru4yowQz67dz2yc"", ""'MTY'!BH3:BH139""),MATCH($D47,IMPORTRANGE(""1y0FWgjbB0gVlqn-q5LMJbGIsqOrzru4yowQz67dz2yc"", ""'MTY'!D3:D139""),0))"),103)</f>
        <v>103</v>
      </c>
      <c r="AA47" s="12">
        <f ca="1">IFERROR(__xludf.DUMMYFUNCTION("INDEX(IMPORTRANGE(""1y0FWgjbB0gVlqn-q5LMJbGIsqOrzru4yowQz67dz2yc"", ""'MTY'!BI3:BI139""),MATCH($D47,IMPORTRANGE(""1y0FWgjbB0gVlqn-q5LMJbGIsqOrzru4yowQz67dz2yc"", ""'MTY'!D3:D139""),0))"),113)</f>
        <v>113</v>
      </c>
      <c r="AB47" s="2"/>
      <c r="AC47" s="2"/>
    </row>
    <row r="48" spans="1:29">
      <c r="A48" s="9" t="s">
        <v>119</v>
      </c>
      <c r="B48" s="9" t="s">
        <v>136</v>
      </c>
      <c r="C48" s="2" t="s">
        <v>30</v>
      </c>
      <c r="D48" s="149" t="s">
        <v>143</v>
      </c>
      <c r="E48" s="9" t="s">
        <v>38</v>
      </c>
      <c r="F48" s="2" t="s">
        <v>144</v>
      </c>
      <c r="G48" s="2" t="s">
        <v>56</v>
      </c>
      <c r="H48" s="22" t="s">
        <v>57</v>
      </c>
      <c r="I48" s="22" t="s">
        <v>58</v>
      </c>
      <c r="J48" s="22" t="s">
        <v>59</v>
      </c>
      <c r="K48" s="22" t="s">
        <v>335</v>
      </c>
      <c r="L48" s="22" t="s">
        <v>336</v>
      </c>
      <c r="M48" s="22" t="s">
        <v>337</v>
      </c>
      <c r="N48" s="262" t="s">
        <v>132</v>
      </c>
      <c r="O48" s="262" t="s">
        <v>132</v>
      </c>
      <c r="P48" s="12"/>
      <c r="Q48" s="2"/>
      <c r="R48" s="4"/>
      <c r="S48" s="4"/>
      <c r="T48" s="4"/>
      <c r="U48" s="4"/>
      <c r="V48" s="4"/>
      <c r="W48" s="4"/>
      <c r="X48" s="2"/>
      <c r="Y48" s="12">
        <f ca="1">IFERROR(__xludf.DUMMYFUNCTION("INDEX(IMPORTRANGE(""1y0FWgjbB0gVlqn-q5LMJbGIsqOrzru4yowQz67dz2yc"", ""'MTY'!BG3:BG139""),MATCH($D48,IMPORTRANGE(""1y0FWgjbB0gVlqn-q5LMJbGIsqOrzru4yowQz67dz2yc"", ""'MTY'!D3:D139""),0))"),19)</f>
        <v>19</v>
      </c>
      <c r="Z48" s="12">
        <f ca="1">IFERROR(__xludf.DUMMYFUNCTION("INDEX(IMPORTRANGE(""1y0FWgjbB0gVlqn-q5LMJbGIsqOrzru4yowQz67dz2yc"", ""'MTY'!BH3:BH139""),MATCH($D48,IMPORTRANGE(""1y0FWgjbB0gVlqn-q5LMJbGIsqOrzru4yowQz67dz2yc"", ""'MTY'!D3:D139""),0))"),52)</f>
        <v>52</v>
      </c>
      <c r="AA48" s="12">
        <f ca="1">IFERROR(__xludf.DUMMYFUNCTION("INDEX(IMPORTRANGE(""1y0FWgjbB0gVlqn-q5LMJbGIsqOrzru4yowQz67dz2yc"", ""'MTY'!BI3:BI139""),MATCH($D48,IMPORTRANGE(""1y0FWgjbB0gVlqn-q5LMJbGIsqOrzru4yowQz67dz2yc"", ""'MTY'!D3:D139""),0))"),53)</f>
        <v>53</v>
      </c>
      <c r="AB48" s="2"/>
      <c r="AC48" s="2"/>
    </row>
    <row r="49" spans="1:29">
      <c r="A49" s="9" t="s">
        <v>119</v>
      </c>
      <c r="B49" s="9" t="s">
        <v>136</v>
      </c>
      <c r="C49" s="2" t="s">
        <v>36</v>
      </c>
      <c r="D49" s="149" t="s">
        <v>145</v>
      </c>
      <c r="E49" s="9" t="s">
        <v>38</v>
      </c>
      <c r="F49" s="2" t="s">
        <v>146</v>
      </c>
      <c r="G49" s="2" t="s">
        <v>56</v>
      </c>
      <c r="H49" s="22" t="s">
        <v>57</v>
      </c>
      <c r="I49" s="22" t="s">
        <v>58</v>
      </c>
      <c r="J49" s="22" t="s">
        <v>59</v>
      </c>
      <c r="K49" s="22" t="s">
        <v>335</v>
      </c>
      <c r="L49" s="22" t="s">
        <v>336</v>
      </c>
      <c r="M49" s="22" t="s">
        <v>337</v>
      </c>
      <c r="N49" s="262" t="s">
        <v>132</v>
      </c>
      <c r="O49" s="262" t="s">
        <v>132</v>
      </c>
      <c r="P49" s="12">
        <v>6</v>
      </c>
      <c r="Q49" s="2">
        <v>10</v>
      </c>
      <c r="R49" s="4">
        <f>R45+R47</f>
        <v>17</v>
      </c>
      <c r="S49" s="4">
        <f>S45+S47+R49</f>
        <v>31</v>
      </c>
      <c r="T49" s="4">
        <f>T45+T47-S45-S47+S49</f>
        <v>48</v>
      </c>
      <c r="U49" s="4">
        <f>U45+U47+T49</f>
        <v>62</v>
      </c>
      <c r="V49" s="4">
        <f>V45+V47-U45-U47+U49</f>
        <v>80</v>
      </c>
      <c r="W49" s="4">
        <f>W45+W47</f>
        <v>80</v>
      </c>
      <c r="X49" s="2">
        <v>9</v>
      </c>
      <c r="Y49" s="12">
        <f ca="1">IFERROR(__xludf.DUMMYFUNCTION("INDEX(IMPORTRANGE(""1y0FWgjbB0gVlqn-q5LMJbGIsqOrzru4yowQz67dz2yc"", ""'MTY'!BG3:BG139""),MATCH($D49,IMPORTRANGE(""1y0FWgjbB0gVlqn-q5LMJbGIsqOrzru4yowQz67dz2yc"", ""'MTY'!D3:D139""),0))"),59)</f>
        <v>59</v>
      </c>
      <c r="Z49" s="12">
        <f ca="1">IFERROR(__xludf.DUMMYFUNCTION("INDEX(IMPORTRANGE(""1y0FWgjbB0gVlqn-q5LMJbGIsqOrzru4yowQz67dz2yc"", ""'MTY'!BH3:BH139""),MATCH($D49,IMPORTRANGE(""1y0FWgjbB0gVlqn-q5LMJbGIsqOrzru4yowQz67dz2yc"", ""'MTY'!D3:D139""),0))"),164)</f>
        <v>164</v>
      </c>
      <c r="AA49" s="12">
        <f ca="1">IFERROR(__xludf.DUMMYFUNCTION("INDEX(IMPORTRANGE(""1y0FWgjbB0gVlqn-q5LMJbGIsqOrzru4yowQz67dz2yc"", ""'MTY'!BI3:BI139""),MATCH($D49,IMPORTRANGE(""1y0FWgjbB0gVlqn-q5LMJbGIsqOrzru4yowQz67dz2yc"", ""'MTY'!D3:D139""),0))"),175)</f>
        <v>175</v>
      </c>
      <c r="AB49" s="2"/>
      <c r="AC49" s="2"/>
    </row>
    <row r="50" spans="1:29">
      <c r="A50" s="9" t="s">
        <v>147</v>
      </c>
      <c r="B50" s="9" t="s">
        <v>148</v>
      </c>
      <c r="C50" s="2" t="s">
        <v>30</v>
      </c>
      <c r="D50" s="149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150</v>
      </c>
      <c r="Q50" s="2" t="s">
        <v>150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150</v>
      </c>
      <c r="Y50" s="17" t="str">
        <f ca="1">IFERROR(__xludf.DUMMYFUNCTION("INDEX(IMPORTRANGE(""1y0FWgjbB0gVlqn-q5LMJbGIsqOrzru4yowQz67dz2yc"", ""'MTY'!BG3:BG139""),MATCH($D50,IMPORTRANGE(""1y0FWgjbB0gVlqn-q5LMJbGIsqOrzru4yowQz67dz2yc"", ""'MTY'!D3:D139""),0))"),"No")</f>
        <v>No</v>
      </c>
      <c r="Z50" s="12" t="str">
        <f ca="1">IFERROR(__xludf.DUMMYFUNCTION("INDEX(IMPORTRANGE(""1y0FWgjbB0gVlqn-q5LMJbGIsqOrzru4yowQz67dz2yc"", ""'MTY'!BH3:BH139""),MATCH($D50,IMPORTRANGE(""1y0FWgjbB0gVlqn-q5LMJbGIsqOrzru4yowQz67dz2yc"", ""'MTY'!D3:D139""),0))"),"No")</f>
        <v>No</v>
      </c>
      <c r="AA50" s="12" t="str">
        <f ca="1">IFERROR(__xludf.DUMMYFUNCTION("INDEX(IMPORTRANGE(""1y0FWgjbB0gVlqn-q5LMJbGIsqOrzru4yowQz67dz2yc"", ""'MTY'!BI3:BI139""),MATCH($D50,IMPORTRANGE(""1y0FWgjbB0gVlqn-q5LMJbGIsqOrzru4yowQz67dz2yc"", ""'MTY'!D3:D139""),0))"),"No")</f>
        <v>No</v>
      </c>
      <c r="AB50" s="2"/>
      <c r="AC50" s="2"/>
    </row>
    <row r="51" spans="1:29">
      <c r="A51" s="9" t="s">
        <v>147</v>
      </c>
      <c r="B51" s="9" t="s">
        <v>148</v>
      </c>
      <c r="C51" s="2" t="s">
        <v>30</v>
      </c>
      <c r="D51" s="149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 t="s">
        <v>150</v>
      </c>
      <c r="Q51" s="2" t="s">
        <v>150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150</v>
      </c>
      <c r="Y51" s="17" t="str">
        <f ca="1">IFERROR(__xludf.DUMMYFUNCTION("INDEX(IMPORTRANGE(""1y0FWgjbB0gVlqn-q5LMJbGIsqOrzru4yowQz67dz2yc"", ""'MTY'!BG3:BG139""),MATCH($D51,IMPORTRANGE(""1y0FWgjbB0gVlqn-q5LMJbGIsqOrzru4yowQz67dz2yc"", ""'MTY'!D3:D139""),0))"),"No")</f>
        <v>No</v>
      </c>
      <c r="Z51" s="12" t="str">
        <f ca="1">IFERROR(__xludf.DUMMYFUNCTION("INDEX(IMPORTRANGE(""1y0FWgjbB0gVlqn-q5LMJbGIsqOrzru4yowQz67dz2yc"", ""'MTY'!BH3:BH139""),MATCH($D51,IMPORTRANGE(""1y0FWgjbB0gVlqn-q5LMJbGIsqOrzru4yowQz67dz2yc"", ""'MTY'!D3:D139""),0))"),"No")</f>
        <v>No</v>
      </c>
      <c r="AA51" s="12" t="str">
        <f ca="1">IFERROR(__xludf.DUMMYFUNCTION("INDEX(IMPORTRANGE(""1y0FWgjbB0gVlqn-q5LMJbGIsqOrzru4yowQz67dz2yc"", ""'MTY'!BI3:BI139""),MATCH($D51,IMPORTRANGE(""1y0FWgjbB0gVlqn-q5LMJbGIsqOrzru4yowQz67dz2yc"", ""'MTY'!D3:D139""),0))"),"Sí")</f>
        <v>Sí</v>
      </c>
      <c r="AB51" s="2"/>
      <c r="AC51" s="2"/>
    </row>
    <row r="52" spans="1:29">
      <c r="A52" s="9" t="s">
        <v>147</v>
      </c>
      <c r="B52" s="9" t="s">
        <v>148</v>
      </c>
      <c r="C52" s="2" t="s">
        <v>30</v>
      </c>
      <c r="D52" s="149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 t="s">
        <v>150</v>
      </c>
      <c r="Q52" s="2" t="s">
        <v>150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150</v>
      </c>
      <c r="Y52" s="17" t="str">
        <f ca="1">IFERROR(__xludf.DUMMYFUNCTION("INDEX(IMPORTRANGE(""1y0FWgjbB0gVlqn-q5LMJbGIsqOrzru4yowQz67dz2yc"", ""'MTY'!BG3:BG139""),MATCH($D52,IMPORTRANGE(""1y0FWgjbB0gVlqn-q5LMJbGIsqOrzru4yowQz67dz2yc"", ""'MTY'!D3:D139""),0))"),"No")</f>
        <v>No</v>
      </c>
      <c r="Z52" s="12" t="str">
        <f ca="1">IFERROR(__xludf.DUMMYFUNCTION("INDEX(IMPORTRANGE(""1y0FWgjbB0gVlqn-q5LMJbGIsqOrzru4yowQz67dz2yc"", ""'MTY'!BH3:BH139""),MATCH($D52,IMPORTRANGE(""1y0FWgjbB0gVlqn-q5LMJbGIsqOrzru4yowQz67dz2yc"", ""'MTY'!D3:D139""),0))"),"No")</f>
        <v>No</v>
      </c>
      <c r="AA52" s="12" t="str">
        <f ca="1">IFERROR(__xludf.DUMMYFUNCTION("INDEX(IMPORTRANGE(""1y0FWgjbB0gVlqn-q5LMJbGIsqOrzru4yowQz67dz2yc"", ""'MTY'!BI3:BI139""),MATCH($D52,IMPORTRANGE(""1y0FWgjbB0gVlqn-q5LMJbGIsqOrzru4yowQz67dz2yc"", ""'MTY'!D3:D139""),0))"),"Sí")</f>
        <v>Sí</v>
      </c>
      <c r="AB52" s="2"/>
      <c r="AC52" s="2"/>
    </row>
    <row r="53" spans="1:29">
      <c r="A53" s="9" t="s">
        <v>147</v>
      </c>
      <c r="B53" s="9" t="s">
        <v>148</v>
      </c>
      <c r="C53" s="2" t="s">
        <v>36</v>
      </c>
      <c r="D53" s="149" t="s">
        <v>156</v>
      </c>
      <c r="E53" s="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91">
        <f t="shared" ref="P53:Q53" si="10">COUNTIF(P50:P52,"Sí")*(1/3)</f>
        <v>0</v>
      </c>
      <c r="Q53" s="91">
        <f t="shared" si="10"/>
        <v>0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91">
        <f>COUNTIF(X50:X52,"Sí")*(1/3)</f>
        <v>0</v>
      </c>
      <c r="Y53" s="12">
        <f ca="1">IFERROR(__xludf.DUMMYFUNCTION("INDEX(IMPORTRANGE(""1y0FWgjbB0gVlqn-q5LMJbGIsqOrzru4yowQz67dz2yc"", ""'MTY'!BG3:BG139""),MATCH($D53,IMPORTRANGE(""1y0FWgjbB0gVlqn-q5LMJbGIsqOrzru4yowQz67dz2yc"", ""'MTY'!D3:D139""),0))"),0)</f>
        <v>0</v>
      </c>
      <c r="Z53" s="12">
        <f ca="1">IFERROR(__xludf.DUMMYFUNCTION("INDEX(IMPORTRANGE(""1y0FWgjbB0gVlqn-q5LMJbGIsqOrzru4yowQz67dz2yc"", ""'MTY'!BH3:BH139""),MATCH($D53,IMPORTRANGE(""1y0FWgjbB0gVlqn-q5LMJbGIsqOrzru4yowQz67dz2yc"", ""'MTY'!D3:D139""),0))"),0)</f>
        <v>0</v>
      </c>
      <c r="AA53" s="12">
        <f ca="1">IFERROR(__xludf.DUMMYFUNCTION("INDEX(IMPORTRANGE(""1y0FWgjbB0gVlqn-q5LMJbGIsqOrzru4yowQz67dz2yc"", ""'MTY'!BI3:BI139""),MATCH($D53,IMPORTRANGE(""1y0FWgjbB0gVlqn-q5LMJbGIsqOrzru4yowQz67dz2yc"", ""'MTY'!D3:D139""),0))"),0.666666666666666)</f>
        <v>0.66666666666666596</v>
      </c>
      <c r="AB53" s="2"/>
      <c r="AC53" s="2"/>
    </row>
    <row r="54" spans="1:29">
      <c r="A54" s="9" t="s">
        <v>147</v>
      </c>
      <c r="B54" s="9" t="s">
        <v>148</v>
      </c>
      <c r="C54" s="2" t="s">
        <v>36</v>
      </c>
      <c r="D54" s="149" t="s">
        <v>351</v>
      </c>
      <c r="E54" s="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0</v>
      </c>
      <c r="Y54" s="12">
        <f ca="1">IFERROR(__xludf.DUMMYFUNCTION("INDEX(IMPORTRANGE(""1y0FWgjbB0gVlqn-q5LMJbGIsqOrzru4yowQz67dz2yc"", ""'MTY'!BG3:BG139""),MATCH($D54,IMPORTRANGE(""1y0FWgjbB0gVlqn-q5LMJbGIsqOrzru4yowQz67dz2yc"", ""'MTY'!D3:D139""),0))"),0)</f>
        <v>0</v>
      </c>
      <c r="Z54" s="12">
        <f ca="1">IFERROR(__xludf.DUMMYFUNCTION("INDEX(IMPORTRANGE(""1y0FWgjbB0gVlqn-q5LMJbGIsqOrzru4yowQz67dz2yc"", ""'MTY'!BH3:BH139""),MATCH($D54,IMPORTRANGE(""1y0FWgjbB0gVlqn-q5LMJbGIsqOrzru4yowQz67dz2yc"", ""'MTY'!D3:D139""),0))"),0)</f>
        <v>0</v>
      </c>
      <c r="AA54" s="12">
        <f ca="1">IFERROR(__xludf.DUMMYFUNCTION("INDEX(IMPORTRANGE(""1y0FWgjbB0gVlqn-q5LMJbGIsqOrzru4yowQz67dz2yc"", ""'MTY'!BI3:BI139""),MATCH($D54,IMPORTRANGE(""1y0FWgjbB0gVlqn-q5LMJbGIsqOrzru4yowQz67dz2yc"", ""'MTY'!D3:D139""),0))"),0)</f>
        <v>0</v>
      </c>
      <c r="AB54" s="2"/>
      <c r="AC54" s="2"/>
    </row>
    <row r="55" spans="1:29">
      <c r="A55" s="9" t="s">
        <v>147</v>
      </c>
      <c r="B55" s="9" t="s">
        <v>148</v>
      </c>
      <c r="C55" s="2" t="s">
        <v>30</v>
      </c>
      <c r="D55" s="149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17</v>
      </c>
      <c r="Q55" s="2">
        <v>17</v>
      </c>
      <c r="R55" s="4"/>
      <c r="S55" s="4"/>
      <c r="T55" s="4"/>
      <c r="U55" s="4"/>
      <c r="V55" s="4"/>
      <c r="W55" s="4"/>
      <c r="X55" s="2">
        <v>17</v>
      </c>
      <c r="Y55" s="12">
        <f ca="1">IFERROR(__xludf.DUMMYFUNCTION("INDEX(IMPORTRANGE(""1y0FWgjbB0gVlqn-q5LMJbGIsqOrzru4yowQz67dz2yc"", ""'MTY'!BG3:BG139""),MATCH($D55,IMPORTRANGE(""1y0FWgjbB0gVlqn-q5LMJbGIsqOrzru4yowQz67dz2yc"", ""'MTY'!D3:D139""),0))"),17)</f>
        <v>17</v>
      </c>
      <c r="Z55" s="12">
        <f ca="1">IFERROR(__xludf.DUMMYFUNCTION("INDEX(IMPORTRANGE(""1y0FWgjbB0gVlqn-q5LMJbGIsqOrzru4yowQz67dz2yc"", ""'MTY'!BH3:BH139""),MATCH($D55,IMPORTRANGE(""1y0FWgjbB0gVlqn-q5LMJbGIsqOrzru4yowQz67dz2yc"", ""'MTY'!D3:D139""),0))"),17)</f>
        <v>17</v>
      </c>
      <c r="AA55" s="12">
        <f ca="1">IFERROR(__xludf.DUMMYFUNCTION("INDEX(IMPORTRANGE(""1y0FWgjbB0gVlqn-q5LMJbGIsqOrzru4yowQz67dz2yc"", ""'MTY'!BI3:BI139""),MATCH($D55,IMPORTRANGE(""1y0FWgjbB0gVlqn-q5LMJbGIsqOrzru4yowQz67dz2yc"", ""'MTY'!D3:D139""),0))"),17)</f>
        <v>17</v>
      </c>
      <c r="AB55" s="2"/>
      <c r="AC55" s="2"/>
    </row>
    <row r="56" spans="1:29">
      <c r="A56" s="9" t="s">
        <v>147</v>
      </c>
      <c r="B56" s="9" t="s">
        <v>148</v>
      </c>
      <c r="C56" s="2" t="s">
        <v>30</v>
      </c>
      <c r="D56" s="149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9</v>
      </c>
      <c r="Q56" s="2">
        <v>9</v>
      </c>
      <c r="R56" s="4"/>
      <c r="S56" s="4"/>
      <c r="T56" s="4"/>
      <c r="U56" s="4"/>
      <c r="V56" s="4"/>
      <c r="W56" s="4"/>
      <c r="X56" s="2">
        <v>9</v>
      </c>
      <c r="Y56" s="12">
        <f ca="1">IFERROR(__xludf.DUMMYFUNCTION("INDEX(IMPORTRANGE(""1y0FWgjbB0gVlqn-q5LMJbGIsqOrzru4yowQz67dz2yc"", ""'MTY'!BG3:BG139""),MATCH($D56,IMPORTRANGE(""1y0FWgjbB0gVlqn-q5LMJbGIsqOrzru4yowQz67dz2yc"", ""'MTY'!D3:D139""),0))"),14)</f>
        <v>14</v>
      </c>
      <c r="Z56" s="12">
        <f ca="1">IFERROR(__xludf.DUMMYFUNCTION("INDEX(IMPORTRANGE(""1y0FWgjbB0gVlqn-q5LMJbGIsqOrzru4yowQz67dz2yc"", ""'MTY'!BH3:BH139""),MATCH($D56,IMPORTRANGE(""1y0FWgjbB0gVlqn-q5LMJbGIsqOrzru4yowQz67dz2yc"", ""'MTY'!D3:D139""),0))"),14)</f>
        <v>14</v>
      </c>
      <c r="AA56" s="12">
        <f ca="1">IFERROR(__xludf.DUMMYFUNCTION("INDEX(IMPORTRANGE(""1y0FWgjbB0gVlqn-q5LMJbGIsqOrzru4yowQz67dz2yc"", ""'MTY'!BI3:BI139""),MATCH($D56,IMPORTRANGE(""1y0FWgjbB0gVlqn-q5LMJbGIsqOrzru4yowQz67dz2yc"", ""'MTY'!D3:D139""),0))"),14)</f>
        <v>14</v>
      </c>
      <c r="AB56" s="2"/>
      <c r="AC56" s="2"/>
    </row>
    <row r="57" spans="1:29">
      <c r="A57" s="9" t="s">
        <v>147</v>
      </c>
      <c r="B57" s="9" t="s">
        <v>148</v>
      </c>
      <c r="C57" s="2" t="s">
        <v>36</v>
      </c>
      <c r="D57" s="149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1">P56/P55</f>
        <v>0.52941176470588236</v>
      </c>
      <c r="Q57" s="15">
        <f t="shared" si="11"/>
        <v>0.52941176470588236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0.52941176470588236</v>
      </c>
      <c r="Y57" s="19">
        <f ca="1">IFERROR(__xludf.DUMMYFUNCTION("INDEX(IMPORTRANGE(""1y0FWgjbB0gVlqn-q5LMJbGIsqOrzru4yowQz67dz2yc"", ""'MTY'!BG3:BG139""),MATCH($D57,IMPORTRANGE(""1y0FWgjbB0gVlqn-q5LMJbGIsqOrzru4yowQz67dz2yc"", ""'MTY'!D3:D139""),0))"),0.823529411764705)</f>
        <v>0.82352941176470495</v>
      </c>
      <c r="Z57" s="15">
        <f ca="1">IFERROR(__xludf.DUMMYFUNCTION("INDEX(IMPORTRANGE(""1y0FWgjbB0gVlqn-q5LMJbGIsqOrzru4yowQz67dz2yc"", ""'MTY'!BH3:BH139""),MATCH($D57,IMPORTRANGE(""1y0FWgjbB0gVlqn-q5LMJbGIsqOrzru4yowQz67dz2yc"", ""'MTY'!D3:D139""),0))"),0.823529411764705)</f>
        <v>0.82352941176470495</v>
      </c>
      <c r="AA57" s="15">
        <f ca="1">IFERROR(__xludf.DUMMYFUNCTION("INDEX(IMPORTRANGE(""1y0FWgjbB0gVlqn-q5LMJbGIsqOrzru4yowQz67dz2yc"", ""'MTY'!BI3:BI139""),MATCH($D57,IMPORTRANGE(""1y0FWgjbB0gVlqn-q5LMJbGIsqOrzru4yowQz67dz2yc"", ""'MTY'!D3:D139""),0))"),0.823529411764705)</f>
        <v>0.82352941176470495</v>
      </c>
      <c r="AB57" s="2"/>
      <c r="AC57" s="2"/>
    </row>
    <row r="58" spans="1:29">
      <c r="A58" s="9" t="s">
        <v>147</v>
      </c>
      <c r="B58" s="9" t="s">
        <v>168</v>
      </c>
      <c r="C58" s="2" t="s">
        <v>30</v>
      </c>
      <c r="D58" s="149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458">
        <v>107246</v>
      </c>
      <c r="Q58" s="458">
        <v>107246</v>
      </c>
      <c r="R58" s="4"/>
      <c r="S58" s="4"/>
      <c r="T58" s="4"/>
      <c r="U58" s="4"/>
      <c r="V58" s="4"/>
      <c r="W58" s="4"/>
      <c r="X58" s="458">
        <v>107501</v>
      </c>
      <c r="Y58" s="12">
        <f ca="1">IFERROR(__xludf.DUMMYFUNCTION("INDEX(IMPORTRANGE(""1y0FWgjbB0gVlqn-q5LMJbGIsqOrzru4yowQz67dz2yc"", ""'MTY'!BG3:BG139""),MATCH($D58,IMPORTRANGE(""1y0FWgjbB0gVlqn-q5LMJbGIsqOrzru4yowQz67dz2yc"", ""'MTY'!D3:D139""),0))"),107975)</f>
        <v>107975</v>
      </c>
      <c r="Z58" s="12">
        <f ca="1">IFERROR(__xludf.DUMMYFUNCTION("INDEX(IMPORTRANGE(""1y0FWgjbB0gVlqn-q5LMJbGIsqOrzru4yowQz67dz2yc"", ""'MTY'!BH3:BH139""),MATCH($D58,IMPORTRANGE(""1y0FWgjbB0gVlqn-q5LMJbGIsqOrzru4yowQz67dz2yc"", ""'MTY'!D3:D139""),0))"),108156)</f>
        <v>108156</v>
      </c>
      <c r="AA58" s="12">
        <f ca="1">IFERROR(__xludf.DUMMYFUNCTION("INDEX(IMPORTRANGE(""1y0FWgjbB0gVlqn-q5LMJbGIsqOrzru4yowQz67dz2yc"", ""'MTY'!BI3:BI139""),MATCH($D58,IMPORTRANGE(""1y0FWgjbB0gVlqn-q5LMJbGIsqOrzru4yowQz67dz2yc"", ""'MTY'!D3:D139""),0))"),108396)</f>
        <v>108396</v>
      </c>
      <c r="AB58" s="2"/>
      <c r="AC58" s="2"/>
    </row>
    <row r="59" spans="1:29">
      <c r="A59" s="9" t="s">
        <v>147</v>
      </c>
      <c r="B59" s="9" t="s">
        <v>168</v>
      </c>
      <c r="C59" s="2" t="s">
        <v>30</v>
      </c>
      <c r="D59" s="149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458">
        <v>107246</v>
      </c>
      <c r="Q59" s="459">
        <v>107246</v>
      </c>
      <c r="R59" s="4"/>
      <c r="S59" s="4"/>
      <c r="T59" s="4"/>
      <c r="U59" s="4"/>
      <c r="V59" s="4"/>
      <c r="W59" s="4"/>
      <c r="X59" s="458">
        <v>107501</v>
      </c>
      <c r="Y59" s="12">
        <f ca="1">IFERROR(__xludf.DUMMYFUNCTION("INDEX(IMPORTRANGE(""1y0FWgjbB0gVlqn-q5LMJbGIsqOrzru4yowQz67dz2yc"", ""'MTY'!BG3:BG139""),MATCH($D59,IMPORTRANGE(""1y0FWgjbB0gVlqn-q5LMJbGIsqOrzru4yowQz67dz2yc"", ""'MTY'!D3:D139""),0))"),108002)</f>
        <v>108002</v>
      </c>
      <c r="Z59" s="12">
        <f ca="1">IFERROR(__xludf.DUMMYFUNCTION("INDEX(IMPORTRANGE(""1y0FWgjbB0gVlqn-q5LMJbGIsqOrzru4yowQz67dz2yc"", ""'MTY'!BH3:BH139""),MATCH($D59,IMPORTRANGE(""1y0FWgjbB0gVlqn-q5LMJbGIsqOrzru4yowQz67dz2yc"", ""'MTY'!D3:D139""),0))"),108226)</f>
        <v>108226</v>
      </c>
      <c r="AA59" s="12">
        <f ca="1">IFERROR(__xludf.DUMMYFUNCTION("INDEX(IMPORTRANGE(""1y0FWgjbB0gVlqn-q5LMJbGIsqOrzru4yowQz67dz2yc"", ""'MTY'!BI3:BI139""),MATCH($D59,IMPORTRANGE(""1y0FWgjbB0gVlqn-q5LMJbGIsqOrzru4yowQz67dz2yc"", ""'MTY'!D3:D139""),0))"),108427)</f>
        <v>108427</v>
      </c>
      <c r="AB59" s="2"/>
      <c r="AC59" s="2"/>
    </row>
    <row r="60" spans="1:29">
      <c r="A60" s="9" t="s">
        <v>147</v>
      </c>
      <c r="B60" s="9" t="s">
        <v>168</v>
      </c>
      <c r="C60" s="2" t="s">
        <v>36</v>
      </c>
      <c r="D60" s="149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26">
        <f t="shared" ref="P60:Q60" si="12">P58/P59</f>
        <v>1</v>
      </c>
      <c r="Q60" s="26">
        <f t="shared" si="12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1</v>
      </c>
      <c r="Y60" s="15">
        <f ca="1">IFERROR(__xludf.DUMMYFUNCTION("INDEX(IMPORTRANGE(""1y0FWgjbB0gVlqn-q5LMJbGIsqOrzru4yowQz67dz2yc"", ""'MTY'!BG3:BG139""),MATCH($D60,IMPORTRANGE(""1y0FWgjbB0gVlqn-q5LMJbGIsqOrzru4yowQz67dz2yc"", ""'MTY'!D3:D139""),0))"),0.999750004629543)</f>
        <v>0.999750004629543</v>
      </c>
      <c r="Z60" s="15">
        <f ca="1">IFERROR(__xludf.DUMMYFUNCTION("INDEX(IMPORTRANGE(""1y0FWgjbB0gVlqn-q5LMJbGIsqOrzru4yowQz67dz2yc"", ""'MTY'!BH3:BH139""),MATCH($D60,IMPORTRANGE(""1y0FWgjbB0gVlqn-q5LMJbGIsqOrzru4yowQz67dz2yc"", ""'MTY'!D3:D139""),0))"),0.999353205329588)</f>
        <v>0.99935320532958805</v>
      </c>
      <c r="AA60" s="15">
        <f ca="1">IFERROR(__xludf.DUMMYFUNCTION("INDEX(IMPORTRANGE(""1y0FWgjbB0gVlqn-q5LMJbGIsqOrzru4yowQz67dz2yc"", ""'MTY'!BI3:BI139""),MATCH($D60,IMPORTRANGE(""1y0FWgjbB0gVlqn-q5LMJbGIsqOrzru4yowQz67dz2yc"", ""'MTY'!D3:D139""),0))"),0.999714093353131)</f>
        <v>0.99971409335313099</v>
      </c>
      <c r="AB60" s="2"/>
      <c r="AC60" s="2"/>
    </row>
    <row r="61" spans="1:29">
      <c r="A61" s="9" t="s">
        <v>147</v>
      </c>
      <c r="B61" s="9" t="s">
        <v>168</v>
      </c>
      <c r="C61" s="2" t="s">
        <v>30</v>
      </c>
      <c r="D61" s="149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375160</v>
      </c>
      <c r="Q61" s="12">
        <v>375160</v>
      </c>
      <c r="R61" s="4"/>
      <c r="S61" s="4"/>
      <c r="T61" s="4"/>
      <c r="U61" s="4"/>
      <c r="V61" s="4"/>
      <c r="W61" s="4"/>
      <c r="X61" s="12">
        <v>375160</v>
      </c>
      <c r="Y61" s="12">
        <f ca="1">IFERROR(__xludf.DUMMYFUNCTION("INDEX(IMPORTRANGE(""1y0FWgjbB0gVlqn-q5LMJbGIsqOrzru4yowQz67dz2yc"", ""'MTY'!BG3:BG139""),MATCH($D61,IMPORTRANGE(""1y0FWgjbB0gVlqn-q5LMJbGIsqOrzru4yowQz67dz2yc"", ""'MTY'!D3:D139""),0))"),375160)</f>
        <v>375160</v>
      </c>
      <c r="Z61" s="12">
        <f ca="1">IFERROR(__xludf.DUMMYFUNCTION("INDEX(IMPORTRANGE(""1y0FWgjbB0gVlqn-q5LMJbGIsqOrzru4yowQz67dz2yc"", ""'MTY'!BH3:BH139""),MATCH($D61,IMPORTRANGE(""1y0FWgjbB0gVlqn-q5LMJbGIsqOrzru4yowQz67dz2yc"", ""'MTY'!D3:D139""),0))"),375160)</f>
        <v>375160</v>
      </c>
      <c r="AA61" s="12">
        <f ca="1">IFERROR(__xludf.DUMMYFUNCTION("INDEX(IMPORTRANGE(""1y0FWgjbB0gVlqn-q5LMJbGIsqOrzru4yowQz67dz2yc"", ""'MTY'!BI3:BI139""),MATCH($D61,IMPORTRANGE(""1y0FWgjbB0gVlqn-q5LMJbGIsqOrzru4yowQz67dz2yc"", ""'MTY'!D3:D139""),0))"),375160)</f>
        <v>375160</v>
      </c>
      <c r="AB61" s="2"/>
      <c r="AC61" s="2"/>
    </row>
    <row r="62" spans="1:29">
      <c r="A62" s="9" t="s">
        <v>147</v>
      </c>
      <c r="B62" s="9" t="s">
        <v>168</v>
      </c>
      <c r="C62" s="2" t="s">
        <v>36</v>
      </c>
      <c r="D62" s="454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457">
        <f t="shared" ref="P62:Q62" si="13">P61/P37</f>
        <v>1</v>
      </c>
      <c r="Q62" s="457">
        <f t="shared" si="13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467">
        <f>X61/X37</f>
        <v>1</v>
      </c>
      <c r="Y62" s="15">
        <f ca="1">IFERROR(__xludf.DUMMYFUNCTION("INDEX(IMPORTRANGE(""1y0FWgjbB0gVlqn-q5LMJbGIsqOrzru4yowQz67dz2yc"", ""'MTY'!BG3:BG139""),MATCH($D62,IMPORTRANGE(""1y0FWgjbB0gVlqn-q5LMJbGIsqOrzru4yowQz67dz2yc"", ""'MTY'!D3:D139""),0))"),1)</f>
        <v>1</v>
      </c>
      <c r="Z62" s="15">
        <f ca="1">IFERROR(__xludf.DUMMYFUNCTION("INDEX(IMPORTRANGE(""1y0FWgjbB0gVlqn-q5LMJbGIsqOrzru4yowQz67dz2yc"", ""'MTY'!BH3:BH139""),MATCH($D62,IMPORTRANGE(""1y0FWgjbB0gVlqn-q5LMJbGIsqOrzru4yowQz67dz2yc"", ""'MTY'!D3:D139""),0))"),1)</f>
        <v>1</v>
      </c>
      <c r="AA62" s="15">
        <f ca="1">IFERROR(__xludf.DUMMYFUNCTION("INDEX(IMPORTRANGE(""1y0FWgjbB0gVlqn-q5LMJbGIsqOrzru4yowQz67dz2yc"", ""'MTY'!BI3:BI139""),MATCH($D62,IMPORTRANGE(""1y0FWgjbB0gVlqn-q5LMJbGIsqOrzru4yowQz67dz2yc"", ""'MTY'!D3:D139""),0))"),1)</f>
        <v>1</v>
      </c>
      <c r="AB62" s="2"/>
      <c r="AC62" s="2"/>
    </row>
    <row r="63" spans="1:29">
      <c r="A63" s="9" t="s">
        <v>147</v>
      </c>
      <c r="B63" s="9" t="s">
        <v>168</v>
      </c>
      <c r="C63" s="2" t="s">
        <v>30</v>
      </c>
      <c r="D63" s="149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460">
        <v>30000000</v>
      </c>
      <c r="Q63" s="460">
        <v>30000000</v>
      </c>
      <c r="R63" s="4"/>
      <c r="S63" s="4"/>
      <c r="T63" s="4"/>
      <c r="U63" s="4"/>
      <c r="V63" s="4"/>
      <c r="W63" s="4"/>
      <c r="X63" s="459">
        <v>30039625.010000002</v>
      </c>
      <c r="Y63" s="12">
        <f ca="1">IFERROR(__xludf.DUMMYFUNCTION("INDEX(IMPORTRANGE(""1y0FWgjbB0gVlqn-q5LMJbGIsqOrzru4yowQz67dz2yc"", ""'MTY'!BG3:BG139""),MATCH($D63,IMPORTRANGE(""1y0FWgjbB0gVlqn-q5LMJbGIsqOrzru4yowQz67dz2yc"", ""'MTY'!D3:D139""),0))"),30066345.54)</f>
        <v>30066345.539999999</v>
      </c>
      <c r="Z63" s="12">
        <f ca="1">IFERROR(__xludf.DUMMYFUNCTION("INDEX(IMPORTRANGE(""1y0FWgjbB0gVlqn-q5LMJbGIsqOrzru4yowQz67dz2yc"", ""'MTY'!BH3:BH139""),MATCH($D63,IMPORTRANGE(""1y0FWgjbB0gVlqn-q5LMJbGIsqOrzru4yowQz67dz2yc"", ""'MTY'!D3:D139""),0))"),30104042.39)</f>
        <v>30104042.390000001</v>
      </c>
      <c r="AA63" s="12">
        <f ca="1">IFERROR(__xludf.DUMMYFUNCTION("INDEX(IMPORTRANGE(""1y0FWgjbB0gVlqn-q5LMJbGIsqOrzru4yowQz67dz2yc"", ""'MTY'!BI3:BI139""),MATCH($D63,IMPORTRANGE(""1y0FWgjbB0gVlqn-q5LMJbGIsqOrzru4yowQz67dz2yc"", ""'MTY'!D3:D139""),0))"),30234779.19)</f>
        <v>30234779.190000001</v>
      </c>
      <c r="AB63" s="2"/>
      <c r="AC63" s="2"/>
    </row>
    <row r="64" spans="1:29">
      <c r="A64" s="9" t="s">
        <v>147</v>
      </c>
      <c r="B64" s="9" t="s">
        <v>168</v>
      </c>
      <c r="C64" s="2" t="s">
        <v>30</v>
      </c>
      <c r="D64" s="149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460">
        <v>30000000</v>
      </c>
      <c r="Q64" s="460">
        <v>30000000</v>
      </c>
      <c r="R64" s="4"/>
      <c r="S64" s="4"/>
      <c r="T64" s="4"/>
      <c r="U64" s="4"/>
      <c r="V64" s="4"/>
      <c r="W64" s="4"/>
      <c r="X64" s="459">
        <v>30039625.010000002</v>
      </c>
      <c r="Y64" s="12">
        <f ca="1">IFERROR(__xludf.DUMMYFUNCTION("INDEX(IMPORTRANGE(""1y0FWgjbB0gVlqn-q5LMJbGIsqOrzru4yowQz67dz2yc"", ""'MTY'!BG3:BG139""),MATCH($D64,IMPORTRANGE(""1y0FWgjbB0gVlqn-q5LMJbGIsqOrzru4yowQz67dz2yc"", ""'MTY'!D3:D139""),0))"),30072979.9399999)</f>
        <v>30072979.939999901</v>
      </c>
      <c r="Z64" s="12">
        <f ca="1">IFERROR(__xludf.DUMMYFUNCTION("INDEX(IMPORTRANGE(""1y0FWgjbB0gVlqn-q5LMJbGIsqOrzru4yowQz67dz2yc"", ""'MTY'!BH3:BH139""),MATCH($D64,IMPORTRANGE(""1y0FWgjbB0gVlqn-q5LMJbGIsqOrzru4yowQz67dz2yc"", ""'MTY'!D3:D139""),0))"),30109034.39)</f>
        <v>30109034.390000001</v>
      </c>
      <c r="AA64" s="12">
        <f ca="1">IFERROR(__xludf.DUMMYFUNCTION("INDEX(IMPORTRANGE(""1y0FWgjbB0gVlqn-q5LMJbGIsqOrzru4yowQz67dz2yc"", ""'MTY'!BI3:BI139""),MATCH($D64,IMPORTRANGE(""1y0FWgjbB0gVlqn-q5LMJbGIsqOrzru4yowQz67dz2yc"", ""'MTY'!D3:D139""),0))"),30290613.44)</f>
        <v>30290613.440000001</v>
      </c>
      <c r="AB64" s="2"/>
      <c r="AC64" s="2"/>
    </row>
    <row r="65" spans="1:29">
      <c r="A65" s="9" t="s">
        <v>147</v>
      </c>
      <c r="B65" s="9" t="s">
        <v>168</v>
      </c>
      <c r="C65" s="2" t="s">
        <v>36</v>
      </c>
      <c r="D65" s="149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322">
        <f t="shared" ref="P65:Q65" si="14">P63/P64</f>
        <v>1</v>
      </c>
      <c r="Q65" s="322">
        <f t="shared" si="14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322">
        <f>X63/X64</f>
        <v>1</v>
      </c>
      <c r="Y65" s="15">
        <f ca="1">IFERROR(__xludf.DUMMYFUNCTION("INDEX(IMPORTRANGE(""1y0FWgjbB0gVlqn-q5LMJbGIsqOrzru4yowQz67dz2yc"", ""'MTY'!BG3:BG139""),MATCH($D65,IMPORTRANGE(""1y0FWgjbB0gVlqn-q5LMJbGIsqOrzru4yowQz67dz2yc"", ""'MTY'!D3:D139""),0))"),0.999779390003477)</f>
        <v>0.99977939000347704</v>
      </c>
      <c r="Z65" s="15">
        <f ca="1">IFERROR(__xludf.DUMMYFUNCTION("INDEX(IMPORTRANGE(""1y0FWgjbB0gVlqn-q5LMJbGIsqOrzru4yowQz67dz2yc"", ""'MTY'!BH3:BH139""),MATCH($D65,IMPORTRANGE(""1y0FWgjbB0gVlqn-q5LMJbGIsqOrzru4yowQz67dz2yc"", ""'MTY'!D3:D139""),0))"),0.999834202587325)</f>
        <v>0.99983420258732503</v>
      </c>
      <c r="AA65" s="15">
        <f ca="1">IFERROR(__xludf.DUMMYFUNCTION("INDEX(IMPORTRANGE(""1y0FWgjbB0gVlqn-q5LMJbGIsqOrzru4yowQz67dz2yc"", ""'MTY'!BI3:BI139""),MATCH($D65,IMPORTRANGE(""1y0FWgjbB0gVlqn-q5LMJbGIsqOrzru4yowQz67dz2yc"", ""'MTY'!D3:D139""),0))"),0.998156714451802)</f>
        <v>0.99815671445180199</v>
      </c>
      <c r="AB65" s="2"/>
      <c r="AC65" s="2"/>
    </row>
    <row r="66" spans="1:29">
      <c r="A66" s="9" t="s">
        <v>147</v>
      </c>
      <c r="B66" s="9" t="s">
        <v>168</v>
      </c>
      <c r="C66" s="2" t="s">
        <v>30</v>
      </c>
      <c r="D66" s="149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461">
        <v>158559.6</v>
      </c>
      <c r="Q66" s="461">
        <v>158559.6</v>
      </c>
      <c r="R66" s="4"/>
      <c r="S66" s="4"/>
      <c r="T66" s="4"/>
      <c r="U66" s="4"/>
      <c r="V66" s="4"/>
      <c r="W66" s="4"/>
      <c r="X66" s="459">
        <v>159323.70000000001</v>
      </c>
      <c r="Y66" s="12">
        <f ca="1">IFERROR(__xludf.DUMMYFUNCTION("INDEX(IMPORTRANGE(""1y0FWgjbB0gVlqn-q5LMJbGIsqOrzru4yowQz67dz2yc"", ""'MTY'!BG3:BG139""),MATCH($D66,IMPORTRANGE(""1y0FWgjbB0gVlqn-q5LMJbGIsqOrzru4yowQz67dz2yc"", ""'MTY'!D3:D139""),0))"),159617.25)</f>
        <v>159617.25</v>
      </c>
      <c r="Z66" s="12">
        <f ca="1">IFERROR(__xludf.DUMMYFUNCTION("INDEX(IMPORTRANGE(""1y0FWgjbB0gVlqn-q5LMJbGIsqOrzru4yowQz67dz2yc"", ""'MTY'!BH3:BH139""),MATCH($D66,IMPORTRANGE(""1y0FWgjbB0gVlqn-q5LMJbGIsqOrzru4yowQz67dz2yc"", ""'MTY'!D3:D139""),0))"),159737.25)</f>
        <v>159737.25</v>
      </c>
      <c r="AA66" s="12">
        <f ca="1">IFERROR(__xludf.DUMMYFUNCTION("INDEX(IMPORTRANGE(""1y0FWgjbB0gVlqn-q5LMJbGIsqOrzru4yowQz67dz2yc"", ""'MTY'!BI3:BI139""),MATCH($D66,IMPORTRANGE(""1y0FWgjbB0gVlqn-q5LMJbGIsqOrzru4yowQz67dz2yc"", ""'MTY'!D3:D139""),0))"),159777.25)</f>
        <v>159777.25</v>
      </c>
      <c r="AB66" s="2"/>
      <c r="AC66" s="2"/>
    </row>
    <row r="67" spans="1:29">
      <c r="A67" s="9" t="s">
        <v>147</v>
      </c>
      <c r="B67" s="9" t="s">
        <v>168</v>
      </c>
      <c r="C67" s="2" t="s">
        <v>30</v>
      </c>
      <c r="D67" s="149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461">
        <v>158605.20000000001</v>
      </c>
      <c r="Q67" s="461">
        <v>158605.20000000001</v>
      </c>
      <c r="R67" s="4"/>
      <c r="S67" s="4"/>
      <c r="T67" s="4"/>
      <c r="U67" s="4"/>
      <c r="V67" s="4"/>
      <c r="W67" s="4"/>
      <c r="X67" s="459">
        <v>159323.70000000001</v>
      </c>
      <c r="Y67" s="12">
        <f ca="1">IFERROR(__xludf.DUMMYFUNCTION("INDEX(IMPORTRANGE(""1y0FWgjbB0gVlqn-q5LMJbGIsqOrzru4yowQz67dz2yc"", ""'MTY'!BG3:BG139""),MATCH($D67,IMPORTRANGE(""1y0FWgjbB0gVlqn-q5LMJbGIsqOrzru4yowQz67dz2yc"", ""'MTY'!D3:D139""),0))"),159586.25)</f>
        <v>159586.25</v>
      </c>
      <c r="Z67" s="12">
        <f ca="1">IFERROR(__xludf.DUMMYFUNCTION("INDEX(IMPORTRANGE(""1y0FWgjbB0gVlqn-q5LMJbGIsqOrzru4yowQz67dz2yc"", ""'MTY'!BH3:BH139""),MATCH($D67,IMPORTRANGE(""1y0FWgjbB0gVlqn-q5LMJbGIsqOrzru4yowQz67dz2yc"", ""'MTY'!D3:D139""),0))"),159737.25)</f>
        <v>159737.25</v>
      </c>
      <c r="AA67" s="12">
        <f ca="1">IFERROR(__xludf.DUMMYFUNCTION("INDEX(IMPORTRANGE(""1y0FWgjbB0gVlqn-q5LMJbGIsqOrzru4yowQz67dz2yc"", ""'MTY'!BI3:BI139""),MATCH($D67,IMPORTRANGE(""1y0FWgjbB0gVlqn-q5LMJbGIsqOrzru4yowQz67dz2yc"", ""'MTY'!D3:D139""),0))"),160459.25)</f>
        <v>160459.25</v>
      </c>
      <c r="AB67" s="2"/>
      <c r="AC67" s="2"/>
    </row>
    <row r="68" spans="1:29">
      <c r="A68" s="9" t="s">
        <v>147</v>
      </c>
      <c r="B68" s="9" t="s">
        <v>168</v>
      </c>
      <c r="C68" s="2" t="s">
        <v>36</v>
      </c>
      <c r="D68" s="149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462">
        <f t="shared" ref="P68:Q68" si="15">P66/P67</f>
        <v>0.99971249366351167</v>
      </c>
      <c r="Q68" s="462">
        <f t="shared" si="15"/>
        <v>0.99971249366351167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462">
        <f>X66/X67</f>
        <v>1</v>
      </c>
      <c r="Y68" s="19">
        <f ca="1">IFERROR(__xludf.DUMMYFUNCTION("INDEX(IMPORTRANGE(""1y0FWgjbB0gVlqn-q5LMJbGIsqOrzru4yowQz67dz2yc"", ""'MTY'!BG3:BG139""),MATCH($D68,IMPORTRANGE(""1y0FWgjbB0gVlqn-q5LMJbGIsqOrzru4yowQz67dz2yc"", ""'MTY'!D3:D139""),0))"),1.00019425232437)</f>
        <v>1.0001942523243701</v>
      </c>
      <c r="Z68" s="15">
        <f ca="1">IFERROR(__xludf.DUMMYFUNCTION("INDEX(IMPORTRANGE(""1y0FWgjbB0gVlqn-q5LMJbGIsqOrzru4yowQz67dz2yc"", ""'MTY'!BH3:BH139""),MATCH($D68,IMPORTRANGE(""1y0FWgjbB0gVlqn-q5LMJbGIsqOrzru4yowQz67dz2yc"", ""'MTY'!D3:D139""),0))"),1)</f>
        <v>1</v>
      </c>
      <c r="AA68" s="15">
        <f ca="1">IFERROR(__xludf.DUMMYFUNCTION("INDEX(IMPORTRANGE(""1y0FWgjbB0gVlqn-q5LMJbGIsqOrzru4yowQz67dz2yc"", ""'MTY'!BI3:BI139""),MATCH($D68,IMPORTRANGE(""1y0FWgjbB0gVlqn-q5LMJbGIsqOrzru4yowQz67dz2yc"", ""'MTY'!D3:D139""),0))"),0.995749699690108)</f>
        <v>0.99574969969010796</v>
      </c>
      <c r="AB68" s="2"/>
      <c r="AC68" s="2"/>
    </row>
    <row r="69" spans="1:29">
      <c r="A69" s="9" t="s">
        <v>147</v>
      </c>
      <c r="B69" s="9" t="s">
        <v>168</v>
      </c>
      <c r="C69" s="2" t="s">
        <v>30</v>
      </c>
      <c r="D69" s="149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0</v>
      </c>
      <c r="Q69" s="23">
        <v>4.8600000000000003</v>
      </c>
      <c r="R69" s="2">
        <v>28.8</v>
      </c>
      <c r="S69" s="24">
        <v>13</v>
      </c>
      <c r="T69" s="2">
        <v>34.299999999999997</v>
      </c>
      <c r="U69" s="2">
        <v>13</v>
      </c>
      <c r="V69" s="2">
        <v>34.4</v>
      </c>
      <c r="W69" s="2">
        <v>97.5</v>
      </c>
      <c r="X69" s="24">
        <v>22.32</v>
      </c>
      <c r="Y69" s="23">
        <f ca="1">IFERROR(__xludf.DUMMYFUNCTION("INDEX(IMPORTRANGE(""1y0FWgjbB0gVlqn-q5LMJbGIsqOrzru4yowQz67dz2yc"", ""'MTY'!BG3:BG139""),MATCH($D69,IMPORTRANGE(""1y0FWgjbB0gVlqn-q5LMJbGIsqOrzru4yowQz67dz2yc"", ""'MTY'!D3:D139""),0))"),39.18)</f>
        <v>39.18</v>
      </c>
      <c r="Z69" s="23">
        <f ca="1">IFERROR(__xludf.DUMMYFUNCTION("INDEX(IMPORTRANGE(""1y0FWgjbB0gVlqn-q5LMJbGIsqOrzru4yowQz67dz2yc"", ""'MTY'!BH3:BH139""),MATCH($D69,IMPORTRANGE(""1y0FWgjbB0gVlqn-q5LMJbGIsqOrzru4yowQz67dz2yc"", ""'MTY'!D3:D139""),0))"),15.19)</f>
        <v>15.19</v>
      </c>
      <c r="AA69" s="23">
        <f ca="1">IFERROR(__xludf.DUMMYFUNCTION("INDEX(IMPORTRANGE(""1y0FWgjbB0gVlqn-q5LMJbGIsqOrzru4yowQz67dz2yc"", ""'MTY'!BI3:BI139""),MATCH($D69,IMPORTRANGE(""1y0FWgjbB0gVlqn-q5LMJbGIsqOrzru4yowQz67dz2yc"", ""'MTY'!D3:D139""),0))"),29.306)</f>
        <v>29.306000000000001</v>
      </c>
      <c r="AB69" s="2"/>
      <c r="AC69" s="2"/>
    </row>
    <row r="70" spans="1:29">
      <c r="A70" s="9" t="s">
        <v>147</v>
      </c>
      <c r="B70" s="9" t="s">
        <v>168</v>
      </c>
      <c r="C70" s="2" t="s">
        <v>30</v>
      </c>
      <c r="D70" s="149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4.5580000000000002E-2</v>
      </c>
      <c r="R70" s="2">
        <v>0.64</v>
      </c>
      <c r="S70" s="2">
        <v>0.15</v>
      </c>
      <c r="T70" s="2">
        <v>0.41</v>
      </c>
      <c r="U70" s="2">
        <v>0.2</v>
      </c>
      <c r="V70" s="2">
        <v>0.5</v>
      </c>
      <c r="W70" s="2">
        <v>1.55</v>
      </c>
      <c r="X70" s="23">
        <v>0.76</v>
      </c>
      <c r="Y70" s="23">
        <f ca="1">IFERROR(__xludf.DUMMYFUNCTION("INDEX(IMPORTRANGE(""1y0FWgjbB0gVlqn-q5LMJbGIsqOrzru4yowQz67dz2yc"", ""'MTY'!BG3:BG139""),MATCH($D70,IMPORTRANGE(""1y0FWgjbB0gVlqn-q5LMJbGIsqOrzru4yowQz67dz2yc"", ""'MTY'!D3:D139""),0))"),1.69581)</f>
        <v>1.69581</v>
      </c>
      <c r="Z70" s="23">
        <f ca="1">IFERROR(__xludf.DUMMYFUNCTION("INDEX(IMPORTRANGE(""1y0FWgjbB0gVlqn-q5LMJbGIsqOrzru4yowQz67dz2yc"", ""'MTY'!BH3:BH139""),MATCH($D70,IMPORTRANGE(""1y0FWgjbB0gVlqn-q5LMJbGIsqOrzru4yowQz67dz2yc"", ""'MTY'!D3:D139""),0))"),0.0985)</f>
        <v>9.8500000000000004E-2</v>
      </c>
      <c r="AA70" s="23">
        <f ca="1">IFERROR(__xludf.DUMMYFUNCTION("INDEX(IMPORTRANGE(""1y0FWgjbB0gVlqn-q5LMJbGIsqOrzru4yowQz67dz2yc"", ""'MTY'!BI3:BI139""),MATCH($D70,IMPORTRANGE(""1y0FWgjbB0gVlqn-q5LMJbGIsqOrzru4yowQz67dz2yc"", ""'MTY'!D3:D139""),0))"),0.2085)</f>
        <v>0.20849999999999999</v>
      </c>
      <c r="AB70" s="2"/>
      <c r="AC70" s="2"/>
    </row>
    <row r="71" spans="1:29">
      <c r="A71" s="9" t="s">
        <v>147</v>
      </c>
      <c r="B71" s="9" t="s">
        <v>168</v>
      </c>
      <c r="C71" s="2" t="s">
        <v>30</v>
      </c>
      <c r="D71" s="149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">
        <v>0</v>
      </c>
      <c r="Q71" s="2">
        <v>0</v>
      </c>
      <c r="R71" s="4"/>
      <c r="S71" s="4"/>
      <c r="T71" s="4"/>
      <c r="U71" s="4"/>
      <c r="V71" s="4"/>
      <c r="W71" s="4"/>
      <c r="X71" s="2">
        <v>0</v>
      </c>
      <c r="Y71" s="475" t="str">
        <f ca="1">IFERROR(__xludf.DUMMYFUNCTION("INDEX(IMPORTRANGE(""1y0FWgjbB0gVlqn-q5LMJbGIsqOrzru4yowQz67dz2yc"", ""'MTY'!BG3:BG139""),MATCH($D71,IMPORTRANGE(""1y0FWgjbB0gVlqn-q5LMJbGIsqOrzru4yowQz67dz2yc"", ""'MTY'!D3:D139""),0))"),"")</f>
        <v/>
      </c>
      <c r="Z71" s="475" t="str">
        <f ca="1">IFERROR(__xludf.DUMMYFUNCTION("INDEX(IMPORTRANGE(""1y0FWgjbB0gVlqn-q5LMJbGIsqOrzru4yowQz67dz2yc"", ""'MTY'!BH3:BH139""),MATCH($D71,IMPORTRANGE(""1y0FWgjbB0gVlqn-q5LMJbGIsqOrzru4yowQz67dz2yc"", ""'MTY'!D3:D139""),0))"),"")</f>
        <v/>
      </c>
      <c r="AA71" s="475" t="str">
        <f ca="1">IFERROR(__xludf.DUMMYFUNCTION("INDEX(IMPORTRANGE(""1y0FWgjbB0gVlqn-q5LMJbGIsqOrzru4yowQz67dz2yc"", ""'MTY'!BI3:BI139""),MATCH($D71,IMPORTRANGE(""1y0FWgjbB0gVlqn-q5LMJbGIsqOrzru4yowQz67dz2yc"", ""'MTY'!D3:D139""),0))"),"")</f>
        <v/>
      </c>
      <c r="AB71" s="2"/>
      <c r="AC71" s="2"/>
    </row>
    <row r="72" spans="1:29">
      <c r="A72" s="9" t="s">
        <v>147</v>
      </c>
      <c r="B72" s="9" t="s">
        <v>168</v>
      </c>
      <c r="C72" s="2" t="s">
        <v>36</v>
      </c>
      <c r="D72" s="149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X72" si="16">P69+P70</f>
        <v>0</v>
      </c>
      <c r="Q72" s="23">
        <f t="shared" si="16"/>
        <v>4.9055800000000005</v>
      </c>
      <c r="R72" s="4">
        <f t="shared" si="16"/>
        <v>29.44</v>
      </c>
      <c r="S72" s="320">
        <f t="shared" si="16"/>
        <v>13.15</v>
      </c>
      <c r="T72" s="4">
        <f t="shared" si="16"/>
        <v>34.709999999999994</v>
      </c>
      <c r="U72" s="4">
        <f t="shared" si="16"/>
        <v>13.2</v>
      </c>
      <c r="V72" s="4">
        <f t="shared" si="16"/>
        <v>34.9</v>
      </c>
      <c r="W72" s="4">
        <f t="shared" si="16"/>
        <v>99.05</v>
      </c>
      <c r="X72" s="23">
        <f t="shared" si="16"/>
        <v>23.080000000000002</v>
      </c>
      <c r="Y72" s="23">
        <f ca="1">IFERROR(__xludf.DUMMYFUNCTION("INDEX(IMPORTRANGE(""1y0FWgjbB0gVlqn-q5LMJbGIsqOrzru4yowQz67dz2yc"", ""'MTY'!BG3:BG139""),MATCH($D72,IMPORTRANGE(""1y0FWgjbB0gVlqn-q5LMJbGIsqOrzru4yowQz67dz2yc"", ""'MTY'!D3:D139""),0))"),40.87581)</f>
        <v>40.875810000000001</v>
      </c>
      <c r="Z72" s="23">
        <f ca="1">IFERROR(__xludf.DUMMYFUNCTION("INDEX(IMPORTRANGE(""1y0FWgjbB0gVlqn-q5LMJbGIsqOrzru4yowQz67dz2yc"", ""'MTY'!BH3:BH139""),MATCH($D72,IMPORTRANGE(""1y0FWgjbB0gVlqn-q5LMJbGIsqOrzru4yowQz67dz2yc"", ""'MTY'!D3:D139""),0))"),15.2885)</f>
        <v>15.288500000000001</v>
      </c>
      <c r="AA72" s="23">
        <f ca="1">IFERROR(__xludf.DUMMYFUNCTION("INDEX(IMPORTRANGE(""1y0FWgjbB0gVlqn-q5LMJbGIsqOrzru4yowQz67dz2yc"", ""'MTY'!BI3:BI139""),MATCH($D72,IMPORTRANGE(""1y0FWgjbB0gVlqn-q5LMJbGIsqOrzru4yowQz67dz2yc"", ""'MTY'!D3:D139""),0))"),29.5145)</f>
        <v>29.514500000000002</v>
      </c>
      <c r="AB72" s="2"/>
      <c r="AC72" s="2"/>
    </row>
    <row r="73" spans="1:29">
      <c r="A73" s="9" t="s">
        <v>199</v>
      </c>
      <c r="B73" s="9" t="s">
        <v>200</v>
      </c>
      <c r="C73" s="2" t="s">
        <v>36</v>
      </c>
      <c r="D73" s="149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5.12</v>
      </c>
      <c r="Q73" s="23">
        <v>5.12</v>
      </c>
      <c r="R73" s="2">
        <v>7</v>
      </c>
      <c r="S73" s="2">
        <v>9</v>
      </c>
      <c r="T73" s="2">
        <v>11</v>
      </c>
      <c r="U73" s="2">
        <v>13</v>
      </c>
      <c r="V73" s="2">
        <v>15</v>
      </c>
      <c r="W73" s="2">
        <v>15</v>
      </c>
      <c r="X73" s="23">
        <v>5.12</v>
      </c>
      <c r="Y73" s="23">
        <f ca="1">IFERROR(__xludf.DUMMYFUNCTION("INDEX(IMPORTRANGE(""1y0FWgjbB0gVlqn-q5LMJbGIsqOrzru4yowQz67dz2yc"", ""'MTY'!BG3:BG139""),MATCH($D73,IMPORTRANGE(""1y0FWgjbB0gVlqn-q5LMJbGIsqOrzru4yowQz67dz2yc"", ""'MTY'!D3:D139""),0))"),9.59)</f>
        <v>9.59</v>
      </c>
      <c r="Z73" s="23">
        <f ca="1">IFERROR(__xludf.DUMMYFUNCTION("INDEX(IMPORTRANGE(""1y0FWgjbB0gVlqn-q5LMJbGIsqOrzru4yowQz67dz2yc"", ""'MTY'!BH3:BH139""),MATCH($D73,IMPORTRANGE(""1y0FWgjbB0gVlqn-q5LMJbGIsqOrzru4yowQz67dz2yc"", ""'MTY'!D3:D139""),0))"),9.205)</f>
        <v>9.2050000000000001</v>
      </c>
      <c r="AA73" s="23">
        <f ca="1">IFERROR(__xludf.DUMMYFUNCTION("INDEX(IMPORTRANGE(""1y0FWgjbB0gVlqn-q5LMJbGIsqOrzru4yowQz67dz2yc"", ""'MTY'!BI3:BI139""),MATCH($D73,IMPORTRANGE(""1y0FWgjbB0gVlqn-q5LMJbGIsqOrzru4yowQz67dz2yc"", ""'MTY'!D3:D139""),0))"),17.9)</f>
        <v>17.899999999999999</v>
      </c>
      <c r="AB73" s="2"/>
      <c r="AC73" s="2"/>
    </row>
    <row r="74" spans="1:29">
      <c r="A74" s="9" t="s">
        <v>199</v>
      </c>
      <c r="B74" s="9" t="s">
        <v>200</v>
      </c>
      <c r="C74" s="2" t="s">
        <v>30</v>
      </c>
      <c r="D74" s="149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2">
        <v>12135</v>
      </c>
      <c r="S74" s="12">
        <v>4000</v>
      </c>
      <c r="T74" s="12">
        <v>9000</v>
      </c>
      <c r="U74" s="12">
        <v>3000</v>
      </c>
      <c r="V74" s="12">
        <v>6000</v>
      </c>
      <c r="W74" s="12">
        <v>27135</v>
      </c>
      <c r="X74" s="23">
        <v>9971.4699999999993</v>
      </c>
      <c r="Y74" s="23">
        <f ca="1">IFERROR(__xludf.DUMMYFUNCTION("INDEX(IMPORTRANGE(""1y0FWgjbB0gVlqn-q5LMJbGIsqOrzru4yowQz67dz2yc"", ""'MTY'!BG3:BG139""),MATCH($D74,IMPORTRANGE(""1y0FWgjbB0gVlqn-q5LMJbGIsqOrzru4yowQz67dz2yc"", ""'MTY'!D3:D139""),0))"),14313.29)</f>
        <v>14313.29</v>
      </c>
      <c r="Z74" s="23">
        <f ca="1">IFERROR(__xludf.DUMMYFUNCTION("INDEX(IMPORTRANGE(""1y0FWgjbB0gVlqn-q5LMJbGIsqOrzru4yowQz67dz2yc"", ""'MTY'!BH3:BH139""),MATCH($D74,IMPORTRANGE(""1y0FWgjbB0gVlqn-q5LMJbGIsqOrzru4yowQz67dz2yc"", ""'MTY'!D3:D139""),0))"),1518.72)</f>
        <v>1518.72</v>
      </c>
      <c r="AA74" s="23">
        <f ca="1">IFERROR(__xludf.DUMMYFUNCTION("INDEX(IMPORTRANGE(""1y0FWgjbB0gVlqn-q5LMJbGIsqOrzru4yowQz67dz2yc"", ""'MTY'!BI3:BI139""),MATCH($D74,IMPORTRANGE(""1y0FWgjbB0gVlqn-q5LMJbGIsqOrzru4yowQz67dz2yc"", ""'MTY'!D3:D139""),0))"),8151.04)</f>
        <v>8151.04</v>
      </c>
      <c r="AB74" s="2"/>
      <c r="AC74" s="2"/>
    </row>
    <row r="75" spans="1:29">
      <c r="A75" s="9" t="s">
        <v>199</v>
      </c>
      <c r="B75" s="9" t="s">
        <v>200</v>
      </c>
      <c r="C75" s="2" t="s">
        <v>30</v>
      </c>
      <c r="D75" s="149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2">
        <v>440</v>
      </c>
      <c r="S75" s="12">
        <v>200</v>
      </c>
      <c r="T75" s="12">
        <v>440</v>
      </c>
      <c r="U75" s="12">
        <v>200</v>
      </c>
      <c r="V75" s="12">
        <v>445</v>
      </c>
      <c r="W75" s="12">
        <v>1325</v>
      </c>
      <c r="X75" s="23">
        <v>320</v>
      </c>
      <c r="Y75" s="23">
        <f ca="1">IFERROR(__xludf.DUMMYFUNCTION("INDEX(IMPORTRANGE(""1y0FWgjbB0gVlqn-q5LMJbGIsqOrzru4yowQz67dz2yc"", ""'MTY'!BG3:BG139""),MATCH($D75,IMPORTRANGE(""1y0FWgjbB0gVlqn-q5LMJbGIsqOrzru4yowQz67dz2yc"", ""'MTY'!D3:D139""),0))"),2089.33999999999)</f>
        <v>2089.3399999999901</v>
      </c>
      <c r="Z75" s="23">
        <f ca="1">IFERROR(__xludf.DUMMYFUNCTION("INDEX(IMPORTRANGE(""1y0FWgjbB0gVlqn-q5LMJbGIsqOrzru4yowQz67dz2yc"", ""'MTY'!BH3:BH139""),MATCH($D75,IMPORTRANGE(""1y0FWgjbB0gVlqn-q5LMJbGIsqOrzru4yowQz67dz2yc"", ""'MTY'!D3:D139""),0))"),6313.13999999999)</f>
        <v>6313.1399999999903</v>
      </c>
      <c r="AA75" s="23">
        <f ca="1">IFERROR(__xludf.DUMMYFUNCTION("INDEX(IMPORTRANGE(""1y0FWgjbB0gVlqn-q5LMJbGIsqOrzru4yowQz67dz2yc"", ""'MTY'!BI3:BI139""),MATCH($D75,IMPORTRANGE(""1y0FWgjbB0gVlqn-q5LMJbGIsqOrzru4yowQz67dz2yc"", ""'MTY'!D3:D139""),0))"),9622.31)</f>
        <v>9622.31</v>
      </c>
      <c r="AB75" s="2"/>
      <c r="AC75" s="2"/>
    </row>
    <row r="76" spans="1:29">
      <c r="A76" s="9" t="s">
        <v>199</v>
      </c>
      <c r="B76" s="9" t="s">
        <v>200</v>
      </c>
      <c r="C76" s="2" t="s">
        <v>30</v>
      </c>
      <c r="D76" s="149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2">
        <v>8780</v>
      </c>
      <c r="S76" s="12">
        <v>3000</v>
      </c>
      <c r="T76" s="12">
        <v>10000</v>
      </c>
      <c r="U76" s="12">
        <v>2000</v>
      </c>
      <c r="V76" s="12">
        <v>5000</v>
      </c>
      <c r="W76" s="12">
        <v>23780</v>
      </c>
      <c r="X76" s="23">
        <v>8778.8700000000008</v>
      </c>
      <c r="Y76" s="23">
        <f ca="1">IFERROR(__xludf.DUMMYFUNCTION("INDEX(IMPORTRANGE(""1y0FWgjbB0gVlqn-q5LMJbGIsqOrzru4yowQz67dz2yc"", ""'MTY'!BG3:BG139""),MATCH($D76,IMPORTRANGE(""1y0FWgjbB0gVlqn-q5LMJbGIsqOrzru4yowQz67dz2yc"", ""'MTY'!D3:D139""),0))"),10548.2099999999)</f>
        <v>10548.209999999901</v>
      </c>
      <c r="Z76" s="23">
        <f ca="1">IFERROR(__xludf.DUMMYFUNCTION("INDEX(IMPORTRANGE(""1y0FWgjbB0gVlqn-q5LMJbGIsqOrzru4yowQz67dz2yc"", ""'MTY'!BH3:BH139""),MATCH($D76,IMPORTRANGE(""1y0FWgjbB0gVlqn-q5LMJbGIsqOrzru4yowQz67dz2yc"", ""'MTY'!D3:D139""),0))"),5647.13999999999)</f>
        <v>5647.1399999999903</v>
      </c>
      <c r="AA76" s="23">
        <f ca="1">IFERROR(__xludf.DUMMYFUNCTION("INDEX(IMPORTRANGE(""1y0FWgjbB0gVlqn-q5LMJbGIsqOrzru4yowQz67dz2yc"", ""'MTY'!BI3:BI139""),MATCH($D76,IMPORTRANGE(""1y0FWgjbB0gVlqn-q5LMJbGIsqOrzru4yowQz67dz2yc"", ""'MTY'!D3:D139""),0))"),5647.13999999999)</f>
        <v>5647.1399999999903</v>
      </c>
      <c r="AB76" s="2"/>
      <c r="AC76" s="2"/>
    </row>
    <row r="77" spans="1:29">
      <c r="A77" s="9" t="s">
        <v>199</v>
      </c>
      <c r="B77" s="9" t="s">
        <v>200</v>
      </c>
      <c r="C77" s="2" t="s">
        <v>36</v>
      </c>
      <c r="D77" s="149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6">
        <f t="shared" ref="R77:W77" si="17">SUM(R74:R76)</f>
        <v>21355</v>
      </c>
      <c r="S77" s="6">
        <f t="shared" si="17"/>
        <v>7200</v>
      </c>
      <c r="T77" s="6">
        <f t="shared" si="17"/>
        <v>19440</v>
      </c>
      <c r="U77" s="6">
        <f t="shared" si="17"/>
        <v>5200</v>
      </c>
      <c r="V77" s="6">
        <f t="shared" si="17"/>
        <v>11445</v>
      </c>
      <c r="W77" s="6">
        <f t="shared" si="17"/>
        <v>52240</v>
      </c>
      <c r="X77" s="23">
        <f>X74+X75+X76</f>
        <v>19070.34</v>
      </c>
      <c r="Y77" s="23">
        <f ca="1">IFERROR(__xludf.DUMMYFUNCTION("INDEX(IMPORTRANGE(""1y0FWgjbB0gVlqn-q5LMJbGIsqOrzru4yowQz67dz2yc"", ""'MTY'!BG3:BG139""),MATCH($D77,IMPORTRANGE(""1y0FWgjbB0gVlqn-q5LMJbGIsqOrzru4yowQz67dz2yc"", ""'MTY'!D3:D139""),0))"),26950.8399999999)</f>
        <v>26950.839999999898</v>
      </c>
      <c r="Z77" s="23">
        <f ca="1">IFERROR(__xludf.DUMMYFUNCTION("INDEX(IMPORTRANGE(""1y0FWgjbB0gVlqn-q5LMJbGIsqOrzru4yowQz67dz2yc"", ""'MTY'!BH3:BH139""),MATCH($D77,IMPORTRANGE(""1y0FWgjbB0gVlqn-q5LMJbGIsqOrzru4yowQz67dz2yc"", ""'MTY'!D3:D139""),0))"),13479)</f>
        <v>13479</v>
      </c>
      <c r="AA77" s="23">
        <f ca="1">IFERROR(__xludf.DUMMYFUNCTION("INDEX(IMPORTRANGE(""1y0FWgjbB0gVlqn-q5LMJbGIsqOrzru4yowQz67dz2yc"", ""'MTY'!BI3:BI139""),MATCH($D77,IMPORTRANGE(""1y0FWgjbB0gVlqn-q5LMJbGIsqOrzru4yowQz67dz2yc"", ""'MTY'!D3:D139""),0))"),23420.4899999999)</f>
        <v>23420.4899999999</v>
      </c>
      <c r="AB77" s="2"/>
      <c r="AC77" s="2"/>
    </row>
    <row r="78" spans="1:29">
      <c r="A78" s="9" t="s">
        <v>199</v>
      </c>
      <c r="B78" s="9" t="s">
        <v>200</v>
      </c>
      <c r="C78" s="2" t="s">
        <v>30</v>
      </c>
      <c r="D78" s="149" t="s">
        <v>211</v>
      </c>
      <c r="E78" s="9" t="s">
        <v>38</v>
      </c>
      <c r="F78" s="9" t="s">
        <v>212</v>
      </c>
      <c r="G78" s="9" t="s">
        <v>213</v>
      </c>
      <c r="H78" s="2" t="s">
        <v>214</v>
      </c>
      <c r="I78" s="9" t="s">
        <v>215</v>
      </c>
      <c r="J78" s="4"/>
      <c r="K78" s="9" t="s">
        <v>216</v>
      </c>
      <c r="L78" s="4"/>
      <c r="M78" s="9" t="s">
        <v>217</v>
      </c>
      <c r="N78" s="2" t="s">
        <v>218</v>
      </c>
      <c r="O78" s="2" t="s">
        <v>218</v>
      </c>
      <c r="P78" s="36">
        <v>405781762.76999998</v>
      </c>
      <c r="Q78" s="50">
        <v>405781762.76999998</v>
      </c>
      <c r="R78" s="178"/>
      <c r="S78" s="178"/>
      <c r="T78" s="178"/>
      <c r="U78" s="178"/>
      <c r="V78" s="178"/>
      <c r="W78" s="178"/>
      <c r="X78" s="50">
        <v>405781762.76999998</v>
      </c>
      <c r="Y78" s="476" t="str">
        <f ca="1">IFERROR(__xludf.DUMMYFUNCTION("INDEX(IMPORTRANGE(""1y0FWgjbB0gVlqn-q5LMJbGIsqOrzru4yowQz67dz2yc"", ""'MTY'!BG3:BG139""),MATCH($D78,IMPORTRANGE(""1y0FWgjbB0gVlqn-q5LMJbGIsqOrzru4yowQz67dz2yc"", ""'MTY'!D3:D139""),0))"),"")</f>
        <v/>
      </c>
      <c r="Z78" s="50">
        <f ca="1">IFERROR(__xludf.DUMMYFUNCTION("INDEX(IMPORTRANGE(""1y0FWgjbB0gVlqn-q5LMJbGIsqOrzru4yowQz67dz2yc"", ""'MTY'!BH3:BH139""),MATCH($D78,IMPORTRANGE(""1y0FWgjbB0gVlqn-q5LMJbGIsqOrzru4yowQz67dz2yc"", ""'MTY'!D3:D139""),0))"),184765477.29)</f>
        <v>184765477.28999999</v>
      </c>
      <c r="AA78" s="476" t="str">
        <f ca="1">IFERROR(__xludf.DUMMYFUNCTION("INDEX(IMPORTRANGE(""1y0FWgjbB0gVlqn-q5LMJbGIsqOrzru4yowQz67dz2yc"", ""'MTY'!BI3:BI139""),MATCH($D78,IMPORTRANGE(""1y0FWgjbB0gVlqn-q5LMJbGIsqOrzru4yowQz67dz2yc"", ""'MTY'!D3:D139""),0))"),"")</f>
        <v/>
      </c>
      <c r="AB78" s="2"/>
      <c r="AC78" s="2"/>
    </row>
    <row r="79" spans="1:29">
      <c r="A79" s="9" t="s">
        <v>199</v>
      </c>
      <c r="B79" s="9" t="s">
        <v>200</v>
      </c>
      <c r="C79" s="2" t="s">
        <v>30</v>
      </c>
      <c r="D79" s="149" t="s">
        <v>219</v>
      </c>
      <c r="E79" s="9" t="s">
        <v>38</v>
      </c>
      <c r="F79" s="9" t="s">
        <v>220</v>
      </c>
      <c r="G79" s="9" t="s">
        <v>213</v>
      </c>
      <c r="H79" s="2" t="s">
        <v>214</v>
      </c>
      <c r="I79" s="9" t="s">
        <v>215</v>
      </c>
      <c r="J79" s="4"/>
      <c r="K79" s="9" t="s">
        <v>216</v>
      </c>
      <c r="L79" s="4"/>
      <c r="M79" s="9" t="s">
        <v>217</v>
      </c>
      <c r="N79" s="2" t="s">
        <v>218</v>
      </c>
      <c r="O79" s="2" t="s">
        <v>218</v>
      </c>
      <c r="P79" s="36">
        <v>45709853.130000003</v>
      </c>
      <c r="Q79" s="50">
        <v>45709853.130000003</v>
      </c>
      <c r="R79" s="178"/>
      <c r="S79" s="178"/>
      <c r="T79" s="178"/>
      <c r="U79" s="178"/>
      <c r="V79" s="178"/>
      <c r="W79" s="178"/>
      <c r="X79" s="50">
        <v>45709853.130000003</v>
      </c>
      <c r="Y79" s="476" t="str">
        <f ca="1">IFERROR(__xludf.DUMMYFUNCTION("INDEX(IMPORTRANGE(""1y0FWgjbB0gVlqn-q5LMJbGIsqOrzru4yowQz67dz2yc"", ""'MTY'!BG3:BG139""),MATCH($D79,IMPORTRANGE(""1y0FWgjbB0gVlqn-q5LMJbGIsqOrzru4yowQz67dz2yc"", ""'MTY'!D3:D139""),0))"),"")</f>
        <v/>
      </c>
      <c r="Z79" s="50">
        <f ca="1">IFERROR(__xludf.DUMMYFUNCTION("INDEX(IMPORTRANGE(""1y0FWgjbB0gVlqn-q5LMJbGIsqOrzru4yowQz67dz2yc"", ""'MTY'!BH3:BH139""),MATCH($D79,IMPORTRANGE(""1y0FWgjbB0gVlqn-q5LMJbGIsqOrzru4yowQz67dz2yc"", ""'MTY'!D3:D139""),0))"),48730397.06)</f>
        <v>48730397.060000002</v>
      </c>
      <c r="AA79" s="476" t="str">
        <f ca="1">IFERROR(__xludf.DUMMYFUNCTION("INDEX(IMPORTRANGE(""1y0FWgjbB0gVlqn-q5LMJbGIsqOrzru4yowQz67dz2yc"", ""'MTY'!BI3:BI139""),MATCH($D79,IMPORTRANGE(""1y0FWgjbB0gVlqn-q5LMJbGIsqOrzru4yowQz67dz2yc"", ""'MTY'!D3:D139""),0))"),"")</f>
        <v/>
      </c>
      <c r="AB79" s="2"/>
      <c r="AC79" s="2"/>
    </row>
    <row r="80" spans="1:29">
      <c r="A80" s="9" t="s">
        <v>199</v>
      </c>
      <c r="B80" s="9" t="s">
        <v>200</v>
      </c>
      <c r="C80" s="2" t="s">
        <v>36</v>
      </c>
      <c r="D80" s="149" t="s">
        <v>221</v>
      </c>
      <c r="E80" s="9" t="s">
        <v>38</v>
      </c>
      <c r="F80" s="9" t="s">
        <v>222</v>
      </c>
      <c r="G80" s="9" t="s">
        <v>213</v>
      </c>
      <c r="H80" s="2" t="s">
        <v>214</v>
      </c>
      <c r="I80" s="9" t="s">
        <v>215</v>
      </c>
      <c r="J80" s="4"/>
      <c r="K80" s="9" t="s">
        <v>216</v>
      </c>
      <c r="L80" s="4"/>
      <c r="M80" s="9" t="s">
        <v>217</v>
      </c>
      <c r="N80" s="2" t="s">
        <v>218</v>
      </c>
      <c r="O80" s="2" t="s">
        <v>218</v>
      </c>
      <c r="P80" s="15">
        <f t="shared" ref="P80:Q80" si="18">P79/P78</f>
        <v>0.1126463959788865</v>
      </c>
      <c r="Q80" s="15">
        <f t="shared" si="18"/>
        <v>0.1126463959788865</v>
      </c>
      <c r="R80" s="26"/>
      <c r="S80" s="26">
        <v>0.19</v>
      </c>
      <c r="T80" s="469"/>
      <c r="U80" s="26">
        <v>0.14000000000000001</v>
      </c>
      <c r="V80" s="26">
        <v>0.1</v>
      </c>
      <c r="W80" s="26">
        <v>0.1</v>
      </c>
      <c r="X80" s="15">
        <f>X79/X78</f>
        <v>0.1126463959788865</v>
      </c>
      <c r="Y80" s="476" t="str">
        <f ca="1">IFERROR(__xludf.DUMMYFUNCTION("INDEX(IMPORTRANGE(""1y0FWgjbB0gVlqn-q5LMJbGIsqOrzru4yowQz67dz2yc"", ""'MTY'!BG3:BG139""),MATCH($D80,IMPORTRANGE(""1y0FWgjbB0gVlqn-q5LMJbGIsqOrzru4yowQz67dz2yc"", ""'MTY'!D3:D139""),0))"),"")</f>
        <v/>
      </c>
      <c r="Z80" s="15">
        <f ca="1">IFERROR(__xludf.DUMMYFUNCTION("INDEX(IMPORTRANGE(""1y0FWgjbB0gVlqn-q5LMJbGIsqOrzru4yowQz67dz2yc"", ""'MTY'!BH3:BH139""),MATCH($D80,IMPORTRANGE(""1y0FWgjbB0gVlqn-q5LMJbGIsqOrzru4yowQz67dz2yc"", ""'MTY'!D3:D139""),0))"),0.263741894723735)</f>
        <v>0.26374189472373499</v>
      </c>
      <c r="AA80" s="476" t="str">
        <f ca="1">IFERROR(__xludf.DUMMYFUNCTION("INDEX(IMPORTRANGE(""1y0FWgjbB0gVlqn-q5LMJbGIsqOrzru4yowQz67dz2yc"", ""'MTY'!BI3:BI139""),MATCH($D80,IMPORTRANGE(""1y0FWgjbB0gVlqn-q5LMJbGIsqOrzru4yowQz67dz2yc"", ""'MTY'!D3:D139""),0))"),"")</f>
        <v/>
      </c>
      <c r="AB80" s="2"/>
      <c r="AC80" s="2"/>
    </row>
    <row r="81" spans="1:29">
      <c r="A81" s="9" t="s">
        <v>199</v>
      </c>
      <c r="B81" s="9" t="s">
        <v>200</v>
      </c>
      <c r="C81" s="2" t="s">
        <v>30</v>
      </c>
      <c r="D81" s="149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2">
        <v>0</v>
      </c>
      <c r="R81" s="2">
        <v>50</v>
      </c>
      <c r="S81" s="2">
        <v>10</v>
      </c>
      <c r="T81" s="2">
        <v>25</v>
      </c>
      <c r="U81" s="2">
        <v>10</v>
      </c>
      <c r="V81" s="2">
        <v>25</v>
      </c>
      <c r="W81" s="2">
        <v>100</v>
      </c>
      <c r="X81" s="2">
        <v>0</v>
      </c>
      <c r="Y81" s="12">
        <f ca="1">IFERROR(__xludf.DUMMYFUNCTION("INDEX(IMPORTRANGE(""1y0FWgjbB0gVlqn-q5LMJbGIsqOrzru4yowQz67dz2yc"", ""'MTY'!BG3:BG139""),MATCH($D81,IMPORTRANGE(""1y0FWgjbB0gVlqn-q5LMJbGIsqOrzru4yowQz67dz2yc"", ""'MTY'!D3:D139""),0))"),42)</f>
        <v>42</v>
      </c>
      <c r="Z81" s="12">
        <f ca="1">IFERROR(__xludf.DUMMYFUNCTION("INDEX(IMPORTRANGE(""1y0FWgjbB0gVlqn-q5LMJbGIsqOrzru4yowQz67dz2yc"", ""'MTY'!BH3:BH139""),MATCH($D81,IMPORTRANGE(""1y0FWgjbB0gVlqn-q5LMJbGIsqOrzru4yowQz67dz2yc"", ""'MTY'!D3:D139""),0))"),46)</f>
        <v>46</v>
      </c>
      <c r="AA81" s="12">
        <f ca="1">IFERROR(__xludf.DUMMYFUNCTION("INDEX(IMPORTRANGE(""1y0FWgjbB0gVlqn-q5LMJbGIsqOrzru4yowQz67dz2yc"", ""'MTY'!BI3:BI139""),MATCH($D81,IMPORTRANGE(""1y0FWgjbB0gVlqn-q5LMJbGIsqOrzru4yowQz67dz2yc"", ""'MTY'!D3:D139""),0))"),122)</f>
        <v>122</v>
      </c>
      <c r="AB81" s="2"/>
      <c r="AC81" s="2"/>
    </row>
    <row r="82" spans="1:29">
      <c r="A82" s="9" t="s">
        <v>199</v>
      </c>
      <c r="B82" s="9" t="s">
        <v>200</v>
      </c>
      <c r="C82" s="2" t="s">
        <v>30</v>
      </c>
      <c r="D82" s="149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12">
        <f ca="1">IFERROR(__xludf.DUMMYFUNCTION("INDEX(IMPORTRANGE(""1y0FWgjbB0gVlqn-q5LMJbGIsqOrzru4yowQz67dz2yc"", ""'MTY'!BG3:BG139""),MATCH($D82,IMPORTRANGE(""1y0FWgjbB0gVlqn-q5LMJbGIsqOrzru4yowQz67dz2yc"", ""'MTY'!D3:D139""),0))"),0)</f>
        <v>0</v>
      </c>
      <c r="Z82" s="12">
        <f ca="1">IFERROR(__xludf.DUMMYFUNCTION("INDEX(IMPORTRANGE(""1y0FWgjbB0gVlqn-q5LMJbGIsqOrzru4yowQz67dz2yc"", ""'MTY'!BH3:BH139""),MATCH($D82,IMPORTRANGE(""1y0FWgjbB0gVlqn-q5LMJbGIsqOrzru4yowQz67dz2yc"", ""'MTY'!D3:D139""),0))"),0)</f>
        <v>0</v>
      </c>
      <c r="AA82" s="12">
        <f ca="1">IFERROR(__xludf.DUMMYFUNCTION("INDEX(IMPORTRANGE(""1y0FWgjbB0gVlqn-q5LMJbGIsqOrzru4yowQz67dz2yc"", ""'MTY'!BI3:BI139""),MATCH($D82,IMPORTRANGE(""1y0FWgjbB0gVlqn-q5LMJbGIsqOrzru4yowQz67dz2yc"", ""'MTY'!D3:D139""),0))"),0)</f>
        <v>0</v>
      </c>
      <c r="AB82" s="2"/>
      <c r="AC82" s="2"/>
    </row>
    <row r="83" spans="1:29">
      <c r="A83" s="9" t="s">
        <v>199</v>
      </c>
      <c r="B83" s="9" t="s">
        <v>200</v>
      </c>
      <c r="C83" s="2" t="s">
        <v>36</v>
      </c>
      <c r="D83" s="149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23">
        <f t="shared" ref="P83:Q83" si="19">P81+P82</f>
        <v>0</v>
      </c>
      <c r="Q83" s="23">
        <f t="shared" si="19"/>
        <v>0</v>
      </c>
      <c r="R83" s="6">
        <f t="shared" ref="R83:W83" si="20">SUM(R81:R82)</f>
        <v>50</v>
      </c>
      <c r="S83" s="6">
        <f t="shared" si="20"/>
        <v>10</v>
      </c>
      <c r="T83" s="6">
        <f t="shared" si="20"/>
        <v>25</v>
      </c>
      <c r="U83" s="6">
        <f t="shared" si="20"/>
        <v>10</v>
      </c>
      <c r="V83" s="6">
        <f t="shared" si="20"/>
        <v>25</v>
      </c>
      <c r="W83" s="6">
        <f t="shared" si="20"/>
        <v>100</v>
      </c>
      <c r="X83" s="23">
        <f>X81+X82</f>
        <v>0</v>
      </c>
      <c r="Y83" s="12">
        <f ca="1">IFERROR(__xludf.DUMMYFUNCTION("INDEX(IMPORTRANGE(""1y0FWgjbB0gVlqn-q5LMJbGIsqOrzru4yowQz67dz2yc"", ""'MTY'!BG3:BG139""),MATCH($D83,IMPORTRANGE(""1y0FWgjbB0gVlqn-q5LMJbGIsqOrzru4yowQz67dz2yc"", ""'MTY'!D3:D139""),0))"),42)</f>
        <v>42</v>
      </c>
      <c r="Z83" s="12">
        <f ca="1">IFERROR(__xludf.DUMMYFUNCTION("INDEX(IMPORTRANGE(""1y0FWgjbB0gVlqn-q5LMJbGIsqOrzru4yowQz67dz2yc"", ""'MTY'!BH3:BH139""),MATCH($D83,IMPORTRANGE(""1y0FWgjbB0gVlqn-q5LMJbGIsqOrzru4yowQz67dz2yc"", ""'MTY'!D3:D139""),0))"),46)</f>
        <v>46</v>
      </c>
      <c r="AA83" s="12">
        <f ca="1">IFERROR(__xludf.DUMMYFUNCTION("INDEX(IMPORTRANGE(""1y0FWgjbB0gVlqn-q5LMJbGIsqOrzru4yowQz67dz2yc"", ""'MTY'!BI3:BI139""),MATCH($D83,IMPORTRANGE(""1y0FWgjbB0gVlqn-q5LMJbGIsqOrzru4yowQz67dz2yc"", ""'MTY'!D3:D139""),0))"),122)</f>
        <v>122</v>
      </c>
      <c r="AB83" s="2"/>
      <c r="AC83" s="2"/>
    </row>
    <row r="84" spans="1:29">
      <c r="A84" s="9" t="s">
        <v>199</v>
      </c>
      <c r="B84" s="9" t="s">
        <v>228</v>
      </c>
      <c r="C84" s="2" t="s">
        <v>30</v>
      </c>
      <c r="D84" s="149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417</v>
      </c>
      <c r="Q84" s="2">
        <v>801</v>
      </c>
      <c r="R84" s="4"/>
      <c r="S84" s="4"/>
      <c r="T84" s="4"/>
      <c r="U84" s="4"/>
      <c r="V84" s="4"/>
      <c r="W84" s="4"/>
      <c r="X84" s="2">
        <v>322</v>
      </c>
      <c r="Y84" s="12">
        <f ca="1">IFERROR(__xludf.DUMMYFUNCTION("INDEX(IMPORTRANGE(""1y0FWgjbB0gVlqn-q5LMJbGIsqOrzru4yowQz67dz2yc"", ""'MTY'!BG3:BG139""),MATCH($D84,IMPORTRANGE(""1y0FWgjbB0gVlqn-q5LMJbGIsqOrzru4yowQz67dz2yc"", ""'MTY'!D3:D139""),0))"),629)</f>
        <v>629</v>
      </c>
      <c r="Z84" s="12">
        <f ca="1">IFERROR(__xludf.DUMMYFUNCTION("INDEX(IMPORTRANGE(""1y0FWgjbB0gVlqn-q5LMJbGIsqOrzru4yowQz67dz2yc"", ""'MTY'!BH3:BH139""),MATCH($D84,IMPORTRANGE(""1y0FWgjbB0gVlqn-q5LMJbGIsqOrzru4yowQz67dz2yc"", ""'MTY'!D3:D139""),0))"),366)</f>
        <v>366</v>
      </c>
      <c r="AA84" s="12">
        <f ca="1">IFERROR(__xludf.DUMMYFUNCTION("INDEX(IMPORTRANGE(""1y0FWgjbB0gVlqn-q5LMJbGIsqOrzru4yowQz67dz2yc"", ""'MTY'!BI3:BI139""),MATCH($D84,IMPORTRANGE(""1y0FWgjbB0gVlqn-q5LMJbGIsqOrzru4yowQz67dz2yc"", ""'MTY'!D3:D139""),0))"),702)</f>
        <v>702</v>
      </c>
      <c r="AB84" s="2"/>
      <c r="AC84" s="2"/>
    </row>
    <row r="85" spans="1:29">
      <c r="A85" s="9" t="s">
        <v>199</v>
      </c>
      <c r="B85" s="9" t="s">
        <v>228</v>
      </c>
      <c r="C85" s="2" t="s">
        <v>30</v>
      </c>
      <c r="D85" s="149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47</v>
      </c>
      <c r="Q85" s="2">
        <v>97</v>
      </c>
      <c r="R85" s="6"/>
      <c r="S85" s="6"/>
      <c r="T85" s="6"/>
      <c r="U85" s="6"/>
      <c r="V85" s="6"/>
      <c r="W85" s="6"/>
      <c r="X85" s="2">
        <v>24</v>
      </c>
      <c r="Y85" s="12">
        <f ca="1">IFERROR(__xludf.DUMMYFUNCTION("INDEX(IMPORTRANGE(""1y0FWgjbB0gVlqn-q5LMJbGIsqOrzru4yowQz67dz2yc"", ""'MTY'!BG3:BG139""),MATCH($D85,IMPORTRANGE(""1y0FWgjbB0gVlqn-q5LMJbGIsqOrzru4yowQz67dz2yc"", ""'MTY'!D3:D139""),0))"),77)</f>
        <v>77</v>
      </c>
      <c r="Z85" s="12">
        <f ca="1">IFERROR(__xludf.DUMMYFUNCTION("INDEX(IMPORTRANGE(""1y0FWgjbB0gVlqn-q5LMJbGIsqOrzru4yowQz67dz2yc"", ""'MTY'!BH3:BH139""),MATCH($D85,IMPORTRANGE(""1y0FWgjbB0gVlqn-q5LMJbGIsqOrzru4yowQz67dz2yc"", ""'MTY'!D3:D139""),0))"),44)</f>
        <v>44</v>
      </c>
      <c r="AA85" s="12">
        <f ca="1">IFERROR(__xludf.DUMMYFUNCTION("INDEX(IMPORTRANGE(""1y0FWgjbB0gVlqn-q5LMJbGIsqOrzru4yowQz67dz2yc"", ""'MTY'!BI3:BI139""),MATCH($D85,IMPORTRANGE(""1y0FWgjbB0gVlqn-q5LMJbGIsqOrzru4yowQz67dz2yc"", ""'MTY'!D3:D139""),0))"),85)</f>
        <v>85</v>
      </c>
      <c r="AB85" s="2"/>
      <c r="AC85" s="2"/>
    </row>
    <row r="86" spans="1:29">
      <c r="A86" s="9" t="s">
        <v>199</v>
      </c>
      <c r="B86" s="9" t="s">
        <v>228</v>
      </c>
      <c r="C86" s="2" t="s">
        <v>30</v>
      </c>
      <c r="D86" s="149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12566</v>
      </c>
      <c r="Q86" s="2">
        <v>23525</v>
      </c>
      <c r="R86" s="4"/>
      <c r="S86" s="4"/>
      <c r="T86" s="4"/>
      <c r="U86" s="4"/>
      <c r="V86" s="4"/>
      <c r="W86" s="4"/>
      <c r="X86" s="2">
        <v>10796</v>
      </c>
      <c r="Y86" s="12">
        <f ca="1">IFERROR(__xludf.DUMMYFUNCTION("INDEX(IMPORTRANGE(""1y0FWgjbB0gVlqn-q5LMJbGIsqOrzru4yowQz67dz2yc"", ""'MTY'!BG3:BG139""),MATCH($D86,IMPORTRANGE(""1y0FWgjbB0gVlqn-q5LMJbGIsqOrzru4yowQz67dz2yc"", ""'MTY'!D3:D139""),0))"),22239)</f>
        <v>22239</v>
      </c>
      <c r="Z86" s="12">
        <f ca="1">IFERROR(__xludf.DUMMYFUNCTION("INDEX(IMPORTRANGE(""1y0FWgjbB0gVlqn-q5LMJbGIsqOrzru4yowQz67dz2yc"", ""'MTY'!BH3:BH139""),MATCH($D86,IMPORTRANGE(""1y0FWgjbB0gVlqn-q5LMJbGIsqOrzru4yowQz67dz2yc"", ""'MTY'!D3:D139""),0))"),12580)</f>
        <v>12580</v>
      </c>
      <c r="AA86" s="12">
        <f ca="1">IFERROR(__xludf.DUMMYFUNCTION("INDEX(IMPORTRANGE(""1y0FWgjbB0gVlqn-q5LMJbGIsqOrzru4yowQz67dz2yc"", ""'MTY'!BI3:BI139""),MATCH($D86,IMPORTRANGE(""1y0FWgjbB0gVlqn-q5LMJbGIsqOrzru4yowQz67dz2yc"", ""'MTY'!D3:D139""),0))"),26152)</f>
        <v>26152</v>
      </c>
      <c r="AB86" s="2"/>
      <c r="AC86" s="2"/>
    </row>
    <row r="87" spans="1:29">
      <c r="A87" s="9" t="s">
        <v>199</v>
      </c>
      <c r="B87" s="9" t="s">
        <v>228</v>
      </c>
      <c r="C87" s="2" t="s">
        <v>30</v>
      </c>
      <c r="D87" s="149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580</v>
      </c>
      <c r="Q87" s="2">
        <v>1310</v>
      </c>
      <c r="R87" s="4"/>
      <c r="S87" s="4"/>
      <c r="T87" s="4"/>
      <c r="U87" s="4"/>
      <c r="V87" s="4"/>
      <c r="W87" s="4"/>
      <c r="X87" s="2">
        <v>434</v>
      </c>
      <c r="Y87" s="12">
        <f ca="1">IFERROR(__xludf.DUMMYFUNCTION("INDEX(IMPORTRANGE(""1y0FWgjbB0gVlqn-q5LMJbGIsqOrzru4yowQz67dz2yc"", ""'MTY'!BG3:BG139""),MATCH($D87,IMPORTRANGE(""1y0FWgjbB0gVlqn-q5LMJbGIsqOrzru4yowQz67dz2yc"", ""'MTY'!D3:D139""),0))"),1507)</f>
        <v>1507</v>
      </c>
      <c r="Z87" s="12">
        <f ca="1">IFERROR(__xludf.DUMMYFUNCTION("INDEX(IMPORTRANGE(""1y0FWgjbB0gVlqn-q5LMJbGIsqOrzru4yowQz67dz2yc"", ""'MTY'!BH3:BH139""),MATCH($D87,IMPORTRANGE(""1y0FWgjbB0gVlqn-q5LMJbGIsqOrzru4yowQz67dz2yc"", ""'MTY'!D3:D139""),0))"),1082)</f>
        <v>1082</v>
      </c>
      <c r="AA87" s="12">
        <f ca="1">IFERROR(__xludf.DUMMYFUNCTION("INDEX(IMPORTRANGE(""1y0FWgjbB0gVlqn-q5LMJbGIsqOrzru4yowQz67dz2yc"", ""'MTY'!BI3:BI139""),MATCH($D87,IMPORTRANGE(""1y0FWgjbB0gVlqn-q5LMJbGIsqOrzru4yowQz67dz2yc"", ""'MTY'!D3:D139""),0))"),2583)</f>
        <v>2583</v>
      </c>
      <c r="AB87" s="2"/>
      <c r="AC87" s="2"/>
    </row>
    <row r="88" spans="1:29">
      <c r="A88" s="9" t="s">
        <v>199</v>
      </c>
      <c r="B88" s="9" t="s">
        <v>228</v>
      </c>
      <c r="C88" s="2" t="s">
        <v>30</v>
      </c>
      <c r="D88" s="149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3003</v>
      </c>
      <c r="Q88" s="2">
        <v>5668</v>
      </c>
      <c r="R88" s="4"/>
      <c r="S88" s="4"/>
      <c r="T88" s="4"/>
      <c r="U88" s="4"/>
      <c r="V88" s="4"/>
      <c r="W88" s="4"/>
      <c r="X88" s="2">
        <v>1812</v>
      </c>
      <c r="Y88" s="12">
        <f ca="1">IFERROR(__xludf.DUMMYFUNCTION("INDEX(IMPORTRANGE(""1y0FWgjbB0gVlqn-q5LMJbGIsqOrzru4yowQz67dz2yc"", ""'MTY'!BG3:BG139""),MATCH($D88,IMPORTRANGE(""1y0FWgjbB0gVlqn-q5LMJbGIsqOrzru4yowQz67dz2yc"", ""'MTY'!D3:D139""),0))"),3683)</f>
        <v>3683</v>
      </c>
      <c r="Z88" s="12">
        <f ca="1">IFERROR(__xludf.DUMMYFUNCTION("INDEX(IMPORTRANGE(""1y0FWgjbB0gVlqn-q5LMJbGIsqOrzru4yowQz67dz2yc"", ""'MTY'!BH3:BH139""),MATCH($D88,IMPORTRANGE(""1y0FWgjbB0gVlqn-q5LMJbGIsqOrzru4yowQz67dz2yc"", ""'MTY'!D3:D139""),0))"),1836)</f>
        <v>1836</v>
      </c>
      <c r="AA88" s="12">
        <f ca="1">IFERROR(__xludf.DUMMYFUNCTION("INDEX(IMPORTRANGE(""1y0FWgjbB0gVlqn-q5LMJbGIsqOrzru4yowQz67dz2yc"", ""'MTY'!BI3:BI139""),MATCH($D88,IMPORTRANGE(""1y0FWgjbB0gVlqn-q5LMJbGIsqOrzru4yowQz67dz2yc"", ""'MTY'!D3:D139""),0))"),3755)</f>
        <v>3755</v>
      </c>
      <c r="AB88" s="2"/>
      <c r="AC88" s="2"/>
    </row>
    <row r="89" spans="1:29">
      <c r="A89" s="9" t="s">
        <v>199</v>
      </c>
      <c r="B89" s="9" t="s">
        <v>228</v>
      </c>
      <c r="C89" s="2" t="s">
        <v>36</v>
      </c>
      <c r="D89" s="149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1">SUM(P84:P88)</f>
        <v>16613</v>
      </c>
      <c r="Q89" s="12">
        <f t="shared" si="21"/>
        <v>31401</v>
      </c>
      <c r="R89" s="6">
        <v>31213</v>
      </c>
      <c r="S89" s="6">
        <v>16447</v>
      </c>
      <c r="T89" s="6">
        <v>30961</v>
      </c>
      <c r="U89" s="6">
        <v>16314</v>
      </c>
      <c r="V89" s="6">
        <v>30773</v>
      </c>
      <c r="W89" s="6">
        <v>30773</v>
      </c>
      <c r="X89" s="12">
        <f>SUM(X84:X88)</f>
        <v>13388</v>
      </c>
      <c r="Y89" s="12">
        <f ca="1">IFERROR(__xludf.DUMMYFUNCTION("INDEX(IMPORTRANGE(""1y0FWgjbB0gVlqn-q5LMJbGIsqOrzru4yowQz67dz2yc"", ""'MTY'!BG3:BG139""),MATCH($D89,IMPORTRANGE(""1y0FWgjbB0gVlqn-q5LMJbGIsqOrzru4yowQz67dz2yc"", ""'MTY'!D3:D139""),0))"),28135)</f>
        <v>28135</v>
      </c>
      <c r="Z89" s="12">
        <f ca="1">IFERROR(__xludf.DUMMYFUNCTION("INDEX(IMPORTRANGE(""1y0FWgjbB0gVlqn-q5LMJbGIsqOrzru4yowQz67dz2yc"", ""'MTY'!BH3:BH139""),MATCH($D89,IMPORTRANGE(""1y0FWgjbB0gVlqn-q5LMJbGIsqOrzru4yowQz67dz2yc"", ""'MTY'!D3:D139""),0))"),15908)</f>
        <v>15908</v>
      </c>
      <c r="AA89" s="12">
        <f ca="1">IFERROR(__xludf.DUMMYFUNCTION("INDEX(IMPORTRANGE(""1y0FWgjbB0gVlqn-q5LMJbGIsqOrzru4yowQz67dz2yc"", ""'MTY'!BI3:BI139""),MATCH($D89,IMPORTRANGE(""1y0FWgjbB0gVlqn-q5LMJbGIsqOrzru4yowQz67dz2yc"", ""'MTY'!D3:D139""),0))"),33277)</f>
        <v>33277</v>
      </c>
      <c r="AB89" s="2"/>
      <c r="AC89" s="2"/>
    </row>
    <row r="90" spans="1:29">
      <c r="A90" s="9" t="s">
        <v>243</v>
      </c>
      <c r="B90" s="9" t="s">
        <v>244</v>
      </c>
      <c r="C90" s="2" t="s">
        <v>36</v>
      </c>
      <c r="D90" s="149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5</v>
      </c>
      <c r="Q90" s="2">
        <v>12</v>
      </c>
      <c r="R90" s="2">
        <v>157</v>
      </c>
      <c r="S90" s="2">
        <v>87</v>
      </c>
      <c r="T90" s="2">
        <v>157</v>
      </c>
      <c r="U90" s="2">
        <v>87</v>
      </c>
      <c r="V90" s="2">
        <v>157</v>
      </c>
      <c r="W90" s="2">
        <v>471</v>
      </c>
      <c r="X90" s="2">
        <v>94</v>
      </c>
      <c r="Y90" s="2">
        <f ca="1">IFERROR(__xludf.DUMMYFUNCTION("INDEX(IMPORTRANGE(""1y0FWgjbB0gVlqn-q5LMJbGIsqOrzru4yowQz67dz2yc"", ""'MTY'!BG3:BG139""),MATCH($D90,IMPORTRANGE(""1y0FWgjbB0gVlqn-q5LMJbGIsqOrzru4yowQz67dz2yc"", ""'MTY'!D3:D139""),0))"),255)</f>
        <v>255</v>
      </c>
      <c r="Z90" s="12">
        <f ca="1">IFERROR(__xludf.DUMMYFUNCTION("INDEX(IMPORTRANGE(""1y0FWgjbB0gVlqn-q5LMJbGIsqOrzru4yowQz67dz2yc"", ""'MTY'!BH3:BH139""),MATCH($D90,IMPORTRANGE(""1y0FWgjbB0gVlqn-q5LMJbGIsqOrzru4yowQz67dz2yc"", ""'MTY'!D3:D139""),0))"),178)</f>
        <v>178</v>
      </c>
      <c r="AA90" s="2">
        <f ca="1">IFERROR(__xludf.DUMMYFUNCTION("INDEX(IMPORTRANGE(""1y0FWgjbB0gVlqn-q5LMJbGIsqOrzru4yowQz67dz2yc"", ""'MTY'!BI3:BI139""),MATCH($D90,IMPORTRANGE(""1y0FWgjbB0gVlqn-q5LMJbGIsqOrzru4yowQz67dz2yc"", ""'MTY'!D3:D139""),0))"),178)</f>
        <v>178</v>
      </c>
      <c r="AB90" s="2"/>
      <c r="AC90" s="2"/>
    </row>
    <row r="91" spans="1:29">
      <c r="A91" s="9" t="s">
        <v>243</v>
      </c>
      <c r="B91" s="9" t="s">
        <v>247</v>
      </c>
      <c r="C91" s="2" t="s">
        <v>36</v>
      </c>
      <c r="D91" s="149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2">
        <v>2</v>
      </c>
      <c r="Q91" s="2">
        <v>2</v>
      </c>
      <c r="R91" s="2">
        <v>2</v>
      </c>
      <c r="S91" s="2">
        <v>22</v>
      </c>
      <c r="T91" s="2">
        <v>27</v>
      </c>
      <c r="U91" s="2">
        <v>32</v>
      </c>
      <c r="V91" s="2">
        <v>40</v>
      </c>
      <c r="W91" s="2">
        <v>40</v>
      </c>
      <c r="X91" s="2">
        <v>2</v>
      </c>
      <c r="Y91" s="2">
        <f ca="1">IFERROR(__xludf.DUMMYFUNCTION("INDEX(IMPORTRANGE(""1y0FWgjbB0gVlqn-q5LMJbGIsqOrzru4yowQz67dz2yc"", ""'MTY'!BG3:BG139""),MATCH($D91,IMPORTRANGE(""1y0FWgjbB0gVlqn-q5LMJbGIsqOrzru4yowQz67dz2yc"", ""'MTY'!D3:D139""),0))"),4)</f>
        <v>4</v>
      </c>
      <c r="Z91" s="12">
        <f ca="1">IFERROR(__xludf.DUMMYFUNCTION("INDEX(IMPORTRANGE(""1y0FWgjbB0gVlqn-q5LMJbGIsqOrzru4yowQz67dz2yc"", ""'MTY'!BH3:BH139""),MATCH($D91,IMPORTRANGE(""1y0FWgjbB0gVlqn-q5LMJbGIsqOrzru4yowQz67dz2yc"", ""'MTY'!D3:D139""),0))"),3)</f>
        <v>3</v>
      </c>
      <c r="AA91" s="2">
        <f ca="1">IFERROR(__xludf.DUMMYFUNCTION("INDEX(IMPORTRANGE(""1y0FWgjbB0gVlqn-q5LMJbGIsqOrzru4yowQz67dz2yc"", ""'MTY'!BI3:BI139""),MATCH($D91,IMPORTRANGE(""1y0FWgjbB0gVlqn-q5LMJbGIsqOrzru4yowQz67dz2yc"", ""'MTY'!D3:D139""),0))"),9)</f>
        <v>9</v>
      </c>
      <c r="AB91" s="2"/>
      <c r="AC91" s="2"/>
    </row>
    <row r="92" spans="1:29">
      <c r="A92" s="9" t="s">
        <v>243</v>
      </c>
      <c r="B92" s="9" t="s">
        <v>250</v>
      </c>
      <c r="C92" s="2" t="s">
        <v>36</v>
      </c>
      <c r="D92" s="149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4">
        <v>99.77</v>
      </c>
      <c r="Y92" s="23">
        <f ca="1">IFERROR(__xludf.DUMMYFUNCTION("INDEX(IMPORTRANGE(""1y0FWgjbB0gVlqn-q5LMJbGIsqOrzru4yowQz67dz2yc"", ""'MTY'!BG3:BG139""),MATCH($D92,IMPORTRANGE(""1y0FWgjbB0gVlqn-q5LMJbGIsqOrzru4yowQz67dz2yc"", ""'MTY'!D3:D139""),0))"),99.78)</f>
        <v>99.78</v>
      </c>
      <c r="Z92" s="23">
        <f ca="1">IFERROR(__xludf.DUMMYFUNCTION("INDEX(IMPORTRANGE(""1y0FWgjbB0gVlqn-q5LMJbGIsqOrzru4yowQz67dz2yc"", ""'MTY'!BH3:BH139""),MATCH($D92,IMPORTRANGE(""1y0FWgjbB0gVlqn-q5LMJbGIsqOrzru4yowQz67dz2yc"", ""'MTY'!D3:D139""),0))"),99.95)</f>
        <v>99.95</v>
      </c>
      <c r="AA92" s="23">
        <f ca="1">IFERROR(__xludf.DUMMYFUNCTION("INDEX(IMPORTRANGE(""1y0FWgjbB0gVlqn-q5LMJbGIsqOrzru4yowQz67dz2yc"", ""'MTY'!BI3:BI139""),MATCH($D92,IMPORTRANGE(""1y0FWgjbB0gVlqn-q5LMJbGIsqOrzru4yowQz67dz2yc"", ""'MTY'!D3:D139""),0))"),98.5)</f>
        <v>98.5</v>
      </c>
      <c r="AB92" s="2"/>
      <c r="AC92" s="2"/>
    </row>
    <row r="93" spans="1:29">
      <c r="A93" s="9" t="s">
        <v>243</v>
      </c>
      <c r="B93" s="9" t="s">
        <v>257</v>
      </c>
      <c r="C93" s="2" t="s">
        <v>36</v>
      </c>
      <c r="D93" s="149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257">
        <v>0</v>
      </c>
      <c r="Y93" s="194">
        <f ca="1">IFERROR(__xludf.DUMMYFUNCTION("INDEX(IMPORTRANGE(""1y0FWgjbB0gVlqn-q5LMJbGIsqOrzru4yowQz67dz2yc"", ""'MTY'!BG3:BG139""),MATCH($D93,IMPORTRANGE(""1y0FWgjbB0gVlqn-q5LMJbGIsqOrzru4yowQz67dz2yc"", ""'MTY'!D3:D139""),0))"),0)</f>
        <v>0</v>
      </c>
      <c r="Z93" s="194">
        <f ca="1">IFERROR(__xludf.DUMMYFUNCTION("INDEX(IMPORTRANGE(""1y0FWgjbB0gVlqn-q5LMJbGIsqOrzru4yowQz67dz2yc"", ""'MTY'!BH3:BH139""),MATCH($D93,IMPORTRANGE(""1y0FWgjbB0gVlqn-q5LMJbGIsqOrzru4yowQz67dz2yc"", ""'MTY'!D3:D139""),0))"),2.56890168654874)</f>
        <v>2.56890168654874</v>
      </c>
      <c r="AA93" s="194">
        <f ca="1">IFERROR(__xludf.DUMMYFUNCTION("INDEX(IMPORTRANGE(""1y0FWgjbB0gVlqn-q5LMJbGIsqOrzru4yowQz67dz2yc"", ""'MTY'!BI3:BI139""),MATCH($D93,IMPORTRANGE(""1y0FWgjbB0gVlqn-q5LMJbGIsqOrzru4yowQz67dz2yc"", ""'MTY'!D3:D139""),0))"),2.76758535582065)</f>
        <v>2.7675853558206498</v>
      </c>
      <c r="AB93" s="2"/>
      <c r="AC93" s="2"/>
    </row>
    <row r="94" spans="1:29">
      <c r="A94" s="9" t="s">
        <v>243</v>
      </c>
      <c r="B94" s="9" t="s">
        <v>260</v>
      </c>
      <c r="C94" s="2" t="s">
        <v>30</v>
      </c>
      <c r="D94" s="149" t="s">
        <v>261</v>
      </c>
      <c r="E94" s="9" t="s">
        <v>38</v>
      </c>
      <c r="F94" s="9" t="s">
        <v>262</v>
      </c>
      <c r="G94" s="11">
        <v>44469</v>
      </c>
      <c r="H94" s="470"/>
      <c r="I94" s="11">
        <v>44651</v>
      </c>
      <c r="J94" s="4"/>
      <c r="K94" s="11">
        <v>45016</v>
      </c>
      <c r="L94" s="4"/>
      <c r="M94" s="11">
        <v>45382</v>
      </c>
      <c r="N94" s="4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6</v>
      </c>
      <c r="Y94" s="9">
        <f ca="1">IFERROR(__xludf.DUMMYFUNCTION("INDEX(IMPORTRANGE(""1y0FWgjbB0gVlqn-q5LMJbGIsqOrzru4yowQz67dz2yc"", ""'MTY'!BG3:BG139""),MATCH($D94,IMPORTRANGE(""1y0FWgjbB0gVlqn-q5LMJbGIsqOrzru4yowQz67dz2yc"", ""'MTY'!D3:D139""),0))"),6)</f>
        <v>6</v>
      </c>
      <c r="Z94" s="12">
        <f ca="1">IFERROR(__xludf.DUMMYFUNCTION("INDEX(IMPORTRANGE(""1y0FWgjbB0gVlqn-q5LMJbGIsqOrzru4yowQz67dz2yc"", ""'MTY'!BH3:BH139""),MATCH($D94,IMPORTRANGE(""1y0FWgjbB0gVlqn-q5LMJbGIsqOrzru4yowQz67dz2yc"", ""'MTY'!D3:D139""),0))"),5)</f>
        <v>5</v>
      </c>
      <c r="AA94" s="9" t="str">
        <f ca="1">IFERROR(__xludf.DUMMYFUNCTION("INDEX(IMPORTRANGE(""1y0FWgjbB0gVlqn-q5LMJbGIsqOrzru4yowQz67dz2yc"", ""'MTY'!BI3:BI139""),MATCH($D94,IMPORTRANGE(""1y0FWgjbB0gVlqn-q5LMJbGIsqOrzru4yowQz67dz2yc"", ""'MTY'!D3:D139""),0))"),"")</f>
        <v/>
      </c>
      <c r="AB94" s="2"/>
      <c r="AC94" s="2"/>
    </row>
    <row r="95" spans="1:29">
      <c r="A95" s="9" t="s">
        <v>243</v>
      </c>
      <c r="B95" s="9" t="s">
        <v>260</v>
      </c>
      <c r="C95" s="2" t="s">
        <v>30</v>
      </c>
      <c r="D95" s="149" t="s">
        <v>263</v>
      </c>
      <c r="E95" s="9" t="s">
        <v>38</v>
      </c>
      <c r="F95" s="9" t="s">
        <v>264</v>
      </c>
      <c r="G95" s="11">
        <v>44469</v>
      </c>
      <c r="H95" s="4"/>
      <c r="I95" s="11">
        <v>44651</v>
      </c>
      <c r="J95" s="4"/>
      <c r="K95" s="11">
        <v>45016</v>
      </c>
      <c r="L95" s="4"/>
      <c r="M95" s="11">
        <v>45382</v>
      </c>
      <c r="N95" s="4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12</v>
      </c>
      <c r="Y95" s="9">
        <f ca="1">IFERROR(__xludf.DUMMYFUNCTION("INDEX(IMPORTRANGE(""1y0FWgjbB0gVlqn-q5LMJbGIsqOrzru4yowQz67dz2yc"", ""'MTY'!BG3:BG139""),MATCH($D95,IMPORTRANGE(""1y0FWgjbB0gVlqn-q5LMJbGIsqOrzru4yowQz67dz2yc"", ""'MTY'!D3:D139""),0))"),12)</f>
        <v>12</v>
      </c>
      <c r="Z95" s="12">
        <f ca="1">IFERROR(__xludf.DUMMYFUNCTION("INDEX(IMPORTRANGE(""1y0FWgjbB0gVlqn-q5LMJbGIsqOrzru4yowQz67dz2yc"", ""'MTY'!BH3:BH139""),MATCH($D95,IMPORTRANGE(""1y0FWgjbB0gVlqn-q5LMJbGIsqOrzru4yowQz67dz2yc"", ""'MTY'!D3:D139""),0))"),12)</f>
        <v>12</v>
      </c>
      <c r="AA95" s="9">
        <f ca="1">IFERROR(__xludf.DUMMYFUNCTION("INDEX(IMPORTRANGE(""1y0FWgjbB0gVlqn-q5LMJbGIsqOrzru4yowQz67dz2yc"", ""'MTY'!BI3:BI139""),MATCH($D95,IMPORTRANGE(""1y0FWgjbB0gVlqn-q5LMJbGIsqOrzru4yowQz67dz2yc"", ""'MTY'!D3:D139""),0))"),0)</f>
        <v>0</v>
      </c>
      <c r="AB95" s="2"/>
      <c r="AC95" s="2"/>
    </row>
    <row r="96" spans="1:29">
      <c r="A96" s="9" t="s">
        <v>243</v>
      </c>
      <c r="B96" s="9" t="s">
        <v>260</v>
      </c>
      <c r="C96" s="2" t="s">
        <v>30</v>
      </c>
      <c r="D96" s="149" t="s">
        <v>265</v>
      </c>
      <c r="E96" s="9" t="s">
        <v>38</v>
      </c>
      <c r="F96" s="9" t="s">
        <v>266</v>
      </c>
      <c r="G96" s="11">
        <v>44469</v>
      </c>
      <c r="H96" s="4"/>
      <c r="I96" s="11">
        <v>44651</v>
      </c>
      <c r="J96" s="4"/>
      <c r="K96" s="11">
        <v>45016</v>
      </c>
      <c r="L96" s="4"/>
      <c r="M96" s="11">
        <v>45382</v>
      </c>
      <c r="N96" s="4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0</v>
      </c>
      <c r="Y96" s="9">
        <f ca="1">IFERROR(__xludf.DUMMYFUNCTION("INDEX(IMPORTRANGE(""1y0FWgjbB0gVlqn-q5LMJbGIsqOrzru4yowQz67dz2yc"", ""'MTY'!BG3:BG139""),MATCH($D96,IMPORTRANGE(""1y0FWgjbB0gVlqn-q5LMJbGIsqOrzru4yowQz67dz2yc"", ""'MTY'!D3:D139""),0))"),0)</f>
        <v>0</v>
      </c>
      <c r="Z96" s="12">
        <f ca="1">IFERROR(__xludf.DUMMYFUNCTION("INDEX(IMPORTRANGE(""1y0FWgjbB0gVlqn-q5LMJbGIsqOrzru4yowQz67dz2yc"", ""'MTY'!BH3:BH139""),MATCH($D96,IMPORTRANGE(""1y0FWgjbB0gVlqn-q5LMJbGIsqOrzru4yowQz67dz2yc"", ""'MTY'!D3:D139""),0))"),0)</f>
        <v>0</v>
      </c>
      <c r="AA96" s="9" t="str">
        <f ca="1">IFERROR(__xludf.DUMMYFUNCTION("INDEX(IMPORTRANGE(""1y0FWgjbB0gVlqn-q5LMJbGIsqOrzru4yowQz67dz2yc"", ""'MTY'!BI3:BI139""),MATCH($D96,IMPORTRANGE(""1y0FWgjbB0gVlqn-q5LMJbGIsqOrzru4yowQz67dz2yc"", ""'MTY'!D3:D139""),0))"),"")</f>
        <v/>
      </c>
      <c r="AB96" s="2"/>
      <c r="AC96" s="2"/>
    </row>
    <row r="97" spans="1:29">
      <c r="A97" s="9" t="s">
        <v>243</v>
      </c>
      <c r="B97" s="9" t="s">
        <v>260</v>
      </c>
      <c r="C97" s="2" t="s">
        <v>30</v>
      </c>
      <c r="D97" s="149" t="s">
        <v>267</v>
      </c>
      <c r="E97" s="9" t="s">
        <v>38</v>
      </c>
      <c r="F97" s="9" t="s">
        <v>268</v>
      </c>
      <c r="G97" s="11">
        <v>44469</v>
      </c>
      <c r="H97" s="4"/>
      <c r="I97" s="11">
        <v>44651</v>
      </c>
      <c r="J97" s="4"/>
      <c r="K97" s="11">
        <v>45016</v>
      </c>
      <c r="L97" s="4"/>
      <c r="M97" s="11">
        <v>45382</v>
      </c>
      <c r="N97" s="4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0</v>
      </c>
      <c r="Y97" s="9">
        <f ca="1">IFERROR(__xludf.DUMMYFUNCTION("INDEX(IMPORTRANGE(""1y0FWgjbB0gVlqn-q5LMJbGIsqOrzru4yowQz67dz2yc"", ""'MTY'!BG3:BG139""),MATCH($D97,IMPORTRANGE(""1y0FWgjbB0gVlqn-q5LMJbGIsqOrzru4yowQz67dz2yc"", ""'MTY'!D3:D139""),0))"),0)</f>
        <v>0</v>
      </c>
      <c r="Z97" s="12">
        <f ca="1">IFERROR(__xludf.DUMMYFUNCTION("INDEX(IMPORTRANGE(""1y0FWgjbB0gVlqn-q5LMJbGIsqOrzru4yowQz67dz2yc"", ""'MTY'!BH3:BH139""),MATCH($D97,IMPORTRANGE(""1y0FWgjbB0gVlqn-q5LMJbGIsqOrzru4yowQz67dz2yc"", ""'MTY'!D3:D139""),0))"),0)</f>
        <v>0</v>
      </c>
      <c r="AA97" s="9">
        <f ca="1">IFERROR(__xludf.DUMMYFUNCTION("INDEX(IMPORTRANGE(""1y0FWgjbB0gVlqn-q5LMJbGIsqOrzru4yowQz67dz2yc"", ""'MTY'!BI3:BI139""),MATCH($D97,IMPORTRANGE(""1y0FWgjbB0gVlqn-q5LMJbGIsqOrzru4yowQz67dz2yc"", ""'MTY'!D3:D139""),0))"),0)</f>
        <v>0</v>
      </c>
      <c r="AB97" s="2"/>
      <c r="AC97" s="2"/>
    </row>
    <row r="98" spans="1:29">
      <c r="A98" s="9" t="s">
        <v>243</v>
      </c>
      <c r="B98" s="9" t="s">
        <v>260</v>
      </c>
      <c r="C98" s="2" t="s">
        <v>30</v>
      </c>
      <c r="D98" s="149" t="s">
        <v>269</v>
      </c>
      <c r="E98" s="9" t="s">
        <v>38</v>
      </c>
      <c r="F98" s="9" t="s">
        <v>270</v>
      </c>
      <c r="G98" s="11">
        <v>44469</v>
      </c>
      <c r="H98" s="4"/>
      <c r="I98" s="11">
        <v>44651</v>
      </c>
      <c r="J98" s="4"/>
      <c r="K98" s="11">
        <v>45016</v>
      </c>
      <c r="L98" s="4"/>
      <c r="M98" s="11">
        <v>45382</v>
      </c>
      <c r="N98" s="4"/>
      <c r="O98" s="11">
        <v>45565</v>
      </c>
      <c r="P98" s="254"/>
      <c r="Q98" s="254"/>
      <c r="R98" s="4"/>
      <c r="S98" s="4"/>
      <c r="T98" s="4"/>
      <c r="U98" s="4"/>
      <c r="V98" s="4"/>
      <c r="W98" s="4"/>
      <c r="X98" s="2">
        <v>35</v>
      </c>
      <c r="Y98" s="9">
        <f ca="1">IFERROR(__xludf.DUMMYFUNCTION("INDEX(IMPORTRANGE(""1y0FWgjbB0gVlqn-q5LMJbGIsqOrzru4yowQz67dz2yc"", ""'MTY'!BG3:BG139""),MATCH($D98,IMPORTRANGE(""1y0FWgjbB0gVlqn-q5LMJbGIsqOrzru4yowQz67dz2yc"", ""'MTY'!D3:D139""),0))"),42)</f>
        <v>42</v>
      </c>
      <c r="Z98" s="12">
        <f ca="1">IFERROR(__xludf.DUMMYFUNCTION("INDEX(IMPORTRANGE(""1y0FWgjbB0gVlqn-q5LMJbGIsqOrzru4yowQz67dz2yc"", ""'MTY'!BH3:BH139""),MATCH($D98,IMPORTRANGE(""1y0FWgjbB0gVlqn-q5LMJbGIsqOrzru4yowQz67dz2yc"", ""'MTY'!D3:D139""),0))"),42)</f>
        <v>42</v>
      </c>
      <c r="AA98" s="9" t="str">
        <f ca="1">IFERROR(__xludf.DUMMYFUNCTION("INDEX(IMPORTRANGE(""1y0FWgjbB0gVlqn-q5LMJbGIsqOrzru4yowQz67dz2yc"", ""'MTY'!BI3:BI139""),MATCH($D98,IMPORTRANGE(""1y0FWgjbB0gVlqn-q5LMJbGIsqOrzru4yowQz67dz2yc"", ""'MTY'!D3:D139""),0))"),"")</f>
        <v/>
      </c>
      <c r="AB98" s="2"/>
      <c r="AC98" s="2"/>
    </row>
    <row r="99" spans="1:29">
      <c r="A99" s="9" t="s">
        <v>243</v>
      </c>
      <c r="B99" s="9" t="s">
        <v>260</v>
      </c>
      <c r="C99" s="2" t="s">
        <v>30</v>
      </c>
      <c r="D99" s="149" t="s">
        <v>271</v>
      </c>
      <c r="E99" s="9" t="s">
        <v>38</v>
      </c>
      <c r="F99" s="9" t="s">
        <v>272</v>
      </c>
      <c r="G99" s="11">
        <v>44469</v>
      </c>
      <c r="H99" s="4"/>
      <c r="I99" s="11">
        <v>44651</v>
      </c>
      <c r="J99" s="4"/>
      <c r="K99" s="11">
        <v>45016</v>
      </c>
      <c r="L99" s="4"/>
      <c r="M99" s="11">
        <v>45382</v>
      </c>
      <c r="N99" s="4"/>
      <c r="O99" s="11">
        <v>45565</v>
      </c>
      <c r="P99" s="254"/>
      <c r="Q99" s="254"/>
      <c r="R99" s="4"/>
      <c r="S99" s="4"/>
      <c r="T99" s="4"/>
      <c r="U99" s="4"/>
      <c r="V99" s="4"/>
      <c r="W99" s="4"/>
      <c r="X99" s="2">
        <v>98</v>
      </c>
      <c r="Y99" s="9">
        <f ca="1">IFERROR(__xludf.DUMMYFUNCTION("INDEX(IMPORTRANGE(""1y0FWgjbB0gVlqn-q5LMJbGIsqOrzru4yowQz67dz2yc"", ""'MTY'!BG3:BG139""),MATCH($D99,IMPORTRANGE(""1y0FWgjbB0gVlqn-q5LMJbGIsqOrzru4yowQz67dz2yc"", ""'MTY'!D3:D139""),0))"),102)</f>
        <v>102</v>
      </c>
      <c r="Z99" s="12">
        <f ca="1">IFERROR(__xludf.DUMMYFUNCTION("INDEX(IMPORTRANGE(""1y0FWgjbB0gVlqn-q5LMJbGIsqOrzru4yowQz67dz2yc"", ""'MTY'!BH3:BH139""),MATCH($D99,IMPORTRANGE(""1y0FWgjbB0gVlqn-q5LMJbGIsqOrzru4yowQz67dz2yc"", ""'MTY'!D3:D139""),0))"),103)</f>
        <v>103</v>
      </c>
      <c r="AA99" s="9">
        <f ca="1">IFERROR(__xludf.DUMMYFUNCTION("INDEX(IMPORTRANGE(""1y0FWgjbB0gVlqn-q5LMJbGIsqOrzru4yowQz67dz2yc"", ""'MTY'!BI3:BI139""),MATCH($D99,IMPORTRANGE(""1y0FWgjbB0gVlqn-q5LMJbGIsqOrzru4yowQz67dz2yc"", ""'MTY'!D3:D139""),0))"),0)</f>
        <v>0</v>
      </c>
      <c r="AB99" s="2"/>
      <c r="AC99" s="2"/>
    </row>
    <row r="100" spans="1:29">
      <c r="A100" s="9" t="s">
        <v>243</v>
      </c>
      <c r="B100" s="9" t="s">
        <v>260</v>
      </c>
      <c r="C100" s="2" t="s">
        <v>36</v>
      </c>
      <c r="D100" s="149" t="s">
        <v>273</v>
      </c>
      <c r="E100" s="9" t="s">
        <v>38</v>
      </c>
      <c r="F100" s="9" t="s">
        <v>274</v>
      </c>
      <c r="G100" s="11">
        <v>44469</v>
      </c>
      <c r="H100" s="4"/>
      <c r="I100" s="11">
        <v>44651</v>
      </c>
      <c r="J100" s="4"/>
      <c r="K100" s="11">
        <v>45016</v>
      </c>
      <c r="L100" s="4"/>
      <c r="M100" s="11">
        <v>45382</v>
      </c>
      <c r="N100" s="4"/>
      <c r="O100" s="11">
        <v>45565</v>
      </c>
      <c r="P100" s="254"/>
      <c r="Q100" s="254"/>
      <c r="R100" s="4"/>
      <c r="S100" s="60">
        <v>0.5</v>
      </c>
      <c r="T100" s="4"/>
      <c r="U100" s="60">
        <v>0.5</v>
      </c>
      <c r="V100" s="60">
        <v>0.5</v>
      </c>
      <c r="W100" s="60">
        <v>0.5</v>
      </c>
      <c r="X100" s="15">
        <f>SUM(X94,X96,X98)/SUM(X95,X97,X99)</f>
        <v>0.37272727272727274</v>
      </c>
      <c r="Y100" s="15">
        <f ca="1">IFERROR(__xludf.DUMMYFUNCTION("INDEX(IMPORTRANGE(""1y0FWgjbB0gVlqn-q5LMJbGIsqOrzru4yowQz67dz2yc"", ""'MTY'!BG3:BG139""),MATCH($D100,IMPORTRANGE(""1y0FWgjbB0gVlqn-q5LMJbGIsqOrzru4yowQz67dz2yc"", ""'MTY'!D3:D139""),0))"),0.421052631578947)</f>
        <v>0.42105263157894701</v>
      </c>
      <c r="Z100" s="15">
        <f ca="1">IFERROR(__xludf.DUMMYFUNCTION("INDEX(IMPORTRANGE(""1y0FWgjbB0gVlqn-q5LMJbGIsqOrzru4yowQz67dz2yc"", ""'MTY'!BH3:BH139""),MATCH($D100,IMPORTRANGE(""1y0FWgjbB0gVlqn-q5LMJbGIsqOrzru4yowQz67dz2yc"", ""'MTY'!D3:D139""),0))"),0.408695652173913)</f>
        <v>0.40869565217391302</v>
      </c>
      <c r="AA100" s="15" t="str">
        <f ca="1">IFERROR(__xludf.DUMMYFUNCTION("INDEX(IMPORTRANGE(""1y0FWgjbB0gVlqn-q5LMJbGIsqOrzru4yowQz67dz2yc"", ""'MTY'!BI3:BI139""),MATCH($D100,IMPORTRANGE(""1y0FWgjbB0gVlqn-q5LMJbGIsqOrzru4yowQz67dz2yc"", ""'MTY'!D3:D139""),0))"),"")</f>
        <v/>
      </c>
      <c r="AB100" s="2"/>
      <c r="AC100" s="2"/>
    </row>
    <row r="101" spans="1:29">
      <c r="A101" s="9" t="s">
        <v>275</v>
      </c>
      <c r="B101" s="9" t="s">
        <v>276</v>
      </c>
      <c r="C101" s="2" t="s">
        <v>30</v>
      </c>
      <c r="D101" s="149" t="s">
        <v>277</v>
      </c>
      <c r="E101" s="9" t="s">
        <v>278</v>
      </c>
      <c r="F101" s="9" t="s">
        <v>279</v>
      </c>
      <c r="G101" s="11" t="s">
        <v>213</v>
      </c>
      <c r="H101" s="2" t="s">
        <v>214</v>
      </c>
      <c r="I101" s="9" t="s">
        <v>215</v>
      </c>
      <c r="J101" s="4"/>
      <c r="K101" s="9" t="s">
        <v>216</v>
      </c>
      <c r="L101" s="4"/>
      <c r="M101" s="9" t="s">
        <v>217</v>
      </c>
      <c r="N101" s="2" t="s">
        <v>218</v>
      </c>
      <c r="O101" s="2" t="s">
        <v>218</v>
      </c>
      <c r="P101" s="36">
        <v>3081185453.3200002</v>
      </c>
      <c r="Q101" s="36">
        <v>3081185453.3200002</v>
      </c>
      <c r="R101" s="4"/>
      <c r="S101" s="4"/>
      <c r="T101" s="4"/>
      <c r="U101" s="4"/>
      <c r="V101" s="4"/>
      <c r="W101" s="4"/>
      <c r="X101" s="36">
        <v>3081185453.3200002</v>
      </c>
      <c r="Y101" s="476" t="str">
        <f ca="1">IFERROR(__xludf.DUMMYFUNCTION("INDEX(IMPORTRANGE(""1y0FWgjbB0gVlqn-q5LMJbGIsqOrzru4yowQz67dz2yc"", ""'MTY'!BG3:BG139""),MATCH($D101,IMPORTRANGE(""1y0FWgjbB0gVlqn-q5LMJbGIsqOrzru4yowQz67dz2yc"", ""'MTY'!D3:D139""),0))"),"")</f>
        <v/>
      </c>
      <c r="Z101" s="36">
        <f ca="1">IFERROR(__xludf.DUMMYFUNCTION("INDEX(IMPORTRANGE(""1y0FWgjbB0gVlqn-q5LMJbGIsqOrzru4yowQz67dz2yc"", ""'MTY'!BH3:BH139""),MATCH($D101,IMPORTRANGE(""1y0FWgjbB0gVlqn-q5LMJbGIsqOrzru4yowQz67dz2yc"", ""'MTY'!D3:D139""),0))"),3540135702.81)</f>
        <v>3540135702.8099999</v>
      </c>
      <c r="AA101" s="476" t="str">
        <f ca="1">IFERROR(__xludf.DUMMYFUNCTION("INDEX(IMPORTRANGE(""1y0FWgjbB0gVlqn-q5LMJbGIsqOrzru4yowQz67dz2yc"", ""'MTY'!BI3:BI139""),MATCH($D101,IMPORTRANGE(""1y0FWgjbB0gVlqn-q5LMJbGIsqOrzru4yowQz67dz2yc"", ""'MTY'!D3:D139""),0))"),"")</f>
        <v/>
      </c>
      <c r="AB101" s="2"/>
      <c r="AC101" s="2"/>
    </row>
    <row r="102" spans="1:29">
      <c r="A102" s="9" t="s">
        <v>275</v>
      </c>
      <c r="B102" s="9" t="s">
        <v>276</v>
      </c>
      <c r="C102" s="2" t="s">
        <v>30</v>
      </c>
      <c r="D102" s="149" t="s">
        <v>280</v>
      </c>
      <c r="E102" s="9" t="s">
        <v>278</v>
      </c>
      <c r="F102" s="9" t="s">
        <v>281</v>
      </c>
      <c r="G102" s="9" t="s">
        <v>213</v>
      </c>
      <c r="H102" s="2" t="s">
        <v>214</v>
      </c>
      <c r="I102" s="9" t="s">
        <v>215</v>
      </c>
      <c r="J102" s="4"/>
      <c r="K102" s="9" t="s">
        <v>216</v>
      </c>
      <c r="L102" s="4"/>
      <c r="M102" s="9" t="s">
        <v>217</v>
      </c>
      <c r="N102" s="2" t="s">
        <v>218</v>
      </c>
      <c r="O102" s="2" t="s">
        <v>218</v>
      </c>
      <c r="P102" s="36">
        <v>6868671716.9499998</v>
      </c>
      <c r="Q102" s="36">
        <v>6868671716.9499998</v>
      </c>
      <c r="R102" s="4"/>
      <c r="S102" s="4"/>
      <c r="T102" s="4"/>
      <c r="U102" s="4"/>
      <c r="V102" s="4"/>
      <c r="W102" s="4"/>
      <c r="X102" s="36">
        <v>6868671716.9499998</v>
      </c>
      <c r="Y102" s="476" t="str">
        <f ca="1">IFERROR(__xludf.DUMMYFUNCTION("INDEX(IMPORTRANGE(""1y0FWgjbB0gVlqn-q5LMJbGIsqOrzru4yowQz67dz2yc"", ""'MTY'!BG3:BG139""),MATCH($D102,IMPORTRANGE(""1y0FWgjbB0gVlqn-q5LMJbGIsqOrzru4yowQz67dz2yc"", ""'MTY'!D3:D139""),0))"),"")</f>
        <v/>
      </c>
      <c r="Z102" s="36">
        <f ca="1">IFERROR(__xludf.DUMMYFUNCTION("INDEX(IMPORTRANGE(""1y0FWgjbB0gVlqn-q5LMJbGIsqOrzru4yowQz67dz2yc"", ""'MTY'!BH3:BH139""),MATCH($D102,IMPORTRANGE(""1y0FWgjbB0gVlqn-q5LMJbGIsqOrzru4yowQz67dz2yc"", ""'MTY'!D3:D139""),0))"),8222789935)</f>
        <v>8222789935</v>
      </c>
      <c r="AA102" s="476" t="str">
        <f ca="1">IFERROR(__xludf.DUMMYFUNCTION("INDEX(IMPORTRANGE(""1y0FWgjbB0gVlqn-q5LMJbGIsqOrzru4yowQz67dz2yc"", ""'MTY'!BI3:BI139""),MATCH($D102,IMPORTRANGE(""1y0FWgjbB0gVlqn-q5LMJbGIsqOrzru4yowQz67dz2yc"", ""'MTY'!D3:D139""),0))"),"")</f>
        <v/>
      </c>
      <c r="AB102" s="2"/>
      <c r="AC102" s="2"/>
    </row>
    <row r="103" spans="1:29">
      <c r="A103" s="9" t="s">
        <v>275</v>
      </c>
      <c r="B103" s="9" t="s">
        <v>276</v>
      </c>
      <c r="C103" s="2" t="s">
        <v>36</v>
      </c>
      <c r="D103" s="149" t="s">
        <v>282</v>
      </c>
      <c r="E103" s="9" t="s">
        <v>278</v>
      </c>
      <c r="F103" s="9" t="s">
        <v>283</v>
      </c>
      <c r="G103" s="9" t="s">
        <v>213</v>
      </c>
      <c r="H103" s="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2">P101/P102</f>
        <v>0.4485853423037352</v>
      </c>
      <c r="Q103" s="15">
        <f t="shared" si="22"/>
        <v>0.4485853423037352</v>
      </c>
      <c r="R103" s="26"/>
      <c r="S103" s="15">
        <v>0.45900000000000002</v>
      </c>
      <c r="T103" s="15"/>
      <c r="U103" s="15">
        <v>0.46899999999999997</v>
      </c>
      <c r="V103" s="15">
        <v>0.46899999999999997</v>
      </c>
      <c r="W103" s="15">
        <v>0.46899999999999997</v>
      </c>
      <c r="X103" s="15">
        <f>X101/X102</f>
        <v>0.4485853423037352</v>
      </c>
      <c r="Y103" s="476" t="str">
        <f ca="1">IFERROR(__xludf.DUMMYFUNCTION("INDEX(IMPORTRANGE(""1y0FWgjbB0gVlqn-q5LMJbGIsqOrzru4yowQz67dz2yc"", ""'MTY'!BG3:BG139""),MATCH($D103,IMPORTRANGE(""1y0FWgjbB0gVlqn-q5LMJbGIsqOrzru4yowQz67dz2yc"", ""'MTY'!D3:D139""),0))"),"")</f>
        <v/>
      </c>
      <c r="Z103" s="15">
        <f ca="1">IFERROR(__xludf.DUMMYFUNCTION("INDEX(IMPORTRANGE(""1y0FWgjbB0gVlqn-q5LMJbGIsqOrzru4yowQz67dz2yc"", ""'MTY'!BH3:BH139""),MATCH($D103,IMPORTRANGE(""1y0FWgjbB0gVlqn-q5LMJbGIsqOrzru4yowQz67dz2yc"", ""'MTY'!D3:D139""),0))"),0.430527318683108)</f>
        <v>0.43052731868310801</v>
      </c>
      <c r="AA103" s="476" t="str">
        <f ca="1">IFERROR(__xludf.DUMMYFUNCTION("INDEX(IMPORTRANGE(""1y0FWgjbB0gVlqn-q5LMJbGIsqOrzru4yowQz67dz2yc"", ""'MTY'!BI3:BI139""),MATCH($D103,IMPORTRANGE(""1y0FWgjbB0gVlqn-q5LMJbGIsqOrzru4yowQz67dz2yc"", ""'MTY'!D3:D139""),0))"),"")</f>
        <v/>
      </c>
      <c r="AB103" s="2"/>
      <c r="AC103" s="2"/>
    </row>
    <row r="104" spans="1:29">
      <c r="A104" s="9" t="s">
        <v>275</v>
      </c>
      <c r="B104" s="9" t="s">
        <v>284</v>
      </c>
      <c r="C104" s="2" t="s">
        <v>30</v>
      </c>
      <c r="D104" s="149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9" t="s">
        <v>215</v>
      </c>
      <c r="J104" s="4"/>
      <c r="K104" s="9" t="s">
        <v>216</v>
      </c>
      <c r="L104" s="4"/>
      <c r="M104" s="9" t="s">
        <v>217</v>
      </c>
      <c r="N104" s="2" t="s">
        <v>218</v>
      </c>
      <c r="O104" s="2" t="s">
        <v>218</v>
      </c>
      <c r="P104" s="50">
        <v>5072924918.2700005</v>
      </c>
      <c r="Q104" s="50">
        <v>5072924918.2700005</v>
      </c>
      <c r="R104" s="178"/>
      <c r="S104" s="178"/>
      <c r="T104" s="178"/>
      <c r="U104" s="178"/>
      <c r="V104" s="178"/>
      <c r="W104" s="178"/>
      <c r="X104" s="50">
        <v>5072924918.2700005</v>
      </c>
      <c r="Y104" s="476" t="str">
        <f ca="1">IFERROR(__xludf.DUMMYFUNCTION("INDEX(IMPORTRANGE(""1y0FWgjbB0gVlqn-q5LMJbGIsqOrzru4yowQz67dz2yc"", ""'MTY'!BG3:BG139""),MATCH($D104,IMPORTRANGE(""1y0FWgjbB0gVlqn-q5LMJbGIsqOrzru4yowQz67dz2yc"", ""'MTY'!D3:D139""),0))"),"")</f>
        <v/>
      </c>
      <c r="Z104" s="50">
        <f ca="1">IFERROR(__xludf.DUMMYFUNCTION("INDEX(IMPORTRANGE(""1y0FWgjbB0gVlqn-q5LMJbGIsqOrzru4yowQz67dz2yc"", ""'MTY'!BH3:BH139""),MATCH($D104,IMPORTRANGE(""1y0FWgjbB0gVlqn-q5LMJbGIsqOrzru4yowQz67dz2yc"", ""'MTY'!D3:D139""),0))"),5361668150.05)</f>
        <v>5361668150.0500002</v>
      </c>
      <c r="AA104" s="476" t="str">
        <f ca="1">IFERROR(__xludf.DUMMYFUNCTION("INDEX(IMPORTRANGE(""1y0FWgjbB0gVlqn-q5LMJbGIsqOrzru4yowQz67dz2yc"", ""'MTY'!BI3:BI139""),MATCH($D104,IMPORTRANGE(""1y0FWgjbB0gVlqn-q5LMJbGIsqOrzru4yowQz67dz2yc"", ""'MTY'!D3:D139""),0))"),"")</f>
        <v/>
      </c>
      <c r="AB104" s="2"/>
      <c r="AC104" s="2"/>
    </row>
    <row r="105" spans="1:29">
      <c r="A105" s="9" t="s">
        <v>275</v>
      </c>
      <c r="B105" s="9" t="s">
        <v>276</v>
      </c>
      <c r="C105" s="2" t="s">
        <v>36</v>
      </c>
      <c r="D105" s="149" t="s">
        <v>287</v>
      </c>
      <c r="E105" s="9" t="s">
        <v>278</v>
      </c>
      <c r="F105" s="9" t="s">
        <v>288</v>
      </c>
      <c r="G105" s="9" t="s">
        <v>213</v>
      </c>
      <c r="H105" s="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5">
        <f t="shared" ref="P105:Q105" si="23">P101/P104</f>
        <v>0.60737848538289907</v>
      </c>
      <c r="Q105" s="15">
        <f t="shared" si="23"/>
        <v>0.60737848538289907</v>
      </c>
      <c r="R105" s="26"/>
      <c r="S105" s="15">
        <v>0.61</v>
      </c>
      <c r="T105" s="15"/>
      <c r="U105" s="15">
        <v>0.62</v>
      </c>
      <c r="V105" s="15">
        <v>0.62</v>
      </c>
      <c r="W105" s="15">
        <v>0.62</v>
      </c>
      <c r="X105" s="15">
        <f>X101/X104</f>
        <v>0.60737848538289907</v>
      </c>
      <c r="Y105" s="476" t="str">
        <f ca="1">IFERROR(__xludf.DUMMYFUNCTION("INDEX(IMPORTRANGE(""1y0FWgjbB0gVlqn-q5LMJbGIsqOrzru4yowQz67dz2yc"", ""'MTY'!BG3:BG139""),MATCH($D105,IMPORTRANGE(""1y0FWgjbB0gVlqn-q5LMJbGIsqOrzru4yowQz67dz2yc"", ""'MTY'!D3:D139""),0))"),"")</f>
        <v/>
      </c>
      <c r="Z105" s="15">
        <f ca="1">IFERROR(__xludf.DUMMYFUNCTION("INDEX(IMPORTRANGE(""1y0FWgjbB0gVlqn-q5LMJbGIsqOrzru4yowQz67dz2yc"", ""'MTY'!BH3:BH139""),MATCH($D105,IMPORTRANGE(""1y0FWgjbB0gVlqn-q5LMJbGIsqOrzru4yowQz67dz2yc"", ""'MTY'!D3:D139""),0))"),0.660267589066844)</f>
        <v>0.66026758906684402</v>
      </c>
      <c r="AA105" s="476" t="str">
        <f ca="1">IFERROR(__xludf.DUMMYFUNCTION("INDEX(IMPORTRANGE(""1y0FWgjbB0gVlqn-q5LMJbGIsqOrzru4yowQz67dz2yc"", ""'MTY'!BI3:BI139""),MATCH($D105,IMPORTRANGE(""1y0FWgjbB0gVlqn-q5LMJbGIsqOrzru4yowQz67dz2yc"", ""'MTY'!D3:D139""),0))"),"")</f>
        <v/>
      </c>
      <c r="AB105" s="2"/>
      <c r="AC105" s="2"/>
    </row>
    <row r="106" spans="1:29">
      <c r="A106" s="9" t="s">
        <v>275</v>
      </c>
      <c r="B106" s="9" t="s">
        <v>276</v>
      </c>
      <c r="C106" s="2" t="s">
        <v>30</v>
      </c>
      <c r="D106" s="149" t="s">
        <v>289</v>
      </c>
      <c r="E106" s="9" t="s">
        <v>38</v>
      </c>
      <c r="F106" s="9" t="s">
        <v>112</v>
      </c>
      <c r="G106" s="9" t="s">
        <v>254</v>
      </c>
      <c r="H106" s="9" t="s">
        <v>254</v>
      </c>
      <c r="I106" s="9" t="s">
        <v>254</v>
      </c>
      <c r="J106" s="4"/>
      <c r="K106" s="9" t="s">
        <v>255</v>
      </c>
      <c r="L106" s="4"/>
      <c r="M106" s="9" t="s">
        <v>256</v>
      </c>
      <c r="N106" s="49">
        <v>45536</v>
      </c>
      <c r="O106" s="2" t="s">
        <v>218</v>
      </c>
      <c r="P106" s="12">
        <v>426298</v>
      </c>
      <c r="Q106" s="12">
        <v>426298</v>
      </c>
      <c r="R106" s="6"/>
      <c r="S106" s="6"/>
      <c r="T106" s="6"/>
      <c r="U106" s="6"/>
      <c r="V106" s="6"/>
      <c r="W106" s="6"/>
      <c r="X106" s="12">
        <v>426298</v>
      </c>
      <c r="Y106" s="476" t="str">
        <f ca="1">IFERROR(__xludf.DUMMYFUNCTION("INDEX(IMPORTRANGE(""1y0FWgjbB0gVlqn-q5LMJbGIsqOrzru4yowQz67dz2yc"", ""'MTY'!BG3:BG139""),MATCH($D106,IMPORTRANGE(""1y0FWgjbB0gVlqn-q5LMJbGIsqOrzru4yowQz67dz2yc"", ""'MTY'!D3:D139""),0))"),"")</f>
        <v/>
      </c>
      <c r="Z106" s="12">
        <f ca="1">IFERROR(__xludf.DUMMYFUNCTION("INDEX(IMPORTRANGE(""1y0FWgjbB0gVlqn-q5LMJbGIsqOrzru4yowQz67dz2yc"", ""'MTY'!BH3:BH139""),MATCH($D106,IMPORTRANGE(""1y0FWgjbB0gVlqn-q5LMJbGIsqOrzru4yowQz67dz2yc"", ""'MTY'!D3:D139""),0))"),432349)</f>
        <v>432349</v>
      </c>
      <c r="AA106" s="476" t="str">
        <f ca="1">IFERROR(__xludf.DUMMYFUNCTION("INDEX(IMPORTRANGE(""1y0FWgjbB0gVlqn-q5LMJbGIsqOrzru4yowQz67dz2yc"", ""'MTY'!BI3:BI139""),MATCH($D106,IMPORTRANGE(""1y0FWgjbB0gVlqn-q5LMJbGIsqOrzru4yowQz67dz2yc"", ""'MTY'!D3:D139""),0))"),"")</f>
        <v/>
      </c>
      <c r="AB106" s="2"/>
      <c r="AC106" s="2"/>
    </row>
    <row r="107" spans="1:29">
      <c r="A107" s="9" t="s">
        <v>275</v>
      </c>
      <c r="B107" s="9" t="s">
        <v>276</v>
      </c>
      <c r="C107" s="2" t="s">
        <v>30</v>
      </c>
      <c r="D107" s="149" t="s">
        <v>290</v>
      </c>
      <c r="E107" s="9" t="s">
        <v>38</v>
      </c>
      <c r="F107" s="9" t="s">
        <v>291</v>
      </c>
      <c r="G107" s="9" t="s">
        <v>213</v>
      </c>
      <c r="H107" s="2" t="s">
        <v>214</v>
      </c>
      <c r="I107" s="9" t="s">
        <v>215</v>
      </c>
      <c r="J107" s="4"/>
      <c r="K107" s="9" t="s">
        <v>216</v>
      </c>
      <c r="L107" s="4"/>
      <c r="M107" s="9" t="s">
        <v>217</v>
      </c>
      <c r="N107" s="2" t="s">
        <v>218</v>
      </c>
      <c r="O107" s="2" t="s">
        <v>218</v>
      </c>
      <c r="P107" s="12">
        <v>276910</v>
      </c>
      <c r="Q107" s="12">
        <v>276910</v>
      </c>
      <c r="R107" s="30"/>
      <c r="S107" s="30"/>
      <c r="T107" s="30"/>
      <c r="U107" s="30"/>
      <c r="V107" s="30"/>
      <c r="W107" s="30"/>
      <c r="X107" s="12">
        <v>276910</v>
      </c>
      <c r="Y107" s="476" t="str">
        <f ca="1">IFERROR(__xludf.DUMMYFUNCTION("INDEX(IMPORTRANGE(""1y0FWgjbB0gVlqn-q5LMJbGIsqOrzru4yowQz67dz2yc"", ""'MTY'!BG3:BG139""),MATCH($D107,IMPORTRANGE(""1y0FWgjbB0gVlqn-q5LMJbGIsqOrzru4yowQz67dz2yc"", ""'MTY'!D3:D139""),0))"),"")</f>
        <v/>
      </c>
      <c r="Z107" s="12">
        <f ca="1">IFERROR(__xludf.DUMMYFUNCTION("INDEX(IMPORTRANGE(""1y0FWgjbB0gVlqn-q5LMJbGIsqOrzru4yowQz67dz2yc"", ""'MTY'!BH3:BH139""),MATCH($D107,IMPORTRANGE(""1y0FWgjbB0gVlqn-q5LMJbGIsqOrzru4yowQz67dz2yc"", ""'MTY'!D3:D139""),0))"),276172)</f>
        <v>276172</v>
      </c>
      <c r="AA107" s="476" t="str">
        <f ca="1">IFERROR(__xludf.DUMMYFUNCTION("INDEX(IMPORTRANGE(""1y0FWgjbB0gVlqn-q5LMJbGIsqOrzru4yowQz67dz2yc"", ""'MTY'!BI3:BI139""),MATCH($D107,IMPORTRANGE(""1y0FWgjbB0gVlqn-q5LMJbGIsqOrzru4yowQz67dz2yc"", ""'MTY'!D3:D139""),0))"),"")</f>
        <v/>
      </c>
      <c r="AB107" s="2"/>
      <c r="AC107" s="2"/>
    </row>
    <row r="108" spans="1:29">
      <c r="A108" s="9" t="s">
        <v>275</v>
      </c>
      <c r="B108" s="9" t="s">
        <v>276</v>
      </c>
      <c r="C108" s="2" t="s">
        <v>36</v>
      </c>
      <c r="D108" s="149" t="s">
        <v>292</v>
      </c>
      <c r="E108" s="9" t="s">
        <v>38</v>
      </c>
      <c r="F108" s="9" t="s">
        <v>293</v>
      </c>
      <c r="G108" s="9" t="s">
        <v>213</v>
      </c>
      <c r="H108" s="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15">
        <f t="shared" ref="P108:Q108" si="24">P107/P106</f>
        <v>0.64956908078386477</v>
      </c>
      <c r="Q108" s="15">
        <f t="shared" si="24"/>
        <v>0.64956908078386477</v>
      </c>
      <c r="R108" s="26"/>
      <c r="S108" s="15">
        <v>0.65</v>
      </c>
      <c r="T108" s="15"/>
      <c r="U108" s="15">
        <v>0.66</v>
      </c>
      <c r="V108" s="15">
        <v>0.61</v>
      </c>
      <c r="W108" s="15">
        <v>0.61</v>
      </c>
      <c r="X108" s="15">
        <f>X107/X106</f>
        <v>0.64956908078386477</v>
      </c>
      <c r="Y108" s="476" t="str">
        <f ca="1">IFERROR(__xludf.DUMMYFUNCTION("INDEX(IMPORTRANGE(""1y0FWgjbB0gVlqn-q5LMJbGIsqOrzru4yowQz67dz2yc"", ""'MTY'!BG3:BG139""),MATCH($D108,IMPORTRANGE(""1y0FWgjbB0gVlqn-q5LMJbGIsqOrzru4yowQz67dz2yc"", ""'MTY'!D3:D139""),0))"),"")</f>
        <v/>
      </c>
      <c r="Z108" s="15">
        <f ca="1">IFERROR(__xludf.DUMMYFUNCTION("INDEX(IMPORTRANGE(""1y0FWgjbB0gVlqn-q5LMJbGIsqOrzru4yowQz67dz2yc"", ""'MTY'!BH3:BH139""),MATCH($D108,IMPORTRANGE(""1y0FWgjbB0gVlqn-q5LMJbGIsqOrzru4yowQz67dz2yc"", ""'MTY'!D3:D139""),0))"),0.638770992878438)</f>
        <v>0.63877099287843797</v>
      </c>
      <c r="AA108" s="476" t="str">
        <f ca="1">IFERROR(__xludf.DUMMYFUNCTION("INDEX(IMPORTRANGE(""1y0FWgjbB0gVlqn-q5LMJbGIsqOrzru4yowQz67dz2yc"", ""'MTY'!BI3:BI139""),MATCH($D108,IMPORTRANGE(""1y0FWgjbB0gVlqn-q5LMJbGIsqOrzru4yowQz67dz2yc"", ""'MTY'!D3:D139""),0))"),"")</f>
        <v/>
      </c>
      <c r="AB108" s="2"/>
      <c r="AC108" s="2"/>
    </row>
    <row r="109" spans="1:29">
      <c r="A109" s="9" t="s">
        <v>275</v>
      </c>
      <c r="B109" s="9" t="s">
        <v>276</v>
      </c>
      <c r="C109" s="9" t="s">
        <v>30</v>
      </c>
      <c r="D109" s="149" t="s">
        <v>294</v>
      </c>
      <c r="E109" s="9" t="s">
        <v>38</v>
      </c>
      <c r="F109" s="9" t="s">
        <v>295</v>
      </c>
      <c r="G109" s="9" t="s">
        <v>213</v>
      </c>
      <c r="H109" s="2" t="s">
        <v>214</v>
      </c>
      <c r="I109" s="9" t="s">
        <v>215</v>
      </c>
      <c r="J109" s="4"/>
      <c r="K109" s="9" t="s">
        <v>216</v>
      </c>
      <c r="L109" s="4"/>
      <c r="M109" s="9" t="s">
        <v>217</v>
      </c>
      <c r="N109" s="2" t="s">
        <v>218</v>
      </c>
      <c r="O109" s="2" t="s">
        <v>218</v>
      </c>
      <c r="P109" s="36"/>
      <c r="Q109" s="36"/>
      <c r="R109" s="36"/>
      <c r="S109" s="36"/>
      <c r="T109" s="36"/>
      <c r="U109" s="36"/>
      <c r="V109" s="36"/>
      <c r="W109" s="36"/>
      <c r="X109" s="36"/>
      <c r="Y109" s="476" t="str">
        <f ca="1">IFERROR(__xludf.DUMMYFUNCTION("INDEX(IMPORTRANGE(""1y0FWgjbB0gVlqn-q5LMJbGIsqOrzru4yowQz67dz2yc"", ""'MTY'!BG3:BG139""),MATCH($D109,IMPORTRANGE(""1y0FWgjbB0gVlqn-q5LMJbGIsqOrzru4yowQz67dz2yc"", ""'MTY'!D3:D139""),0))"),"")</f>
        <v/>
      </c>
      <c r="Z109" s="36">
        <f ca="1">IFERROR(__xludf.DUMMYFUNCTION("INDEX(IMPORTRANGE(""1y0FWgjbB0gVlqn-q5LMJbGIsqOrzru4yowQz67dz2yc"", ""'MTY'!BH3:BH139""),MATCH($D109,IMPORTRANGE(""1y0FWgjbB0gVlqn-q5LMJbGIsqOrzru4yowQz67dz2yc"", ""'MTY'!D3:D139""),0))"),1437821747.75999)</f>
        <v>1437821747.75999</v>
      </c>
      <c r="AA109" s="476" t="str">
        <f ca="1">IFERROR(__xludf.DUMMYFUNCTION("INDEX(IMPORTRANGE(""1y0FWgjbB0gVlqn-q5LMJbGIsqOrzru4yowQz67dz2yc"", ""'MTY'!BI3:BI139""),MATCH($D109,IMPORTRANGE(""1y0FWgjbB0gVlqn-q5LMJbGIsqOrzru4yowQz67dz2yc"", ""'MTY'!D3:D139""),0))"),"")</f>
        <v/>
      </c>
      <c r="AB109" s="2"/>
      <c r="AC109" s="2"/>
    </row>
    <row r="110" spans="1:29">
      <c r="A110" s="9" t="s">
        <v>275</v>
      </c>
      <c r="B110" s="9" t="s">
        <v>276</v>
      </c>
      <c r="C110" s="9" t="s">
        <v>36</v>
      </c>
      <c r="D110" s="149" t="s">
        <v>296</v>
      </c>
      <c r="E110" s="9" t="s">
        <v>38</v>
      </c>
      <c r="F110" s="9" t="s">
        <v>297</v>
      </c>
      <c r="G110" s="9" t="s">
        <v>213</v>
      </c>
      <c r="H110" s="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36">
        <v>1379390367.3499999</v>
      </c>
      <c r="Q110" s="36">
        <v>1379390367.3499999</v>
      </c>
      <c r="R110" s="36"/>
      <c r="S110" s="36">
        <v>1480000000</v>
      </c>
      <c r="T110" s="36"/>
      <c r="U110" s="36">
        <v>1480000000</v>
      </c>
      <c r="V110" s="36">
        <v>1455000000</v>
      </c>
      <c r="W110" s="36">
        <v>1455000000</v>
      </c>
      <c r="X110" s="36">
        <v>1379390367.3499999</v>
      </c>
      <c r="Y110" s="476" t="str">
        <f ca="1">IFERROR(__xludf.DUMMYFUNCTION("INDEX(IMPORTRANGE(""1y0FWgjbB0gVlqn-q5LMJbGIsqOrzru4yowQz67dz2yc"", ""'MTY'!BG3:BG139""),MATCH($D110,IMPORTRANGE(""1y0FWgjbB0gVlqn-q5LMJbGIsqOrzru4yowQz67dz2yc"", ""'MTY'!D3:D139""),0))"),"")</f>
        <v/>
      </c>
      <c r="Z110" s="36">
        <f ca="1">IFERROR(__xludf.DUMMYFUNCTION("INDEX(IMPORTRANGE(""1y0FWgjbB0gVlqn-q5LMJbGIsqOrzru4yowQz67dz2yc"", ""'MTY'!BH3:BH139""),MATCH($D110,IMPORTRANGE(""1y0FWgjbB0gVlqn-q5LMJbGIsqOrzru4yowQz67dz2yc"", ""'MTY'!D3:D139""),0))"),1540788108.32)</f>
        <v>1540788108.3199999</v>
      </c>
      <c r="AA110" s="476" t="str">
        <f ca="1">IFERROR(__xludf.DUMMYFUNCTION("INDEX(IMPORTRANGE(""1y0FWgjbB0gVlqn-q5LMJbGIsqOrzru4yowQz67dz2yc"", ""'MTY'!BI3:BI139""),MATCH($D110,IMPORTRANGE(""1y0FWgjbB0gVlqn-q5LMJbGIsqOrzru4yowQz67dz2yc"", ""'MTY'!D3:D139""),0))"),"")</f>
        <v/>
      </c>
      <c r="AB110" s="2"/>
      <c r="AC110" s="2"/>
    </row>
    <row r="111" spans="1:29">
      <c r="A111" s="9" t="s">
        <v>275</v>
      </c>
      <c r="B111" s="9" t="s">
        <v>298</v>
      </c>
      <c r="C111" s="2" t="s">
        <v>30</v>
      </c>
      <c r="D111" s="149" t="s">
        <v>299</v>
      </c>
      <c r="E111" s="9" t="s">
        <v>278</v>
      </c>
      <c r="F111" s="9" t="s">
        <v>300</v>
      </c>
      <c r="G111" s="9" t="s">
        <v>213</v>
      </c>
      <c r="H111" s="2" t="s">
        <v>214</v>
      </c>
      <c r="I111" s="9" t="s">
        <v>215</v>
      </c>
      <c r="J111" s="4"/>
      <c r="K111" s="9" t="s">
        <v>216</v>
      </c>
      <c r="L111" s="4"/>
      <c r="M111" s="9" t="s">
        <v>217</v>
      </c>
      <c r="N111" s="2" t="s">
        <v>218</v>
      </c>
      <c r="O111" s="2" t="s">
        <v>218</v>
      </c>
      <c r="P111" s="36">
        <v>7008731456.6499996</v>
      </c>
      <c r="Q111" s="36">
        <v>7008731456.6499996</v>
      </c>
      <c r="R111" s="178"/>
      <c r="S111" s="178"/>
      <c r="T111" s="178"/>
      <c r="U111" s="178"/>
      <c r="V111" s="178"/>
      <c r="W111" s="178"/>
      <c r="X111" s="36">
        <v>7008731456.6499996</v>
      </c>
      <c r="Y111" s="476" t="str">
        <f ca="1">IFERROR(__xludf.DUMMYFUNCTION("INDEX(IMPORTRANGE(""1y0FWgjbB0gVlqn-q5LMJbGIsqOrzru4yowQz67dz2yc"", ""'MTY'!BG3:BG139""),MATCH($D111,IMPORTRANGE(""1y0FWgjbB0gVlqn-q5LMJbGIsqOrzru4yowQz67dz2yc"", ""'MTY'!D3:D139""),0))"),"")</f>
        <v/>
      </c>
      <c r="Z111" s="36">
        <f ca="1">IFERROR(__xludf.DUMMYFUNCTION("INDEX(IMPORTRANGE(""1y0FWgjbB0gVlqn-q5LMJbGIsqOrzru4yowQz67dz2yc"", ""'MTY'!BH3:BH139""),MATCH($D111,IMPORTRANGE(""1y0FWgjbB0gVlqn-q5LMJbGIsqOrzru4yowQz67dz2yc"", ""'MTY'!D3:D139""),0))"),7869734755.85)</f>
        <v>7869734755.8500004</v>
      </c>
      <c r="AA111" s="476" t="str">
        <f ca="1">IFERROR(__xludf.DUMMYFUNCTION("INDEX(IMPORTRANGE(""1y0FWgjbB0gVlqn-q5LMJbGIsqOrzru4yowQz67dz2yc"", ""'MTY'!BI3:BI139""),MATCH($D111,IMPORTRANGE(""1y0FWgjbB0gVlqn-q5LMJbGIsqOrzru4yowQz67dz2yc"", ""'MTY'!D3:D139""),0))"),"")</f>
        <v/>
      </c>
      <c r="AB111" s="2"/>
      <c r="AC111" s="2"/>
    </row>
    <row r="112" spans="1:29">
      <c r="A112" s="9" t="s">
        <v>275</v>
      </c>
      <c r="B112" s="9" t="s">
        <v>298</v>
      </c>
      <c r="C112" s="2" t="s">
        <v>36</v>
      </c>
      <c r="D112" s="149" t="s">
        <v>301</v>
      </c>
      <c r="E112" s="9" t="s">
        <v>278</v>
      </c>
      <c r="F112" s="9" t="s">
        <v>302</v>
      </c>
      <c r="G112" s="9" t="s">
        <v>213</v>
      </c>
      <c r="H112" s="2" t="s">
        <v>214</v>
      </c>
      <c r="I112" s="9" t="s">
        <v>215</v>
      </c>
      <c r="J112" s="4"/>
      <c r="K112" s="9" t="s">
        <v>216</v>
      </c>
      <c r="L112" s="4"/>
      <c r="M112" s="9" t="s">
        <v>217</v>
      </c>
      <c r="N112" s="2" t="s">
        <v>218</v>
      </c>
      <c r="O112" s="2" t="s">
        <v>218</v>
      </c>
      <c r="P112" s="15">
        <f t="shared" ref="P112:Q112" si="25">P104/P111</f>
        <v>0.72380072622938429</v>
      </c>
      <c r="Q112" s="15">
        <f t="shared" si="25"/>
        <v>0.72380072622938429</v>
      </c>
      <c r="R112" s="26"/>
      <c r="S112" s="26">
        <v>0.72</v>
      </c>
      <c r="T112" s="26"/>
      <c r="U112" s="26">
        <v>0.71499999999999997</v>
      </c>
      <c r="V112" s="15">
        <v>0.71</v>
      </c>
      <c r="W112" s="15">
        <v>0.71</v>
      </c>
      <c r="X112" s="15">
        <f>X104/X111</f>
        <v>0.72380072622938429</v>
      </c>
      <c r="Y112" s="476" t="str">
        <f ca="1">IFERROR(__xludf.DUMMYFUNCTION("INDEX(IMPORTRANGE(""1y0FWgjbB0gVlqn-q5LMJbGIsqOrzru4yowQz67dz2yc"", ""'MTY'!BG3:BG139""),MATCH($D112,IMPORTRANGE(""1y0FWgjbB0gVlqn-q5LMJbGIsqOrzru4yowQz67dz2yc"", ""'MTY'!D3:D139""),0))"),"")</f>
        <v/>
      </c>
      <c r="Z112" s="15">
        <f ca="1">IFERROR(__xludf.DUMMYFUNCTION("INDEX(IMPORTRANGE(""1y0FWgjbB0gVlqn-q5LMJbGIsqOrzru4yowQz67dz2yc"", ""'MTY'!BH3:BH139""),MATCH($D112,IMPORTRANGE(""1y0FWgjbB0gVlqn-q5LMJbGIsqOrzru4yowQz67dz2yc"", ""'MTY'!D3:D139""),0))"),0.681302269566884)</f>
        <v>0.681302269566884</v>
      </c>
      <c r="AA112" s="476" t="str">
        <f ca="1">IFERROR(__xludf.DUMMYFUNCTION("INDEX(IMPORTRANGE(""1y0FWgjbB0gVlqn-q5LMJbGIsqOrzru4yowQz67dz2yc"", ""'MTY'!BI3:BI139""),MATCH($D112,IMPORTRANGE(""1y0FWgjbB0gVlqn-q5LMJbGIsqOrzru4yowQz67dz2yc"", ""'MTY'!D3:D139""),0))"),"")</f>
        <v/>
      </c>
      <c r="AB112" s="2"/>
      <c r="AC112" s="2"/>
    </row>
    <row r="113" spans="1:29">
      <c r="A113" s="9" t="s">
        <v>275</v>
      </c>
      <c r="B113" s="9" t="s">
        <v>303</v>
      </c>
      <c r="C113" s="2" t="s">
        <v>36</v>
      </c>
      <c r="D113" s="149" t="s">
        <v>304</v>
      </c>
      <c r="E113" s="9" t="s">
        <v>305</v>
      </c>
      <c r="F113" s="9" t="s">
        <v>306</v>
      </c>
      <c r="G113" s="11" t="s">
        <v>307</v>
      </c>
      <c r="H113" s="4"/>
      <c r="I113" s="2" t="s">
        <v>254</v>
      </c>
      <c r="J113" s="4"/>
      <c r="K113" s="2" t="s">
        <v>255</v>
      </c>
      <c r="L113" s="4"/>
      <c r="M113" s="2" t="s">
        <v>256</v>
      </c>
      <c r="N113" s="49">
        <v>45473</v>
      </c>
      <c r="O113" s="2"/>
      <c r="P113" s="30" t="s">
        <v>308</v>
      </c>
      <c r="Q113" s="30" t="s">
        <v>308</v>
      </c>
      <c r="R113" s="30" t="s">
        <v>308</v>
      </c>
      <c r="S113" s="30" t="s">
        <v>308</v>
      </c>
      <c r="T113" s="30" t="s">
        <v>308</v>
      </c>
      <c r="U113" s="30" t="s">
        <v>308</v>
      </c>
      <c r="V113" s="30" t="s">
        <v>308</v>
      </c>
      <c r="W113" s="30" t="s">
        <v>308</v>
      </c>
      <c r="X113" s="30" t="s">
        <v>308</v>
      </c>
      <c r="Y113" s="476" t="str">
        <f ca="1">IFERROR(__xludf.DUMMYFUNCTION("INDEX(IMPORTRANGE(""1y0FWgjbB0gVlqn-q5LMJbGIsqOrzru4yowQz67dz2yc"", ""'MTY'!BG3:BG139""),MATCH($D113,IMPORTRANGE(""1y0FWgjbB0gVlqn-q5LMJbGIsqOrzru4yowQz67dz2yc"", ""'MTY'!D3:D139""),0))"),"")</f>
        <v/>
      </c>
      <c r="Z113" s="30" t="str">
        <f ca="1">IFERROR(__xludf.DUMMYFUNCTION("INDEX(IMPORTRANGE(""1y0FWgjbB0gVlqn-q5LMJbGIsqOrzru4yowQz67dz2yc"", ""'MTY'!BH3:BH139""),MATCH($D113,IMPORTRANGE(""1y0FWgjbB0gVlqn-q5LMJbGIsqOrzru4yowQz67dz2yc"", ""'MTY'!D3:D139""),0))"),"Verde")</f>
        <v>Verde</v>
      </c>
      <c r="AA113" s="476" t="str">
        <f ca="1">IFERROR(__xludf.DUMMYFUNCTION("INDEX(IMPORTRANGE(""1y0FWgjbB0gVlqn-q5LMJbGIsqOrzru4yowQz67dz2yc"", ""'MTY'!BI3:BI139""),MATCH($D113,IMPORTRANGE(""1y0FWgjbB0gVlqn-q5LMJbGIsqOrzru4yowQz67dz2yc"", ""'MTY'!D3:D139""),0))"),"")</f>
        <v/>
      </c>
      <c r="AB113" s="2"/>
      <c r="AC113" s="2"/>
    </row>
    <row r="114" spans="1:29">
      <c r="A114" s="2"/>
      <c r="B114" s="2"/>
      <c r="C114" s="2"/>
      <c r="D114" s="148"/>
      <c r="E114" s="2"/>
      <c r="F114" s="2"/>
      <c r="G114" s="11" t="s">
        <v>307</v>
      </c>
      <c r="H114" s="4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12"/>
      <c r="AB114" s="2"/>
      <c r="AC114" s="2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A2F9B-9DC7-E640-B0A6-E09D4202D37D}">
  <dimension ref="A1:M31"/>
  <sheetViews>
    <sheetView workbookViewId="0">
      <selection activeCell="H2" sqref="H2"/>
    </sheetView>
  </sheetViews>
  <sheetFormatPr baseColWidth="10" defaultRowHeight="16"/>
  <cols>
    <col min="1" max="1" width="10.83203125" style="118"/>
    <col min="3" max="3" width="20.33203125" customWidth="1"/>
    <col min="4" max="4" width="12.6640625" customWidth="1"/>
    <col min="5" max="5" width="12.33203125" customWidth="1"/>
    <col min="6" max="6" width="10.8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MTY'!$D$3:$Y$113,4,0)</f>
        <v>44469</v>
      </c>
      <c r="E2" s="76">
        <f>VLOOKUP(C2,'BD EVA 3 MTY'!$D$3:$Q$110,14,0)</f>
        <v>1125</v>
      </c>
      <c r="F2" s="75">
        <f>VLOOKUP(C2,'BD EVA 3 MTY'!$D$3:$AC$113,9,0)</f>
        <v>45199</v>
      </c>
      <c r="G2" s="76">
        <f ca="1">VLOOKUP(C2,'BD EVA 3 MTY'!$D$3:$AC$113,24,0)</f>
        <v>1190</v>
      </c>
      <c r="H2" s="76">
        <f>VLOOKUP(C2,'BD EVA 3 MTY'!$D$3:$AC$113,17,0)</f>
        <v>1300</v>
      </c>
      <c r="I2" s="78">
        <f ca="1">IF(G2&gt;=E2,G2/H2,0)</f>
        <v>0.91538461538461535</v>
      </c>
      <c r="J2" s="72" t="s">
        <v>316</v>
      </c>
      <c r="K2" s="81">
        <v>2.7</v>
      </c>
      <c r="L2" s="81">
        <f t="shared" ref="L2:L31" ca="1" si="0">IF(I2&lt;0,0,IF(I2&gt;1,K2,I2*K2))</f>
        <v>2.4715384615384615</v>
      </c>
      <c r="M2" s="124">
        <f ca="1">SUM(L2:L4)</f>
        <v>9.6520374652636605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MTY'!$D$3:$Y$113,4,0)</f>
        <v>44469</v>
      </c>
      <c r="E3" s="207">
        <f>VLOOKUP(C3,'BD EVA 3 MTY'!$D$3:$Q$110,14,0)</f>
        <v>0.93777777777777782</v>
      </c>
      <c r="F3" s="75">
        <f>VLOOKUP(C3,'BD EVA 3 MTY'!$D$3:$AC$113,9,0)</f>
        <v>45199</v>
      </c>
      <c r="G3" s="207">
        <f ca="1">VLOOKUP(C3,'BD EVA 3 MTY'!$D$3:$AC$113,24,0)</f>
        <v>0.93949579831932695</v>
      </c>
      <c r="H3" s="207" t="str">
        <f>VLOOKUP(C3,'BD EVA 3 MTY'!$D$3:$AC$113,17,0)</f>
        <v>&gt;=97%</v>
      </c>
      <c r="I3" s="207">
        <f ca="1">IF(G3&gt;=97%,1,G3/97%)</f>
        <v>0.96855236940136802</v>
      </c>
      <c r="J3" s="75" t="s">
        <v>318</v>
      </c>
      <c r="K3" s="81">
        <v>3.8</v>
      </c>
      <c r="L3" s="81">
        <f t="shared" ca="1" si="0"/>
        <v>3.6804990037251981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MTY'!$D$3:$Y$113,4,0)</f>
        <v>44469</v>
      </c>
      <c r="E4" s="207">
        <f>VLOOKUP(C4,'BD EVA 3 MTY'!$D$3:$Q$110,14,0)</f>
        <v>0</v>
      </c>
      <c r="F4" s="75">
        <f>VLOOKUP(C4,'BD EVA 3 MTY'!$D$3:$AC$113,9,0)</f>
        <v>45199</v>
      </c>
      <c r="G4" s="207">
        <f ca="1">VLOOKUP(C4,'BD EVA 3 MTY'!$D$3:$AC$113,24,0)</f>
        <v>1.9327731092436899E-2</v>
      </c>
      <c r="H4" s="207">
        <f>VLOOKUP(C4,'BD EVA 3 MTY'!$D$3:$AC$113,17,0)</f>
        <v>1.6923076923076923E-2</v>
      </c>
      <c r="I4" s="77">
        <f t="shared" ref="I4:I5" ca="1" si="1">G4/H4</f>
        <v>1.1420932009167259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MTY'!$D$3:$Y$113,4,0)</f>
        <v>octubre 20 - mar 21</v>
      </c>
      <c r="E5" s="207">
        <f>VLOOKUP(C5,'BD EVA 3 MTY'!$D$3:$Q$110,14,0)</f>
        <v>0</v>
      </c>
      <c r="F5" s="75" t="str">
        <f>VLOOKUP(C5,'BD EVA 3 MTY'!$D$3:$AC$113,9,0)</f>
        <v>octubre 22 - septiembre 23</v>
      </c>
      <c r="G5" s="207">
        <f ca="1">VLOOKUP(C5,'BD EVA 3 MTY'!$D$3:$AC$113,24,0)</f>
        <v>3.97133472678411E-2</v>
      </c>
      <c r="H5" s="207">
        <f>VLOOKUP(C5,'BD EVA 3 MTY'!$D$3:$AC$113,17,0)</f>
        <v>0.02</v>
      </c>
      <c r="I5" s="77">
        <f t="shared" ca="1" si="1"/>
        <v>1.985667363392055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9.4832352846602479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MTY'!$D$3:$Y$113,4,0)</f>
        <v>octubre 20 - mar 21</v>
      </c>
      <c r="E6" s="213">
        <f>VLOOKUP(C6,'BD EVA 3 MTY'!$D$3:$Q$110,14,0)</f>
        <v>21</v>
      </c>
      <c r="F6" s="75" t="str">
        <f>VLOOKUP(C6,'BD EVA 3 MTY'!$D$3:$AC$113,9,0)</f>
        <v>octubre 22 - septiembre 23</v>
      </c>
      <c r="G6" s="213">
        <f ca="1">VLOOKUP(C6,'BD EVA 3 MTY'!$D$3:$AC$113,24,0)</f>
        <v>20.353558268421001</v>
      </c>
      <c r="H6" s="213">
        <f>VLOOKUP(C6,'BD EVA 3 MTY'!$D$3:$AC$113,17,0)</f>
        <v>20.2</v>
      </c>
      <c r="I6" s="78">
        <f t="shared" ref="I6:I10" ca="1" si="2">(G6-E6)/(H6-E6)</f>
        <v>0.80805216447374861</v>
      </c>
      <c r="J6" s="71" t="s">
        <v>319</v>
      </c>
      <c r="K6" s="209">
        <v>1.7</v>
      </c>
      <c r="L6" s="209">
        <f t="shared" ca="1" si="0"/>
        <v>1.3736886796053727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MTY'!$D$3:$Y$113,4,0)</f>
        <v>octubre 20 - mar 21</v>
      </c>
      <c r="E7" s="213">
        <f>VLOOKUP(C7,'BD EVA 3 MTY'!$D$3:$Q$110,14,0)</f>
        <v>392</v>
      </c>
      <c r="F7" s="75" t="str">
        <f>VLOOKUP(C7,'BD EVA 3 MTY'!$D$3:$AC$113,9,0)</f>
        <v>octubre 22 - septiembre 23</v>
      </c>
      <c r="G7" s="85">
        <f ca="1">VLOOKUP(C7,'BD EVA 3 MTY'!$D$3:$AC$113,24,0)</f>
        <v>290.88627025285001</v>
      </c>
      <c r="H7" s="213">
        <f>VLOOKUP(C7,'BD EVA 3 MTY'!$D$3:$AC$113,17,0)</f>
        <v>374.9</v>
      </c>
      <c r="I7" s="78">
        <f t="shared" ca="1" si="2"/>
        <v>5.9130836109444358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MTY'!$D$3:$Y$113,4,0)</f>
        <v>octubre 20 - mar 21</v>
      </c>
      <c r="E8" s="213">
        <f>VLOOKUP(C8,'BD EVA 3 MTY'!$D$3:$Q$110,14,0)</f>
        <v>211</v>
      </c>
      <c r="F8" s="75" t="str">
        <f>VLOOKUP(C8,'BD EVA 3 MTY'!$D$3:$AC$113,9,0)</f>
        <v>octubre 22 - septiembre 23</v>
      </c>
      <c r="G8" s="213">
        <f ca="1">VLOOKUP(C8,'BD EVA 3 MTY'!$D$3:$AC$113,24,0)</f>
        <v>202.47550152439601</v>
      </c>
      <c r="H8" s="213">
        <f>VLOOKUP(C8,'BD EVA 3 MTY'!$D$3:$AC$113,17,0)</f>
        <v>201.4</v>
      </c>
      <c r="I8" s="78">
        <f t="shared" ca="1" si="2"/>
        <v>0.8879685912087496</v>
      </c>
      <c r="J8" s="71" t="s">
        <v>319</v>
      </c>
      <c r="K8" s="209">
        <v>1.7</v>
      </c>
      <c r="L8" s="209">
        <f t="shared" ca="1" si="0"/>
        <v>1.5095466050548743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MTY'!$D$3:$Y$113,4,0)</f>
        <v>octubre 20 - mar 21</v>
      </c>
      <c r="E9" s="213">
        <f>VLOOKUP(C9,'BD EVA 3 MTY'!$D$3:$Q$110,14,0)</f>
        <v>58</v>
      </c>
      <c r="F9" s="75" t="str">
        <f>VLOOKUP(C9,'BD EVA 3 MTY'!$D$3:$AC$113,9,0)</f>
        <v>octubre 22 - septiembre 23</v>
      </c>
      <c r="G9" s="213">
        <f ca="1">VLOOKUP(C9,'BD EVA 3 MTY'!$D$3:$AC$113,24,0)</f>
        <v>47.279619727686303</v>
      </c>
      <c r="H9" s="213">
        <f>VLOOKUP(C9,'BD EVA 3 MTY'!$D$3:$AC$113,17,0)</f>
        <v>55.7</v>
      </c>
      <c r="I9" s="78">
        <f t="shared" ca="1" si="2"/>
        <v>4.6610349010059613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MTY'!$D$3:$Y$113,4,0)</f>
        <v>octubre 20 - mar 21</v>
      </c>
      <c r="E10" s="213">
        <f>VLOOKUP(C10,'BD EVA 3 MTY'!$D$3:$Q$110,14,0)</f>
        <v>28</v>
      </c>
      <c r="F10" s="75" t="str">
        <f>VLOOKUP(C10,'BD EVA 3 MTY'!$D$3:$AC$113,9,0)</f>
        <v>octubre 22 - septiembre 23</v>
      </c>
      <c r="G10" s="213">
        <f ca="1">VLOOKUP(C10,'BD EVA 3 MTY'!$D$3:$AC$113,24,0)</f>
        <v>22.261704356085499</v>
      </c>
      <c r="H10" s="213">
        <f>VLOOKUP(C10,'BD EVA 3 MTY'!$D$3:$AC$113,17,0)</f>
        <v>27</v>
      </c>
      <c r="I10" s="78">
        <f t="shared" ca="1" si="2"/>
        <v>5.7382956439145012</v>
      </c>
      <c r="J10" s="71" t="s">
        <v>319</v>
      </c>
      <c r="K10" s="209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MTY'!$D$3:$Y$113,4,0)</f>
        <v>44469</v>
      </c>
      <c r="E11" s="78">
        <f>VLOOKUP(C11,'BD EVA 3 MTY'!$D$3:$Q$110,14,0)</f>
        <v>7.4101716600916947E-4</v>
      </c>
      <c r="F11" s="75">
        <f>VLOOKUP(C11,'BD EVA 3 MTY'!$D$3:$AC$113,9,0)</f>
        <v>45199</v>
      </c>
      <c r="G11" s="78">
        <f ca="1">VLOOKUP(C11,'BD EVA 3 MTY'!$D$3:$AC$113,24,0)</f>
        <v>1.00303870348651E-2</v>
      </c>
      <c r="H11" s="78">
        <f>VLOOKUP(C11,'BD EVA 3 MTY'!$D$3:$AC$116,16,0)</f>
        <v>8.0000000000000002E-3</v>
      </c>
      <c r="I11" s="77">
        <f t="shared" ref="I11:I12" ca="1" si="3">IF(H11="Sin meta",0,G11/H11)</f>
        <v>1.2537983793581375</v>
      </c>
      <c r="J11" s="89" t="s">
        <v>318</v>
      </c>
      <c r="K11" s="71">
        <v>1.1000000000000001</v>
      </c>
      <c r="L11" s="211">
        <f t="shared" ca="1" si="0"/>
        <v>1.1000000000000001</v>
      </c>
      <c r="M11" s="130">
        <f ca="1">SUM(L11:L15)</f>
        <v>9.9823032622154688</v>
      </c>
    </row>
    <row r="12" spans="1:13" ht="91">
      <c r="A12" s="121" t="s">
        <v>119</v>
      </c>
      <c r="B12" s="72" t="s">
        <v>120</v>
      </c>
      <c r="C12" s="72" t="s">
        <v>333</v>
      </c>
      <c r="D12" s="89" t="str">
        <f>VLOOKUP(C12,'BD EVA 3 MTY'!$D$3:$Y$113,4,0)</f>
        <v>octubre 20 - mar 21</v>
      </c>
      <c r="E12" s="78">
        <f>VLOOKUP(C12,'BD EVA 3 MTY'!$D$3:$Q$110,14,0)</f>
        <v>0</v>
      </c>
      <c r="F12" s="75" t="str">
        <f>VLOOKUP(C12,'BD EVA 3 MTY'!$D$3:$AC$113,9,0)</f>
        <v>octubre 22 - septiembre 23</v>
      </c>
      <c r="G12" s="210">
        <f ca="1">VLOOKUP(C12,'BD EVA 3 MTY'!$D$3:$AC$113,24,0)</f>
        <v>3.4436921979583098E-3</v>
      </c>
      <c r="H12" s="78">
        <f>VLOOKUP(C12,'BD EVA 3 MTY'!$D$3:$AC$116,16,0)</f>
        <v>3.5000000000000001E-3</v>
      </c>
      <c r="I12" s="77">
        <f t="shared" ca="1" si="3"/>
        <v>0.98391205655951708</v>
      </c>
      <c r="J12" s="75" t="s">
        <v>318</v>
      </c>
      <c r="K12" s="71">
        <v>1.1000000000000001</v>
      </c>
      <c r="L12" s="211">
        <f t="shared" ca="1" si="0"/>
        <v>1.0823032622154689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MTY'!$D$3:$Y$113,4,0)</f>
        <v>octubre 20 - mar 21</v>
      </c>
      <c r="E13" s="212">
        <f>VLOOKUP(C13,'BD EVA 3 MTY'!$D$3:$Q$110,14,0)</f>
        <v>10</v>
      </c>
      <c r="F13" s="75" t="str">
        <f>VLOOKUP(C13,'BD EVA 3 MTY'!$D$3:$AC$113,9,0)</f>
        <v>octubre 21 - septiembre 23</v>
      </c>
      <c r="G13" s="76">
        <f ca="1">VLOOKUP(C13,'BD EVA 3 MTY'!$D$3:$AC$113,24,0)</f>
        <v>55</v>
      </c>
      <c r="H13" s="212">
        <f>VLOOKUP(C13,'BD EVA 3 MTY'!$D$3:$AC$113,17,0)</f>
        <v>28</v>
      </c>
      <c r="I13" s="78">
        <f t="shared" ref="I13:I15" ca="1" si="4">G13/H13</f>
        <v>1.9642857142857142</v>
      </c>
      <c r="J13" s="75" t="s">
        <v>318</v>
      </c>
      <c r="K13" s="82">
        <v>2.35</v>
      </c>
      <c r="L13" s="211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MTY'!$D$3:$Y$113,4,0)</f>
        <v>octubre 20 - mar 21</v>
      </c>
      <c r="E14" s="212">
        <f>VLOOKUP(C14,'BD EVA 3 MTY'!$D$3:$Q$110,14,0)</f>
        <v>3568</v>
      </c>
      <c r="F14" s="75" t="str">
        <f>VLOOKUP(C14,'BD EVA 3 MTY'!$D$3:$AC$113,9,0)</f>
        <v>octubre 21 - septiembre 23</v>
      </c>
      <c r="G14" s="212">
        <f ca="1">VLOOKUP(C14,'BD EVA 3 MTY'!$D$3:$AC$113,24,0)</f>
        <v>9454</v>
      </c>
      <c r="H14" s="212">
        <f>VLOOKUP(C14,'BD EVA 3 MTY'!$D$3:$AC$113,17,0)</f>
        <v>3000</v>
      </c>
      <c r="I14" s="78">
        <f t="shared" ca="1" si="4"/>
        <v>3.1513333333333335</v>
      </c>
      <c r="J14" s="75" t="s">
        <v>318</v>
      </c>
      <c r="K14" s="82">
        <v>2.35</v>
      </c>
      <c r="L14" s="211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MTY'!$D$3:$Y$113,4,0)</f>
        <v>octubre 20 - mar 21</v>
      </c>
      <c r="E15" s="212">
        <f>VLOOKUP(C15,'BD EVA 3 MTY'!$D$3:$Q$110,14,0)</f>
        <v>10</v>
      </c>
      <c r="F15" s="75" t="str">
        <f>VLOOKUP(C15,'BD EVA 3 MTY'!$D$3:$AC$113,9,0)</f>
        <v>octubre 21 - septiembre 23</v>
      </c>
      <c r="G15" s="212">
        <f ca="1">VLOOKUP(C15,'BD EVA 3 MTY'!$D$3:$AC$113,24,0)</f>
        <v>175</v>
      </c>
      <c r="H15" s="212">
        <f>VLOOKUP(C15,'BD EVA 3 MTY'!$D$3:$AC$113,17,0)</f>
        <v>48</v>
      </c>
      <c r="I15" s="78">
        <f t="shared" ca="1" si="4"/>
        <v>3.6458333333333335</v>
      </c>
      <c r="J15" s="75" t="s">
        <v>318</v>
      </c>
      <c r="K15" s="71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MTY'!$D$3:$Y$113,4,0)</f>
        <v>44469</v>
      </c>
      <c r="E16" s="213">
        <f>VLOOKUP(C16,'BD EVA 3 MTY'!$D$3:$Q$110,14,0)</f>
        <v>0</v>
      </c>
      <c r="F16" s="75">
        <f>VLOOKUP(C16,'BD EVA 3 MTY'!$D$3:$AC$113,9,0)</f>
        <v>45199</v>
      </c>
      <c r="G16" s="77">
        <f ca="1">VLOOKUP(C16,'BD EVA 3 MTY'!$D$3:$AC$113,24,0)</f>
        <v>0.66666666666666596</v>
      </c>
      <c r="H16" s="213" t="str">
        <f>VLOOKUP(C16,'BD EVA 3 MTY'!$D$3:$AC$113,17,0)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0.66666666666666596</v>
      </c>
      <c r="J16" s="75" t="s">
        <v>318</v>
      </c>
      <c r="K16" s="71">
        <v>1.5</v>
      </c>
      <c r="L16" s="209">
        <f t="shared" ca="1" si="0"/>
        <v>0.99999999999999889</v>
      </c>
      <c r="M16" s="130">
        <f ca="1">SUM(L16:L23)</f>
        <v>7.7440075411196174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MTY'!$D$3:$Y$113,4,0)</f>
        <v>44469</v>
      </c>
      <c r="E17" s="212">
        <f>VLOOKUP(C17,'BD EVA 3 MTY'!$D$3:$Q$110,14,0)</f>
        <v>0</v>
      </c>
      <c r="F17" s="75">
        <f>VLOOKUP(C17,'BD EVA 3 MTY'!$D$3:$AC$113,9,0)</f>
        <v>45199</v>
      </c>
      <c r="G17" s="207">
        <f ca="1">VLOOKUP(C17,'BD EVA 3 MTY'!$D$3:$AC$113,24,0)</f>
        <v>0</v>
      </c>
      <c r="H17" s="212" t="str">
        <f>VLOOKUP(C17,'BD EVA 3 MTY'!$D$3:$AC$113,17,0)</f>
        <v>Actualizado al 2018</v>
      </c>
      <c r="I17" s="214">
        <f t="shared" ca="1" si="5"/>
        <v>0</v>
      </c>
      <c r="J17" s="75" t="s">
        <v>318</v>
      </c>
      <c r="K17" s="7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MTY'!$D$3:$Y$113,4,0)</f>
        <v>44469</v>
      </c>
      <c r="E18" s="207">
        <f>VLOOKUP(C18,'BD EVA 3 MTY'!$D$3:$Q$110,14,0)</f>
        <v>0.52941176470588236</v>
      </c>
      <c r="F18" s="75">
        <f>VLOOKUP(C18,'BD EVA 3 MTY'!$D$3:$AC$113,9,0)</f>
        <v>45199</v>
      </c>
      <c r="G18" s="207">
        <f ca="1">VLOOKUP(C18,'BD EVA 3 MTY'!$D$3:$AC$113,24,0)</f>
        <v>0.82352941176470495</v>
      </c>
      <c r="H18" s="207">
        <f>VLOOKUP(C18,'BD EVA 3 MTY'!$D$3:$AC$113,17,0)</f>
        <v>1</v>
      </c>
      <c r="I18" s="214">
        <f ca="1">IF(G18="NA",1,G18/H18)</f>
        <v>0.82352941176470495</v>
      </c>
      <c r="J18" s="75" t="s">
        <v>318</v>
      </c>
      <c r="K18" s="71">
        <v>0.3</v>
      </c>
      <c r="L18" s="209">
        <f t="shared" ca="1" si="0"/>
        <v>0.24705882352941147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MTY'!$D$3:$Y$113,4,0)</f>
        <v>44469</v>
      </c>
      <c r="E19" s="207">
        <f>VLOOKUP(C19,'BD EVA 3 MTY'!$D$3:$Q$110,14,0)</f>
        <v>1</v>
      </c>
      <c r="F19" s="75">
        <f>VLOOKUP(C19,'BD EVA 3 MTY'!$D$3:$AC$113,9,0)</f>
        <v>45199</v>
      </c>
      <c r="G19" s="207">
        <f ca="1">VLOOKUP(C19,'BD EVA 3 MTY'!$D$3:$AC$113,24,0)</f>
        <v>0.99971409335313099</v>
      </c>
      <c r="H19" s="207">
        <f>VLOOKUP(C19,'BD EVA 3 MTY'!$D$3:$AC$113,17,0)</f>
        <v>1</v>
      </c>
      <c r="I19" s="214">
        <f t="shared" ref="I19:I23" ca="1" si="6">G19/H19</f>
        <v>0.99971409335313099</v>
      </c>
      <c r="J19" s="75" t="s">
        <v>318</v>
      </c>
      <c r="K19" s="71">
        <v>1.5</v>
      </c>
      <c r="L19" s="209">
        <f t="shared" ca="1" si="0"/>
        <v>1.4995711400296965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MTY'!$D$3:$Y$113,4,0)</f>
        <v>44469</v>
      </c>
      <c r="E20" s="214">
        <f>VLOOKUP(C20,'BD EVA 3 MTY'!$D$3:$Q$110,14,0)</f>
        <v>1</v>
      </c>
      <c r="F20" s="75">
        <f>VLOOKUP(C20,'BD EVA 3 MTY'!$D$3:$AC$113,9,0)</f>
        <v>45199</v>
      </c>
      <c r="G20" s="214">
        <f ca="1">VLOOKUP(C20,'BD EVA 3 MTY'!$D$3:$AC$113,24,0)</f>
        <v>1</v>
      </c>
      <c r="H20" s="214">
        <f>VLOOKUP(C20,'BD EVA 3 MTY'!$D$3:$AC$113,17,0)</f>
        <v>1</v>
      </c>
      <c r="I20" s="214">
        <f t="shared" ca="1" si="6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MTY'!$D$3:$Y$113,4,0)</f>
        <v>44469</v>
      </c>
      <c r="E21" s="207">
        <f>VLOOKUP(C21,'BD EVA 3 MTY'!$D$3:$Q$110,14,0)</f>
        <v>1</v>
      </c>
      <c r="F21" s="75">
        <f>VLOOKUP(C21,'BD EVA 3 MTY'!$D$3:$AC$113,9,0)</f>
        <v>45199</v>
      </c>
      <c r="G21" s="207">
        <f ca="1">VLOOKUP(C21,'BD EVA 3 MTY'!$D$3:$AC$113,24,0)</f>
        <v>0.99815671445180199</v>
      </c>
      <c r="H21" s="207">
        <f>VLOOKUP(C21,'BD EVA 3 MTY'!$D$3:$AC$113,17,0)</f>
        <v>1</v>
      </c>
      <c r="I21" s="214">
        <f t="shared" ca="1" si="6"/>
        <v>0.99815671445180199</v>
      </c>
      <c r="J21" s="75" t="s">
        <v>318</v>
      </c>
      <c r="K21" s="71">
        <v>0.9</v>
      </c>
      <c r="L21" s="209">
        <f t="shared" ca="1" si="0"/>
        <v>0.89834104300662176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MTY'!$D$3:$Y$113,4,0)</f>
        <v>44469</v>
      </c>
      <c r="E22" s="207">
        <f>VLOOKUP(C22,'BD EVA 3 MTY'!$D$3:$Q$110,14,0)</f>
        <v>0.99971249366351167</v>
      </c>
      <c r="F22" s="75">
        <f>VLOOKUP(C22,'BD EVA 3 MTY'!$D$3:$AC$113,9,0)</f>
        <v>45199</v>
      </c>
      <c r="G22" s="207">
        <f ca="1">VLOOKUP(C22,'BD EVA 3 MTY'!$D$3:$AC$113,24,0)</f>
        <v>0.99574969969010796</v>
      </c>
      <c r="H22" s="207">
        <f>VLOOKUP(C22,'BD EVA 3 MTY'!$D$3:$AC$113,17,0)</f>
        <v>1</v>
      </c>
      <c r="I22" s="214">
        <f t="shared" ca="1" si="6"/>
        <v>0.99574969969010796</v>
      </c>
      <c r="J22" s="75" t="s">
        <v>318</v>
      </c>
      <c r="K22" s="71">
        <v>1.5</v>
      </c>
      <c r="L22" s="209">
        <f t="shared" ca="1" si="0"/>
        <v>1.4936245495351619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MTY'!$D$3:$Y$113,4,0)</f>
        <v>octubre 20 - mar 21</v>
      </c>
      <c r="E23" s="208">
        <f>VLOOKUP(C23,'BD EVA 3 MTY'!$D$3:$Q$110,14,0)</f>
        <v>4.9055800000000005</v>
      </c>
      <c r="F23" s="89" t="str">
        <f>VLOOKUP(C23,'BD EVA 3 MTY'!$D$3:$AC$113,9,0)</f>
        <v>octubre 22 - septiembre 23</v>
      </c>
      <c r="G23" s="85">
        <f ca="1">VLOOKUP(C23,'BD EVA 3 MTY'!$D$3:$AC$113,24,0)</f>
        <v>29.514500000000002</v>
      </c>
      <c r="H23" s="208">
        <f>VLOOKUP(C23,'BD EVA 3 MTY'!$D$3:$AC$113,17,0)</f>
        <v>34.709999999999994</v>
      </c>
      <c r="I23" s="214">
        <f t="shared" ca="1" si="6"/>
        <v>0.85031691155286682</v>
      </c>
      <c r="J23" s="75" t="s">
        <v>318</v>
      </c>
      <c r="K23" s="82">
        <v>1.3</v>
      </c>
      <c r="L23" s="211">
        <f t="shared" ca="1" si="0"/>
        <v>1.105411985018727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MTY'!$D$3:$Y$113,4,0)</f>
        <v>44469</v>
      </c>
      <c r="E24" s="171">
        <f>VLOOKUP(C24,'BD EVA 3 MTY'!$D$3:$Q$110,14,0)</f>
        <v>5.12</v>
      </c>
      <c r="F24" s="75">
        <f>VLOOKUP(C24,'BD EVA 3 MTY'!$D$3:$AC$113,9,0)</f>
        <v>45199</v>
      </c>
      <c r="G24" s="171">
        <f ca="1">VLOOKUP(C24,'BD EVA 3 MTY'!$D$3:$AC$113,24,0)</f>
        <v>17.899999999999999</v>
      </c>
      <c r="H24" s="171">
        <f>VLOOKUP(C24,'BD EVA 3 MTY'!$D$3:$AC$113,17,0)</f>
        <v>11</v>
      </c>
      <c r="I24" s="214">
        <f ca="1">IF(H24="Sin meta",0,G24/H24)</f>
        <v>1.6272727272727272</v>
      </c>
      <c r="J24" s="75" t="s">
        <v>318</v>
      </c>
      <c r="K24" s="82">
        <v>2.65</v>
      </c>
      <c r="L24" s="209">
        <f t="shared" ca="1" si="0"/>
        <v>2.65</v>
      </c>
      <c r="M24" s="130">
        <f ca="1">SUM(L24:L27)</f>
        <v>7.78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MTY'!$D$3:$Y$113,4,0)</f>
        <v>octubre 20 - mar 21</v>
      </c>
      <c r="E25" s="340">
        <f>VLOOKUP(C25,'BD EVA 3 MTY'!$D$3:$Q$110,14,0)</f>
        <v>0</v>
      </c>
      <c r="F25" s="71" t="str">
        <f>VLOOKUP(C25,'BD EVA 3 MTY'!$D$3:$AC$113,9,0)</f>
        <v>octubre 22 - septiembre 23</v>
      </c>
      <c r="G25" s="212">
        <f ca="1">VLOOKUP(C25,'BD EVA 3 MTY'!$D$3:$AC$113,24,0)</f>
        <v>23420.4899999999</v>
      </c>
      <c r="H25" s="212">
        <f>VLOOKUP(C25,'BD EVA 3 MTY'!$D$3:$AC$113,17,0)</f>
        <v>19440</v>
      </c>
      <c r="I25" s="214">
        <f t="shared" ref="I25:I26" ca="1" si="7">G25/H25</f>
        <v>1.2047577160493776</v>
      </c>
      <c r="J25" s="75" t="s">
        <v>318</v>
      </c>
      <c r="K25" s="82">
        <v>2.33</v>
      </c>
      <c r="L25" s="209">
        <f t="shared" ca="1" si="0"/>
        <v>2.33</v>
      </c>
      <c r="M25" s="127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MTY'!$D$3:$Y$113,4,0)</f>
        <v>octubre 20 - mar 21</v>
      </c>
      <c r="E26" s="212">
        <f>VLOOKUP(C26,'BD EVA 3 MTY'!$D$3:$Q$110,14,0)</f>
        <v>0</v>
      </c>
      <c r="F26" s="71" t="str">
        <f>VLOOKUP(C26,'BD EVA 3 MTY'!$D$3:$AC$113,9,0)</f>
        <v>octubre 22 - septiembre 23</v>
      </c>
      <c r="G26" s="212">
        <f ca="1">VLOOKUP(C26,'BD EVA 3 MTY'!$D$3:$AC$113,24,0)</f>
        <v>122</v>
      </c>
      <c r="H26" s="212">
        <f>VLOOKUP(C26,'BD EVA 3 MTY'!$D$3:$AC$113,17,0)</f>
        <v>25</v>
      </c>
      <c r="I26" s="214">
        <f t="shared" ca="1" si="7"/>
        <v>4.88</v>
      </c>
      <c r="J26" s="75" t="s">
        <v>318</v>
      </c>
      <c r="K26" s="82">
        <v>2.8</v>
      </c>
      <c r="L26" s="209">
        <f t="shared" ca="1" si="0"/>
        <v>2.8</v>
      </c>
      <c r="M26" s="127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MTY'!$D$3:$Y$113,4,0)</f>
        <v>octubre 2018 - marzo 2019</v>
      </c>
      <c r="E27" s="212">
        <f>VLOOKUP(C27,'BD EVA 3 MTY'!$D$3:$Q$110,14,0)</f>
        <v>31401</v>
      </c>
      <c r="F27" s="71" t="str">
        <f>VLOOKUP(C27,'BD EVA 3 MTY'!$D$3:$AC$113,9,0)</f>
        <v>octubre 22 - septiembre 23</v>
      </c>
      <c r="G27" s="212">
        <f ca="1">VLOOKUP(C27,'BD EVA 3 MTY'!$D$3:$AC$113,24,0)</f>
        <v>33277</v>
      </c>
      <c r="H27" s="212">
        <f>VLOOKUP(C27,'BD EVA 3 MTY'!$D$3:$AC$113,17,0)</f>
        <v>30961</v>
      </c>
      <c r="I27" s="214">
        <f ca="1">(G27-E27)/(H27-E27)</f>
        <v>-4.2636363636363637</v>
      </c>
      <c r="J27" s="75" t="s">
        <v>319</v>
      </c>
      <c r="K27" s="82">
        <v>2.2200000000000002</v>
      </c>
      <c r="L27" s="209">
        <f t="shared" ca="1" si="0"/>
        <v>0</v>
      </c>
      <c r="M27" s="127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MTY'!$D$3:$Y$113,4,0)</f>
        <v>octubre 20 - mar 21</v>
      </c>
      <c r="E28" s="212">
        <f>VLOOKUP(C28,'BD EVA 3 MTY'!$D$3:$Q$110,14,0)</f>
        <v>12</v>
      </c>
      <c r="F28" s="89" t="str">
        <f>VLOOKUP(C28,'BD EVA 3 MTY'!$D$3:$AC$113,9,0)</f>
        <v>octubre 22 - septiembre 23</v>
      </c>
      <c r="G28" s="212">
        <f ca="1">VLOOKUP(C28,'BD EVA 3 MTY'!$D$3:$AC$113,24,0)</f>
        <v>178</v>
      </c>
      <c r="H28" s="212">
        <f>VLOOKUP(C28,'BD EVA 3 MTY'!$D$3:$AC$113,17,0)</f>
        <v>157</v>
      </c>
      <c r="I28" s="78">
        <f t="shared" ref="I28:I31" ca="1" si="8">G28/H28</f>
        <v>1.1337579617834395</v>
      </c>
      <c r="J28" s="89" t="s">
        <v>318</v>
      </c>
      <c r="K28" s="82">
        <v>2.5</v>
      </c>
      <c r="L28" s="209">
        <f t="shared" ca="1" si="0"/>
        <v>2.5</v>
      </c>
      <c r="M28" s="130">
        <f ca="1">SUM(L28:L31)</f>
        <v>7.5255741807212386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MTY'!$D$3:$Y$113,4,0)</f>
        <v>44469</v>
      </c>
      <c r="E29" s="212">
        <f>VLOOKUP(C29,'BD EVA 3 MTY'!$D$3:$Q$110,14,0)</f>
        <v>2</v>
      </c>
      <c r="F29" s="89">
        <f>VLOOKUP(C29,'BD EVA 3 MTY'!$D$3:$AC$113,9,0)</f>
        <v>45199</v>
      </c>
      <c r="G29" s="212">
        <f ca="1">VLOOKUP(C29,'BD EVA 3 MTY'!$D$3:$AC$113,24,0)</f>
        <v>9</v>
      </c>
      <c r="H29" s="212">
        <f>VLOOKUP(C29,'BD EVA 3 MTY'!$D$3:$AC$113,17,0)</f>
        <v>27</v>
      </c>
      <c r="I29" s="80">
        <f t="shared" ca="1" si="8"/>
        <v>0.33333333333333331</v>
      </c>
      <c r="J29" s="75" t="s">
        <v>318</v>
      </c>
      <c r="K29" s="71">
        <v>2.5</v>
      </c>
      <c r="L29" s="209">
        <f t="shared" ca="1" si="0"/>
        <v>0.83333333333333326</v>
      </c>
      <c r="M29" s="127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MTY'!$D$3:$Y$113,4,0)</f>
        <v>44469</v>
      </c>
      <c r="E30" s="212">
        <f>VLOOKUP(C30,'BD EVA 3 MTY'!$D$3:$Q$110,14,0)</f>
        <v>100</v>
      </c>
      <c r="F30" s="75">
        <f>VLOOKUP(C30,'BD EVA 3 MTY'!$D$3:$AC$113,9,0)</f>
        <v>45078</v>
      </c>
      <c r="G30" s="212">
        <f ca="1">VLOOKUP(C30,'BD EVA 3 MTY'!$D$3:$AC$113,24,0)</f>
        <v>98.5</v>
      </c>
      <c r="H30" s="212">
        <f>VLOOKUP(C30,'BD EVA 3 MTY'!$D$3:$AC$113,17,0)</f>
        <v>100</v>
      </c>
      <c r="I30" s="80">
        <f t="shared" ca="1" si="8"/>
        <v>0.98499999999999999</v>
      </c>
      <c r="J30" s="75" t="s">
        <v>318</v>
      </c>
      <c r="K30" s="71">
        <v>2.5</v>
      </c>
      <c r="L30" s="209">
        <f t="shared" ca="1" si="0"/>
        <v>2.4624999999999999</v>
      </c>
      <c r="M30" s="127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MTY'!$D$3:$Y$113,4,0)</f>
        <v>44469</v>
      </c>
      <c r="E31" s="212">
        <f>VLOOKUP(C31,'BD EVA 3 MTY'!$D$3:$Q$110,14,0)</f>
        <v>0</v>
      </c>
      <c r="F31" s="75">
        <f>VLOOKUP(C31,'BD EVA 3 MTY'!$D$3:$AC$113,9,0)</f>
        <v>45199</v>
      </c>
      <c r="G31" s="212">
        <f ca="1">VLOOKUP(C31,'BD EVA 3 MTY'!$D$3:$AC$113,24,0)</f>
        <v>2.7675853558206498</v>
      </c>
      <c r="H31" s="212">
        <f>VLOOKUP(C31,'BD EVA 3 MTY'!$D$3:$AC$113,17,0)</f>
        <v>4</v>
      </c>
      <c r="I31" s="80">
        <f t="shared" ca="1" si="8"/>
        <v>0.69189633895516245</v>
      </c>
      <c r="J31" s="75" t="s">
        <v>318</v>
      </c>
      <c r="K31" s="71">
        <v>2.5</v>
      </c>
      <c r="L31" s="209">
        <f t="shared" ca="1" si="0"/>
        <v>1.7297408473879061</v>
      </c>
      <c r="M31" s="127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6ABB0-B9C0-0B40-9416-54E6FF8B04C7}">
  <dimension ref="A1:AC114"/>
  <sheetViews>
    <sheetView workbookViewId="0">
      <selection sqref="A1:XFD1"/>
    </sheetView>
  </sheetViews>
  <sheetFormatPr baseColWidth="10" defaultRowHeight="16"/>
  <sheetData>
    <row r="1" spans="1:29" s="111" customFormat="1" ht="78">
      <c r="A1" s="61" t="s">
        <v>0</v>
      </c>
      <c r="B1" s="61" t="s">
        <v>1</v>
      </c>
      <c r="C1" s="61" t="s">
        <v>2</v>
      </c>
      <c r="D1" s="175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2" t="s">
        <v>29</v>
      </c>
      <c r="B2" s="2" t="s">
        <v>29</v>
      </c>
      <c r="C2" s="2" t="s">
        <v>30</v>
      </c>
      <c r="D2" s="148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1136308</v>
      </c>
      <c r="Q2" s="5">
        <v>1136308</v>
      </c>
      <c r="R2" s="4"/>
      <c r="S2" s="6"/>
      <c r="T2" s="6"/>
      <c r="U2" s="6"/>
      <c r="V2" s="6"/>
      <c r="W2" s="6"/>
      <c r="X2" s="5">
        <v>1149605</v>
      </c>
      <c r="Y2" s="5">
        <v>1149605</v>
      </c>
      <c r="Z2" s="5">
        <v>1164927</v>
      </c>
      <c r="AA2" s="5">
        <v>1164927</v>
      </c>
      <c r="AB2" s="5">
        <v>1182363</v>
      </c>
      <c r="AC2" s="5">
        <v>1182363</v>
      </c>
    </row>
    <row r="3" spans="1:29">
      <c r="A3" s="9" t="s">
        <v>34</v>
      </c>
      <c r="B3" s="9" t="s">
        <v>35</v>
      </c>
      <c r="C3" s="2" t="s">
        <v>36</v>
      </c>
      <c r="D3" s="148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1125</v>
      </c>
      <c r="Q3" s="12">
        <v>1125</v>
      </c>
      <c r="R3" s="6">
        <v>1180</v>
      </c>
      <c r="S3" s="6">
        <v>1240</v>
      </c>
      <c r="T3" s="6">
        <v>1300</v>
      </c>
      <c r="U3" s="6">
        <v>1360</v>
      </c>
      <c r="V3" s="6">
        <v>1425</v>
      </c>
      <c r="W3" s="6">
        <v>1425</v>
      </c>
      <c r="X3" s="12">
        <v>1122</v>
      </c>
      <c r="Y3" s="12">
        <f ca="1">IFERROR(__xludf.DUMMYFUNCTION("INDEX(IMPORTRANGE(""1y0FWgjbB0gVlqn-q5LMJbGIsqOrzru4yowQz67dz2yc"", ""'MTY'!BG3:BG139""),MATCH($D3,IMPORTRANGE(""1y0FWgjbB0gVlqn-q5LMJbGIsqOrzru4yowQz67dz2yc"", ""'MTY'!D3:D139""),0))"),1119)</f>
        <v>1119</v>
      </c>
      <c r="Z3" s="12">
        <f ca="1">IFERROR(__xludf.DUMMYFUNCTION("INDEX(IMPORTRANGE(""1y0FWgjbB0gVlqn-q5LMJbGIsqOrzru4yowQz67dz2yc"", ""'MTY'!BH3:BH139""),MATCH($D3,IMPORTRANGE(""1y0FWgjbB0gVlqn-q5LMJbGIsqOrzru4yowQz67dz2yc"", ""'MTY'!D3:D139""),0))"),1152)</f>
        <v>1152</v>
      </c>
      <c r="AA3" s="12">
        <f ca="1">IFERROR(__xludf.DUMMYFUNCTION("INDEX(IMPORTRANGE(""1y0FWgjbB0gVlqn-q5LMJbGIsqOrzru4yowQz67dz2yc"", ""'MTY'!BI3:BI139""),MATCH($D3,IMPORTRANGE(""1y0FWgjbB0gVlqn-q5LMJbGIsqOrzru4yowQz67dz2yc"", ""'MTY'!D3:D139""),0))"),1190)</f>
        <v>1190</v>
      </c>
      <c r="AB3" s="12">
        <f ca="1">IFERROR(__xludf.DUMMYFUNCTION("INDEX(IMPORTRANGE(""1y0FWgjbB0gVlqn-q5LMJbGIsqOrzru4yowQz67dz2yc"", ""'MTY'!BJ3:BJ139""),MATCH($D3,IMPORTRANGE(""1y0FWgjbB0gVlqn-q5LMJbGIsqOrzru4yowQz67dz2yc"", ""'MTY'!D3:D139""),0))"),1218)</f>
        <v>1218</v>
      </c>
      <c r="AC3" s="2"/>
    </row>
    <row r="4" spans="1:29">
      <c r="A4" s="9" t="s">
        <v>34</v>
      </c>
      <c r="B4" s="9" t="s">
        <v>40</v>
      </c>
      <c r="C4" s="2" t="s">
        <v>30</v>
      </c>
      <c r="D4" s="149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1055</v>
      </c>
      <c r="Q4" s="12">
        <v>1055</v>
      </c>
      <c r="R4" s="6"/>
      <c r="S4" s="6"/>
      <c r="T4" s="6"/>
      <c r="U4" s="6"/>
      <c r="V4" s="6"/>
      <c r="W4" s="6"/>
      <c r="X4" s="12">
        <v>1054</v>
      </c>
      <c r="Y4" s="12">
        <f ca="1">IFERROR(__xludf.DUMMYFUNCTION("INDEX(IMPORTRANGE(""1y0FWgjbB0gVlqn-q5LMJbGIsqOrzru4yowQz67dz2yc"", ""'MTY'!BG3:BG139""),MATCH($D4,IMPORTRANGE(""1y0FWgjbB0gVlqn-q5LMJbGIsqOrzru4yowQz67dz2yc"", ""'MTY'!D3:D139""),0))"),1070)</f>
        <v>1070</v>
      </c>
      <c r="Z4" s="12">
        <f ca="1">IFERROR(__xludf.DUMMYFUNCTION("INDEX(IMPORTRANGE(""1y0FWgjbB0gVlqn-q5LMJbGIsqOrzru4yowQz67dz2yc"", ""'MTY'!BH3:BH139""),MATCH($D4,IMPORTRANGE(""1y0FWgjbB0gVlqn-q5LMJbGIsqOrzru4yowQz67dz2yc"", ""'MTY'!D3:D139""),0))"),1097)</f>
        <v>1097</v>
      </c>
      <c r="AA4" s="12">
        <f ca="1">IFERROR(__xludf.DUMMYFUNCTION("INDEX(IMPORTRANGE(""1y0FWgjbB0gVlqn-q5LMJbGIsqOrzru4yowQz67dz2yc"", ""'MTY'!BI3:BI139""),MATCH($D4,IMPORTRANGE(""1y0FWgjbB0gVlqn-q5LMJbGIsqOrzru4yowQz67dz2yc"", ""'MTY'!D3:D139""),0))"),1118)</f>
        <v>1118</v>
      </c>
      <c r="AB4" s="12">
        <f ca="1">IFERROR(__xludf.DUMMYFUNCTION("INDEX(IMPORTRANGE(""1y0FWgjbB0gVlqn-q5LMJbGIsqOrzru4yowQz67dz2yc"", ""'MTY'!BJ3:BJ139""),MATCH($D4,IMPORTRANGE(""1y0FWgjbB0gVlqn-q5LMJbGIsqOrzru4yowQz67dz2yc"", ""'MTY'!D3:D139""),0))"),1157)</f>
        <v>1157</v>
      </c>
      <c r="AC4" s="2"/>
    </row>
    <row r="5" spans="1:29">
      <c r="A5" s="9" t="s">
        <v>34</v>
      </c>
      <c r="B5" s="9" t="s">
        <v>40</v>
      </c>
      <c r="C5" s="2" t="s">
        <v>36</v>
      </c>
      <c r="D5" s="148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0.93777777777777782</v>
      </c>
      <c r="Q5" s="15">
        <f t="shared" si="0"/>
        <v>0.93777777777777782</v>
      </c>
      <c r="R5" s="31" t="s">
        <v>327</v>
      </c>
      <c r="S5" s="31" t="s">
        <v>327</v>
      </c>
      <c r="T5" s="31" t="s">
        <v>327</v>
      </c>
      <c r="U5" s="31" t="s">
        <v>327</v>
      </c>
      <c r="V5" s="31" t="s">
        <v>327</v>
      </c>
      <c r="W5" s="31" t="s">
        <v>327</v>
      </c>
      <c r="X5" s="15">
        <f>X4/X3</f>
        <v>0.93939393939393945</v>
      </c>
      <c r="Y5" s="15">
        <f ca="1">IFERROR(__xludf.DUMMYFUNCTION("INDEX(IMPORTRANGE(""1y0FWgjbB0gVlqn-q5LMJbGIsqOrzru4yowQz67dz2yc"", ""'MTY'!BG3:BG139""),MATCH($D5,IMPORTRANGE(""1y0FWgjbB0gVlqn-q5LMJbGIsqOrzru4yowQz67dz2yc"", ""'MTY'!D3:D139""),0))"),0.956210902591599)</f>
        <v>0.95621090259159902</v>
      </c>
      <c r="Z5" s="15">
        <f ca="1">IFERROR(__xludf.DUMMYFUNCTION("INDEX(IMPORTRANGE(""1y0FWgjbB0gVlqn-q5LMJbGIsqOrzru4yowQz67dz2yc"", ""'MTY'!BH3:BH139""),MATCH($D5,IMPORTRANGE(""1y0FWgjbB0gVlqn-q5LMJbGIsqOrzru4yowQz67dz2yc"", ""'MTY'!D3:D139""),0))"),0.952256944444444)</f>
        <v>0.95225694444444398</v>
      </c>
      <c r="AA5" s="15">
        <f ca="1">IFERROR(__xludf.DUMMYFUNCTION("INDEX(IMPORTRANGE(""1y0FWgjbB0gVlqn-q5LMJbGIsqOrzru4yowQz67dz2yc"", ""'MTY'!BI3:BI139""),MATCH($D5,IMPORTRANGE(""1y0FWgjbB0gVlqn-q5LMJbGIsqOrzru4yowQz67dz2yc"", ""'MTY'!D3:D139""),0))"),0.939495798319327)</f>
        <v>0.93949579831932695</v>
      </c>
      <c r="AB5" s="15">
        <f ca="1">IFERROR(__xludf.DUMMYFUNCTION("INDEX(IMPORTRANGE(""1y0FWgjbB0gVlqn-q5LMJbGIsqOrzru4yowQz67dz2yc"", ""'MTY'!BJ3:BJ139""),MATCH($D5,IMPORTRANGE(""1y0FWgjbB0gVlqn-q5LMJbGIsqOrzru4yowQz67dz2yc"", ""'MTY'!D3:D139""),0))"),0.94991789819376)</f>
        <v>0.94991789819376005</v>
      </c>
      <c r="AC5" s="2"/>
    </row>
    <row r="6" spans="1:29">
      <c r="A6" s="9" t="s">
        <v>34</v>
      </c>
      <c r="B6" s="9" t="s">
        <v>45</v>
      </c>
      <c r="C6" s="2" t="s">
        <v>30</v>
      </c>
      <c r="D6" s="47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2"/>
      <c r="Y6" s="12">
        <f ca="1">IFERROR(__xludf.DUMMYFUNCTION("INDEX(IMPORTRANGE(""1y0FWgjbB0gVlqn-q5LMJbGIsqOrzru4yowQz67dz2yc"", ""'MTY'!BG3:BG139""),MATCH($D6,IMPORTRANGE(""1y0FWgjbB0gVlqn-q5LMJbGIsqOrzru4yowQz67dz2yc"", ""'MTY'!D3:D139""),0))"),16)</f>
        <v>16</v>
      </c>
      <c r="Z6" s="12">
        <f ca="1">IFERROR(__xludf.DUMMYFUNCTION("INDEX(IMPORTRANGE(""1y0FWgjbB0gVlqn-q5LMJbGIsqOrzru4yowQz67dz2yc"", ""'MTY'!BH3:BH139""),MATCH($D6,IMPORTRANGE(""1y0FWgjbB0gVlqn-q5LMJbGIsqOrzru4yowQz67dz2yc"", ""'MTY'!D3:D139""),0))"),21)</f>
        <v>21</v>
      </c>
      <c r="AA6" s="12">
        <f ca="1">IFERROR(__xludf.DUMMYFUNCTION("INDEX(IMPORTRANGE(""1y0FWgjbB0gVlqn-q5LMJbGIsqOrzru4yowQz67dz2yc"", ""'MTY'!BI3:BI139""),MATCH($D6,IMPORTRANGE(""1y0FWgjbB0gVlqn-q5LMJbGIsqOrzru4yowQz67dz2yc"", ""'MTY'!D3:D139""),0))"),23)</f>
        <v>23</v>
      </c>
      <c r="AB6" s="12">
        <f ca="1">IFERROR(__xludf.DUMMYFUNCTION("INDEX(IMPORTRANGE(""1y0FWgjbB0gVlqn-q5LMJbGIsqOrzru4yowQz67dz2yc"", ""'MTY'!BJ3:BJ139""),MATCH($D6,IMPORTRANGE(""1y0FWgjbB0gVlqn-q5LMJbGIsqOrzru4yowQz67dz2yc"", ""'MTY'!D3:D139""),0))"),30)</f>
        <v>30</v>
      </c>
      <c r="AC6" s="2"/>
    </row>
    <row r="7" spans="1:29">
      <c r="A7" s="9" t="s">
        <v>34</v>
      </c>
      <c r="B7" s="9" t="s">
        <v>45</v>
      </c>
      <c r="C7" s="2" t="s">
        <v>30</v>
      </c>
      <c r="D7" s="148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2"/>
      <c r="Q7" s="2"/>
      <c r="R7" s="2">
        <v>16</v>
      </c>
      <c r="S7" s="2">
        <v>16</v>
      </c>
      <c r="T7" s="2">
        <v>22</v>
      </c>
      <c r="U7" s="2">
        <v>22</v>
      </c>
      <c r="V7" s="2">
        <v>35</v>
      </c>
      <c r="W7" s="2">
        <v>35</v>
      </c>
      <c r="X7" s="2"/>
      <c r="Y7" s="12">
        <f ca="1">IFERROR(__xludf.DUMMYFUNCTION("INDEX(IMPORTRANGE(""1y0FWgjbB0gVlqn-q5LMJbGIsqOrzru4yowQz67dz2yc"", ""'MTY'!BG3:BG139""),MATCH($D7,IMPORTRANGE(""1y0FWgjbB0gVlqn-q5LMJbGIsqOrzru4yowQz67dz2yc"", ""'MTY'!D3:D139""),0))"),1)</f>
        <v>1</v>
      </c>
      <c r="Z7" s="12">
        <f ca="1">IFERROR(__xludf.DUMMYFUNCTION("INDEX(IMPORTRANGE(""1y0FWgjbB0gVlqn-q5LMJbGIsqOrzru4yowQz67dz2yc"", ""'MTY'!BH3:BH139""),MATCH($D7,IMPORTRANGE(""1y0FWgjbB0gVlqn-q5LMJbGIsqOrzru4yowQz67dz2yc"", ""'MTY'!D3:D139""),0))"),0)</f>
        <v>0</v>
      </c>
      <c r="AA7" s="12">
        <f ca="1">IFERROR(__xludf.DUMMYFUNCTION("INDEX(IMPORTRANGE(""1y0FWgjbB0gVlqn-q5LMJbGIsqOrzru4yowQz67dz2yc"", ""'MTY'!BI3:BI139""),MATCH($D7,IMPORTRANGE(""1y0FWgjbB0gVlqn-q5LMJbGIsqOrzru4yowQz67dz2yc"", ""'MTY'!D3:D139""),0))"),0)</f>
        <v>0</v>
      </c>
      <c r="AB7" s="12">
        <f ca="1">IFERROR(__xludf.DUMMYFUNCTION("INDEX(IMPORTRANGE(""1y0FWgjbB0gVlqn-q5LMJbGIsqOrzru4yowQz67dz2yc"", ""'MTY'!BJ3:BJ139""),MATCH($D7,IMPORTRANGE(""1y0FWgjbB0gVlqn-q5LMJbGIsqOrzru4yowQz67dz2yc"", ""'MTY'!D3:D139""),0))"),0)</f>
        <v>0</v>
      </c>
      <c r="AC7" s="2"/>
    </row>
    <row r="8" spans="1:29">
      <c r="A8" s="9" t="s">
        <v>34</v>
      </c>
      <c r="B8" s="9" t="s">
        <v>45</v>
      </c>
      <c r="C8" s="2" t="s">
        <v>36</v>
      </c>
      <c r="D8" s="148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15">
        <f t="shared" ref="R8:W8" si="2">R7/R3</f>
        <v>1.3559322033898305E-2</v>
      </c>
      <c r="S8" s="15">
        <f t="shared" si="2"/>
        <v>1.2903225806451613E-2</v>
      </c>
      <c r="T8" s="15">
        <f t="shared" si="2"/>
        <v>1.6923076923076923E-2</v>
      </c>
      <c r="U8" s="15">
        <f t="shared" si="2"/>
        <v>1.6176470588235296E-2</v>
      </c>
      <c r="V8" s="15">
        <f t="shared" si="2"/>
        <v>2.456140350877193E-2</v>
      </c>
      <c r="W8" s="15">
        <f t="shared" si="2"/>
        <v>2.456140350877193E-2</v>
      </c>
      <c r="X8" s="15">
        <f>X6/X3</f>
        <v>0</v>
      </c>
      <c r="Y8" s="15">
        <f ca="1">IFERROR(__xludf.DUMMYFUNCTION("INDEX(IMPORTRANGE(""1y0FWgjbB0gVlqn-q5LMJbGIsqOrzru4yowQz67dz2yc"", ""'MTY'!BG3:BG139""),MATCH($D8,IMPORTRANGE(""1y0FWgjbB0gVlqn-q5LMJbGIsqOrzru4yowQz67dz2yc"", ""'MTY'!D3:D139""),0))"),0.0151921358355674)</f>
        <v>1.5192135835567401E-2</v>
      </c>
      <c r="Z8" s="15">
        <f ca="1">IFERROR(__xludf.DUMMYFUNCTION("INDEX(IMPORTRANGE(""1y0FWgjbB0gVlqn-q5LMJbGIsqOrzru4yowQz67dz2yc"", ""'MTY'!BH3:BH139""),MATCH($D8,IMPORTRANGE(""1y0FWgjbB0gVlqn-q5LMJbGIsqOrzru4yowQz67dz2yc"", ""'MTY'!D3:D139""),0))"),0.0182291666666666)</f>
        <v>1.8229166666666598E-2</v>
      </c>
      <c r="AA8" s="15">
        <f ca="1">IFERROR(__xludf.DUMMYFUNCTION("INDEX(IMPORTRANGE(""1y0FWgjbB0gVlqn-q5LMJbGIsqOrzru4yowQz67dz2yc"", ""'MTY'!BI3:BI139""),MATCH($D8,IMPORTRANGE(""1y0FWgjbB0gVlqn-q5LMJbGIsqOrzru4yowQz67dz2yc"", ""'MTY'!D3:D139""),0))"),0.0193277310924369)</f>
        <v>1.9327731092436899E-2</v>
      </c>
      <c r="AB8" s="15">
        <f ca="1">IFERROR(__xludf.DUMMYFUNCTION("INDEX(IMPORTRANGE(""1y0FWgjbB0gVlqn-q5LMJbGIsqOrzru4yowQz67dz2yc"", ""'MTY'!BJ3:BJ139""),MATCH($D8,IMPORTRANGE(""1y0FWgjbB0gVlqn-q5LMJbGIsqOrzru4yowQz67dz2yc"", ""'MTY'!D3:D139""),0))"),0.0246305418719211)</f>
        <v>2.46305418719211E-2</v>
      </c>
      <c r="AC8" s="2"/>
    </row>
    <row r="9" spans="1:29">
      <c r="A9" s="9" t="s">
        <v>52</v>
      </c>
      <c r="B9" s="9" t="s">
        <v>53</v>
      </c>
      <c r="C9" s="2" t="s">
        <v>30</v>
      </c>
      <c r="D9" s="149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4"/>
      <c r="S9" s="4"/>
      <c r="T9" s="4"/>
      <c r="U9" s="4"/>
      <c r="V9" s="4"/>
      <c r="W9" s="4"/>
      <c r="X9" s="2">
        <v>0</v>
      </c>
      <c r="Y9" s="12">
        <f ca="1">IFERROR(__xludf.DUMMYFUNCTION("INDEX(IMPORTRANGE(""1y0FWgjbB0gVlqn-q5LMJbGIsqOrzru4yowQz67dz2yc"", ""'MTY'!BG3:BG139""),MATCH($D9,IMPORTRANGE(""1y0FWgjbB0gVlqn-q5LMJbGIsqOrzru4yowQz67dz2yc"", ""'MTY'!D3:D139""),0))"),0)</f>
        <v>0</v>
      </c>
      <c r="Z9" s="12">
        <f ca="1">IFERROR(__xludf.DUMMYFUNCTION("INDEX(IMPORTRANGE(""1y0FWgjbB0gVlqn-q5LMJbGIsqOrzru4yowQz67dz2yc"", ""'MTY'!BH3:BH139""),MATCH($D9,IMPORTRANGE(""1y0FWgjbB0gVlqn-q5LMJbGIsqOrzru4yowQz67dz2yc"", ""'MTY'!D3:D139""),0))"),151)</f>
        <v>151</v>
      </c>
      <c r="AA9" s="12">
        <f ca="1">IFERROR(__xludf.DUMMYFUNCTION("INDEX(IMPORTRANGE(""1y0FWgjbB0gVlqn-q5LMJbGIsqOrzru4yowQz67dz2yc"", ""'MTY'!BI3:BI139""),MATCH($D9,IMPORTRANGE(""1y0FWgjbB0gVlqn-q5LMJbGIsqOrzru4yowQz67dz2yc"", ""'MTY'!D3:D139""),0))"),266)</f>
        <v>266</v>
      </c>
      <c r="AB9" s="12">
        <f ca="1">IFERROR(__xludf.DUMMYFUNCTION("INDEX(IMPORTRANGE(""1y0FWgjbB0gVlqn-q5LMJbGIsqOrzru4yowQz67dz2yc"", ""'MTY'!BJ3:BJ139""),MATCH($D9,IMPORTRANGE(""1y0FWgjbB0gVlqn-q5LMJbGIsqOrzru4yowQz67dz2yc"", ""'MTY'!D3:D139""),0))"),148)</f>
        <v>148</v>
      </c>
      <c r="AC9" s="2"/>
    </row>
    <row r="10" spans="1:29">
      <c r="A10" s="9" t="s">
        <v>52</v>
      </c>
      <c r="B10" s="9" t="s">
        <v>53</v>
      </c>
      <c r="C10" s="2" t="s">
        <v>30</v>
      </c>
      <c r="D10" s="149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9450</v>
      </c>
      <c r="Q10" s="12">
        <v>17558</v>
      </c>
      <c r="R10" s="4"/>
      <c r="S10" s="4"/>
      <c r="T10" s="4"/>
      <c r="U10" s="4"/>
      <c r="V10" s="4"/>
      <c r="W10" s="4"/>
      <c r="X10" s="12">
        <v>9187</v>
      </c>
      <c r="Y10" s="12">
        <f ca="1">IFERROR(__xludf.DUMMYFUNCTION("INDEX(IMPORTRANGE(""1y0FWgjbB0gVlqn-q5LMJbGIsqOrzru4yowQz67dz2yc"", ""'MTY'!BG3:BG139""),MATCH($D10,IMPORTRANGE(""1y0FWgjbB0gVlqn-q5LMJbGIsqOrzru4yowQz67dz2yc"", ""'MTY'!D3:D139""),0))"),16911)</f>
        <v>16911</v>
      </c>
      <c r="Z10" s="12">
        <f ca="1">IFERROR(__xludf.DUMMYFUNCTION("INDEX(IMPORTRANGE(""1y0FWgjbB0gVlqn-q5LMJbGIsqOrzru4yowQz67dz2yc"", ""'MTY'!BH3:BH139""),MATCH($D10,IMPORTRANGE(""1y0FWgjbB0gVlqn-q5LMJbGIsqOrzru4yowQz67dz2yc"", ""'MTY'!D3:D139""),0))"),3271)</f>
        <v>3271</v>
      </c>
      <c r="AA10" s="12">
        <f ca="1">IFERROR(__xludf.DUMMYFUNCTION("INDEX(IMPORTRANGE(""1y0FWgjbB0gVlqn-q5LMJbGIsqOrzru4yowQz67dz2yc"", ""'MTY'!BI3:BI139""),MATCH($D10,IMPORTRANGE(""1y0FWgjbB0gVlqn-q5LMJbGIsqOrzru4yowQz67dz2yc"", ""'MTY'!D3:D139""),0))"),6698)</f>
        <v>6698</v>
      </c>
      <c r="AB10" s="12">
        <f ca="1">IFERROR(__xludf.DUMMYFUNCTION("INDEX(IMPORTRANGE(""1y0FWgjbB0gVlqn-q5LMJbGIsqOrzru4yowQz67dz2yc"", ""'MTY'!BJ3:BJ139""),MATCH($D10,IMPORTRANGE(""1y0FWgjbB0gVlqn-q5LMJbGIsqOrzru4yowQz67dz2yc"", ""'MTY'!D3:D139""),0))"),3680)</f>
        <v>3680</v>
      </c>
      <c r="AC10" s="2"/>
    </row>
    <row r="11" spans="1:29">
      <c r="A11" s="9" t="s">
        <v>52</v>
      </c>
      <c r="B11" s="9" t="s">
        <v>53</v>
      </c>
      <c r="C11" s="2" t="s">
        <v>36</v>
      </c>
      <c r="D11" s="149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3">P9/P10</f>
        <v>0</v>
      </c>
      <c r="Q11" s="15">
        <f t="shared" si="3"/>
        <v>0</v>
      </c>
      <c r="R11" s="26">
        <v>5.0000000000000001E-3</v>
      </c>
      <c r="S11" s="26">
        <v>0.01</v>
      </c>
      <c r="T11" s="26">
        <v>0.02</v>
      </c>
      <c r="U11" s="26">
        <v>3.5000000000000003E-2</v>
      </c>
      <c r="V11" s="26">
        <v>0.05</v>
      </c>
      <c r="W11" s="26">
        <v>0.05</v>
      </c>
      <c r="X11" s="15">
        <f>X9/X10</f>
        <v>0</v>
      </c>
      <c r="Y11" s="15">
        <f ca="1">IFERROR(__xludf.DUMMYFUNCTION("INDEX(IMPORTRANGE(""1y0FWgjbB0gVlqn-q5LMJbGIsqOrzru4yowQz67dz2yc"", ""'MTY'!BG3:BG139""),MATCH($D11,IMPORTRANGE(""1y0FWgjbB0gVlqn-q5LMJbGIsqOrzru4yowQz67dz2yc"", ""'MTY'!D3:D139""),0))"),0)</f>
        <v>0</v>
      </c>
      <c r="Z11" s="15">
        <f ca="1">IFERROR(__xludf.DUMMYFUNCTION("INDEX(IMPORTRANGE(""1y0FWgjbB0gVlqn-q5LMJbGIsqOrzru4yowQz67dz2yc"", ""'MTY'!BH3:BH139""),MATCH($D11,IMPORTRANGE(""1y0FWgjbB0gVlqn-q5LMJbGIsqOrzru4yowQz67dz2yc"", ""'MTY'!D3:D139""),0))"),0.0461632528278813)</f>
        <v>4.61632528278813E-2</v>
      </c>
      <c r="AA11" s="15">
        <f ca="1">IFERROR(__xludf.DUMMYFUNCTION("INDEX(IMPORTRANGE(""1y0FWgjbB0gVlqn-q5LMJbGIsqOrzru4yowQz67dz2yc"", ""'MTY'!BI3:BI139""),MATCH($D11,IMPORTRANGE(""1y0FWgjbB0gVlqn-q5LMJbGIsqOrzru4yowQz67dz2yc"", ""'MTY'!D3:D139""),0))"),0.0397133472678411)</f>
        <v>3.97133472678411E-2</v>
      </c>
      <c r="AB11" s="15">
        <f ca="1">IFERROR(__xludf.DUMMYFUNCTION("INDEX(IMPORTRANGE(""1y0FWgjbB0gVlqn-q5LMJbGIsqOrzru4yowQz67dz2yc"", ""'MTY'!BJ3:BJ139""),MATCH($D11,IMPORTRANGE(""1y0FWgjbB0gVlqn-q5LMJbGIsqOrzru4yowQz67dz2yc"", ""'MTY'!D3:D139""),0))"),0.0402173913043478)</f>
        <v>4.0217391304347802E-2</v>
      </c>
      <c r="AC11" s="2"/>
    </row>
    <row r="12" spans="1:29">
      <c r="A12" s="9" t="s">
        <v>52</v>
      </c>
      <c r="B12" s="9" t="s">
        <v>68</v>
      </c>
      <c r="C12" s="2" t="s">
        <v>30</v>
      </c>
      <c r="D12" s="149" t="s">
        <v>69</v>
      </c>
      <c r="E12" s="9" t="s">
        <v>444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/>
      <c r="Q12" s="12"/>
      <c r="R12" s="4"/>
      <c r="S12" s="4"/>
      <c r="T12" s="4"/>
      <c r="U12" s="4"/>
      <c r="V12" s="4"/>
      <c r="W12" s="4"/>
      <c r="X12" s="2">
        <v>21</v>
      </c>
      <c r="Y12" s="12">
        <f ca="1">IFERROR(__xludf.DUMMYFUNCTION("INDEX(IMPORTRANGE(""1y0FWgjbB0gVlqn-q5LMJbGIsqOrzru4yowQz67dz2yc"", ""'MTY'!BG3:BG139""),MATCH($D12,IMPORTRANGE(""1y0FWgjbB0gVlqn-q5LMJbGIsqOrzru4yowQz67dz2yc"", ""'MTY'!D3:D139""),0))"),53)</f>
        <v>53</v>
      </c>
      <c r="Z12" s="12">
        <f ca="1">IFERROR(__xludf.DUMMYFUNCTION("INDEX(IMPORTRANGE(""1y0FWgjbB0gVlqn-q5LMJbGIsqOrzru4yowQz67dz2yc"", ""'MTY'!BH3:BH139""),MATCH($D12,IMPORTRANGE(""1y0FWgjbB0gVlqn-q5LMJbGIsqOrzru4yowQz67dz2yc"", ""'MTY'!D3:D139""),0))"),45)</f>
        <v>45</v>
      </c>
      <c r="AA12" s="12">
        <f ca="1">IFERROR(__xludf.DUMMYFUNCTION("INDEX(IMPORTRANGE(""1y0FWgjbB0gVlqn-q5LMJbGIsqOrzru4yowQz67dz2yc"", ""'MTY'!BI3:BI139""),MATCH($D12,IMPORTRANGE(""1y0FWgjbB0gVlqn-q5LMJbGIsqOrzru4yowQz67dz2yc"", ""'MTY'!D3:D139""),0))"),96)</f>
        <v>96</v>
      </c>
      <c r="AB12" s="12">
        <f ca="1">IFERROR(__xludf.DUMMYFUNCTION("INDEX(IMPORTRANGE(""1y0FWgjbB0gVlqn-q5LMJbGIsqOrzru4yowQz67dz2yc"", ""'MTY'!BJ3:BJ139""),MATCH($D12,IMPORTRANGE(""1y0FWgjbB0gVlqn-q5LMJbGIsqOrzru4yowQz67dz2yc"", ""'MTY'!D3:D139""),0))"),43)</f>
        <v>43</v>
      </c>
      <c r="AC12" s="2"/>
    </row>
    <row r="13" spans="1:29">
      <c r="A13" s="9" t="s">
        <v>52</v>
      </c>
      <c r="B13" s="9" t="s">
        <v>68</v>
      </c>
      <c r="C13" s="2" t="s">
        <v>36</v>
      </c>
      <c r="D13" s="149" t="s">
        <v>72</v>
      </c>
      <c r="E13" s="9" t="s">
        <v>444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v>8</v>
      </c>
      <c r="Q13" s="23">
        <v>21</v>
      </c>
      <c r="R13" s="2">
        <v>20.7</v>
      </c>
      <c r="S13" s="2">
        <v>7.9</v>
      </c>
      <c r="T13" s="2">
        <v>20.2</v>
      </c>
      <c r="U13" s="2">
        <v>7.7</v>
      </c>
      <c r="V13" s="2">
        <v>19.600000000000001</v>
      </c>
      <c r="W13" s="2">
        <v>19.600000000000001</v>
      </c>
      <c r="X13" s="23">
        <f>(X12/306371)*100000</f>
        <v>6.8544346560216205</v>
      </c>
      <c r="Y13" s="23">
        <f ca="1">IFERROR(__xludf.DUMMYFUNCTION("INDEX(IMPORTRANGE(""1y0FWgjbB0gVlqn-q5LMJbGIsqOrzru4yowQz67dz2yc"", ""'MTY'!BG3:BG139""),MATCH($D13,IMPORTRANGE(""1y0FWgjbB0gVlqn-q5LMJbGIsqOrzru4yowQz67dz2yc"", ""'MTY'!D3:D139""),0))"),17.2992874651974)</f>
        <v>17.299287465197398</v>
      </c>
      <c r="Z13" s="23">
        <f ca="1">IFERROR(__xludf.DUMMYFUNCTION("INDEX(IMPORTRANGE(""1y0FWgjbB0gVlqn-q5LMJbGIsqOrzru4yowQz67dz2yc"", ""'MTY'!BH3:BH139""),MATCH($D13,IMPORTRANGE(""1y0FWgjbB0gVlqn-q5LMJbGIsqOrzru4yowQz67dz2yc"", ""'MTY'!D3:D139""),0))"),9.54073043832235)</f>
        <v>9.5407304383223508</v>
      </c>
      <c r="AA13" s="23">
        <f ca="1">IFERROR(__xludf.DUMMYFUNCTION("INDEX(IMPORTRANGE(""1y0FWgjbB0gVlqn-q5LMJbGIsqOrzru4yowQz67dz2yc"", ""'MTY'!BI3:BI139""),MATCH($D13,IMPORTRANGE(""1y0FWgjbB0gVlqn-q5LMJbGIsqOrzru4yowQz67dz2yc"", ""'MTY'!D3:D139""),0))"),20.353558268421)</f>
        <v>20.353558268421001</v>
      </c>
      <c r="AB13" s="23">
        <f ca="1">IFERROR(__xludf.DUMMYFUNCTION("INDEX(IMPORTRANGE(""1y0FWgjbB0gVlqn-q5LMJbGIsqOrzru4yowQz67dz2yc"", ""'MTY'!BJ3:BJ139""),MATCH($D13,IMPORTRANGE(""1y0FWgjbB0gVlqn-q5LMJbGIsqOrzru4yowQz67dz2yc"", ""'MTY'!D3:D139""),0))"),3.63678498058548)</f>
        <v>3.6367849805854799</v>
      </c>
      <c r="AC13" s="2"/>
    </row>
    <row r="14" spans="1:29">
      <c r="A14" s="9" t="s">
        <v>52</v>
      </c>
      <c r="B14" s="9" t="s">
        <v>68</v>
      </c>
      <c r="C14" s="2" t="s">
        <v>30</v>
      </c>
      <c r="D14" s="149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/>
      <c r="Q14" s="2"/>
      <c r="R14" s="4"/>
      <c r="S14" s="4"/>
      <c r="T14" s="4"/>
      <c r="U14" s="4"/>
      <c r="V14" s="4"/>
      <c r="W14" s="4"/>
      <c r="X14" s="2">
        <v>104</v>
      </c>
      <c r="Y14" s="12">
        <f ca="1">IFERROR(__xludf.DUMMYFUNCTION("INDEX(IMPORTRANGE(""1y0FWgjbB0gVlqn-q5LMJbGIsqOrzru4yowQz67dz2yc"", ""'MTY'!BG3:BG139""),MATCH($D14,IMPORTRANGE(""1y0FWgjbB0gVlqn-q5LMJbGIsqOrzru4yowQz67dz2yc"", ""'MTY'!D3:D139""),0))"),199)</f>
        <v>199</v>
      </c>
      <c r="Z14" s="12">
        <f ca="1">IFERROR(__xludf.DUMMYFUNCTION("INDEX(IMPORTRANGE(""1y0FWgjbB0gVlqn-q5LMJbGIsqOrzru4yowQz67dz2yc"", ""'MTY'!BH3:BH139""),MATCH($D14,IMPORTRANGE(""1y0FWgjbB0gVlqn-q5LMJbGIsqOrzru4yowQz67dz2yc"", ""'MTY'!D3:D139""),0))"),90)</f>
        <v>90</v>
      </c>
      <c r="AA14" s="12">
        <f ca="1">IFERROR(__xludf.DUMMYFUNCTION("INDEX(IMPORTRANGE(""1y0FWgjbB0gVlqn-q5LMJbGIsqOrzru4yowQz67dz2yc"", ""'MTY'!BI3:BI139""),MATCH($D14,IMPORTRANGE(""1y0FWgjbB0gVlqn-q5LMJbGIsqOrzru4yowQz67dz2yc"", ""'MTY'!D3:D139""),0))"),164)</f>
        <v>164</v>
      </c>
      <c r="AB14" s="12">
        <f ca="1">IFERROR(__xludf.DUMMYFUNCTION("INDEX(IMPORTRANGE(""1y0FWgjbB0gVlqn-q5LMJbGIsqOrzru4yowQz67dz2yc"", ""'MTY'!BJ3:BJ139""),MATCH($D14,IMPORTRANGE(""1y0FWgjbB0gVlqn-q5LMJbGIsqOrzru4yowQz67dz2yc"", ""'MTY'!D3:D139""),0))"),62)</f>
        <v>62</v>
      </c>
      <c r="AC14" s="2"/>
    </row>
    <row r="15" spans="1:29">
      <c r="A15" s="9" t="s">
        <v>52</v>
      </c>
      <c r="B15" s="9" t="s">
        <v>68</v>
      </c>
      <c r="C15" s="2" t="s">
        <v>30</v>
      </c>
      <c r="D15" s="149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/>
      <c r="Q15" s="2"/>
      <c r="R15" s="4"/>
      <c r="S15" s="4"/>
      <c r="T15" s="4"/>
      <c r="U15" s="4"/>
      <c r="V15" s="4"/>
      <c r="W15" s="4"/>
      <c r="X15" s="2">
        <v>528</v>
      </c>
      <c r="Y15" s="12">
        <f ca="1">IFERROR(__xludf.DUMMYFUNCTION("INDEX(IMPORTRANGE(""1y0FWgjbB0gVlqn-q5LMJbGIsqOrzru4yowQz67dz2yc"", ""'MTY'!BG3:BG139""),MATCH($D15,IMPORTRANGE(""1y0FWgjbB0gVlqn-q5LMJbGIsqOrzru4yowQz67dz2yc"", ""'MTY'!D3:D139""),0))"),931)</f>
        <v>931</v>
      </c>
      <c r="Z15" s="12">
        <f ca="1">IFERROR(__xludf.DUMMYFUNCTION("INDEX(IMPORTRANGE(""1y0FWgjbB0gVlqn-q5LMJbGIsqOrzru4yowQz67dz2yc"", ""'MTY'!BH3:BH139""),MATCH($D15,IMPORTRANGE(""1y0FWgjbB0gVlqn-q5LMJbGIsqOrzru4yowQz67dz2yc"", ""'MTY'!D3:D139""),0))"),408)</f>
        <v>408</v>
      </c>
      <c r="AA15" s="12">
        <f ca="1">IFERROR(__xludf.DUMMYFUNCTION("INDEX(IMPORTRANGE(""1y0FWgjbB0gVlqn-q5LMJbGIsqOrzru4yowQz67dz2yc"", ""'MTY'!BI3:BI139""),MATCH($D15,IMPORTRANGE(""1y0FWgjbB0gVlqn-q5LMJbGIsqOrzru4yowQz67dz2yc"", ""'MTY'!D3:D139""),0))"),735)</f>
        <v>735</v>
      </c>
      <c r="AB15" s="12">
        <f ca="1">IFERROR(__xludf.DUMMYFUNCTION("INDEX(IMPORTRANGE(""1y0FWgjbB0gVlqn-q5LMJbGIsqOrzru4yowQz67dz2yc"", ""'MTY'!BJ3:BJ139""),MATCH($D15,IMPORTRANGE(""1y0FWgjbB0gVlqn-q5LMJbGIsqOrzru4yowQz67dz2yc"", ""'MTY'!D3:D139""),0))"),257)</f>
        <v>257</v>
      </c>
      <c r="AC15" s="2"/>
    </row>
    <row r="16" spans="1:29">
      <c r="A16" s="9" t="s">
        <v>52</v>
      </c>
      <c r="B16" s="9" t="s">
        <v>68</v>
      </c>
      <c r="C16" s="2" t="s">
        <v>30</v>
      </c>
      <c r="D16" s="149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/>
      <c r="Q16" s="2"/>
      <c r="R16" s="4"/>
      <c r="S16" s="4"/>
      <c r="T16" s="4"/>
      <c r="U16" s="4"/>
      <c r="V16" s="4"/>
      <c r="W16" s="4"/>
      <c r="X16" s="2">
        <v>144</v>
      </c>
      <c r="Y16" s="12">
        <f ca="1">IFERROR(__xludf.DUMMYFUNCTION("INDEX(IMPORTRANGE(""1y0FWgjbB0gVlqn-q5LMJbGIsqOrzru4yowQz67dz2yc"", ""'MTY'!BG3:BG139""),MATCH($D16,IMPORTRANGE(""1y0FWgjbB0gVlqn-q5LMJbGIsqOrzru4yowQz67dz2yc"", ""'MTY'!D3:D139""),0))"),285)</f>
        <v>285</v>
      </c>
      <c r="Z16" s="12">
        <f ca="1">IFERROR(__xludf.DUMMYFUNCTION("INDEX(IMPORTRANGE(""1y0FWgjbB0gVlqn-q5LMJbGIsqOrzru4yowQz67dz2yc"", ""'MTY'!BH3:BH139""),MATCH($D16,IMPORTRANGE(""1y0FWgjbB0gVlqn-q5LMJbGIsqOrzru4yowQz67dz2yc"", ""'MTY'!D3:D139""),0))"),183)</f>
        <v>183</v>
      </c>
      <c r="AA16" s="12">
        <f ca="1">IFERROR(__xludf.DUMMYFUNCTION("INDEX(IMPORTRANGE(""1y0FWgjbB0gVlqn-q5LMJbGIsqOrzru4yowQz67dz2yc"", ""'MTY'!BI3:BI139""),MATCH($D16,IMPORTRANGE(""1y0FWgjbB0gVlqn-q5LMJbGIsqOrzru4yowQz67dz2yc"", ""'MTY'!D3:D139""),0))"),373)</f>
        <v>373</v>
      </c>
      <c r="AB16" s="12">
        <f ca="1">IFERROR(__xludf.DUMMYFUNCTION("INDEX(IMPORTRANGE(""1y0FWgjbB0gVlqn-q5LMJbGIsqOrzru4yowQz67dz2yc"", ""'MTY'!BJ3:BJ139""),MATCH($D16,IMPORTRANGE(""1y0FWgjbB0gVlqn-q5LMJbGIsqOrzru4yowQz67dz2yc"", ""'MTY'!D3:D139""),0))"),168)</f>
        <v>168</v>
      </c>
      <c r="AC16" s="2"/>
    </row>
    <row r="17" spans="1:29">
      <c r="A17" s="9" t="s">
        <v>52</v>
      </c>
      <c r="B17" s="9" t="s">
        <v>68</v>
      </c>
      <c r="C17" s="2" t="s">
        <v>30</v>
      </c>
      <c r="D17" s="149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/>
      <c r="Q17" s="2"/>
      <c r="R17" s="4"/>
      <c r="S17" s="4"/>
      <c r="T17" s="4"/>
      <c r="U17" s="4"/>
      <c r="V17" s="4"/>
      <c r="W17" s="4"/>
      <c r="X17" s="2">
        <v>78</v>
      </c>
      <c r="Y17" s="12">
        <f ca="1">IFERROR(__xludf.DUMMYFUNCTION("INDEX(IMPORTRANGE(""1y0FWgjbB0gVlqn-q5LMJbGIsqOrzru4yowQz67dz2yc"", ""'MTY'!BG3:BG139""),MATCH($D17,IMPORTRANGE(""1y0FWgjbB0gVlqn-q5LMJbGIsqOrzru4yowQz67dz2yc"", ""'MTY'!D3:D139""),0))"),151)</f>
        <v>151</v>
      </c>
      <c r="Z17" s="12">
        <f ca="1">IFERROR(__xludf.DUMMYFUNCTION("INDEX(IMPORTRANGE(""1y0FWgjbB0gVlqn-q5LMJbGIsqOrzru4yowQz67dz2yc"", ""'MTY'!BH3:BH139""),MATCH($D17,IMPORTRANGE(""1y0FWgjbB0gVlqn-q5LMJbGIsqOrzru4yowQz67dz2yc"", ""'MTY'!D3:D139""),0))"),51)</f>
        <v>51</v>
      </c>
      <c r="AA17" s="12">
        <f ca="1">IFERROR(__xludf.DUMMYFUNCTION("INDEX(IMPORTRANGE(""1y0FWgjbB0gVlqn-q5LMJbGIsqOrzru4yowQz67dz2yc"", ""'MTY'!BI3:BI139""),MATCH($D17,IMPORTRANGE(""1y0FWgjbB0gVlqn-q5LMJbGIsqOrzru4yowQz67dz2yc"", ""'MTY'!D3:D139""),0))"),100)</f>
        <v>100</v>
      </c>
      <c r="AB17" s="12">
        <f ca="1">IFERROR(__xludf.DUMMYFUNCTION("INDEX(IMPORTRANGE(""1y0FWgjbB0gVlqn-q5LMJbGIsqOrzru4yowQz67dz2yc"", ""'MTY'!BJ3:BJ139""),MATCH($D17,IMPORTRANGE(""1y0FWgjbB0gVlqn-q5LMJbGIsqOrzru4yowQz67dz2yc"", ""'MTY'!D3:D139""),0))"),40)</f>
        <v>40</v>
      </c>
      <c r="AC17" s="2"/>
    </row>
    <row r="18" spans="1:29">
      <c r="A18" s="21" t="s">
        <v>52</v>
      </c>
      <c r="B18" s="21" t="s">
        <v>68</v>
      </c>
      <c r="C18" s="22" t="s">
        <v>30</v>
      </c>
      <c r="D18" s="21" t="s">
        <v>342</v>
      </c>
      <c r="E18" s="21" t="str">
        <f>E17</f>
        <v>Secretaría de Seguridad Pública del Estado, CONAPO</v>
      </c>
      <c r="F18" s="472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0</v>
      </c>
      <c r="Q18" s="262">
        <f t="shared" si="4"/>
        <v>0</v>
      </c>
      <c r="R18" s="473"/>
      <c r="S18" s="473"/>
      <c r="T18" s="473"/>
      <c r="U18" s="473"/>
      <c r="V18" s="473"/>
      <c r="W18" s="473"/>
      <c r="X18" s="262">
        <f t="shared" ref="X18:AA18" si="5">SUM(X14:X17)</f>
        <v>854</v>
      </c>
      <c r="Y18" s="262">
        <f t="shared" ca="1" si="5"/>
        <v>1566</v>
      </c>
      <c r="Z18" s="262">
        <f t="shared" ca="1" si="5"/>
        <v>732</v>
      </c>
      <c r="AA18" s="262">
        <f t="shared" ca="1" si="5"/>
        <v>1372</v>
      </c>
      <c r="AB18" s="262">
        <f ca="1">IFERROR(__xludf.DUMMYFUNCTION("INDEX(IMPORTRANGE(""1y0FWgjbB0gVlqn-q5LMJbGIsqOrzru4yowQz67dz2yc"", ""'MTY'!BJ3:BJ139""),MATCH($D18,IMPORTRANGE(""1y0FWgjbB0gVlqn-q5LMJbGIsqOrzru4yowQz67dz2yc"", ""'MTY'!D3:D139""),0))"),527)</f>
        <v>527</v>
      </c>
      <c r="AC18" s="268"/>
    </row>
    <row r="19" spans="1:29">
      <c r="A19" s="9" t="s">
        <v>52</v>
      </c>
      <c r="B19" s="9" t="s">
        <v>68</v>
      </c>
      <c r="C19" s="2" t="s">
        <v>36</v>
      </c>
      <c r="D19" s="149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v>222</v>
      </c>
      <c r="Q19" s="23">
        <v>392</v>
      </c>
      <c r="R19" s="2">
        <v>383.8</v>
      </c>
      <c r="S19" s="2">
        <v>211.8</v>
      </c>
      <c r="T19" s="2">
        <v>374.9</v>
      </c>
      <c r="U19" s="2">
        <v>206.7</v>
      </c>
      <c r="V19" s="2">
        <v>365.7</v>
      </c>
      <c r="W19" s="2">
        <v>365.7</v>
      </c>
      <c r="X19" s="23">
        <f>(SUM(X14:X17)/306371)*100000</f>
        <v>278.74700934487925</v>
      </c>
      <c r="Y19" s="23">
        <f ca="1">IFERROR(__xludf.DUMMYFUNCTION("INDEX(IMPORTRANGE(""1y0FWgjbB0gVlqn-q5LMJbGIsqOrzru4yowQz67dz2yc"", ""'MTY'!BG3:BG139""),MATCH($D19,IMPORTRANGE(""1y0FWgjbB0gVlqn-q5LMJbGIsqOrzru4yowQz67dz2yc"", ""'MTY'!D3:D139""),0))"),511.14498434904)</f>
        <v>511.14498434903999</v>
      </c>
      <c r="Z19" s="23">
        <f ca="1">IFERROR(__xludf.DUMMYFUNCTION("INDEX(IMPORTRANGE(""1y0FWgjbB0gVlqn-q5LMJbGIsqOrzru4yowQz67dz2yc"", ""'MTY'!BH3:BH139""),MATCH($D19,IMPORTRANGE(""1y0FWgjbB0gVlqn-q5LMJbGIsqOrzru4yowQz67dz2yc"", ""'MTY'!D3:D139""),0))"),155.19588179671)</f>
        <v>155.19588179671001</v>
      </c>
      <c r="AA19" s="23">
        <f ca="1">IFERROR(__xludf.DUMMYFUNCTION("INDEX(IMPORTRANGE(""1y0FWgjbB0gVlqn-q5LMJbGIsqOrzru4yowQz67dz2yc"", ""'MTY'!BI3:BI139""),MATCH($D19,IMPORTRANGE(""1y0FWgjbB0gVlqn-q5LMJbGIsqOrzru4yowQz67dz2yc"", ""'MTY'!D3:D139""),0))"),290.88627025285)</f>
        <v>290.88627025285001</v>
      </c>
      <c r="AB19" s="23">
        <f ca="1">IFERROR(__xludf.DUMMYFUNCTION("INDEX(IMPORTRANGE(""1y0FWgjbB0gVlqn-q5LMJbGIsqOrzru4yowQz67dz2yc"", ""'MTY'!BJ3:BJ139""),MATCH($D19,IMPORTRANGE(""1y0FWgjbB0gVlqn-q5LMJbGIsqOrzru4yowQz67dz2yc"", ""'MTY'!D3:D139""),0))"),44.5717601108965)</f>
        <v>44.571760110896498</v>
      </c>
      <c r="AC19" s="2"/>
    </row>
    <row r="20" spans="1:29">
      <c r="A20" s="9" t="s">
        <v>52</v>
      </c>
      <c r="B20" s="9" t="s">
        <v>86</v>
      </c>
      <c r="C20" s="2" t="s">
        <v>30</v>
      </c>
      <c r="D20" s="149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/>
      <c r="Q20" s="2"/>
      <c r="R20" s="4"/>
      <c r="S20" s="4"/>
      <c r="T20" s="4"/>
      <c r="U20" s="4"/>
      <c r="V20" s="4"/>
      <c r="W20" s="4"/>
      <c r="X20" s="2">
        <v>445</v>
      </c>
      <c r="Y20" s="12">
        <f ca="1">IFERROR(__xludf.DUMMYFUNCTION("INDEX(IMPORTRANGE(""1y0FWgjbB0gVlqn-q5LMJbGIsqOrzru4yowQz67dz2yc"", ""'MTY'!BG3:BG139""),MATCH($D20,IMPORTRANGE(""1y0FWgjbB0gVlqn-q5LMJbGIsqOrzru4yowQz67dz2yc"", ""'MTY'!D3:D139""),0))"),981)</f>
        <v>981</v>
      </c>
      <c r="Z20" s="12">
        <f ca="1">IFERROR(__xludf.DUMMYFUNCTION("INDEX(IMPORTRANGE(""1y0FWgjbB0gVlqn-q5LMJbGIsqOrzru4yowQz67dz2yc"", ""'MTY'!BH3:BH139""),MATCH($D20,IMPORTRANGE(""1y0FWgjbB0gVlqn-q5LMJbGIsqOrzru4yowQz67dz2yc"", ""'MTY'!D3:D139""),0))"),379)</f>
        <v>379</v>
      </c>
      <c r="AA20" s="12">
        <f ca="1">IFERROR(__xludf.DUMMYFUNCTION("INDEX(IMPORTRANGE(""1y0FWgjbB0gVlqn-q5LMJbGIsqOrzru4yowQz67dz2yc"", ""'MTY'!BI3:BI139""),MATCH($D20,IMPORTRANGE(""1y0FWgjbB0gVlqn-q5LMJbGIsqOrzru4yowQz67dz2yc"", ""'MTY'!D3:D139""),0))"),955)</f>
        <v>955</v>
      </c>
      <c r="AB20" s="12">
        <f ca="1">IFERROR(__xludf.DUMMYFUNCTION("INDEX(IMPORTRANGE(""1y0FWgjbB0gVlqn-q5LMJbGIsqOrzru4yowQz67dz2yc"", ""'MTY'!BJ3:BJ139""),MATCH($D20,IMPORTRANGE(""1y0FWgjbB0gVlqn-q5LMJbGIsqOrzru4yowQz67dz2yc"", ""'MTY'!D3:D139""),0))"),330)</f>
        <v>330</v>
      </c>
      <c r="AC20" s="2"/>
    </row>
    <row r="21" spans="1:29">
      <c r="A21" s="9" t="s">
        <v>52</v>
      </c>
      <c r="B21" s="9" t="s">
        <v>86</v>
      </c>
      <c r="C21" s="2" t="s">
        <v>36</v>
      </c>
      <c r="D21" s="149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v>95</v>
      </c>
      <c r="Q21" s="23">
        <v>211</v>
      </c>
      <c r="R21" s="2">
        <v>206.2</v>
      </c>
      <c r="S21" s="2">
        <v>90.4</v>
      </c>
      <c r="T21" s="2">
        <v>201.4</v>
      </c>
      <c r="U21" s="2">
        <v>88.2</v>
      </c>
      <c r="V21" s="2">
        <v>196.5</v>
      </c>
      <c r="W21" s="2">
        <v>196.5</v>
      </c>
      <c r="X21" s="23">
        <f>(X20/306371)*100000</f>
        <v>145.24873437760101</v>
      </c>
      <c r="Y21" s="23">
        <f ca="1">IFERROR(__xludf.DUMMYFUNCTION("INDEX(IMPORTRANGE(""1y0FWgjbB0gVlqn-q5LMJbGIsqOrzru4yowQz67dz2yc"", ""'MTY'!BG3:BG139""),MATCH($D21,IMPORTRANGE(""1y0FWgjbB0gVlqn-q5LMJbGIsqOrzru4yowQz67dz2yc"", ""'MTY'!D3:D139""),0))"),320.200018931295)</f>
        <v>320.20001893129501</v>
      </c>
      <c r="Z21" s="23">
        <f ca="1">IFERROR(__xludf.DUMMYFUNCTION("INDEX(IMPORTRANGE(""1y0FWgjbB0gVlqn-q5LMJbGIsqOrzru4yowQz67dz2yc"", ""'MTY'!BH3:BH139""),MATCH($D21,IMPORTRANGE(""1y0FWgjbB0gVlqn-q5LMJbGIsqOrzru4yowQz67dz2yc"", ""'MTY'!D3:D139""),0))"),80.3541519138705)</f>
        <v>80.354151913870496</v>
      </c>
      <c r="AA21" s="23">
        <f ca="1">IFERROR(__xludf.DUMMYFUNCTION("INDEX(IMPORTRANGE(""1y0FWgjbB0gVlqn-q5LMJbGIsqOrzru4yowQz67dz2yc"", ""'MTY'!BI3:BI139""),MATCH($D21,IMPORTRANGE(""1y0FWgjbB0gVlqn-q5LMJbGIsqOrzru4yowQz67dz2yc"", ""'MTY'!D3:D139""),0))"),202.475501524396)</f>
        <v>202.47550152439601</v>
      </c>
      <c r="AB21" s="23">
        <f ca="1">IFERROR(__xludf.DUMMYFUNCTION("INDEX(IMPORTRANGE(""1y0FWgjbB0gVlqn-q5LMJbGIsqOrzru4yowQz67dz2yc"", ""'MTY'!BJ3:BJ139""),MATCH($D21,IMPORTRANGE(""1y0FWgjbB0gVlqn-q5LMJbGIsqOrzru4yowQz67dz2yc"", ""'MTY'!D3:D139""),0))"),27.9102103161211)</f>
        <v>27.910210316121098</v>
      </c>
      <c r="AC21" s="2"/>
    </row>
    <row r="22" spans="1:29">
      <c r="A22" s="9" t="s">
        <v>52</v>
      </c>
      <c r="B22" s="9" t="s">
        <v>86</v>
      </c>
      <c r="C22" s="2" t="s">
        <v>30</v>
      </c>
      <c r="D22" s="149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/>
      <c r="Q22" s="2"/>
      <c r="R22" s="4"/>
      <c r="S22" s="4"/>
      <c r="T22" s="4"/>
      <c r="U22" s="4"/>
      <c r="V22" s="4"/>
      <c r="W22" s="4"/>
      <c r="X22" s="2">
        <v>112</v>
      </c>
      <c r="Y22" s="12">
        <f ca="1">IFERROR(__xludf.DUMMYFUNCTION("INDEX(IMPORTRANGE(""1y0FWgjbB0gVlqn-q5LMJbGIsqOrzru4yowQz67dz2yc"", ""'MTY'!BG3:BG139""),MATCH($D22,IMPORTRANGE(""1y0FWgjbB0gVlqn-q5LMJbGIsqOrzru4yowQz67dz2yc"", ""'MTY'!D3:D139""),0))"),242)</f>
        <v>242</v>
      </c>
      <c r="Z22" s="12">
        <f ca="1">IFERROR(__xludf.DUMMYFUNCTION("INDEX(IMPORTRANGE(""1y0FWgjbB0gVlqn-q5LMJbGIsqOrzru4yowQz67dz2yc"", ""'MTY'!BH3:BH139""),MATCH($D22,IMPORTRANGE(""1y0FWgjbB0gVlqn-q5LMJbGIsqOrzru4yowQz67dz2yc"", ""'MTY'!D3:D139""),0))"),90)</f>
        <v>90</v>
      </c>
      <c r="AA22" s="12">
        <f ca="1">IFERROR(__xludf.DUMMYFUNCTION("INDEX(IMPORTRANGE(""1y0FWgjbB0gVlqn-q5LMJbGIsqOrzru4yowQz67dz2yc"", ""'MTY'!BI3:BI139""),MATCH($D22,IMPORTRANGE(""1y0FWgjbB0gVlqn-q5LMJbGIsqOrzru4yowQz67dz2yc"", ""'MTY'!D3:D139""),0))"),223)</f>
        <v>223</v>
      </c>
      <c r="AB22" s="12">
        <f ca="1">IFERROR(__xludf.DUMMYFUNCTION("INDEX(IMPORTRANGE(""1y0FWgjbB0gVlqn-q5LMJbGIsqOrzru4yowQz67dz2yc"", ""'MTY'!BJ3:BJ139""),MATCH($D22,IMPORTRANGE(""1y0FWgjbB0gVlqn-q5LMJbGIsqOrzru4yowQz67dz2yc"", ""'MTY'!D3:D139""),0))"),78)</f>
        <v>78</v>
      </c>
      <c r="AC22" s="2"/>
    </row>
    <row r="23" spans="1:29">
      <c r="A23" s="9" t="s">
        <v>52</v>
      </c>
      <c r="B23" s="9" t="s">
        <v>86</v>
      </c>
      <c r="C23" s="2" t="s">
        <v>36</v>
      </c>
      <c r="D23" s="149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v>27</v>
      </c>
      <c r="Q23" s="23">
        <v>58</v>
      </c>
      <c r="R23" s="2">
        <v>57</v>
      </c>
      <c r="S23" s="2">
        <v>25.5</v>
      </c>
      <c r="T23" s="2">
        <v>55.7</v>
      </c>
      <c r="U23" s="2">
        <v>24.9</v>
      </c>
      <c r="V23" s="2">
        <v>54.4</v>
      </c>
      <c r="W23" s="2">
        <v>54.4</v>
      </c>
      <c r="X23" s="23">
        <f>(X22/306371)*100000</f>
        <v>36.556984832115312</v>
      </c>
      <c r="Y23" s="23">
        <f ca="1">IFERROR(__xludf.DUMMYFUNCTION("INDEX(IMPORTRANGE(""1y0FWgjbB0gVlqn-q5LMJbGIsqOrzru4yowQz67dz2yc"", ""'MTY'!BG3:BG139""),MATCH($D23,IMPORTRANGE(""1y0FWgjbB0gVlqn-q5LMJbGIsqOrzru4yowQz67dz2yc"", ""'MTY'!D3:D139""),0))"),78.989199369392)</f>
        <v>78.989199369391997</v>
      </c>
      <c r="Z23" s="23">
        <f ca="1">IFERROR(__xludf.DUMMYFUNCTION("INDEX(IMPORTRANGE(""1y0FWgjbB0gVlqn-q5LMJbGIsqOrzru4yowQz67dz2yc"", ""'MTY'!BH3:BH139""),MATCH($D23,IMPORTRANGE(""1y0FWgjbB0gVlqn-q5LMJbGIsqOrzru4yowQz67dz2yc"", ""'MTY'!D3:D139""),0))"),19.0814608766447)</f>
        <v>19.081460876644702</v>
      </c>
      <c r="AA23" s="23">
        <f ca="1">IFERROR(__xludf.DUMMYFUNCTION("INDEX(IMPORTRANGE(""1y0FWgjbB0gVlqn-q5LMJbGIsqOrzru4yowQz67dz2yc"", ""'MTY'!BI3:BI139""),MATCH($D23,IMPORTRANGE(""1y0FWgjbB0gVlqn-q5LMJbGIsqOrzru4yowQz67dz2yc"", ""'MTY'!D3:D139""),0))"),47.2796197276863)</f>
        <v>47.279619727686303</v>
      </c>
      <c r="AB23" s="23">
        <f ca="1">IFERROR(__xludf.DUMMYFUNCTION("INDEX(IMPORTRANGE(""1y0FWgjbB0gVlqn-q5LMJbGIsqOrzru4yowQz67dz2yc"", ""'MTY'!BJ3:BJ139""),MATCH($D23,IMPORTRANGE(""1y0FWgjbB0gVlqn-q5LMJbGIsqOrzru4yowQz67dz2yc"", ""'MTY'!D3:D139""),0))"),6.59695880199228)</f>
        <v>6.5969588019922796</v>
      </c>
      <c r="AC23" s="2"/>
    </row>
    <row r="24" spans="1:29">
      <c r="A24" s="9" t="s">
        <v>52</v>
      </c>
      <c r="B24" s="9" t="s">
        <v>86</v>
      </c>
      <c r="C24" s="2" t="s">
        <v>30</v>
      </c>
      <c r="D24" s="149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/>
      <c r="Q24" s="2"/>
      <c r="R24" s="4"/>
      <c r="S24" s="4"/>
      <c r="T24" s="4"/>
      <c r="U24" s="4"/>
      <c r="V24" s="4"/>
      <c r="W24" s="4"/>
      <c r="X24" s="2">
        <v>9</v>
      </c>
      <c r="Y24" s="12">
        <f ca="1">IFERROR(__xludf.DUMMYFUNCTION("INDEX(IMPORTRANGE(""1y0FWgjbB0gVlqn-q5LMJbGIsqOrzru4yowQz67dz2yc"", ""'MTY'!BG3:BG139""),MATCH($D24,IMPORTRANGE(""1y0FWgjbB0gVlqn-q5LMJbGIsqOrzru4yowQz67dz2yc"", ""'MTY'!D3:D139""),0))"),25)</f>
        <v>25</v>
      </c>
      <c r="Z24" s="12">
        <f ca="1">IFERROR(__xludf.DUMMYFUNCTION("INDEX(IMPORTRANGE(""1y0FWgjbB0gVlqn-q5LMJbGIsqOrzru4yowQz67dz2yc"", ""'MTY'!BH3:BH139""),MATCH($D24,IMPORTRANGE(""1y0FWgjbB0gVlqn-q5LMJbGIsqOrzru4yowQz67dz2yc"", ""'MTY'!D3:D139""),0))"),19)</f>
        <v>19</v>
      </c>
      <c r="AA24" s="12">
        <f ca="1">IFERROR(__xludf.DUMMYFUNCTION("INDEX(IMPORTRANGE(""1y0FWgjbB0gVlqn-q5LMJbGIsqOrzru4yowQz67dz2yc"", ""'MTY'!BI3:BI139""),MATCH($D24,IMPORTRANGE(""1y0FWgjbB0gVlqn-q5LMJbGIsqOrzru4yowQz67dz2yc"", ""'MTY'!D3:D139""),0))"),57)</f>
        <v>57</v>
      </c>
      <c r="AB24" s="12">
        <f ca="1">IFERROR(__xludf.DUMMYFUNCTION("INDEX(IMPORTRANGE(""1y0FWgjbB0gVlqn-q5LMJbGIsqOrzru4yowQz67dz2yc"", ""'MTY'!BJ3:BJ139""),MATCH($D24,IMPORTRANGE(""1y0FWgjbB0gVlqn-q5LMJbGIsqOrzru4yowQz67dz2yc"", ""'MTY'!D3:D139""),0))"),18)</f>
        <v>18</v>
      </c>
      <c r="AC24" s="2"/>
    </row>
    <row r="25" spans="1:29">
      <c r="A25" s="9" t="s">
        <v>52</v>
      </c>
      <c r="B25" s="9" t="s">
        <v>86</v>
      </c>
      <c r="C25" s="2" t="s">
        <v>30</v>
      </c>
      <c r="D25" s="149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/>
      <c r="Q25" s="2"/>
      <c r="R25" s="4"/>
      <c r="S25" s="4"/>
      <c r="T25" s="4"/>
      <c r="U25" s="4"/>
      <c r="V25" s="4"/>
      <c r="W25" s="4"/>
      <c r="X25" s="2">
        <v>7</v>
      </c>
      <c r="Y25" s="12">
        <f ca="1">IFERROR(__xludf.DUMMYFUNCTION("INDEX(IMPORTRANGE(""1y0FWgjbB0gVlqn-q5LMJbGIsqOrzru4yowQz67dz2yc"", ""'MTY'!BG3:BG139""),MATCH($D25,IMPORTRANGE(""1y0FWgjbB0gVlqn-q5LMJbGIsqOrzru4yowQz67dz2yc"", ""'MTY'!D3:D139""),0))"),31)</f>
        <v>31</v>
      </c>
      <c r="Z25" s="12">
        <f ca="1">IFERROR(__xludf.DUMMYFUNCTION("INDEX(IMPORTRANGE(""1y0FWgjbB0gVlqn-q5LMJbGIsqOrzru4yowQz67dz2yc"", ""'MTY'!BH3:BH139""),MATCH($D25,IMPORTRANGE(""1y0FWgjbB0gVlqn-q5LMJbGIsqOrzru4yowQz67dz2yc"", ""'MTY'!D3:D139""),0))"),12)</f>
        <v>12</v>
      </c>
      <c r="AA25" s="12">
        <f ca="1">IFERROR(__xludf.DUMMYFUNCTION("INDEX(IMPORTRANGE(""1y0FWgjbB0gVlqn-q5LMJbGIsqOrzru4yowQz67dz2yc"", ""'MTY'!BI3:BI139""),MATCH($D25,IMPORTRANGE(""1y0FWgjbB0gVlqn-q5LMJbGIsqOrzru4yowQz67dz2yc"", ""'MTY'!D3:D139""),0))"),18)</f>
        <v>18</v>
      </c>
      <c r="AB25" s="12">
        <f ca="1">IFERROR(__xludf.DUMMYFUNCTION("INDEX(IMPORTRANGE(""1y0FWgjbB0gVlqn-q5LMJbGIsqOrzru4yowQz67dz2yc"", ""'MTY'!BJ3:BJ139""),MATCH($D25,IMPORTRANGE(""1y0FWgjbB0gVlqn-q5LMJbGIsqOrzru4yowQz67dz2yc"", ""'MTY'!D3:D139""),0))"),4)</f>
        <v>4</v>
      </c>
      <c r="AC25" s="2"/>
    </row>
    <row r="26" spans="1:29">
      <c r="A26" s="9" t="s">
        <v>52</v>
      </c>
      <c r="B26" s="9" t="s">
        <v>86</v>
      </c>
      <c r="C26" s="2" t="s">
        <v>30</v>
      </c>
      <c r="D26" s="149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/>
      <c r="Q26" s="2"/>
      <c r="R26" s="4"/>
      <c r="S26" s="4"/>
      <c r="T26" s="4"/>
      <c r="U26" s="4"/>
      <c r="V26" s="4"/>
      <c r="W26" s="4"/>
      <c r="X26" s="2">
        <v>2</v>
      </c>
      <c r="Y26" s="12">
        <f ca="1">IFERROR(__xludf.DUMMYFUNCTION("INDEX(IMPORTRANGE(""1y0FWgjbB0gVlqn-q5LMJbGIsqOrzru4yowQz67dz2yc"", ""'MTY'!BG3:BG139""),MATCH($D26,IMPORTRANGE(""1y0FWgjbB0gVlqn-q5LMJbGIsqOrzru4yowQz67dz2yc"", ""'MTY'!D3:D139""),0))"),11)</f>
        <v>11</v>
      </c>
      <c r="Z26" s="12">
        <f ca="1">IFERROR(__xludf.DUMMYFUNCTION("INDEX(IMPORTRANGE(""1y0FWgjbB0gVlqn-q5LMJbGIsqOrzru4yowQz67dz2yc"", ""'MTY'!BH3:BH139""),MATCH($D26,IMPORTRANGE(""1y0FWgjbB0gVlqn-q5LMJbGIsqOrzru4yowQz67dz2yc"", ""'MTY'!D3:D139""),0))"),0)</f>
        <v>0</v>
      </c>
      <c r="AA26" s="12">
        <f ca="1">IFERROR(__xludf.DUMMYFUNCTION("INDEX(IMPORTRANGE(""1y0FWgjbB0gVlqn-q5LMJbGIsqOrzru4yowQz67dz2yc"", ""'MTY'!BI3:BI139""),MATCH($D26,IMPORTRANGE(""1y0FWgjbB0gVlqn-q5LMJbGIsqOrzru4yowQz67dz2yc"", ""'MTY'!D3:D139""),0))"),6)</f>
        <v>6</v>
      </c>
      <c r="AB26" s="12">
        <f ca="1">IFERROR(__xludf.DUMMYFUNCTION("INDEX(IMPORTRANGE(""1y0FWgjbB0gVlqn-q5LMJbGIsqOrzru4yowQz67dz2yc"", ""'MTY'!BJ3:BJ139""),MATCH($D26,IMPORTRANGE(""1y0FWgjbB0gVlqn-q5LMJbGIsqOrzru4yowQz67dz2yc"", ""'MTY'!D3:D139""),0))"),1)</f>
        <v>1</v>
      </c>
      <c r="AC26" s="2"/>
    </row>
    <row r="27" spans="1:29">
      <c r="A27" s="9" t="s">
        <v>52</v>
      </c>
      <c r="B27" s="9" t="s">
        <v>86</v>
      </c>
      <c r="C27" s="2" t="s">
        <v>30</v>
      </c>
      <c r="D27" s="149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/>
      <c r="Q27" s="2"/>
      <c r="R27" s="4"/>
      <c r="S27" s="4"/>
      <c r="T27" s="4"/>
      <c r="U27" s="4"/>
      <c r="V27" s="4"/>
      <c r="W27" s="4"/>
      <c r="X27" s="2">
        <v>0</v>
      </c>
      <c r="Y27" s="12">
        <f ca="1">IFERROR(__xludf.DUMMYFUNCTION("INDEX(IMPORTRANGE(""1y0FWgjbB0gVlqn-q5LMJbGIsqOrzru4yowQz67dz2yc"", ""'MTY'!BG3:BG139""),MATCH($D27,IMPORTRANGE(""1y0FWgjbB0gVlqn-q5LMJbGIsqOrzru4yowQz67dz2yc"", ""'MTY'!D3:D139""),0))"),1)</f>
        <v>1</v>
      </c>
      <c r="Z27" s="12">
        <f ca="1">IFERROR(__xludf.DUMMYFUNCTION("INDEX(IMPORTRANGE(""1y0FWgjbB0gVlqn-q5LMJbGIsqOrzru4yowQz67dz2yc"", ""'MTY'!BH3:BH139""),MATCH($D27,IMPORTRANGE(""1y0FWgjbB0gVlqn-q5LMJbGIsqOrzru4yowQz67dz2yc"", ""'MTY'!D3:D139""),0))"),0)</f>
        <v>0</v>
      </c>
      <c r="AA27" s="12">
        <f ca="1">IFERROR(__xludf.DUMMYFUNCTION("INDEX(IMPORTRANGE(""1y0FWgjbB0gVlqn-q5LMJbGIsqOrzru4yowQz67dz2yc"", ""'MTY'!BI3:BI139""),MATCH($D27,IMPORTRANGE(""1y0FWgjbB0gVlqn-q5LMJbGIsqOrzru4yowQz67dz2yc"", ""'MTY'!D3:D139""),0))"),0)</f>
        <v>0</v>
      </c>
      <c r="AB27" s="12">
        <f ca="1">IFERROR(__xludf.DUMMYFUNCTION("INDEX(IMPORTRANGE(""1y0FWgjbB0gVlqn-q5LMJbGIsqOrzru4yowQz67dz2yc"", ""'MTY'!BJ3:BJ139""),MATCH($D27,IMPORTRANGE(""1y0FWgjbB0gVlqn-q5LMJbGIsqOrzru4yowQz67dz2yc"", ""'MTY'!D3:D139""),0))"),0)</f>
        <v>0</v>
      </c>
      <c r="AC27" s="2"/>
    </row>
    <row r="28" spans="1:29">
      <c r="A28" s="9" t="s">
        <v>52</v>
      </c>
      <c r="B28" s="9" t="s">
        <v>86</v>
      </c>
      <c r="C28" s="2" t="s">
        <v>30</v>
      </c>
      <c r="D28" s="149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/>
      <c r="Q28" s="2"/>
      <c r="R28" s="4"/>
      <c r="S28" s="4"/>
      <c r="T28" s="4"/>
      <c r="U28" s="4"/>
      <c r="V28" s="4"/>
      <c r="W28" s="4"/>
      <c r="X28" s="2">
        <v>2</v>
      </c>
      <c r="Y28" s="12">
        <f ca="1">IFERROR(__xludf.DUMMYFUNCTION("INDEX(IMPORTRANGE(""1y0FWgjbB0gVlqn-q5LMJbGIsqOrzru4yowQz67dz2yc"", ""'MTY'!BG3:BG139""),MATCH($D28,IMPORTRANGE(""1y0FWgjbB0gVlqn-q5LMJbGIsqOrzru4yowQz67dz2yc"", ""'MTY'!D3:D139""),0))"),4)</f>
        <v>4</v>
      </c>
      <c r="Z28" s="12">
        <f ca="1">IFERROR(__xludf.DUMMYFUNCTION("INDEX(IMPORTRANGE(""1y0FWgjbB0gVlqn-q5LMJbGIsqOrzru4yowQz67dz2yc"", ""'MTY'!BH3:BH139""),MATCH($D28,IMPORTRANGE(""1y0FWgjbB0gVlqn-q5LMJbGIsqOrzru4yowQz67dz2yc"", ""'MTY'!D3:D139""),0))"),0)</f>
        <v>0</v>
      </c>
      <c r="AA28" s="12">
        <f ca="1">IFERROR(__xludf.DUMMYFUNCTION("INDEX(IMPORTRANGE(""1y0FWgjbB0gVlqn-q5LMJbGIsqOrzru4yowQz67dz2yc"", ""'MTY'!BI3:BI139""),MATCH($D28,IMPORTRANGE(""1y0FWgjbB0gVlqn-q5LMJbGIsqOrzru4yowQz67dz2yc"", ""'MTY'!D3:D139""),0))"),2)</f>
        <v>2</v>
      </c>
      <c r="AB28" s="12">
        <f ca="1">IFERROR(__xludf.DUMMYFUNCTION("INDEX(IMPORTRANGE(""1y0FWgjbB0gVlqn-q5LMJbGIsqOrzru4yowQz67dz2yc"", ""'MTY'!BJ3:BJ139""),MATCH($D28,IMPORTRANGE(""1y0FWgjbB0gVlqn-q5LMJbGIsqOrzru4yowQz67dz2yc"", ""'MTY'!D3:D139""),0))"),1)</f>
        <v>1</v>
      </c>
      <c r="AC28" s="2"/>
    </row>
    <row r="29" spans="1:29">
      <c r="A29" s="9" t="s">
        <v>52</v>
      </c>
      <c r="B29" s="9" t="s">
        <v>86</v>
      </c>
      <c r="C29" s="2" t="s">
        <v>30</v>
      </c>
      <c r="D29" s="149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/>
      <c r="Q29" s="2"/>
      <c r="R29" s="4"/>
      <c r="S29" s="4"/>
      <c r="T29" s="4"/>
      <c r="U29" s="4"/>
      <c r="V29" s="4"/>
      <c r="W29" s="4"/>
      <c r="X29" s="2">
        <v>0</v>
      </c>
      <c r="Y29" s="12">
        <f ca="1">IFERROR(__xludf.DUMMYFUNCTION("INDEX(IMPORTRANGE(""1y0FWgjbB0gVlqn-q5LMJbGIsqOrzru4yowQz67dz2yc"", ""'MTY'!BG3:BG139""),MATCH($D29,IMPORTRANGE(""1y0FWgjbB0gVlqn-q5LMJbGIsqOrzru4yowQz67dz2yc"", ""'MTY'!D3:D139""),0))"),0)</f>
        <v>0</v>
      </c>
      <c r="Z29" s="12">
        <f ca="1">IFERROR(__xludf.DUMMYFUNCTION("INDEX(IMPORTRANGE(""1y0FWgjbB0gVlqn-q5LMJbGIsqOrzru4yowQz67dz2yc"", ""'MTY'!BH3:BH139""),MATCH($D29,IMPORTRANGE(""1y0FWgjbB0gVlqn-q5LMJbGIsqOrzru4yowQz67dz2yc"", ""'MTY'!D3:D139""),0))"),0)</f>
        <v>0</v>
      </c>
      <c r="AA29" s="12">
        <f ca="1">IFERROR(__xludf.DUMMYFUNCTION("INDEX(IMPORTRANGE(""1y0FWgjbB0gVlqn-q5LMJbGIsqOrzru4yowQz67dz2yc"", ""'MTY'!BI3:BI139""),MATCH($D29,IMPORTRANGE(""1y0FWgjbB0gVlqn-q5LMJbGIsqOrzru4yowQz67dz2yc"", ""'MTY'!D3:D139""),0))"),0)</f>
        <v>0</v>
      </c>
      <c r="AB29" s="12">
        <f ca="1">IFERROR(__xludf.DUMMYFUNCTION("INDEX(IMPORTRANGE(""1y0FWgjbB0gVlqn-q5LMJbGIsqOrzru4yowQz67dz2yc"", ""'MTY'!BJ3:BJ139""),MATCH($D29,IMPORTRANGE(""1y0FWgjbB0gVlqn-q5LMJbGIsqOrzru4yowQz67dz2yc"", ""'MTY'!D3:D139""),0))"),0)</f>
        <v>0</v>
      </c>
      <c r="AC29" s="2"/>
    </row>
    <row r="30" spans="1:29">
      <c r="A30" s="9" t="s">
        <v>52</v>
      </c>
      <c r="B30" s="9" t="s">
        <v>86</v>
      </c>
      <c r="C30" s="2" t="s">
        <v>30</v>
      </c>
      <c r="D30" s="149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/>
      <c r="Q30" s="2"/>
      <c r="R30" s="4"/>
      <c r="S30" s="4"/>
      <c r="T30" s="4"/>
      <c r="U30" s="4"/>
      <c r="V30" s="4"/>
      <c r="W30" s="4"/>
      <c r="X30" s="2">
        <v>6</v>
      </c>
      <c r="Y30" s="12">
        <f ca="1">IFERROR(__xludf.DUMMYFUNCTION("INDEX(IMPORTRANGE(""1y0FWgjbB0gVlqn-q5LMJbGIsqOrzru4yowQz67dz2yc"", ""'MTY'!BG3:BG139""),MATCH($D30,IMPORTRANGE(""1y0FWgjbB0gVlqn-q5LMJbGIsqOrzru4yowQz67dz2yc"", ""'MTY'!D3:D139""),0))"),18)</f>
        <v>18</v>
      </c>
      <c r="Z30" s="12">
        <f ca="1">IFERROR(__xludf.DUMMYFUNCTION("INDEX(IMPORTRANGE(""1y0FWgjbB0gVlqn-q5LMJbGIsqOrzru4yowQz67dz2yc"", ""'MTY'!BH3:BH139""),MATCH($D30,IMPORTRANGE(""1y0FWgjbB0gVlqn-q5LMJbGIsqOrzru4yowQz67dz2yc"", ""'MTY'!D3:D139""),0))"),6)</f>
        <v>6</v>
      </c>
      <c r="AA30" s="12">
        <f ca="1">IFERROR(__xludf.DUMMYFUNCTION("INDEX(IMPORTRANGE(""1y0FWgjbB0gVlqn-q5LMJbGIsqOrzru4yowQz67dz2yc"", ""'MTY'!BI3:BI139""),MATCH($D30,IMPORTRANGE(""1y0FWgjbB0gVlqn-q5LMJbGIsqOrzru4yowQz67dz2yc"", ""'MTY'!D3:D139""),0))"),18)</f>
        <v>18</v>
      </c>
      <c r="AB30" s="12">
        <f ca="1">IFERROR(__xludf.DUMMYFUNCTION("INDEX(IMPORTRANGE(""1y0FWgjbB0gVlqn-q5LMJbGIsqOrzru4yowQz67dz2yc"", ""'MTY'!BJ3:BJ139""),MATCH($D30,IMPORTRANGE(""1y0FWgjbB0gVlqn-q5LMJbGIsqOrzru4yowQz67dz2yc"", ""'MTY'!D3:D139""),0))"),5)</f>
        <v>5</v>
      </c>
      <c r="AC30" s="2"/>
    </row>
    <row r="31" spans="1:29">
      <c r="A31" s="9" t="s">
        <v>52</v>
      </c>
      <c r="B31" s="9" t="s">
        <v>86</v>
      </c>
      <c r="C31" s="2" t="s">
        <v>30</v>
      </c>
      <c r="D31" s="149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/>
      <c r="Q31" s="2"/>
      <c r="R31" s="4"/>
      <c r="S31" s="4"/>
      <c r="T31" s="4"/>
      <c r="U31" s="4"/>
      <c r="V31" s="4"/>
      <c r="W31" s="4"/>
      <c r="X31" s="2">
        <v>3</v>
      </c>
      <c r="Y31" s="12">
        <f ca="1">IFERROR(__xludf.DUMMYFUNCTION("INDEX(IMPORTRANGE(""1y0FWgjbB0gVlqn-q5LMJbGIsqOrzru4yowQz67dz2yc"", ""'MTY'!BG3:BG139""),MATCH($D31,IMPORTRANGE(""1y0FWgjbB0gVlqn-q5LMJbGIsqOrzru4yowQz67dz2yc"", ""'MTY'!D3:D139""),0))"),5)</f>
        <v>5</v>
      </c>
      <c r="Z31" s="12">
        <f ca="1">IFERROR(__xludf.DUMMYFUNCTION("INDEX(IMPORTRANGE(""1y0FWgjbB0gVlqn-q5LMJbGIsqOrzru4yowQz67dz2yc"", ""'MTY'!BH3:BH139""),MATCH($D31,IMPORTRANGE(""1y0FWgjbB0gVlqn-q5LMJbGIsqOrzru4yowQz67dz2yc"", ""'MTY'!D3:D139""),0))"),0)</f>
        <v>0</v>
      </c>
      <c r="AA31" s="12">
        <f ca="1">IFERROR(__xludf.DUMMYFUNCTION("INDEX(IMPORTRANGE(""1y0FWgjbB0gVlqn-q5LMJbGIsqOrzru4yowQz67dz2yc"", ""'MTY'!BI3:BI139""),MATCH($D31,IMPORTRANGE(""1y0FWgjbB0gVlqn-q5LMJbGIsqOrzru4yowQz67dz2yc"", ""'MTY'!D3:D139""),0))"),0)</f>
        <v>0</v>
      </c>
      <c r="AB31" s="12">
        <f ca="1">IFERROR(__xludf.DUMMYFUNCTION("INDEX(IMPORTRANGE(""1y0FWgjbB0gVlqn-q5LMJbGIsqOrzru4yowQz67dz2yc"", ""'MTY'!BJ3:BJ139""),MATCH($D31,IMPORTRANGE(""1y0FWgjbB0gVlqn-q5LMJbGIsqOrzru4yowQz67dz2yc"", ""'MTY'!D3:D139""),0))"),0)</f>
        <v>0</v>
      </c>
      <c r="AC31" s="2"/>
    </row>
    <row r="32" spans="1:29">
      <c r="A32" s="9" t="s">
        <v>52</v>
      </c>
      <c r="B32" s="9" t="s">
        <v>86</v>
      </c>
      <c r="C32" s="2" t="s">
        <v>30</v>
      </c>
      <c r="D32" s="149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/>
      <c r="Q32" s="2"/>
      <c r="R32" s="4"/>
      <c r="S32" s="4"/>
      <c r="T32" s="4"/>
      <c r="U32" s="4"/>
      <c r="V32" s="4"/>
      <c r="W32" s="4"/>
      <c r="X32" s="2">
        <v>0</v>
      </c>
      <c r="Y32" s="12">
        <f ca="1">IFERROR(__xludf.DUMMYFUNCTION("INDEX(IMPORTRANGE(""1y0FWgjbB0gVlqn-q5LMJbGIsqOrzru4yowQz67dz2yc"", ""'MTY'!BG3:BG139""),MATCH($D32,IMPORTRANGE(""1y0FWgjbB0gVlqn-q5LMJbGIsqOrzru4yowQz67dz2yc"", ""'MTY'!D3:D139""),0))"),0)</f>
        <v>0</v>
      </c>
      <c r="Z32" s="12">
        <f ca="1">IFERROR(__xludf.DUMMYFUNCTION("INDEX(IMPORTRANGE(""1y0FWgjbB0gVlqn-q5LMJbGIsqOrzru4yowQz67dz2yc"", ""'MTY'!BH3:BH139""),MATCH($D32,IMPORTRANGE(""1y0FWgjbB0gVlqn-q5LMJbGIsqOrzru4yowQz67dz2yc"", ""'MTY'!D3:D139""),0))"),0)</f>
        <v>0</v>
      </c>
      <c r="AA32" s="12">
        <f ca="1">IFERROR(__xludf.DUMMYFUNCTION("INDEX(IMPORTRANGE(""1y0FWgjbB0gVlqn-q5LMJbGIsqOrzru4yowQz67dz2yc"", ""'MTY'!BI3:BI139""),MATCH($D32,IMPORTRANGE(""1y0FWgjbB0gVlqn-q5LMJbGIsqOrzru4yowQz67dz2yc"", ""'MTY'!D3:D139""),0))"),0)</f>
        <v>0</v>
      </c>
      <c r="AB32" s="12">
        <f ca="1">IFERROR(__xludf.DUMMYFUNCTION("INDEX(IMPORTRANGE(""1y0FWgjbB0gVlqn-q5LMJbGIsqOrzru4yowQz67dz2yc"", ""'MTY'!BJ3:BJ139""),MATCH($D32,IMPORTRANGE(""1y0FWgjbB0gVlqn-q5LMJbGIsqOrzru4yowQz67dz2yc"", ""'MTY'!D3:D139""),0))"),0)</f>
        <v>0</v>
      </c>
      <c r="AC32" s="2"/>
    </row>
    <row r="33" spans="1:29">
      <c r="A33" s="9" t="s">
        <v>52</v>
      </c>
      <c r="B33" s="9" t="s">
        <v>86</v>
      </c>
      <c r="C33" s="2" t="s">
        <v>30</v>
      </c>
      <c r="D33" s="149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/>
      <c r="Q33" s="2"/>
      <c r="R33" s="4"/>
      <c r="S33" s="4"/>
      <c r="T33" s="4"/>
      <c r="U33" s="4"/>
      <c r="V33" s="4"/>
      <c r="W33" s="4"/>
      <c r="X33" s="2">
        <v>1</v>
      </c>
      <c r="Y33" s="12">
        <f ca="1">IFERROR(__xludf.DUMMYFUNCTION("INDEX(IMPORTRANGE(""1y0FWgjbB0gVlqn-q5LMJbGIsqOrzru4yowQz67dz2yc"", ""'MTY'!BG3:BG139""),MATCH($D33,IMPORTRANGE(""1y0FWgjbB0gVlqn-q5LMJbGIsqOrzru4yowQz67dz2yc"", ""'MTY'!D3:D139""),0))"),3)</f>
        <v>3</v>
      </c>
      <c r="Z33" s="12">
        <f ca="1">IFERROR(__xludf.DUMMYFUNCTION("INDEX(IMPORTRANGE(""1y0FWgjbB0gVlqn-q5LMJbGIsqOrzru4yowQz67dz2yc"", ""'MTY'!BH3:BH139""),MATCH($D33,IMPORTRANGE(""1y0FWgjbB0gVlqn-q5LMJbGIsqOrzru4yowQz67dz2yc"", ""'MTY'!D3:D139""),0))"),1)</f>
        <v>1</v>
      </c>
      <c r="AA33" s="12">
        <f ca="1">IFERROR(__xludf.DUMMYFUNCTION("INDEX(IMPORTRANGE(""1y0FWgjbB0gVlqn-q5LMJbGIsqOrzru4yowQz67dz2yc"", ""'MTY'!BI3:BI139""),MATCH($D33,IMPORTRANGE(""1y0FWgjbB0gVlqn-q5LMJbGIsqOrzru4yowQz67dz2yc"", ""'MTY'!D3:D139""),0))"),4)</f>
        <v>4</v>
      </c>
      <c r="AB33" s="12">
        <f ca="1">IFERROR(__xludf.DUMMYFUNCTION("INDEX(IMPORTRANGE(""1y0FWgjbB0gVlqn-q5LMJbGIsqOrzru4yowQz67dz2yc"", ""'MTY'!BJ3:BJ139""),MATCH($D33,IMPORTRANGE(""1y0FWgjbB0gVlqn-q5LMJbGIsqOrzru4yowQz67dz2yc"", ""'MTY'!D3:D139""),0))"),0)</f>
        <v>0</v>
      </c>
      <c r="AC33" s="2"/>
    </row>
    <row r="34" spans="1:29">
      <c r="A34" s="9" t="s">
        <v>52</v>
      </c>
      <c r="B34" s="9" t="s">
        <v>86</v>
      </c>
      <c r="C34" s="2" t="s">
        <v>30</v>
      </c>
      <c r="D34" s="149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/>
      <c r="Q34" s="2"/>
      <c r="R34" s="4"/>
      <c r="S34" s="4"/>
      <c r="T34" s="4"/>
      <c r="U34" s="4"/>
      <c r="V34" s="4"/>
      <c r="W34" s="4"/>
      <c r="X34" s="2">
        <v>0</v>
      </c>
      <c r="Y34" s="12">
        <f ca="1">IFERROR(__xludf.DUMMYFUNCTION("INDEX(IMPORTRANGE(""1y0FWgjbB0gVlqn-q5LMJbGIsqOrzru4yowQz67dz2yc"", ""'MTY'!BG3:BG139""),MATCH($D34,IMPORTRANGE(""1y0FWgjbB0gVlqn-q5LMJbGIsqOrzru4yowQz67dz2yc"", ""'MTY'!D3:D139""),0))"),0)</f>
        <v>0</v>
      </c>
      <c r="Z34" s="12">
        <f ca="1">IFERROR(__xludf.DUMMYFUNCTION("INDEX(IMPORTRANGE(""1y0FWgjbB0gVlqn-q5LMJbGIsqOrzru4yowQz67dz2yc"", ""'MTY'!BH3:BH139""),MATCH($D34,IMPORTRANGE(""1y0FWgjbB0gVlqn-q5LMJbGIsqOrzru4yowQz67dz2yc"", ""'MTY'!D3:D139""),0))"),0)</f>
        <v>0</v>
      </c>
      <c r="AA34" s="12">
        <f ca="1">IFERROR(__xludf.DUMMYFUNCTION("INDEX(IMPORTRANGE(""1y0FWgjbB0gVlqn-q5LMJbGIsqOrzru4yowQz67dz2yc"", ""'MTY'!BI3:BI139""),MATCH($D34,IMPORTRANGE(""1y0FWgjbB0gVlqn-q5LMJbGIsqOrzru4yowQz67dz2yc"", ""'MTY'!D3:D139""),0))"),0)</f>
        <v>0</v>
      </c>
      <c r="AB34" s="12">
        <f ca="1">IFERROR(__xludf.DUMMYFUNCTION("INDEX(IMPORTRANGE(""1y0FWgjbB0gVlqn-q5LMJbGIsqOrzru4yowQz67dz2yc"", ""'MTY'!BJ3:BJ139""),MATCH($D34,IMPORTRANGE(""1y0FWgjbB0gVlqn-q5LMJbGIsqOrzru4yowQz67dz2yc"", ""'MTY'!D3:D139""),0))"),2)</f>
        <v>2</v>
      </c>
      <c r="AC34" s="2"/>
    </row>
    <row r="35" spans="1:29">
      <c r="A35" s="21" t="s">
        <v>52</v>
      </c>
      <c r="B35" s="21" t="s">
        <v>86</v>
      </c>
      <c r="C35" s="22" t="s">
        <v>30</v>
      </c>
      <c r="D35" s="21" t="s">
        <v>350</v>
      </c>
      <c r="E35" s="21" t="s">
        <v>76</v>
      </c>
      <c r="F35" s="267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6">SUM(P24:P34)</f>
        <v>0</v>
      </c>
      <c r="Q35" s="262">
        <f t="shared" si="6"/>
        <v>0</v>
      </c>
      <c r="R35" s="473"/>
      <c r="S35" s="473"/>
      <c r="T35" s="473"/>
      <c r="U35" s="473"/>
      <c r="V35" s="473"/>
      <c r="W35" s="473"/>
      <c r="X35" s="262">
        <f t="shared" ref="X35:AA35" si="7">SUM(X24:X34)</f>
        <v>30</v>
      </c>
      <c r="Y35" s="262">
        <f t="shared" ca="1" si="7"/>
        <v>98</v>
      </c>
      <c r="Z35" s="262">
        <f t="shared" ca="1" si="7"/>
        <v>38</v>
      </c>
      <c r="AA35" s="262">
        <f t="shared" ca="1" si="7"/>
        <v>105</v>
      </c>
      <c r="AB35" s="262">
        <f ca="1">IFERROR(__xludf.DUMMYFUNCTION("INDEX(IMPORTRANGE(""1y0FWgjbB0gVlqn-q5LMJbGIsqOrzru4yowQz67dz2yc"", ""'MTY'!BJ3:BJ139""),MATCH($D35,IMPORTRANGE(""1y0FWgjbB0gVlqn-q5LMJbGIsqOrzru4yowQz67dz2yc"", ""'MTY'!D3:D139""),0))"),31)</f>
        <v>31</v>
      </c>
      <c r="AC35" s="474"/>
    </row>
    <row r="36" spans="1:29">
      <c r="A36" s="9" t="s">
        <v>52</v>
      </c>
      <c r="B36" s="9" t="s">
        <v>86</v>
      </c>
      <c r="C36" s="2" t="s">
        <v>36</v>
      </c>
      <c r="D36" s="149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v>13</v>
      </c>
      <c r="Q36" s="23">
        <v>28</v>
      </c>
      <c r="R36" s="2">
        <v>27.7</v>
      </c>
      <c r="S36" s="2">
        <v>12.4</v>
      </c>
      <c r="T36" s="2">
        <v>27</v>
      </c>
      <c r="U36" s="2">
        <v>12.1</v>
      </c>
      <c r="V36" s="2">
        <v>26.4</v>
      </c>
      <c r="W36" s="2">
        <v>26.4</v>
      </c>
      <c r="X36" s="23">
        <f>(SUM(X24:X34)/306371)*100000</f>
        <v>9.7920495086023163</v>
      </c>
      <c r="Y36" s="23">
        <f ca="1">IFERROR(__xludf.DUMMYFUNCTION("INDEX(IMPORTRANGE(""1y0FWgjbB0gVlqn-q5LMJbGIsqOrzru4yowQz67dz2yc"", ""'MTY'!BG3:BG139""),MATCH($D36,IMPORTRANGE(""1y0FWgjbB0gVlqn-q5LMJbGIsqOrzru4yowQz67dz2yc"", ""'MTY'!D3:D139""),0))"),31.9873617281008)</f>
        <v>31.987361728100801</v>
      </c>
      <c r="Z36" s="23">
        <f ca="1">IFERROR(__xludf.DUMMYFUNCTION("INDEX(IMPORTRANGE(""1y0FWgjbB0gVlqn-q5LMJbGIsqOrzru4yowQz67dz2yc"", ""'MTY'!BH3:BH139""),MATCH($D36,IMPORTRANGE(""1y0FWgjbB0gVlqn-q5LMJbGIsqOrzru4yowQz67dz2yc"", ""'MTY'!D3:D139""),0))"),8.05661681458332)</f>
        <v>8.0566168145833199</v>
      </c>
      <c r="AA36" s="23">
        <f ca="1">IFERROR(__xludf.DUMMYFUNCTION("INDEX(IMPORTRANGE(""1y0FWgjbB0gVlqn-q5LMJbGIsqOrzru4yowQz67dz2yc"", ""'MTY'!BI3:BI139""),MATCH($D36,IMPORTRANGE(""1y0FWgjbB0gVlqn-q5LMJbGIsqOrzru4yowQz67dz2yc"", ""'MTY'!D3:D139""),0))"),22.2617043560855)</f>
        <v>22.261704356085499</v>
      </c>
      <c r="AB36" s="23">
        <f ca="1">IFERROR(__xludf.DUMMYFUNCTION("INDEX(IMPORTRANGE(""1y0FWgjbB0gVlqn-q5LMJbGIsqOrzru4yowQz67dz2yc"", ""'MTY'!BJ3:BJ139""),MATCH($D36,IMPORTRANGE(""1y0FWgjbB0gVlqn-q5LMJbGIsqOrzru4yowQz67dz2yc"", ""'MTY'!D3:D139""),0))"),2.62186824181744)</f>
        <v>2.6218682418174399</v>
      </c>
      <c r="AC36" s="2"/>
    </row>
    <row r="37" spans="1:29">
      <c r="A37" s="9" t="s">
        <v>119</v>
      </c>
      <c r="B37" s="9" t="s">
        <v>120</v>
      </c>
      <c r="C37" s="2" t="s">
        <v>30</v>
      </c>
      <c r="D37" s="148" t="s">
        <v>121</v>
      </c>
      <c r="E37" s="257" t="s">
        <v>38</v>
      </c>
      <c r="F37" s="257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9">
        <v>375160</v>
      </c>
      <c r="Q37" s="9">
        <v>375160</v>
      </c>
      <c r="R37" s="4"/>
      <c r="S37" s="4"/>
      <c r="T37" s="4"/>
      <c r="U37" s="4"/>
      <c r="V37" s="4"/>
      <c r="W37" s="4"/>
      <c r="X37" s="195">
        <v>375160</v>
      </c>
      <c r="Y37" s="12">
        <f ca="1">IFERROR(__xludf.DUMMYFUNCTION("INDEX(IMPORTRANGE(""1y0FWgjbB0gVlqn-q5LMJbGIsqOrzru4yowQz67dz2yc"", ""'MTY'!BG3:BG139""),MATCH($D37,IMPORTRANGE(""1y0FWgjbB0gVlqn-q5LMJbGIsqOrzru4yowQz67dz2yc"", ""'MTY'!D3:D139""),0))"),375160)</f>
        <v>375160</v>
      </c>
      <c r="Z37" s="12">
        <f ca="1">IFERROR(__xludf.DUMMYFUNCTION("INDEX(IMPORTRANGE(""1y0FWgjbB0gVlqn-q5LMJbGIsqOrzru4yowQz67dz2yc"", ""'MTY'!BH3:BH139""),MATCH($D37,IMPORTRANGE(""1y0FWgjbB0gVlqn-q5LMJbGIsqOrzru4yowQz67dz2yc"", ""'MTY'!D3:D139""),0))"),375160)</f>
        <v>375160</v>
      </c>
      <c r="AA37" s="12">
        <f ca="1">IFERROR(__xludf.DUMMYFUNCTION("INDEX(IMPORTRANGE(""1y0FWgjbB0gVlqn-q5LMJbGIsqOrzru4yowQz67dz2yc"", ""'MTY'!BI3:BI139""),MATCH($D37,IMPORTRANGE(""1y0FWgjbB0gVlqn-q5LMJbGIsqOrzru4yowQz67dz2yc"", ""'MTY'!D3:D139""),0))"),375160)</f>
        <v>375160</v>
      </c>
      <c r="AB37" s="12">
        <f ca="1">IFERROR(__xludf.DUMMYFUNCTION("INDEX(IMPORTRANGE(""1y0FWgjbB0gVlqn-q5LMJbGIsqOrzru4yowQz67dz2yc"", ""'MTY'!BJ3:BJ139""),MATCH($D37,IMPORTRANGE(""1y0FWgjbB0gVlqn-q5LMJbGIsqOrzru4yowQz67dz2yc"", ""'MTY'!D3:D139""),0))"),375160)</f>
        <v>375160</v>
      </c>
      <c r="AC37" s="2"/>
    </row>
    <row r="38" spans="1:29">
      <c r="A38" s="257" t="s">
        <v>119</v>
      </c>
      <c r="B38" s="257" t="s">
        <v>120</v>
      </c>
      <c r="C38" s="257" t="s">
        <v>30</v>
      </c>
      <c r="D38" s="454" t="s">
        <v>123</v>
      </c>
      <c r="E38" s="257" t="s">
        <v>38</v>
      </c>
      <c r="F38" s="257" t="s">
        <v>124</v>
      </c>
      <c r="G38" s="455">
        <v>44469</v>
      </c>
      <c r="H38" s="455">
        <v>44469</v>
      </c>
      <c r="I38" s="455">
        <v>44651</v>
      </c>
      <c r="J38" s="455">
        <v>44834</v>
      </c>
      <c r="K38" s="455">
        <v>45016</v>
      </c>
      <c r="L38" s="455">
        <v>45199</v>
      </c>
      <c r="M38" s="455">
        <v>45382</v>
      </c>
      <c r="N38" s="455">
        <v>45565</v>
      </c>
      <c r="O38" s="455">
        <v>45565</v>
      </c>
      <c r="P38" s="456">
        <v>278</v>
      </c>
      <c r="Q38" s="257">
        <v>278</v>
      </c>
      <c r="R38" s="456">
        <v>1500</v>
      </c>
      <c r="S38" s="456">
        <v>3000</v>
      </c>
      <c r="T38" s="456">
        <v>4500</v>
      </c>
      <c r="U38" s="456">
        <v>6000</v>
      </c>
      <c r="V38" s="456">
        <v>7219</v>
      </c>
      <c r="W38" s="456">
        <v>7219</v>
      </c>
      <c r="X38" s="456">
        <v>277</v>
      </c>
      <c r="Y38" s="12">
        <f ca="1">IFERROR(__xludf.DUMMYFUNCTION("INDEX(IMPORTRANGE(""1y0FWgjbB0gVlqn-q5LMJbGIsqOrzru4yowQz67dz2yc"", ""'MTY'!BG3:BG139""),MATCH($D38,IMPORTRANGE(""1y0FWgjbB0gVlqn-q5LMJbGIsqOrzru4yowQz67dz2yc"", ""'MTY'!D3:D139""),0))"),3763)</f>
        <v>3763</v>
      </c>
      <c r="Z38" s="12">
        <f ca="1">IFERROR(__xludf.DUMMYFUNCTION("INDEX(IMPORTRANGE(""1y0FWgjbB0gVlqn-q5LMJbGIsqOrzru4yowQz67dz2yc"", ""'MTY'!BH3:BH139""),MATCH($D38,IMPORTRANGE(""1y0FWgjbB0gVlqn-q5LMJbGIsqOrzru4yowQz67dz2yc"", ""'MTY'!D3:D139""),0))"),3763)</f>
        <v>3763</v>
      </c>
      <c r="AA38" s="12">
        <f ca="1">IFERROR(__xludf.DUMMYFUNCTION("INDEX(IMPORTRANGE(""1y0FWgjbB0gVlqn-q5LMJbGIsqOrzru4yowQz67dz2yc"", ""'MTY'!BI3:BI139""),MATCH($D38,IMPORTRANGE(""1y0FWgjbB0gVlqn-q5LMJbGIsqOrzru4yowQz67dz2yc"", ""'MTY'!D3:D139""),0))"),3763)</f>
        <v>3763</v>
      </c>
      <c r="AB38" s="12">
        <f ca="1">IFERROR(__xludf.DUMMYFUNCTION("INDEX(IMPORTRANGE(""1y0FWgjbB0gVlqn-q5LMJbGIsqOrzru4yowQz67dz2yc"", ""'MTY'!BJ3:BJ139""),MATCH($D38,IMPORTRANGE(""1y0FWgjbB0gVlqn-q5LMJbGIsqOrzru4yowQz67dz2yc"", ""'MTY'!D3:D139""),0))"),3763)</f>
        <v>3763</v>
      </c>
      <c r="AC38" s="2"/>
    </row>
    <row r="39" spans="1:29">
      <c r="A39" s="257" t="s">
        <v>119</v>
      </c>
      <c r="B39" s="257" t="s">
        <v>120</v>
      </c>
      <c r="C39" s="257" t="s">
        <v>36</v>
      </c>
      <c r="D39" s="454" t="s">
        <v>125</v>
      </c>
      <c r="E39" s="257" t="s">
        <v>38</v>
      </c>
      <c r="F39" s="257" t="s">
        <v>126</v>
      </c>
      <c r="G39" s="455">
        <v>44469</v>
      </c>
      <c r="H39" s="455">
        <v>44469</v>
      </c>
      <c r="I39" s="455">
        <v>44651</v>
      </c>
      <c r="J39" s="455">
        <v>44834</v>
      </c>
      <c r="K39" s="455">
        <v>45016</v>
      </c>
      <c r="L39" s="455">
        <v>45199</v>
      </c>
      <c r="M39" s="455">
        <v>45382</v>
      </c>
      <c r="N39" s="455">
        <v>45565</v>
      </c>
      <c r="O39" s="455">
        <v>45565</v>
      </c>
      <c r="P39" s="457">
        <f t="shared" ref="P39:Q39" si="8">P38/P37</f>
        <v>7.4101716600916947E-4</v>
      </c>
      <c r="Q39" s="457">
        <f t="shared" si="8"/>
        <v>7.4101716600916947E-4</v>
      </c>
      <c r="R39" s="457">
        <v>1.06E-2</v>
      </c>
      <c r="S39" s="457">
        <v>8.0000000000000002E-3</v>
      </c>
      <c r="T39" s="457">
        <v>1.2E-2</v>
      </c>
      <c r="U39" s="457">
        <v>1.6400000000000001E-2</v>
      </c>
      <c r="V39" s="457">
        <v>1.9199999999999998E-2</v>
      </c>
      <c r="W39" s="457">
        <v>1.9199999999999998E-2</v>
      </c>
      <c r="X39" s="457">
        <f>X38/X37</f>
        <v>7.3835163663503575E-4</v>
      </c>
      <c r="Y39" s="15">
        <f ca="1">IFERROR(__xludf.DUMMYFUNCTION("INDEX(IMPORTRANGE(""1y0FWgjbB0gVlqn-q5LMJbGIsqOrzru4yowQz67dz2yc"", ""'MTY'!BG3:BG139""),MATCH($D39,IMPORTRANGE(""1y0FWgjbB0gVlqn-q5LMJbGIsqOrzru4yowQz67dz2yc"", ""'MTY'!D3:D139""),0))"),0.0100303870348651)</f>
        <v>1.00303870348651E-2</v>
      </c>
      <c r="Z39" s="15">
        <f ca="1">IFERROR(__xludf.DUMMYFUNCTION("INDEX(IMPORTRANGE(""1y0FWgjbB0gVlqn-q5LMJbGIsqOrzru4yowQz67dz2yc"", ""'MTY'!BH3:BH139""),MATCH($D39,IMPORTRANGE(""1y0FWgjbB0gVlqn-q5LMJbGIsqOrzru4yowQz67dz2yc"", ""'MTY'!D3:D139""),0))"),0.0100303870348651)</f>
        <v>1.00303870348651E-2</v>
      </c>
      <c r="AA39" s="15">
        <f ca="1">IFERROR(__xludf.DUMMYFUNCTION("INDEX(IMPORTRANGE(""1y0FWgjbB0gVlqn-q5LMJbGIsqOrzru4yowQz67dz2yc"", ""'MTY'!BI3:BI139""),MATCH($D39,IMPORTRANGE(""1y0FWgjbB0gVlqn-q5LMJbGIsqOrzru4yowQz67dz2yc"", ""'MTY'!D3:D139""),0))"),0.0100303870348651)</f>
        <v>1.00303870348651E-2</v>
      </c>
      <c r="AB39" s="15">
        <f ca="1">IFERROR(__xludf.DUMMYFUNCTION("INDEX(IMPORTRANGE(""1y0FWgjbB0gVlqn-q5LMJbGIsqOrzru4yowQz67dz2yc"", ""'MTY'!BJ3:BJ139""),MATCH($D39,IMPORTRANGE(""1y0FWgjbB0gVlqn-q5LMJbGIsqOrzru4yowQz67dz2yc"", ""'MTY'!D3:D139""),0))"),0.0100303870348651)</f>
        <v>1.00303870348651E-2</v>
      </c>
      <c r="AC39" s="2"/>
    </row>
    <row r="40" spans="1:29">
      <c r="A40" s="7" t="s">
        <v>119</v>
      </c>
      <c r="B40" s="9" t="s">
        <v>120</v>
      </c>
      <c r="C40" s="1" t="s">
        <v>30</v>
      </c>
      <c r="D40" s="7" t="s">
        <v>330</v>
      </c>
      <c r="E40" s="257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2"/>
      <c r="S40" s="2"/>
      <c r="T40" s="2"/>
      <c r="U40" s="2"/>
      <c r="V40" s="2"/>
      <c r="W40" s="2"/>
      <c r="X40" s="2"/>
      <c r="Y40" s="299" t="str">
        <f ca="1">IFERROR(__xludf.DUMMYFUNCTION("INDEX(IMPORTRANGE(""1y0FWgjbB0gVlqn-q5LMJbGIsqOrzru4yowQz67dz2yc"", ""'MTY'!BG3:BG139""),MATCH($D40,IMPORTRANGE(""1y0FWgjbB0gVlqn-q5LMJbGIsqOrzru4yowQz67dz2yc"", ""'MTY'!D3:D139""),0))"),"")</f>
        <v/>
      </c>
      <c r="Z40" s="12">
        <f ca="1">IFERROR(__xludf.DUMMYFUNCTION("INDEX(IMPORTRANGE(""1y0FWgjbB0gVlqn-q5LMJbGIsqOrzru4yowQz67dz2yc"", ""'MTY'!BH3:BH139""),MATCH($D40,IMPORTRANGE(""1y0FWgjbB0gVlqn-q5LMJbGIsqOrzru4yowQz67dz2yc"", ""'MTY'!D3:D139""),0))"),745)</f>
        <v>745</v>
      </c>
      <c r="AA40" s="12">
        <f ca="1">IFERROR(__xludf.DUMMYFUNCTION("INDEX(IMPORTRANGE(""1y0FWgjbB0gVlqn-q5LMJbGIsqOrzru4yowQz67dz2yc"", ""'MTY'!BI3:BI139""),MATCH($D40,IMPORTRANGE(""1y0FWgjbB0gVlqn-q5LMJbGIsqOrzru4yowQz67dz2yc"", ""'MTY'!D3:D139""),0))"),1246.78999999999)</f>
        <v>1246.78999999999</v>
      </c>
      <c r="AB40" s="12">
        <f ca="1">IFERROR(__xludf.DUMMYFUNCTION("INDEX(IMPORTRANGE(""1y0FWgjbB0gVlqn-q5LMJbGIsqOrzru4yowQz67dz2yc"", ""'MTY'!BJ3:BJ139""),MATCH($D40,IMPORTRANGE(""1y0FWgjbB0gVlqn-q5LMJbGIsqOrzru4yowQz67dz2yc"", ""'MTY'!D3:D139""),0))"),648.86)</f>
        <v>648.86</v>
      </c>
      <c r="AC40" s="2"/>
    </row>
    <row r="41" spans="1:29">
      <c r="A41" s="7" t="s">
        <v>119</v>
      </c>
      <c r="B41" s="9" t="s">
        <v>120</v>
      </c>
      <c r="C41" s="1" t="s">
        <v>30</v>
      </c>
      <c r="D41" s="7" t="s">
        <v>331</v>
      </c>
      <c r="E41" s="257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2"/>
      <c r="R41" s="2"/>
      <c r="S41" s="2"/>
      <c r="T41" s="2"/>
      <c r="U41" s="2"/>
      <c r="V41" s="2"/>
      <c r="W41" s="2"/>
      <c r="X41" s="2"/>
      <c r="Y41" s="299" t="str">
        <f ca="1">IFERROR(__xludf.DUMMYFUNCTION("INDEX(IMPORTRANGE(""1y0FWgjbB0gVlqn-q5LMJbGIsqOrzru4yowQz67dz2yc"", ""'MTY'!BG3:BG139""),MATCH($D41,IMPORTRANGE(""1y0FWgjbB0gVlqn-q5LMJbGIsqOrzru4yowQz67dz2yc"", ""'MTY'!D3:D139""),0))"),"")</f>
        <v/>
      </c>
      <c r="Z41" s="12">
        <f ca="1">IFERROR(__xludf.DUMMYFUNCTION("INDEX(IMPORTRANGE(""1y0FWgjbB0gVlqn-q5LMJbGIsqOrzru4yowQz67dz2yc"", ""'MTY'!BH3:BH139""),MATCH($D41,IMPORTRANGE(""1y0FWgjbB0gVlqn-q5LMJbGIsqOrzru4yowQz67dz2yc"", ""'MTY'!D3:D139""),0))"),178002)</f>
        <v>178002</v>
      </c>
      <c r="AA41" s="12">
        <f ca="1">IFERROR(__xludf.DUMMYFUNCTION("INDEX(IMPORTRANGE(""1y0FWgjbB0gVlqn-q5LMJbGIsqOrzru4yowQz67dz2yc"", ""'MTY'!BI3:BI139""),MATCH($D41,IMPORTRANGE(""1y0FWgjbB0gVlqn-q5LMJbGIsqOrzru4yowQz67dz2yc"", ""'MTY'!D3:D139""),0))"),362050.36)</f>
        <v>362050.36</v>
      </c>
      <c r="AB41" s="12">
        <f ca="1">IFERROR(__xludf.DUMMYFUNCTION("INDEX(IMPORTRANGE(""1y0FWgjbB0gVlqn-q5LMJbGIsqOrzru4yowQz67dz2yc"", ""'MTY'!BJ3:BJ139""),MATCH($D41,IMPORTRANGE(""1y0FWgjbB0gVlqn-q5LMJbGIsqOrzru4yowQz67dz2yc"", ""'MTY'!D3:D139""),0))"),191388.68)</f>
        <v>191388.68</v>
      </c>
      <c r="AC41" s="2"/>
    </row>
    <row r="42" spans="1:29">
      <c r="A42" s="7" t="s">
        <v>119</v>
      </c>
      <c r="B42" s="9" t="s">
        <v>120</v>
      </c>
      <c r="C42" s="1" t="s">
        <v>36</v>
      </c>
      <c r="D42" s="7" t="s">
        <v>333</v>
      </c>
      <c r="E42" s="257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2"/>
      <c r="R42" s="467">
        <v>3.5000000000000001E-3</v>
      </c>
      <c r="S42" s="467">
        <v>3.5000000000000001E-3</v>
      </c>
      <c r="T42" s="467">
        <v>3.5000000000000001E-3</v>
      </c>
      <c r="U42" s="467">
        <v>3.5000000000000001E-3</v>
      </c>
      <c r="V42" s="467">
        <v>3.5000000000000001E-3</v>
      </c>
      <c r="W42" s="467">
        <v>3.5000000000000001E-3</v>
      </c>
      <c r="X42" s="2"/>
      <c r="Y42" s="299" t="str">
        <f ca="1">IFERROR(__xludf.DUMMYFUNCTION("INDEX(IMPORTRANGE(""1y0FWgjbB0gVlqn-q5LMJbGIsqOrzru4yowQz67dz2yc"", ""'MTY'!BG3:BG139""),MATCH($D42,IMPORTRANGE(""1y0FWgjbB0gVlqn-q5LMJbGIsqOrzru4yowQz67dz2yc"", ""'MTY'!D3:D139""),0))"),"")</f>
        <v/>
      </c>
      <c r="Z42" s="15">
        <f ca="1">IFERROR(__xludf.DUMMYFUNCTION("INDEX(IMPORTRANGE(""1y0FWgjbB0gVlqn-q5LMJbGIsqOrzru4yowQz67dz2yc"", ""'MTY'!BH3:BH139""),MATCH($D42,IMPORTRANGE(""1y0FWgjbB0gVlqn-q5LMJbGIsqOrzru4yowQz67dz2yc"", ""'MTY'!D3:D139""),0))"),0.0041853462320648)</f>
        <v>4.1853462320648E-3</v>
      </c>
      <c r="AA42" s="26">
        <f ca="1">IFERROR(__xludf.DUMMYFUNCTION("INDEX(IMPORTRANGE(""1y0FWgjbB0gVlqn-q5LMJbGIsqOrzru4yowQz67dz2yc"", ""'MTY'!BI3:BI139""),MATCH($D42,IMPORTRANGE(""1y0FWgjbB0gVlqn-q5LMJbGIsqOrzru4yowQz67dz2yc"", ""'MTY'!D3:D139""),0))"),0.00344369219795831)</f>
        <v>3.4436921979583098E-3</v>
      </c>
      <c r="AB42" s="15">
        <f ca="1">IFERROR(__xludf.DUMMYFUNCTION("INDEX(IMPORTRANGE(""1y0FWgjbB0gVlqn-q5LMJbGIsqOrzru4yowQz67dz2yc"", ""'MTY'!BJ3:BJ139""),MATCH($D42,IMPORTRANGE(""1y0FWgjbB0gVlqn-q5LMJbGIsqOrzru4yowQz67dz2yc"", ""'MTY'!D3:D139""),0))"),0.00339027365672828)</f>
        <v>3.3902736567282799E-3</v>
      </c>
      <c r="AC42" s="2"/>
    </row>
    <row r="43" spans="1:29">
      <c r="A43" s="9" t="s">
        <v>119</v>
      </c>
      <c r="B43" s="9" t="s">
        <v>127</v>
      </c>
      <c r="C43" s="2" t="s">
        <v>36</v>
      </c>
      <c r="D43" s="149" t="s">
        <v>128</v>
      </c>
      <c r="E43" s="9" t="s">
        <v>38</v>
      </c>
      <c r="F43" s="9" t="s">
        <v>129</v>
      </c>
      <c r="G43" s="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6</v>
      </c>
      <c r="Q43" s="2">
        <v>10</v>
      </c>
      <c r="R43" s="2">
        <v>20</v>
      </c>
      <c r="S43" s="2">
        <f>R43+3</f>
        <v>23</v>
      </c>
      <c r="T43" s="2">
        <f>S43+5</f>
        <v>28</v>
      </c>
      <c r="U43" s="2">
        <f>T43+3</f>
        <v>31</v>
      </c>
      <c r="V43" s="2">
        <f>U43+4</f>
        <v>35</v>
      </c>
      <c r="W43" s="2">
        <v>35</v>
      </c>
      <c r="X43" s="2">
        <v>12</v>
      </c>
      <c r="Y43" s="12">
        <f ca="1">IFERROR(__xludf.DUMMYFUNCTION("INDEX(IMPORTRANGE(""1y0FWgjbB0gVlqn-q5LMJbGIsqOrzru4yowQz67dz2yc"", ""'MTY'!BG3:BG139""),MATCH($D43,IMPORTRANGE(""1y0FWgjbB0gVlqn-q5LMJbGIsqOrzru4yowQz67dz2yc"", ""'MTY'!D3:D139""),0))"),25)</f>
        <v>25</v>
      </c>
      <c r="Z43" s="12">
        <f ca="1">IFERROR(__xludf.DUMMYFUNCTION("INDEX(IMPORTRANGE(""1y0FWgjbB0gVlqn-q5LMJbGIsqOrzru4yowQz67dz2yc"", ""'MTY'!BH3:BH139""),MATCH($D43,IMPORTRANGE(""1y0FWgjbB0gVlqn-q5LMJbGIsqOrzru4yowQz67dz2yc"", ""'MTY'!D3:D139""),0))"),29)</f>
        <v>29</v>
      </c>
      <c r="AA43" s="12">
        <f ca="1">IFERROR(__xludf.DUMMYFUNCTION("INDEX(IMPORTRANGE(""1y0FWgjbB0gVlqn-q5LMJbGIsqOrzru4yowQz67dz2yc"", ""'MTY'!BI3:BI139""),MATCH($D43,IMPORTRANGE(""1y0FWgjbB0gVlqn-q5LMJbGIsqOrzru4yowQz67dz2yc"", ""'MTY'!D3:D139""),0))"),55)</f>
        <v>55</v>
      </c>
      <c r="AB43" s="12">
        <f ca="1">IFERROR(__xludf.DUMMYFUNCTION("INDEX(IMPORTRANGE(""1y0FWgjbB0gVlqn-q5LMJbGIsqOrzru4yowQz67dz2yc"", ""'MTY'!BJ3:BJ139""),MATCH($D43,IMPORTRANGE(""1y0FWgjbB0gVlqn-q5LMJbGIsqOrzru4yowQz67dz2yc"", ""'MTY'!D3:D139""),0))"),63)</f>
        <v>63</v>
      </c>
      <c r="AC43" s="2"/>
    </row>
    <row r="44" spans="1:29">
      <c r="A44" s="9" t="s">
        <v>119</v>
      </c>
      <c r="B44" s="9" t="s">
        <v>133</v>
      </c>
      <c r="C44" s="2" t="s">
        <v>36</v>
      </c>
      <c r="D44" s="149" t="s">
        <v>134</v>
      </c>
      <c r="E44" s="9" t="s">
        <v>38</v>
      </c>
      <c r="F44" s="9" t="s">
        <v>135</v>
      </c>
      <c r="G44" s="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>
        <v>1186</v>
      </c>
      <c r="Q44" s="2">
        <v>3568</v>
      </c>
      <c r="R44" s="456">
        <v>900</v>
      </c>
      <c r="S44" s="456">
        <f>1900</f>
        <v>1900</v>
      </c>
      <c r="T44" s="456">
        <f>1100+S44</f>
        <v>3000</v>
      </c>
      <c r="U44" s="456">
        <f t="shared" ref="U44:V44" si="9">T44+1000</f>
        <v>4000</v>
      </c>
      <c r="V44" s="456">
        <f t="shared" si="9"/>
        <v>5000</v>
      </c>
      <c r="W44" s="456">
        <v>5000</v>
      </c>
      <c r="X44" s="2">
        <v>446</v>
      </c>
      <c r="Y44" s="12">
        <f ca="1">IFERROR(__xludf.DUMMYFUNCTION("INDEX(IMPORTRANGE(""1y0FWgjbB0gVlqn-q5LMJbGIsqOrzru4yowQz67dz2yc"", ""'MTY'!BG3:BG139""),MATCH($D44,IMPORTRANGE(""1y0FWgjbB0gVlqn-q5LMJbGIsqOrzru4yowQz67dz2yc"", ""'MTY'!D3:D139""),0))"),1343)</f>
        <v>1343</v>
      </c>
      <c r="Z44" s="12">
        <f ca="1">IFERROR(__xludf.DUMMYFUNCTION("INDEX(IMPORTRANGE(""1y0FWgjbB0gVlqn-q5LMJbGIsqOrzru4yowQz67dz2yc"", ""'MTY'!BH3:BH139""),MATCH($D44,IMPORTRANGE(""1y0FWgjbB0gVlqn-q5LMJbGIsqOrzru4yowQz67dz2yc"", ""'MTY'!D3:D139""),0))"),5877)</f>
        <v>5877</v>
      </c>
      <c r="AA44" s="12">
        <f ca="1">IFERROR(__xludf.DUMMYFUNCTION("INDEX(IMPORTRANGE(""1y0FWgjbB0gVlqn-q5LMJbGIsqOrzru4yowQz67dz2yc"", ""'MTY'!BI3:BI139""),MATCH($D44,IMPORTRANGE(""1y0FWgjbB0gVlqn-q5LMJbGIsqOrzru4yowQz67dz2yc"", ""'MTY'!D3:D139""),0))"),9454)</f>
        <v>9454</v>
      </c>
      <c r="AB44" s="12">
        <f ca="1">IFERROR(__xludf.DUMMYFUNCTION("INDEX(IMPORTRANGE(""1y0FWgjbB0gVlqn-q5LMJbGIsqOrzru4yowQz67dz2yc"", ""'MTY'!BJ3:BJ139""),MATCH($D44,IMPORTRANGE(""1y0FWgjbB0gVlqn-q5LMJbGIsqOrzru4yowQz67dz2yc"", ""'MTY'!D3:D139""),0))"),12635)</f>
        <v>12635</v>
      </c>
      <c r="AC44" s="2"/>
    </row>
    <row r="45" spans="1:29">
      <c r="A45" s="9" t="s">
        <v>119</v>
      </c>
      <c r="B45" s="9" t="s">
        <v>136</v>
      </c>
      <c r="C45" s="2" t="s">
        <v>30</v>
      </c>
      <c r="D45" s="149" t="s">
        <v>137</v>
      </c>
      <c r="E45" s="9" t="s">
        <v>38</v>
      </c>
      <c r="F45" s="2" t="s">
        <v>138</v>
      </c>
      <c r="G45" s="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2</v>
      </c>
      <c r="Q45" s="2">
        <v>2</v>
      </c>
      <c r="R45" s="2">
        <v>2</v>
      </c>
      <c r="S45" s="2">
        <v>2</v>
      </c>
      <c r="T45" s="2">
        <v>4</v>
      </c>
      <c r="U45" s="2">
        <v>2</v>
      </c>
      <c r="V45" s="2">
        <v>4</v>
      </c>
      <c r="W45" s="2">
        <v>10</v>
      </c>
      <c r="X45" s="2">
        <v>1</v>
      </c>
      <c r="Y45" s="12">
        <f ca="1">IFERROR(__xludf.DUMMYFUNCTION("INDEX(IMPORTRANGE(""1y0FWgjbB0gVlqn-q5LMJbGIsqOrzru4yowQz67dz2yc"", ""'MTY'!BG3:BG139""),MATCH($D45,IMPORTRANGE(""1y0FWgjbB0gVlqn-q5LMJbGIsqOrzru4yowQz67dz2yc"", ""'MTY'!D3:D139""),0))"),4)</f>
        <v>4</v>
      </c>
      <c r="Z45" s="12">
        <f ca="1">IFERROR(__xludf.DUMMYFUNCTION("INDEX(IMPORTRANGE(""1y0FWgjbB0gVlqn-q5LMJbGIsqOrzru4yowQz67dz2yc"", ""'MTY'!BH3:BH139""),MATCH($D45,IMPORTRANGE(""1y0FWgjbB0gVlqn-q5LMJbGIsqOrzru4yowQz67dz2yc"", ""'MTY'!D3:D139""),0))"),9)</f>
        <v>9</v>
      </c>
      <c r="AA45" s="12">
        <f ca="1">IFERROR(__xludf.DUMMYFUNCTION("INDEX(IMPORTRANGE(""1y0FWgjbB0gVlqn-q5LMJbGIsqOrzru4yowQz67dz2yc"", ""'MTY'!BI3:BI139""),MATCH($D45,IMPORTRANGE(""1y0FWgjbB0gVlqn-q5LMJbGIsqOrzru4yowQz67dz2yc"", ""'MTY'!D3:D139""),0))"),9)</f>
        <v>9</v>
      </c>
      <c r="AB45" s="12">
        <f ca="1">IFERROR(__xludf.DUMMYFUNCTION("INDEX(IMPORTRANGE(""1y0FWgjbB0gVlqn-q5LMJbGIsqOrzru4yowQz67dz2yc"", ""'MTY'!BJ3:BJ139""),MATCH($D45,IMPORTRANGE(""1y0FWgjbB0gVlqn-q5LMJbGIsqOrzru4yowQz67dz2yc"", ""'MTY'!D3:D139""),0))"),10)</f>
        <v>10</v>
      </c>
      <c r="AC45" s="2"/>
    </row>
    <row r="46" spans="1:29">
      <c r="A46" s="9" t="s">
        <v>119</v>
      </c>
      <c r="B46" s="9" t="s">
        <v>136</v>
      </c>
      <c r="C46" s="2" t="s">
        <v>30</v>
      </c>
      <c r="D46" s="149" t="s">
        <v>139</v>
      </c>
      <c r="E46" s="9" t="s">
        <v>38</v>
      </c>
      <c r="F46" s="2" t="s">
        <v>140</v>
      </c>
      <c r="G46" s="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12">
        <f ca="1">IFERROR(__xludf.DUMMYFUNCTION("INDEX(IMPORTRANGE(""1y0FWgjbB0gVlqn-q5LMJbGIsqOrzru4yowQz67dz2yc"", ""'MTY'!BG3:BG139""),MATCH($D46,IMPORTRANGE(""1y0FWgjbB0gVlqn-q5LMJbGIsqOrzru4yowQz67dz2yc"", ""'MTY'!D3:D139""),0))"),0)</f>
        <v>0</v>
      </c>
      <c r="Z46" s="12">
        <f ca="1">IFERROR(__xludf.DUMMYFUNCTION("INDEX(IMPORTRANGE(""1y0FWgjbB0gVlqn-q5LMJbGIsqOrzru4yowQz67dz2yc"", ""'MTY'!BH3:BH139""),MATCH($D46,IMPORTRANGE(""1y0FWgjbB0gVlqn-q5LMJbGIsqOrzru4yowQz67dz2yc"", ""'MTY'!D3:D139""),0))"),0)</f>
        <v>0</v>
      </c>
      <c r="AA46" s="12">
        <f ca="1">IFERROR(__xludf.DUMMYFUNCTION("INDEX(IMPORTRANGE(""1y0FWgjbB0gVlqn-q5LMJbGIsqOrzru4yowQz67dz2yc"", ""'MTY'!BI3:BI139""),MATCH($D46,IMPORTRANGE(""1y0FWgjbB0gVlqn-q5LMJbGIsqOrzru4yowQz67dz2yc"", ""'MTY'!D3:D139""),0))"),0)</f>
        <v>0</v>
      </c>
      <c r="AB46" s="12">
        <f ca="1">IFERROR(__xludf.DUMMYFUNCTION("INDEX(IMPORTRANGE(""1y0FWgjbB0gVlqn-q5LMJbGIsqOrzru4yowQz67dz2yc"", ""'MTY'!BJ3:BJ139""),MATCH($D46,IMPORTRANGE(""1y0FWgjbB0gVlqn-q5LMJbGIsqOrzru4yowQz67dz2yc"", ""'MTY'!D3:D139""),0))"),0)</f>
        <v>0</v>
      </c>
      <c r="AC46" s="2"/>
    </row>
    <row r="47" spans="1:29">
      <c r="A47" s="9" t="s">
        <v>119</v>
      </c>
      <c r="B47" s="9" t="s">
        <v>136</v>
      </c>
      <c r="C47" s="2" t="s">
        <v>30</v>
      </c>
      <c r="D47" s="149" t="s">
        <v>141</v>
      </c>
      <c r="E47" s="9" t="s">
        <v>38</v>
      </c>
      <c r="F47" s="2" t="s">
        <v>142</v>
      </c>
      <c r="G47" s="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v>4</v>
      </c>
      <c r="Q47" s="2">
        <v>8</v>
      </c>
      <c r="R47" s="2">
        <v>15</v>
      </c>
      <c r="S47" s="2">
        <v>12</v>
      </c>
      <c r="T47" s="2">
        <v>27</v>
      </c>
      <c r="U47" s="2">
        <v>12</v>
      </c>
      <c r="V47" s="2">
        <v>28</v>
      </c>
      <c r="W47" s="2">
        <v>70</v>
      </c>
      <c r="X47" s="2">
        <v>8</v>
      </c>
      <c r="Y47" s="12">
        <f ca="1">IFERROR(__xludf.DUMMYFUNCTION("INDEX(IMPORTRANGE(""1y0FWgjbB0gVlqn-q5LMJbGIsqOrzru4yowQz67dz2yc"", ""'MTY'!BG3:BG139""),MATCH($D47,IMPORTRANGE(""1y0FWgjbB0gVlqn-q5LMJbGIsqOrzru4yowQz67dz2yc"", ""'MTY'!D3:D139""),0))"),36)</f>
        <v>36</v>
      </c>
      <c r="Z47" s="12">
        <f ca="1">IFERROR(__xludf.DUMMYFUNCTION("INDEX(IMPORTRANGE(""1y0FWgjbB0gVlqn-q5LMJbGIsqOrzru4yowQz67dz2yc"", ""'MTY'!BH3:BH139""),MATCH($D47,IMPORTRANGE(""1y0FWgjbB0gVlqn-q5LMJbGIsqOrzru4yowQz67dz2yc"", ""'MTY'!D3:D139""),0))"),103)</f>
        <v>103</v>
      </c>
      <c r="AA47" s="12">
        <f ca="1">IFERROR(__xludf.DUMMYFUNCTION("INDEX(IMPORTRANGE(""1y0FWgjbB0gVlqn-q5LMJbGIsqOrzru4yowQz67dz2yc"", ""'MTY'!BI3:BI139""),MATCH($D47,IMPORTRANGE(""1y0FWgjbB0gVlqn-q5LMJbGIsqOrzru4yowQz67dz2yc"", ""'MTY'!D3:D139""),0))"),113)</f>
        <v>113</v>
      </c>
      <c r="AB47" s="12">
        <f ca="1">IFERROR(__xludf.DUMMYFUNCTION("INDEX(IMPORTRANGE(""1y0FWgjbB0gVlqn-q5LMJbGIsqOrzru4yowQz67dz2yc"", ""'MTY'!BJ3:BJ139""),MATCH($D47,IMPORTRANGE(""1y0FWgjbB0gVlqn-q5LMJbGIsqOrzru4yowQz67dz2yc"", ""'MTY'!D3:D139""),0))"),121)</f>
        <v>121</v>
      </c>
      <c r="AC47" s="2"/>
    </row>
    <row r="48" spans="1:29">
      <c r="A48" s="9" t="s">
        <v>119</v>
      </c>
      <c r="B48" s="9" t="s">
        <v>136</v>
      </c>
      <c r="C48" s="2" t="s">
        <v>30</v>
      </c>
      <c r="D48" s="149" t="s">
        <v>143</v>
      </c>
      <c r="E48" s="9" t="s">
        <v>38</v>
      </c>
      <c r="F48" s="2" t="s">
        <v>144</v>
      </c>
      <c r="G48" s="2" t="s">
        <v>56</v>
      </c>
      <c r="H48" s="22" t="s">
        <v>57</v>
      </c>
      <c r="I48" s="22" t="s">
        <v>58</v>
      </c>
      <c r="J48" s="22" t="s">
        <v>59</v>
      </c>
      <c r="K48" s="22" t="s">
        <v>335</v>
      </c>
      <c r="L48" s="22" t="s">
        <v>336</v>
      </c>
      <c r="M48" s="22" t="s">
        <v>337</v>
      </c>
      <c r="N48" s="262" t="s">
        <v>132</v>
      </c>
      <c r="O48" s="262" t="s">
        <v>132</v>
      </c>
      <c r="P48" s="12"/>
      <c r="Q48" s="2"/>
      <c r="R48" s="4"/>
      <c r="S48" s="4"/>
      <c r="T48" s="4"/>
      <c r="U48" s="4"/>
      <c r="V48" s="4"/>
      <c r="W48" s="4"/>
      <c r="X48" s="2"/>
      <c r="Y48" s="12">
        <f ca="1">IFERROR(__xludf.DUMMYFUNCTION("INDEX(IMPORTRANGE(""1y0FWgjbB0gVlqn-q5LMJbGIsqOrzru4yowQz67dz2yc"", ""'MTY'!BG3:BG139""),MATCH($D48,IMPORTRANGE(""1y0FWgjbB0gVlqn-q5LMJbGIsqOrzru4yowQz67dz2yc"", ""'MTY'!D3:D139""),0))"),19)</f>
        <v>19</v>
      </c>
      <c r="Z48" s="12">
        <f ca="1">IFERROR(__xludf.DUMMYFUNCTION("INDEX(IMPORTRANGE(""1y0FWgjbB0gVlqn-q5LMJbGIsqOrzru4yowQz67dz2yc"", ""'MTY'!BH3:BH139""),MATCH($D48,IMPORTRANGE(""1y0FWgjbB0gVlqn-q5LMJbGIsqOrzru4yowQz67dz2yc"", ""'MTY'!D3:D139""),0))"),52)</f>
        <v>52</v>
      </c>
      <c r="AA48" s="12">
        <f ca="1">IFERROR(__xludf.DUMMYFUNCTION("INDEX(IMPORTRANGE(""1y0FWgjbB0gVlqn-q5LMJbGIsqOrzru4yowQz67dz2yc"", ""'MTY'!BI3:BI139""),MATCH($D48,IMPORTRANGE(""1y0FWgjbB0gVlqn-q5LMJbGIsqOrzru4yowQz67dz2yc"", ""'MTY'!D3:D139""),0))"),53)</f>
        <v>53</v>
      </c>
      <c r="AB48" s="12">
        <f ca="1">IFERROR(__xludf.DUMMYFUNCTION("INDEX(IMPORTRANGE(""1y0FWgjbB0gVlqn-q5LMJbGIsqOrzru4yowQz67dz2yc"", ""'MTY'!BJ3:BJ139""),MATCH($D48,IMPORTRANGE(""1y0FWgjbB0gVlqn-q5LMJbGIsqOrzru4yowQz67dz2yc"", ""'MTY'!D3:D139""),0))"),53)</f>
        <v>53</v>
      </c>
      <c r="AC48" s="2"/>
    </row>
    <row r="49" spans="1:29">
      <c r="A49" s="9" t="s">
        <v>119</v>
      </c>
      <c r="B49" s="9" t="s">
        <v>136</v>
      </c>
      <c r="C49" s="2" t="s">
        <v>36</v>
      </c>
      <c r="D49" s="149" t="s">
        <v>145</v>
      </c>
      <c r="E49" s="9" t="s">
        <v>38</v>
      </c>
      <c r="F49" s="2" t="s">
        <v>146</v>
      </c>
      <c r="G49" s="2" t="s">
        <v>56</v>
      </c>
      <c r="H49" s="22" t="s">
        <v>57</v>
      </c>
      <c r="I49" s="22" t="s">
        <v>58</v>
      </c>
      <c r="J49" s="22" t="s">
        <v>59</v>
      </c>
      <c r="K49" s="22" t="s">
        <v>335</v>
      </c>
      <c r="L49" s="22" t="s">
        <v>336</v>
      </c>
      <c r="M49" s="22" t="s">
        <v>337</v>
      </c>
      <c r="N49" s="262" t="s">
        <v>132</v>
      </c>
      <c r="O49" s="262" t="s">
        <v>132</v>
      </c>
      <c r="P49" s="12">
        <v>6</v>
      </c>
      <c r="Q49" s="2">
        <v>10</v>
      </c>
      <c r="R49" s="4">
        <f>R45+R47</f>
        <v>17</v>
      </c>
      <c r="S49" s="4">
        <f>S45+S47+R49</f>
        <v>31</v>
      </c>
      <c r="T49" s="4">
        <f>T45+T47-S45-S47+S49</f>
        <v>48</v>
      </c>
      <c r="U49" s="4">
        <f>U45+U47+T49</f>
        <v>62</v>
      </c>
      <c r="V49" s="4">
        <f>V45+V47-U45-U47+U49</f>
        <v>80</v>
      </c>
      <c r="W49" s="4">
        <f>W45+W47</f>
        <v>80</v>
      </c>
      <c r="X49" s="2">
        <v>9</v>
      </c>
      <c r="Y49" s="12">
        <f ca="1">IFERROR(__xludf.DUMMYFUNCTION("INDEX(IMPORTRANGE(""1y0FWgjbB0gVlqn-q5LMJbGIsqOrzru4yowQz67dz2yc"", ""'MTY'!BG3:BG139""),MATCH($D49,IMPORTRANGE(""1y0FWgjbB0gVlqn-q5LMJbGIsqOrzru4yowQz67dz2yc"", ""'MTY'!D3:D139""),0))"),59)</f>
        <v>59</v>
      </c>
      <c r="Z49" s="12">
        <f ca="1">IFERROR(__xludf.DUMMYFUNCTION("INDEX(IMPORTRANGE(""1y0FWgjbB0gVlqn-q5LMJbGIsqOrzru4yowQz67dz2yc"", ""'MTY'!BH3:BH139""),MATCH($D49,IMPORTRANGE(""1y0FWgjbB0gVlqn-q5LMJbGIsqOrzru4yowQz67dz2yc"", ""'MTY'!D3:D139""),0))"),164)</f>
        <v>164</v>
      </c>
      <c r="AA49" s="12">
        <f ca="1">IFERROR(__xludf.DUMMYFUNCTION("INDEX(IMPORTRANGE(""1y0FWgjbB0gVlqn-q5LMJbGIsqOrzru4yowQz67dz2yc"", ""'MTY'!BI3:BI139""),MATCH($D49,IMPORTRANGE(""1y0FWgjbB0gVlqn-q5LMJbGIsqOrzru4yowQz67dz2yc"", ""'MTY'!D3:D139""),0))"),175)</f>
        <v>175</v>
      </c>
      <c r="AB49" s="12">
        <f ca="1">IFERROR(__xludf.DUMMYFUNCTION("INDEX(IMPORTRANGE(""1y0FWgjbB0gVlqn-q5LMJbGIsqOrzru4yowQz67dz2yc"", ""'MTY'!BJ3:BJ139""),MATCH($D49,IMPORTRANGE(""1y0FWgjbB0gVlqn-q5LMJbGIsqOrzru4yowQz67dz2yc"", ""'MTY'!D3:D139""),0))"),184)</f>
        <v>184</v>
      </c>
      <c r="AC49" s="2"/>
    </row>
    <row r="50" spans="1:29">
      <c r="A50" s="9" t="s">
        <v>147</v>
      </c>
      <c r="B50" s="9" t="s">
        <v>148</v>
      </c>
      <c r="C50" s="2" t="s">
        <v>30</v>
      </c>
      <c r="D50" s="149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150</v>
      </c>
      <c r="Q50" s="2" t="s">
        <v>150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150</v>
      </c>
      <c r="Y50" s="17" t="str">
        <f ca="1">IFERROR(__xludf.DUMMYFUNCTION("INDEX(IMPORTRANGE(""1y0FWgjbB0gVlqn-q5LMJbGIsqOrzru4yowQz67dz2yc"", ""'MTY'!BG3:BG139""),MATCH($D50,IMPORTRANGE(""1y0FWgjbB0gVlqn-q5LMJbGIsqOrzru4yowQz67dz2yc"", ""'MTY'!D3:D139""),0))"),"No")</f>
        <v>No</v>
      </c>
      <c r="Z50" s="12" t="str">
        <f ca="1">IFERROR(__xludf.DUMMYFUNCTION("INDEX(IMPORTRANGE(""1y0FWgjbB0gVlqn-q5LMJbGIsqOrzru4yowQz67dz2yc"", ""'MTY'!BH3:BH139""),MATCH($D50,IMPORTRANGE(""1y0FWgjbB0gVlqn-q5LMJbGIsqOrzru4yowQz67dz2yc"", ""'MTY'!D3:D139""),0))"),"No")</f>
        <v>No</v>
      </c>
      <c r="AA50" s="12" t="str">
        <f ca="1">IFERROR(__xludf.DUMMYFUNCTION("INDEX(IMPORTRANGE(""1y0FWgjbB0gVlqn-q5LMJbGIsqOrzru4yowQz67dz2yc"", ""'MTY'!BI3:BI139""),MATCH($D50,IMPORTRANGE(""1y0FWgjbB0gVlqn-q5LMJbGIsqOrzru4yowQz67dz2yc"", ""'MTY'!D3:D139""),0))"),"No")</f>
        <v>No</v>
      </c>
      <c r="AB50" s="12" t="str">
        <f ca="1">IFERROR(__xludf.DUMMYFUNCTION("INDEX(IMPORTRANGE(""1y0FWgjbB0gVlqn-q5LMJbGIsqOrzru4yowQz67dz2yc"", ""'MTY'!BJ3:BJ139""),MATCH($D50,IMPORTRANGE(""1y0FWgjbB0gVlqn-q5LMJbGIsqOrzru4yowQz67dz2yc"", ""'MTY'!D3:D139""),0))"),"No")</f>
        <v>No</v>
      </c>
      <c r="AC50" s="2"/>
    </row>
    <row r="51" spans="1:29">
      <c r="A51" s="9" t="s">
        <v>147</v>
      </c>
      <c r="B51" s="9" t="s">
        <v>148</v>
      </c>
      <c r="C51" s="2" t="s">
        <v>30</v>
      </c>
      <c r="D51" s="149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 t="s">
        <v>150</v>
      </c>
      <c r="Q51" s="2" t="s">
        <v>150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150</v>
      </c>
      <c r="Y51" s="17" t="str">
        <f ca="1">IFERROR(__xludf.DUMMYFUNCTION("INDEX(IMPORTRANGE(""1y0FWgjbB0gVlqn-q5LMJbGIsqOrzru4yowQz67dz2yc"", ""'MTY'!BG3:BG139""),MATCH($D51,IMPORTRANGE(""1y0FWgjbB0gVlqn-q5LMJbGIsqOrzru4yowQz67dz2yc"", ""'MTY'!D3:D139""),0))"),"No")</f>
        <v>No</v>
      </c>
      <c r="Z51" s="12" t="str">
        <f ca="1">IFERROR(__xludf.DUMMYFUNCTION("INDEX(IMPORTRANGE(""1y0FWgjbB0gVlqn-q5LMJbGIsqOrzru4yowQz67dz2yc"", ""'MTY'!BH3:BH139""),MATCH($D51,IMPORTRANGE(""1y0FWgjbB0gVlqn-q5LMJbGIsqOrzru4yowQz67dz2yc"", ""'MTY'!D3:D139""),0))"),"No")</f>
        <v>No</v>
      </c>
      <c r="AA51" s="12" t="str">
        <f ca="1">IFERROR(__xludf.DUMMYFUNCTION("INDEX(IMPORTRANGE(""1y0FWgjbB0gVlqn-q5LMJbGIsqOrzru4yowQz67dz2yc"", ""'MTY'!BI3:BI139""),MATCH($D51,IMPORTRANGE(""1y0FWgjbB0gVlqn-q5LMJbGIsqOrzru4yowQz67dz2yc"", ""'MTY'!D3:D139""),0))"),"Sí")</f>
        <v>Sí</v>
      </c>
      <c r="AB51" s="12" t="str">
        <f ca="1">IFERROR(__xludf.DUMMYFUNCTION("INDEX(IMPORTRANGE(""1y0FWgjbB0gVlqn-q5LMJbGIsqOrzru4yowQz67dz2yc"", ""'MTY'!BJ3:BJ139""),MATCH($D51,IMPORTRANGE(""1y0FWgjbB0gVlqn-q5LMJbGIsqOrzru4yowQz67dz2yc"", ""'MTY'!D3:D139""),0))"),"Sí")</f>
        <v>Sí</v>
      </c>
      <c r="AC51" s="2"/>
    </row>
    <row r="52" spans="1:29">
      <c r="A52" s="9" t="s">
        <v>147</v>
      </c>
      <c r="B52" s="9" t="s">
        <v>148</v>
      </c>
      <c r="C52" s="2" t="s">
        <v>30</v>
      </c>
      <c r="D52" s="149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 t="s">
        <v>150</v>
      </c>
      <c r="Q52" s="2" t="s">
        <v>150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150</v>
      </c>
      <c r="Y52" s="17" t="str">
        <f ca="1">IFERROR(__xludf.DUMMYFUNCTION("INDEX(IMPORTRANGE(""1y0FWgjbB0gVlqn-q5LMJbGIsqOrzru4yowQz67dz2yc"", ""'MTY'!BG3:BG139""),MATCH($D52,IMPORTRANGE(""1y0FWgjbB0gVlqn-q5LMJbGIsqOrzru4yowQz67dz2yc"", ""'MTY'!D3:D139""),0))"),"No")</f>
        <v>No</v>
      </c>
      <c r="Z52" s="12" t="str">
        <f ca="1">IFERROR(__xludf.DUMMYFUNCTION("INDEX(IMPORTRANGE(""1y0FWgjbB0gVlqn-q5LMJbGIsqOrzru4yowQz67dz2yc"", ""'MTY'!BH3:BH139""),MATCH($D52,IMPORTRANGE(""1y0FWgjbB0gVlqn-q5LMJbGIsqOrzru4yowQz67dz2yc"", ""'MTY'!D3:D139""),0))"),"No")</f>
        <v>No</v>
      </c>
      <c r="AA52" s="12" t="str">
        <f ca="1">IFERROR(__xludf.DUMMYFUNCTION("INDEX(IMPORTRANGE(""1y0FWgjbB0gVlqn-q5LMJbGIsqOrzru4yowQz67dz2yc"", ""'MTY'!BI3:BI139""),MATCH($D52,IMPORTRANGE(""1y0FWgjbB0gVlqn-q5LMJbGIsqOrzru4yowQz67dz2yc"", ""'MTY'!D3:D139""),0))"),"Sí")</f>
        <v>Sí</v>
      </c>
      <c r="AB52" s="12" t="str">
        <f ca="1">IFERROR(__xludf.DUMMYFUNCTION("INDEX(IMPORTRANGE(""1y0FWgjbB0gVlqn-q5LMJbGIsqOrzru4yowQz67dz2yc"", ""'MTY'!BJ3:BJ139""),MATCH($D52,IMPORTRANGE(""1y0FWgjbB0gVlqn-q5LMJbGIsqOrzru4yowQz67dz2yc"", ""'MTY'!D3:D139""),0))"),"Sí")</f>
        <v>Sí</v>
      </c>
      <c r="AC52" s="2"/>
    </row>
    <row r="53" spans="1:29">
      <c r="A53" s="9" t="s">
        <v>147</v>
      </c>
      <c r="B53" s="9" t="s">
        <v>148</v>
      </c>
      <c r="C53" s="2" t="s">
        <v>36</v>
      </c>
      <c r="D53" s="149" t="s">
        <v>156</v>
      </c>
      <c r="E53" s="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91">
        <f t="shared" ref="P53:Q53" si="10">COUNTIF(P50:P52,"Sí")*(1/3)</f>
        <v>0</v>
      </c>
      <c r="Q53" s="91">
        <f t="shared" si="10"/>
        <v>0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91">
        <f>COUNTIF(X50:X52,"Sí")*(1/3)</f>
        <v>0</v>
      </c>
      <c r="Y53" s="12">
        <f ca="1">IFERROR(__xludf.DUMMYFUNCTION("INDEX(IMPORTRANGE(""1y0FWgjbB0gVlqn-q5LMJbGIsqOrzru4yowQz67dz2yc"", ""'MTY'!BG3:BG139""),MATCH($D53,IMPORTRANGE(""1y0FWgjbB0gVlqn-q5LMJbGIsqOrzru4yowQz67dz2yc"", ""'MTY'!D3:D139""),0))"),0)</f>
        <v>0</v>
      </c>
      <c r="Z53" s="12">
        <f ca="1">IFERROR(__xludf.DUMMYFUNCTION("INDEX(IMPORTRANGE(""1y0FWgjbB0gVlqn-q5LMJbGIsqOrzru4yowQz67dz2yc"", ""'MTY'!BH3:BH139""),MATCH($D53,IMPORTRANGE(""1y0FWgjbB0gVlqn-q5LMJbGIsqOrzru4yowQz67dz2yc"", ""'MTY'!D3:D139""),0))"),0)</f>
        <v>0</v>
      </c>
      <c r="AA53" s="12">
        <f ca="1">IFERROR(__xludf.DUMMYFUNCTION("INDEX(IMPORTRANGE(""1y0FWgjbB0gVlqn-q5LMJbGIsqOrzru4yowQz67dz2yc"", ""'MTY'!BI3:BI139""),MATCH($D53,IMPORTRANGE(""1y0FWgjbB0gVlqn-q5LMJbGIsqOrzru4yowQz67dz2yc"", ""'MTY'!D3:D139""),0))"),0.666666666666666)</f>
        <v>0.66666666666666596</v>
      </c>
      <c r="AB53" s="12">
        <f ca="1">IFERROR(__xludf.DUMMYFUNCTION("INDEX(IMPORTRANGE(""1y0FWgjbB0gVlqn-q5LMJbGIsqOrzru4yowQz67dz2yc"", ""'MTY'!BJ3:BJ139""),MATCH($D53,IMPORTRANGE(""1y0FWgjbB0gVlqn-q5LMJbGIsqOrzru4yowQz67dz2yc"", ""'MTY'!D3:D139""),0))"),0.666666666666666)</f>
        <v>0.66666666666666596</v>
      </c>
      <c r="AC53" s="2"/>
    </row>
    <row r="54" spans="1:29">
      <c r="A54" s="9" t="s">
        <v>147</v>
      </c>
      <c r="B54" s="9" t="s">
        <v>148</v>
      </c>
      <c r="C54" s="2" t="s">
        <v>36</v>
      </c>
      <c r="D54" s="149" t="s">
        <v>351</v>
      </c>
      <c r="E54" s="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0</v>
      </c>
      <c r="Y54" s="12">
        <f ca="1">IFERROR(__xludf.DUMMYFUNCTION("INDEX(IMPORTRANGE(""1y0FWgjbB0gVlqn-q5LMJbGIsqOrzru4yowQz67dz2yc"", ""'MTY'!BG3:BG139""),MATCH($D54,IMPORTRANGE(""1y0FWgjbB0gVlqn-q5LMJbGIsqOrzru4yowQz67dz2yc"", ""'MTY'!D3:D139""),0))"),0)</f>
        <v>0</v>
      </c>
      <c r="Z54" s="12">
        <f ca="1">IFERROR(__xludf.DUMMYFUNCTION("INDEX(IMPORTRANGE(""1y0FWgjbB0gVlqn-q5LMJbGIsqOrzru4yowQz67dz2yc"", ""'MTY'!BH3:BH139""),MATCH($D54,IMPORTRANGE(""1y0FWgjbB0gVlqn-q5LMJbGIsqOrzru4yowQz67dz2yc"", ""'MTY'!D3:D139""),0))"),0)</f>
        <v>0</v>
      </c>
      <c r="AA54" s="12">
        <f ca="1">IFERROR(__xludf.DUMMYFUNCTION("INDEX(IMPORTRANGE(""1y0FWgjbB0gVlqn-q5LMJbGIsqOrzru4yowQz67dz2yc"", ""'MTY'!BI3:BI139""),MATCH($D54,IMPORTRANGE(""1y0FWgjbB0gVlqn-q5LMJbGIsqOrzru4yowQz67dz2yc"", ""'MTY'!D3:D139""),0))"),0)</f>
        <v>0</v>
      </c>
      <c r="AB54" s="12">
        <f ca="1">IFERROR(__xludf.DUMMYFUNCTION("INDEX(IMPORTRANGE(""1y0FWgjbB0gVlqn-q5LMJbGIsqOrzru4yowQz67dz2yc"", ""'MTY'!BJ3:BJ139""),MATCH($D54,IMPORTRANGE(""1y0FWgjbB0gVlqn-q5LMJbGIsqOrzru4yowQz67dz2yc"", ""'MTY'!D3:D139""),0))"),0)</f>
        <v>0</v>
      </c>
      <c r="AC54" s="2"/>
    </row>
    <row r="55" spans="1:29">
      <c r="A55" s="9" t="s">
        <v>147</v>
      </c>
      <c r="B55" s="9" t="s">
        <v>148</v>
      </c>
      <c r="C55" s="2" t="s">
        <v>30</v>
      </c>
      <c r="D55" s="149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17</v>
      </c>
      <c r="Q55" s="2">
        <v>17</v>
      </c>
      <c r="R55" s="4"/>
      <c r="S55" s="4"/>
      <c r="T55" s="4"/>
      <c r="U55" s="4"/>
      <c r="V55" s="4"/>
      <c r="W55" s="4"/>
      <c r="X55" s="2">
        <v>17</v>
      </c>
      <c r="Y55" s="12">
        <f ca="1">IFERROR(__xludf.DUMMYFUNCTION("INDEX(IMPORTRANGE(""1y0FWgjbB0gVlqn-q5LMJbGIsqOrzru4yowQz67dz2yc"", ""'MTY'!BG3:BG139""),MATCH($D55,IMPORTRANGE(""1y0FWgjbB0gVlqn-q5LMJbGIsqOrzru4yowQz67dz2yc"", ""'MTY'!D3:D139""),0))"),17)</f>
        <v>17</v>
      </c>
      <c r="Z55" s="12">
        <f ca="1">IFERROR(__xludf.DUMMYFUNCTION("INDEX(IMPORTRANGE(""1y0FWgjbB0gVlqn-q5LMJbGIsqOrzru4yowQz67dz2yc"", ""'MTY'!BH3:BH139""),MATCH($D55,IMPORTRANGE(""1y0FWgjbB0gVlqn-q5LMJbGIsqOrzru4yowQz67dz2yc"", ""'MTY'!D3:D139""),0))"),17)</f>
        <v>17</v>
      </c>
      <c r="AA55" s="12">
        <f ca="1">IFERROR(__xludf.DUMMYFUNCTION("INDEX(IMPORTRANGE(""1y0FWgjbB0gVlqn-q5LMJbGIsqOrzru4yowQz67dz2yc"", ""'MTY'!BI3:BI139""),MATCH($D55,IMPORTRANGE(""1y0FWgjbB0gVlqn-q5LMJbGIsqOrzru4yowQz67dz2yc"", ""'MTY'!D3:D139""),0))"),17)</f>
        <v>17</v>
      </c>
      <c r="AB55" s="12">
        <f ca="1">IFERROR(__xludf.DUMMYFUNCTION("INDEX(IMPORTRANGE(""1y0FWgjbB0gVlqn-q5LMJbGIsqOrzru4yowQz67dz2yc"", ""'MTY'!BJ3:BJ139""),MATCH($D55,IMPORTRANGE(""1y0FWgjbB0gVlqn-q5LMJbGIsqOrzru4yowQz67dz2yc"", ""'MTY'!D3:D139""),0))"),17)</f>
        <v>17</v>
      </c>
      <c r="AC55" s="2"/>
    </row>
    <row r="56" spans="1:29">
      <c r="A56" s="9" t="s">
        <v>147</v>
      </c>
      <c r="B56" s="9" t="s">
        <v>148</v>
      </c>
      <c r="C56" s="2" t="s">
        <v>30</v>
      </c>
      <c r="D56" s="149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9</v>
      </c>
      <c r="Q56" s="2">
        <v>9</v>
      </c>
      <c r="R56" s="4"/>
      <c r="S56" s="4"/>
      <c r="T56" s="4"/>
      <c r="U56" s="4"/>
      <c r="V56" s="4"/>
      <c r="W56" s="4"/>
      <c r="X56" s="2">
        <v>9</v>
      </c>
      <c r="Y56" s="12">
        <f ca="1">IFERROR(__xludf.DUMMYFUNCTION("INDEX(IMPORTRANGE(""1y0FWgjbB0gVlqn-q5LMJbGIsqOrzru4yowQz67dz2yc"", ""'MTY'!BG3:BG139""),MATCH($D56,IMPORTRANGE(""1y0FWgjbB0gVlqn-q5LMJbGIsqOrzru4yowQz67dz2yc"", ""'MTY'!D3:D139""),0))"),14)</f>
        <v>14</v>
      </c>
      <c r="Z56" s="12">
        <f ca="1">IFERROR(__xludf.DUMMYFUNCTION("INDEX(IMPORTRANGE(""1y0FWgjbB0gVlqn-q5LMJbGIsqOrzru4yowQz67dz2yc"", ""'MTY'!BH3:BH139""),MATCH($D56,IMPORTRANGE(""1y0FWgjbB0gVlqn-q5LMJbGIsqOrzru4yowQz67dz2yc"", ""'MTY'!D3:D139""),0))"),14)</f>
        <v>14</v>
      </c>
      <c r="AA56" s="12">
        <f ca="1">IFERROR(__xludf.DUMMYFUNCTION("INDEX(IMPORTRANGE(""1y0FWgjbB0gVlqn-q5LMJbGIsqOrzru4yowQz67dz2yc"", ""'MTY'!BI3:BI139""),MATCH($D56,IMPORTRANGE(""1y0FWgjbB0gVlqn-q5LMJbGIsqOrzru4yowQz67dz2yc"", ""'MTY'!D3:D139""),0))"),14)</f>
        <v>14</v>
      </c>
      <c r="AB56" s="12">
        <f ca="1">IFERROR(__xludf.DUMMYFUNCTION("INDEX(IMPORTRANGE(""1y0FWgjbB0gVlqn-q5LMJbGIsqOrzru4yowQz67dz2yc"", ""'MTY'!BJ3:BJ139""),MATCH($D56,IMPORTRANGE(""1y0FWgjbB0gVlqn-q5LMJbGIsqOrzru4yowQz67dz2yc"", ""'MTY'!D3:D139""),0))"),14)</f>
        <v>14</v>
      </c>
      <c r="AC56" s="2"/>
    </row>
    <row r="57" spans="1:29">
      <c r="A57" s="9" t="s">
        <v>147</v>
      </c>
      <c r="B57" s="9" t="s">
        <v>148</v>
      </c>
      <c r="C57" s="2" t="s">
        <v>36</v>
      </c>
      <c r="D57" s="149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1">P56/P55</f>
        <v>0.52941176470588236</v>
      </c>
      <c r="Q57" s="15">
        <f t="shared" si="11"/>
        <v>0.52941176470588236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0.52941176470588236</v>
      </c>
      <c r="Y57" s="19">
        <f ca="1">IFERROR(__xludf.DUMMYFUNCTION("INDEX(IMPORTRANGE(""1y0FWgjbB0gVlqn-q5LMJbGIsqOrzru4yowQz67dz2yc"", ""'MTY'!BG3:BG139""),MATCH($D57,IMPORTRANGE(""1y0FWgjbB0gVlqn-q5LMJbGIsqOrzru4yowQz67dz2yc"", ""'MTY'!D3:D139""),0))"),0.823529411764705)</f>
        <v>0.82352941176470495</v>
      </c>
      <c r="Z57" s="15">
        <f ca="1">IFERROR(__xludf.DUMMYFUNCTION("INDEX(IMPORTRANGE(""1y0FWgjbB0gVlqn-q5LMJbGIsqOrzru4yowQz67dz2yc"", ""'MTY'!BH3:BH139""),MATCH($D57,IMPORTRANGE(""1y0FWgjbB0gVlqn-q5LMJbGIsqOrzru4yowQz67dz2yc"", ""'MTY'!D3:D139""),0))"),0.823529411764705)</f>
        <v>0.82352941176470495</v>
      </c>
      <c r="AA57" s="15">
        <f ca="1">IFERROR(__xludf.DUMMYFUNCTION("INDEX(IMPORTRANGE(""1y0FWgjbB0gVlqn-q5LMJbGIsqOrzru4yowQz67dz2yc"", ""'MTY'!BI3:BI139""),MATCH($D57,IMPORTRANGE(""1y0FWgjbB0gVlqn-q5LMJbGIsqOrzru4yowQz67dz2yc"", ""'MTY'!D3:D139""),0))"),0.823529411764705)</f>
        <v>0.82352941176470495</v>
      </c>
      <c r="AB57" s="15">
        <f ca="1">IFERROR(__xludf.DUMMYFUNCTION("INDEX(IMPORTRANGE(""1y0FWgjbB0gVlqn-q5LMJbGIsqOrzru4yowQz67dz2yc"", ""'MTY'!BJ3:BJ139""),MATCH($D57,IMPORTRANGE(""1y0FWgjbB0gVlqn-q5LMJbGIsqOrzru4yowQz67dz2yc"", ""'MTY'!D3:D139""),0))"),0.823529411764705)</f>
        <v>0.82352941176470495</v>
      </c>
      <c r="AC57" s="2"/>
    </row>
    <row r="58" spans="1:29">
      <c r="A58" s="9" t="s">
        <v>147</v>
      </c>
      <c r="B58" s="9" t="s">
        <v>168</v>
      </c>
      <c r="C58" s="2" t="s">
        <v>30</v>
      </c>
      <c r="D58" s="149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458">
        <v>107246</v>
      </c>
      <c r="Q58" s="458">
        <v>107246</v>
      </c>
      <c r="R58" s="4"/>
      <c r="S58" s="4"/>
      <c r="T58" s="4"/>
      <c r="U58" s="4"/>
      <c r="V58" s="4"/>
      <c r="W58" s="4"/>
      <c r="X58" s="458">
        <v>107501</v>
      </c>
      <c r="Y58" s="12">
        <f ca="1">IFERROR(__xludf.DUMMYFUNCTION("INDEX(IMPORTRANGE(""1y0FWgjbB0gVlqn-q5LMJbGIsqOrzru4yowQz67dz2yc"", ""'MTY'!BG3:BG139""),MATCH($D58,IMPORTRANGE(""1y0FWgjbB0gVlqn-q5LMJbGIsqOrzru4yowQz67dz2yc"", ""'MTY'!D3:D139""),0))"),107975)</f>
        <v>107975</v>
      </c>
      <c r="Z58" s="12">
        <f ca="1">IFERROR(__xludf.DUMMYFUNCTION("INDEX(IMPORTRANGE(""1y0FWgjbB0gVlqn-q5LMJbGIsqOrzru4yowQz67dz2yc"", ""'MTY'!BH3:BH139""),MATCH($D58,IMPORTRANGE(""1y0FWgjbB0gVlqn-q5LMJbGIsqOrzru4yowQz67dz2yc"", ""'MTY'!D3:D139""),0))"),108156)</f>
        <v>108156</v>
      </c>
      <c r="AA58" s="12">
        <f ca="1">IFERROR(__xludf.DUMMYFUNCTION("INDEX(IMPORTRANGE(""1y0FWgjbB0gVlqn-q5LMJbGIsqOrzru4yowQz67dz2yc"", ""'MTY'!BI3:BI139""),MATCH($D58,IMPORTRANGE(""1y0FWgjbB0gVlqn-q5LMJbGIsqOrzru4yowQz67dz2yc"", ""'MTY'!D3:D139""),0))"),108396)</f>
        <v>108396</v>
      </c>
      <c r="AB58" s="12">
        <f ca="1">IFERROR(__xludf.DUMMYFUNCTION("INDEX(IMPORTRANGE(""1y0FWgjbB0gVlqn-q5LMJbGIsqOrzru4yowQz67dz2yc"", ""'MTY'!BJ3:BJ139""),MATCH($D58,IMPORTRANGE(""1y0FWgjbB0gVlqn-q5LMJbGIsqOrzru4yowQz67dz2yc"", ""'MTY'!D3:D139""),0))"),108717)</f>
        <v>108717</v>
      </c>
      <c r="AC58" s="2"/>
    </row>
    <row r="59" spans="1:29">
      <c r="A59" s="9" t="s">
        <v>147</v>
      </c>
      <c r="B59" s="9" t="s">
        <v>168</v>
      </c>
      <c r="C59" s="2" t="s">
        <v>30</v>
      </c>
      <c r="D59" s="149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458">
        <v>107246</v>
      </c>
      <c r="Q59" s="459">
        <v>107246</v>
      </c>
      <c r="R59" s="4"/>
      <c r="S59" s="4"/>
      <c r="T59" s="4"/>
      <c r="U59" s="4"/>
      <c r="V59" s="4"/>
      <c r="W59" s="4"/>
      <c r="X59" s="458">
        <v>107501</v>
      </c>
      <c r="Y59" s="12">
        <f ca="1">IFERROR(__xludf.DUMMYFUNCTION("INDEX(IMPORTRANGE(""1y0FWgjbB0gVlqn-q5LMJbGIsqOrzru4yowQz67dz2yc"", ""'MTY'!BG3:BG139""),MATCH($D59,IMPORTRANGE(""1y0FWgjbB0gVlqn-q5LMJbGIsqOrzru4yowQz67dz2yc"", ""'MTY'!D3:D139""),0))"),108002)</f>
        <v>108002</v>
      </c>
      <c r="Z59" s="12">
        <f ca="1">IFERROR(__xludf.DUMMYFUNCTION("INDEX(IMPORTRANGE(""1y0FWgjbB0gVlqn-q5LMJbGIsqOrzru4yowQz67dz2yc"", ""'MTY'!BH3:BH139""),MATCH($D59,IMPORTRANGE(""1y0FWgjbB0gVlqn-q5LMJbGIsqOrzru4yowQz67dz2yc"", ""'MTY'!D3:D139""),0))"),108226)</f>
        <v>108226</v>
      </c>
      <c r="AA59" s="12">
        <f ca="1">IFERROR(__xludf.DUMMYFUNCTION("INDEX(IMPORTRANGE(""1y0FWgjbB0gVlqn-q5LMJbGIsqOrzru4yowQz67dz2yc"", ""'MTY'!BI3:BI139""),MATCH($D59,IMPORTRANGE(""1y0FWgjbB0gVlqn-q5LMJbGIsqOrzru4yowQz67dz2yc"", ""'MTY'!D3:D139""),0))"),108427)</f>
        <v>108427</v>
      </c>
      <c r="AB59" s="12">
        <f ca="1">IFERROR(__xludf.DUMMYFUNCTION("INDEX(IMPORTRANGE(""1y0FWgjbB0gVlqn-q5LMJbGIsqOrzru4yowQz67dz2yc"", ""'MTY'!BJ3:BJ139""),MATCH($D59,IMPORTRANGE(""1y0FWgjbB0gVlqn-q5LMJbGIsqOrzru4yowQz67dz2yc"", ""'MTY'!D3:D139""),0))"),108791)</f>
        <v>108791</v>
      </c>
      <c r="AC59" s="2"/>
    </row>
    <row r="60" spans="1:29">
      <c r="A60" s="9" t="s">
        <v>147</v>
      </c>
      <c r="B60" s="9" t="s">
        <v>168</v>
      </c>
      <c r="C60" s="2" t="s">
        <v>36</v>
      </c>
      <c r="D60" s="149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26">
        <f t="shared" ref="P60:Q60" si="12">P58/P59</f>
        <v>1</v>
      </c>
      <c r="Q60" s="26">
        <f t="shared" si="12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1</v>
      </c>
      <c r="Y60" s="15">
        <f ca="1">IFERROR(__xludf.DUMMYFUNCTION("INDEX(IMPORTRANGE(""1y0FWgjbB0gVlqn-q5LMJbGIsqOrzru4yowQz67dz2yc"", ""'MTY'!BG3:BG139""),MATCH($D60,IMPORTRANGE(""1y0FWgjbB0gVlqn-q5LMJbGIsqOrzru4yowQz67dz2yc"", ""'MTY'!D3:D139""),0))"),0.999750004629543)</f>
        <v>0.999750004629543</v>
      </c>
      <c r="Z60" s="15">
        <f ca="1">IFERROR(__xludf.DUMMYFUNCTION("INDEX(IMPORTRANGE(""1y0FWgjbB0gVlqn-q5LMJbGIsqOrzru4yowQz67dz2yc"", ""'MTY'!BH3:BH139""),MATCH($D60,IMPORTRANGE(""1y0FWgjbB0gVlqn-q5LMJbGIsqOrzru4yowQz67dz2yc"", ""'MTY'!D3:D139""),0))"),0.999353205329588)</f>
        <v>0.99935320532958805</v>
      </c>
      <c r="AA60" s="15">
        <f ca="1">IFERROR(__xludf.DUMMYFUNCTION("INDEX(IMPORTRANGE(""1y0FWgjbB0gVlqn-q5LMJbGIsqOrzru4yowQz67dz2yc"", ""'MTY'!BI3:BI139""),MATCH($D60,IMPORTRANGE(""1y0FWgjbB0gVlqn-q5LMJbGIsqOrzru4yowQz67dz2yc"", ""'MTY'!D3:D139""),0))"),0.999714093353131)</f>
        <v>0.99971409335313099</v>
      </c>
      <c r="AB60" s="15">
        <f ca="1">IFERROR(__xludf.DUMMYFUNCTION("INDEX(IMPORTRANGE(""1y0FWgjbB0gVlqn-q5LMJbGIsqOrzru4yowQz67dz2yc"", ""'MTY'!BJ3:BJ139""),MATCH($D60,IMPORTRANGE(""1y0FWgjbB0gVlqn-q5LMJbGIsqOrzru4yowQz67dz2yc"", ""'MTY'!D3:D139""),0))"),0.999319796674357)</f>
        <v>0.999319796674357</v>
      </c>
      <c r="AC60" s="2"/>
    </row>
    <row r="61" spans="1:29">
      <c r="A61" s="9" t="s">
        <v>147</v>
      </c>
      <c r="B61" s="9" t="s">
        <v>168</v>
      </c>
      <c r="C61" s="2" t="s">
        <v>30</v>
      </c>
      <c r="D61" s="149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375160</v>
      </c>
      <c r="Q61" s="12">
        <v>375160</v>
      </c>
      <c r="R61" s="4"/>
      <c r="S61" s="4"/>
      <c r="T61" s="4"/>
      <c r="U61" s="4"/>
      <c r="V61" s="4"/>
      <c r="W61" s="4"/>
      <c r="X61" s="12">
        <v>375160</v>
      </c>
      <c r="Y61" s="12">
        <f ca="1">IFERROR(__xludf.DUMMYFUNCTION("INDEX(IMPORTRANGE(""1y0FWgjbB0gVlqn-q5LMJbGIsqOrzru4yowQz67dz2yc"", ""'MTY'!BG3:BG139""),MATCH($D61,IMPORTRANGE(""1y0FWgjbB0gVlqn-q5LMJbGIsqOrzru4yowQz67dz2yc"", ""'MTY'!D3:D139""),0))"),375160)</f>
        <v>375160</v>
      </c>
      <c r="Z61" s="12">
        <f ca="1">IFERROR(__xludf.DUMMYFUNCTION("INDEX(IMPORTRANGE(""1y0FWgjbB0gVlqn-q5LMJbGIsqOrzru4yowQz67dz2yc"", ""'MTY'!BH3:BH139""),MATCH($D61,IMPORTRANGE(""1y0FWgjbB0gVlqn-q5LMJbGIsqOrzru4yowQz67dz2yc"", ""'MTY'!D3:D139""),0))"),375160)</f>
        <v>375160</v>
      </c>
      <c r="AA61" s="12">
        <f ca="1">IFERROR(__xludf.DUMMYFUNCTION("INDEX(IMPORTRANGE(""1y0FWgjbB0gVlqn-q5LMJbGIsqOrzru4yowQz67dz2yc"", ""'MTY'!BI3:BI139""),MATCH($D61,IMPORTRANGE(""1y0FWgjbB0gVlqn-q5LMJbGIsqOrzru4yowQz67dz2yc"", ""'MTY'!D3:D139""),0))"),375160)</f>
        <v>375160</v>
      </c>
      <c r="AB61" s="12">
        <f ca="1">IFERROR(__xludf.DUMMYFUNCTION("INDEX(IMPORTRANGE(""1y0FWgjbB0gVlqn-q5LMJbGIsqOrzru4yowQz67dz2yc"", ""'MTY'!BJ3:BJ139""),MATCH($D61,IMPORTRANGE(""1y0FWgjbB0gVlqn-q5LMJbGIsqOrzru4yowQz67dz2yc"", ""'MTY'!D3:D139""),0))"),375160)</f>
        <v>375160</v>
      </c>
      <c r="AC61" s="2"/>
    </row>
    <row r="62" spans="1:29">
      <c r="A62" s="9" t="s">
        <v>147</v>
      </c>
      <c r="B62" s="9" t="s">
        <v>168</v>
      </c>
      <c r="C62" s="2" t="s">
        <v>36</v>
      </c>
      <c r="D62" s="454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457">
        <f t="shared" ref="P62:Q62" si="13">P61/P37</f>
        <v>1</v>
      </c>
      <c r="Q62" s="457">
        <f t="shared" si="13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467">
        <f>X61/X37</f>
        <v>1</v>
      </c>
      <c r="Y62" s="15">
        <f ca="1">IFERROR(__xludf.DUMMYFUNCTION("INDEX(IMPORTRANGE(""1y0FWgjbB0gVlqn-q5LMJbGIsqOrzru4yowQz67dz2yc"", ""'MTY'!BG3:BG139""),MATCH($D62,IMPORTRANGE(""1y0FWgjbB0gVlqn-q5LMJbGIsqOrzru4yowQz67dz2yc"", ""'MTY'!D3:D139""),0))"),1)</f>
        <v>1</v>
      </c>
      <c r="Z62" s="15">
        <f ca="1">IFERROR(__xludf.DUMMYFUNCTION("INDEX(IMPORTRANGE(""1y0FWgjbB0gVlqn-q5LMJbGIsqOrzru4yowQz67dz2yc"", ""'MTY'!BH3:BH139""),MATCH($D62,IMPORTRANGE(""1y0FWgjbB0gVlqn-q5LMJbGIsqOrzru4yowQz67dz2yc"", ""'MTY'!D3:D139""),0))"),1)</f>
        <v>1</v>
      </c>
      <c r="AA62" s="15">
        <f ca="1">IFERROR(__xludf.DUMMYFUNCTION("INDEX(IMPORTRANGE(""1y0FWgjbB0gVlqn-q5LMJbGIsqOrzru4yowQz67dz2yc"", ""'MTY'!BI3:BI139""),MATCH($D62,IMPORTRANGE(""1y0FWgjbB0gVlqn-q5LMJbGIsqOrzru4yowQz67dz2yc"", ""'MTY'!D3:D139""),0))"),1)</f>
        <v>1</v>
      </c>
      <c r="AB62" s="15">
        <f ca="1">IFERROR(__xludf.DUMMYFUNCTION("INDEX(IMPORTRANGE(""1y0FWgjbB0gVlqn-q5LMJbGIsqOrzru4yowQz67dz2yc"", ""'MTY'!BJ3:BJ139""),MATCH($D62,IMPORTRANGE(""1y0FWgjbB0gVlqn-q5LMJbGIsqOrzru4yowQz67dz2yc"", ""'MTY'!D3:D139""),0))"),1)</f>
        <v>1</v>
      </c>
      <c r="AC62" s="2"/>
    </row>
    <row r="63" spans="1:29">
      <c r="A63" s="9" t="s">
        <v>147</v>
      </c>
      <c r="B63" s="9" t="s">
        <v>168</v>
      </c>
      <c r="C63" s="2" t="s">
        <v>30</v>
      </c>
      <c r="D63" s="149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460">
        <v>30000000</v>
      </c>
      <c r="Q63" s="460">
        <v>30000000</v>
      </c>
      <c r="R63" s="4"/>
      <c r="S63" s="4"/>
      <c r="T63" s="4"/>
      <c r="U63" s="4"/>
      <c r="V63" s="4"/>
      <c r="W63" s="4"/>
      <c r="X63" s="459">
        <v>30039625.010000002</v>
      </c>
      <c r="Y63" s="12">
        <f ca="1">IFERROR(__xludf.DUMMYFUNCTION("INDEX(IMPORTRANGE(""1y0FWgjbB0gVlqn-q5LMJbGIsqOrzru4yowQz67dz2yc"", ""'MTY'!BG3:BG139""),MATCH($D63,IMPORTRANGE(""1y0FWgjbB0gVlqn-q5LMJbGIsqOrzru4yowQz67dz2yc"", ""'MTY'!D3:D139""),0))"),30066345.54)</f>
        <v>30066345.539999999</v>
      </c>
      <c r="Z63" s="12">
        <f ca="1">IFERROR(__xludf.DUMMYFUNCTION("INDEX(IMPORTRANGE(""1y0FWgjbB0gVlqn-q5LMJbGIsqOrzru4yowQz67dz2yc"", ""'MTY'!BH3:BH139""),MATCH($D63,IMPORTRANGE(""1y0FWgjbB0gVlqn-q5LMJbGIsqOrzru4yowQz67dz2yc"", ""'MTY'!D3:D139""),0))"),30104042.39)</f>
        <v>30104042.390000001</v>
      </c>
      <c r="AA63" s="12">
        <f ca="1">IFERROR(__xludf.DUMMYFUNCTION("INDEX(IMPORTRANGE(""1y0FWgjbB0gVlqn-q5LMJbGIsqOrzru4yowQz67dz2yc"", ""'MTY'!BI3:BI139""),MATCH($D63,IMPORTRANGE(""1y0FWgjbB0gVlqn-q5LMJbGIsqOrzru4yowQz67dz2yc"", ""'MTY'!D3:D139""),0))"),30234779.19)</f>
        <v>30234779.190000001</v>
      </c>
      <c r="AB63" s="12">
        <f ca="1">IFERROR(__xludf.DUMMYFUNCTION("INDEX(IMPORTRANGE(""1y0FWgjbB0gVlqn-q5LMJbGIsqOrzru4yowQz67dz2yc"", ""'MTY'!BJ3:BJ139""),MATCH($D63,IMPORTRANGE(""1y0FWgjbB0gVlqn-q5LMJbGIsqOrzru4yowQz67dz2yc"", ""'MTY'!D3:D139""),0))"),30350555.52)</f>
        <v>30350555.52</v>
      </c>
      <c r="AC63" s="2"/>
    </row>
    <row r="64" spans="1:29">
      <c r="A64" s="9" t="s">
        <v>147</v>
      </c>
      <c r="B64" s="9" t="s">
        <v>168</v>
      </c>
      <c r="C64" s="2" t="s">
        <v>30</v>
      </c>
      <c r="D64" s="149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460">
        <v>30000000</v>
      </c>
      <c r="Q64" s="460">
        <v>30000000</v>
      </c>
      <c r="R64" s="4"/>
      <c r="S64" s="4"/>
      <c r="T64" s="4"/>
      <c r="U64" s="4"/>
      <c r="V64" s="4"/>
      <c r="W64" s="4"/>
      <c r="X64" s="459">
        <v>30039625.010000002</v>
      </c>
      <c r="Y64" s="12">
        <f ca="1">IFERROR(__xludf.DUMMYFUNCTION("INDEX(IMPORTRANGE(""1y0FWgjbB0gVlqn-q5LMJbGIsqOrzru4yowQz67dz2yc"", ""'MTY'!BG3:BG139""),MATCH($D64,IMPORTRANGE(""1y0FWgjbB0gVlqn-q5LMJbGIsqOrzru4yowQz67dz2yc"", ""'MTY'!D3:D139""),0))"),30072979.9399999)</f>
        <v>30072979.939999901</v>
      </c>
      <c r="Z64" s="12">
        <f ca="1">IFERROR(__xludf.DUMMYFUNCTION("INDEX(IMPORTRANGE(""1y0FWgjbB0gVlqn-q5LMJbGIsqOrzru4yowQz67dz2yc"", ""'MTY'!BH3:BH139""),MATCH($D64,IMPORTRANGE(""1y0FWgjbB0gVlqn-q5LMJbGIsqOrzru4yowQz67dz2yc"", ""'MTY'!D3:D139""),0))"),30109034.39)</f>
        <v>30109034.390000001</v>
      </c>
      <c r="AA64" s="12">
        <f ca="1">IFERROR(__xludf.DUMMYFUNCTION("INDEX(IMPORTRANGE(""1y0FWgjbB0gVlqn-q5LMJbGIsqOrzru4yowQz67dz2yc"", ""'MTY'!BI3:BI139""),MATCH($D64,IMPORTRANGE(""1y0FWgjbB0gVlqn-q5LMJbGIsqOrzru4yowQz67dz2yc"", ""'MTY'!D3:D139""),0))"),30290613.44)</f>
        <v>30290613.440000001</v>
      </c>
      <c r="AB64" s="12">
        <f ca="1">IFERROR(__xludf.DUMMYFUNCTION("INDEX(IMPORTRANGE(""1y0FWgjbB0gVlqn-q5LMJbGIsqOrzru4yowQz67dz2yc"", ""'MTY'!BJ3:BJ139""),MATCH($D64,IMPORTRANGE(""1y0FWgjbB0gVlqn-q5LMJbGIsqOrzru4yowQz67dz2yc"", ""'MTY'!D3:D139""),0))"),30427333.52)</f>
        <v>30427333.52</v>
      </c>
      <c r="AC64" s="2"/>
    </row>
    <row r="65" spans="1:29">
      <c r="A65" s="9" t="s">
        <v>147</v>
      </c>
      <c r="B65" s="9" t="s">
        <v>168</v>
      </c>
      <c r="C65" s="2" t="s">
        <v>36</v>
      </c>
      <c r="D65" s="149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322">
        <f t="shared" ref="P65:Q65" si="14">P63/P64</f>
        <v>1</v>
      </c>
      <c r="Q65" s="322">
        <f t="shared" si="14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322">
        <f>X63/X64</f>
        <v>1</v>
      </c>
      <c r="Y65" s="15">
        <f ca="1">IFERROR(__xludf.DUMMYFUNCTION("INDEX(IMPORTRANGE(""1y0FWgjbB0gVlqn-q5LMJbGIsqOrzru4yowQz67dz2yc"", ""'MTY'!BG3:BG139""),MATCH($D65,IMPORTRANGE(""1y0FWgjbB0gVlqn-q5LMJbGIsqOrzru4yowQz67dz2yc"", ""'MTY'!D3:D139""),0))"),0.999779390003477)</f>
        <v>0.99977939000347704</v>
      </c>
      <c r="Z65" s="15">
        <f ca="1">IFERROR(__xludf.DUMMYFUNCTION("INDEX(IMPORTRANGE(""1y0FWgjbB0gVlqn-q5LMJbGIsqOrzru4yowQz67dz2yc"", ""'MTY'!BH3:BH139""),MATCH($D65,IMPORTRANGE(""1y0FWgjbB0gVlqn-q5LMJbGIsqOrzru4yowQz67dz2yc"", ""'MTY'!D3:D139""),0))"),0.999834202587325)</f>
        <v>0.99983420258732503</v>
      </c>
      <c r="AA65" s="15">
        <f ca="1">IFERROR(__xludf.DUMMYFUNCTION("INDEX(IMPORTRANGE(""1y0FWgjbB0gVlqn-q5LMJbGIsqOrzru4yowQz67dz2yc"", ""'MTY'!BI3:BI139""),MATCH($D65,IMPORTRANGE(""1y0FWgjbB0gVlqn-q5LMJbGIsqOrzru4yowQz67dz2yc"", ""'MTY'!D3:D139""),0))"),0.998156714451802)</f>
        <v>0.99815671445180199</v>
      </c>
      <c r="AB65" s="15">
        <f ca="1">IFERROR(__xludf.DUMMYFUNCTION("INDEX(IMPORTRANGE(""1y0FWgjbB0gVlqn-q5LMJbGIsqOrzru4yowQz67dz2yc"", ""'MTY'!BJ3:BJ139""),MATCH($D65,IMPORTRANGE(""1y0FWgjbB0gVlqn-q5LMJbGIsqOrzru4yowQz67dz2yc"", ""'MTY'!D3:D139""),0))"),0.99747667668777)</f>
        <v>0.99747667668776996</v>
      </c>
      <c r="AC65" s="2"/>
    </row>
    <row r="66" spans="1:29">
      <c r="A66" s="9" t="s">
        <v>147</v>
      </c>
      <c r="B66" s="9" t="s">
        <v>168</v>
      </c>
      <c r="C66" s="2" t="s">
        <v>30</v>
      </c>
      <c r="D66" s="149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461">
        <v>158559.6</v>
      </c>
      <c r="Q66" s="461">
        <v>158559.6</v>
      </c>
      <c r="R66" s="4"/>
      <c r="S66" s="4"/>
      <c r="T66" s="4"/>
      <c r="U66" s="4"/>
      <c r="V66" s="4"/>
      <c r="W66" s="4"/>
      <c r="X66" s="459">
        <v>159323.70000000001</v>
      </c>
      <c r="Y66" s="12">
        <f ca="1">IFERROR(__xludf.DUMMYFUNCTION("INDEX(IMPORTRANGE(""1y0FWgjbB0gVlqn-q5LMJbGIsqOrzru4yowQz67dz2yc"", ""'MTY'!BG3:BG139""),MATCH($D66,IMPORTRANGE(""1y0FWgjbB0gVlqn-q5LMJbGIsqOrzru4yowQz67dz2yc"", ""'MTY'!D3:D139""),0))"),159617.25)</f>
        <v>159617.25</v>
      </c>
      <c r="Z66" s="12">
        <f ca="1">IFERROR(__xludf.DUMMYFUNCTION("INDEX(IMPORTRANGE(""1y0FWgjbB0gVlqn-q5LMJbGIsqOrzru4yowQz67dz2yc"", ""'MTY'!BH3:BH139""),MATCH($D66,IMPORTRANGE(""1y0FWgjbB0gVlqn-q5LMJbGIsqOrzru4yowQz67dz2yc"", ""'MTY'!D3:D139""),0))"),159737.25)</f>
        <v>159737.25</v>
      </c>
      <c r="AA66" s="12">
        <f ca="1">IFERROR(__xludf.DUMMYFUNCTION("INDEX(IMPORTRANGE(""1y0FWgjbB0gVlqn-q5LMJbGIsqOrzru4yowQz67dz2yc"", ""'MTY'!BI3:BI139""),MATCH($D66,IMPORTRANGE(""1y0FWgjbB0gVlqn-q5LMJbGIsqOrzru4yowQz67dz2yc"", ""'MTY'!D3:D139""),0))"),159777.25)</f>
        <v>159777.25</v>
      </c>
      <c r="AB66" s="12">
        <f ca="1">IFERROR(__xludf.DUMMYFUNCTION("INDEX(IMPORTRANGE(""1y0FWgjbB0gVlqn-q5LMJbGIsqOrzru4yowQz67dz2yc"", ""'MTY'!BJ3:BJ139""),MATCH($D66,IMPORTRANGE(""1y0FWgjbB0gVlqn-q5LMJbGIsqOrzru4yowQz67dz2yc"", ""'MTY'!D3:D139""),0))"),160630.1)</f>
        <v>160630.1</v>
      </c>
      <c r="AC66" s="2"/>
    </row>
    <row r="67" spans="1:29">
      <c r="A67" s="9" t="s">
        <v>147</v>
      </c>
      <c r="B67" s="9" t="s">
        <v>168</v>
      </c>
      <c r="C67" s="2" t="s">
        <v>30</v>
      </c>
      <c r="D67" s="149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461">
        <v>158605.20000000001</v>
      </c>
      <c r="Q67" s="461">
        <v>158605.20000000001</v>
      </c>
      <c r="R67" s="4"/>
      <c r="S67" s="4"/>
      <c r="T67" s="4"/>
      <c r="U67" s="4"/>
      <c r="V67" s="4"/>
      <c r="W67" s="4"/>
      <c r="X67" s="459">
        <v>159323.70000000001</v>
      </c>
      <c r="Y67" s="12">
        <f ca="1">IFERROR(__xludf.DUMMYFUNCTION("INDEX(IMPORTRANGE(""1y0FWgjbB0gVlqn-q5LMJbGIsqOrzru4yowQz67dz2yc"", ""'MTY'!BG3:BG139""),MATCH($D67,IMPORTRANGE(""1y0FWgjbB0gVlqn-q5LMJbGIsqOrzru4yowQz67dz2yc"", ""'MTY'!D3:D139""),0))"),159586.25)</f>
        <v>159586.25</v>
      </c>
      <c r="Z67" s="12">
        <f ca="1">IFERROR(__xludf.DUMMYFUNCTION("INDEX(IMPORTRANGE(""1y0FWgjbB0gVlqn-q5LMJbGIsqOrzru4yowQz67dz2yc"", ""'MTY'!BH3:BH139""),MATCH($D67,IMPORTRANGE(""1y0FWgjbB0gVlqn-q5LMJbGIsqOrzru4yowQz67dz2yc"", ""'MTY'!D3:D139""),0))"),159737.25)</f>
        <v>159737.25</v>
      </c>
      <c r="AA67" s="12">
        <f ca="1">IFERROR(__xludf.DUMMYFUNCTION("INDEX(IMPORTRANGE(""1y0FWgjbB0gVlqn-q5LMJbGIsqOrzru4yowQz67dz2yc"", ""'MTY'!BI3:BI139""),MATCH($D67,IMPORTRANGE(""1y0FWgjbB0gVlqn-q5LMJbGIsqOrzru4yowQz67dz2yc"", ""'MTY'!D3:D139""),0))"),160459.25)</f>
        <v>160459.25</v>
      </c>
      <c r="AB67" s="12">
        <f ca="1">IFERROR(__xludf.DUMMYFUNCTION("INDEX(IMPORTRANGE(""1y0FWgjbB0gVlqn-q5LMJbGIsqOrzru4yowQz67dz2yc"", ""'MTY'!BJ3:BJ139""),MATCH($D67,IMPORTRANGE(""1y0FWgjbB0gVlqn-q5LMJbGIsqOrzru4yowQz67dz2yc"", ""'MTY'!D3:D139""),0))"),160900.1)</f>
        <v>160900.1</v>
      </c>
      <c r="AC67" s="2"/>
    </row>
    <row r="68" spans="1:29">
      <c r="A68" s="9" t="s">
        <v>147</v>
      </c>
      <c r="B68" s="9" t="s">
        <v>168</v>
      </c>
      <c r="C68" s="2" t="s">
        <v>36</v>
      </c>
      <c r="D68" s="149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462">
        <f t="shared" ref="P68:Q68" si="15">P66/P67</f>
        <v>0.99971249366351167</v>
      </c>
      <c r="Q68" s="462">
        <f t="shared" si="15"/>
        <v>0.99971249366351167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462">
        <f>X66/X67</f>
        <v>1</v>
      </c>
      <c r="Y68" s="19">
        <f ca="1">IFERROR(__xludf.DUMMYFUNCTION("INDEX(IMPORTRANGE(""1y0FWgjbB0gVlqn-q5LMJbGIsqOrzru4yowQz67dz2yc"", ""'MTY'!BG3:BG139""),MATCH($D68,IMPORTRANGE(""1y0FWgjbB0gVlqn-q5LMJbGIsqOrzru4yowQz67dz2yc"", ""'MTY'!D3:D139""),0))"),1.00019425232437)</f>
        <v>1.0001942523243701</v>
      </c>
      <c r="Z68" s="15">
        <f ca="1">IFERROR(__xludf.DUMMYFUNCTION("INDEX(IMPORTRANGE(""1y0FWgjbB0gVlqn-q5LMJbGIsqOrzru4yowQz67dz2yc"", ""'MTY'!BH3:BH139""),MATCH($D68,IMPORTRANGE(""1y0FWgjbB0gVlqn-q5LMJbGIsqOrzru4yowQz67dz2yc"", ""'MTY'!D3:D139""),0))"),1)</f>
        <v>1</v>
      </c>
      <c r="AA68" s="15">
        <f ca="1">IFERROR(__xludf.DUMMYFUNCTION("INDEX(IMPORTRANGE(""1y0FWgjbB0gVlqn-q5LMJbGIsqOrzru4yowQz67dz2yc"", ""'MTY'!BI3:BI139""),MATCH($D68,IMPORTRANGE(""1y0FWgjbB0gVlqn-q5LMJbGIsqOrzru4yowQz67dz2yc"", ""'MTY'!D3:D139""),0))"),0.995749699690108)</f>
        <v>0.99574969969010796</v>
      </c>
      <c r="AB68" s="15">
        <f ca="1">IFERROR(__xludf.DUMMYFUNCTION("INDEX(IMPORTRANGE(""1y0FWgjbB0gVlqn-q5LMJbGIsqOrzru4yowQz67dz2yc"", ""'MTY'!BJ3:BJ139""),MATCH($D68,IMPORTRANGE(""1y0FWgjbB0gVlqn-q5LMJbGIsqOrzru4yowQz67dz2yc"", ""'MTY'!D3:D139""),0))"),0.998321940135525)</f>
        <v>0.998321940135525</v>
      </c>
      <c r="AC68" s="2"/>
    </row>
    <row r="69" spans="1:29">
      <c r="A69" s="9" t="s">
        <v>147</v>
      </c>
      <c r="B69" s="9" t="s">
        <v>168</v>
      </c>
      <c r="C69" s="2" t="s">
        <v>30</v>
      </c>
      <c r="D69" s="149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0</v>
      </c>
      <c r="Q69" s="23">
        <v>4.8600000000000003</v>
      </c>
      <c r="R69" s="2">
        <v>28.8</v>
      </c>
      <c r="S69" s="24">
        <v>13</v>
      </c>
      <c r="T69" s="2">
        <v>34.299999999999997</v>
      </c>
      <c r="U69" s="2">
        <v>13</v>
      </c>
      <c r="V69" s="2">
        <v>34.4</v>
      </c>
      <c r="W69" s="2">
        <v>97.5</v>
      </c>
      <c r="X69" s="24">
        <v>22.32</v>
      </c>
      <c r="Y69" s="23">
        <f ca="1">IFERROR(__xludf.DUMMYFUNCTION("INDEX(IMPORTRANGE(""1y0FWgjbB0gVlqn-q5LMJbGIsqOrzru4yowQz67dz2yc"", ""'MTY'!BG3:BG139""),MATCH($D69,IMPORTRANGE(""1y0FWgjbB0gVlqn-q5LMJbGIsqOrzru4yowQz67dz2yc"", ""'MTY'!D3:D139""),0))"),39.18)</f>
        <v>39.18</v>
      </c>
      <c r="Z69" s="23">
        <f ca="1">IFERROR(__xludf.DUMMYFUNCTION("INDEX(IMPORTRANGE(""1y0FWgjbB0gVlqn-q5LMJbGIsqOrzru4yowQz67dz2yc"", ""'MTY'!BH3:BH139""),MATCH($D69,IMPORTRANGE(""1y0FWgjbB0gVlqn-q5LMJbGIsqOrzru4yowQz67dz2yc"", ""'MTY'!D3:D139""),0))"),15.19)</f>
        <v>15.19</v>
      </c>
      <c r="AA69" s="23">
        <f ca="1">IFERROR(__xludf.DUMMYFUNCTION("INDEX(IMPORTRANGE(""1y0FWgjbB0gVlqn-q5LMJbGIsqOrzru4yowQz67dz2yc"", ""'MTY'!BI3:BI139""),MATCH($D69,IMPORTRANGE(""1y0FWgjbB0gVlqn-q5LMJbGIsqOrzru4yowQz67dz2yc"", ""'MTY'!D3:D139""),0))"),29.306)</f>
        <v>29.306000000000001</v>
      </c>
      <c r="AB69" s="23">
        <f ca="1">IFERROR(__xludf.DUMMYFUNCTION("INDEX(IMPORTRANGE(""1y0FWgjbB0gVlqn-q5LMJbGIsqOrzru4yowQz67dz2yc"", ""'MTY'!BJ3:BJ139""),MATCH($D69,IMPORTRANGE(""1y0FWgjbB0gVlqn-q5LMJbGIsqOrzru4yowQz67dz2yc"", ""'MTY'!D3:D139""),0))"),16.24)</f>
        <v>16.239999999999998</v>
      </c>
      <c r="AC69" s="2"/>
    </row>
    <row r="70" spans="1:29">
      <c r="A70" s="9" t="s">
        <v>147</v>
      </c>
      <c r="B70" s="9" t="s">
        <v>168</v>
      </c>
      <c r="C70" s="2" t="s">
        <v>30</v>
      </c>
      <c r="D70" s="149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4.5580000000000002E-2</v>
      </c>
      <c r="R70" s="2">
        <v>0.64</v>
      </c>
      <c r="S70" s="2">
        <v>0.15</v>
      </c>
      <c r="T70" s="2">
        <v>0.41</v>
      </c>
      <c r="U70" s="2">
        <v>0.2</v>
      </c>
      <c r="V70" s="2">
        <v>0.5</v>
      </c>
      <c r="W70" s="2">
        <v>1.55</v>
      </c>
      <c r="X70" s="23">
        <v>0.76</v>
      </c>
      <c r="Y70" s="23">
        <f ca="1">IFERROR(__xludf.DUMMYFUNCTION("INDEX(IMPORTRANGE(""1y0FWgjbB0gVlqn-q5LMJbGIsqOrzru4yowQz67dz2yc"", ""'MTY'!BG3:BG139""),MATCH($D70,IMPORTRANGE(""1y0FWgjbB0gVlqn-q5LMJbGIsqOrzru4yowQz67dz2yc"", ""'MTY'!D3:D139""),0))"),1.69581)</f>
        <v>1.69581</v>
      </c>
      <c r="Z70" s="23">
        <f ca="1">IFERROR(__xludf.DUMMYFUNCTION("INDEX(IMPORTRANGE(""1y0FWgjbB0gVlqn-q5LMJbGIsqOrzru4yowQz67dz2yc"", ""'MTY'!BH3:BH139""),MATCH($D70,IMPORTRANGE(""1y0FWgjbB0gVlqn-q5LMJbGIsqOrzru4yowQz67dz2yc"", ""'MTY'!D3:D139""),0))"),0.0985)</f>
        <v>9.8500000000000004E-2</v>
      </c>
      <c r="AA70" s="23">
        <f ca="1">IFERROR(__xludf.DUMMYFUNCTION("INDEX(IMPORTRANGE(""1y0FWgjbB0gVlqn-q5LMJbGIsqOrzru4yowQz67dz2yc"", ""'MTY'!BI3:BI139""),MATCH($D70,IMPORTRANGE(""1y0FWgjbB0gVlqn-q5LMJbGIsqOrzru4yowQz67dz2yc"", ""'MTY'!D3:D139""),0))"),0.2085)</f>
        <v>0.20849999999999999</v>
      </c>
      <c r="AB70" s="23">
        <f ca="1">IFERROR(__xludf.DUMMYFUNCTION("INDEX(IMPORTRANGE(""1y0FWgjbB0gVlqn-q5LMJbGIsqOrzru4yowQz67dz2yc"", ""'MTY'!BJ3:BJ139""),MATCH($D70,IMPORTRANGE(""1y0FWgjbB0gVlqn-q5LMJbGIsqOrzru4yowQz67dz2yc"", ""'MTY'!D3:D139""),0))"),0)</f>
        <v>0</v>
      </c>
      <c r="AC70" s="2"/>
    </row>
    <row r="71" spans="1:29">
      <c r="A71" s="9" t="s">
        <v>147</v>
      </c>
      <c r="B71" s="9" t="s">
        <v>168</v>
      </c>
      <c r="C71" s="2" t="s">
        <v>30</v>
      </c>
      <c r="D71" s="149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">
        <v>0</v>
      </c>
      <c r="Q71" s="2">
        <v>0</v>
      </c>
      <c r="R71" s="4"/>
      <c r="S71" s="4"/>
      <c r="T71" s="4"/>
      <c r="U71" s="4"/>
      <c r="V71" s="4"/>
      <c r="W71" s="4"/>
      <c r="X71" s="2">
        <v>0</v>
      </c>
      <c r="Y71" s="475" t="str">
        <f ca="1">IFERROR(__xludf.DUMMYFUNCTION("INDEX(IMPORTRANGE(""1y0FWgjbB0gVlqn-q5LMJbGIsqOrzru4yowQz67dz2yc"", ""'MTY'!BG3:BG139""),MATCH($D71,IMPORTRANGE(""1y0FWgjbB0gVlqn-q5LMJbGIsqOrzru4yowQz67dz2yc"", ""'MTY'!D3:D139""),0))"),"")</f>
        <v/>
      </c>
      <c r="Z71" s="475" t="str">
        <f ca="1">IFERROR(__xludf.DUMMYFUNCTION("INDEX(IMPORTRANGE(""1y0FWgjbB0gVlqn-q5LMJbGIsqOrzru4yowQz67dz2yc"", ""'MTY'!BH3:BH139""),MATCH($D71,IMPORTRANGE(""1y0FWgjbB0gVlqn-q5LMJbGIsqOrzru4yowQz67dz2yc"", ""'MTY'!D3:D139""),0))"),"")</f>
        <v/>
      </c>
      <c r="AA71" s="475" t="str">
        <f ca="1">IFERROR(__xludf.DUMMYFUNCTION("INDEX(IMPORTRANGE(""1y0FWgjbB0gVlqn-q5LMJbGIsqOrzru4yowQz67dz2yc"", ""'MTY'!BI3:BI139""),MATCH($D71,IMPORTRANGE(""1y0FWgjbB0gVlqn-q5LMJbGIsqOrzru4yowQz67dz2yc"", ""'MTY'!D3:D139""),0))"),"")</f>
        <v/>
      </c>
      <c r="AB71" s="475" t="str">
        <f ca="1">IFERROR(__xludf.DUMMYFUNCTION("INDEX(IMPORTRANGE(""1y0FWgjbB0gVlqn-q5LMJbGIsqOrzru4yowQz67dz2yc"", ""'MTY'!BJ3:BJ139""),MATCH($D71,IMPORTRANGE(""1y0FWgjbB0gVlqn-q5LMJbGIsqOrzru4yowQz67dz2yc"", ""'MTY'!D3:D139""),0))"),"")</f>
        <v/>
      </c>
      <c r="AC71" s="2"/>
    </row>
    <row r="72" spans="1:29">
      <c r="A72" s="9" t="s">
        <v>147</v>
      </c>
      <c r="B72" s="9" t="s">
        <v>168</v>
      </c>
      <c r="C72" s="2" t="s">
        <v>36</v>
      </c>
      <c r="D72" s="149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X72" si="16">P69+P70</f>
        <v>0</v>
      </c>
      <c r="Q72" s="23">
        <f t="shared" si="16"/>
        <v>4.9055800000000005</v>
      </c>
      <c r="R72" s="4">
        <f t="shared" si="16"/>
        <v>29.44</v>
      </c>
      <c r="S72" s="320">
        <f t="shared" si="16"/>
        <v>13.15</v>
      </c>
      <c r="T72" s="4">
        <f t="shared" si="16"/>
        <v>34.709999999999994</v>
      </c>
      <c r="U72" s="4">
        <f t="shared" si="16"/>
        <v>13.2</v>
      </c>
      <c r="V72" s="4">
        <f t="shared" si="16"/>
        <v>34.9</v>
      </c>
      <c r="W72" s="4">
        <f t="shared" si="16"/>
        <v>99.05</v>
      </c>
      <c r="X72" s="23">
        <f t="shared" si="16"/>
        <v>23.080000000000002</v>
      </c>
      <c r="Y72" s="23">
        <f ca="1">IFERROR(__xludf.DUMMYFUNCTION("INDEX(IMPORTRANGE(""1y0FWgjbB0gVlqn-q5LMJbGIsqOrzru4yowQz67dz2yc"", ""'MTY'!BG3:BG139""),MATCH($D72,IMPORTRANGE(""1y0FWgjbB0gVlqn-q5LMJbGIsqOrzru4yowQz67dz2yc"", ""'MTY'!D3:D139""),0))"),40.87581)</f>
        <v>40.875810000000001</v>
      </c>
      <c r="Z72" s="23">
        <f ca="1">IFERROR(__xludf.DUMMYFUNCTION("INDEX(IMPORTRANGE(""1y0FWgjbB0gVlqn-q5LMJbGIsqOrzru4yowQz67dz2yc"", ""'MTY'!BH3:BH139""),MATCH($D72,IMPORTRANGE(""1y0FWgjbB0gVlqn-q5LMJbGIsqOrzru4yowQz67dz2yc"", ""'MTY'!D3:D139""),0))"),15.2885)</f>
        <v>15.288500000000001</v>
      </c>
      <c r="AA72" s="23">
        <f ca="1">IFERROR(__xludf.DUMMYFUNCTION("INDEX(IMPORTRANGE(""1y0FWgjbB0gVlqn-q5LMJbGIsqOrzru4yowQz67dz2yc"", ""'MTY'!BI3:BI139""),MATCH($D72,IMPORTRANGE(""1y0FWgjbB0gVlqn-q5LMJbGIsqOrzru4yowQz67dz2yc"", ""'MTY'!D3:D139""),0))"),29.5145)</f>
        <v>29.514500000000002</v>
      </c>
      <c r="AB72" s="23">
        <f ca="1">IFERROR(__xludf.DUMMYFUNCTION("INDEX(IMPORTRANGE(""1y0FWgjbB0gVlqn-q5LMJbGIsqOrzru4yowQz67dz2yc"", ""'MTY'!BJ3:BJ139""),MATCH($D72,IMPORTRANGE(""1y0FWgjbB0gVlqn-q5LMJbGIsqOrzru4yowQz67dz2yc"", ""'MTY'!D3:D139""),0))"),16.24)</f>
        <v>16.239999999999998</v>
      </c>
      <c r="AC72" s="2"/>
    </row>
    <row r="73" spans="1:29">
      <c r="A73" s="9" t="s">
        <v>199</v>
      </c>
      <c r="B73" s="9" t="s">
        <v>200</v>
      </c>
      <c r="C73" s="2" t="s">
        <v>36</v>
      </c>
      <c r="D73" s="149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5.12</v>
      </c>
      <c r="Q73" s="23">
        <v>5.12</v>
      </c>
      <c r="R73" s="2">
        <v>7</v>
      </c>
      <c r="S73" s="2">
        <v>9</v>
      </c>
      <c r="T73" s="2">
        <v>11</v>
      </c>
      <c r="U73" s="2">
        <v>13</v>
      </c>
      <c r="V73" s="2">
        <v>15</v>
      </c>
      <c r="W73" s="2">
        <v>15</v>
      </c>
      <c r="X73" s="23">
        <v>5.12</v>
      </c>
      <c r="Y73" s="23">
        <f ca="1">IFERROR(__xludf.DUMMYFUNCTION("INDEX(IMPORTRANGE(""1y0FWgjbB0gVlqn-q5LMJbGIsqOrzru4yowQz67dz2yc"", ""'MTY'!BG3:BG139""),MATCH($D73,IMPORTRANGE(""1y0FWgjbB0gVlqn-q5LMJbGIsqOrzru4yowQz67dz2yc"", ""'MTY'!D3:D139""),0))"),9.59)</f>
        <v>9.59</v>
      </c>
      <c r="Z73" s="23">
        <f ca="1">IFERROR(__xludf.DUMMYFUNCTION("INDEX(IMPORTRANGE(""1y0FWgjbB0gVlqn-q5LMJbGIsqOrzru4yowQz67dz2yc"", ""'MTY'!BH3:BH139""),MATCH($D73,IMPORTRANGE(""1y0FWgjbB0gVlqn-q5LMJbGIsqOrzru4yowQz67dz2yc"", ""'MTY'!D3:D139""),0))"),9.205)</f>
        <v>9.2050000000000001</v>
      </c>
      <c r="AA73" s="23">
        <f ca="1">IFERROR(__xludf.DUMMYFUNCTION("INDEX(IMPORTRANGE(""1y0FWgjbB0gVlqn-q5LMJbGIsqOrzru4yowQz67dz2yc"", ""'MTY'!BI3:BI139""),MATCH($D73,IMPORTRANGE(""1y0FWgjbB0gVlqn-q5LMJbGIsqOrzru4yowQz67dz2yc"", ""'MTY'!D3:D139""),0))"),17.9)</f>
        <v>17.899999999999999</v>
      </c>
      <c r="AB73" s="23">
        <f ca="1">IFERROR(__xludf.DUMMYFUNCTION("INDEX(IMPORTRANGE(""1y0FWgjbB0gVlqn-q5LMJbGIsqOrzru4yowQz67dz2yc"", ""'MTY'!BJ3:BJ139""),MATCH($D73,IMPORTRANGE(""1y0FWgjbB0gVlqn-q5LMJbGIsqOrzru4yowQz67dz2yc"", ""'MTY'!D3:D139""),0))"),18.2)</f>
        <v>18.2</v>
      </c>
      <c r="AC73" s="2"/>
    </row>
    <row r="74" spans="1:29">
      <c r="A74" s="9" t="s">
        <v>199</v>
      </c>
      <c r="B74" s="9" t="s">
        <v>200</v>
      </c>
      <c r="C74" s="2" t="s">
        <v>30</v>
      </c>
      <c r="D74" s="149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2">
        <v>12135</v>
      </c>
      <c r="S74" s="12">
        <v>4000</v>
      </c>
      <c r="T74" s="12">
        <v>9000</v>
      </c>
      <c r="U74" s="12">
        <v>3000</v>
      </c>
      <c r="V74" s="12">
        <v>6000</v>
      </c>
      <c r="W74" s="12">
        <v>27135</v>
      </c>
      <c r="X74" s="23">
        <v>9971.4699999999993</v>
      </c>
      <c r="Y74" s="23">
        <f ca="1">IFERROR(__xludf.DUMMYFUNCTION("INDEX(IMPORTRANGE(""1y0FWgjbB0gVlqn-q5LMJbGIsqOrzru4yowQz67dz2yc"", ""'MTY'!BG3:BG139""),MATCH($D74,IMPORTRANGE(""1y0FWgjbB0gVlqn-q5LMJbGIsqOrzru4yowQz67dz2yc"", ""'MTY'!D3:D139""),0))"),14313.29)</f>
        <v>14313.29</v>
      </c>
      <c r="Z74" s="23">
        <f ca="1">IFERROR(__xludf.DUMMYFUNCTION("INDEX(IMPORTRANGE(""1y0FWgjbB0gVlqn-q5LMJbGIsqOrzru4yowQz67dz2yc"", ""'MTY'!BH3:BH139""),MATCH($D74,IMPORTRANGE(""1y0FWgjbB0gVlqn-q5LMJbGIsqOrzru4yowQz67dz2yc"", ""'MTY'!D3:D139""),0))"),1518.72)</f>
        <v>1518.72</v>
      </c>
      <c r="AA74" s="23">
        <f ca="1">IFERROR(__xludf.DUMMYFUNCTION("INDEX(IMPORTRANGE(""1y0FWgjbB0gVlqn-q5LMJbGIsqOrzru4yowQz67dz2yc"", ""'MTY'!BI3:BI139""),MATCH($D74,IMPORTRANGE(""1y0FWgjbB0gVlqn-q5LMJbGIsqOrzru4yowQz67dz2yc"", ""'MTY'!D3:D139""),0))"),8151.04)</f>
        <v>8151.04</v>
      </c>
      <c r="AB74" s="23">
        <f ca="1">IFERROR(__xludf.DUMMYFUNCTION("INDEX(IMPORTRANGE(""1y0FWgjbB0gVlqn-q5LMJbGIsqOrzru4yowQz67dz2yc"", ""'MTY'!BJ3:BJ139""),MATCH($D74,IMPORTRANGE(""1y0FWgjbB0gVlqn-q5LMJbGIsqOrzru4yowQz67dz2yc"", ""'MTY'!D3:D139""),0))"),4011.18)</f>
        <v>4011.18</v>
      </c>
      <c r="AC74" s="2"/>
    </row>
    <row r="75" spans="1:29">
      <c r="A75" s="9" t="s">
        <v>199</v>
      </c>
      <c r="B75" s="9" t="s">
        <v>200</v>
      </c>
      <c r="C75" s="2" t="s">
        <v>30</v>
      </c>
      <c r="D75" s="149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2">
        <v>440</v>
      </c>
      <c r="S75" s="12">
        <v>200</v>
      </c>
      <c r="T75" s="12">
        <v>440</v>
      </c>
      <c r="U75" s="12">
        <v>200</v>
      </c>
      <c r="V75" s="12">
        <v>445</v>
      </c>
      <c r="W75" s="12">
        <v>1325</v>
      </c>
      <c r="X75" s="23">
        <v>320</v>
      </c>
      <c r="Y75" s="23">
        <f ca="1">IFERROR(__xludf.DUMMYFUNCTION("INDEX(IMPORTRANGE(""1y0FWgjbB0gVlqn-q5LMJbGIsqOrzru4yowQz67dz2yc"", ""'MTY'!BG3:BG139""),MATCH($D75,IMPORTRANGE(""1y0FWgjbB0gVlqn-q5LMJbGIsqOrzru4yowQz67dz2yc"", ""'MTY'!D3:D139""),0))"),2089.33999999999)</f>
        <v>2089.3399999999901</v>
      </c>
      <c r="Z75" s="23">
        <f ca="1">IFERROR(__xludf.DUMMYFUNCTION("INDEX(IMPORTRANGE(""1y0FWgjbB0gVlqn-q5LMJbGIsqOrzru4yowQz67dz2yc"", ""'MTY'!BH3:BH139""),MATCH($D75,IMPORTRANGE(""1y0FWgjbB0gVlqn-q5LMJbGIsqOrzru4yowQz67dz2yc"", ""'MTY'!D3:D139""),0))"),6313.13999999999)</f>
        <v>6313.1399999999903</v>
      </c>
      <c r="AA75" s="23">
        <f ca="1">IFERROR(__xludf.DUMMYFUNCTION("INDEX(IMPORTRANGE(""1y0FWgjbB0gVlqn-q5LMJbGIsqOrzru4yowQz67dz2yc"", ""'MTY'!BI3:BI139""),MATCH($D75,IMPORTRANGE(""1y0FWgjbB0gVlqn-q5LMJbGIsqOrzru4yowQz67dz2yc"", ""'MTY'!D3:D139""),0))"),9622.31)</f>
        <v>9622.31</v>
      </c>
      <c r="AB75" s="23">
        <f ca="1">IFERROR(__xludf.DUMMYFUNCTION("INDEX(IMPORTRANGE(""1y0FWgjbB0gVlqn-q5LMJbGIsqOrzru4yowQz67dz2yc"", ""'MTY'!BJ3:BJ139""),MATCH($D75,IMPORTRANGE(""1y0FWgjbB0gVlqn-q5LMJbGIsqOrzru4yowQz67dz2yc"", ""'MTY'!D3:D139""),0))"),12463.38)</f>
        <v>12463.38</v>
      </c>
      <c r="AC75" s="2"/>
    </row>
    <row r="76" spans="1:29">
      <c r="A76" s="9" t="s">
        <v>199</v>
      </c>
      <c r="B76" s="9" t="s">
        <v>200</v>
      </c>
      <c r="C76" s="2" t="s">
        <v>30</v>
      </c>
      <c r="D76" s="149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2">
        <v>8780</v>
      </c>
      <c r="S76" s="12">
        <v>3000</v>
      </c>
      <c r="T76" s="12">
        <v>10000</v>
      </c>
      <c r="U76" s="12">
        <v>2000</v>
      </c>
      <c r="V76" s="12">
        <v>5000</v>
      </c>
      <c r="W76" s="12">
        <v>23780</v>
      </c>
      <c r="X76" s="23">
        <v>8778.8700000000008</v>
      </c>
      <c r="Y76" s="23">
        <f ca="1">IFERROR(__xludf.DUMMYFUNCTION("INDEX(IMPORTRANGE(""1y0FWgjbB0gVlqn-q5LMJbGIsqOrzru4yowQz67dz2yc"", ""'MTY'!BG3:BG139""),MATCH($D76,IMPORTRANGE(""1y0FWgjbB0gVlqn-q5LMJbGIsqOrzru4yowQz67dz2yc"", ""'MTY'!D3:D139""),0))"),10548.2099999999)</f>
        <v>10548.209999999901</v>
      </c>
      <c r="Z76" s="23">
        <f ca="1">IFERROR(__xludf.DUMMYFUNCTION("INDEX(IMPORTRANGE(""1y0FWgjbB0gVlqn-q5LMJbGIsqOrzru4yowQz67dz2yc"", ""'MTY'!BH3:BH139""),MATCH($D76,IMPORTRANGE(""1y0FWgjbB0gVlqn-q5LMJbGIsqOrzru4yowQz67dz2yc"", ""'MTY'!D3:D139""),0))"),5647.13999999999)</f>
        <v>5647.1399999999903</v>
      </c>
      <c r="AA76" s="23">
        <f ca="1">IFERROR(__xludf.DUMMYFUNCTION("INDEX(IMPORTRANGE(""1y0FWgjbB0gVlqn-q5LMJbGIsqOrzru4yowQz67dz2yc"", ""'MTY'!BI3:BI139""),MATCH($D76,IMPORTRANGE(""1y0FWgjbB0gVlqn-q5LMJbGIsqOrzru4yowQz67dz2yc"", ""'MTY'!D3:D139""),0))"),5647.13999999999)</f>
        <v>5647.1399999999903</v>
      </c>
      <c r="AB76" s="23">
        <f ca="1">IFERROR(__xludf.DUMMYFUNCTION("INDEX(IMPORTRANGE(""1y0FWgjbB0gVlqn-q5LMJbGIsqOrzru4yowQz67dz2yc"", ""'MTY'!BJ3:BJ139""),MATCH($D76,IMPORTRANGE(""1y0FWgjbB0gVlqn-q5LMJbGIsqOrzru4yowQz67dz2yc"", ""'MTY'!D3:D139""),0))"),12463.38)</f>
        <v>12463.38</v>
      </c>
      <c r="AC76" s="2"/>
    </row>
    <row r="77" spans="1:29">
      <c r="A77" s="9" t="s">
        <v>199</v>
      </c>
      <c r="B77" s="9" t="s">
        <v>200</v>
      </c>
      <c r="C77" s="2" t="s">
        <v>36</v>
      </c>
      <c r="D77" s="149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6">
        <f t="shared" ref="R77:W77" si="17">SUM(R74:R76)</f>
        <v>21355</v>
      </c>
      <c r="S77" s="6">
        <f t="shared" si="17"/>
        <v>7200</v>
      </c>
      <c r="T77" s="6">
        <f t="shared" si="17"/>
        <v>19440</v>
      </c>
      <c r="U77" s="6">
        <f t="shared" si="17"/>
        <v>5200</v>
      </c>
      <c r="V77" s="6">
        <f t="shared" si="17"/>
        <v>11445</v>
      </c>
      <c r="W77" s="6">
        <f t="shared" si="17"/>
        <v>52240</v>
      </c>
      <c r="X77" s="23">
        <f>X74+X75+X76</f>
        <v>19070.34</v>
      </c>
      <c r="Y77" s="23">
        <f ca="1">IFERROR(__xludf.DUMMYFUNCTION("INDEX(IMPORTRANGE(""1y0FWgjbB0gVlqn-q5LMJbGIsqOrzru4yowQz67dz2yc"", ""'MTY'!BG3:BG139""),MATCH($D77,IMPORTRANGE(""1y0FWgjbB0gVlqn-q5LMJbGIsqOrzru4yowQz67dz2yc"", ""'MTY'!D3:D139""),0))"),26950.8399999999)</f>
        <v>26950.839999999898</v>
      </c>
      <c r="Z77" s="23">
        <f ca="1">IFERROR(__xludf.DUMMYFUNCTION("INDEX(IMPORTRANGE(""1y0FWgjbB0gVlqn-q5LMJbGIsqOrzru4yowQz67dz2yc"", ""'MTY'!BH3:BH139""),MATCH($D77,IMPORTRANGE(""1y0FWgjbB0gVlqn-q5LMJbGIsqOrzru4yowQz67dz2yc"", ""'MTY'!D3:D139""),0))"),13479)</f>
        <v>13479</v>
      </c>
      <c r="AA77" s="23">
        <f ca="1">IFERROR(__xludf.DUMMYFUNCTION("INDEX(IMPORTRANGE(""1y0FWgjbB0gVlqn-q5LMJbGIsqOrzru4yowQz67dz2yc"", ""'MTY'!BI3:BI139""),MATCH($D77,IMPORTRANGE(""1y0FWgjbB0gVlqn-q5LMJbGIsqOrzru4yowQz67dz2yc"", ""'MTY'!D3:D139""),0))"),23420.4899999999)</f>
        <v>23420.4899999999</v>
      </c>
      <c r="AB77" s="23">
        <f ca="1">IFERROR(__xludf.DUMMYFUNCTION("INDEX(IMPORTRANGE(""1y0FWgjbB0gVlqn-q5LMJbGIsqOrzru4yowQz67dz2yc"", ""'MTY'!BJ3:BJ139""),MATCH($D77,IMPORTRANGE(""1y0FWgjbB0gVlqn-q5LMJbGIsqOrzru4yowQz67dz2yc"", ""'MTY'!D3:D139""),0))"),28937.94)</f>
        <v>28937.94</v>
      </c>
      <c r="AC77" s="2"/>
    </row>
    <row r="78" spans="1:29">
      <c r="A78" s="9" t="s">
        <v>199</v>
      </c>
      <c r="B78" s="9" t="s">
        <v>200</v>
      </c>
      <c r="C78" s="2" t="s">
        <v>30</v>
      </c>
      <c r="D78" s="149" t="s">
        <v>211</v>
      </c>
      <c r="E78" s="9" t="s">
        <v>38</v>
      </c>
      <c r="F78" s="9" t="s">
        <v>212</v>
      </c>
      <c r="G78" s="9" t="s">
        <v>213</v>
      </c>
      <c r="H78" s="2" t="s">
        <v>214</v>
      </c>
      <c r="I78" s="9" t="s">
        <v>215</v>
      </c>
      <c r="J78" s="4"/>
      <c r="K78" s="9" t="s">
        <v>216</v>
      </c>
      <c r="L78" s="4"/>
      <c r="M78" s="9" t="s">
        <v>217</v>
      </c>
      <c r="N78" s="2" t="s">
        <v>218</v>
      </c>
      <c r="O78" s="2" t="s">
        <v>218</v>
      </c>
      <c r="P78" s="36">
        <v>405781762.76999998</v>
      </c>
      <c r="Q78" s="50">
        <v>405781762.76999998</v>
      </c>
      <c r="R78" s="178"/>
      <c r="S78" s="178"/>
      <c r="T78" s="178"/>
      <c r="U78" s="178"/>
      <c r="V78" s="178"/>
      <c r="W78" s="178"/>
      <c r="X78" s="50">
        <v>405781762.76999998</v>
      </c>
      <c r="Y78" s="476" t="str">
        <f ca="1">IFERROR(__xludf.DUMMYFUNCTION("INDEX(IMPORTRANGE(""1y0FWgjbB0gVlqn-q5LMJbGIsqOrzru4yowQz67dz2yc"", ""'MTY'!BG3:BG139""),MATCH($D78,IMPORTRANGE(""1y0FWgjbB0gVlqn-q5LMJbGIsqOrzru4yowQz67dz2yc"", ""'MTY'!D3:D139""),0))"),"")</f>
        <v/>
      </c>
      <c r="Z78" s="50">
        <f ca="1">IFERROR(__xludf.DUMMYFUNCTION("INDEX(IMPORTRANGE(""1y0FWgjbB0gVlqn-q5LMJbGIsqOrzru4yowQz67dz2yc"", ""'MTY'!BH3:BH139""),MATCH($D78,IMPORTRANGE(""1y0FWgjbB0gVlqn-q5LMJbGIsqOrzru4yowQz67dz2yc"", ""'MTY'!D3:D139""),0))"),184765477.29)</f>
        <v>184765477.28999999</v>
      </c>
      <c r="AA78" s="476" t="str">
        <f ca="1">IFERROR(__xludf.DUMMYFUNCTION("INDEX(IMPORTRANGE(""1y0FWgjbB0gVlqn-q5LMJbGIsqOrzru4yowQz67dz2yc"", ""'MTY'!BI3:BI139""),MATCH($D78,IMPORTRANGE(""1y0FWgjbB0gVlqn-q5LMJbGIsqOrzru4yowQz67dz2yc"", ""'MTY'!D3:D139""),0))"),"")</f>
        <v/>
      </c>
      <c r="AB78" s="50">
        <f ca="1">IFERROR(__xludf.DUMMYFUNCTION("INDEX(IMPORTRANGE(""1y0FWgjbB0gVlqn-q5LMJbGIsqOrzru4yowQz67dz2yc"", ""'MTY'!BJ3:BJ139""),MATCH($D78,IMPORTRANGE(""1y0FWgjbB0gVlqn-q5LMJbGIsqOrzru4yowQz67dz2yc"", ""'MTY'!D3:D139""),0))"),248580266.519999)</f>
        <v>248580266.519999</v>
      </c>
      <c r="AC78" s="2"/>
    </row>
    <row r="79" spans="1:29">
      <c r="A79" s="9" t="s">
        <v>199</v>
      </c>
      <c r="B79" s="9" t="s">
        <v>200</v>
      </c>
      <c r="C79" s="2" t="s">
        <v>30</v>
      </c>
      <c r="D79" s="149" t="s">
        <v>219</v>
      </c>
      <c r="E79" s="9" t="s">
        <v>38</v>
      </c>
      <c r="F79" s="9" t="s">
        <v>220</v>
      </c>
      <c r="G79" s="9" t="s">
        <v>213</v>
      </c>
      <c r="H79" s="2" t="s">
        <v>214</v>
      </c>
      <c r="I79" s="9" t="s">
        <v>215</v>
      </c>
      <c r="J79" s="4"/>
      <c r="K79" s="9" t="s">
        <v>216</v>
      </c>
      <c r="L79" s="4"/>
      <c r="M79" s="9" t="s">
        <v>217</v>
      </c>
      <c r="N79" s="2" t="s">
        <v>218</v>
      </c>
      <c r="O79" s="2" t="s">
        <v>218</v>
      </c>
      <c r="P79" s="36">
        <v>45709853.130000003</v>
      </c>
      <c r="Q79" s="50">
        <v>45709853.130000003</v>
      </c>
      <c r="R79" s="178"/>
      <c r="S79" s="178"/>
      <c r="T79" s="178"/>
      <c r="U79" s="178"/>
      <c r="V79" s="178"/>
      <c r="W79" s="178"/>
      <c r="X79" s="50">
        <v>45709853.130000003</v>
      </c>
      <c r="Y79" s="476" t="str">
        <f ca="1">IFERROR(__xludf.DUMMYFUNCTION("INDEX(IMPORTRANGE(""1y0FWgjbB0gVlqn-q5LMJbGIsqOrzru4yowQz67dz2yc"", ""'MTY'!BG3:BG139""),MATCH($D79,IMPORTRANGE(""1y0FWgjbB0gVlqn-q5LMJbGIsqOrzru4yowQz67dz2yc"", ""'MTY'!D3:D139""),0))"),"")</f>
        <v/>
      </c>
      <c r="Z79" s="50">
        <f ca="1">IFERROR(__xludf.DUMMYFUNCTION("INDEX(IMPORTRANGE(""1y0FWgjbB0gVlqn-q5LMJbGIsqOrzru4yowQz67dz2yc"", ""'MTY'!BH3:BH139""),MATCH($D79,IMPORTRANGE(""1y0FWgjbB0gVlqn-q5LMJbGIsqOrzru4yowQz67dz2yc"", ""'MTY'!D3:D139""),0))"),48730397.06)</f>
        <v>48730397.060000002</v>
      </c>
      <c r="AA79" s="476" t="str">
        <f ca="1">IFERROR(__xludf.DUMMYFUNCTION("INDEX(IMPORTRANGE(""1y0FWgjbB0gVlqn-q5LMJbGIsqOrzru4yowQz67dz2yc"", ""'MTY'!BI3:BI139""),MATCH($D79,IMPORTRANGE(""1y0FWgjbB0gVlqn-q5LMJbGIsqOrzru4yowQz67dz2yc"", ""'MTY'!D3:D139""),0))"),"")</f>
        <v/>
      </c>
      <c r="AB79" s="50">
        <f ca="1">IFERROR(__xludf.DUMMYFUNCTION("INDEX(IMPORTRANGE(""1y0FWgjbB0gVlqn-q5LMJbGIsqOrzru4yowQz67dz2yc"", ""'MTY'!BJ3:BJ139""),MATCH($D79,IMPORTRANGE(""1y0FWgjbB0gVlqn-q5LMJbGIsqOrzru4yowQz67dz2yc"", ""'MTY'!D3:D139""),0))"),22929352.34)</f>
        <v>22929352.34</v>
      </c>
      <c r="AC79" s="2"/>
    </row>
    <row r="80" spans="1:29">
      <c r="A80" s="9" t="s">
        <v>199</v>
      </c>
      <c r="B80" s="9" t="s">
        <v>200</v>
      </c>
      <c r="C80" s="2" t="s">
        <v>36</v>
      </c>
      <c r="D80" s="149" t="s">
        <v>221</v>
      </c>
      <c r="E80" s="9" t="s">
        <v>38</v>
      </c>
      <c r="F80" s="9" t="s">
        <v>222</v>
      </c>
      <c r="G80" s="9" t="s">
        <v>213</v>
      </c>
      <c r="H80" s="2" t="s">
        <v>214</v>
      </c>
      <c r="I80" s="9" t="s">
        <v>215</v>
      </c>
      <c r="J80" s="4"/>
      <c r="K80" s="9" t="s">
        <v>216</v>
      </c>
      <c r="L80" s="4"/>
      <c r="M80" s="9" t="s">
        <v>217</v>
      </c>
      <c r="N80" s="2" t="s">
        <v>218</v>
      </c>
      <c r="O80" s="2" t="s">
        <v>218</v>
      </c>
      <c r="P80" s="15">
        <f t="shared" ref="P80:Q80" si="18">P79/P78</f>
        <v>0.1126463959788865</v>
      </c>
      <c r="Q80" s="15">
        <f t="shared" si="18"/>
        <v>0.1126463959788865</v>
      </c>
      <c r="R80" s="26"/>
      <c r="S80" s="26">
        <v>0.19</v>
      </c>
      <c r="T80" s="469"/>
      <c r="U80" s="26">
        <v>0.14000000000000001</v>
      </c>
      <c r="V80" s="26">
        <v>0.1</v>
      </c>
      <c r="W80" s="26">
        <v>0.1</v>
      </c>
      <c r="X80" s="15">
        <f>X79/X78</f>
        <v>0.1126463959788865</v>
      </c>
      <c r="Y80" s="476" t="str">
        <f ca="1">IFERROR(__xludf.DUMMYFUNCTION("INDEX(IMPORTRANGE(""1y0FWgjbB0gVlqn-q5LMJbGIsqOrzru4yowQz67dz2yc"", ""'MTY'!BG3:BG139""),MATCH($D80,IMPORTRANGE(""1y0FWgjbB0gVlqn-q5LMJbGIsqOrzru4yowQz67dz2yc"", ""'MTY'!D3:D139""),0))"),"")</f>
        <v/>
      </c>
      <c r="Z80" s="15">
        <f ca="1">IFERROR(__xludf.DUMMYFUNCTION("INDEX(IMPORTRANGE(""1y0FWgjbB0gVlqn-q5LMJbGIsqOrzru4yowQz67dz2yc"", ""'MTY'!BH3:BH139""),MATCH($D80,IMPORTRANGE(""1y0FWgjbB0gVlqn-q5LMJbGIsqOrzru4yowQz67dz2yc"", ""'MTY'!D3:D139""),0))"),0.263741894723735)</f>
        <v>0.26374189472373499</v>
      </c>
      <c r="AA80" s="476" t="str">
        <f ca="1">IFERROR(__xludf.DUMMYFUNCTION("INDEX(IMPORTRANGE(""1y0FWgjbB0gVlqn-q5LMJbGIsqOrzru4yowQz67dz2yc"", ""'MTY'!BI3:BI139""),MATCH($D80,IMPORTRANGE(""1y0FWgjbB0gVlqn-q5LMJbGIsqOrzru4yowQz67dz2yc"", ""'MTY'!D3:D139""),0))"),"")</f>
        <v/>
      </c>
      <c r="AB80" s="15">
        <f ca="1">IFERROR(__xludf.DUMMYFUNCTION("INDEX(IMPORTRANGE(""1y0FWgjbB0gVlqn-q5LMJbGIsqOrzru4yowQz67dz2yc"", ""'MTY'!BJ3:BJ139""),MATCH($D80,IMPORTRANGE(""1y0FWgjbB0gVlqn-q5LMJbGIsqOrzru4yowQz67dz2yc"", ""'MTY'!D3:D139""),0))"),0.0922412412738932)</f>
        <v>9.2241241273893201E-2</v>
      </c>
      <c r="AC80" s="2"/>
    </row>
    <row r="81" spans="1:29">
      <c r="A81" s="9" t="s">
        <v>199</v>
      </c>
      <c r="B81" s="9" t="s">
        <v>200</v>
      </c>
      <c r="C81" s="2" t="s">
        <v>30</v>
      </c>
      <c r="D81" s="149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0</v>
      </c>
      <c r="Q81" s="2">
        <v>0</v>
      </c>
      <c r="R81" s="2">
        <v>50</v>
      </c>
      <c r="S81" s="2">
        <v>10</v>
      </c>
      <c r="T81" s="2">
        <v>25</v>
      </c>
      <c r="U81" s="2">
        <v>10</v>
      </c>
      <c r="V81" s="2">
        <v>25</v>
      </c>
      <c r="W81" s="2">
        <v>100</v>
      </c>
      <c r="X81" s="2">
        <v>0</v>
      </c>
      <c r="Y81" s="12">
        <f ca="1">IFERROR(__xludf.DUMMYFUNCTION("INDEX(IMPORTRANGE(""1y0FWgjbB0gVlqn-q5LMJbGIsqOrzru4yowQz67dz2yc"", ""'MTY'!BG3:BG139""),MATCH($D81,IMPORTRANGE(""1y0FWgjbB0gVlqn-q5LMJbGIsqOrzru4yowQz67dz2yc"", ""'MTY'!D3:D139""),0))"),42)</f>
        <v>42</v>
      </c>
      <c r="Z81" s="12">
        <f ca="1">IFERROR(__xludf.DUMMYFUNCTION("INDEX(IMPORTRANGE(""1y0FWgjbB0gVlqn-q5LMJbGIsqOrzru4yowQz67dz2yc"", ""'MTY'!BH3:BH139""),MATCH($D81,IMPORTRANGE(""1y0FWgjbB0gVlqn-q5LMJbGIsqOrzru4yowQz67dz2yc"", ""'MTY'!D3:D139""),0))"),46)</f>
        <v>46</v>
      </c>
      <c r="AA81" s="12">
        <f ca="1">IFERROR(__xludf.DUMMYFUNCTION("INDEX(IMPORTRANGE(""1y0FWgjbB0gVlqn-q5LMJbGIsqOrzru4yowQz67dz2yc"", ""'MTY'!BI3:BI139""),MATCH($D81,IMPORTRANGE(""1y0FWgjbB0gVlqn-q5LMJbGIsqOrzru4yowQz67dz2yc"", ""'MTY'!D3:D139""),0))"),122)</f>
        <v>122</v>
      </c>
      <c r="AB81" s="12">
        <f ca="1">IFERROR(__xludf.DUMMYFUNCTION("INDEX(IMPORTRANGE(""1y0FWgjbB0gVlqn-q5LMJbGIsqOrzru4yowQz67dz2yc"", ""'MTY'!BJ3:BJ139""),MATCH($D81,IMPORTRANGE(""1y0FWgjbB0gVlqn-q5LMJbGIsqOrzru4yowQz67dz2yc"", ""'MTY'!D3:D139""),0))"),42)</f>
        <v>42</v>
      </c>
      <c r="AC81" s="2"/>
    </row>
    <row r="82" spans="1:29">
      <c r="A82" s="9" t="s">
        <v>199</v>
      </c>
      <c r="B82" s="9" t="s">
        <v>200</v>
      </c>
      <c r="C82" s="2" t="s">
        <v>30</v>
      </c>
      <c r="D82" s="149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12">
        <f ca="1">IFERROR(__xludf.DUMMYFUNCTION("INDEX(IMPORTRANGE(""1y0FWgjbB0gVlqn-q5LMJbGIsqOrzru4yowQz67dz2yc"", ""'MTY'!BG3:BG139""),MATCH($D82,IMPORTRANGE(""1y0FWgjbB0gVlqn-q5LMJbGIsqOrzru4yowQz67dz2yc"", ""'MTY'!D3:D139""),0))"),0)</f>
        <v>0</v>
      </c>
      <c r="Z82" s="12">
        <f ca="1">IFERROR(__xludf.DUMMYFUNCTION("INDEX(IMPORTRANGE(""1y0FWgjbB0gVlqn-q5LMJbGIsqOrzru4yowQz67dz2yc"", ""'MTY'!BH3:BH139""),MATCH($D82,IMPORTRANGE(""1y0FWgjbB0gVlqn-q5LMJbGIsqOrzru4yowQz67dz2yc"", ""'MTY'!D3:D139""),0))"),0)</f>
        <v>0</v>
      </c>
      <c r="AA82" s="12">
        <f ca="1">IFERROR(__xludf.DUMMYFUNCTION("INDEX(IMPORTRANGE(""1y0FWgjbB0gVlqn-q5LMJbGIsqOrzru4yowQz67dz2yc"", ""'MTY'!BI3:BI139""),MATCH($D82,IMPORTRANGE(""1y0FWgjbB0gVlqn-q5LMJbGIsqOrzru4yowQz67dz2yc"", ""'MTY'!D3:D139""),0))"),0)</f>
        <v>0</v>
      </c>
      <c r="AB82" s="12">
        <f ca="1">IFERROR(__xludf.DUMMYFUNCTION("INDEX(IMPORTRANGE(""1y0FWgjbB0gVlqn-q5LMJbGIsqOrzru4yowQz67dz2yc"", ""'MTY'!BJ3:BJ139""),MATCH($D82,IMPORTRANGE(""1y0FWgjbB0gVlqn-q5LMJbGIsqOrzru4yowQz67dz2yc"", ""'MTY'!D3:D139""),0))"),0)</f>
        <v>0</v>
      </c>
      <c r="AC82" s="2"/>
    </row>
    <row r="83" spans="1:29">
      <c r="A83" s="9" t="s">
        <v>199</v>
      </c>
      <c r="B83" s="9" t="s">
        <v>200</v>
      </c>
      <c r="C83" s="2" t="s">
        <v>36</v>
      </c>
      <c r="D83" s="149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23">
        <f t="shared" ref="P83:Q83" si="19">P81+P82</f>
        <v>0</v>
      </c>
      <c r="Q83" s="23">
        <f t="shared" si="19"/>
        <v>0</v>
      </c>
      <c r="R83" s="6">
        <f t="shared" ref="R83:W83" si="20">SUM(R81:R82)</f>
        <v>50</v>
      </c>
      <c r="S83" s="6">
        <f t="shared" si="20"/>
        <v>10</v>
      </c>
      <c r="T83" s="6">
        <f t="shared" si="20"/>
        <v>25</v>
      </c>
      <c r="U83" s="6">
        <f t="shared" si="20"/>
        <v>10</v>
      </c>
      <c r="V83" s="6">
        <f t="shared" si="20"/>
        <v>25</v>
      </c>
      <c r="W83" s="6">
        <f t="shared" si="20"/>
        <v>100</v>
      </c>
      <c r="X83" s="23">
        <f>X81+X82</f>
        <v>0</v>
      </c>
      <c r="Y83" s="12">
        <f ca="1">IFERROR(__xludf.DUMMYFUNCTION("INDEX(IMPORTRANGE(""1y0FWgjbB0gVlqn-q5LMJbGIsqOrzru4yowQz67dz2yc"", ""'MTY'!BG3:BG139""),MATCH($D83,IMPORTRANGE(""1y0FWgjbB0gVlqn-q5LMJbGIsqOrzru4yowQz67dz2yc"", ""'MTY'!D3:D139""),0))"),42)</f>
        <v>42</v>
      </c>
      <c r="Z83" s="12">
        <f ca="1">IFERROR(__xludf.DUMMYFUNCTION("INDEX(IMPORTRANGE(""1y0FWgjbB0gVlqn-q5LMJbGIsqOrzru4yowQz67dz2yc"", ""'MTY'!BH3:BH139""),MATCH($D83,IMPORTRANGE(""1y0FWgjbB0gVlqn-q5LMJbGIsqOrzru4yowQz67dz2yc"", ""'MTY'!D3:D139""),0))"),46)</f>
        <v>46</v>
      </c>
      <c r="AA83" s="12">
        <f ca="1">IFERROR(__xludf.DUMMYFUNCTION("INDEX(IMPORTRANGE(""1y0FWgjbB0gVlqn-q5LMJbGIsqOrzru4yowQz67dz2yc"", ""'MTY'!BI3:BI139""),MATCH($D83,IMPORTRANGE(""1y0FWgjbB0gVlqn-q5LMJbGIsqOrzru4yowQz67dz2yc"", ""'MTY'!D3:D139""),0))"),122)</f>
        <v>122</v>
      </c>
      <c r="AB83" s="12">
        <f ca="1">IFERROR(__xludf.DUMMYFUNCTION("INDEX(IMPORTRANGE(""1y0FWgjbB0gVlqn-q5LMJbGIsqOrzru4yowQz67dz2yc"", ""'MTY'!BJ3:BJ139""),MATCH($D83,IMPORTRANGE(""1y0FWgjbB0gVlqn-q5LMJbGIsqOrzru4yowQz67dz2yc"", ""'MTY'!D3:D139""),0))"),42)</f>
        <v>42</v>
      </c>
      <c r="AC83" s="2"/>
    </row>
    <row r="84" spans="1:29">
      <c r="A84" s="9" t="s">
        <v>199</v>
      </c>
      <c r="B84" s="9" t="s">
        <v>228</v>
      </c>
      <c r="C84" s="2" t="s">
        <v>30</v>
      </c>
      <c r="D84" s="149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417</v>
      </c>
      <c r="Q84" s="2">
        <v>801</v>
      </c>
      <c r="R84" s="4"/>
      <c r="S84" s="4"/>
      <c r="T84" s="4"/>
      <c r="U84" s="4"/>
      <c r="V84" s="4"/>
      <c r="W84" s="4"/>
      <c r="X84" s="2">
        <v>322</v>
      </c>
      <c r="Y84" s="12">
        <f ca="1">IFERROR(__xludf.DUMMYFUNCTION("INDEX(IMPORTRANGE(""1y0FWgjbB0gVlqn-q5LMJbGIsqOrzru4yowQz67dz2yc"", ""'MTY'!BG3:BG139""),MATCH($D84,IMPORTRANGE(""1y0FWgjbB0gVlqn-q5LMJbGIsqOrzru4yowQz67dz2yc"", ""'MTY'!D3:D139""),0))"),629)</f>
        <v>629</v>
      </c>
      <c r="Z84" s="12">
        <f ca="1">IFERROR(__xludf.DUMMYFUNCTION("INDEX(IMPORTRANGE(""1y0FWgjbB0gVlqn-q5LMJbGIsqOrzru4yowQz67dz2yc"", ""'MTY'!BH3:BH139""),MATCH($D84,IMPORTRANGE(""1y0FWgjbB0gVlqn-q5LMJbGIsqOrzru4yowQz67dz2yc"", ""'MTY'!D3:D139""),0))"),366)</f>
        <v>366</v>
      </c>
      <c r="AA84" s="12">
        <f ca="1">IFERROR(__xludf.DUMMYFUNCTION("INDEX(IMPORTRANGE(""1y0FWgjbB0gVlqn-q5LMJbGIsqOrzru4yowQz67dz2yc"", ""'MTY'!BI3:BI139""),MATCH($D84,IMPORTRANGE(""1y0FWgjbB0gVlqn-q5LMJbGIsqOrzru4yowQz67dz2yc"", ""'MTY'!D3:D139""),0))"),702)</f>
        <v>702</v>
      </c>
      <c r="AB84" s="12">
        <f ca="1">IFERROR(__xludf.DUMMYFUNCTION("INDEX(IMPORTRANGE(""1y0FWgjbB0gVlqn-q5LMJbGIsqOrzru4yowQz67dz2yc"", ""'MTY'!BJ3:BJ139""),MATCH($D84,IMPORTRANGE(""1y0FWgjbB0gVlqn-q5LMJbGIsqOrzru4yowQz67dz2yc"", ""'MTY'!D3:D139""),0))"),352)</f>
        <v>352</v>
      </c>
      <c r="AC84" s="2"/>
    </row>
    <row r="85" spans="1:29">
      <c r="A85" s="9" t="s">
        <v>199</v>
      </c>
      <c r="B85" s="9" t="s">
        <v>228</v>
      </c>
      <c r="C85" s="2" t="s">
        <v>30</v>
      </c>
      <c r="D85" s="149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47</v>
      </c>
      <c r="Q85" s="2">
        <v>97</v>
      </c>
      <c r="R85" s="6"/>
      <c r="S85" s="6"/>
      <c r="T85" s="6"/>
      <c r="U85" s="6"/>
      <c r="V85" s="6"/>
      <c r="W85" s="6"/>
      <c r="X85" s="2">
        <v>24</v>
      </c>
      <c r="Y85" s="12">
        <f ca="1">IFERROR(__xludf.DUMMYFUNCTION("INDEX(IMPORTRANGE(""1y0FWgjbB0gVlqn-q5LMJbGIsqOrzru4yowQz67dz2yc"", ""'MTY'!BG3:BG139""),MATCH($D85,IMPORTRANGE(""1y0FWgjbB0gVlqn-q5LMJbGIsqOrzru4yowQz67dz2yc"", ""'MTY'!D3:D139""),0))"),77)</f>
        <v>77</v>
      </c>
      <c r="Z85" s="12">
        <f ca="1">IFERROR(__xludf.DUMMYFUNCTION("INDEX(IMPORTRANGE(""1y0FWgjbB0gVlqn-q5LMJbGIsqOrzru4yowQz67dz2yc"", ""'MTY'!BH3:BH139""),MATCH($D85,IMPORTRANGE(""1y0FWgjbB0gVlqn-q5LMJbGIsqOrzru4yowQz67dz2yc"", ""'MTY'!D3:D139""),0))"),44)</f>
        <v>44</v>
      </c>
      <c r="AA85" s="12">
        <f ca="1">IFERROR(__xludf.DUMMYFUNCTION("INDEX(IMPORTRANGE(""1y0FWgjbB0gVlqn-q5LMJbGIsqOrzru4yowQz67dz2yc"", ""'MTY'!BI3:BI139""),MATCH($D85,IMPORTRANGE(""1y0FWgjbB0gVlqn-q5LMJbGIsqOrzru4yowQz67dz2yc"", ""'MTY'!D3:D139""),0))"),85)</f>
        <v>85</v>
      </c>
      <c r="AB85" s="12">
        <f ca="1">IFERROR(__xludf.DUMMYFUNCTION("INDEX(IMPORTRANGE(""1y0FWgjbB0gVlqn-q5LMJbGIsqOrzru4yowQz67dz2yc"", ""'MTY'!BJ3:BJ139""),MATCH($D85,IMPORTRANGE(""1y0FWgjbB0gVlqn-q5LMJbGIsqOrzru4yowQz67dz2yc"", ""'MTY'!D3:D139""),0))"),37)</f>
        <v>37</v>
      </c>
      <c r="AC85" s="2"/>
    </row>
    <row r="86" spans="1:29">
      <c r="A86" s="9" t="s">
        <v>199</v>
      </c>
      <c r="B86" s="9" t="s">
        <v>228</v>
      </c>
      <c r="C86" s="2" t="s">
        <v>30</v>
      </c>
      <c r="D86" s="149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12566</v>
      </c>
      <c r="Q86" s="2">
        <v>23525</v>
      </c>
      <c r="R86" s="4"/>
      <c r="S86" s="4"/>
      <c r="T86" s="4"/>
      <c r="U86" s="4"/>
      <c r="V86" s="4"/>
      <c r="W86" s="4"/>
      <c r="X86" s="2">
        <v>10796</v>
      </c>
      <c r="Y86" s="12">
        <f ca="1">IFERROR(__xludf.DUMMYFUNCTION("INDEX(IMPORTRANGE(""1y0FWgjbB0gVlqn-q5LMJbGIsqOrzru4yowQz67dz2yc"", ""'MTY'!BG3:BG139""),MATCH($D86,IMPORTRANGE(""1y0FWgjbB0gVlqn-q5LMJbGIsqOrzru4yowQz67dz2yc"", ""'MTY'!D3:D139""),0))"),22239)</f>
        <v>22239</v>
      </c>
      <c r="Z86" s="12">
        <f ca="1">IFERROR(__xludf.DUMMYFUNCTION("INDEX(IMPORTRANGE(""1y0FWgjbB0gVlqn-q5LMJbGIsqOrzru4yowQz67dz2yc"", ""'MTY'!BH3:BH139""),MATCH($D86,IMPORTRANGE(""1y0FWgjbB0gVlqn-q5LMJbGIsqOrzru4yowQz67dz2yc"", ""'MTY'!D3:D139""),0))"),12580)</f>
        <v>12580</v>
      </c>
      <c r="AA86" s="12">
        <f ca="1">IFERROR(__xludf.DUMMYFUNCTION("INDEX(IMPORTRANGE(""1y0FWgjbB0gVlqn-q5LMJbGIsqOrzru4yowQz67dz2yc"", ""'MTY'!BI3:BI139""),MATCH($D86,IMPORTRANGE(""1y0FWgjbB0gVlqn-q5LMJbGIsqOrzru4yowQz67dz2yc"", ""'MTY'!D3:D139""),0))"),26152)</f>
        <v>26152</v>
      </c>
      <c r="AB86" s="12">
        <f ca="1">IFERROR(__xludf.DUMMYFUNCTION("INDEX(IMPORTRANGE(""1y0FWgjbB0gVlqn-q5LMJbGIsqOrzru4yowQz67dz2yc"", ""'MTY'!BJ3:BJ139""),MATCH($D86,IMPORTRANGE(""1y0FWgjbB0gVlqn-q5LMJbGIsqOrzru4yowQz67dz2yc"", ""'MTY'!D3:D139""),0))"),12442)</f>
        <v>12442</v>
      </c>
      <c r="AC86" s="2"/>
    </row>
    <row r="87" spans="1:29">
      <c r="A87" s="9" t="s">
        <v>199</v>
      </c>
      <c r="B87" s="9" t="s">
        <v>228</v>
      </c>
      <c r="C87" s="2" t="s">
        <v>30</v>
      </c>
      <c r="D87" s="149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580</v>
      </c>
      <c r="Q87" s="2">
        <v>1310</v>
      </c>
      <c r="R87" s="4"/>
      <c r="S87" s="4"/>
      <c r="T87" s="4"/>
      <c r="U87" s="4"/>
      <c r="V87" s="4"/>
      <c r="W87" s="4"/>
      <c r="X87" s="2">
        <v>434</v>
      </c>
      <c r="Y87" s="12">
        <f ca="1">IFERROR(__xludf.DUMMYFUNCTION("INDEX(IMPORTRANGE(""1y0FWgjbB0gVlqn-q5LMJbGIsqOrzru4yowQz67dz2yc"", ""'MTY'!BG3:BG139""),MATCH($D87,IMPORTRANGE(""1y0FWgjbB0gVlqn-q5LMJbGIsqOrzru4yowQz67dz2yc"", ""'MTY'!D3:D139""),0))"),1507)</f>
        <v>1507</v>
      </c>
      <c r="Z87" s="12">
        <f ca="1">IFERROR(__xludf.DUMMYFUNCTION("INDEX(IMPORTRANGE(""1y0FWgjbB0gVlqn-q5LMJbGIsqOrzru4yowQz67dz2yc"", ""'MTY'!BH3:BH139""),MATCH($D87,IMPORTRANGE(""1y0FWgjbB0gVlqn-q5LMJbGIsqOrzru4yowQz67dz2yc"", ""'MTY'!D3:D139""),0))"),1082)</f>
        <v>1082</v>
      </c>
      <c r="AA87" s="12">
        <f ca="1">IFERROR(__xludf.DUMMYFUNCTION("INDEX(IMPORTRANGE(""1y0FWgjbB0gVlqn-q5LMJbGIsqOrzru4yowQz67dz2yc"", ""'MTY'!BI3:BI139""),MATCH($D87,IMPORTRANGE(""1y0FWgjbB0gVlqn-q5LMJbGIsqOrzru4yowQz67dz2yc"", ""'MTY'!D3:D139""),0))"),2583)</f>
        <v>2583</v>
      </c>
      <c r="AB87" s="12">
        <f ca="1">IFERROR(__xludf.DUMMYFUNCTION("INDEX(IMPORTRANGE(""1y0FWgjbB0gVlqn-q5LMJbGIsqOrzru4yowQz67dz2yc"", ""'MTY'!BJ3:BJ139""),MATCH($D87,IMPORTRANGE(""1y0FWgjbB0gVlqn-q5LMJbGIsqOrzru4yowQz67dz2yc"", ""'MTY'!D3:D139""),0))"),1303)</f>
        <v>1303</v>
      </c>
      <c r="AC87" s="2"/>
    </row>
    <row r="88" spans="1:29">
      <c r="A88" s="9" t="s">
        <v>199</v>
      </c>
      <c r="B88" s="9" t="s">
        <v>228</v>
      </c>
      <c r="C88" s="2" t="s">
        <v>30</v>
      </c>
      <c r="D88" s="149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3003</v>
      </c>
      <c r="Q88" s="2">
        <v>5668</v>
      </c>
      <c r="R88" s="4"/>
      <c r="S88" s="4"/>
      <c r="T88" s="4"/>
      <c r="U88" s="4"/>
      <c r="V88" s="4"/>
      <c r="W88" s="4"/>
      <c r="X88" s="2">
        <v>1812</v>
      </c>
      <c r="Y88" s="12">
        <f ca="1">IFERROR(__xludf.DUMMYFUNCTION("INDEX(IMPORTRANGE(""1y0FWgjbB0gVlqn-q5LMJbGIsqOrzru4yowQz67dz2yc"", ""'MTY'!BG3:BG139""),MATCH($D88,IMPORTRANGE(""1y0FWgjbB0gVlqn-q5LMJbGIsqOrzru4yowQz67dz2yc"", ""'MTY'!D3:D139""),0))"),3683)</f>
        <v>3683</v>
      </c>
      <c r="Z88" s="12">
        <f ca="1">IFERROR(__xludf.DUMMYFUNCTION("INDEX(IMPORTRANGE(""1y0FWgjbB0gVlqn-q5LMJbGIsqOrzru4yowQz67dz2yc"", ""'MTY'!BH3:BH139""),MATCH($D88,IMPORTRANGE(""1y0FWgjbB0gVlqn-q5LMJbGIsqOrzru4yowQz67dz2yc"", ""'MTY'!D3:D139""),0))"),1836)</f>
        <v>1836</v>
      </c>
      <c r="AA88" s="12">
        <f ca="1">IFERROR(__xludf.DUMMYFUNCTION("INDEX(IMPORTRANGE(""1y0FWgjbB0gVlqn-q5LMJbGIsqOrzru4yowQz67dz2yc"", ""'MTY'!BI3:BI139""),MATCH($D88,IMPORTRANGE(""1y0FWgjbB0gVlqn-q5LMJbGIsqOrzru4yowQz67dz2yc"", ""'MTY'!D3:D139""),0))"),3755)</f>
        <v>3755</v>
      </c>
      <c r="AB88" s="12">
        <f ca="1">IFERROR(__xludf.DUMMYFUNCTION("INDEX(IMPORTRANGE(""1y0FWgjbB0gVlqn-q5LMJbGIsqOrzru4yowQz67dz2yc"", ""'MTY'!BJ3:BJ139""),MATCH($D88,IMPORTRANGE(""1y0FWgjbB0gVlqn-q5LMJbGIsqOrzru4yowQz67dz2yc"", ""'MTY'!D3:D139""),0))"),1954)</f>
        <v>1954</v>
      </c>
      <c r="AC88" s="2"/>
    </row>
    <row r="89" spans="1:29">
      <c r="A89" s="9" t="s">
        <v>199</v>
      </c>
      <c r="B89" s="9" t="s">
        <v>228</v>
      </c>
      <c r="C89" s="2" t="s">
        <v>36</v>
      </c>
      <c r="D89" s="149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1">SUM(P84:P88)</f>
        <v>16613</v>
      </c>
      <c r="Q89" s="12">
        <f t="shared" si="21"/>
        <v>31401</v>
      </c>
      <c r="R89" s="6">
        <v>31213</v>
      </c>
      <c r="S89" s="6">
        <v>16447</v>
      </c>
      <c r="T89" s="6">
        <v>30961</v>
      </c>
      <c r="U89" s="6">
        <v>16314</v>
      </c>
      <c r="V89" s="6">
        <v>30773</v>
      </c>
      <c r="W89" s="6">
        <v>30773</v>
      </c>
      <c r="X89" s="12">
        <f>SUM(X84:X88)</f>
        <v>13388</v>
      </c>
      <c r="Y89" s="12">
        <f ca="1">IFERROR(__xludf.DUMMYFUNCTION("INDEX(IMPORTRANGE(""1y0FWgjbB0gVlqn-q5LMJbGIsqOrzru4yowQz67dz2yc"", ""'MTY'!BG3:BG139""),MATCH($D89,IMPORTRANGE(""1y0FWgjbB0gVlqn-q5LMJbGIsqOrzru4yowQz67dz2yc"", ""'MTY'!D3:D139""),0))"),28135)</f>
        <v>28135</v>
      </c>
      <c r="Z89" s="12">
        <f ca="1">IFERROR(__xludf.DUMMYFUNCTION("INDEX(IMPORTRANGE(""1y0FWgjbB0gVlqn-q5LMJbGIsqOrzru4yowQz67dz2yc"", ""'MTY'!BH3:BH139""),MATCH($D89,IMPORTRANGE(""1y0FWgjbB0gVlqn-q5LMJbGIsqOrzru4yowQz67dz2yc"", ""'MTY'!D3:D139""),0))"),15908)</f>
        <v>15908</v>
      </c>
      <c r="AA89" s="12">
        <f ca="1">IFERROR(__xludf.DUMMYFUNCTION("INDEX(IMPORTRANGE(""1y0FWgjbB0gVlqn-q5LMJbGIsqOrzru4yowQz67dz2yc"", ""'MTY'!BI3:BI139""),MATCH($D89,IMPORTRANGE(""1y0FWgjbB0gVlqn-q5LMJbGIsqOrzru4yowQz67dz2yc"", ""'MTY'!D3:D139""),0))"),33277)</f>
        <v>33277</v>
      </c>
      <c r="AB89" s="12">
        <f ca="1">IFERROR(__xludf.DUMMYFUNCTION("INDEX(IMPORTRANGE(""1y0FWgjbB0gVlqn-q5LMJbGIsqOrzru4yowQz67dz2yc"", ""'MTY'!BJ3:BJ139""),MATCH($D89,IMPORTRANGE(""1y0FWgjbB0gVlqn-q5LMJbGIsqOrzru4yowQz67dz2yc"", ""'MTY'!D3:D139""),0))"),16088)</f>
        <v>16088</v>
      </c>
      <c r="AC89" s="2"/>
    </row>
    <row r="90" spans="1:29">
      <c r="A90" s="9" t="s">
        <v>243</v>
      </c>
      <c r="B90" s="9" t="s">
        <v>244</v>
      </c>
      <c r="C90" s="2" t="s">
        <v>36</v>
      </c>
      <c r="D90" s="149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5</v>
      </c>
      <c r="Q90" s="2">
        <v>12</v>
      </c>
      <c r="R90" s="2">
        <v>157</v>
      </c>
      <c r="S90" s="2">
        <v>87</v>
      </c>
      <c r="T90" s="2">
        <v>157</v>
      </c>
      <c r="U90" s="2">
        <v>87</v>
      </c>
      <c r="V90" s="2">
        <v>157</v>
      </c>
      <c r="W90" s="2">
        <v>471</v>
      </c>
      <c r="X90" s="2">
        <v>94</v>
      </c>
      <c r="Y90" s="2">
        <f ca="1">IFERROR(__xludf.DUMMYFUNCTION("INDEX(IMPORTRANGE(""1y0FWgjbB0gVlqn-q5LMJbGIsqOrzru4yowQz67dz2yc"", ""'MTY'!BG3:BG139""),MATCH($D90,IMPORTRANGE(""1y0FWgjbB0gVlqn-q5LMJbGIsqOrzru4yowQz67dz2yc"", ""'MTY'!D3:D139""),0))"),255)</f>
        <v>255</v>
      </c>
      <c r="Z90" s="12">
        <f ca="1">IFERROR(__xludf.DUMMYFUNCTION("INDEX(IMPORTRANGE(""1y0FWgjbB0gVlqn-q5LMJbGIsqOrzru4yowQz67dz2yc"", ""'MTY'!BH3:BH139""),MATCH($D90,IMPORTRANGE(""1y0FWgjbB0gVlqn-q5LMJbGIsqOrzru4yowQz67dz2yc"", ""'MTY'!D3:D139""),0))"),178)</f>
        <v>178</v>
      </c>
      <c r="AA90" s="2">
        <f ca="1">IFERROR(__xludf.DUMMYFUNCTION("INDEX(IMPORTRANGE(""1y0FWgjbB0gVlqn-q5LMJbGIsqOrzru4yowQz67dz2yc"", ""'MTY'!BI3:BI139""),MATCH($D90,IMPORTRANGE(""1y0FWgjbB0gVlqn-q5LMJbGIsqOrzru4yowQz67dz2yc"", ""'MTY'!D3:D139""),0))"),178)</f>
        <v>178</v>
      </c>
      <c r="AB90" s="12">
        <f ca="1">IFERROR(__xludf.DUMMYFUNCTION("INDEX(IMPORTRANGE(""1y0FWgjbB0gVlqn-q5LMJbGIsqOrzru4yowQz67dz2yc"", ""'MTY'!BJ3:BJ139""),MATCH($D90,IMPORTRANGE(""1y0FWgjbB0gVlqn-q5LMJbGIsqOrzru4yowQz67dz2yc"", ""'MTY'!D3:D139""),0))"),71)</f>
        <v>71</v>
      </c>
      <c r="AC90" s="2"/>
    </row>
    <row r="91" spans="1:29">
      <c r="A91" s="9" t="s">
        <v>243</v>
      </c>
      <c r="B91" s="9" t="s">
        <v>247</v>
      </c>
      <c r="C91" s="2" t="s">
        <v>36</v>
      </c>
      <c r="D91" s="149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2">
        <v>2</v>
      </c>
      <c r="Q91" s="2">
        <v>2</v>
      </c>
      <c r="R91" s="2">
        <v>2</v>
      </c>
      <c r="S91" s="2">
        <v>22</v>
      </c>
      <c r="T91" s="2">
        <v>27</v>
      </c>
      <c r="U91" s="2">
        <v>32</v>
      </c>
      <c r="V91" s="2">
        <v>40</v>
      </c>
      <c r="W91" s="2">
        <v>40</v>
      </c>
      <c r="X91" s="2">
        <v>2</v>
      </c>
      <c r="Y91" s="2">
        <f ca="1">IFERROR(__xludf.DUMMYFUNCTION("INDEX(IMPORTRANGE(""1y0FWgjbB0gVlqn-q5LMJbGIsqOrzru4yowQz67dz2yc"", ""'MTY'!BG3:BG139""),MATCH($D91,IMPORTRANGE(""1y0FWgjbB0gVlqn-q5LMJbGIsqOrzru4yowQz67dz2yc"", ""'MTY'!D3:D139""),0))"),4)</f>
        <v>4</v>
      </c>
      <c r="Z91" s="12">
        <f ca="1">IFERROR(__xludf.DUMMYFUNCTION("INDEX(IMPORTRANGE(""1y0FWgjbB0gVlqn-q5LMJbGIsqOrzru4yowQz67dz2yc"", ""'MTY'!BH3:BH139""),MATCH($D91,IMPORTRANGE(""1y0FWgjbB0gVlqn-q5LMJbGIsqOrzru4yowQz67dz2yc"", ""'MTY'!D3:D139""),0))"),3)</f>
        <v>3</v>
      </c>
      <c r="AA91" s="2">
        <f ca="1">IFERROR(__xludf.DUMMYFUNCTION("INDEX(IMPORTRANGE(""1y0FWgjbB0gVlqn-q5LMJbGIsqOrzru4yowQz67dz2yc"", ""'MTY'!BI3:BI139""),MATCH($D91,IMPORTRANGE(""1y0FWgjbB0gVlqn-q5LMJbGIsqOrzru4yowQz67dz2yc"", ""'MTY'!D3:D139""),0))"),9)</f>
        <v>9</v>
      </c>
      <c r="AB91" s="12">
        <f ca="1">IFERROR(__xludf.DUMMYFUNCTION("INDEX(IMPORTRANGE(""1y0FWgjbB0gVlqn-q5LMJbGIsqOrzru4yowQz67dz2yc"", ""'MTY'!BJ3:BJ139""),MATCH($D91,IMPORTRANGE(""1y0FWgjbB0gVlqn-q5LMJbGIsqOrzru4yowQz67dz2yc"", ""'MTY'!D3:D139""),0))"),23)</f>
        <v>23</v>
      </c>
      <c r="AC91" s="2"/>
    </row>
    <row r="92" spans="1:29">
      <c r="A92" s="9" t="s">
        <v>243</v>
      </c>
      <c r="B92" s="9" t="s">
        <v>250</v>
      </c>
      <c r="C92" s="2" t="s">
        <v>36</v>
      </c>
      <c r="D92" s="149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4">
        <v>99.77</v>
      </c>
      <c r="Y92" s="23">
        <f ca="1">IFERROR(__xludf.DUMMYFUNCTION("INDEX(IMPORTRANGE(""1y0FWgjbB0gVlqn-q5LMJbGIsqOrzru4yowQz67dz2yc"", ""'MTY'!BG3:BG139""),MATCH($D92,IMPORTRANGE(""1y0FWgjbB0gVlqn-q5LMJbGIsqOrzru4yowQz67dz2yc"", ""'MTY'!D3:D139""),0))"),99.78)</f>
        <v>99.78</v>
      </c>
      <c r="Z92" s="23">
        <f ca="1">IFERROR(__xludf.DUMMYFUNCTION("INDEX(IMPORTRANGE(""1y0FWgjbB0gVlqn-q5LMJbGIsqOrzru4yowQz67dz2yc"", ""'MTY'!BH3:BH139""),MATCH($D92,IMPORTRANGE(""1y0FWgjbB0gVlqn-q5LMJbGIsqOrzru4yowQz67dz2yc"", ""'MTY'!D3:D139""),0))"),99.95)</f>
        <v>99.95</v>
      </c>
      <c r="AA92" s="23">
        <f ca="1">IFERROR(__xludf.DUMMYFUNCTION("INDEX(IMPORTRANGE(""1y0FWgjbB0gVlqn-q5LMJbGIsqOrzru4yowQz67dz2yc"", ""'MTY'!BI3:BI139""),MATCH($D92,IMPORTRANGE(""1y0FWgjbB0gVlqn-q5LMJbGIsqOrzru4yowQz67dz2yc"", ""'MTY'!D3:D139""),0))"),98.5)</f>
        <v>98.5</v>
      </c>
      <c r="AB92" s="23">
        <f ca="1">IFERROR(__xludf.DUMMYFUNCTION("INDEX(IMPORTRANGE(""1y0FWgjbB0gVlqn-q5LMJbGIsqOrzru4yowQz67dz2yc"", ""'MTY'!BJ3:BJ139""),MATCH($D92,IMPORTRANGE(""1y0FWgjbB0gVlqn-q5LMJbGIsqOrzru4yowQz67dz2yc"", ""'MTY'!D3:D139""),0))"),100)</f>
        <v>100</v>
      </c>
      <c r="AC92" s="2"/>
    </row>
    <row r="93" spans="1:29">
      <c r="A93" s="9" t="s">
        <v>243</v>
      </c>
      <c r="B93" s="9" t="s">
        <v>257</v>
      </c>
      <c r="C93" s="2" t="s">
        <v>36</v>
      </c>
      <c r="D93" s="149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257">
        <v>0</v>
      </c>
      <c r="Y93" s="194">
        <f ca="1">IFERROR(__xludf.DUMMYFUNCTION("INDEX(IMPORTRANGE(""1y0FWgjbB0gVlqn-q5LMJbGIsqOrzru4yowQz67dz2yc"", ""'MTY'!BG3:BG139""),MATCH($D93,IMPORTRANGE(""1y0FWgjbB0gVlqn-q5LMJbGIsqOrzru4yowQz67dz2yc"", ""'MTY'!D3:D139""),0))"),0)</f>
        <v>0</v>
      </c>
      <c r="Z93" s="194">
        <f ca="1">IFERROR(__xludf.DUMMYFUNCTION("INDEX(IMPORTRANGE(""1y0FWgjbB0gVlqn-q5LMJbGIsqOrzru4yowQz67dz2yc"", ""'MTY'!BH3:BH139""),MATCH($D93,IMPORTRANGE(""1y0FWgjbB0gVlqn-q5LMJbGIsqOrzru4yowQz67dz2yc"", ""'MTY'!D3:D139""),0))"),2.56890168654874)</f>
        <v>2.56890168654874</v>
      </c>
      <c r="AA93" s="194">
        <f ca="1">IFERROR(__xludf.DUMMYFUNCTION("INDEX(IMPORTRANGE(""1y0FWgjbB0gVlqn-q5LMJbGIsqOrzru4yowQz67dz2yc"", ""'MTY'!BI3:BI139""),MATCH($D93,IMPORTRANGE(""1y0FWgjbB0gVlqn-q5LMJbGIsqOrzru4yowQz67dz2yc"", ""'MTY'!D3:D139""),0))"),2.76758535582065)</f>
        <v>2.7675853558206498</v>
      </c>
      <c r="AB93" s="194">
        <f ca="1">IFERROR(__xludf.DUMMYFUNCTION("INDEX(IMPORTRANGE(""1y0FWgjbB0gVlqn-q5LMJbGIsqOrzru4yowQz67dz2yc"", ""'MTY'!BJ3:BJ139""),MATCH($D93,IMPORTRANGE(""1y0FWgjbB0gVlqn-q5LMJbGIsqOrzru4yowQz67dz2yc"", ""'MTY'!D3:D139""),0))"),2.89058000822706)</f>
        <v>2.8905800082270598</v>
      </c>
      <c r="AC93" s="2"/>
    </row>
    <row r="94" spans="1:29">
      <c r="A94" s="9" t="s">
        <v>243</v>
      </c>
      <c r="B94" s="9" t="s">
        <v>260</v>
      </c>
      <c r="C94" s="2" t="s">
        <v>30</v>
      </c>
      <c r="D94" s="149" t="s">
        <v>261</v>
      </c>
      <c r="E94" s="9" t="s">
        <v>38</v>
      </c>
      <c r="F94" s="9" t="s">
        <v>262</v>
      </c>
      <c r="G94" s="11">
        <v>44469</v>
      </c>
      <c r="H94" s="470"/>
      <c r="I94" s="11">
        <v>44651</v>
      </c>
      <c r="J94" s="4"/>
      <c r="K94" s="11">
        <v>45016</v>
      </c>
      <c r="L94" s="4"/>
      <c r="M94" s="11">
        <v>45382</v>
      </c>
      <c r="N94" s="4"/>
      <c r="O94" s="11">
        <v>45565</v>
      </c>
      <c r="P94" s="254"/>
      <c r="Q94" s="254"/>
      <c r="R94" s="4"/>
      <c r="S94" s="4"/>
      <c r="T94" s="4"/>
      <c r="U94" s="4"/>
      <c r="V94" s="4"/>
      <c r="W94" s="4"/>
      <c r="X94" s="2">
        <v>6</v>
      </c>
      <c r="Y94" s="9">
        <f ca="1">IFERROR(__xludf.DUMMYFUNCTION("INDEX(IMPORTRANGE(""1y0FWgjbB0gVlqn-q5LMJbGIsqOrzru4yowQz67dz2yc"", ""'MTY'!BG3:BG139""),MATCH($D94,IMPORTRANGE(""1y0FWgjbB0gVlqn-q5LMJbGIsqOrzru4yowQz67dz2yc"", ""'MTY'!D3:D139""),0))"),6)</f>
        <v>6</v>
      </c>
      <c r="Z94" s="12">
        <f ca="1">IFERROR(__xludf.DUMMYFUNCTION("INDEX(IMPORTRANGE(""1y0FWgjbB0gVlqn-q5LMJbGIsqOrzru4yowQz67dz2yc"", ""'MTY'!BH3:BH139""),MATCH($D94,IMPORTRANGE(""1y0FWgjbB0gVlqn-q5LMJbGIsqOrzru4yowQz67dz2yc"", ""'MTY'!D3:D139""),0))"),5)</f>
        <v>5</v>
      </c>
      <c r="AA94" s="9" t="str">
        <f ca="1">IFERROR(__xludf.DUMMYFUNCTION("INDEX(IMPORTRANGE(""1y0FWgjbB0gVlqn-q5LMJbGIsqOrzru4yowQz67dz2yc"", ""'MTY'!BI3:BI139""),MATCH($D94,IMPORTRANGE(""1y0FWgjbB0gVlqn-q5LMJbGIsqOrzru4yowQz67dz2yc"", ""'MTY'!D3:D139""),0))"),"")</f>
        <v/>
      </c>
      <c r="AB94" s="12">
        <f ca="1">IFERROR(__xludf.DUMMYFUNCTION("INDEX(IMPORTRANGE(""1y0FWgjbB0gVlqn-q5LMJbGIsqOrzru4yowQz67dz2yc"", ""'MTY'!BJ3:BJ139""),MATCH($D94,IMPORTRANGE(""1y0FWgjbB0gVlqn-q5LMJbGIsqOrzru4yowQz67dz2yc"", ""'MTY'!D3:D139""),0))"),5)</f>
        <v>5</v>
      </c>
      <c r="AC94" s="2"/>
    </row>
    <row r="95" spans="1:29">
      <c r="A95" s="9" t="s">
        <v>243</v>
      </c>
      <c r="B95" s="9" t="s">
        <v>260</v>
      </c>
      <c r="C95" s="2" t="s">
        <v>30</v>
      </c>
      <c r="D95" s="149" t="s">
        <v>263</v>
      </c>
      <c r="E95" s="9" t="s">
        <v>38</v>
      </c>
      <c r="F95" s="9" t="s">
        <v>264</v>
      </c>
      <c r="G95" s="11">
        <v>44469</v>
      </c>
      <c r="H95" s="4"/>
      <c r="I95" s="11">
        <v>44651</v>
      </c>
      <c r="J95" s="4"/>
      <c r="K95" s="11">
        <v>45016</v>
      </c>
      <c r="L95" s="4"/>
      <c r="M95" s="11">
        <v>45382</v>
      </c>
      <c r="N95" s="4"/>
      <c r="O95" s="11">
        <v>45565</v>
      </c>
      <c r="P95" s="254"/>
      <c r="Q95" s="254"/>
      <c r="R95" s="4"/>
      <c r="S95" s="4"/>
      <c r="T95" s="4"/>
      <c r="U95" s="4"/>
      <c r="V95" s="4"/>
      <c r="W95" s="4"/>
      <c r="X95" s="2">
        <v>12</v>
      </c>
      <c r="Y95" s="9">
        <f ca="1">IFERROR(__xludf.DUMMYFUNCTION("INDEX(IMPORTRANGE(""1y0FWgjbB0gVlqn-q5LMJbGIsqOrzru4yowQz67dz2yc"", ""'MTY'!BG3:BG139""),MATCH($D95,IMPORTRANGE(""1y0FWgjbB0gVlqn-q5LMJbGIsqOrzru4yowQz67dz2yc"", ""'MTY'!D3:D139""),0))"),12)</f>
        <v>12</v>
      </c>
      <c r="Z95" s="12">
        <f ca="1">IFERROR(__xludf.DUMMYFUNCTION("INDEX(IMPORTRANGE(""1y0FWgjbB0gVlqn-q5LMJbGIsqOrzru4yowQz67dz2yc"", ""'MTY'!BH3:BH139""),MATCH($D95,IMPORTRANGE(""1y0FWgjbB0gVlqn-q5LMJbGIsqOrzru4yowQz67dz2yc"", ""'MTY'!D3:D139""),0))"),12)</f>
        <v>12</v>
      </c>
      <c r="AA95" s="9">
        <f ca="1">IFERROR(__xludf.DUMMYFUNCTION("INDEX(IMPORTRANGE(""1y0FWgjbB0gVlqn-q5LMJbGIsqOrzru4yowQz67dz2yc"", ""'MTY'!BI3:BI139""),MATCH($D95,IMPORTRANGE(""1y0FWgjbB0gVlqn-q5LMJbGIsqOrzru4yowQz67dz2yc"", ""'MTY'!D3:D139""),0))"),0)</f>
        <v>0</v>
      </c>
      <c r="AB95" s="12">
        <f ca="1">IFERROR(__xludf.DUMMYFUNCTION("INDEX(IMPORTRANGE(""1y0FWgjbB0gVlqn-q5LMJbGIsqOrzru4yowQz67dz2yc"", ""'MTY'!BJ3:BJ139""),MATCH($D95,IMPORTRANGE(""1y0FWgjbB0gVlqn-q5LMJbGIsqOrzru4yowQz67dz2yc"", ""'MTY'!D3:D139""),0))"),12)</f>
        <v>12</v>
      </c>
      <c r="AC95" s="2"/>
    </row>
    <row r="96" spans="1:29">
      <c r="A96" s="9" t="s">
        <v>243</v>
      </c>
      <c r="B96" s="9" t="s">
        <v>260</v>
      </c>
      <c r="C96" s="2" t="s">
        <v>30</v>
      </c>
      <c r="D96" s="149" t="s">
        <v>265</v>
      </c>
      <c r="E96" s="9" t="s">
        <v>38</v>
      </c>
      <c r="F96" s="9" t="s">
        <v>266</v>
      </c>
      <c r="G96" s="11">
        <v>44469</v>
      </c>
      <c r="H96" s="4"/>
      <c r="I96" s="11">
        <v>44651</v>
      </c>
      <c r="J96" s="4"/>
      <c r="K96" s="11">
        <v>45016</v>
      </c>
      <c r="L96" s="4"/>
      <c r="M96" s="11">
        <v>45382</v>
      </c>
      <c r="N96" s="4"/>
      <c r="O96" s="11">
        <v>45565</v>
      </c>
      <c r="P96" s="254"/>
      <c r="Q96" s="254"/>
      <c r="R96" s="4"/>
      <c r="S96" s="4"/>
      <c r="T96" s="4"/>
      <c r="U96" s="4"/>
      <c r="V96" s="4"/>
      <c r="W96" s="4"/>
      <c r="X96" s="2">
        <v>0</v>
      </c>
      <c r="Y96" s="9">
        <f ca="1">IFERROR(__xludf.DUMMYFUNCTION("INDEX(IMPORTRANGE(""1y0FWgjbB0gVlqn-q5LMJbGIsqOrzru4yowQz67dz2yc"", ""'MTY'!BG3:BG139""),MATCH($D96,IMPORTRANGE(""1y0FWgjbB0gVlqn-q5LMJbGIsqOrzru4yowQz67dz2yc"", ""'MTY'!D3:D139""),0))"),0)</f>
        <v>0</v>
      </c>
      <c r="Z96" s="12">
        <f ca="1">IFERROR(__xludf.DUMMYFUNCTION("INDEX(IMPORTRANGE(""1y0FWgjbB0gVlqn-q5LMJbGIsqOrzru4yowQz67dz2yc"", ""'MTY'!BH3:BH139""),MATCH($D96,IMPORTRANGE(""1y0FWgjbB0gVlqn-q5LMJbGIsqOrzru4yowQz67dz2yc"", ""'MTY'!D3:D139""),0))"),0)</f>
        <v>0</v>
      </c>
      <c r="AA96" s="9" t="str">
        <f ca="1">IFERROR(__xludf.DUMMYFUNCTION("INDEX(IMPORTRANGE(""1y0FWgjbB0gVlqn-q5LMJbGIsqOrzru4yowQz67dz2yc"", ""'MTY'!BI3:BI139""),MATCH($D96,IMPORTRANGE(""1y0FWgjbB0gVlqn-q5LMJbGIsqOrzru4yowQz67dz2yc"", ""'MTY'!D3:D139""),0))"),"")</f>
        <v/>
      </c>
      <c r="AB96" s="12">
        <f ca="1">IFERROR(__xludf.DUMMYFUNCTION("INDEX(IMPORTRANGE(""1y0FWgjbB0gVlqn-q5LMJbGIsqOrzru4yowQz67dz2yc"", ""'MTY'!BJ3:BJ139""),MATCH($D96,IMPORTRANGE(""1y0FWgjbB0gVlqn-q5LMJbGIsqOrzru4yowQz67dz2yc"", ""'MTY'!D3:D139""),0))"),7)</f>
        <v>7</v>
      </c>
      <c r="AC96" s="2"/>
    </row>
    <row r="97" spans="1:29">
      <c r="A97" s="9" t="s">
        <v>243</v>
      </c>
      <c r="B97" s="9" t="s">
        <v>260</v>
      </c>
      <c r="C97" s="2" t="s">
        <v>30</v>
      </c>
      <c r="D97" s="149" t="s">
        <v>267</v>
      </c>
      <c r="E97" s="9" t="s">
        <v>38</v>
      </c>
      <c r="F97" s="9" t="s">
        <v>268</v>
      </c>
      <c r="G97" s="11">
        <v>44469</v>
      </c>
      <c r="H97" s="4"/>
      <c r="I97" s="11">
        <v>44651</v>
      </c>
      <c r="J97" s="4"/>
      <c r="K97" s="11">
        <v>45016</v>
      </c>
      <c r="L97" s="4"/>
      <c r="M97" s="11">
        <v>45382</v>
      </c>
      <c r="N97" s="4"/>
      <c r="O97" s="11">
        <v>45565</v>
      </c>
      <c r="P97" s="254"/>
      <c r="Q97" s="254"/>
      <c r="R97" s="4"/>
      <c r="S97" s="4"/>
      <c r="T97" s="4"/>
      <c r="U97" s="4"/>
      <c r="V97" s="4"/>
      <c r="W97" s="4"/>
      <c r="X97" s="2">
        <v>0</v>
      </c>
      <c r="Y97" s="9">
        <f ca="1">IFERROR(__xludf.DUMMYFUNCTION("INDEX(IMPORTRANGE(""1y0FWgjbB0gVlqn-q5LMJbGIsqOrzru4yowQz67dz2yc"", ""'MTY'!BG3:BG139""),MATCH($D97,IMPORTRANGE(""1y0FWgjbB0gVlqn-q5LMJbGIsqOrzru4yowQz67dz2yc"", ""'MTY'!D3:D139""),0))"),0)</f>
        <v>0</v>
      </c>
      <c r="Z97" s="12">
        <f ca="1">IFERROR(__xludf.DUMMYFUNCTION("INDEX(IMPORTRANGE(""1y0FWgjbB0gVlqn-q5LMJbGIsqOrzru4yowQz67dz2yc"", ""'MTY'!BH3:BH139""),MATCH($D97,IMPORTRANGE(""1y0FWgjbB0gVlqn-q5LMJbGIsqOrzru4yowQz67dz2yc"", ""'MTY'!D3:D139""),0))"),0)</f>
        <v>0</v>
      </c>
      <c r="AA97" s="9">
        <f ca="1">IFERROR(__xludf.DUMMYFUNCTION("INDEX(IMPORTRANGE(""1y0FWgjbB0gVlqn-q5LMJbGIsqOrzru4yowQz67dz2yc"", ""'MTY'!BI3:BI139""),MATCH($D97,IMPORTRANGE(""1y0FWgjbB0gVlqn-q5LMJbGIsqOrzru4yowQz67dz2yc"", ""'MTY'!D3:D139""),0))"),0)</f>
        <v>0</v>
      </c>
      <c r="AB97" s="12">
        <f ca="1">IFERROR(__xludf.DUMMYFUNCTION("INDEX(IMPORTRANGE(""1y0FWgjbB0gVlqn-q5LMJbGIsqOrzru4yowQz67dz2yc"", ""'MTY'!BJ3:BJ139""),MATCH($D97,IMPORTRANGE(""1y0FWgjbB0gVlqn-q5LMJbGIsqOrzru4yowQz67dz2yc"", ""'MTY'!D3:D139""),0))"),13)</f>
        <v>13</v>
      </c>
      <c r="AC97" s="2"/>
    </row>
    <row r="98" spans="1:29">
      <c r="A98" s="9" t="s">
        <v>243</v>
      </c>
      <c r="B98" s="9" t="s">
        <v>260</v>
      </c>
      <c r="C98" s="2" t="s">
        <v>30</v>
      </c>
      <c r="D98" s="149" t="s">
        <v>269</v>
      </c>
      <c r="E98" s="9" t="s">
        <v>38</v>
      </c>
      <c r="F98" s="9" t="s">
        <v>270</v>
      </c>
      <c r="G98" s="11">
        <v>44469</v>
      </c>
      <c r="H98" s="4"/>
      <c r="I98" s="11">
        <v>44651</v>
      </c>
      <c r="J98" s="4"/>
      <c r="K98" s="11">
        <v>45016</v>
      </c>
      <c r="L98" s="4"/>
      <c r="M98" s="11">
        <v>45382</v>
      </c>
      <c r="N98" s="4"/>
      <c r="O98" s="11">
        <v>45565</v>
      </c>
      <c r="P98" s="254"/>
      <c r="Q98" s="254"/>
      <c r="R98" s="4"/>
      <c r="S98" s="4"/>
      <c r="T98" s="4"/>
      <c r="U98" s="4"/>
      <c r="V98" s="4"/>
      <c r="W98" s="4"/>
      <c r="X98" s="2">
        <v>35</v>
      </c>
      <c r="Y98" s="9">
        <f ca="1">IFERROR(__xludf.DUMMYFUNCTION("INDEX(IMPORTRANGE(""1y0FWgjbB0gVlqn-q5LMJbGIsqOrzru4yowQz67dz2yc"", ""'MTY'!BG3:BG139""),MATCH($D98,IMPORTRANGE(""1y0FWgjbB0gVlqn-q5LMJbGIsqOrzru4yowQz67dz2yc"", ""'MTY'!D3:D139""),0))"),42)</f>
        <v>42</v>
      </c>
      <c r="Z98" s="12">
        <f ca="1">IFERROR(__xludf.DUMMYFUNCTION("INDEX(IMPORTRANGE(""1y0FWgjbB0gVlqn-q5LMJbGIsqOrzru4yowQz67dz2yc"", ""'MTY'!BH3:BH139""),MATCH($D98,IMPORTRANGE(""1y0FWgjbB0gVlqn-q5LMJbGIsqOrzru4yowQz67dz2yc"", ""'MTY'!D3:D139""),0))"),42)</f>
        <v>42</v>
      </c>
      <c r="AA98" s="9" t="str">
        <f ca="1">IFERROR(__xludf.DUMMYFUNCTION("INDEX(IMPORTRANGE(""1y0FWgjbB0gVlqn-q5LMJbGIsqOrzru4yowQz67dz2yc"", ""'MTY'!BI3:BI139""),MATCH($D98,IMPORTRANGE(""1y0FWgjbB0gVlqn-q5LMJbGIsqOrzru4yowQz67dz2yc"", ""'MTY'!D3:D139""),0))"),"")</f>
        <v/>
      </c>
      <c r="AB98" s="12">
        <f ca="1">IFERROR(__xludf.DUMMYFUNCTION("INDEX(IMPORTRANGE(""1y0FWgjbB0gVlqn-q5LMJbGIsqOrzru4yowQz67dz2yc"", ""'MTY'!BJ3:BJ139""),MATCH($D98,IMPORTRANGE(""1y0FWgjbB0gVlqn-q5LMJbGIsqOrzru4yowQz67dz2yc"", ""'MTY'!D3:D139""),0))"),36)</f>
        <v>36</v>
      </c>
      <c r="AC98" s="2"/>
    </row>
    <row r="99" spans="1:29">
      <c r="A99" s="9" t="s">
        <v>243</v>
      </c>
      <c r="B99" s="9" t="s">
        <v>260</v>
      </c>
      <c r="C99" s="2" t="s">
        <v>30</v>
      </c>
      <c r="D99" s="149" t="s">
        <v>271</v>
      </c>
      <c r="E99" s="9" t="s">
        <v>38</v>
      </c>
      <c r="F99" s="9" t="s">
        <v>272</v>
      </c>
      <c r="G99" s="11">
        <v>44469</v>
      </c>
      <c r="H99" s="4"/>
      <c r="I99" s="11">
        <v>44651</v>
      </c>
      <c r="J99" s="4"/>
      <c r="K99" s="11">
        <v>45016</v>
      </c>
      <c r="L99" s="4"/>
      <c r="M99" s="11">
        <v>45382</v>
      </c>
      <c r="N99" s="4"/>
      <c r="O99" s="11">
        <v>45565</v>
      </c>
      <c r="P99" s="254"/>
      <c r="Q99" s="254"/>
      <c r="R99" s="4"/>
      <c r="S99" s="4"/>
      <c r="T99" s="4"/>
      <c r="U99" s="4"/>
      <c r="V99" s="4"/>
      <c r="W99" s="4"/>
      <c r="X99" s="2">
        <v>98</v>
      </c>
      <c r="Y99" s="9">
        <f ca="1">IFERROR(__xludf.DUMMYFUNCTION("INDEX(IMPORTRANGE(""1y0FWgjbB0gVlqn-q5LMJbGIsqOrzru4yowQz67dz2yc"", ""'MTY'!BG3:BG139""),MATCH($D99,IMPORTRANGE(""1y0FWgjbB0gVlqn-q5LMJbGIsqOrzru4yowQz67dz2yc"", ""'MTY'!D3:D139""),0))"),102)</f>
        <v>102</v>
      </c>
      <c r="Z99" s="12">
        <f ca="1">IFERROR(__xludf.DUMMYFUNCTION("INDEX(IMPORTRANGE(""1y0FWgjbB0gVlqn-q5LMJbGIsqOrzru4yowQz67dz2yc"", ""'MTY'!BH3:BH139""),MATCH($D99,IMPORTRANGE(""1y0FWgjbB0gVlqn-q5LMJbGIsqOrzru4yowQz67dz2yc"", ""'MTY'!D3:D139""),0))"),103)</f>
        <v>103</v>
      </c>
      <c r="AA99" s="9">
        <f ca="1">IFERROR(__xludf.DUMMYFUNCTION("INDEX(IMPORTRANGE(""1y0FWgjbB0gVlqn-q5LMJbGIsqOrzru4yowQz67dz2yc"", ""'MTY'!BI3:BI139""),MATCH($D99,IMPORTRANGE(""1y0FWgjbB0gVlqn-q5LMJbGIsqOrzru4yowQz67dz2yc"", ""'MTY'!D3:D139""),0))"),0)</f>
        <v>0</v>
      </c>
      <c r="AB99" s="12">
        <f ca="1">IFERROR(__xludf.DUMMYFUNCTION("INDEX(IMPORTRANGE(""1y0FWgjbB0gVlqn-q5LMJbGIsqOrzru4yowQz67dz2yc"", ""'MTY'!BJ3:BJ139""),MATCH($D99,IMPORTRANGE(""1y0FWgjbB0gVlqn-q5LMJbGIsqOrzru4yowQz67dz2yc"", ""'MTY'!D3:D139""),0))"),86)</f>
        <v>86</v>
      </c>
      <c r="AC99" s="2"/>
    </row>
    <row r="100" spans="1:29">
      <c r="A100" s="9" t="s">
        <v>243</v>
      </c>
      <c r="B100" s="9" t="s">
        <v>260</v>
      </c>
      <c r="C100" s="2" t="s">
        <v>36</v>
      </c>
      <c r="D100" s="149" t="s">
        <v>273</v>
      </c>
      <c r="E100" s="9" t="s">
        <v>38</v>
      </c>
      <c r="F100" s="9" t="s">
        <v>274</v>
      </c>
      <c r="G100" s="11">
        <v>44469</v>
      </c>
      <c r="H100" s="4"/>
      <c r="I100" s="11">
        <v>44651</v>
      </c>
      <c r="J100" s="4"/>
      <c r="K100" s="11">
        <v>45016</v>
      </c>
      <c r="L100" s="4"/>
      <c r="M100" s="11">
        <v>45382</v>
      </c>
      <c r="N100" s="4"/>
      <c r="O100" s="11">
        <v>45565</v>
      </c>
      <c r="P100" s="254"/>
      <c r="Q100" s="254"/>
      <c r="R100" s="4"/>
      <c r="S100" s="60">
        <v>0.5</v>
      </c>
      <c r="T100" s="4"/>
      <c r="U100" s="60">
        <v>0.5</v>
      </c>
      <c r="V100" s="60">
        <v>0.5</v>
      </c>
      <c r="W100" s="60">
        <v>0.5</v>
      </c>
      <c r="X100" s="15">
        <f>SUM(X94,X96,X98)/SUM(X95,X97,X99)</f>
        <v>0.37272727272727274</v>
      </c>
      <c r="Y100" s="15">
        <f ca="1">IFERROR(__xludf.DUMMYFUNCTION("INDEX(IMPORTRANGE(""1y0FWgjbB0gVlqn-q5LMJbGIsqOrzru4yowQz67dz2yc"", ""'MTY'!BG3:BG139""),MATCH($D100,IMPORTRANGE(""1y0FWgjbB0gVlqn-q5LMJbGIsqOrzru4yowQz67dz2yc"", ""'MTY'!D3:D139""),0))"),0.421052631578947)</f>
        <v>0.42105263157894701</v>
      </c>
      <c r="Z100" s="15">
        <f ca="1">IFERROR(__xludf.DUMMYFUNCTION("INDEX(IMPORTRANGE(""1y0FWgjbB0gVlqn-q5LMJbGIsqOrzru4yowQz67dz2yc"", ""'MTY'!BH3:BH139""),MATCH($D100,IMPORTRANGE(""1y0FWgjbB0gVlqn-q5LMJbGIsqOrzru4yowQz67dz2yc"", ""'MTY'!D3:D139""),0))"),0.408695652173913)</f>
        <v>0.40869565217391302</v>
      </c>
      <c r="AA100" s="15" t="str">
        <f ca="1">IFERROR(__xludf.DUMMYFUNCTION("INDEX(IMPORTRANGE(""1y0FWgjbB0gVlqn-q5LMJbGIsqOrzru4yowQz67dz2yc"", ""'MTY'!BI3:BI139""),MATCH($D100,IMPORTRANGE(""1y0FWgjbB0gVlqn-q5LMJbGIsqOrzru4yowQz67dz2yc"", ""'MTY'!D3:D139""),0))"),"")</f>
        <v/>
      </c>
      <c r="AB100" s="15">
        <f ca="1">IFERROR(__xludf.DUMMYFUNCTION("INDEX(IMPORTRANGE(""1y0FWgjbB0gVlqn-q5LMJbGIsqOrzru4yowQz67dz2yc"", ""'MTY'!BJ3:BJ139""),MATCH($D100,IMPORTRANGE(""1y0FWgjbB0gVlqn-q5LMJbGIsqOrzru4yowQz67dz2yc"", ""'MTY'!D3:D139""),0))"),0.432432432432432)</f>
        <v>0.43243243243243201</v>
      </c>
      <c r="AC100" s="2"/>
    </row>
    <row r="101" spans="1:29">
      <c r="A101" s="9" t="s">
        <v>275</v>
      </c>
      <c r="B101" s="9" t="s">
        <v>276</v>
      </c>
      <c r="C101" s="2" t="s">
        <v>30</v>
      </c>
      <c r="D101" s="149" t="s">
        <v>277</v>
      </c>
      <c r="E101" s="9" t="s">
        <v>278</v>
      </c>
      <c r="F101" s="9" t="s">
        <v>279</v>
      </c>
      <c r="G101" s="11" t="s">
        <v>213</v>
      </c>
      <c r="H101" s="2" t="s">
        <v>214</v>
      </c>
      <c r="I101" s="9" t="s">
        <v>215</v>
      </c>
      <c r="J101" s="4"/>
      <c r="K101" s="9" t="s">
        <v>216</v>
      </c>
      <c r="L101" s="4"/>
      <c r="M101" s="9" t="s">
        <v>217</v>
      </c>
      <c r="N101" s="2" t="s">
        <v>218</v>
      </c>
      <c r="O101" s="2" t="s">
        <v>218</v>
      </c>
      <c r="P101" s="36">
        <v>3081185453.3200002</v>
      </c>
      <c r="Q101" s="36">
        <v>3081185453.3200002</v>
      </c>
      <c r="R101" s="4"/>
      <c r="S101" s="4"/>
      <c r="T101" s="4"/>
      <c r="U101" s="4"/>
      <c r="V101" s="4"/>
      <c r="W101" s="4"/>
      <c r="X101" s="36">
        <v>3081185453.3200002</v>
      </c>
      <c r="Y101" s="476" t="str">
        <f ca="1">IFERROR(__xludf.DUMMYFUNCTION("INDEX(IMPORTRANGE(""1y0FWgjbB0gVlqn-q5LMJbGIsqOrzru4yowQz67dz2yc"", ""'MTY'!BG3:BG139""),MATCH($D101,IMPORTRANGE(""1y0FWgjbB0gVlqn-q5LMJbGIsqOrzru4yowQz67dz2yc"", ""'MTY'!D3:D139""),0))"),"")</f>
        <v/>
      </c>
      <c r="Z101" s="36">
        <f ca="1">IFERROR(__xludf.DUMMYFUNCTION("INDEX(IMPORTRANGE(""1y0FWgjbB0gVlqn-q5LMJbGIsqOrzru4yowQz67dz2yc"", ""'MTY'!BH3:BH139""),MATCH($D101,IMPORTRANGE(""1y0FWgjbB0gVlqn-q5LMJbGIsqOrzru4yowQz67dz2yc"", ""'MTY'!D3:D139""),0))"),3540135702.81)</f>
        <v>3540135702.8099999</v>
      </c>
      <c r="AA101" s="476" t="str">
        <f ca="1">IFERROR(__xludf.DUMMYFUNCTION("INDEX(IMPORTRANGE(""1y0FWgjbB0gVlqn-q5LMJbGIsqOrzru4yowQz67dz2yc"", ""'MTY'!BI3:BI139""),MATCH($D101,IMPORTRANGE(""1y0FWgjbB0gVlqn-q5LMJbGIsqOrzru4yowQz67dz2yc"", ""'MTY'!D3:D139""),0))"),"")</f>
        <v/>
      </c>
      <c r="AB101" s="36">
        <f ca="1">IFERROR(__xludf.DUMMYFUNCTION("INDEX(IMPORTRANGE(""1y0FWgjbB0gVlqn-q5LMJbGIsqOrzru4yowQz67dz2yc"", ""'MTY'!BJ3:BJ139""),MATCH($D101,IMPORTRANGE(""1y0FWgjbB0gVlqn-q5LMJbGIsqOrzru4yowQz67dz2yc"", ""'MTY'!D3:D139""),0))"),3677529115.07)</f>
        <v>3677529115.0700002</v>
      </c>
      <c r="AC101" s="2"/>
    </row>
    <row r="102" spans="1:29">
      <c r="A102" s="9" t="s">
        <v>275</v>
      </c>
      <c r="B102" s="9" t="s">
        <v>276</v>
      </c>
      <c r="C102" s="2" t="s">
        <v>30</v>
      </c>
      <c r="D102" s="149" t="s">
        <v>280</v>
      </c>
      <c r="E102" s="9" t="s">
        <v>278</v>
      </c>
      <c r="F102" s="9" t="s">
        <v>281</v>
      </c>
      <c r="G102" s="9" t="s">
        <v>213</v>
      </c>
      <c r="H102" s="2" t="s">
        <v>214</v>
      </c>
      <c r="I102" s="9" t="s">
        <v>215</v>
      </c>
      <c r="J102" s="4"/>
      <c r="K102" s="9" t="s">
        <v>216</v>
      </c>
      <c r="L102" s="4"/>
      <c r="M102" s="9" t="s">
        <v>217</v>
      </c>
      <c r="N102" s="2" t="s">
        <v>218</v>
      </c>
      <c r="O102" s="2" t="s">
        <v>218</v>
      </c>
      <c r="P102" s="36">
        <v>6868671716.9499998</v>
      </c>
      <c r="Q102" s="36">
        <v>6868671716.9499998</v>
      </c>
      <c r="R102" s="4"/>
      <c r="S102" s="4"/>
      <c r="T102" s="4"/>
      <c r="U102" s="4"/>
      <c r="V102" s="4"/>
      <c r="W102" s="4"/>
      <c r="X102" s="36">
        <v>6868671716.9499998</v>
      </c>
      <c r="Y102" s="476" t="str">
        <f ca="1">IFERROR(__xludf.DUMMYFUNCTION("INDEX(IMPORTRANGE(""1y0FWgjbB0gVlqn-q5LMJbGIsqOrzru4yowQz67dz2yc"", ""'MTY'!BG3:BG139""),MATCH($D102,IMPORTRANGE(""1y0FWgjbB0gVlqn-q5LMJbGIsqOrzru4yowQz67dz2yc"", ""'MTY'!D3:D139""),0))"),"")</f>
        <v/>
      </c>
      <c r="Z102" s="36">
        <f ca="1">IFERROR(__xludf.DUMMYFUNCTION("INDEX(IMPORTRANGE(""1y0FWgjbB0gVlqn-q5LMJbGIsqOrzru4yowQz67dz2yc"", ""'MTY'!BH3:BH139""),MATCH($D102,IMPORTRANGE(""1y0FWgjbB0gVlqn-q5LMJbGIsqOrzru4yowQz67dz2yc"", ""'MTY'!D3:D139""),0))"),8222789935)</f>
        <v>8222789935</v>
      </c>
      <c r="AA102" s="476" t="str">
        <f ca="1">IFERROR(__xludf.DUMMYFUNCTION("INDEX(IMPORTRANGE(""1y0FWgjbB0gVlqn-q5LMJbGIsqOrzru4yowQz67dz2yc"", ""'MTY'!BI3:BI139""),MATCH($D102,IMPORTRANGE(""1y0FWgjbB0gVlqn-q5LMJbGIsqOrzru4yowQz67dz2yc"", ""'MTY'!D3:D139""),0))"),"")</f>
        <v/>
      </c>
      <c r="AB102" s="36">
        <f ca="1">IFERROR(__xludf.DUMMYFUNCTION("INDEX(IMPORTRANGE(""1y0FWgjbB0gVlqn-q5LMJbGIsqOrzru4yowQz67dz2yc"", ""'MTY'!BJ3:BJ139""),MATCH($D102,IMPORTRANGE(""1y0FWgjbB0gVlqn-q5LMJbGIsqOrzru4yowQz67dz2yc"", ""'MTY'!D3:D139""),0))"),9476934093.05)</f>
        <v>9476934093.0499992</v>
      </c>
      <c r="AC102" s="2"/>
    </row>
    <row r="103" spans="1:29">
      <c r="A103" s="9" t="s">
        <v>275</v>
      </c>
      <c r="B103" s="9" t="s">
        <v>276</v>
      </c>
      <c r="C103" s="2" t="s">
        <v>36</v>
      </c>
      <c r="D103" s="149" t="s">
        <v>282</v>
      </c>
      <c r="E103" s="9" t="s">
        <v>278</v>
      </c>
      <c r="F103" s="9" t="s">
        <v>283</v>
      </c>
      <c r="G103" s="9" t="s">
        <v>213</v>
      </c>
      <c r="H103" s="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2">P101/P102</f>
        <v>0.4485853423037352</v>
      </c>
      <c r="Q103" s="15">
        <f t="shared" si="22"/>
        <v>0.4485853423037352</v>
      </c>
      <c r="R103" s="26"/>
      <c r="S103" s="15">
        <v>0.45900000000000002</v>
      </c>
      <c r="T103" s="15"/>
      <c r="U103" s="15">
        <v>0.46899999999999997</v>
      </c>
      <c r="V103" s="15">
        <v>0.46899999999999997</v>
      </c>
      <c r="W103" s="15">
        <v>0.46899999999999997</v>
      </c>
      <c r="X103" s="15">
        <f>X101/X102</f>
        <v>0.4485853423037352</v>
      </c>
      <c r="Y103" s="476" t="str">
        <f ca="1">IFERROR(__xludf.DUMMYFUNCTION("INDEX(IMPORTRANGE(""1y0FWgjbB0gVlqn-q5LMJbGIsqOrzru4yowQz67dz2yc"", ""'MTY'!BG3:BG139""),MATCH($D103,IMPORTRANGE(""1y0FWgjbB0gVlqn-q5LMJbGIsqOrzru4yowQz67dz2yc"", ""'MTY'!D3:D139""),0))"),"")</f>
        <v/>
      </c>
      <c r="Z103" s="15">
        <f ca="1">IFERROR(__xludf.DUMMYFUNCTION("INDEX(IMPORTRANGE(""1y0FWgjbB0gVlqn-q5LMJbGIsqOrzru4yowQz67dz2yc"", ""'MTY'!BH3:BH139""),MATCH($D103,IMPORTRANGE(""1y0FWgjbB0gVlqn-q5LMJbGIsqOrzru4yowQz67dz2yc"", ""'MTY'!D3:D139""),0))"),0.430527318683108)</f>
        <v>0.43052731868310801</v>
      </c>
      <c r="AA103" s="476" t="str">
        <f ca="1">IFERROR(__xludf.DUMMYFUNCTION("INDEX(IMPORTRANGE(""1y0FWgjbB0gVlqn-q5LMJbGIsqOrzru4yowQz67dz2yc"", ""'MTY'!BI3:BI139""),MATCH($D103,IMPORTRANGE(""1y0FWgjbB0gVlqn-q5LMJbGIsqOrzru4yowQz67dz2yc"", ""'MTY'!D3:D139""),0))"),"")</f>
        <v/>
      </c>
      <c r="AB103" s="15">
        <f ca="1">IFERROR(__xludf.DUMMYFUNCTION("INDEX(IMPORTRANGE(""1y0FWgjbB0gVlqn-q5LMJbGIsqOrzru4yowQz67dz2yc"", ""'MTY'!BJ3:BJ139""),MATCH($D103,IMPORTRANGE(""1y0FWgjbB0gVlqn-q5LMJbGIsqOrzru4yowQz67dz2yc"", ""'MTY'!D3:D139""),0))"),0.388050510741332)</f>
        <v>0.38805051074133201</v>
      </c>
      <c r="AC103" s="2"/>
    </row>
    <row r="104" spans="1:29">
      <c r="A104" s="9" t="s">
        <v>275</v>
      </c>
      <c r="B104" s="9" t="s">
        <v>284</v>
      </c>
      <c r="C104" s="2" t="s">
        <v>30</v>
      </c>
      <c r="D104" s="149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9" t="s">
        <v>215</v>
      </c>
      <c r="J104" s="4"/>
      <c r="K104" s="9" t="s">
        <v>216</v>
      </c>
      <c r="L104" s="4"/>
      <c r="M104" s="9" t="s">
        <v>217</v>
      </c>
      <c r="N104" s="2" t="s">
        <v>218</v>
      </c>
      <c r="O104" s="2" t="s">
        <v>218</v>
      </c>
      <c r="P104" s="50">
        <v>5072924918.2700005</v>
      </c>
      <c r="Q104" s="50">
        <v>5072924918.2700005</v>
      </c>
      <c r="R104" s="178"/>
      <c r="S104" s="178"/>
      <c r="T104" s="178"/>
      <c r="U104" s="178"/>
      <c r="V104" s="178"/>
      <c r="W104" s="178"/>
      <c r="X104" s="50">
        <v>5072924918.2700005</v>
      </c>
      <c r="Y104" s="476" t="str">
        <f ca="1">IFERROR(__xludf.DUMMYFUNCTION("INDEX(IMPORTRANGE(""1y0FWgjbB0gVlqn-q5LMJbGIsqOrzru4yowQz67dz2yc"", ""'MTY'!BG3:BG139""),MATCH($D104,IMPORTRANGE(""1y0FWgjbB0gVlqn-q5LMJbGIsqOrzru4yowQz67dz2yc"", ""'MTY'!D3:D139""),0))"),"")</f>
        <v/>
      </c>
      <c r="Z104" s="50">
        <f ca="1">IFERROR(__xludf.DUMMYFUNCTION("INDEX(IMPORTRANGE(""1y0FWgjbB0gVlqn-q5LMJbGIsqOrzru4yowQz67dz2yc"", ""'MTY'!BH3:BH139""),MATCH($D104,IMPORTRANGE(""1y0FWgjbB0gVlqn-q5LMJbGIsqOrzru4yowQz67dz2yc"", ""'MTY'!D3:D139""),0))"),5361668150.05)</f>
        <v>5361668150.0500002</v>
      </c>
      <c r="AA104" s="476" t="str">
        <f ca="1">IFERROR(__xludf.DUMMYFUNCTION("INDEX(IMPORTRANGE(""1y0FWgjbB0gVlqn-q5LMJbGIsqOrzru4yowQz67dz2yc"", ""'MTY'!BI3:BI139""),MATCH($D104,IMPORTRANGE(""1y0FWgjbB0gVlqn-q5LMJbGIsqOrzru4yowQz67dz2yc"", ""'MTY'!D3:D139""),0))"),"")</f>
        <v/>
      </c>
      <c r="AB104" s="50">
        <f ca="1">IFERROR(__xludf.DUMMYFUNCTION("INDEX(IMPORTRANGE(""1y0FWgjbB0gVlqn-q5LMJbGIsqOrzru4yowQz67dz2yc"", ""'MTY'!BJ3:BJ139""),MATCH($D104,IMPORTRANGE(""1y0FWgjbB0gVlqn-q5LMJbGIsqOrzru4yowQz67dz2yc"", ""'MTY'!D3:D139""),0))"),6559834473.03)</f>
        <v>6559834473.0299997</v>
      </c>
      <c r="AC104" s="2"/>
    </row>
    <row r="105" spans="1:29">
      <c r="A105" s="9" t="s">
        <v>275</v>
      </c>
      <c r="B105" s="9" t="s">
        <v>276</v>
      </c>
      <c r="C105" s="2" t="s">
        <v>36</v>
      </c>
      <c r="D105" s="149" t="s">
        <v>287</v>
      </c>
      <c r="E105" s="9" t="s">
        <v>278</v>
      </c>
      <c r="F105" s="9" t="s">
        <v>288</v>
      </c>
      <c r="G105" s="9" t="s">
        <v>213</v>
      </c>
      <c r="H105" s="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5">
        <f t="shared" ref="P105:Q105" si="23">P101/P104</f>
        <v>0.60737848538289907</v>
      </c>
      <c r="Q105" s="15">
        <f t="shared" si="23"/>
        <v>0.60737848538289907</v>
      </c>
      <c r="R105" s="26"/>
      <c r="S105" s="15">
        <v>0.61</v>
      </c>
      <c r="T105" s="15"/>
      <c r="U105" s="15">
        <v>0.62</v>
      </c>
      <c r="V105" s="15">
        <v>0.62</v>
      </c>
      <c r="W105" s="15">
        <v>0.62</v>
      </c>
      <c r="X105" s="15">
        <f>X101/X104</f>
        <v>0.60737848538289907</v>
      </c>
      <c r="Y105" s="476" t="str">
        <f ca="1">IFERROR(__xludf.DUMMYFUNCTION("INDEX(IMPORTRANGE(""1y0FWgjbB0gVlqn-q5LMJbGIsqOrzru4yowQz67dz2yc"", ""'MTY'!BG3:BG139""),MATCH($D105,IMPORTRANGE(""1y0FWgjbB0gVlqn-q5LMJbGIsqOrzru4yowQz67dz2yc"", ""'MTY'!D3:D139""),0))"),"")</f>
        <v/>
      </c>
      <c r="Z105" s="15">
        <f ca="1">IFERROR(__xludf.DUMMYFUNCTION("INDEX(IMPORTRANGE(""1y0FWgjbB0gVlqn-q5LMJbGIsqOrzru4yowQz67dz2yc"", ""'MTY'!BH3:BH139""),MATCH($D105,IMPORTRANGE(""1y0FWgjbB0gVlqn-q5LMJbGIsqOrzru4yowQz67dz2yc"", ""'MTY'!D3:D139""),0))"),0.660267589066844)</f>
        <v>0.66026758906684402</v>
      </c>
      <c r="AA105" s="476" t="str">
        <f ca="1">IFERROR(__xludf.DUMMYFUNCTION("INDEX(IMPORTRANGE(""1y0FWgjbB0gVlqn-q5LMJbGIsqOrzru4yowQz67dz2yc"", ""'MTY'!BI3:BI139""),MATCH($D105,IMPORTRANGE(""1y0FWgjbB0gVlqn-q5LMJbGIsqOrzru4yowQz67dz2yc"", ""'MTY'!D3:D139""),0))"),"")</f>
        <v/>
      </c>
      <c r="AB105" s="15">
        <f ca="1">IFERROR(__xludf.DUMMYFUNCTION("INDEX(IMPORTRANGE(""1y0FWgjbB0gVlqn-q5LMJbGIsqOrzru4yowQz67dz2yc"", ""'MTY'!BJ3:BJ139""),MATCH($D105,IMPORTRANGE(""1y0FWgjbB0gVlqn-q5LMJbGIsqOrzru4yowQz67dz2yc"", ""'MTY'!D3:D139""),0))"),0.560613096289203)</f>
        <v>0.56061309628920297</v>
      </c>
      <c r="AC105" s="2"/>
    </row>
    <row r="106" spans="1:29">
      <c r="A106" s="9" t="s">
        <v>275</v>
      </c>
      <c r="B106" s="9" t="s">
        <v>276</v>
      </c>
      <c r="C106" s="2" t="s">
        <v>30</v>
      </c>
      <c r="D106" s="149" t="s">
        <v>289</v>
      </c>
      <c r="E106" s="9" t="s">
        <v>38</v>
      </c>
      <c r="F106" s="9" t="s">
        <v>112</v>
      </c>
      <c r="G106" s="9" t="s">
        <v>254</v>
      </c>
      <c r="H106" s="9" t="s">
        <v>254</v>
      </c>
      <c r="I106" s="9" t="s">
        <v>254</v>
      </c>
      <c r="J106" s="4"/>
      <c r="K106" s="9" t="s">
        <v>255</v>
      </c>
      <c r="L106" s="4"/>
      <c r="M106" s="9" t="s">
        <v>256</v>
      </c>
      <c r="N106" s="49">
        <v>45536</v>
      </c>
      <c r="O106" s="2" t="s">
        <v>218</v>
      </c>
      <c r="P106" s="12">
        <v>426298</v>
      </c>
      <c r="Q106" s="12">
        <v>426298</v>
      </c>
      <c r="R106" s="6"/>
      <c r="S106" s="6"/>
      <c r="T106" s="6"/>
      <c r="U106" s="6"/>
      <c r="V106" s="6"/>
      <c r="W106" s="6"/>
      <c r="X106" s="12">
        <v>426298</v>
      </c>
      <c r="Y106" s="476" t="str">
        <f ca="1">IFERROR(__xludf.DUMMYFUNCTION("INDEX(IMPORTRANGE(""1y0FWgjbB0gVlqn-q5LMJbGIsqOrzru4yowQz67dz2yc"", ""'MTY'!BG3:BG139""),MATCH($D106,IMPORTRANGE(""1y0FWgjbB0gVlqn-q5LMJbGIsqOrzru4yowQz67dz2yc"", ""'MTY'!D3:D139""),0))"),"")</f>
        <v/>
      </c>
      <c r="Z106" s="12">
        <f ca="1">IFERROR(__xludf.DUMMYFUNCTION("INDEX(IMPORTRANGE(""1y0FWgjbB0gVlqn-q5LMJbGIsqOrzru4yowQz67dz2yc"", ""'MTY'!BH3:BH139""),MATCH($D106,IMPORTRANGE(""1y0FWgjbB0gVlqn-q5LMJbGIsqOrzru4yowQz67dz2yc"", ""'MTY'!D3:D139""),0))"),432349)</f>
        <v>432349</v>
      </c>
      <c r="AA106" s="476" t="str">
        <f ca="1">IFERROR(__xludf.DUMMYFUNCTION("INDEX(IMPORTRANGE(""1y0FWgjbB0gVlqn-q5LMJbGIsqOrzru4yowQz67dz2yc"", ""'MTY'!BI3:BI139""),MATCH($D106,IMPORTRANGE(""1y0FWgjbB0gVlqn-q5LMJbGIsqOrzru4yowQz67dz2yc"", ""'MTY'!D3:D139""),0))"),"")</f>
        <v/>
      </c>
      <c r="AB106" s="12">
        <f ca="1">IFERROR(__xludf.DUMMYFUNCTION("INDEX(IMPORTRANGE(""1y0FWgjbB0gVlqn-q5LMJbGIsqOrzru4yowQz67dz2yc"", ""'MTY'!BJ3:BJ139""),MATCH($D106,IMPORTRANGE(""1y0FWgjbB0gVlqn-q5LMJbGIsqOrzru4yowQz67dz2yc"", ""'MTY'!D3:D139""),0))"),436472)</f>
        <v>436472</v>
      </c>
      <c r="AC106" s="2"/>
    </row>
    <row r="107" spans="1:29">
      <c r="A107" s="9" t="s">
        <v>275</v>
      </c>
      <c r="B107" s="9" t="s">
        <v>276</v>
      </c>
      <c r="C107" s="2" t="s">
        <v>30</v>
      </c>
      <c r="D107" s="149" t="s">
        <v>290</v>
      </c>
      <c r="E107" s="9" t="s">
        <v>38</v>
      </c>
      <c r="F107" s="9" t="s">
        <v>291</v>
      </c>
      <c r="G107" s="9" t="s">
        <v>213</v>
      </c>
      <c r="H107" s="2" t="s">
        <v>214</v>
      </c>
      <c r="I107" s="9" t="s">
        <v>215</v>
      </c>
      <c r="J107" s="4"/>
      <c r="K107" s="9" t="s">
        <v>216</v>
      </c>
      <c r="L107" s="4"/>
      <c r="M107" s="9" t="s">
        <v>217</v>
      </c>
      <c r="N107" s="2" t="s">
        <v>218</v>
      </c>
      <c r="O107" s="2" t="s">
        <v>218</v>
      </c>
      <c r="P107" s="12">
        <v>276910</v>
      </c>
      <c r="Q107" s="12">
        <v>276910</v>
      </c>
      <c r="R107" s="30"/>
      <c r="S107" s="30"/>
      <c r="T107" s="30"/>
      <c r="U107" s="30"/>
      <c r="V107" s="30"/>
      <c r="W107" s="30"/>
      <c r="X107" s="12">
        <v>276910</v>
      </c>
      <c r="Y107" s="476" t="str">
        <f ca="1">IFERROR(__xludf.DUMMYFUNCTION("INDEX(IMPORTRANGE(""1y0FWgjbB0gVlqn-q5LMJbGIsqOrzru4yowQz67dz2yc"", ""'MTY'!BG3:BG139""),MATCH($D107,IMPORTRANGE(""1y0FWgjbB0gVlqn-q5LMJbGIsqOrzru4yowQz67dz2yc"", ""'MTY'!D3:D139""),0))"),"")</f>
        <v/>
      </c>
      <c r="Z107" s="12">
        <f ca="1">IFERROR(__xludf.DUMMYFUNCTION("INDEX(IMPORTRANGE(""1y0FWgjbB0gVlqn-q5LMJbGIsqOrzru4yowQz67dz2yc"", ""'MTY'!BH3:BH139""),MATCH($D107,IMPORTRANGE(""1y0FWgjbB0gVlqn-q5LMJbGIsqOrzru4yowQz67dz2yc"", ""'MTY'!D3:D139""),0))"),276172)</f>
        <v>276172</v>
      </c>
      <c r="AA107" s="476" t="str">
        <f ca="1">IFERROR(__xludf.DUMMYFUNCTION("INDEX(IMPORTRANGE(""1y0FWgjbB0gVlqn-q5LMJbGIsqOrzru4yowQz67dz2yc"", ""'MTY'!BI3:BI139""),MATCH($D107,IMPORTRANGE(""1y0FWgjbB0gVlqn-q5LMJbGIsqOrzru4yowQz67dz2yc"", ""'MTY'!D3:D139""),0))"),"")</f>
        <v/>
      </c>
      <c r="AB107" s="12">
        <f ca="1">IFERROR(__xludf.DUMMYFUNCTION("INDEX(IMPORTRANGE(""1y0FWgjbB0gVlqn-q5LMJbGIsqOrzru4yowQz67dz2yc"", ""'MTY'!BJ3:BJ139""),MATCH($D107,IMPORTRANGE(""1y0FWgjbB0gVlqn-q5LMJbGIsqOrzru4yowQz67dz2yc"", ""'MTY'!D3:D139""),0))"),274322)</f>
        <v>274322</v>
      </c>
      <c r="AC107" s="2"/>
    </row>
    <row r="108" spans="1:29">
      <c r="A108" s="9" t="s">
        <v>275</v>
      </c>
      <c r="B108" s="9" t="s">
        <v>276</v>
      </c>
      <c r="C108" s="2" t="s">
        <v>36</v>
      </c>
      <c r="D108" s="149" t="s">
        <v>292</v>
      </c>
      <c r="E108" s="9" t="s">
        <v>38</v>
      </c>
      <c r="F108" s="9" t="s">
        <v>293</v>
      </c>
      <c r="G108" s="9" t="s">
        <v>213</v>
      </c>
      <c r="H108" s="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15">
        <f t="shared" ref="P108:Q108" si="24">P107/P106</f>
        <v>0.64956908078386477</v>
      </c>
      <c r="Q108" s="15">
        <f t="shared" si="24"/>
        <v>0.64956908078386477</v>
      </c>
      <c r="R108" s="26"/>
      <c r="S108" s="15">
        <v>0.65</v>
      </c>
      <c r="T108" s="15"/>
      <c r="U108" s="15">
        <v>0.66</v>
      </c>
      <c r="V108" s="15">
        <v>0.61</v>
      </c>
      <c r="W108" s="15">
        <v>0.61</v>
      </c>
      <c r="X108" s="15">
        <f>X107/X106</f>
        <v>0.64956908078386477</v>
      </c>
      <c r="Y108" s="476" t="str">
        <f ca="1">IFERROR(__xludf.DUMMYFUNCTION("INDEX(IMPORTRANGE(""1y0FWgjbB0gVlqn-q5LMJbGIsqOrzru4yowQz67dz2yc"", ""'MTY'!BG3:BG139""),MATCH($D108,IMPORTRANGE(""1y0FWgjbB0gVlqn-q5LMJbGIsqOrzru4yowQz67dz2yc"", ""'MTY'!D3:D139""),0))"),"")</f>
        <v/>
      </c>
      <c r="Z108" s="15">
        <f ca="1">IFERROR(__xludf.DUMMYFUNCTION("INDEX(IMPORTRANGE(""1y0FWgjbB0gVlqn-q5LMJbGIsqOrzru4yowQz67dz2yc"", ""'MTY'!BH3:BH139""),MATCH($D108,IMPORTRANGE(""1y0FWgjbB0gVlqn-q5LMJbGIsqOrzru4yowQz67dz2yc"", ""'MTY'!D3:D139""),0))"),0.638770992878438)</f>
        <v>0.63877099287843797</v>
      </c>
      <c r="AA108" s="476" t="str">
        <f ca="1">IFERROR(__xludf.DUMMYFUNCTION("INDEX(IMPORTRANGE(""1y0FWgjbB0gVlqn-q5LMJbGIsqOrzru4yowQz67dz2yc"", ""'MTY'!BI3:BI139""),MATCH($D108,IMPORTRANGE(""1y0FWgjbB0gVlqn-q5LMJbGIsqOrzru4yowQz67dz2yc"", ""'MTY'!D3:D139""),0))"),"")</f>
        <v/>
      </c>
      <c r="AB108" s="15">
        <f ca="1">IFERROR(__xludf.DUMMYFUNCTION("INDEX(IMPORTRANGE(""1y0FWgjbB0gVlqn-q5LMJbGIsqOrzru4yowQz67dz2yc"", ""'MTY'!BJ3:BJ139""),MATCH($D108,IMPORTRANGE(""1y0FWgjbB0gVlqn-q5LMJbGIsqOrzru4yowQz67dz2yc"", ""'MTY'!D3:D139""),0))"),0.628498506204292)</f>
        <v>0.62849850620429204</v>
      </c>
      <c r="AC108" s="2"/>
    </row>
    <row r="109" spans="1:29">
      <c r="A109" s="9" t="s">
        <v>275</v>
      </c>
      <c r="B109" s="9" t="s">
        <v>276</v>
      </c>
      <c r="C109" s="9" t="s">
        <v>30</v>
      </c>
      <c r="D109" s="149" t="s">
        <v>294</v>
      </c>
      <c r="E109" s="9" t="s">
        <v>38</v>
      </c>
      <c r="F109" s="9" t="s">
        <v>295</v>
      </c>
      <c r="G109" s="9" t="s">
        <v>213</v>
      </c>
      <c r="H109" s="2" t="s">
        <v>214</v>
      </c>
      <c r="I109" s="9" t="s">
        <v>215</v>
      </c>
      <c r="J109" s="4"/>
      <c r="K109" s="9" t="s">
        <v>216</v>
      </c>
      <c r="L109" s="4"/>
      <c r="M109" s="9" t="s">
        <v>217</v>
      </c>
      <c r="N109" s="2" t="s">
        <v>218</v>
      </c>
      <c r="O109" s="2" t="s">
        <v>218</v>
      </c>
      <c r="P109" s="36"/>
      <c r="Q109" s="36"/>
      <c r="R109" s="36"/>
      <c r="S109" s="36"/>
      <c r="T109" s="36"/>
      <c r="U109" s="36"/>
      <c r="V109" s="36"/>
      <c r="W109" s="36"/>
      <c r="X109" s="36"/>
      <c r="Y109" s="476" t="str">
        <f ca="1">IFERROR(__xludf.DUMMYFUNCTION("INDEX(IMPORTRANGE(""1y0FWgjbB0gVlqn-q5LMJbGIsqOrzru4yowQz67dz2yc"", ""'MTY'!BG3:BG139""),MATCH($D109,IMPORTRANGE(""1y0FWgjbB0gVlqn-q5LMJbGIsqOrzru4yowQz67dz2yc"", ""'MTY'!D3:D139""),0))"),"")</f>
        <v/>
      </c>
      <c r="Z109" s="36">
        <f ca="1">IFERROR(__xludf.DUMMYFUNCTION("INDEX(IMPORTRANGE(""1y0FWgjbB0gVlqn-q5LMJbGIsqOrzru4yowQz67dz2yc"", ""'MTY'!BH3:BH139""),MATCH($D109,IMPORTRANGE(""1y0FWgjbB0gVlqn-q5LMJbGIsqOrzru4yowQz67dz2yc"", ""'MTY'!D3:D139""),0))"),1437821747.75999)</f>
        <v>1437821747.75999</v>
      </c>
      <c r="AA109" s="476" t="str">
        <f ca="1">IFERROR(__xludf.DUMMYFUNCTION("INDEX(IMPORTRANGE(""1y0FWgjbB0gVlqn-q5LMJbGIsqOrzru4yowQz67dz2yc"", ""'MTY'!BI3:BI139""),MATCH($D109,IMPORTRANGE(""1y0FWgjbB0gVlqn-q5LMJbGIsqOrzru4yowQz67dz2yc"", ""'MTY'!D3:D139""),0))"),"")</f>
        <v/>
      </c>
      <c r="AB109" s="36">
        <f ca="1">IFERROR(__xludf.DUMMYFUNCTION("INDEX(IMPORTRANGE(""1y0FWgjbB0gVlqn-q5LMJbGIsqOrzru4yowQz67dz2yc"", ""'MTY'!BJ3:BJ139""),MATCH($D109,IMPORTRANGE(""1y0FWgjbB0gVlqn-q5LMJbGIsqOrzru4yowQz67dz2yc"", ""'MTY'!D3:D139""),0))"),1490261010.66)</f>
        <v>1490261010.6600001</v>
      </c>
      <c r="AC109" s="2"/>
    </row>
    <row r="110" spans="1:29">
      <c r="A110" s="9" t="s">
        <v>275</v>
      </c>
      <c r="B110" s="9" t="s">
        <v>276</v>
      </c>
      <c r="C110" s="9" t="s">
        <v>36</v>
      </c>
      <c r="D110" s="149" t="s">
        <v>296</v>
      </c>
      <c r="E110" s="9" t="s">
        <v>38</v>
      </c>
      <c r="F110" s="9" t="s">
        <v>297</v>
      </c>
      <c r="G110" s="9" t="s">
        <v>213</v>
      </c>
      <c r="H110" s="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36">
        <v>1379390367.3499999</v>
      </c>
      <c r="Q110" s="36">
        <v>1379390367.3499999</v>
      </c>
      <c r="R110" s="36"/>
      <c r="S110" s="36">
        <v>1480000000</v>
      </c>
      <c r="T110" s="36"/>
      <c r="U110" s="36">
        <v>1480000000</v>
      </c>
      <c r="V110" s="36">
        <v>1455000000</v>
      </c>
      <c r="W110" s="36">
        <v>1455000000</v>
      </c>
      <c r="X110" s="36">
        <v>1379390367.3499999</v>
      </c>
      <c r="Y110" s="476" t="str">
        <f ca="1">IFERROR(__xludf.DUMMYFUNCTION("INDEX(IMPORTRANGE(""1y0FWgjbB0gVlqn-q5LMJbGIsqOrzru4yowQz67dz2yc"", ""'MTY'!BG3:BG139""),MATCH($D110,IMPORTRANGE(""1y0FWgjbB0gVlqn-q5LMJbGIsqOrzru4yowQz67dz2yc"", ""'MTY'!D3:D139""),0))"),"")</f>
        <v/>
      </c>
      <c r="Z110" s="36">
        <f ca="1">IFERROR(__xludf.DUMMYFUNCTION("INDEX(IMPORTRANGE(""1y0FWgjbB0gVlqn-q5LMJbGIsqOrzru4yowQz67dz2yc"", ""'MTY'!BH3:BH139""),MATCH($D110,IMPORTRANGE(""1y0FWgjbB0gVlqn-q5LMJbGIsqOrzru4yowQz67dz2yc"", ""'MTY'!D3:D139""),0))"),1540788108.32)</f>
        <v>1540788108.3199999</v>
      </c>
      <c r="AA110" s="476" t="str">
        <f ca="1">IFERROR(__xludf.DUMMYFUNCTION("INDEX(IMPORTRANGE(""1y0FWgjbB0gVlqn-q5LMJbGIsqOrzru4yowQz67dz2yc"", ""'MTY'!BI3:BI139""),MATCH($D110,IMPORTRANGE(""1y0FWgjbB0gVlqn-q5LMJbGIsqOrzru4yowQz67dz2yc"", ""'MTY'!D3:D139""),0))"),"")</f>
        <v/>
      </c>
      <c r="AB110" s="36">
        <f ca="1">IFERROR(__xludf.DUMMYFUNCTION("INDEX(IMPORTRANGE(""1y0FWgjbB0gVlqn-q5LMJbGIsqOrzru4yowQz67dz2yc"", ""'MTY'!BJ3:BJ139""),MATCH($D110,IMPORTRANGE(""1y0FWgjbB0gVlqn-q5LMJbGIsqOrzru4yowQz67dz2yc"", ""'MTY'!D3:D139""),0))"),1561488791.52999)</f>
        <v>1561488791.52999</v>
      </c>
      <c r="AC110" s="2"/>
    </row>
    <row r="111" spans="1:29">
      <c r="A111" s="9" t="s">
        <v>275</v>
      </c>
      <c r="B111" s="9" t="s">
        <v>298</v>
      </c>
      <c r="C111" s="2" t="s">
        <v>30</v>
      </c>
      <c r="D111" s="149" t="s">
        <v>299</v>
      </c>
      <c r="E111" s="9" t="s">
        <v>278</v>
      </c>
      <c r="F111" s="9" t="s">
        <v>300</v>
      </c>
      <c r="G111" s="9" t="s">
        <v>213</v>
      </c>
      <c r="H111" s="2" t="s">
        <v>214</v>
      </c>
      <c r="I111" s="9" t="s">
        <v>215</v>
      </c>
      <c r="J111" s="4"/>
      <c r="K111" s="9" t="s">
        <v>216</v>
      </c>
      <c r="L111" s="4"/>
      <c r="M111" s="9" t="s">
        <v>217</v>
      </c>
      <c r="N111" s="2" t="s">
        <v>218</v>
      </c>
      <c r="O111" s="2" t="s">
        <v>218</v>
      </c>
      <c r="P111" s="36">
        <v>7008731456.6499996</v>
      </c>
      <c r="Q111" s="36">
        <v>7008731456.6499996</v>
      </c>
      <c r="R111" s="178"/>
      <c r="S111" s="178"/>
      <c r="T111" s="178"/>
      <c r="U111" s="178"/>
      <c r="V111" s="178"/>
      <c r="W111" s="178"/>
      <c r="X111" s="36">
        <v>7008731456.6499996</v>
      </c>
      <c r="Y111" s="476" t="str">
        <f ca="1">IFERROR(__xludf.DUMMYFUNCTION("INDEX(IMPORTRANGE(""1y0FWgjbB0gVlqn-q5LMJbGIsqOrzru4yowQz67dz2yc"", ""'MTY'!BG3:BG139""),MATCH($D111,IMPORTRANGE(""1y0FWgjbB0gVlqn-q5LMJbGIsqOrzru4yowQz67dz2yc"", ""'MTY'!D3:D139""),0))"),"")</f>
        <v/>
      </c>
      <c r="Z111" s="36">
        <f ca="1">IFERROR(__xludf.DUMMYFUNCTION("INDEX(IMPORTRANGE(""1y0FWgjbB0gVlqn-q5LMJbGIsqOrzru4yowQz67dz2yc"", ""'MTY'!BH3:BH139""),MATCH($D111,IMPORTRANGE(""1y0FWgjbB0gVlqn-q5LMJbGIsqOrzru4yowQz67dz2yc"", ""'MTY'!D3:D139""),0))"),7869734755.85)</f>
        <v>7869734755.8500004</v>
      </c>
      <c r="AA111" s="476" t="str">
        <f ca="1">IFERROR(__xludf.DUMMYFUNCTION("INDEX(IMPORTRANGE(""1y0FWgjbB0gVlqn-q5LMJbGIsqOrzru4yowQz67dz2yc"", ""'MTY'!BI3:BI139""),MATCH($D111,IMPORTRANGE(""1y0FWgjbB0gVlqn-q5LMJbGIsqOrzru4yowQz67dz2yc"", ""'MTY'!D3:D139""),0))"),"")</f>
        <v/>
      </c>
      <c r="AB111" s="36">
        <f ca="1">IFERROR(__xludf.DUMMYFUNCTION("INDEX(IMPORTRANGE(""1y0FWgjbB0gVlqn-q5LMJbGIsqOrzru4yowQz67dz2yc"", ""'MTY'!BJ3:BJ139""),MATCH($D111,IMPORTRANGE(""1y0FWgjbB0gVlqn-q5LMJbGIsqOrzru4yowQz67dz2yc"", ""'MTY'!D3:D139""),0))"),9488524234.56)</f>
        <v>9488524234.5599995</v>
      </c>
      <c r="AC111" s="2"/>
    </row>
    <row r="112" spans="1:29">
      <c r="A112" s="9" t="s">
        <v>275</v>
      </c>
      <c r="B112" s="9" t="s">
        <v>298</v>
      </c>
      <c r="C112" s="2" t="s">
        <v>36</v>
      </c>
      <c r="D112" s="149" t="s">
        <v>301</v>
      </c>
      <c r="E112" s="9" t="s">
        <v>278</v>
      </c>
      <c r="F112" s="9" t="s">
        <v>302</v>
      </c>
      <c r="G112" s="9" t="s">
        <v>213</v>
      </c>
      <c r="H112" s="2" t="s">
        <v>214</v>
      </c>
      <c r="I112" s="9" t="s">
        <v>215</v>
      </c>
      <c r="J112" s="4"/>
      <c r="K112" s="9" t="s">
        <v>216</v>
      </c>
      <c r="L112" s="4"/>
      <c r="M112" s="9" t="s">
        <v>217</v>
      </c>
      <c r="N112" s="2" t="s">
        <v>218</v>
      </c>
      <c r="O112" s="2" t="s">
        <v>218</v>
      </c>
      <c r="P112" s="15">
        <f t="shared" ref="P112:Q112" si="25">P104/P111</f>
        <v>0.72380072622938429</v>
      </c>
      <c r="Q112" s="15">
        <f t="shared" si="25"/>
        <v>0.72380072622938429</v>
      </c>
      <c r="R112" s="26"/>
      <c r="S112" s="26">
        <v>0.72</v>
      </c>
      <c r="T112" s="26"/>
      <c r="U112" s="26">
        <v>0.71499999999999997</v>
      </c>
      <c r="V112" s="15">
        <v>0.71</v>
      </c>
      <c r="W112" s="15">
        <v>0.71</v>
      </c>
      <c r="X112" s="15">
        <f>X104/X111</f>
        <v>0.72380072622938429</v>
      </c>
      <c r="Y112" s="476" t="str">
        <f ca="1">IFERROR(__xludf.DUMMYFUNCTION("INDEX(IMPORTRANGE(""1y0FWgjbB0gVlqn-q5LMJbGIsqOrzru4yowQz67dz2yc"", ""'MTY'!BG3:BG139""),MATCH($D112,IMPORTRANGE(""1y0FWgjbB0gVlqn-q5LMJbGIsqOrzru4yowQz67dz2yc"", ""'MTY'!D3:D139""),0))"),"")</f>
        <v/>
      </c>
      <c r="Z112" s="15">
        <f ca="1">IFERROR(__xludf.DUMMYFUNCTION("INDEX(IMPORTRANGE(""1y0FWgjbB0gVlqn-q5LMJbGIsqOrzru4yowQz67dz2yc"", ""'MTY'!BH3:BH139""),MATCH($D112,IMPORTRANGE(""1y0FWgjbB0gVlqn-q5LMJbGIsqOrzru4yowQz67dz2yc"", ""'MTY'!D3:D139""),0))"),0.681302269566884)</f>
        <v>0.681302269566884</v>
      </c>
      <c r="AA112" s="476" t="str">
        <f ca="1">IFERROR(__xludf.DUMMYFUNCTION("INDEX(IMPORTRANGE(""1y0FWgjbB0gVlqn-q5LMJbGIsqOrzru4yowQz67dz2yc"", ""'MTY'!BI3:BI139""),MATCH($D112,IMPORTRANGE(""1y0FWgjbB0gVlqn-q5LMJbGIsqOrzru4yowQz67dz2yc"", ""'MTY'!D3:D139""),0))"),"")</f>
        <v/>
      </c>
      <c r="AB112" s="15">
        <f ca="1">IFERROR(__xludf.DUMMYFUNCTION("INDEX(IMPORTRANGE(""1y0FWgjbB0gVlqn-q5LMJbGIsqOrzru4yowQz67dz2yc"", ""'MTY'!BJ3:BJ139""),MATCH($D112,IMPORTRANGE(""1y0FWgjbB0gVlqn-q5LMJbGIsqOrzru4yowQz67dz2yc"", ""'MTY'!D3:D139""),0))"),0.691344018402477)</f>
        <v>0.69134401840247695</v>
      </c>
      <c r="AC112" s="2"/>
    </row>
    <row r="113" spans="1:29">
      <c r="A113" s="9" t="s">
        <v>275</v>
      </c>
      <c r="B113" s="9" t="s">
        <v>303</v>
      </c>
      <c r="C113" s="2" t="s">
        <v>36</v>
      </c>
      <c r="D113" s="149" t="s">
        <v>304</v>
      </c>
      <c r="E113" s="9" t="s">
        <v>305</v>
      </c>
      <c r="F113" s="9" t="s">
        <v>306</v>
      </c>
      <c r="G113" s="11" t="s">
        <v>307</v>
      </c>
      <c r="H113" s="4"/>
      <c r="I113" s="2" t="s">
        <v>254</v>
      </c>
      <c r="J113" s="4"/>
      <c r="K113" s="2" t="s">
        <v>255</v>
      </c>
      <c r="L113" s="4"/>
      <c r="M113" s="2" t="s">
        <v>256</v>
      </c>
      <c r="N113" s="49">
        <v>45473</v>
      </c>
      <c r="O113" s="2"/>
      <c r="P113" s="30" t="s">
        <v>308</v>
      </c>
      <c r="Q113" s="30" t="s">
        <v>308</v>
      </c>
      <c r="R113" s="30" t="s">
        <v>308</v>
      </c>
      <c r="S113" s="30" t="s">
        <v>308</v>
      </c>
      <c r="T113" s="30" t="s">
        <v>308</v>
      </c>
      <c r="U113" s="30" t="s">
        <v>308</v>
      </c>
      <c r="V113" s="30" t="s">
        <v>308</v>
      </c>
      <c r="W113" s="30" t="s">
        <v>308</v>
      </c>
      <c r="X113" s="30" t="s">
        <v>308</v>
      </c>
      <c r="Y113" s="476" t="str">
        <f ca="1">IFERROR(__xludf.DUMMYFUNCTION("INDEX(IMPORTRANGE(""1y0FWgjbB0gVlqn-q5LMJbGIsqOrzru4yowQz67dz2yc"", ""'MTY'!BG3:BG139""),MATCH($D113,IMPORTRANGE(""1y0FWgjbB0gVlqn-q5LMJbGIsqOrzru4yowQz67dz2yc"", ""'MTY'!D3:D139""),0))"),"")</f>
        <v/>
      </c>
      <c r="Z113" s="30" t="str">
        <f ca="1">IFERROR(__xludf.DUMMYFUNCTION("INDEX(IMPORTRANGE(""1y0FWgjbB0gVlqn-q5LMJbGIsqOrzru4yowQz67dz2yc"", ""'MTY'!BH3:BH139""),MATCH($D113,IMPORTRANGE(""1y0FWgjbB0gVlqn-q5LMJbGIsqOrzru4yowQz67dz2yc"", ""'MTY'!D3:D139""),0))"),"Verde")</f>
        <v>Verde</v>
      </c>
      <c r="AA113" s="476" t="str">
        <f ca="1">IFERROR(__xludf.DUMMYFUNCTION("INDEX(IMPORTRANGE(""1y0FWgjbB0gVlqn-q5LMJbGIsqOrzru4yowQz67dz2yc"", ""'MTY'!BI3:BI139""),MATCH($D113,IMPORTRANGE(""1y0FWgjbB0gVlqn-q5LMJbGIsqOrzru4yowQz67dz2yc"", ""'MTY'!D3:D139""),0))"),"")</f>
        <v/>
      </c>
      <c r="AB113" s="30" t="str">
        <f ca="1">IFERROR(__xludf.DUMMYFUNCTION("INDEX(IMPORTRANGE(""1y0FWgjbB0gVlqn-q5LMJbGIsqOrzru4yowQz67dz2yc"", ""'MTY'!BJ3:BJ139""),MATCH($D113,IMPORTRANGE(""1y0FWgjbB0gVlqn-q5LMJbGIsqOrzru4yowQz67dz2yc"", ""'MTY'!D3:D139""),0))"),"Verde")</f>
        <v>Verde</v>
      </c>
      <c r="AC113" s="2"/>
    </row>
    <row r="114" spans="1:29">
      <c r="A114" s="2"/>
      <c r="B114" s="2"/>
      <c r="C114" s="2"/>
      <c r="D114" s="148"/>
      <c r="E114" s="2"/>
      <c r="F114" s="2"/>
      <c r="G114" s="11" t="s">
        <v>307</v>
      </c>
      <c r="H114" s="4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12"/>
      <c r="AB114" s="2"/>
      <c r="AC114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973EB-982C-7845-A490-F6480E00284E}">
  <dimension ref="A1:M39"/>
  <sheetViews>
    <sheetView workbookViewId="0">
      <selection activeCell="N4" sqref="N4"/>
    </sheetView>
  </sheetViews>
  <sheetFormatPr baseColWidth="10" defaultRowHeight="16"/>
  <cols>
    <col min="1" max="1" width="10.83203125" style="118"/>
    <col min="3" max="3" width="20" customWidth="1"/>
    <col min="4" max="4" width="12.5" customWidth="1"/>
    <col min="5" max="5" width="14.1640625" customWidth="1"/>
    <col min="7" max="7" width="13" customWidth="1"/>
    <col min="8" max="8" width="14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MTY'!$D$3:$AB$113,4,0)</f>
        <v>44469</v>
      </c>
      <c r="E2" s="212">
        <f>VLOOKUP(C2,'BD EVA 4 MTY'!$D$3:$AB$113,13,0)</f>
        <v>1125</v>
      </c>
      <c r="F2" s="75">
        <f>VLOOKUP(C2,'BD EVA 4 MTY'!$D$3:$AB$113,10,0)</f>
        <v>45382</v>
      </c>
      <c r="G2" s="212">
        <f ca="1">VLOOKUP(C2,'BD EVA 4 MTY'!$D$3:$AC$113,25,0)</f>
        <v>1218</v>
      </c>
      <c r="H2" s="212">
        <f>VLOOKUP(C2,'BD EVA 4 MTY'!$D$3:$AC$113,18,0)</f>
        <v>1360</v>
      </c>
      <c r="I2" s="78">
        <f ca="1">IF(G2&gt;=E2,G2/H2,0)</f>
        <v>0.89558823529411768</v>
      </c>
      <c r="J2" s="72" t="s">
        <v>316</v>
      </c>
      <c r="K2" s="81">
        <v>2.7</v>
      </c>
      <c r="L2" s="81">
        <f t="shared" ref="L2:L39" ca="1" si="0">IF(I2&lt;0,0,IF(I2&gt;1,K2,I2*K2))</f>
        <v>2.418088235294118</v>
      </c>
      <c r="M2" s="124">
        <f ca="1">SUM(L2:L4)</f>
        <v>9.6394160838882286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MTY'!$D$3:$AB$113,4,0)</f>
        <v>44469</v>
      </c>
      <c r="E3" s="207">
        <f>VLOOKUP(C3,'BD EVA 4 MTY'!$D$3:$AB$113,13,0)</f>
        <v>0.93777777777777782</v>
      </c>
      <c r="F3" s="75">
        <f>VLOOKUP(C3,'BD EVA 4 MTY'!$D$3:$AB$113,10,0)</f>
        <v>45382</v>
      </c>
      <c r="G3" s="207">
        <f ca="1">VLOOKUP(C3,'BD EVA 4 MTY'!$D$3:$AC$113,25,0)</f>
        <v>0.94991789819376005</v>
      </c>
      <c r="H3" s="207" t="str">
        <f>VLOOKUP(C3,'BD EVA 4 MTY'!$D$3:$AC$113,18,0)</f>
        <v>&gt;=97%</v>
      </c>
      <c r="I3" s="78">
        <f ca="1">IF(G3&gt;=97%,1,G3/97%)</f>
        <v>0.97929680226160831</v>
      </c>
      <c r="J3" s="75" t="s">
        <v>318</v>
      </c>
      <c r="K3" s="81">
        <v>3.8</v>
      </c>
      <c r="L3" s="81">
        <f t="shared" ca="1" si="0"/>
        <v>3.7213278485941115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MTY'!$D$3:$AB$113,4,0)</f>
        <v>44469</v>
      </c>
      <c r="E4" s="207">
        <f>VLOOKUP(C4,'BD EVA 4 MTY'!$D$3:$AB$113,13,0)</f>
        <v>0</v>
      </c>
      <c r="F4" s="75">
        <f>VLOOKUP(C4,'BD EVA 4 MTY'!$D$3:$AB$113,10,0)</f>
        <v>45382</v>
      </c>
      <c r="G4" s="207">
        <f ca="1">VLOOKUP(C4,'BD EVA 4 MTY'!$D$3:$AC$113,25,0)</f>
        <v>2.46305418719211E-2</v>
      </c>
      <c r="H4" s="207">
        <f>VLOOKUP(C4,'BD EVA 4 MTY'!$D$3:$AC$113,18,0)</f>
        <v>1.6176470588235296E-2</v>
      </c>
      <c r="I4" s="77">
        <f t="shared" ref="I4:I5" ca="1" si="1">G4/H4</f>
        <v>1.5226153157187587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MTY'!$D$3:$AB$113,4,0)</f>
        <v>octubre 20 - mar 21</v>
      </c>
      <c r="E5" s="207">
        <f>VLOOKUP(C5,'BD EVA 4 MTY'!$D$3:$AB$113,13,0)</f>
        <v>0</v>
      </c>
      <c r="F5" s="75" t="str">
        <f>VLOOKUP(C5,'BD EVA 4 MTY'!$D$3:$AB$113,10,0)</f>
        <v>octubre 23- mar 24</v>
      </c>
      <c r="G5" s="207">
        <f ca="1">VLOOKUP(C5,'BD EVA 4 MTY'!$D$3:$AC$113,25,0)</f>
        <v>4.0217391304347802E-2</v>
      </c>
      <c r="H5" s="207">
        <f>VLOOKUP(C5,'BD EVA 4 MTY'!$D$3:$AC$113,18,0)</f>
        <v>3.5000000000000003E-2</v>
      </c>
      <c r="I5" s="77">
        <f t="shared" ca="1" si="1"/>
        <v>1.1490683229813656</v>
      </c>
      <c r="J5" s="75" t="s">
        <v>318</v>
      </c>
      <c r="K5" s="208">
        <v>1.6</v>
      </c>
      <c r="L5" s="209">
        <f t="shared" ca="1" si="0"/>
        <v>1.6</v>
      </c>
      <c r="M5" s="130">
        <f ca="1">SUM(L5:L10)</f>
        <v>10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MTY'!$D$3:$AB$113,4,0)</f>
        <v>octubre 20 - mar 21</v>
      </c>
      <c r="E6" s="209">
        <f>VLOOKUP(C6,'BD EVA 4 MTY'!$D$3:$AB$113,13,0)</f>
        <v>8</v>
      </c>
      <c r="F6" s="75" t="str">
        <f>VLOOKUP(C6,'BD EVA 4 MTY'!$D$3:$AB$113,10,0)</f>
        <v>octubre 23- mar 24</v>
      </c>
      <c r="G6" s="209">
        <f ca="1">VLOOKUP(C6,'BD EVA 4 MTY'!$D$3:$AC$113,25,0)</f>
        <v>3.6367849805854799</v>
      </c>
      <c r="H6" s="209">
        <f>VLOOKUP(C6,'BD EVA 4 MTY'!$D$3:$AC$113,18,0)</f>
        <v>7.7</v>
      </c>
      <c r="I6" s="78">
        <f t="shared" ref="I6:I10" ca="1" si="2">(G6-E6)/(H6-E6)</f>
        <v>14.544050064715076</v>
      </c>
      <c r="J6" s="71" t="s">
        <v>319</v>
      </c>
      <c r="K6" s="208">
        <v>1.7</v>
      </c>
      <c r="L6" s="209">
        <f t="shared" ca="1" si="0"/>
        <v>1.7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MTY'!$D$3:$AB$113,4,0)</f>
        <v>octubre 20 - mar 21</v>
      </c>
      <c r="E7" s="208">
        <f>VLOOKUP(C7,'BD EVA 4 MTY'!$D$3:$AB$113,13,0)</f>
        <v>222</v>
      </c>
      <c r="F7" s="75" t="str">
        <f>VLOOKUP(C7,'BD EVA 4 MTY'!$D$3:$AB$113,10,0)</f>
        <v>octubre 23- mar 24</v>
      </c>
      <c r="G7" s="208">
        <f ca="1">VLOOKUP(C7,'BD EVA 4 MTY'!$D$3:$AC$113,25,0)</f>
        <v>44.571760110896498</v>
      </c>
      <c r="H7" s="208">
        <f>VLOOKUP(C7,'BD EVA 4 MTY'!$D$3:$AC$113,18,0)</f>
        <v>206.7</v>
      </c>
      <c r="I7" s="78">
        <f t="shared" ca="1" si="2"/>
        <v>11.596616986215906</v>
      </c>
      <c r="J7" s="71" t="s">
        <v>319</v>
      </c>
      <c r="K7" s="208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MTY'!$D$3:$AB$113,4,0)</f>
        <v>octubre 20 - mar 21</v>
      </c>
      <c r="E8" s="208">
        <f>VLOOKUP(C8,'BD EVA 4 MTY'!$D$3:$AB$113,13,0)</f>
        <v>95</v>
      </c>
      <c r="F8" s="75" t="str">
        <f>VLOOKUP(C8,'BD EVA 4 MTY'!$D$3:$AB$113,10,0)</f>
        <v>octubre 23- mar 24</v>
      </c>
      <c r="G8" s="208">
        <f ca="1">VLOOKUP(C8,'BD EVA 4 MTY'!$D$3:$AC$113,25,0)</f>
        <v>27.910210316121098</v>
      </c>
      <c r="H8" s="208">
        <f>VLOOKUP(C8,'BD EVA 4 MTY'!$D$3:$AC$113,18,0)</f>
        <v>88.2</v>
      </c>
      <c r="I8" s="78">
        <f t="shared" ca="1" si="2"/>
        <v>9.8661455417469011</v>
      </c>
      <c r="J8" s="71" t="s">
        <v>319</v>
      </c>
      <c r="K8" s="208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MTY'!$D$3:$AB$113,4,0)</f>
        <v>octubre 20 - mar 21</v>
      </c>
      <c r="E9" s="208">
        <f>VLOOKUP(C9,'BD EVA 4 MTY'!$D$3:$AB$113,13,0)</f>
        <v>27</v>
      </c>
      <c r="F9" s="75" t="str">
        <f>VLOOKUP(C9,'BD EVA 4 MTY'!$D$3:$AB$113,10,0)</f>
        <v>octubre 23- mar 24</v>
      </c>
      <c r="G9" s="208">
        <f ca="1">VLOOKUP(C9,'BD EVA 4 MTY'!$D$3:$AC$113,25,0)</f>
        <v>6.5969588019922796</v>
      </c>
      <c r="H9" s="208">
        <f>VLOOKUP(C9,'BD EVA 4 MTY'!$D$3:$AC$113,18,0)</f>
        <v>24.9</v>
      </c>
      <c r="I9" s="78">
        <f t="shared" ca="1" si="2"/>
        <v>9.7157339038131934</v>
      </c>
      <c r="J9" s="71" t="s">
        <v>319</v>
      </c>
      <c r="K9" s="208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MTY'!$D$3:$AB$113,4,0)</f>
        <v>octubre 20 - mar 21</v>
      </c>
      <c r="E10" s="208">
        <f>VLOOKUP(C10,'BD EVA 4 MTY'!$D$3:$AB$113,13,0)</f>
        <v>13</v>
      </c>
      <c r="F10" s="75" t="str">
        <f>VLOOKUP(C10,'BD EVA 4 MTY'!$D$3:$AB$113,10,0)</f>
        <v>octubre 23- mar 24</v>
      </c>
      <c r="G10" s="208">
        <f ca="1">VLOOKUP(C10,'BD EVA 4 MTY'!$D$3:$AC$113,25,0)</f>
        <v>2.6218682418174399</v>
      </c>
      <c r="H10" s="208">
        <f>VLOOKUP(C10,'BD EVA 4 MTY'!$D$3:$AC$113,18,0)</f>
        <v>12.1</v>
      </c>
      <c r="I10" s="78">
        <f t="shared" ca="1" si="2"/>
        <v>11.531257509091729</v>
      </c>
      <c r="J10" s="71" t="s">
        <v>319</v>
      </c>
      <c r="K10" s="208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MTY'!$D$3:$AB$113,4,0)</f>
        <v>44469</v>
      </c>
      <c r="E11" s="78">
        <f>VLOOKUP(C11,'BD EVA 4 MTY'!$D$3:$AB$113,13,0)</f>
        <v>7.4101716600916947E-4</v>
      </c>
      <c r="F11" s="89">
        <f>VLOOKUP(C11,'BD EVA 4 MTY'!$D$3:$AB$113,10,0)</f>
        <v>45382</v>
      </c>
      <c r="G11" s="78">
        <f ca="1">VLOOKUP(C11,'BD EVA 4 MTY'!$D$3:$AC$113,25,0)</f>
        <v>1.00303870348651E-2</v>
      </c>
      <c r="H11" s="78">
        <f>VLOOKUP(C11,'BD EVA 4 MTY'!$D$3:$AC$113,18,0)</f>
        <v>1.6400000000000001E-2</v>
      </c>
      <c r="I11" s="77">
        <f t="shared" ref="I11:I15" ca="1" si="3">G11/H11</f>
        <v>0.61160896554055488</v>
      </c>
      <c r="J11" s="89" t="s">
        <v>318</v>
      </c>
      <c r="K11" s="85">
        <v>1.05</v>
      </c>
      <c r="L11" s="209">
        <f t="shared" ca="1" si="0"/>
        <v>0.64218941381758265</v>
      </c>
      <c r="M11" s="130">
        <f ca="1">SUM(L11:L15)</f>
        <v>9.5592715108360657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4 MTY'!$D$3:$AB$113,4,0)</f>
        <v>octubre 20 - mar 21</v>
      </c>
      <c r="E12" s="210">
        <f>VLOOKUP(C12,'BD EVA 4 MTY'!$D$3:$AB$113,13,0)</f>
        <v>0</v>
      </c>
      <c r="F12" s="89" t="str">
        <f>VLOOKUP(C12,'BD EVA 4 MTY'!$D$3:$AB$113,10,0)</f>
        <v>octubre 23- mar 24</v>
      </c>
      <c r="G12" s="210">
        <f ca="1">VLOOKUP(C12,'BD EVA 4 MTY'!$D$3:$AC$113,25,0)</f>
        <v>3.3902736567282799E-3</v>
      </c>
      <c r="H12" s="210">
        <f>VLOOKUP(C12,'BD EVA 4 MTY'!$D$3:$AC$113,18,0)</f>
        <v>3.5000000000000001E-3</v>
      </c>
      <c r="I12" s="78">
        <f t="shared" ca="1" si="3"/>
        <v>0.96864961620807999</v>
      </c>
      <c r="J12" s="75" t="s">
        <v>318</v>
      </c>
      <c r="K12" s="85">
        <v>1.05</v>
      </c>
      <c r="L12" s="209">
        <f t="shared" ca="1" si="0"/>
        <v>1.017082097018484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MTY'!$D$3:$AB$113,4,0)</f>
        <v>octubre 20 - mar 21</v>
      </c>
      <c r="E13" s="212">
        <f>VLOOKUP(C13,'BD EVA 4 MTY'!$D$3:$AB$113,13,0)</f>
        <v>6</v>
      </c>
      <c r="F13" s="89" t="str">
        <f>VLOOKUP(C13,'BD EVA 4 MTY'!$D$3:$AB$113,10,0)</f>
        <v>octubre 21 - mar 24</v>
      </c>
      <c r="G13" s="212">
        <f ca="1">VLOOKUP(C13,'BD EVA 4 MTY'!$D$3:$AC$113,25,0)</f>
        <v>63</v>
      </c>
      <c r="H13" s="212">
        <f>VLOOKUP(C13,'BD EVA 4 MTY'!$D$3:$AC$113,18,0)</f>
        <v>31</v>
      </c>
      <c r="I13" s="78">
        <f t="shared" ca="1" si="3"/>
        <v>2.032258064516129</v>
      </c>
      <c r="J13" s="75" t="s">
        <v>318</v>
      </c>
      <c r="K13" s="81">
        <v>2.4</v>
      </c>
      <c r="L13" s="209">
        <f t="shared" ca="1" si="0"/>
        <v>2.4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MTY'!$D$3:$AB$113,4,0)</f>
        <v>octubre 20 - mar 21</v>
      </c>
      <c r="E14" s="212">
        <f>VLOOKUP(C14,'BD EVA 4 MTY'!$D$3:$AB$113,13,0)</f>
        <v>1186</v>
      </c>
      <c r="F14" s="89" t="str">
        <f>VLOOKUP(C14,'BD EVA 4 MTY'!$D$3:$AB$113,10,0)</f>
        <v>octubre 21 - mar 24</v>
      </c>
      <c r="G14" s="212">
        <f ca="1">VLOOKUP(C14,'BD EVA 4 MTY'!$D$3:$AC$113,25,0)</f>
        <v>12635</v>
      </c>
      <c r="H14" s="212">
        <f>VLOOKUP(C14,'BD EVA 4 MTY'!$D$3:$AC$113,18,0)</f>
        <v>4000</v>
      </c>
      <c r="I14" s="78">
        <f t="shared" ca="1" si="3"/>
        <v>3.1587499999999999</v>
      </c>
      <c r="J14" s="75" t="s">
        <v>318</v>
      </c>
      <c r="K14" s="81">
        <v>2.4</v>
      </c>
      <c r="L14" s="209">
        <f t="shared" ca="1" si="0"/>
        <v>2.4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MTY'!$D$3:$AB$113,4,0)</f>
        <v>octubre 20 - mar 21</v>
      </c>
      <c r="E15" s="212">
        <f>VLOOKUP(C15,'BD EVA 4 MTY'!$D$3:$AB$113,13,0)</f>
        <v>6</v>
      </c>
      <c r="F15" s="89" t="str">
        <f>VLOOKUP(C15,'BD EVA 4 MTY'!$D$3:$AB$113,10,0)</f>
        <v>octubre 21 - mar 24</v>
      </c>
      <c r="G15" s="212">
        <f ca="1">VLOOKUP(C15,'BD EVA 4 MTY'!$D$3:$AC$113,25,0)</f>
        <v>184</v>
      </c>
      <c r="H15" s="212">
        <f>VLOOKUP(C15,'BD EVA 4 MTY'!$D$3:$AC$113,18,0)</f>
        <v>62</v>
      </c>
      <c r="I15" s="78">
        <f t="shared" ca="1" si="3"/>
        <v>2.967741935483871</v>
      </c>
      <c r="J15" s="75" t="s">
        <v>318</v>
      </c>
      <c r="K15" s="8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MTY'!$D$3:$AB$113,4,0)</f>
        <v>44469</v>
      </c>
      <c r="E16" s="213">
        <f>VLOOKUP(C16,'BD EVA 4 MTY'!$D$3:$AB$113,13,0)</f>
        <v>0</v>
      </c>
      <c r="F16" s="75">
        <f>VLOOKUP(C16,'BD EVA 4 MTY'!$D$3:$AB$113,10,0)</f>
        <v>45382</v>
      </c>
      <c r="G16" s="213">
        <f ca="1">VLOOKUP(C16,'BD EVA 4 MTY'!$D$3:$AC$113,25,0)</f>
        <v>0.66666666666666596</v>
      </c>
      <c r="H16" s="213" t="str">
        <f>VLOOKUP(C16,'BD EVA 4 MTY'!$D$3:$AC$113,18,0)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0.66666666666666596</v>
      </c>
      <c r="J16" s="75" t="s">
        <v>318</v>
      </c>
      <c r="K16" s="81">
        <v>1.5</v>
      </c>
      <c r="L16" s="209">
        <f t="shared" ca="1" si="0"/>
        <v>0.99999999999999889</v>
      </c>
      <c r="M16" s="130">
        <f ca="1">SUM(L16:L23)</f>
        <v>7.9412504377632258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MTY'!$D$3:$AB$113,4,0)</f>
        <v>44469</v>
      </c>
      <c r="E17" s="212">
        <f>VLOOKUP(C17,'BD EVA 4 MTY'!$D$3:$AB$113,13,0)</f>
        <v>0</v>
      </c>
      <c r="F17" s="75">
        <f>VLOOKUP(C17,'BD EVA 4 MTY'!$D$3:$AB$113,10,0)</f>
        <v>45382</v>
      </c>
      <c r="G17" s="212">
        <f ca="1">VLOOKUP(C17,'BD EVA 4 MTY'!$D$3:$AC$113,25,0)</f>
        <v>0</v>
      </c>
      <c r="H17" s="212" t="str">
        <f>VLOOKUP(C17,'BD EVA 4 MTY'!$D$3:$AC$113,18,0)</f>
        <v>Actualizado al 2019</v>
      </c>
      <c r="I17" s="214">
        <f t="shared" ca="1" si="4"/>
        <v>0</v>
      </c>
      <c r="J17" s="75" t="s">
        <v>318</v>
      </c>
      <c r="K17" s="8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MTY'!$D$3:$AB$113,4,0)</f>
        <v>44469</v>
      </c>
      <c r="E18" s="207">
        <f>VLOOKUP(C18,'BD EVA 4 MTY'!$D$3:$AB$113,13,0)</f>
        <v>0.52941176470588236</v>
      </c>
      <c r="F18" s="75">
        <f>VLOOKUP(C18,'BD EVA 4 MTY'!$D$3:$AB$113,10,0)</f>
        <v>45382</v>
      </c>
      <c r="G18" s="207">
        <f ca="1">VLOOKUP(C18,'BD EVA 4 MTY'!$D$3:$AC$113,25,0)</f>
        <v>0.82352941176470495</v>
      </c>
      <c r="H18" s="207">
        <f>VLOOKUP(C18,'BD EVA 4 MTY'!$D$3:$AC$113,18,0)</f>
        <v>1</v>
      </c>
      <c r="I18" s="214">
        <f t="shared" ref="I18:I27" ca="1" si="5">G18/H18</f>
        <v>0.82352941176470495</v>
      </c>
      <c r="J18" s="75" t="s">
        <v>318</v>
      </c>
      <c r="K18" s="81">
        <v>0.3</v>
      </c>
      <c r="L18" s="209">
        <f t="shared" ca="1" si="0"/>
        <v>0.24705882352941147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MTY'!$D$3:$AB$113,4,0)</f>
        <v>44469</v>
      </c>
      <c r="E19" s="207">
        <f>VLOOKUP(C19,'BD EVA 4 MTY'!$D$3:$AB$113,13,0)</f>
        <v>1</v>
      </c>
      <c r="F19" s="75">
        <f>VLOOKUP(C19,'BD EVA 4 MTY'!$D$3:$AB$113,10,0)</f>
        <v>45382</v>
      </c>
      <c r="G19" s="207">
        <f ca="1">VLOOKUP(C19,'BD EVA 4 MTY'!$D$3:$AC$113,25,0)</f>
        <v>0.999319796674357</v>
      </c>
      <c r="H19" s="207">
        <f>VLOOKUP(C19,'BD EVA 4 MTY'!$D$3:$AC$113,18,0)</f>
        <v>1</v>
      </c>
      <c r="I19" s="214">
        <f t="shared" ca="1" si="5"/>
        <v>0.999319796674357</v>
      </c>
      <c r="J19" s="75" t="s">
        <v>318</v>
      </c>
      <c r="K19" s="81">
        <v>1.5</v>
      </c>
      <c r="L19" s="209">
        <f t="shared" ca="1" si="0"/>
        <v>1.4989796950115355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MTY'!$D$3:$AB$113,4,0)</f>
        <v>44469</v>
      </c>
      <c r="E20" s="214">
        <f>VLOOKUP(C20,'BD EVA 4 MTY'!$D$3:$AB$113,13,0)</f>
        <v>1</v>
      </c>
      <c r="F20" s="75">
        <f>VLOOKUP(C20,'BD EVA 4 MTY'!$D$3:$AB$113,10,0)</f>
        <v>45382</v>
      </c>
      <c r="G20" s="214">
        <f ca="1">VLOOKUP(C20,'BD EVA 4 MTY'!$D$3:$AC$113,25,0)</f>
        <v>1</v>
      </c>
      <c r="H20" s="214">
        <f>VLOOKUP(C20,'BD EVA 4 MTY'!$D$3:$AC$113,18,0)</f>
        <v>1</v>
      </c>
      <c r="I20" s="214">
        <f t="shared" ca="1" si="5"/>
        <v>1</v>
      </c>
      <c r="J20" s="75" t="s">
        <v>318</v>
      </c>
      <c r="K20" s="8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MTY'!$D$3:$AB$113,4,0)</f>
        <v>44469</v>
      </c>
      <c r="E21" s="207">
        <f>VLOOKUP(C21,'BD EVA 4 MTY'!$D$3:$AB$113,13,0)</f>
        <v>1</v>
      </c>
      <c r="F21" s="75">
        <f>VLOOKUP(C21,'BD EVA 4 MTY'!$D$3:$AB$113,10,0)</f>
        <v>45382</v>
      </c>
      <c r="G21" s="207">
        <f ca="1">VLOOKUP(C21,'BD EVA 4 MTY'!$D$3:$AC$113,25,0)</f>
        <v>0.99747667668776996</v>
      </c>
      <c r="H21" s="207">
        <f>VLOOKUP(C21,'BD EVA 4 MTY'!$D$3:$AC$113,18,0)</f>
        <v>1</v>
      </c>
      <c r="I21" s="214">
        <f t="shared" ca="1" si="5"/>
        <v>0.99747667668776996</v>
      </c>
      <c r="J21" s="75" t="s">
        <v>318</v>
      </c>
      <c r="K21" s="81">
        <v>0.9</v>
      </c>
      <c r="L21" s="209">
        <f t="shared" ca="1" si="0"/>
        <v>0.897729009018993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MTY'!$D$3:$AB$113,4,0)</f>
        <v>44469</v>
      </c>
      <c r="E22" s="207">
        <f>VLOOKUP(C22,'BD EVA 4 MTY'!$D$3:$AB$113,13,0)</f>
        <v>0.99971249366351167</v>
      </c>
      <c r="F22" s="75">
        <f>VLOOKUP(C22,'BD EVA 4 MTY'!$D$3:$AB$113,10,0)</f>
        <v>45382</v>
      </c>
      <c r="G22" s="207">
        <f ca="1">VLOOKUP(C22,'BD EVA 4 MTY'!$D$3:$AC$113,25,0)</f>
        <v>0.998321940135525</v>
      </c>
      <c r="H22" s="207">
        <f>VLOOKUP(C22,'BD EVA 4 MTY'!$D$3:$AC$113,18,0)</f>
        <v>1</v>
      </c>
      <c r="I22" s="214">
        <f t="shared" ca="1" si="5"/>
        <v>0.998321940135525</v>
      </c>
      <c r="J22" s="75" t="s">
        <v>318</v>
      </c>
      <c r="K22" s="81">
        <v>1.5</v>
      </c>
      <c r="L22" s="209">
        <f t="shared" ca="1" si="0"/>
        <v>1.4974829102032876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MTY'!$D$3:$AB$113,4,0)</f>
        <v>octubre 20 - mar 21</v>
      </c>
      <c r="E23" s="208">
        <f>VLOOKUP(C23,'BD EVA 4 MTY'!$D$3:$AB$113,13,0)</f>
        <v>0</v>
      </c>
      <c r="F23" s="89" t="str">
        <f>VLOOKUP(C23,'BD EVA 4 MTY'!$D$3:$AB$113,10,0)</f>
        <v>octubre 23 - mar 24</v>
      </c>
      <c r="G23" s="208">
        <f ca="1">VLOOKUP(C23,'BD EVA 4 MTY'!$D$3:$AC$113,25,0)</f>
        <v>16.239999999999998</v>
      </c>
      <c r="H23" s="208">
        <f>VLOOKUP(C23,'BD EVA 4 MTY'!$D$3:$AC$113,18,0)</f>
        <v>13.2</v>
      </c>
      <c r="I23" s="214">
        <f t="shared" ca="1" si="5"/>
        <v>1.2303030303030302</v>
      </c>
      <c r="J23" s="75" t="s">
        <v>318</v>
      </c>
      <c r="K23" s="81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MTY'!$D$3:$AB$113,4,0)</f>
        <v>44469</v>
      </c>
      <c r="E24" s="171">
        <f>VLOOKUP(C24,'BD EVA 4 MTY'!$D$3:$AB$113,13,0)</f>
        <v>5.12</v>
      </c>
      <c r="F24" s="75">
        <f>VLOOKUP(C24,'BD EVA 4 MTY'!$D$3:$AB$113,10,0)</f>
        <v>45382</v>
      </c>
      <c r="G24" s="171">
        <f ca="1">VLOOKUP(C24,'BD EVA 4 MTY'!$D$3:$AC$113,25,0)</f>
        <v>18.2</v>
      </c>
      <c r="H24" s="171">
        <f>VLOOKUP(C24,'BD EVA 4 MTY'!$D$3:$AC$113,18,0)</f>
        <v>13</v>
      </c>
      <c r="I24" s="214">
        <f t="shared" ca="1" si="5"/>
        <v>1.4</v>
      </c>
      <c r="J24" s="75" t="s">
        <v>318</v>
      </c>
      <c r="K24" s="81">
        <v>1.9450000000000001</v>
      </c>
      <c r="L24" s="82">
        <f t="shared" ca="1" si="0"/>
        <v>1.9450000000000001</v>
      </c>
      <c r="M24" s="130">
        <f ca="1">SUM(L24:L28)</f>
        <v>9.2834139387138581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MTY'!$D$3:$AB$113,4,0)</f>
        <v>octubre 20 - mar 21</v>
      </c>
      <c r="E25" s="340">
        <f>VLOOKUP(C25,'BD EVA 4 MTY'!$D$3:$AB$113,13,0)</f>
        <v>0</v>
      </c>
      <c r="F25" s="71" t="str">
        <f>VLOOKUP(C25,'BD EVA 4 MTY'!$D$3:$AB$113,10,0)</f>
        <v>octubre 23 - mar 24</v>
      </c>
      <c r="G25" s="212">
        <f ca="1">VLOOKUP(C25,'BD EVA 4 MTY'!$D$3:$AC$113,25,0)</f>
        <v>28937.94</v>
      </c>
      <c r="H25" s="212">
        <f>VLOOKUP(C25,'BD EVA 4 MTY'!$D$3:$AC$113,18,0)</f>
        <v>5200</v>
      </c>
      <c r="I25" s="214">
        <f t="shared" ca="1" si="5"/>
        <v>5.5649884615384613</v>
      </c>
      <c r="J25" s="75" t="s">
        <v>318</v>
      </c>
      <c r="K25" s="81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MTY'!$D$3:$AB$113,4,0)</f>
        <v>enero - diciembre 2021</v>
      </c>
      <c r="E26" s="210">
        <f>VLOOKUP(C26,'BD EVA 4 MTY'!$D$3:$AB$113,13,0)</f>
        <v>0.1126463959788865</v>
      </c>
      <c r="F26" s="71" t="str">
        <f>VLOOKUP(C26,'BD EVA 4 MTY'!$D$3:$AB$113,10,0)</f>
        <v>enero- diciembre 2023</v>
      </c>
      <c r="G26" s="210">
        <f ca="1">VLOOKUP(C26,'BD EVA 4 MTY'!$D$3:$AC$113,25,0)</f>
        <v>9.2241241273893201E-2</v>
      </c>
      <c r="H26" s="210">
        <f>VLOOKUP(C26,'BD EVA 4 MTY'!$D$3:$AC$113,18,0)</f>
        <v>0.14000000000000001</v>
      </c>
      <c r="I26" s="214">
        <f t="shared" ca="1" si="5"/>
        <v>0.65886600909923709</v>
      </c>
      <c r="J26" s="75" t="s">
        <v>318</v>
      </c>
      <c r="K26" s="81">
        <v>2.1006</v>
      </c>
      <c r="L26" s="209">
        <f t="shared" ca="1" si="0"/>
        <v>1.3840139387138575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MTY'!$D$3:$AB$113,4,0)</f>
        <v>octubre 20 - mar 21</v>
      </c>
      <c r="E27" s="212">
        <f>VLOOKUP(C27,'BD EVA 4 MTY'!$D$3:$AB$113,13,0)</f>
        <v>0</v>
      </c>
      <c r="F27" s="71" t="str">
        <f>VLOOKUP(C27,'BD EVA 4 MTY'!$D$3:$AB$113,10,0)</f>
        <v>octubre 23 - mar 24</v>
      </c>
      <c r="G27" s="212">
        <f ca="1">VLOOKUP(C27,'BD EVA 4 MTY'!$D$3:$AC$113,25,0)</f>
        <v>42</v>
      </c>
      <c r="H27" s="212">
        <f>VLOOKUP(C27,'BD EVA 4 MTY'!$D$3:$AC$113,18,0)</f>
        <v>10</v>
      </c>
      <c r="I27" s="214">
        <f t="shared" ca="1" si="5"/>
        <v>4.2</v>
      </c>
      <c r="J27" s="75" t="s">
        <v>318</v>
      </c>
      <c r="K27" s="81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MTY'!$D$3:$AB$113,4,0)</f>
        <v>octubre 2018 - marzo 2019</v>
      </c>
      <c r="E28" s="212">
        <f>VLOOKUP(C28,'BD EVA 4 MTY'!$D$3:$AB$113,13,0)</f>
        <v>16613</v>
      </c>
      <c r="F28" s="89" t="str">
        <f>VLOOKUP(C28,'BD EVA 4 MTY'!$D$3:$AB$113,10,0)</f>
        <v>octubre 23 - mar 24</v>
      </c>
      <c r="G28" s="212">
        <f ca="1">VLOOKUP(C28,'BD EVA 4 MTY'!$D$3:$AC$113,25,0)</f>
        <v>16088</v>
      </c>
      <c r="H28" s="212">
        <f>VLOOKUP(C28,'BD EVA 4 MTY'!$D$3:$AC$113,18,0)</f>
        <v>16314</v>
      </c>
      <c r="I28" s="78">
        <f ca="1">(G28-E28)/(H28-E28)</f>
        <v>1.7558528428093645</v>
      </c>
      <c r="J28" s="89" t="s">
        <v>319</v>
      </c>
      <c r="K28" s="81">
        <v>2.2200000000000002</v>
      </c>
      <c r="L28" s="209">
        <f t="shared" ca="1" si="0"/>
        <v>2.2200000000000002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89" t="str">
        <f>VLOOKUP(C29,'BD EVA 4 MTY'!$D$3:$AB$113,4,0)</f>
        <v>octubre 20 - mar 21</v>
      </c>
      <c r="E29" s="212">
        <f>VLOOKUP(C29,'BD EVA 4 MTY'!$D$3:$AB$113,13,0)</f>
        <v>5</v>
      </c>
      <c r="F29" s="89" t="str">
        <f>VLOOKUP(C29,'BD EVA 4 MTY'!$D$3:$AB$113,10,0)</f>
        <v>octubre 23 - mar 24</v>
      </c>
      <c r="G29" s="212">
        <f ca="1">VLOOKUP(C29,'BD EVA 4 MTY'!$D$3:$AC$113,25,0)</f>
        <v>71</v>
      </c>
      <c r="H29" s="212">
        <f>VLOOKUP(C29,'BD EVA 4 MTY'!$D$3:$AC$113,18,0)</f>
        <v>87</v>
      </c>
      <c r="I29" s="78">
        <f t="shared" ref="I29:I33" ca="1" si="6">G29/H29</f>
        <v>0.81609195402298851</v>
      </c>
      <c r="J29" s="75" t="s">
        <v>318</v>
      </c>
      <c r="K29" s="76">
        <v>2</v>
      </c>
      <c r="L29" s="209">
        <f t="shared" ca="1" si="0"/>
        <v>1.632183908045977</v>
      </c>
      <c r="M29" s="130">
        <f ca="1">SUM(L29:L33)</f>
        <v>8.2447036418892345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MTY'!$D$3:$AB$113,4,0)</f>
        <v>44469</v>
      </c>
      <c r="E30" s="212">
        <f>VLOOKUP(C30,'BD EVA 4 MTY'!$D$3:$AB$113,13,0)</f>
        <v>2</v>
      </c>
      <c r="F30" s="75">
        <f>VLOOKUP(C30,'BD EVA 4 MTY'!$D$3:$AB$113,10,0)</f>
        <v>45382</v>
      </c>
      <c r="G30" s="212">
        <f ca="1">VLOOKUP(C30,'BD EVA 4 MTY'!$D$3:$AC$113,25,0)</f>
        <v>23</v>
      </c>
      <c r="H30" s="212">
        <f>VLOOKUP(C30,'BD EVA 4 MTY'!$D$3:$AC$113,18,0)</f>
        <v>32</v>
      </c>
      <c r="I30" s="78">
        <f t="shared" ca="1" si="6"/>
        <v>0.71875</v>
      </c>
      <c r="J30" s="75" t="s">
        <v>318</v>
      </c>
      <c r="K30" s="76">
        <v>2</v>
      </c>
      <c r="L30" s="209">
        <f t="shared" ca="1" si="0"/>
        <v>1.4375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MTY'!$D$3:$AB$113,4,0)</f>
        <v>44469</v>
      </c>
      <c r="E31" s="212">
        <f>VLOOKUP(C31,'BD EVA 4 MTY'!$D$3:$AB$113,13,0)</f>
        <v>100</v>
      </c>
      <c r="F31" s="75" t="str">
        <f>VLOOKUP(C31,'BD EVA 4 MTY'!$D$3:$AB$113,10,0)</f>
        <v>Dic 2023</v>
      </c>
      <c r="G31" s="212">
        <f ca="1">VLOOKUP(C31,'BD EVA 4 MTY'!$D$3:$AC$113,25,0)</f>
        <v>100</v>
      </c>
      <c r="H31" s="212">
        <f>VLOOKUP(C31,'BD EVA 4 MTY'!$D$3:$AC$113,18,0)</f>
        <v>100</v>
      </c>
      <c r="I31" s="78">
        <f t="shared" ca="1" si="6"/>
        <v>1</v>
      </c>
      <c r="J31" s="75" t="s">
        <v>318</v>
      </c>
      <c r="K31" s="76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MTY'!$D$3:$AB$113,4,0)</f>
        <v>44469</v>
      </c>
      <c r="E32" s="209">
        <f>VLOOKUP(C32,'BD EVA 4 MTY'!$D$3:$AB$113,13,0)</f>
        <v>0</v>
      </c>
      <c r="F32" s="75">
        <f>VLOOKUP(C32,'BD EVA 4 MTY'!$D$3:$AB$113,10,0)</f>
        <v>45382</v>
      </c>
      <c r="G32" s="209">
        <f ca="1">VLOOKUP(C32,'BD EVA 4 MTY'!$D$3:$AC$113,25,0)</f>
        <v>2.8905800082270598</v>
      </c>
      <c r="H32" s="209">
        <f>VLOOKUP(C32,'BD EVA 4 MTY'!$D$3:$AC$113,18,0)</f>
        <v>4</v>
      </c>
      <c r="I32" s="78">
        <f t="shared" ca="1" si="6"/>
        <v>0.72264500205676496</v>
      </c>
      <c r="J32" s="75" t="s">
        <v>318</v>
      </c>
      <c r="K32" s="76">
        <v>2</v>
      </c>
      <c r="L32" s="209">
        <f t="shared" ca="1" si="0"/>
        <v>1.4452900041135299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MTY'!$D$3:$AB$113,4,0)</f>
        <v>44469</v>
      </c>
      <c r="E33" s="341">
        <f>VLOOKUP(C33,'BD EVA 4 MTY'!$D$3:$AB$113,13,0)</f>
        <v>0</v>
      </c>
      <c r="F33" s="75">
        <f>VLOOKUP(C33,'BD EVA 4 MTY'!$D$3:$AB$113,10,0)</f>
        <v>45382</v>
      </c>
      <c r="G33" s="207">
        <f ca="1">VLOOKUP(C33,'BD EVA 4 MTY'!$D$3:$AC$113,25,0)</f>
        <v>0.43243243243243201</v>
      </c>
      <c r="H33" s="207">
        <f>VLOOKUP(C33,'BD EVA 4 MTY'!$D$3:$AC$113,18,0)</f>
        <v>0.5</v>
      </c>
      <c r="I33" s="78">
        <f t="shared" ca="1" si="6"/>
        <v>0.86486486486486402</v>
      </c>
      <c r="J33" s="75" t="s">
        <v>318</v>
      </c>
      <c r="K33" s="76">
        <v>2</v>
      </c>
      <c r="L33" s="209">
        <f t="shared" ca="1" si="0"/>
        <v>1.729729729729728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MTY'!$D$3:$AB$113,4,0)</f>
        <v>enero - diciembre 2021</v>
      </c>
      <c r="E34" s="78">
        <f>VLOOKUP(C34,'BD EVA 4 MTY'!$D$3:$AB$113,13,0)</f>
        <v>0.4485853423037352</v>
      </c>
      <c r="F34" s="89" t="str">
        <f>VLOOKUP(C34,'BD EVA 4 MTY'!$D$3:$AB$113,10,0)</f>
        <v>enero- diciembre 2023</v>
      </c>
      <c r="G34" s="78">
        <f ca="1">VLOOKUP(C34,'BD EVA 4 MTY'!$D$3:$AC$113,25,0)</f>
        <v>0.38805051074133201</v>
      </c>
      <c r="H34" s="78">
        <f>VLOOKUP(C34,'BD EVA 4 MTY'!$D$3:$AC$113,18,0)</f>
        <v>0.46899999999999997</v>
      </c>
      <c r="I34" s="78">
        <f ca="1">(G34/H34)</f>
        <v>0.82739980968301075</v>
      </c>
      <c r="J34" s="75" t="s">
        <v>318</v>
      </c>
      <c r="K34" s="85">
        <v>2.1631999999999998</v>
      </c>
      <c r="L34" s="209">
        <f t="shared" ca="1" si="0"/>
        <v>1.7898312683062887</v>
      </c>
      <c r="M34" s="130">
        <f ca="1">SUM(L34:L39)</f>
        <v>7.333929504085325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MTY'!$D$3:$AB$113,4,0)</f>
        <v>enero - diciembre 2021</v>
      </c>
      <c r="E35" s="78">
        <f>VLOOKUP(C35,'BD EVA 4 MTY'!$D$3:$AB$113,13,0)</f>
        <v>0.60737848538289907</v>
      </c>
      <c r="F35" s="89" t="str">
        <f>VLOOKUP(C35,'BD EVA 4 MTY'!$D$3:$AB$113,10,0)</f>
        <v>enero- diciembre 2023</v>
      </c>
      <c r="G35" s="78">
        <f ca="1">VLOOKUP(C35,'BD EVA 4 MTY'!$D$3:$AC$113,25,0)</f>
        <v>0.56061309628920297</v>
      </c>
      <c r="H35" s="78">
        <f>VLOOKUP(C35,'BD EVA 4 MTY'!$D$3:$AC$113,18,0)</f>
        <v>0.62</v>
      </c>
      <c r="I35" s="78">
        <f ca="1">G35/H35</f>
        <v>0.90421467143419831</v>
      </c>
      <c r="J35" s="75" t="s">
        <v>318</v>
      </c>
      <c r="K35" s="85">
        <v>1.3520000000000001</v>
      </c>
      <c r="L35" s="209">
        <f t="shared" ca="1" si="0"/>
        <v>1.2224982357790362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MTY'!$D$3:$AB$113,4,0)</f>
        <v>enero - diciembre 2021</v>
      </c>
      <c r="E36" s="78">
        <f>VLOOKUP(C36,'BD EVA 4 MTY'!$D$3:$AB$113,13,0)</f>
        <v>0.64956908078386477</v>
      </c>
      <c r="F36" s="89" t="str">
        <f>VLOOKUP(C36,'BD EVA 4 MTY'!$D$3:$AB$113,10,0)</f>
        <v>enero- diciembre 2023</v>
      </c>
      <c r="G36" s="78">
        <f ca="1">VLOOKUP(C36,'BD EVA 4 MTY'!$D$3:$AC$113,25,0)</f>
        <v>0.62849850620429204</v>
      </c>
      <c r="H36" s="78">
        <f>VLOOKUP(C36,'BD EVA 4 MTY'!$D$3:$AC$113,18,0)</f>
        <v>0.66</v>
      </c>
      <c r="I36" s="78">
        <f ca="1">IF(G36&lt;E36,0,G36/H36)</f>
        <v>0</v>
      </c>
      <c r="J36" s="72" t="s">
        <v>316</v>
      </c>
      <c r="K36" s="85">
        <v>2.1631999999999998</v>
      </c>
      <c r="L36" s="209">
        <f t="shared" ca="1" si="0"/>
        <v>0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MTY'!$D$3:$AB$113,4,0)</f>
        <v>enero - diciembre 2021</v>
      </c>
      <c r="E37" s="90">
        <f>VLOOKUP(C37,'BD EVA 4 MTY'!$D$3:$AB$113,13,0)</f>
        <v>1379390367.3499999</v>
      </c>
      <c r="F37" s="89" t="str">
        <f>VLOOKUP(C37,'BD EVA 4 MTY'!$D$3:$AB$113,10,0)</f>
        <v>enero- diciembre 2023</v>
      </c>
      <c r="G37" s="90">
        <f ca="1">VLOOKUP(C37,'BD EVA 4 MTY'!$D$3:$AC$113,25,0)</f>
        <v>1561488791.52999</v>
      </c>
      <c r="H37" s="90">
        <f>VLOOKUP(C37,'BD EVA 4 MTY'!$D$3:$AC$113,18,0)</f>
        <v>1480000000</v>
      </c>
      <c r="I37" s="78">
        <f ca="1">G37/H37</f>
        <v>1.0550599942770202</v>
      </c>
      <c r="J37" s="75" t="s">
        <v>318</v>
      </c>
      <c r="K37" s="85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89" t="str">
        <f>VLOOKUP(C38,'BD EVA 4 MTY'!$D$3:$AB$113,4,0)</f>
        <v>enero - diciembre 2021</v>
      </c>
      <c r="E38" s="78">
        <f>VLOOKUP(C38,'BD EVA 4 MTY'!$D$3:$AB$113,13,0)</f>
        <v>0.72380072622938429</v>
      </c>
      <c r="F38" s="89" t="str">
        <f>VLOOKUP(C38,'BD EVA 4 MTY'!$D$3:$AB$113,10,0)</f>
        <v>enero- diciembre 2023</v>
      </c>
      <c r="G38" s="78">
        <f ca="1">VLOOKUP(C38,'BD EVA 4 MTY'!$D$3:$AC$113,25,0)</f>
        <v>0.69134401840247695</v>
      </c>
      <c r="H38" s="78">
        <f>VLOOKUP(C38,'BD EVA 4 MTY'!$D$3:$AC$113,18,0)</f>
        <v>0.71499999999999997</v>
      </c>
      <c r="I38" s="78">
        <f ca="1">(H38/G38)</f>
        <v>1.0342173808810642</v>
      </c>
      <c r="J38" s="89" t="s">
        <v>341</v>
      </c>
      <c r="K38" s="85">
        <v>1.62</v>
      </c>
      <c r="L38" s="209">
        <f t="shared" ca="1" si="0"/>
        <v>1.62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MTY'!$D$3:$AB$113,4,0)</f>
        <v>Dic 2020</v>
      </c>
      <c r="E39" s="76" t="str">
        <f>VLOOKUP(C39,'BD EVA 4 MTY'!$D$3:$AB$113,13,0)</f>
        <v>Verde</v>
      </c>
      <c r="F39" s="89" t="str">
        <f>VLOOKUP(C39,'BD EVA 4 MTY'!$D$3:$AB$113,10,0)</f>
        <v>Dic 2023</v>
      </c>
      <c r="G39" s="76" t="str">
        <f ca="1">VLOOKUP(C39,'BD EVA 4 MTY'!$D$3:$AC$113,25,0)</f>
        <v>Verde</v>
      </c>
      <c r="H39" s="76" t="str">
        <f>VLOOKUP(C39,'BD EVA 4 MTY'!$D$3:$AC$113,18,0)</f>
        <v>Verde</v>
      </c>
      <c r="I39" s="76">
        <f ca="1">IF(G39="Verde",1,0)</f>
        <v>1</v>
      </c>
      <c r="J39" s="75" t="s">
        <v>318</v>
      </c>
      <c r="K39" s="85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BF61F-1FC5-3D46-9B71-F39F05BF343F}">
  <dimension ref="A1:AE113"/>
  <sheetViews>
    <sheetView workbookViewId="0">
      <selection sqref="A1:AE113"/>
    </sheetView>
  </sheetViews>
  <sheetFormatPr baseColWidth="10" defaultRowHeight="16"/>
  <sheetData>
    <row r="1" spans="1:31" ht="78">
      <c r="A1" s="61" t="s">
        <v>0</v>
      </c>
      <c r="B1" s="61" t="s">
        <v>1</v>
      </c>
      <c r="C1" s="61" t="s">
        <v>2</v>
      </c>
      <c r="D1" s="175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2" t="s">
        <v>29</v>
      </c>
      <c r="B2" s="2" t="s">
        <v>29</v>
      </c>
      <c r="C2" s="2" t="s">
        <v>30</v>
      </c>
      <c r="D2" s="148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4"/>
      <c r="Q2" s="5">
        <v>1136308</v>
      </c>
      <c r="R2" s="5">
        <v>1136308</v>
      </c>
      <c r="S2" s="5">
        <v>1136308</v>
      </c>
      <c r="T2" s="4"/>
      <c r="U2" s="6"/>
      <c r="V2" s="6"/>
      <c r="W2" s="6"/>
      <c r="X2" s="6"/>
      <c r="Y2" s="6"/>
      <c r="Z2" s="5">
        <v>1149605</v>
      </c>
      <c r="AA2" s="5">
        <v>1149605</v>
      </c>
      <c r="AB2" s="5">
        <v>1164927</v>
      </c>
      <c r="AC2" s="5">
        <v>1164927</v>
      </c>
      <c r="AD2" s="5">
        <v>1182363</v>
      </c>
      <c r="AE2" s="5">
        <v>1182363</v>
      </c>
    </row>
    <row r="3" spans="1:31">
      <c r="A3" s="9" t="s">
        <v>34</v>
      </c>
      <c r="B3" s="9" t="s">
        <v>35</v>
      </c>
      <c r="C3" s="2" t="s">
        <v>36</v>
      </c>
      <c r="D3" s="148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1125</v>
      </c>
      <c r="R3" s="12">
        <v>1125</v>
      </c>
      <c r="S3" s="12">
        <f ca="1">IFERROR(__xludf.DUMMYFUNCTION("INDEX(IMPORTRANGE(""17pNv02DXDpQT9S3w4-QeNym2QJy2BzMBqDXp-XtzJBM"", ""'MTY'!BG3:BG139""),MATCH($D3,IMPORTRANGE(""17pNv02DXDpQT9S3w4-QeNym2QJy2BzMBqDXp-XtzJBM"", ""'MTY'!D3:D139""),0))"),1125)</f>
        <v>1125</v>
      </c>
      <c r="T3" s="6">
        <v>1180</v>
      </c>
      <c r="U3" s="6">
        <v>1240</v>
      </c>
      <c r="V3" s="6">
        <v>1300</v>
      </c>
      <c r="W3" s="6">
        <v>1360</v>
      </c>
      <c r="X3" s="6">
        <f>((Y3-W3)/6)*5+W3</f>
        <v>1414.1666666666667</v>
      </c>
      <c r="Y3" s="6">
        <v>1425</v>
      </c>
      <c r="Z3" s="12">
        <f ca="1">IFERROR(__xludf.DUMMYFUNCTION("INDEX(IMPORTRANGE(""17pNv02DXDpQT9S3w4-QeNym2QJy2BzMBqDXp-XtzJBM"", ""'MTY'!BH3:BH139""),MATCH($D3,IMPORTRANGE(""17pNv02DXDpQT9S3w4-QeNym2QJy2BzMBqDXp-XtzJBM"", ""'MTY'!D3:D139""),0))"),1122)</f>
        <v>1122</v>
      </c>
      <c r="AA3" s="12">
        <f ca="1">IFERROR(__xludf.DUMMYFUNCTION("INDEX(IMPORTRANGE(""17pNv02DXDpQT9S3w4-QeNym2QJy2BzMBqDXp-XtzJBM"", ""'MTY'!BI3:BI139""),MATCH($D3,IMPORTRANGE(""17pNv02DXDpQT9S3w4-QeNym2QJy2BzMBqDXp-XtzJBM"", ""'MTY'!D3:D139""),0))"),1119)</f>
        <v>1119</v>
      </c>
      <c r="AB3" s="12">
        <f ca="1">IFERROR(__xludf.DUMMYFUNCTION("INDEX(IMPORTRANGE(""17pNv02DXDpQT9S3w4-QeNym2QJy2BzMBqDXp-XtzJBM"", ""'MTY'!BJ3:BJ139""),MATCH($D3,IMPORTRANGE(""17pNv02DXDpQT9S3w4-QeNym2QJy2BzMBqDXp-XtzJBM"", ""'MTY'!D3:D139""),0))"),1152)</f>
        <v>1152</v>
      </c>
      <c r="AC3" s="12">
        <f ca="1">IFERROR(__xludf.DUMMYFUNCTION("INDEX(IMPORTRANGE(""17pNv02DXDpQT9S3w4-QeNym2QJy2BzMBqDXp-XtzJBM"", ""'MTY'!BK3:BK139""),MATCH($D3,IMPORTRANGE(""17pNv02DXDpQT9S3w4-QeNym2QJy2BzMBqDXp-XtzJBM"", ""'MTY'!D3:D139""),0))"),1190)</f>
        <v>1190</v>
      </c>
      <c r="AD3" s="12">
        <f ca="1">IFERROR(__xludf.DUMMYFUNCTION("INDEX(IMPORTRANGE(""17pNv02DXDpQT9S3w4-QeNym2QJy2BzMBqDXp-XtzJBM"", ""'MTY'!BL3:BL139""),MATCH($D3,IMPORTRANGE(""17pNv02DXDpQT9S3w4-QeNym2QJy2BzMBqDXp-XtzJBM"", ""'MTY'!D3:D139""),0))"),1218)</f>
        <v>1218</v>
      </c>
      <c r="AE3" s="12">
        <f ca="1">IFERROR(__xludf.DUMMYFUNCTION("INDEX(IMPORTRANGE(""17pNv02DXDpQT9S3w4-QeNym2QJy2BzMBqDXp-XtzJBM"", ""'MTY'!BM3:BM139""),MATCH($D3,IMPORTRANGE(""17pNv02DXDpQT9S3w4-QeNym2QJy2BzMBqDXp-XtzJBM"", ""'MTY'!D3:D139""),0))"),1172)</f>
        <v>1172</v>
      </c>
    </row>
    <row r="4" spans="1:31">
      <c r="A4" s="9" t="s">
        <v>34</v>
      </c>
      <c r="B4" s="9" t="s">
        <v>40</v>
      </c>
      <c r="C4" s="2" t="s">
        <v>30</v>
      </c>
      <c r="D4" s="149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1055</v>
      </c>
      <c r="R4" s="12">
        <v>1055</v>
      </c>
      <c r="S4" s="12">
        <f ca="1">IFERROR(__xludf.DUMMYFUNCTION("INDEX(IMPORTRANGE(""17pNv02DXDpQT9S3w4-QeNym2QJy2BzMBqDXp-XtzJBM"", ""'MTY'!BG3:BG139""),MATCH($D4,IMPORTRANGE(""17pNv02DXDpQT9S3w4-QeNym2QJy2BzMBqDXp-XtzJBM"", ""'MTY'!D3:D139""),0))"),1055)</f>
        <v>1055</v>
      </c>
      <c r="T4" s="6"/>
      <c r="U4" s="6"/>
      <c r="V4" s="6"/>
      <c r="W4" s="6"/>
      <c r="X4" s="6"/>
      <c r="Y4" s="6"/>
      <c r="Z4" s="12">
        <f ca="1">IFERROR(__xludf.DUMMYFUNCTION("INDEX(IMPORTRANGE(""17pNv02DXDpQT9S3w4-QeNym2QJy2BzMBqDXp-XtzJBM"", ""'MTY'!BH3:BH139""),MATCH($D4,IMPORTRANGE(""17pNv02DXDpQT9S3w4-QeNym2QJy2BzMBqDXp-XtzJBM"", ""'MTY'!D3:D139""),0))"),1054)</f>
        <v>1054</v>
      </c>
      <c r="AA4" s="12">
        <f ca="1">IFERROR(__xludf.DUMMYFUNCTION("INDEX(IMPORTRANGE(""17pNv02DXDpQT9S3w4-QeNym2QJy2BzMBqDXp-XtzJBM"", ""'MTY'!BI3:BI139""),MATCH($D4,IMPORTRANGE(""17pNv02DXDpQT9S3w4-QeNym2QJy2BzMBqDXp-XtzJBM"", ""'MTY'!D3:D139""),0))"),1070)</f>
        <v>1070</v>
      </c>
      <c r="AB4" s="12">
        <f ca="1">IFERROR(__xludf.DUMMYFUNCTION("INDEX(IMPORTRANGE(""17pNv02DXDpQT9S3w4-QeNym2QJy2BzMBqDXp-XtzJBM"", ""'MTY'!BJ3:BJ139""),MATCH($D4,IMPORTRANGE(""17pNv02DXDpQT9S3w4-QeNym2QJy2BzMBqDXp-XtzJBM"", ""'MTY'!D3:D139""),0))"),1097)</f>
        <v>1097</v>
      </c>
      <c r="AC4" s="12">
        <f ca="1">IFERROR(__xludf.DUMMYFUNCTION("INDEX(IMPORTRANGE(""17pNv02DXDpQT9S3w4-QeNym2QJy2BzMBqDXp-XtzJBM"", ""'MTY'!BK3:BK139""),MATCH($D4,IMPORTRANGE(""17pNv02DXDpQT9S3w4-QeNym2QJy2BzMBqDXp-XtzJBM"", ""'MTY'!D3:D139""),0))"),1118)</f>
        <v>1118</v>
      </c>
      <c r="AD4" s="12">
        <f ca="1">IFERROR(__xludf.DUMMYFUNCTION("INDEX(IMPORTRANGE(""17pNv02DXDpQT9S3w4-QeNym2QJy2BzMBqDXp-XtzJBM"", ""'MTY'!BL3:BL139""),MATCH($D4,IMPORTRANGE(""17pNv02DXDpQT9S3w4-QeNym2QJy2BzMBqDXp-XtzJBM"", ""'MTY'!D3:D139""),0))"),1157)</f>
        <v>1157</v>
      </c>
      <c r="AE4" s="12">
        <f ca="1">IFERROR(__xludf.DUMMYFUNCTION("INDEX(IMPORTRANGE(""17pNv02DXDpQT9S3w4-QeNym2QJy2BzMBqDXp-XtzJBM"", ""'MTY'!BM3:BM139""),MATCH($D4,IMPORTRANGE(""17pNv02DXDpQT9S3w4-QeNym2QJy2BzMBqDXp-XtzJBM"", ""'MTY'!D3:D139""),0))"),1136)</f>
        <v>1136</v>
      </c>
    </row>
    <row r="5" spans="1:31">
      <c r="A5" s="9" t="s">
        <v>34</v>
      </c>
      <c r="B5" s="9" t="s">
        <v>40</v>
      </c>
      <c r="C5" s="2" t="s">
        <v>36</v>
      </c>
      <c r="D5" s="148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0.93777777777777782</v>
      </c>
      <c r="R5" s="15">
        <f t="shared" si="0"/>
        <v>0.93777777777777782</v>
      </c>
      <c r="S5" s="15">
        <f ca="1">IFERROR(__xludf.DUMMYFUNCTION("INDEX(IMPORTRANGE(""17pNv02DXDpQT9S3w4-QeNym2QJy2BzMBqDXp-XtzJBM"", ""'MTY'!BG3:BG139""),MATCH($D5,IMPORTRANGE(""17pNv02DXDpQT9S3w4-QeNym2QJy2BzMBqDXp-XtzJBM"", ""'MTY'!D3:D139""),0))"),0.937777777777777)</f>
        <v>0.93777777777777704</v>
      </c>
      <c r="T5" s="31" t="s">
        <v>327</v>
      </c>
      <c r="U5" s="31" t="s">
        <v>327</v>
      </c>
      <c r="V5" s="31" t="s">
        <v>327</v>
      </c>
      <c r="W5" s="31" t="s">
        <v>327</v>
      </c>
      <c r="X5" s="31" t="s">
        <v>327</v>
      </c>
      <c r="Y5" s="31" t="s">
        <v>327</v>
      </c>
      <c r="Z5" s="15">
        <f ca="1">IFERROR(__xludf.DUMMYFUNCTION("INDEX(IMPORTRANGE(""17pNv02DXDpQT9S3w4-QeNym2QJy2BzMBqDXp-XtzJBM"", ""'MTY'!BH3:BH139""),MATCH($D5,IMPORTRANGE(""17pNv02DXDpQT9S3w4-QeNym2QJy2BzMBqDXp-XtzJBM"", ""'MTY'!D3:D139""),0))"),0.939393939393939)</f>
        <v>0.939393939393939</v>
      </c>
      <c r="AA5" s="15">
        <f ca="1">IFERROR(__xludf.DUMMYFUNCTION("INDEX(IMPORTRANGE(""17pNv02DXDpQT9S3w4-QeNym2QJy2BzMBqDXp-XtzJBM"", ""'MTY'!BI3:BI139""),MATCH($D5,IMPORTRANGE(""17pNv02DXDpQT9S3w4-QeNym2QJy2BzMBqDXp-XtzJBM"", ""'MTY'!D3:D139""),0))"),0.956210902591599)</f>
        <v>0.95621090259159902</v>
      </c>
      <c r="AB5" s="15">
        <f ca="1">IFERROR(__xludf.DUMMYFUNCTION("INDEX(IMPORTRANGE(""17pNv02DXDpQT9S3w4-QeNym2QJy2BzMBqDXp-XtzJBM"", ""'MTY'!BJ3:BJ139""),MATCH($D5,IMPORTRANGE(""17pNv02DXDpQT9S3w4-QeNym2QJy2BzMBqDXp-XtzJBM"", ""'MTY'!D3:D139""),0))"),0.952256944444444)</f>
        <v>0.95225694444444398</v>
      </c>
      <c r="AC5" s="15">
        <f ca="1">IFERROR(__xludf.DUMMYFUNCTION("INDEX(IMPORTRANGE(""17pNv02DXDpQT9S3w4-QeNym2QJy2BzMBqDXp-XtzJBM"", ""'MTY'!BK3:BK139""),MATCH($D5,IMPORTRANGE(""17pNv02DXDpQT9S3w4-QeNym2QJy2BzMBqDXp-XtzJBM"", ""'MTY'!D3:D139""),0))"),0.939495798319327)</f>
        <v>0.93949579831932695</v>
      </c>
      <c r="AD5" s="15">
        <f ca="1">IFERROR(__xludf.DUMMYFUNCTION("INDEX(IMPORTRANGE(""17pNv02DXDpQT9S3w4-QeNym2QJy2BzMBqDXp-XtzJBM"", ""'MTY'!BL3:BL139""),MATCH($D5,IMPORTRANGE(""17pNv02DXDpQT9S3w4-QeNym2QJy2BzMBqDXp-XtzJBM"", ""'MTY'!D3:D139""),0))"),0.94991789819376)</f>
        <v>0.94991789819376005</v>
      </c>
      <c r="AE5" s="15">
        <f ca="1">IFERROR(__xludf.DUMMYFUNCTION("INDEX(IMPORTRANGE(""17pNv02DXDpQT9S3w4-QeNym2QJy2BzMBqDXp-XtzJBM"", ""'MTY'!BM3:BM139""),MATCH($D5,IMPORTRANGE(""17pNv02DXDpQT9S3w4-QeNym2QJy2BzMBqDXp-XtzJBM"", ""'MTY'!D3:D139""),0))"),0.969283276450511)</f>
        <v>0.96928327645051104</v>
      </c>
    </row>
    <row r="6" spans="1:31">
      <c r="A6" s="9" t="s">
        <v>34</v>
      </c>
      <c r="B6" s="9" t="s">
        <v>45</v>
      </c>
      <c r="C6" s="2" t="s">
        <v>30</v>
      </c>
      <c r="D6" s="47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12"/>
      <c r="R6" s="2"/>
      <c r="S6" s="2">
        <f ca="1">IFERROR(__xludf.DUMMYFUNCTION("INDEX(IMPORTRANGE(""17pNv02DXDpQT9S3w4-QeNym2QJy2BzMBqDXp-XtzJBM"", ""'MTY'!BG3:BG139""),MATCH($D6,IMPORTRANGE(""17pNv02DXDpQT9S3w4-QeNym2QJy2BzMBqDXp-XtzJBM"", ""'MTY'!D3:D139""),0))"),18)</f>
        <v>18</v>
      </c>
      <c r="T6" s="2"/>
      <c r="U6" s="2"/>
      <c r="V6" s="2"/>
      <c r="W6" s="2"/>
      <c r="X6" s="2"/>
      <c r="Y6" s="2"/>
      <c r="Z6" s="12">
        <f ca="1">IFERROR(__xludf.DUMMYFUNCTION("INDEX(IMPORTRANGE(""17pNv02DXDpQT9S3w4-QeNym2QJy2BzMBqDXp-XtzJBM"", ""'MTY'!BH3:BH139""),MATCH($D6,IMPORTRANGE(""17pNv02DXDpQT9S3w4-QeNym2QJy2BzMBqDXp-XtzJBM"", ""'MTY'!D3:D139""),0))"),4)</f>
        <v>4</v>
      </c>
      <c r="AA6" s="12">
        <f ca="1">IFERROR(__xludf.DUMMYFUNCTION("INDEX(IMPORTRANGE(""17pNv02DXDpQT9S3w4-QeNym2QJy2BzMBqDXp-XtzJBM"", ""'MTY'!BI3:BI139""),MATCH($D6,IMPORTRANGE(""17pNv02DXDpQT9S3w4-QeNym2QJy2BzMBqDXp-XtzJBM"", ""'MTY'!D3:D139""),0))"),16)</f>
        <v>16</v>
      </c>
      <c r="AB6" s="12">
        <f ca="1">IFERROR(__xludf.DUMMYFUNCTION("INDEX(IMPORTRANGE(""17pNv02DXDpQT9S3w4-QeNym2QJy2BzMBqDXp-XtzJBM"", ""'MTY'!BJ3:BJ139""),MATCH($D6,IMPORTRANGE(""17pNv02DXDpQT9S3w4-QeNym2QJy2BzMBqDXp-XtzJBM"", ""'MTY'!D3:D139""),0))"),21)</f>
        <v>21</v>
      </c>
      <c r="AC6" s="12">
        <f ca="1">IFERROR(__xludf.DUMMYFUNCTION("INDEX(IMPORTRANGE(""17pNv02DXDpQT9S3w4-QeNym2QJy2BzMBqDXp-XtzJBM"", ""'MTY'!BK3:BK139""),MATCH($D6,IMPORTRANGE(""17pNv02DXDpQT9S3w4-QeNym2QJy2BzMBqDXp-XtzJBM"", ""'MTY'!D3:D139""),0))"),23)</f>
        <v>23</v>
      </c>
      <c r="AD6" s="12">
        <f ca="1">IFERROR(__xludf.DUMMYFUNCTION("INDEX(IMPORTRANGE(""17pNv02DXDpQT9S3w4-QeNym2QJy2BzMBqDXp-XtzJBM"", ""'MTY'!BL3:BL139""),MATCH($D6,IMPORTRANGE(""17pNv02DXDpQT9S3w4-QeNym2QJy2BzMBqDXp-XtzJBM"", ""'MTY'!D3:D139""),0))"),30)</f>
        <v>30</v>
      </c>
      <c r="AE6" s="12">
        <f ca="1">IFERROR(__xludf.DUMMYFUNCTION("INDEX(IMPORTRANGE(""17pNv02DXDpQT9S3w4-QeNym2QJy2BzMBqDXp-XtzJBM"", ""'MTY'!BM3:BM139""),MATCH($D6,IMPORTRANGE(""17pNv02DXDpQT9S3w4-QeNym2QJy2BzMBqDXp-XtzJBM"", ""'MTY'!D3:D139""),0))"),37)</f>
        <v>37</v>
      </c>
    </row>
    <row r="7" spans="1:31">
      <c r="A7" s="9" t="s">
        <v>34</v>
      </c>
      <c r="B7" s="9" t="s">
        <v>45</v>
      </c>
      <c r="C7" s="2" t="s">
        <v>30</v>
      </c>
      <c r="D7" s="148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2"/>
      <c r="R7" s="2"/>
      <c r="S7" s="2">
        <f ca="1">IFERROR(__xludf.DUMMYFUNCTION("INDEX(IMPORTRANGE(""17pNv02DXDpQT9S3w4-QeNym2QJy2BzMBqDXp-XtzJBM"", ""'MTY'!BG3:BG139""),MATCH($D7,IMPORTRANGE(""17pNv02DXDpQT9S3w4-QeNym2QJy2BzMBqDXp-XtzJBM"", ""'MTY'!D3:D139""),0))"),0)</f>
        <v>0</v>
      </c>
      <c r="T7" s="2">
        <v>16</v>
      </c>
      <c r="U7" s="2">
        <v>16</v>
      </c>
      <c r="V7" s="2">
        <v>22</v>
      </c>
      <c r="W7" s="2">
        <v>22</v>
      </c>
      <c r="X7" s="12">
        <f t="shared" ref="X7:X8" si="1">((Y7-W7)/6)*5+W7</f>
        <v>32.833333333333329</v>
      </c>
      <c r="Y7" s="2">
        <v>35</v>
      </c>
      <c r="Z7" s="12" t="str">
        <f ca="1">IFERROR(__xludf.DUMMYFUNCTION("INDEX(IMPORTRANGE(""17pNv02DXDpQT9S3w4-QeNym2QJy2BzMBqDXp-XtzJBM"", ""'MTY'!BH3:BH139""),MATCH($D7,IMPORTRANGE(""17pNv02DXDpQT9S3w4-QeNym2QJy2BzMBqDXp-XtzJBM"", ""'MTY'!D3:D139""),0))"),"")</f>
        <v/>
      </c>
      <c r="AA7" s="12">
        <f ca="1">IFERROR(__xludf.DUMMYFUNCTION("INDEX(IMPORTRANGE(""17pNv02DXDpQT9S3w4-QeNym2QJy2BzMBqDXp-XtzJBM"", ""'MTY'!BI3:BI139""),MATCH($D7,IMPORTRANGE(""17pNv02DXDpQT9S3w4-QeNym2QJy2BzMBqDXp-XtzJBM"", ""'MTY'!D3:D139""),0))"),1)</f>
        <v>1</v>
      </c>
      <c r="AB7" s="12">
        <f ca="1">IFERROR(__xludf.DUMMYFUNCTION("INDEX(IMPORTRANGE(""17pNv02DXDpQT9S3w4-QeNym2QJy2BzMBqDXp-XtzJBM"", ""'MTY'!BJ3:BJ139""),MATCH($D7,IMPORTRANGE(""17pNv02DXDpQT9S3w4-QeNym2QJy2BzMBqDXp-XtzJBM"", ""'MTY'!D3:D139""),0))"),0)</f>
        <v>0</v>
      </c>
      <c r="AC7" s="12">
        <f ca="1">IFERROR(__xludf.DUMMYFUNCTION("INDEX(IMPORTRANGE(""17pNv02DXDpQT9S3w4-QeNym2QJy2BzMBqDXp-XtzJBM"", ""'MTY'!BK3:BK139""),MATCH($D7,IMPORTRANGE(""17pNv02DXDpQT9S3w4-QeNym2QJy2BzMBqDXp-XtzJBM"", ""'MTY'!D3:D139""),0))"),0)</f>
        <v>0</v>
      </c>
      <c r="AD7" s="12">
        <f ca="1">IFERROR(__xludf.DUMMYFUNCTION("INDEX(IMPORTRANGE(""17pNv02DXDpQT9S3w4-QeNym2QJy2BzMBqDXp-XtzJBM"", ""'MTY'!BL3:BL139""),MATCH($D7,IMPORTRANGE(""17pNv02DXDpQT9S3w4-QeNym2QJy2BzMBqDXp-XtzJBM"", ""'MTY'!D3:D139""),0))"),0)</f>
        <v>0</v>
      </c>
      <c r="AE7" s="12">
        <f ca="1">IFERROR(__xludf.DUMMYFUNCTION("INDEX(IMPORTRANGE(""17pNv02DXDpQT9S3w4-QeNym2QJy2BzMBqDXp-XtzJBM"", ""'MTY'!BM3:BM139""),MATCH($D7,IMPORTRANGE(""17pNv02DXDpQT9S3w4-QeNym2QJy2BzMBqDXp-XtzJBM"", ""'MTY'!D3:D139""),0))"),0)</f>
        <v>0</v>
      </c>
    </row>
    <row r="8" spans="1:31">
      <c r="A8" s="9" t="s">
        <v>34</v>
      </c>
      <c r="B8" s="9" t="s">
        <v>45</v>
      </c>
      <c r="C8" s="2" t="s">
        <v>36</v>
      </c>
      <c r="D8" s="148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5">
        <f t="shared" ref="Q8:R8" si="2">Q6/Q3</f>
        <v>0</v>
      </c>
      <c r="R8" s="15">
        <f t="shared" si="2"/>
        <v>0</v>
      </c>
      <c r="S8" s="15">
        <f ca="1">IFERROR(__xludf.DUMMYFUNCTION("INDEX(IMPORTRANGE(""17pNv02DXDpQT9S3w4-QeNym2QJy2BzMBqDXp-XtzJBM"", ""'MTY'!BG3:BG139""),MATCH($D8,IMPORTRANGE(""17pNv02DXDpQT9S3w4-QeNym2QJy2BzMBqDXp-XtzJBM"", ""'MTY'!D3:D139""),0))"),0.016)</f>
        <v>1.6E-2</v>
      </c>
      <c r="T8" s="15">
        <f t="shared" ref="T8:W8" si="3">T7/T3</f>
        <v>1.3559322033898305E-2</v>
      </c>
      <c r="U8" s="15">
        <f t="shared" si="3"/>
        <v>1.2903225806451613E-2</v>
      </c>
      <c r="V8" s="15">
        <f t="shared" si="3"/>
        <v>1.6923076923076923E-2</v>
      </c>
      <c r="W8" s="15">
        <f t="shared" si="3"/>
        <v>1.6176470588235296E-2</v>
      </c>
      <c r="X8" s="15">
        <f t="shared" si="1"/>
        <v>2.316391468868249E-2</v>
      </c>
      <c r="Y8" s="15">
        <f>Y7/Y3</f>
        <v>2.456140350877193E-2</v>
      </c>
      <c r="Z8" s="15">
        <f ca="1">IFERROR(__xludf.DUMMYFUNCTION("INDEX(IMPORTRANGE(""17pNv02DXDpQT9S3w4-QeNym2QJy2BzMBqDXp-XtzJBM"", ""'MTY'!BH3:BH139""),MATCH($D8,IMPORTRANGE(""17pNv02DXDpQT9S3w4-QeNym2QJy2BzMBqDXp-XtzJBM"", ""'MTY'!D3:D139""),0))"),0.0035650623885918)</f>
        <v>3.5650623885918001E-3</v>
      </c>
      <c r="AA8" s="15">
        <f ca="1">IFERROR(__xludf.DUMMYFUNCTION("INDEX(IMPORTRANGE(""17pNv02DXDpQT9S3w4-QeNym2QJy2BzMBqDXp-XtzJBM"", ""'MTY'!BI3:BI139""),MATCH($D8,IMPORTRANGE(""17pNv02DXDpQT9S3w4-QeNym2QJy2BzMBqDXp-XtzJBM"", ""'MTY'!D3:D139""),0))"),0.0151921358355674)</f>
        <v>1.5192135835567401E-2</v>
      </c>
      <c r="AB8" s="15">
        <f ca="1">IFERROR(__xludf.DUMMYFUNCTION("INDEX(IMPORTRANGE(""17pNv02DXDpQT9S3w4-QeNym2QJy2BzMBqDXp-XtzJBM"", ""'MTY'!BJ3:BJ139""),MATCH($D8,IMPORTRANGE(""17pNv02DXDpQT9S3w4-QeNym2QJy2BzMBqDXp-XtzJBM"", ""'MTY'!D3:D139""),0))"),0.0182291666666666)</f>
        <v>1.8229166666666598E-2</v>
      </c>
      <c r="AC8" s="15">
        <f ca="1">IFERROR(__xludf.DUMMYFUNCTION("INDEX(IMPORTRANGE(""17pNv02DXDpQT9S3w4-QeNym2QJy2BzMBqDXp-XtzJBM"", ""'MTY'!BK3:BK139""),MATCH($D8,IMPORTRANGE(""17pNv02DXDpQT9S3w4-QeNym2QJy2BzMBqDXp-XtzJBM"", ""'MTY'!D3:D139""),0))"),0.0193277310924369)</f>
        <v>1.9327731092436899E-2</v>
      </c>
      <c r="AD8" s="15">
        <f ca="1">IFERROR(__xludf.DUMMYFUNCTION("INDEX(IMPORTRANGE(""17pNv02DXDpQT9S3w4-QeNym2QJy2BzMBqDXp-XtzJBM"", ""'MTY'!BL3:BL139""),MATCH($D8,IMPORTRANGE(""17pNv02DXDpQT9S3w4-QeNym2QJy2BzMBqDXp-XtzJBM"", ""'MTY'!D3:D139""),0))"),0.0246305418719211)</f>
        <v>2.46305418719211E-2</v>
      </c>
      <c r="AE8" s="15">
        <f ca="1">IFERROR(__xludf.DUMMYFUNCTION("INDEX(IMPORTRANGE(""17pNv02DXDpQT9S3w4-QeNym2QJy2BzMBqDXp-XtzJBM"", ""'MTY'!BM3:BM139""),MATCH($D8,IMPORTRANGE(""17pNv02DXDpQT9S3w4-QeNym2QJy2BzMBqDXp-XtzJBM"", ""'MTY'!D3:D139""),0))"),0.0315699658703071)</f>
        <v>3.1569965870307103E-2</v>
      </c>
    </row>
    <row r="9" spans="1:31">
      <c r="A9" s="9" t="s">
        <v>52</v>
      </c>
      <c r="B9" s="9" t="s">
        <v>53</v>
      </c>
      <c r="C9" s="2" t="s">
        <v>30</v>
      </c>
      <c r="D9" s="149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0</v>
      </c>
      <c r="R9" s="12">
        <v>0</v>
      </c>
      <c r="S9" s="12" t="str">
        <f ca="1">IFERROR(__xludf.DUMMYFUNCTION("INDEX(IMPORTRANGE(""17pNv02DXDpQT9S3w4-QeNym2QJy2BzMBqDXp-XtzJBM"", ""'MTY'!BG3:BG139""),MATCH($D9,IMPORTRANGE(""17pNv02DXDpQT9S3w4-QeNym2QJy2BzMBqDXp-XtzJBM"", ""'MTY'!D3:D139""),0))"),"")</f>
        <v/>
      </c>
      <c r="T9" s="4"/>
      <c r="U9" s="4"/>
      <c r="V9" s="4"/>
      <c r="W9" s="4"/>
      <c r="X9" s="4"/>
      <c r="Y9" s="4"/>
      <c r="Z9" s="12">
        <f ca="1">IFERROR(__xludf.DUMMYFUNCTION("INDEX(IMPORTRANGE(""17pNv02DXDpQT9S3w4-QeNym2QJy2BzMBqDXp-XtzJBM"", ""'MTY'!BH3:BH139""),MATCH($D9,IMPORTRANGE(""17pNv02DXDpQT9S3w4-QeNym2QJy2BzMBqDXp-XtzJBM"", ""'MTY'!D3:D139""),0))"),0)</f>
        <v>0</v>
      </c>
      <c r="AA9" s="12">
        <f ca="1">IFERROR(__xludf.DUMMYFUNCTION("INDEX(IMPORTRANGE(""17pNv02DXDpQT9S3w4-QeNym2QJy2BzMBqDXp-XtzJBM"", ""'MTY'!BI3:BI139""),MATCH($D9,IMPORTRANGE(""17pNv02DXDpQT9S3w4-QeNym2QJy2BzMBqDXp-XtzJBM"", ""'MTY'!D3:D139""),0))"),0)</f>
        <v>0</v>
      </c>
      <c r="AB9" s="12">
        <f ca="1">IFERROR(__xludf.DUMMYFUNCTION("INDEX(IMPORTRANGE(""17pNv02DXDpQT9S3w4-QeNym2QJy2BzMBqDXp-XtzJBM"", ""'MTY'!BJ3:BJ139""),MATCH($D9,IMPORTRANGE(""17pNv02DXDpQT9S3w4-QeNym2QJy2BzMBqDXp-XtzJBM"", ""'MTY'!D3:D139""),0))"),151)</f>
        <v>151</v>
      </c>
      <c r="AC9" s="12">
        <f ca="1">IFERROR(__xludf.DUMMYFUNCTION("INDEX(IMPORTRANGE(""17pNv02DXDpQT9S3w4-QeNym2QJy2BzMBqDXp-XtzJBM"", ""'MTY'!BK3:BK139""),MATCH($D9,IMPORTRANGE(""17pNv02DXDpQT9S3w4-QeNym2QJy2BzMBqDXp-XtzJBM"", ""'MTY'!D3:D139""),0))"),266)</f>
        <v>266</v>
      </c>
      <c r="AD9" s="12">
        <f ca="1">IFERROR(__xludf.DUMMYFUNCTION("INDEX(IMPORTRANGE(""17pNv02DXDpQT9S3w4-QeNym2QJy2BzMBqDXp-XtzJBM"", ""'MTY'!BL3:BL139""),MATCH($D9,IMPORTRANGE(""17pNv02DXDpQT9S3w4-QeNym2QJy2BzMBqDXp-XtzJBM"", ""'MTY'!D3:D139""),0))"),148)</f>
        <v>148</v>
      </c>
      <c r="AE9" s="12">
        <f ca="1">IFERROR(__xludf.DUMMYFUNCTION("INDEX(IMPORTRANGE(""17pNv02DXDpQT9S3w4-QeNym2QJy2BzMBqDXp-XtzJBM"", ""'MTY'!BM3:BM139""),MATCH($D9,IMPORTRANGE(""17pNv02DXDpQT9S3w4-QeNym2QJy2BzMBqDXp-XtzJBM"", ""'MTY'!D3:D139""),0))"),210)</f>
        <v>210</v>
      </c>
    </row>
    <row r="10" spans="1:31">
      <c r="A10" s="9" t="s">
        <v>52</v>
      </c>
      <c r="B10" s="9" t="s">
        <v>53</v>
      </c>
      <c r="C10" s="2" t="s">
        <v>30</v>
      </c>
      <c r="D10" s="149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9450</v>
      </c>
      <c r="R10" s="12">
        <v>17558</v>
      </c>
      <c r="S10" s="12">
        <f ca="1">IFERROR(__xludf.DUMMYFUNCTION("INDEX(IMPORTRANGE(""17pNv02DXDpQT9S3w4-QeNym2QJy2BzMBqDXp-XtzJBM"", ""'MTY'!BG3:BG139""),MATCH($D10,IMPORTRANGE(""17pNv02DXDpQT9S3w4-QeNym2QJy2BzMBqDXp-XtzJBM"", ""'MTY'!D3:D139""),0))"),17558)</f>
        <v>17558</v>
      </c>
      <c r="T10" s="4"/>
      <c r="U10" s="4"/>
      <c r="V10" s="4"/>
      <c r="W10" s="4"/>
      <c r="X10" s="4"/>
      <c r="Y10" s="4"/>
      <c r="Z10" s="12">
        <f ca="1">IFERROR(__xludf.DUMMYFUNCTION("INDEX(IMPORTRANGE(""17pNv02DXDpQT9S3w4-QeNym2QJy2BzMBqDXp-XtzJBM"", ""'MTY'!BH3:BH139""),MATCH($D10,IMPORTRANGE(""17pNv02DXDpQT9S3w4-QeNym2QJy2BzMBqDXp-XtzJBM"", ""'MTY'!D3:D139""),0))"),9187)</f>
        <v>9187</v>
      </c>
      <c r="AA10" s="12">
        <f ca="1">IFERROR(__xludf.DUMMYFUNCTION("INDEX(IMPORTRANGE(""17pNv02DXDpQT9S3w4-QeNym2QJy2BzMBqDXp-XtzJBM"", ""'MTY'!BI3:BI139""),MATCH($D10,IMPORTRANGE(""17pNv02DXDpQT9S3w4-QeNym2QJy2BzMBqDXp-XtzJBM"", ""'MTY'!D3:D139""),0))"),16911)</f>
        <v>16911</v>
      </c>
      <c r="AB10" s="12">
        <f ca="1">IFERROR(__xludf.DUMMYFUNCTION("INDEX(IMPORTRANGE(""17pNv02DXDpQT9S3w4-QeNym2QJy2BzMBqDXp-XtzJBM"", ""'MTY'!BJ3:BJ139""),MATCH($D10,IMPORTRANGE(""17pNv02DXDpQT9S3w4-QeNym2QJy2BzMBqDXp-XtzJBM"", ""'MTY'!D3:D139""),0))"),3271)</f>
        <v>3271</v>
      </c>
      <c r="AC10" s="12">
        <f ca="1">IFERROR(__xludf.DUMMYFUNCTION("INDEX(IMPORTRANGE(""17pNv02DXDpQT9S3w4-QeNym2QJy2BzMBqDXp-XtzJBM"", ""'MTY'!BK3:BK139""),MATCH($D10,IMPORTRANGE(""17pNv02DXDpQT9S3w4-QeNym2QJy2BzMBqDXp-XtzJBM"", ""'MTY'!D3:D139""),0))"),6698)</f>
        <v>6698</v>
      </c>
      <c r="AD10" s="12">
        <f ca="1">IFERROR(__xludf.DUMMYFUNCTION("INDEX(IMPORTRANGE(""17pNv02DXDpQT9S3w4-QeNym2QJy2BzMBqDXp-XtzJBM"", ""'MTY'!BL3:BL139""),MATCH($D10,IMPORTRANGE(""17pNv02DXDpQT9S3w4-QeNym2QJy2BzMBqDXp-XtzJBM"", ""'MTY'!D3:D139""),0))"),3680)</f>
        <v>3680</v>
      </c>
      <c r="AE10" s="12">
        <f ca="1">IFERROR(__xludf.DUMMYFUNCTION("INDEX(IMPORTRANGE(""17pNv02DXDpQT9S3w4-QeNym2QJy2BzMBqDXp-XtzJBM"", ""'MTY'!BM3:BM139""),MATCH($D10,IMPORTRANGE(""17pNv02DXDpQT9S3w4-QeNym2QJy2BzMBqDXp-XtzJBM"", ""'MTY'!D3:D139""),0))"),6624)</f>
        <v>6624</v>
      </c>
    </row>
    <row r="11" spans="1:31">
      <c r="A11" s="9" t="s">
        <v>52</v>
      </c>
      <c r="B11" s="9" t="s">
        <v>53</v>
      </c>
      <c r="C11" s="2" t="s">
        <v>36</v>
      </c>
      <c r="D11" s="149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4">Q9/Q10</f>
        <v>0</v>
      </c>
      <c r="R11" s="15">
        <f t="shared" si="4"/>
        <v>0</v>
      </c>
      <c r="S11" s="15">
        <f ca="1">IFERROR(__xludf.DUMMYFUNCTION("INDEX(IMPORTRANGE(""17pNv02DXDpQT9S3w4-QeNym2QJy2BzMBqDXp-XtzJBM"", ""'MTY'!BG3:BG139""),MATCH($D11,IMPORTRANGE(""17pNv02DXDpQT9S3w4-QeNym2QJy2BzMBqDXp-XtzJBM"", ""'MTY'!D3:D139""),0))"),0)</f>
        <v>0</v>
      </c>
      <c r="T11" s="26">
        <v>5.0000000000000001E-3</v>
      </c>
      <c r="U11" s="26">
        <v>0.01</v>
      </c>
      <c r="V11" s="26">
        <v>0.02</v>
      </c>
      <c r="W11" s="26">
        <v>3.5000000000000003E-2</v>
      </c>
      <c r="X11" s="15">
        <f>((Y11-W11)/6)*5+W11</f>
        <v>4.7500000000000001E-2</v>
      </c>
      <c r="Y11" s="26">
        <v>0.05</v>
      </c>
      <c r="Z11" s="15">
        <f ca="1">IFERROR(__xludf.DUMMYFUNCTION("INDEX(IMPORTRANGE(""17pNv02DXDpQT9S3w4-QeNym2QJy2BzMBqDXp-XtzJBM"", ""'MTY'!BH3:BH139""),MATCH($D11,IMPORTRANGE(""17pNv02DXDpQT9S3w4-QeNym2QJy2BzMBqDXp-XtzJBM"", ""'MTY'!D3:D139""),0))"),0)</f>
        <v>0</v>
      </c>
      <c r="AA11" s="15">
        <f ca="1">IFERROR(__xludf.DUMMYFUNCTION("INDEX(IMPORTRANGE(""17pNv02DXDpQT9S3w4-QeNym2QJy2BzMBqDXp-XtzJBM"", ""'MTY'!BI3:BI139""),MATCH($D11,IMPORTRANGE(""17pNv02DXDpQT9S3w4-QeNym2QJy2BzMBqDXp-XtzJBM"", ""'MTY'!D3:D139""),0))"),0)</f>
        <v>0</v>
      </c>
      <c r="AB11" s="15">
        <f ca="1">IFERROR(__xludf.DUMMYFUNCTION("INDEX(IMPORTRANGE(""17pNv02DXDpQT9S3w4-QeNym2QJy2BzMBqDXp-XtzJBM"", ""'MTY'!BJ3:BJ139""),MATCH($D11,IMPORTRANGE(""17pNv02DXDpQT9S3w4-QeNym2QJy2BzMBqDXp-XtzJBM"", ""'MTY'!D3:D139""),0))"),0.0461632528278813)</f>
        <v>4.61632528278813E-2</v>
      </c>
      <c r="AC11" s="15">
        <f ca="1">IFERROR(__xludf.DUMMYFUNCTION("INDEX(IMPORTRANGE(""17pNv02DXDpQT9S3w4-QeNym2QJy2BzMBqDXp-XtzJBM"", ""'MTY'!BK3:BK139""),MATCH($D11,IMPORTRANGE(""17pNv02DXDpQT9S3w4-QeNym2QJy2BzMBqDXp-XtzJBM"", ""'MTY'!D3:D139""),0))"),0.0397133472678411)</f>
        <v>3.97133472678411E-2</v>
      </c>
      <c r="AD11" s="15">
        <f ca="1">IFERROR(__xludf.DUMMYFUNCTION("INDEX(IMPORTRANGE(""17pNv02DXDpQT9S3w4-QeNym2QJy2BzMBqDXp-XtzJBM"", ""'MTY'!BL3:BL139""),MATCH($D11,IMPORTRANGE(""17pNv02DXDpQT9S3w4-QeNym2QJy2BzMBqDXp-XtzJBM"", ""'MTY'!D3:D139""),0))"),0.0402173913043478)</f>
        <v>4.0217391304347802E-2</v>
      </c>
      <c r="AE11" s="15">
        <f ca="1">IFERROR(__xludf.DUMMYFUNCTION("INDEX(IMPORTRANGE(""17pNv02DXDpQT9S3w4-QeNym2QJy2BzMBqDXp-XtzJBM"", ""'MTY'!BM3:BM139""),MATCH($D11,IMPORTRANGE(""17pNv02DXDpQT9S3w4-QeNym2QJy2BzMBqDXp-XtzJBM"", ""'MTY'!D3:D139""),0))"),0.0317028985507246)</f>
        <v>3.1702898550724598E-2</v>
      </c>
    </row>
    <row r="12" spans="1:31">
      <c r="A12" s="9" t="s">
        <v>52</v>
      </c>
      <c r="B12" s="9" t="s">
        <v>68</v>
      </c>
      <c r="C12" s="2" t="s">
        <v>30</v>
      </c>
      <c r="D12" s="149" t="s">
        <v>69</v>
      </c>
      <c r="E12" s="9" t="s">
        <v>444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/>
      <c r="R12" s="12"/>
      <c r="S12" s="12">
        <f ca="1">IFERROR(__xludf.DUMMYFUNCTION("INDEX(IMPORTRANGE(""17pNv02DXDpQT9S3w4-QeNym2QJy2BzMBqDXp-XtzJBM"", ""'MTY'!BG3:BG139""),MATCH($D12,IMPORTRANGE(""17pNv02DXDpQT9S3w4-QeNym2QJy2BzMBqDXp-XtzJBM"", ""'MTY'!D3:D139""),0))"),40)</f>
        <v>40</v>
      </c>
      <c r="T12" s="4"/>
      <c r="U12" s="4"/>
      <c r="V12" s="4"/>
      <c r="W12" s="4"/>
      <c r="X12" s="181"/>
      <c r="Y12" s="4"/>
      <c r="Z12" s="12">
        <f ca="1">IFERROR(__xludf.DUMMYFUNCTION("INDEX(IMPORTRANGE(""17pNv02DXDpQT9S3w4-QeNym2QJy2BzMBqDXp-XtzJBM"", ""'MTY'!BH3:BH139""),MATCH($D12,IMPORTRANGE(""17pNv02DXDpQT9S3w4-QeNym2QJy2BzMBqDXp-XtzJBM"", ""'MTY'!D3:D139""),0))"),21)</f>
        <v>21</v>
      </c>
      <c r="AA12" s="12">
        <f ca="1">IFERROR(__xludf.DUMMYFUNCTION("INDEX(IMPORTRANGE(""17pNv02DXDpQT9S3w4-QeNym2QJy2BzMBqDXp-XtzJBM"", ""'MTY'!BI3:BI139""),MATCH($D12,IMPORTRANGE(""17pNv02DXDpQT9S3w4-QeNym2QJy2BzMBqDXp-XtzJBM"", ""'MTY'!D3:D139""),0))"),53)</f>
        <v>53</v>
      </c>
      <c r="AB12" s="12">
        <f ca="1">IFERROR(__xludf.DUMMYFUNCTION("INDEX(IMPORTRANGE(""17pNv02DXDpQT9S3w4-QeNym2QJy2BzMBqDXp-XtzJBM"", ""'MTY'!BJ3:BJ139""),MATCH($D12,IMPORTRANGE(""17pNv02DXDpQT9S3w4-QeNym2QJy2BzMBqDXp-XtzJBM"", ""'MTY'!D3:D139""),0))"),45)</f>
        <v>45</v>
      </c>
      <c r="AC12" s="12">
        <f ca="1">IFERROR(__xludf.DUMMYFUNCTION("INDEX(IMPORTRANGE(""17pNv02DXDpQT9S3w4-QeNym2QJy2BzMBqDXp-XtzJBM"", ""'MTY'!BK3:BK139""),MATCH($D12,IMPORTRANGE(""17pNv02DXDpQT9S3w4-QeNym2QJy2BzMBqDXp-XtzJBM"", ""'MTY'!D3:D139""),0))"),96)</f>
        <v>96</v>
      </c>
      <c r="AD12" s="12">
        <f ca="1">IFERROR(__xludf.DUMMYFUNCTION("INDEX(IMPORTRANGE(""17pNv02DXDpQT9S3w4-QeNym2QJy2BzMBqDXp-XtzJBM"", ""'MTY'!BL3:BL139""),MATCH($D12,IMPORTRANGE(""17pNv02DXDpQT9S3w4-QeNym2QJy2BzMBqDXp-XtzJBM"", ""'MTY'!D3:D139""),0))"),43)</f>
        <v>43</v>
      </c>
      <c r="AE12" s="12">
        <f ca="1">IFERROR(__xludf.DUMMYFUNCTION("INDEX(IMPORTRANGE(""17pNv02DXDpQT9S3w4-QeNym2QJy2BzMBqDXp-XtzJBM"", ""'MTY'!BM3:BM139""),MATCH($D12,IMPORTRANGE(""17pNv02DXDpQT9S3w4-QeNym2QJy2BzMBqDXp-XtzJBM"", ""'MTY'!D3:D139""),0))"),86)</f>
        <v>86</v>
      </c>
    </row>
    <row r="13" spans="1:31">
      <c r="A13" s="9" t="s">
        <v>52</v>
      </c>
      <c r="B13" s="9" t="s">
        <v>68</v>
      </c>
      <c r="C13" s="2" t="s">
        <v>36</v>
      </c>
      <c r="D13" s="149" t="s">
        <v>72</v>
      </c>
      <c r="E13" s="9" t="s">
        <v>444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v>8</v>
      </c>
      <c r="R13" s="23">
        <v>21</v>
      </c>
      <c r="S13" s="23">
        <f ca="1">IFERROR(__xludf.DUMMYFUNCTION("INDEX(IMPORTRANGE(""17pNv02DXDpQT9S3w4-QeNym2QJy2BzMBqDXp-XtzJBM"", ""'MTY'!BG3:BG139""),MATCH($D13,IMPORTRANGE(""17pNv02DXDpQT9S3w4-QeNym2QJy2BzMBqDXp-XtzJBM"", ""'MTY'!D3:D139""),0))"),3.52017234763814)</f>
        <v>3.5201723476381401</v>
      </c>
      <c r="T13" s="2">
        <v>20.7</v>
      </c>
      <c r="U13" s="2">
        <v>7.9</v>
      </c>
      <c r="V13" s="2">
        <v>20.2</v>
      </c>
      <c r="W13" s="2">
        <v>7.7</v>
      </c>
      <c r="X13" s="24">
        <f ca="1">+S13*(1+(Y13-R13)/R13)</f>
        <v>3.2854941911289308</v>
      </c>
      <c r="Y13" s="2">
        <v>19.600000000000001</v>
      </c>
      <c r="Z13" s="23">
        <f ca="1">IFERROR(__xludf.DUMMYFUNCTION("INDEX(IMPORTRANGE(""17pNv02DXDpQT9S3w4-QeNym2QJy2BzMBqDXp-XtzJBM"", ""'MTY'!BH3:BH139""),MATCH($D13,IMPORTRANGE(""17pNv02DXDpQT9S3w4-QeNym2QJy2BzMBqDXp-XtzJBM"", ""'MTY'!D3:D139""),0))"),6.85443465602162)</f>
        <v>6.8544346560216196</v>
      </c>
      <c r="AA13" s="23">
        <f ca="1">IFERROR(__xludf.DUMMYFUNCTION("INDEX(IMPORTRANGE(""17pNv02DXDpQT9S3w4-QeNym2QJy2BzMBqDXp-XtzJBM"", ""'MTY'!BI3:BI139""),MATCH($D13,IMPORTRANGE(""17pNv02DXDpQT9S3w4-QeNym2QJy2BzMBqDXp-XtzJBM"", ""'MTY'!D3:D139""),0))"),17.2992874651974)</f>
        <v>17.299287465197398</v>
      </c>
      <c r="AB13" s="23">
        <f ca="1">IFERROR(__xludf.DUMMYFUNCTION("INDEX(IMPORTRANGE(""17pNv02DXDpQT9S3w4-QeNym2QJy2BzMBqDXp-XtzJBM"", ""'MTY'!BJ3:BJ139""),MATCH($D13,IMPORTRANGE(""17pNv02DXDpQT9S3w4-QeNym2QJy2BzMBqDXp-XtzJBM"", ""'MTY'!D3:D139""),0))"),9.54073043832235)</f>
        <v>9.5407304383223508</v>
      </c>
      <c r="AC13" s="23">
        <f ca="1">IFERROR(__xludf.DUMMYFUNCTION("INDEX(IMPORTRANGE(""17pNv02DXDpQT9S3w4-QeNym2QJy2BzMBqDXp-XtzJBM"", ""'MTY'!BK3:BK139""),MATCH($D13,IMPORTRANGE(""17pNv02DXDpQT9S3w4-QeNym2QJy2BzMBqDXp-XtzJBM"", ""'MTY'!D3:D139""),0))"),20.353558268421)</f>
        <v>20.353558268421001</v>
      </c>
      <c r="AD13" s="23">
        <f ca="1">IFERROR(__xludf.DUMMYFUNCTION("INDEX(IMPORTRANGE(""17pNv02DXDpQT9S3w4-QeNym2QJy2BzMBqDXp-XtzJBM"", ""'MTY'!BL3:BL139""),MATCH($D13,IMPORTRANGE(""17pNv02DXDpQT9S3w4-QeNym2QJy2BzMBqDXp-XtzJBM"", ""'MTY'!D3:D139""),0))"),3.63678498058548)</f>
        <v>3.6367849805854799</v>
      </c>
      <c r="AE13" s="23">
        <f ca="1">IFERROR(__xludf.DUMMYFUNCTION("INDEX(IMPORTRANGE(""17pNv02DXDpQT9S3w4-QeNym2QJy2BzMBqDXp-XtzJBM"", ""'MTY'!BM3:BM139""),MATCH($D13,IMPORTRANGE(""17pNv02DXDpQT9S3w4-QeNym2QJy2BzMBqDXp-XtzJBM"", ""'MTY'!D3:D139""),0))"),16.2380881350555)</f>
        <v>16.238088135055499</v>
      </c>
    </row>
    <row r="14" spans="1:31">
      <c r="A14" s="9" t="s">
        <v>52</v>
      </c>
      <c r="B14" s="9" t="s">
        <v>68</v>
      </c>
      <c r="C14" s="2" t="s">
        <v>30</v>
      </c>
      <c r="D14" s="149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/>
      <c r="R14" s="2"/>
      <c r="S14" s="2">
        <f ca="1">IFERROR(__xludf.DUMMYFUNCTION("INDEX(IMPORTRANGE(""17pNv02DXDpQT9S3w4-QeNym2QJy2BzMBqDXp-XtzJBM"", ""'MTY'!BG3:BG139""),MATCH($D14,IMPORTRANGE(""17pNv02DXDpQT9S3w4-QeNym2QJy2BzMBqDXp-XtzJBM"", ""'MTY'!D3:D139""),0))"),259)</f>
        <v>259</v>
      </c>
      <c r="T14" s="4"/>
      <c r="U14" s="4"/>
      <c r="V14" s="4"/>
      <c r="W14" s="4"/>
      <c r="X14" s="181"/>
      <c r="Y14" s="4"/>
      <c r="Z14" s="12">
        <f ca="1">IFERROR(__xludf.DUMMYFUNCTION("INDEX(IMPORTRANGE(""17pNv02DXDpQT9S3w4-QeNym2QJy2BzMBqDXp-XtzJBM"", ""'MTY'!BH3:BH139""),MATCH($D14,IMPORTRANGE(""17pNv02DXDpQT9S3w4-QeNym2QJy2BzMBqDXp-XtzJBM"", ""'MTY'!D3:D139""),0))"),104)</f>
        <v>104</v>
      </c>
      <c r="AA14" s="12">
        <f ca="1">IFERROR(__xludf.DUMMYFUNCTION("INDEX(IMPORTRANGE(""17pNv02DXDpQT9S3w4-QeNym2QJy2BzMBqDXp-XtzJBM"", ""'MTY'!BI3:BI139""),MATCH($D14,IMPORTRANGE(""17pNv02DXDpQT9S3w4-QeNym2QJy2BzMBqDXp-XtzJBM"", ""'MTY'!D3:D139""),0))"),199)</f>
        <v>199</v>
      </c>
      <c r="AB14" s="12">
        <f ca="1">IFERROR(__xludf.DUMMYFUNCTION("INDEX(IMPORTRANGE(""17pNv02DXDpQT9S3w4-QeNym2QJy2BzMBqDXp-XtzJBM"", ""'MTY'!BJ3:BJ139""),MATCH($D14,IMPORTRANGE(""17pNv02DXDpQT9S3w4-QeNym2QJy2BzMBqDXp-XtzJBM"", ""'MTY'!D3:D139""),0))"),90)</f>
        <v>90</v>
      </c>
      <c r="AC14" s="12">
        <f ca="1">IFERROR(__xludf.DUMMYFUNCTION("INDEX(IMPORTRANGE(""17pNv02DXDpQT9S3w4-QeNym2QJy2BzMBqDXp-XtzJBM"", ""'MTY'!BK3:BK139""),MATCH($D14,IMPORTRANGE(""17pNv02DXDpQT9S3w4-QeNym2QJy2BzMBqDXp-XtzJBM"", ""'MTY'!D3:D139""),0))"),164)</f>
        <v>164</v>
      </c>
      <c r="AD14" s="12">
        <f ca="1">IFERROR(__xludf.DUMMYFUNCTION("INDEX(IMPORTRANGE(""17pNv02DXDpQT9S3w4-QeNym2QJy2BzMBqDXp-XtzJBM"", ""'MTY'!BL3:BL139""),MATCH($D14,IMPORTRANGE(""17pNv02DXDpQT9S3w4-QeNym2QJy2BzMBqDXp-XtzJBM"", ""'MTY'!D3:D139""),0))"),62)</f>
        <v>62</v>
      </c>
      <c r="AE14" s="12">
        <f ca="1">IFERROR(__xludf.DUMMYFUNCTION("INDEX(IMPORTRANGE(""17pNv02DXDpQT9S3w4-QeNym2QJy2BzMBqDXp-XtzJBM"", ""'MTY'!BM3:BM139""),MATCH($D14,IMPORTRANGE(""17pNv02DXDpQT9S3w4-QeNym2QJy2BzMBqDXp-XtzJBM"", ""'MTY'!D3:D139""),0))"),96)</f>
        <v>96</v>
      </c>
    </row>
    <row r="15" spans="1:31">
      <c r="A15" s="9" t="s">
        <v>52</v>
      </c>
      <c r="B15" s="9" t="s">
        <v>68</v>
      </c>
      <c r="C15" s="2" t="s">
        <v>30</v>
      </c>
      <c r="D15" s="149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/>
      <c r="R15" s="2"/>
      <c r="S15" s="2">
        <f ca="1">IFERROR(__xludf.DUMMYFUNCTION("INDEX(IMPORTRANGE(""17pNv02DXDpQT9S3w4-QeNym2QJy2BzMBqDXp-XtzJBM"", ""'MTY'!BG3:BG139""),MATCH($D15,IMPORTRANGE(""17pNv02DXDpQT9S3w4-QeNym2QJy2BzMBqDXp-XtzJBM"", ""'MTY'!D3:D139""),0))"),961)</f>
        <v>961</v>
      </c>
      <c r="T15" s="4"/>
      <c r="U15" s="4"/>
      <c r="V15" s="4"/>
      <c r="W15" s="4"/>
      <c r="X15" s="181"/>
      <c r="Y15" s="4"/>
      <c r="Z15" s="12">
        <f ca="1">IFERROR(__xludf.DUMMYFUNCTION("INDEX(IMPORTRANGE(""17pNv02DXDpQT9S3w4-QeNym2QJy2BzMBqDXp-XtzJBM"", ""'MTY'!BH3:BH139""),MATCH($D15,IMPORTRANGE(""17pNv02DXDpQT9S3w4-QeNym2QJy2BzMBqDXp-XtzJBM"", ""'MTY'!D3:D139""),0))"),528)</f>
        <v>528</v>
      </c>
      <c r="AA15" s="12">
        <f ca="1">IFERROR(__xludf.DUMMYFUNCTION("INDEX(IMPORTRANGE(""17pNv02DXDpQT9S3w4-QeNym2QJy2BzMBqDXp-XtzJBM"", ""'MTY'!BI3:BI139""),MATCH($D15,IMPORTRANGE(""17pNv02DXDpQT9S3w4-QeNym2QJy2BzMBqDXp-XtzJBM"", ""'MTY'!D3:D139""),0))"),931)</f>
        <v>931</v>
      </c>
      <c r="AB15" s="12">
        <f ca="1">IFERROR(__xludf.DUMMYFUNCTION("INDEX(IMPORTRANGE(""17pNv02DXDpQT9S3w4-QeNym2QJy2BzMBqDXp-XtzJBM"", ""'MTY'!BJ3:BJ139""),MATCH($D15,IMPORTRANGE(""17pNv02DXDpQT9S3w4-QeNym2QJy2BzMBqDXp-XtzJBM"", ""'MTY'!D3:D139""),0))"),408)</f>
        <v>408</v>
      </c>
      <c r="AC15" s="12">
        <f ca="1">IFERROR(__xludf.DUMMYFUNCTION("INDEX(IMPORTRANGE(""17pNv02DXDpQT9S3w4-QeNym2QJy2BzMBqDXp-XtzJBM"", ""'MTY'!BK3:BK139""),MATCH($D15,IMPORTRANGE(""17pNv02DXDpQT9S3w4-QeNym2QJy2BzMBqDXp-XtzJBM"", ""'MTY'!D3:D139""),0))"),735)</f>
        <v>735</v>
      </c>
      <c r="AD15" s="12">
        <f ca="1">IFERROR(__xludf.DUMMYFUNCTION("INDEX(IMPORTRANGE(""17pNv02DXDpQT9S3w4-QeNym2QJy2BzMBqDXp-XtzJBM"", ""'MTY'!BL3:BL139""),MATCH($D15,IMPORTRANGE(""17pNv02DXDpQT9S3w4-QeNym2QJy2BzMBqDXp-XtzJBM"", ""'MTY'!D3:D139""),0))"),257)</f>
        <v>257</v>
      </c>
      <c r="AE15" s="12">
        <f ca="1">IFERROR(__xludf.DUMMYFUNCTION("INDEX(IMPORTRANGE(""17pNv02DXDpQT9S3w4-QeNym2QJy2BzMBqDXp-XtzJBM"", ""'MTY'!BM3:BM139""),MATCH($D15,IMPORTRANGE(""17pNv02DXDpQT9S3w4-QeNym2QJy2BzMBqDXp-XtzJBM"", ""'MTY'!D3:D139""),0))"),422)</f>
        <v>422</v>
      </c>
    </row>
    <row r="16" spans="1:31">
      <c r="A16" s="9" t="s">
        <v>52</v>
      </c>
      <c r="B16" s="9" t="s">
        <v>68</v>
      </c>
      <c r="C16" s="2" t="s">
        <v>30</v>
      </c>
      <c r="D16" s="149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/>
      <c r="R16" s="2"/>
      <c r="S16" s="2">
        <f ca="1">IFERROR(__xludf.DUMMYFUNCTION("INDEX(IMPORTRANGE(""17pNv02DXDpQT9S3w4-QeNym2QJy2BzMBqDXp-XtzJBM"", ""'MTY'!BG3:BG139""),MATCH($D16,IMPORTRANGE(""17pNv02DXDpQT9S3w4-QeNym2QJy2BzMBqDXp-XtzJBM"", ""'MTY'!D3:D139""),0))"),228)</f>
        <v>228</v>
      </c>
      <c r="T16" s="4"/>
      <c r="U16" s="4"/>
      <c r="V16" s="4"/>
      <c r="W16" s="4"/>
      <c r="X16" s="181"/>
      <c r="Y16" s="4"/>
      <c r="Z16" s="12">
        <f ca="1">IFERROR(__xludf.DUMMYFUNCTION("INDEX(IMPORTRANGE(""17pNv02DXDpQT9S3w4-QeNym2QJy2BzMBqDXp-XtzJBM"", ""'MTY'!BH3:BH139""),MATCH($D16,IMPORTRANGE(""17pNv02DXDpQT9S3w4-QeNym2QJy2BzMBqDXp-XtzJBM"", ""'MTY'!D3:D139""),0))"),144)</f>
        <v>144</v>
      </c>
      <c r="AA16" s="12">
        <f ca="1">IFERROR(__xludf.DUMMYFUNCTION("INDEX(IMPORTRANGE(""17pNv02DXDpQT9S3w4-QeNym2QJy2BzMBqDXp-XtzJBM"", ""'MTY'!BI3:BI139""),MATCH($D16,IMPORTRANGE(""17pNv02DXDpQT9S3w4-QeNym2QJy2BzMBqDXp-XtzJBM"", ""'MTY'!D3:D139""),0))"),285)</f>
        <v>285</v>
      </c>
      <c r="AB16" s="12">
        <f ca="1">IFERROR(__xludf.DUMMYFUNCTION("INDEX(IMPORTRANGE(""17pNv02DXDpQT9S3w4-QeNym2QJy2BzMBqDXp-XtzJBM"", ""'MTY'!BJ3:BJ139""),MATCH($D16,IMPORTRANGE(""17pNv02DXDpQT9S3w4-QeNym2QJy2BzMBqDXp-XtzJBM"", ""'MTY'!D3:D139""),0))"),183)</f>
        <v>183</v>
      </c>
      <c r="AC16" s="12">
        <f ca="1">IFERROR(__xludf.DUMMYFUNCTION("INDEX(IMPORTRANGE(""17pNv02DXDpQT9S3w4-QeNym2QJy2BzMBqDXp-XtzJBM"", ""'MTY'!BK3:BK139""),MATCH($D16,IMPORTRANGE(""17pNv02DXDpQT9S3w4-QeNym2QJy2BzMBqDXp-XtzJBM"", ""'MTY'!D3:D139""),0))"),373)</f>
        <v>373</v>
      </c>
      <c r="AD16" s="12">
        <f ca="1">IFERROR(__xludf.DUMMYFUNCTION("INDEX(IMPORTRANGE(""17pNv02DXDpQT9S3w4-QeNym2QJy2BzMBqDXp-XtzJBM"", ""'MTY'!BL3:BL139""),MATCH($D16,IMPORTRANGE(""17pNv02DXDpQT9S3w4-QeNym2QJy2BzMBqDXp-XtzJBM"", ""'MTY'!D3:D139""),0))"),168)</f>
        <v>168</v>
      </c>
      <c r="AE16" s="12">
        <f ca="1">IFERROR(__xludf.DUMMYFUNCTION("INDEX(IMPORTRANGE(""17pNv02DXDpQT9S3w4-QeNym2QJy2BzMBqDXp-XtzJBM"", ""'MTY'!BM3:BM139""),MATCH($D16,IMPORTRANGE(""17pNv02DXDpQT9S3w4-QeNym2QJy2BzMBqDXp-XtzJBM"", ""'MTY'!D3:D139""),0))"),337)</f>
        <v>337</v>
      </c>
    </row>
    <row r="17" spans="1:31">
      <c r="A17" s="9" t="s">
        <v>52</v>
      </c>
      <c r="B17" s="9" t="s">
        <v>68</v>
      </c>
      <c r="C17" s="2" t="s">
        <v>30</v>
      </c>
      <c r="D17" s="149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/>
      <c r="R17" s="2"/>
      <c r="S17" s="2">
        <f ca="1">IFERROR(__xludf.DUMMYFUNCTION("INDEX(IMPORTRANGE(""17pNv02DXDpQT9S3w4-QeNym2QJy2BzMBqDXp-XtzJBM"", ""'MTY'!BG3:BG139""),MATCH($D17,IMPORTRANGE(""17pNv02DXDpQT9S3w4-QeNym2QJy2BzMBqDXp-XtzJBM"", ""'MTY'!D3:D139""),0))"),241)</f>
        <v>241</v>
      </c>
      <c r="T17" s="4"/>
      <c r="U17" s="4"/>
      <c r="V17" s="4"/>
      <c r="W17" s="4"/>
      <c r="X17" s="181"/>
      <c r="Y17" s="4"/>
      <c r="Z17" s="12">
        <f ca="1">IFERROR(__xludf.DUMMYFUNCTION("INDEX(IMPORTRANGE(""17pNv02DXDpQT9S3w4-QeNym2QJy2BzMBqDXp-XtzJBM"", ""'MTY'!BH3:BH139""),MATCH($D17,IMPORTRANGE(""17pNv02DXDpQT9S3w4-QeNym2QJy2BzMBqDXp-XtzJBM"", ""'MTY'!D3:D139""),0))"),78)</f>
        <v>78</v>
      </c>
      <c r="AA17" s="12">
        <f ca="1">IFERROR(__xludf.DUMMYFUNCTION("INDEX(IMPORTRANGE(""17pNv02DXDpQT9S3w4-QeNym2QJy2BzMBqDXp-XtzJBM"", ""'MTY'!BI3:BI139""),MATCH($D17,IMPORTRANGE(""17pNv02DXDpQT9S3w4-QeNym2QJy2BzMBqDXp-XtzJBM"", ""'MTY'!D3:D139""),0))"),151)</f>
        <v>151</v>
      </c>
      <c r="AB17" s="12">
        <f ca="1">IFERROR(__xludf.DUMMYFUNCTION("INDEX(IMPORTRANGE(""17pNv02DXDpQT9S3w4-QeNym2QJy2BzMBqDXp-XtzJBM"", ""'MTY'!BJ3:BJ139""),MATCH($D17,IMPORTRANGE(""17pNv02DXDpQT9S3w4-QeNym2QJy2BzMBqDXp-XtzJBM"", ""'MTY'!D3:D139""),0))"),51)</f>
        <v>51</v>
      </c>
      <c r="AC17" s="12">
        <f ca="1">IFERROR(__xludf.DUMMYFUNCTION("INDEX(IMPORTRANGE(""17pNv02DXDpQT9S3w4-QeNym2QJy2BzMBqDXp-XtzJBM"", ""'MTY'!BK3:BK139""),MATCH($D17,IMPORTRANGE(""17pNv02DXDpQT9S3w4-QeNym2QJy2BzMBqDXp-XtzJBM"", ""'MTY'!D3:D139""),0))"),100)</f>
        <v>100</v>
      </c>
      <c r="AD17" s="12">
        <f ca="1">IFERROR(__xludf.DUMMYFUNCTION("INDEX(IMPORTRANGE(""17pNv02DXDpQT9S3w4-QeNym2QJy2BzMBqDXp-XtzJBM"", ""'MTY'!BL3:BL139""),MATCH($D17,IMPORTRANGE(""17pNv02DXDpQT9S3w4-QeNym2QJy2BzMBqDXp-XtzJBM"", ""'MTY'!D3:D139""),0))"),40)</f>
        <v>40</v>
      </c>
      <c r="AE17" s="12">
        <f ca="1">IFERROR(__xludf.DUMMYFUNCTION("INDEX(IMPORTRANGE(""17pNv02DXDpQT9S3w4-QeNym2QJy2BzMBqDXp-XtzJBM"", ""'MTY'!BM3:BM139""),MATCH($D17,IMPORTRANGE(""17pNv02DXDpQT9S3w4-QeNym2QJy2BzMBqDXp-XtzJBM"", ""'MTY'!D3:D139""),0))"),63)</f>
        <v>63</v>
      </c>
    </row>
    <row r="18" spans="1:31">
      <c r="A18" s="21" t="s">
        <v>52</v>
      </c>
      <c r="B18" s="21" t="s">
        <v>68</v>
      </c>
      <c r="C18" s="22" t="s">
        <v>30</v>
      </c>
      <c r="D18" s="21" t="s">
        <v>342</v>
      </c>
      <c r="E18" s="21" t="str">
        <f>E17</f>
        <v>Secretaría de Seguridad Pública del Estado, CONAPO</v>
      </c>
      <c r="F18" s="472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21" t="s">
        <v>363</v>
      </c>
      <c r="P18" s="21" t="s">
        <v>349</v>
      </c>
      <c r="Q18" s="262">
        <f t="shared" ref="Q18:R18" si="5">SUM(Q14:Q17)</f>
        <v>0</v>
      </c>
      <c r="R18" s="262">
        <f t="shared" si="5"/>
        <v>0</v>
      </c>
      <c r="S18" s="262">
        <f ca="1">IFERROR(__xludf.DUMMYFUNCTION("INDEX(IMPORTRANGE(""17pNv02DXDpQT9S3w4-QeNym2QJy2BzMBqDXp-XtzJBM"", ""'MTY'!BG3:BG139""),MATCH($D18,IMPORTRANGE(""17pNv02DXDpQT9S3w4-QeNym2QJy2BzMBqDXp-XtzJBM"", ""'MTY'!D3:D139""),0))"),1689)</f>
        <v>1689</v>
      </c>
      <c r="T18" s="473"/>
      <c r="U18" s="473"/>
      <c r="V18" s="473"/>
      <c r="W18" s="473"/>
      <c r="X18" s="477"/>
      <c r="Y18" s="473"/>
      <c r="Z18" s="262">
        <f ca="1">IFERROR(__xludf.DUMMYFUNCTION("INDEX(IMPORTRANGE(""17pNv02DXDpQT9S3w4-QeNym2QJy2BzMBqDXp-XtzJBM"", ""'MTY'!BH3:BH139""),MATCH($D18,IMPORTRANGE(""17pNv02DXDpQT9S3w4-QeNym2QJy2BzMBqDXp-XtzJBM"", ""'MTY'!D3:D139""),0))"),854)</f>
        <v>854</v>
      </c>
      <c r="AA18" s="262">
        <f ca="1">IFERROR(__xludf.DUMMYFUNCTION("INDEX(IMPORTRANGE(""17pNv02DXDpQT9S3w4-QeNym2QJy2BzMBqDXp-XtzJBM"", ""'MTY'!BI3:BI139""),MATCH($D18,IMPORTRANGE(""17pNv02DXDpQT9S3w4-QeNym2QJy2BzMBqDXp-XtzJBM"", ""'MTY'!D3:D139""),0))"),1566)</f>
        <v>1566</v>
      </c>
      <c r="AB18" s="262">
        <f ca="1">IFERROR(__xludf.DUMMYFUNCTION("INDEX(IMPORTRANGE(""17pNv02DXDpQT9S3w4-QeNym2QJy2BzMBqDXp-XtzJBM"", ""'MTY'!BJ3:BJ139""),MATCH($D18,IMPORTRANGE(""17pNv02DXDpQT9S3w4-QeNym2QJy2BzMBqDXp-XtzJBM"", ""'MTY'!D3:D139""),0))"),732)</f>
        <v>732</v>
      </c>
      <c r="AC18" s="262">
        <f ca="1">IFERROR(__xludf.DUMMYFUNCTION("INDEX(IMPORTRANGE(""17pNv02DXDpQT9S3w4-QeNym2QJy2BzMBqDXp-XtzJBM"", ""'MTY'!BK3:BK139""),MATCH($D18,IMPORTRANGE(""17pNv02DXDpQT9S3w4-QeNym2QJy2BzMBqDXp-XtzJBM"", ""'MTY'!D3:D139""),0))"),1372)</f>
        <v>1372</v>
      </c>
      <c r="AD18" s="262">
        <f ca="1">IFERROR(__xludf.DUMMYFUNCTION("INDEX(IMPORTRANGE(""17pNv02DXDpQT9S3w4-QeNym2QJy2BzMBqDXp-XtzJBM"", ""'MTY'!BL3:BL139""),MATCH($D18,IMPORTRANGE(""17pNv02DXDpQT9S3w4-QeNym2QJy2BzMBqDXp-XtzJBM"", ""'MTY'!D3:D139""),0))"),527)</f>
        <v>527</v>
      </c>
      <c r="AE18" s="262">
        <f ca="1">IFERROR(__xludf.DUMMYFUNCTION("INDEX(IMPORTRANGE(""17pNv02DXDpQT9S3w4-QeNym2QJy2BzMBqDXp-XtzJBM"", ""'MTY'!BM3:BM139""),MATCH($D18,IMPORTRANGE(""17pNv02DXDpQT9S3w4-QeNym2QJy2BzMBqDXp-XtzJBM"", ""'MTY'!D3:D139""),0))"),918)</f>
        <v>918</v>
      </c>
    </row>
    <row r="19" spans="1:31">
      <c r="A19" s="9" t="s">
        <v>52</v>
      </c>
      <c r="B19" s="9" t="s">
        <v>68</v>
      </c>
      <c r="C19" s="2" t="s">
        <v>36</v>
      </c>
      <c r="D19" s="149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v>222</v>
      </c>
      <c r="R19" s="23">
        <v>392</v>
      </c>
      <c r="S19" s="23">
        <f ca="1">IFERROR(__xludf.DUMMYFUNCTION("INDEX(IMPORTRANGE(""17pNv02DXDpQT9S3w4-QeNym2QJy2BzMBqDXp-XtzJBM"", ""'MTY'!BG3:BG139""),MATCH($D19,IMPORTRANGE(""17pNv02DXDpQT9S3w4-QeNym2QJy2BzMBqDXp-XtzJBM"", ""'MTY'!D3:D139""),0))"),148.63927737902)</f>
        <v>148.63927737902</v>
      </c>
      <c r="T19" s="2">
        <v>383.8</v>
      </c>
      <c r="U19" s="2">
        <v>211.8</v>
      </c>
      <c r="V19" s="2">
        <v>374.9</v>
      </c>
      <c r="W19" s="2">
        <v>206.7</v>
      </c>
      <c r="X19" s="24">
        <f ca="1">+S19*(1+(Y19-R19)/R19)</f>
        <v>138.66679524874391</v>
      </c>
      <c r="Y19" s="2">
        <v>365.7</v>
      </c>
      <c r="Z19" s="23">
        <f ca="1">IFERROR(__xludf.DUMMYFUNCTION("INDEX(IMPORTRANGE(""17pNv02DXDpQT9S3w4-QeNym2QJy2BzMBqDXp-XtzJBM"", ""'MTY'!BH3:BH139""),MATCH($D19,IMPORTRANGE(""17pNv02DXDpQT9S3w4-QeNym2QJy2BzMBqDXp-XtzJBM"", ""'MTY'!D3:D139""),0))"),278.747009344879)</f>
        <v>278.74700934487902</v>
      </c>
      <c r="AA19" s="23">
        <f ca="1">IFERROR(__xludf.DUMMYFUNCTION("INDEX(IMPORTRANGE(""17pNv02DXDpQT9S3w4-QeNym2QJy2BzMBqDXp-XtzJBM"", ""'MTY'!BI3:BI139""),MATCH($D19,IMPORTRANGE(""17pNv02DXDpQT9S3w4-QeNym2QJy2BzMBqDXp-XtzJBM"", ""'MTY'!D3:D139""),0))"),511.14498434904)</f>
        <v>511.14498434903999</v>
      </c>
      <c r="AB19" s="23">
        <f ca="1">IFERROR(__xludf.DUMMYFUNCTION("INDEX(IMPORTRANGE(""17pNv02DXDpQT9S3w4-QeNym2QJy2BzMBqDXp-XtzJBM"", ""'MTY'!BJ3:BJ139""),MATCH($D19,IMPORTRANGE(""17pNv02DXDpQT9S3w4-QeNym2QJy2BzMBqDXp-XtzJBM"", ""'MTY'!D3:D139""),0))"),155.19588179671)</f>
        <v>155.19588179671001</v>
      </c>
      <c r="AC19" s="23">
        <f ca="1">IFERROR(__xludf.DUMMYFUNCTION("INDEX(IMPORTRANGE(""17pNv02DXDpQT9S3w4-QeNym2QJy2BzMBqDXp-XtzJBM"", ""'MTY'!BK3:BK139""),MATCH($D19,IMPORTRANGE(""17pNv02DXDpQT9S3w4-QeNym2QJy2BzMBqDXp-XtzJBM"", ""'MTY'!D3:D139""),0))"),290.88627025285)</f>
        <v>290.88627025285001</v>
      </c>
      <c r="AD19" s="23">
        <f ca="1">IFERROR(__xludf.DUMMYFUNCTION("INDEX(IMPORTRANGE(""17pNv02DXDpQT9S3w4-QeNym2QJy2BzMBqDXp-XtzJBM"", ""'MTY'!BL3:BL139""),MATCH($D19,IMPORTRANGE(""17pNv02DXDpQT9S3w4-QeNym2QJy2BzMBqDXp-XtzJBM"", ""'MTY'!D3:D139""),0))"),44.5717601108965)</f>
        <v>44.571760110896498</v>
      </c>
      <c r="AE19" s="23">
        <f ca="1">IFERROR(__xludf.DUMMYFUNCTION("INDEX(IMPORTRANGE(""17pNv02DXDpQT9S3w4-QeNym2QJy2BzMBqDXp-XtzJBM"", ""'MTY'!BM3:BM139""),MATCH($D19,IMPORTRANGE(""17pNv02DXDpQT9S3w4-QeNym2QJy2BzMBqDXp-XtzJBM"", ""'MTY'!D3:D139""),0))"),173.332150092802)</f>
        <v>173.33215009280201</v>
      </c>
    </row>
    <row r="20" spans="1:31">
      <c r="A20" s="9" t="s">
        <v>52</v>
      </c>
      <c r="B20" s="9" t="s">
        <v>86</v>
      </c>
      <c r="C20" s="2" t="s">
        <v>30</v>
      </c>
      <c r="D20" s="149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/>
      <c r="R20" s="2"/>
      <c r="S20" s="2">
        <f ca="1">IFERROR(__xludf.DUMMYFUNCTION("INDEX(IMPORTRANGE(""17pNv02DXDpQT9S3w4-QeNym2QJy2BzMBqDXp-XtzJBM"", ""'MTY'!BG3:BG139""),MATCH($D20,IMPORTRANGE(""17pNv02DXDpQT9S3w4-QeNym2QJy2BzMBqDXp-XtzJBM"", ""'MTY'!D3:D139""),0))"),994)</f>
        <v>994</v>
      </c>
      <c r="T20" s="4"/>
      <c r="U20" s="4"/>
      <c r="V20" s="4"/>
      <c r="W20" s="4"/>
      <c r="X20" s="181"/>
      <c r="Y20" s="4"/>
      <c r="Z20" s="12">
        <f ca="1">IFERROR(__xludf.DUMMYFUNCTION("INDEX(IMPORTRANGE(""17pNv02DXDpQT9S3w4-QeNym2QJy2BzMBqDXp-XtzJBM"", ""'MTY'!BH3:BH139""),MATCH($D20,IMPORTRANGE(""17pNv02DXDpQT9S3w4-QeNym2QJy2BzMBqDXp-XtzJBM"", ""'MTY'!D3:D139""),0))"),445)</f>
        <v>445</v>
      </c>
      <c r="AA20" s="12">
        <f ca="1">IFERROR(__xludf.DUMMYFUNCTION("INDEX(IMPORTRANGE(""17pNv02DXDpQT9S3w4-QeNym2QJy2BzMBqDXp-XtzJBM"", ""'MTY'!BI3:BI139""),MATCH($D20,IMPORTRANGE(""17pNv02DXDpQT9S3w4-QeNym2QJy2BzMBqDXp-XtzJBM"", ""'MTY'!D3:D139""),0))"),981)</f>
        <v>981</v>
      </c>
      <c r="AB20" s="12">
        <f ca="1">IFERROR(__xludf.DUMMYFUNCTION("INDEX(IMPORTRANGE(""17pNv02DXDpQT9S3w4-QeNym2QJy2BzMBqDXp-XtzJBM"", ""'MTY'!BJ3:BJ139""),MATCH($D20,IMPORTRANGE(""17pNv02DXDpQT9S3w4-QeNym2QJy2BzMBqDXp-XtzJBM"", ""'MTY'!D3:D139""),0))"),379)</f>
        <v>379</v>
      </c>
      <c r="AC20" s="12">
        <f ca="1">IFERROR(__xludf.DUMMYFUNCTION("INDEX(IMPORTRANGE(""17pNv02DXDpQT9S3w4-QeNym2QJy2BzMBqDXp-XtzJBM"", ""'MTY'!BK3:BK139""),MATCH($D20,IMPORTRANGE(""17pNv02DXDpQT9S3w4-QeNym2QJy2BzMBqDXp-XtzJBM"", ""'MTY'!D3:D139""),0))"),955)</f>
        <v>955</v>
      </c>
      <c r="AD20" s="12">
        <f ca="1">IFERROR(__xludf.DUMMYFUNCTION("INDEX(IMPORTRANGE(""17pNv02DXDpQT9S3w4-QeNym2QJy2BzMBqDXp-XtzJBM"", ""'MTY'!BL3:BL139""),MATCH($D20,IMPORTRANGE(""17pNv02DXDpQT9S3w4-QeNym2QJy2BzMBqDXp-XtzJBM"", ""'MTY'!D3:D139""),0))"),330)</f>
        <v>330</v>
      </c>
      <c r="AE20" s="12">
        <f ca="1">IFERROR(__xludf.DUMMYFUNCTION("INDEX(IMPORTRANGE(""17pNv02DXDpQT9S3w4-QeNym2QJy2BzMBqDXp-XtzJBM"", ""'MTY'!BM3:BM139""),MATCH($D20,IMPORTRANGE(""17pNv02DXDpQT9S3w4-QeNym2QJy2BzMBqDXp-XtzJBM"", ""'MTY'!D3:D139""),0))"),660)</f>
        <v>660</v>
      </c>
    </row>
    <row r="21" spans="1:31">
      <c r="A21" s="9" t="s">
        <v>52</v>
      </c>
      <c r="B21" s="9" t="s">
        <v>86</v>
      </c>
      <c r="C21" s="2" t="s">
        <v>36</v>
      </c>
      <c r="D21" s="149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v>95</v>
      </c>
      <c r="R21" s="23">
        <v>211</v>
      </c>
      <c r="S21" s="23">
        <f ca="1">IFERROR(__xludf.DUMMYFUNCTION("INDEX(IMPORTRANGE(""17pNv02DXDpQT9S3w4-QeNym2QJy2BzMBqDXp-XtzJBM"", ""'MTY'!BG3:BG139""),MATCH($D21,IMPORTRANGE(""17pNv02DXDpQT9S3w4-QeNym2QJy2BzMBqDXp-XtzJBM"", ""'MTY'!D3:D139""),0))"),87.4762828388077)</f>
        <v>87.476282838807705</v>
      </c>
      <c r="T21" s="2">
        <v>206.2</v>
      </c>
      <c r="U21" s="2">
        <v>90.4</v>
      </c>
      <c r="V21" s="2">
        <v>201.4</v>
      </c>
      <c r="W21" s="2">
        <v>88.2</v>
      </c>
      <c r="X21" s="24">
        <f ca="1">+S21*(1+(Y21-R21)/R21)</f>
        <v>81.46487951576168</v>
      </c>
      <c r="Y21" s="2">
        <v>196.5</v>
      </c>
      <c r="Z21" s="23">
        <f ca="1">IFERROR(__xludf.DUMMYFUNCTION("INDEX(IMPORTRANGE(""17pNv02DXDpQT9S3w4-QeNym2QJy2BzMBqDXp-XtzJBM"", ""'MTY'!BH3:BH139""),MATCH($D21,IMPORTRANGE(""17pNv02DXDpQT9S3w4-QeNym2QJy2BzMBqDXp-XtzJBM"", ""'MTY'!D3:D139""),0))"),145.248734377601)</f>
        <v>145.24873437760101</v>
      </c>
      <c r="AA21" s="23">
        <f ca="1">IFERROR(__xludf.DUMMYFUNCTION("INDEX(IMPORTRANGE(""17pNv02DXDpQT9S3w4-QeNym2QJy2BzMBqDXp-XtzJBM"", ""'MTY'!BI3:BI139""),MATCH($D21,IMPORTRANGE(""17pNv02DXDpQT9S3w4-QeNym2QJy2BzMBqDXp-XtzJBM"", ""'MTY'!D3:D139""),0))"),320.200018931295)</f>
        <v>320.20001893129501</v>
      </c>
      <c r="AB21" s="23">
        <f ca="1">IFERROR(__xludf.DUMMYFUNCTION("INDEX(IMPORTRANGE(""17pNv02DXDpQT9S3w4-QeNym2QJy2BzMBqDXp-XtzJBM"", ""'MTY'!BJ3:BJ139""),MATCH($D21,IMPORTRANGE(""17pNv02DXDpQT9S3w4-QeNym2QJy2BzMBqDXp-XtzJBM"", ""'MTY'!D3:D139""),0))"),80.3541519138705)</f>
        <v>80.354151913870496</v>
      </c>
      <c r="AC21" s="23">
        <f ca="1">IFERROR(__xludf.DUMMYFUNCTION("INDEX(IMPORTRANGE(""17pNv02DXDpQT9S3w4-QeNym2QJy2BzMBqDXp-XtzJBM"", ""'MTY'!BK3:BK139""),MATCH($D21,IMPORTRANGE(""17pNv02DXDpQT9S3w4-QeNym2QJy2BzMBqDXp-XtzJBM"", ""'MTY'!D3:D139""),0))"),202.475501524396)</f>
        <v>202.47550152439601</v>
      </c>
      <c r="AD21" s="23">
        <f ca="1">IFERROR(__xludf.DUMMYFUNCTION("INDEX(IMPORTRANGE(""17pNv02DXDpQT9S3w4-QeNym2QJy2BzMBqDXp-XtzJBM"", ""'MTY'!BL3:BL139""),MATCH($D21,IMPORTRANGE(""17pNv02DXDpQT9S3w4-QeNym2QJy2BzMBqDXp-XtzJBM"", ""'MTY'!D3:D139""),0))"),27.9102103161211)</f>
        <v>27.910210316121098</v>
      </c>
      <c r="AE21" s="23">
        <f ca="1">IFERROR(__xludf.DUMMYFUNCTION("INDEX(IMPORTRANGE(""17pNv02DXDpQT9S3w4-QeNym2QJy2BzMBqDXp-XtzJBM"", ""'MTY'!BM3:BM139""),MATCH($D21,IMPORTRANGE(""17pNv02DXDpQT9S3w4-QeNym2QJy2BzMBqDXp-XtzJBM"", ""'MTY'!D3:D139""),0))"),124.617885687635)</f>
        <v>124.617885687635</v>
      </c>
    </row>
    <row r="22" spans="1:31">
      <c r="A22" s="9" t="s">
        <v>52</v>
      </c>
      <c r="B22" s="9" t="s">
        <v>86</v>
      </c>
      <c r="C22" s="2" t="s">
        <v>30</v>
      </c>
      <c r="D22" s="149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/>
      <c r="R22" s="2"/>
      <c r="S22" s="2">
        <f ca="1">IFERROR(__xludf.DUMMYFUNCTION("INDEX(IMPORTRANGE(""17pNv02DXDpQT9S3w4-QeNym2QJy2BzMBqDXp-XtzJBM"", ""'MTY'!BG3:BG139""),MATCH($D22,IMPORTRANGE(""17pNv02DXDpQT9S3w4-QeNym2QJy2BzMBqDXp-XtzJBM"", ""'MTY'!D3:D139""),0))"),230)</f>
        <v>230</v>
      </c>
      <c r="T22" s="4"/>
      <c r="U22" s="4"/>
      <c r="V22" s="4"/>
      <c r="W22" s="4"/>
      <c r="X22" s="181"/>
      <c r="Y22" s="4"/>
      <c r="Z22" s="12">
        <f ca="1">IFERROR(__xludf.DUMMYFUNCTION("INDEX(IMPORTRANGE(""17pNv02DXDpQT9S3w4-QeNym2QJy2BzMBqDXp-XtzJBM"", ""'MTY'!BH3:BH139""),MATCH($D22,IMPORTRANGE(""17pNv02DXDpQT9S3w4-QeNym2QJy2BzMBqDXp-XtzJBM"", ""'MTY'!D3:D139""),0))"),112)</f>
        <v>112</v>
      </c>
      <c r="AA22" s="12">
        <f ca="1">IFERROR(__xludf.DUMMYFUNCTION("INDEX(IMPORTRANGE(""17pNv02DXDpQT9S3w4-QeNym2QJy2BzMBqDXp-XtzJBM"", ""'MTY'!BI3:BI139""),MATCH($D22,IMPORTRANGE(""17pNv02DXDpQT9S3w4-QeNym2QJy2BzMBqDXp-XtzJBM"", ""'MTY'!D3:D139""),0))"),242)</f>
        <v>242</v>
      </c>
      <c r="AB22" s="12">
        <f ca="1">IFERROR(__xludf.DUMMYFUNCTION("INDEX(IMPORTRANGE(""17pNv02DXDpQT9S3w4-QeNym2QJy2BzMBqDXp-XtzJBM"", ""'MTY'!BJ3:BJ139""),MATCH($D22,IMPORTRANGE(""17pNv02DXDpQT9S3w4-QeNym2QJy2BzMBqDXp-XtzJBM"", ""'MTY'!D3:D139""),0))"),90)</f>
        <v>90</v>
      </c>
      <c r="AC22" s="12">
        <f ca="1">IFERROR(__xludf.DUMMYFUNCTION("INDEX(IMPORTRANGE(""17pNv02DXDpQT9S3w4-QeNym2QJy2BzMBqDXp-XtzJBM"", ""'MTY'!BK3:BK139""),MATCH($D22,IMPORTRANGE(""17pNv02DXDpQT9S3w4-QeNym2QJy2BzMBqDXp-XtzJBM"", ""'MTY'!D3:D139""),0))"),223)</f>
        <v>223</v>
      </c>
      <c r="AD22" s="12">
        <f ca="1">IFERROR(__xludf.DUMMYFUNCTION("INDEX(IMPORTRANGE(""17pNv02DXDpQT9S3w4-QeNym2QJy2BzMBqDXp-XtzJBM"", ""'MTY'!BL3:BL139""),MATCH($D22,IMPORTRANGE(""17pNv02DXDpQT9S3w4-QeNym2QJy2BzMBqDXp-XtzJBM"", ""'MTY'!D3:D139""),0))"),78)</f>
        <v>78</v>
      </c>
      <c r="AE22" s="12">
        <f ca="1">IFERROR(__xludf.DUMMYFUNCTION("INDEX(IMPORTRANGE(""17pNv02DXDpQT9S3w4-QeNym2QJy2BzMBqDXp-XtzJBM"", ""'MTY'!BM3:BM139""),MATCH($D22,IMPORTRANGE(""17pNv02DXDpQT9S3w4-QeNym2QJy2BzMBqDXp-XtzJBM"", ""'MTY'!D3:D139""),0))"),152)</f>
        <v>152</v>
      </c>
    </row>
    <row r="23" spans="1:31">
      <c r="A23" s="9" t="s">
        <v>52</v>
      </c>
      <c r="B23" s="9" t="s">
        <v>86</v>
      </c>
      <c r="C23" s="2" t="s">
        <v>36</v>
      </c>
      <c r="D23" s="149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v>27</v>
      </c>
      <c r="R23" s="23">
        <v>58</v>
      </c>
      <c r="S23" s="23">
        <f ca="1">IFERROR(__xludf.DUMMYFUNCTION("INDEX(IMPORTRANGE(""17pNv02DXDpQT9S3w4-QeNym2QJy2BzMBqDXp-XtzJBM"", ""'MTY'!BG3:BG139""),MATCH($D23,IMPORTRANGE(""17pNv02DXDpQT9S3w4-QeNym2QJy2BzMBqDXp-XtzJBM"", ""'MTY'!D3:D139""),0))"),20.2409909989193)</f>
        <v>20.240990998919301</v>
      </c>
      <c r="T23" s="2">
        <v>57</v>
      </c>
      <c r="U23" s="2">
        <v>25.5</v>
      </c>
      <c r="V23" s="2">
        <v>55.7</v>
      </c>
      <c r="W23" s="2">
        <v>24.9</v>
      </c>
      <c r="X23" s="24">
        <f ca="1">+S23*(1+(Y23-R23)/R23)</f>
        <v>18.984653626572584</v>
      </c>
      <c r="Y23" s="2">
        <v>54.4</v>
      </c>
      <c r="Z23" s="23">
        <f ca="1">IFERROR(__xludf.DUMMYFUNCTION("INDEX(IMPORTRANGE(""17pNv02DXDpQT9S3w4-QeNym2QJy2BzMBqDXp-XtzJBM"", ""'MTY'!BH3:BH139""),MATCH($D23,IMPORTRANGE(""17pNv02DXDpQT9S3w4-QeNym2QJy2BzMBqDXp-XtzJBM"", ""'MTY'!D3:D139""),0))"),36.5569848321153)</f>
        <v>36.556984832115297</v>
      </c>
      <c r="AA23" s="23">
        <f ca="1">IFERROR(__xludf.DUMMYFUNCTION("INDEX(IMPORTRANGE(""17pNv02DXDpQT9S3w4-QeNym2QJy2BzMBqDXp-XtzJBM"", ""'MTY'!BI3:BI139""),MATCH($D23,IMPORTRANGE(""17pNv02DXDpQT9S3w4-QeNym2QJy2BzMBqDXp-XtzJBM"", ""'MTY'!D3:D139""),0))"),78.989199369392)</f>
        <v>78.989199369391997</v>
      </c>
      <c r="AB23" s="23">
        <f ca="1">IFERROR(__xludf.DUMMYFUNCTION("INDEX(IMPORTRANGE(""17pNv02DXDpQT9S3w4-QeNym2QJy2BzMBqDXp-XtzJBM"", ""'MTY'!BJ3:BJ139""),MATCH($D23,IMPORTRANGE(""17pNv02DXDpQT9S3w4-QeNym2QJy2BzMBqDXp-XtzJBM"", ""'MTY'!D3:D139""),0))"),19.0814608766447)</f>
        <v>19.081460876644702</v>
      </c>
      <c r="AC23" s="23">
        <f ca="1">IFERROR(__xludf.DUMMYFUNCTION("INDEX(IMPORTRANGE(""17pNv02DXDpQT9S3w4-QeNym2QJy2BzMBqDXp-XtzJBM"", ""'MTY'!BK3:BK139""),MATCH($D23,IMPORTRANGE(""17pNv02DXDpQT9S3w4-QeNym2QJy2BzMBqDXp-XtzJBM"", ""'MTY'!D3:D139""),0))"),47.2796197276863)</f>
        <v>47.279619727686303</v>
      </c>
      <c r="AD23" s="23">
        <f ca="1">IFERROR(__xludf.DUMMYFUNCTION("INDEX(IMPORTRANGE(""17pNv02DXDpQT9S3w4-QeNym2QJy2BzMBqDXp-XtzJBM"", ""'MTY'!BL3:BL139""),MATCH($D23,IMPORTRANGE(""17pNv02DXDpQT9S3w4-QeNym2QJy2BzMBqDXp-XtzJBM"", ""'MTY'!D3:D139""),0))"),6.59695880199228)</f>
        <v>6.5969588019922796</v>
      </c>
      <c r="AE23" s="23">
        <f ca="1">IFERROR(__xludf.DUMMYFUNCTION("INDEX(IMPORTRANGE(""17pNv02DXDpQT9S3w4-QeNym2QJy2BzMBqDXp-XtzJBM"", ""'MTY'!BM3:BM139""),MATCH($D23,IMPORTRANGE(""17pNv02DXDpQT9S3w4-QeNym2QJy2BzMBqDXp-XtzJBM"", ""'MTY'!D3:D139""),0))"),28.6998767038191)</f>
        <v>28.6998767038191</v>
      </c>
    </row>
    <row r="24" spans="1:31">
      <c r="A24" s="9" t="s">
        <v>52</v>
      </c>
      <c r="B24" s="9" t="s">
        <v>86</v>
      </c>
      <c r="C24" s="2" t="s">
        <v>30</v>
      </c>
      <c r="D24" s="149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12"/>
      <c r="R24" s="2"/>
      <c r="S24" s="2">
        <f ca="1">IFERROR(__xludf.DUMMYFUNCTION("INDEX(IMPORTRANGE(""17pNv02DXDpQT9S3w4-QeNym2QJy2BzMBqDXp-XtzJBM"", ""'MTY'!BG3:BG139""),MATCH($D24,IMPORTRANGE(""17pNv02DXDpQT9S3w4-QeNym2QJy2BzMBqDXp-XtzJBM"", ""'MTY'!D3:D139""),0))"),27)</f>
        <v>27</v>
      </c>
      <c r="T24" s="4"/>
      <c r="U24" s="4"/>
      <c r="V24" s="4"/>
      <c r="W24" s="4"/>
      <c r="X24" s="181"/>
      <c r="Y24" s="4"/>
      <c r="Z24" s="12">
        <f ca="1">IFERROR(__xludf.DUMMYFUNCTION("INDEX(IMPORTRANGE(""17pNv02DXDpQT9S3w4-QeNym2QJy2BzMBqDXp-XtzJBM"", ""'MTY'!BH3:BH139""),MATCH($D24,IMPORTRANGE(""17pNv02DXDpQT9S3w4-QeNym2QJy2BzMBqDXp-XtzJBM"", ""'MTY'!D3:D139""),0))"),9)</f>
        <v>9</v>
      </c>
      <c r="AA24" s="12">
        <f ca="1">IFERROR(__xludf.DUMMYFUNCTION("INDEX(IMPORTRANGE(""17pNv02DXDpQT9S3w4-QeNym2QJy2BzMBqDXp-XtzJBM"", ""'MTY'!BI3:BI139""),MATCH($D24,IMPORTRANGE(""17pNv02DXDpQT9S3w4-QeNym2QJy2BzMBqDXp-XtzJBM"", ""'MTY'!D3:D139""),0))"),25)</f>
        <v>25</v>
      </c>
      <c r="AB24" s="12">
        <f ca="1">IFERROR(__xludf.DUMMYFUNCTION("INDEX(IMPORTRANGE(""17pNv02DXDpQT9S3w4-QeNym2QJy2BzMBqDXp-XtzJBM"", ""'MTY'!BJ3:BJ139""),MATCH($D24,IMPORTRANGE(""17pNv02DXDpQT9S3w4-QeNym2QJy2BzMBqDXp-XtzJBM"", ""'MTY'!D3:D139""),0))"),19)</f>
        <v>19</v>
      </c>
      <c r="AC24" s="12">
        <f ca="1">IFERROR(__xludf.DUMMYFUNCTION("INDEX(IMPORTRANGE(""17pNv02DXDpQT9S3w4-QeNym2QJy2BzMBqDXp-XtzJBM"", ""'MTY'!BK3:BK139""),MATCH($D24,IMPORTRANGE(""17pNv02DXDpQT9S3w4-QeNym2QJy2BzMBqDXp-XtzJBM"", ""'MTY'!D3:D139""),0))"),57)</f>
        <v>57</v>
      </c>
      <c r="AD24" s="12">
        <f ca="1">IFERROR(__xludf.DUMMYFUNCTION("INDEX(IMPORTRANGE(""17pNv02DXDpQT9S3w4-QeNym2QJy2BzMBqDXp-XtzJBM"", ""'MTY'!BL3:BL139""),MATCH($D24,IMPORTRANGE(""17pNv02DXDpQT9S3w4-QeNym2QJy2BzMBqDXp-XtzJBM"", ""'MTY'!D3:D139""),0))"),18)</f>
        <v>18</v>
      </c>
      <c r="AE24" s="12">
        <f ca="1">IFERROR(__xludf.DUMMYFUNCTION("INDEX(IMPORTRANGE(""17pNv02DXDpQT9S3w4-QeNym2QJy2BzMBqDXp-XtzJBM"", ""'MTY'!BM3:BM139""),MATCH($D24,IMPORTRANGE(""17pNv02DXDpQT9S3w4-QeNym2QJy2BzMBqDXp-XtzJBM"", ""'MTY'!D3:D139""),0))"),32)</f>
        <v>32</v>
      </c>
    </row>
    <row r="25" spans="1:31">
      <c r="A25" s="9" t="s">
        <v>52</v>
      </c>
      <c r="B25" s="9" t="s">
        <v>86</v>
      </c>
      <c r="C25" s="2" t="s">
        <v>30</v>
      </c>
      <c r="D25" s="149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12"/>
      <c r="R25" s="2"/>
      <c r="S25" s="2">
        <f ca="1">IFERROR(__xludf.DUMMYFUNCTION("INDEX(IMPORTRANGE(""17pNv02DXDpQT9S3w4-QeNym2QJy2BzMBqDXp-XtzJBM"", ""'MTY'!BG3:BG139""),MATCH($D25,IMPORTRANGE(""17pNv02DXDpQT9S3w4-QeNym2QJy2BzMBqDXp-XtzJBM"", ""'MTY'!D3:D139""),0))"),26)</f>
        <v>26</v>
      </c>
      <c r="T25" s="4"/>
      <c r="U25" s="4"/>
      <c r="V25" s="4"/>
      <c r="W25" s="4"/>
      <c r="X25" s="181"/>
      <c r="Y25" s="4"/>
      <c r="Z25" s="12">
        <f ca="1">IFERROR(__xludf.DUMMYFUNCTION("INDEX(IMPORTRANGE(""17pNv02DXDpQT9S3w4-QeNym2QJy2BzMBqDXp-XtzJBM"", ""'MTY'!BH3:BH139""),MATCH($D25,IMPORTRANGE(""17pNv02DXDpQT9S3w4-QeNym2QJy2BzMBqDXp-XtzJBM"", ""'MTY'!D3:D139""),0))"),7)</f>
        <v>7</v>
      </c>
      <c r="AA25" s="12">
        <f ca="1">IFERROR(__xludf.DUMMYFUNCTION("INDEX(IMPORTRANGE(""17pNv02DXDpQT9S3w4-QeNym2QJy2BzMBqDXp-XtzJBM"", ""'MTY'!BI3:BI139""),MATCH($D25,IMPORTRANGE(""17pNv02DXDpQT9S3w4-QeNym2QJy2BzMBqDXp-XtzJBM"", ""'MTY'!D3:D139""),0))"),31)</f>
        <v>31</v>
      </c>
      <c r="AB25" s="12">
        <f ca="1">IFERROR(__xludf.DUMMYFUNCTION("INDEX(IMPORTRANGE(""17pNv02DXDpQT9S3w4-QeNym2QJy2BzMBqDXp-XtzJBM"", ""'MTY'!BJ3:BJ139""),MATCH($D25,IMPORTRANGE(""17pNv02DXDpQT9S3w4-QeNym2QJy2BzMBqDXp-XtzJBM"", ""'MTY'!D3:D139""),0))"),12)</f>
        <v>12</v>
      </c>
      <c r="AC25" s="12">
        <f ca="1">IFERROR(__xludf.DUMMYFUNCTION("INDEX(IMPORTRANGE(""17pNv02DXDpQT9S3w4-QeNym2QJy2BzMBqDXp-XtzJBM"", ""'MTY'!BK3:BK139""),MATCH($D25,IMPORTRANGE(""17pNv02DXDpQT9S3w4-QeNym2QJy2BzMBqDXp-XtzJBM"", ""'MTY'!D3:D139""),0))"),18)</f>
        <v>18</v>
      </c>
      <c r="AD25" s="12">
        <f ca="1">IFERROR(__xludf.DUMMYFUNCTION("INDEX(IMPORTRANGE(""17pNv02DXDpQT9S3w4-QeNym2QJy2BzMBqDXp-XtzJBM"", ""'MTY'!BL3:BL139""),MATCH($D25,IMPORTRANGE(""17pNv02DXDpQT9S3w4-QeNym2QJy2BzMBqDXp-XtzJBM"", ""'MTY'!D3:D139""),0))"),4)</f>
        <v>4</v>
      </c>
      <c r="AE25" s="12">
        <f ca="1">IFERROR(__xludf.DUMMYFUNCTION("INDEX(IMPORTRANGE(""17pNv02DXDpQT9S3w4-QeNym2QJy2BzMBqDXp-XtzJBM"", ""'MTY'!BM3:BM139""),MATCH($D25,IMPORTRANGE(""17pNv02DXDpQT9S3w4-QeNym2QJy2BzMBqDXp-XtzJBM"", ""'MTY'!D3:D139""),0))"),8)</f>
        <v>8</v>
      </c>
    </row>
    <row r="26" spans="1:31">
      <c r="A26" s="9" t="s">
        <v>52</v>
      </c>
      <c r="B26" s="9" t="s">
        <v>86</v>
      </c>
      <c r="C26" s="2" t="s">
        <v>30</v>
      </c>
      <c r="D26" s="149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12"/>
      <c r="R26" s="2"/>
      <c r="S26" s="2">
        <f ca="1">IFERROR(__xludf.DUMMYFUNCTION("INDEX(IMPORTRANGE(""17pNv02DXDpQT9S3w4-QeNym2QJy2BzMBqDXp-XtzJBM"", ""'MTY'!BG3:BG139""),MATCH($D26,IMPORTRANGE(""17pNv02DXDpQT9S3w4-QeNym2QJy2BzMBqDXp-XtzJBM"", ""'MTY'!D3:D139""),0))"),12)</f>
        <v>12</v>
      </c>
      <c r="T26" s="4"/>
      <c r="U26" s="4"/>
      <c r="V26" s="4"/>
      <c r="W26" s="4"/>
      <c r="X26" s="181"/>
      <c r="Y26" s="4"/>
      <c r="Z26" s="12">
        <f ca="1">IFERROR(__xludf.DUMMYFUNCTION("INDEX(IMPORTRANGE(""17pNv02DXDpQT9S3w4-QeNym2QJy2BzMBqDXp-XtzJBM"", ""'MTY'!BH3:BH139""),MATCH($D26,IMPORTRANGE(""17pNv02DXDpQT9S3w4-QeNym2QJy2BzMBqDXp-XtzJBM"", ""'MTY'!D3:D139""),0))"),2)</f>
        <v>2</v>
      </c>
      <c r="AA26" s="12">
        <f ca="1">IFERROR(__xludf.DUMMYFUNCTION("INDEX(IMPORTRANGE(""17pNv02DXDpQT9S3w4-QeNym2QJy2BzMBqDXp-XtzJBM"", ""'MTY'!BI3:BI139""),MATCH($D26,IMPORTRANGE(""17pNv02DXDpQT9S3w4-QeNym2QJy2BzMBqDXp-XtzJBM"", ""'MTY'!D3:D139""),0))"),11)</f>
        <v>11</v>
      </c>
      <c r="AB26" s="12">
        <f ca="1">IFERROR(__xludf.DUMMYFUNCTION("INDEX(IMPORTRANGE(""17pNv02DXDpQT9S3w4-QeNym2QJy2BzMBqDXp-XtzJBM"", ""'MTY'!BJ3:BJ139""),MATCH($D26,IMPORTRANGE(""17pNv02DXDpQT9S3w4-QeNym2QJy2BzMBqDXp-XtzJBM"", ""'MTY'!D3:D139""),0))"),0)</f>
        <v>0</v>
      </c>
      <c r="AC26" s="12">
        <f ca="1">IFERROR(__xludf.DUMMYFUNCTION("INDEX(IMPORTRANGE(""17pNv02DXDpQT9S3w4-QeNym2QJy2BzMBqDXp-XtzJBM"", ""'MTY'!BK3:BK139""),MATCH($D26,IMPORTRANGE(""17pNv02DXDpQT9S3w4-QeNym2QJy2BzMBqDXp-XtzJBM"", ""'MTY'!D3:D139""),0))"),6)</f>
        <v>6</v>
      </c>
      <c r="AD26" s="12">
        <f ca="1">IFERROR(__xludf.DUMMYFUNCTION("INDEX(IMPORTRANGE(""17pNv02DXDpQT9S3w4-QeNym2QJy2BzMBqDXp-XtzJBM"", ""'MTY'!BL3:BL139""),MATCH($D26,IMPORTRANGE(""17pNv02DXDpQT9S3w4-QeNym2QJy2BzMBqDXp-XtzJBM"", ""'MTY'!D3:D139""),0))"),1)</f>
        <v>1</v>
      </c>
      <c r="AE26" s="12">
        <f ca="1">IFERROR(__xludf.DUMMYFUNCTION("INDEX(IMPORTRANGE(""17pNv02DXDpQT9S3w4-QeNym2QJy2BzMBqDXp-XtzJBM"", ""'MTY'!BM3:BM139""),MATCH($D26,IMPORTRANGE(""17pNv02DXDpQT9S3w4-QeNym2QJy2BzMBqDXp-XtzJBM"", ""'MTY'!D3:D139""),0))"),4)</f>
        <v>4</v>
      </c>
    </row>
    <row r="27" spans="1:31">
      <c r="A27" s="9" t="s">
        <v>52</v>
      </c>
      <c r="B27" s="9" t="s">
        <v>86</v>
      </c>
      <c r="C27" s="2" t="s">
        <v>30</v>
      </c>
      <c r="D27" s="149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12"/>
      <c r="R27" s="2"/>
      <c r="S27" s="2">
        <f ca="1">IFERROR(__xludf.DUMMYFUNCTION("INDEX(IMPORTRANGE(""17pNv02DXDpQT9S3w4-QeNym2QJy2BzMBqDXp-XtzJBM"", ""'MTY'!BG3:BG139""),MATCH($D27,IMPORTRANGE(""17pNv02DXDpQT9S3w4-QeNym2QJy2BzMBqDXp-XtzJBM"", ""'MTY'!D3:D139""),0))"),0)</f>
        <v>0</v>
      </c>
      <c r="T27" s="4"/>
      <c r="U27" s="4"/>
      <c r="V27" s="4"/>
      <c r="W27" s="4"/>
      <c r="X27" s="181"/>
      <c r="Y27" s="4"/>
      <c r="Z27" s="12">
        <f ca="1">IFERROR(__xludf.DUMMYFUNCTION("INDEX(IMPORTRANGE(""17pNv02DXDpQT9S3w4-QeNym2QJy2BzMBqDXp-XtzJBM"", ""'MTY'!BH3:BH139""),MATCH($D27,IMPORTRANGE(""17pNv02DXDpQT9S3w4-QeNym2QJy2BzMBqDXp-XtzJBM"", ""'MTY'!D3:D139""),0))"),0)</f>
        <v>0</v>
      </c>
      <c r="AA27" s="12">
        <f ca="1">IFERROR(__xludf.DUMMYFUNCTION("INDEX(IMPORTRANGE(""17pNv02DXDpQT9S3w4-QeNym2QJy2BzMBqDXp-XtzJBM"", ""'MTY'!BI3:BI139""),MATCH($D27,IMPORTRANGE(""17pNv02DXDpQT9S3w4-QeNym2QJy2BzMBqDXp-XtzJBM"", ""'MTY'!D3:D139""),0))"),1)</f>
        <v>1</v>
      </c>
      <c r="AB27" s="12">
        <f ca="1">IFERROR(__xludf.DUMMYFUNCTION("INDEX(IMPORTRANGE(""17pNv02DXDpQT9S3w4-QeNym2QJy2BzMBqDXp-XtzJBM"", ""'MTY'!BJ3:BJ139""),MATCH($D27,IMPORTRANGE(""17pNv02DXDpQT9S3w4-QeNym2QJy2BzMBqDXp-XtzJBM"", ""'MTY'!D3:D139""),0))"),0)</f>
        <v>0</v>
      </c>
      <c r="AC27" s="12">
        <f ca="1">IFERROR(__xludf.DUMMYFUNCTION("INDEX(IMPORTRANGE(""17pNv02DXDpQT9S3w4-QeNym2QJy2BzMBqDXp-XtzJBM"", ""'MTY'!BK3:BK139""),MATCH($D27,IMPORTRANGE(""17pNv02DXDpQT9S3w4-QeNym2QJy2BzMBqDXp-XtzJBM"", ""'MTY'!D3:D139""),0))"),0)</f>
        <v>0</v>
      </c>
      <c r="AD27" s="12">
        <f ca="1">IFERROR(__xludf.DUMMYFUNCTION("INDEX(IMPORTRANGE(""17pNv02DXDpQT9S3w4-QeNym2QJy2BzMBqDXp-XtzJBM"", ""'MTY'!BL3:BL139""),MATCH($D27,IMPORTRANGE(""17pNv02DXDpQT9S3w4-QeNym2QJy2BzMBqDXp-XtzJBM"", ""'MTY'!D3:D139""),0))"),0)</f>
        <v>0</v>
      </c>
      <c r="AE27" s="12">
        <f ca="1">IFERROR(__xludf.DUMMYFUNCTION("INDEX(IMPORTRANGE(""17pNv02DXDpQT9S3w4-QeNym2QJy2BzMBqDXp-XtzJBM"", ""'MTY'!BM3:BM139""),MATCH($D27,IMPORTRANGE(""17pNv02DXDpQT9S3w4-QeNym2QJy2BzMBqDXp-XtzJBM"", ""'MTY'!D3:D139""),0))"),0)</f>
        <v>0</v>
      </c>
    </row>
    <row r="28" spans="1:31">
      <c r="A28" s="9" t="s">
        <v>52</v>
      </c>
      <c r="B28" s="9" t="s">
        <v>86</v>
      </c>
      <c r="C28" s="2" t="s">
        <v>30</v>
      </c>
      <c r="D28" s="149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/>
      <c r="R28" s="2"/>
      <c r="S28" s="2">
        <f ca="1">IFERROR(__xludf.DUMMYFUNCTION("INDEX(IMPORTRANGE(""17pNv02DXDpQT9S3w4-QeNym2QJy2BzMBqDXp-XtzJBM"", ""'MTY'!BG3:BG139""),MATCH($D28,IMPORTRANGE(""17pNv02DXDpQT9S3w4-QeNym2QJy2BzMBqDXp-XtzJBM"", ""'MTY'!D3:D139""),0))"),17)</f>
        <v>17</v>
      </c>
      <c r="T28" s="4"/>
      <c r="U28" s="4"/>
      <c r="V28" s="4"/>
      <c r="W28" s="4"/>
      <c r="X28" s="181"/>
      <c r="Y28" s="4"/>
      <c r="Z28" s="12">
        <f ca="1">IFERROR(__xludf.DUMMYFUNCTION("INDEX(IMPORTRANGE(""17pNv02DXDpQT9S3w4-QeNym2QJy2BzMBqDXp-XtzJBM"", ""'MTY'!BH3:BH139""),MATCH($D28,IMPORTRANGE(""17pNv02DXDpQT9S3w4-QeNym2QJy2BzMBqDXp-XtzJBM"", ""'MTY'!D3:D139""),0))"),2)</f>
        <v>2</v>
      </c>
      <c r="AA28" s="12">
        <f ca="1">IFERROR(__xludf.DUMMYFUNCTION("INDEX(IMPORTRANGE(""17pNv02DXDpQT9S3w4-QeNym2QJy2BzMBqDXp-XtzJBM"", ""'MTY'!BI3:BI139""),MATCH($D28,IMPORTRANGE(""17pNv02DXDpQT9S3w4-QeNym2QJy2BzMBqDXp-XtzJBM"", ""'MTY'!D3:D139""),0))"),4)</f>
        <v>4</v>
      </c>
      <c r="AB28" s="12">
        <f ca="1">IFERROR(__xludf.DUMMYFUNCTION("INDEX(IMPORTRANGE(""17pNv02DXDpQT9S3w4-QeNym2QJy2BzMBqDXp-XtzJBM"", ""'MTY'!BJ3:BJ139""),MATCH($D28,IMPORTRANGE(""17pNv02DXDpQT9S3w4-QeNym2QJy2BzMBqDXp-XtzJBM"", ""'MTY'!D3:D139""),0))"),0)</f>
        <v>0</v>
      </c>
      <c r="AC28" s="12">
        <f ca="1">IFERROR(__xludf.DUMMYFUNCTION("INDEX(IMPORTRANGE(""17pNv02DXDpQT9S3w4-QeNym2QJy2BzMBqDXp-XtzJBM"", ""'MTY'!BK3:BK139""),MATCH($D28,IMPORTRANGE(""17pNv02DXDpQT9S3w4-QeNym2QJy2BzMBqDXp-XtzJBM"", ""'MTY'!D3:D139""),0))"),2)</f>
        <v>2</v>
      </c>
      <c r="AD28" s="12">
        <f ca="1">IFERROR(__xludf.DUMMYFUNCTION("INDEX(IMPORTRANGE(""17pNv02DXDpQT9S3w4-QeNym2QJy2BzMBqDXp-XtzJBM"", ""'MTY'!BL3:BL139""),MATCH($D28,IMPORTRANGE(""17pNv02DXDpQT9S3w4-QeNym2QJy2BzMBqDXp-XtzJBM"", ""'MTY'!D3:D139""),0))"),1)</f>
        <v>1</v>
      </c>
      <c r="AE28" s="12">
        <f ca="1">IFERROR(__xludf.DUMMYFUNCTION("INDEX(IMPORTRANGE(""17pNv02DXDpQT9S3w4-QeNym2QJy2BzMBqDXp-XtzJBM"", ""'MTY'!BM3:BM139""),MATCH($D28,IMPORTRANGE(""17pNv02DXDpQT9S3w4-QeNym2QJy2BzMBqDXp-XtzJBM"", ""'MTY'!D3:D139""),0))"),2)</f>
        <v>2</v>
      </c>
    </row>
    <row r="29" spans="1:31">
      <c r="A29" s="9" t="s">
        <v>52</v>
      </c>
      <c r="B29" s="9" t="s">
        <v>86</v>
      </c>
      <c r="C29" s="2" t="s">
        <v>30</v>
      </c>
      <c r="D29" s="149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/>
      <c r="R29" s="2"/>
      <c r="S29" s="2">
        <f ca="1">IFERROR(__xludf.DUMMYFUNCTION("INDEX(IMPORTRANGE(""17pNv02DXDpQT9S3w4-QeNym2QJy2BzMBqDXp-XtzJBM"", ""'MTY'!BG3:BG139""),MATCH($D29,IMPORTRANGE(""17pNv02DXDpQT9S3w4-QeNym2QJy2BzMBqDXp-XtzJBM"", ""'MTY'!D3:D139""),0))"),0)</f>
        <v>0</v>
      </c>
      <c r="T29" s="4"/>
      <c r="U29" s="4"/>
      <c r="V29" s="4"/>
      <c r="W29" s="4"/>
      <c r="X29" s="181"/>
      <c r="Y29" s="4"/>
      <c r="Z29" s="12">
        <f ca="1">IFERROR(__xludf.DUMMYFUNCTION("INDEX(IMPORTRANGE(""17pNv02DXDpQT9S3w4-QeNym2QJy2BzMBqDXp-XtzJBM"", ""'MTY'!BH3:BH139""),MATCH($D29,IMPORTRANGE(""17pNv02DXDpQT9S3w4-QeNym2QJy2BzMBqDXp-XtzJBM"", ""'MTY'!D3:D139""),0))"),0)</f>
        <v>0</v>
      </c>
      <c r="AA29" s="12">
        <f ca="1">IFERROR(__xludf.DUMMYFUNCTION("INDEX(IMPORTRANGE(""17pNv02DXDpQT9S3w4-QeNym2QJy2BzMBqDXp-XtzJBM"", ""'MTY'!BI3:BI139""),MATCH($D29,IMPORTRANGE(""17pNv02DXDpQT9S3w4-QeNym2QJy2BzMBqDXp-XtzJBM"", ""'MTY'!D3:D139""),0))"),0)</f>
        <v>0</v>
      </c>
      <c r="AB29" s="12">
        <f ca="1">IFERROR(__xludf.DUMMYFUNCTION("INDEX(IMPORTRANGE(""17pNv02DXDpQT9S3w4-QeNym2QJy2BzMBqDXp-XtzJBM"", ""'MTY'!BJ3:BJ139""),MATCH($D29,IMPORTRANGE(""17pNv02DXDpQT9S3w4-QeNym2QJy2BzMBqDXp-XtzJBM"", ""'MTY'!D3:D139""),0))"),0)</f>
        <v>0</v>
      </c>
      <c r="AC29" s="12">
        <f ca="1">IFERROR(__xludf.DUMMYFUNCTION("INDEX(IMPORTRANGE(""17pNv02DXDpQT9S3w4-QeNym2QJy2BzMBqDXp-XtzJBM"", ""'MTY'!BK3:BK139""),MATCH($D29,IMPORTRANGE(""17pNv02DXDpQT9S3w4-QeNym2QJy2BzMBqDXp-XtzJBM"", ""'MTY'!D3:D139""),0))"),0)</f>
        <v>0</v>
      </c>
      <c r="AD29" s="12">
        <f ca="1">IFERROR(__xludf.DUMMYFUNCTION("INDEX(IMPORTRANGE(""17pNv02DXDpQT9S3w4-QeNym2QJy2BzMBqDXp-XtzJBM"", ""'MTY'!BL3:BL139""),MATCH($D29,IMPORTRANGE(""17pNv02DXDpQT9S3w4-QeNym2QJy2BzMBqDXp-XtzJBM"", ""'MTY'!D3:D139""),0))"),0)</f>
        <v>0</v>
      </c>
      <c r="AE29" s="12">
        <f ca="1">IFERROR(__xludf.DUMMYFUNCTION("INDEX(IMPORTRANGE(""17pNv02DXDpQT9S3w4-QeNym2QJy2BzMBqDXp-XtzJBM"", ""'MTY'!BM3:BM139""),MATCH($D29,IMPORTRANGE(""17pNv02DXDpQT9S3w4-QeNym2QJy2BzMBqDXp-XtzJBM"", ""'MTY'!D3:D139""),0))"),0)</f>
        <v>0</v>
      </c>
    </row>
    <row r="30" spans="1:31">
      <c r="A30" s="9" t="s">
        <v>52</v>
      </c>
      <c r="B30" s="9" t="s">
        <v>86</v>
      </c>
      <c r="C30" s="2" t="s">
        <v>30</v>
      </c>
      <c r="D30" s="149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/>
      <c r="R30" s="2"/>
      <c r="S30" s="2">
        <f ca="1">IFERROR(__xludf.DUMMYFUNCTION("INDEX(IMPORTRANGE(""17pNv02DXDpQT9S3w4-QeNym2QJy2BzMBqDXp-XtzJBM"", ""'MTY'!BG3:BG139""),MATCH($D30,IMPORTRANGE(""17pNv02DXDpQT9S3w4-QeNym2QJy2BzMBqDXp-XtzJBM"", ""'MTY'!D3:D139""),0))"),13)</f>
        <v>13</v>
      </c>
      <c r="T30" s="4"/>
      <c r="U30" s="4"/>
      <c r="V30" s="4"/>
      <c r="W30" s="4"/>
      <c r="X30" s="181"/>
      <c r="Y30" s="4"/>
      <c r="Z30" s="12">
        <f ca="1">IFERROR(__xludf.DUMMYFUNCTION("INDEX(IMPORTRANGE(""17pNv02DXDpQT9S3w4-QeNym2QJy2BzMBqDXp-XtzJBM"", ""'MTY'!BH3:BH139""),MATCH($D30,IMPORTRANGE(""17pNv02DXDpQT9S3w4-QeNym2QJy2BzMBqDXp-XtzJBM"", ""'MTY'!D3:D139""),0))"),6)</f>
        <v>6</v>
      </c>
      <c r="AA30" s="12">
        <f ca="1">IFERROR(__xludf.DUMMYFUNCTION("INDEX(IMPORTRANGE(""17pNv02DXDpQT9S3w4-QeNym2QJy2BzMBqDXp-XtzJBM"", ""'MTY'!BI3:BI139""),MATCH($D30,IMPORTRANGE(""17pNv02DXDpQT9S3w4-QeNym2QJy2BzMBqDXp-XtzJBM"", ""'MTY'!D3:D139""),0))"),18)</f>
        <v>18</v>
      </c>
      <c r="AB30" s="12">
        <f ca="1">IFERROR(__xludf.DUMMYFUNCTION("INDEX(IMPORTRANGE(""17pNv02DXDpQT9S3w4-QeNym2QJy2BzMBqDXp-XtzJBM"", ""'MTY'!BJ3:BJ139""),MATCH($D30,IMPORTRANGE(""17pNv02DXDpQT9S3w4-QeNym2QJy2BzMBqDXp-XtzJBM"", ""'MTY'!D3:D139""),0))"),6)</f>
        <v>6</v>
      </c>
      <c r="AC30" s="12">
        <f ca="1">IFERROR(__xludf.DUMMYFUNCTION("INDEX(IMPORTRANGE(""17pNv02DXDpQT9S3w4-QeNym2QJy2BzMBqDXp-XtzJBM"", ""'MTY'!BK3:BK139""),MATCH($D30,IMPORTRANGE(""17pNv02DXDpQT9S3w4-QeNym2QJy2BzMBqDXp-XtzJBM"", ""'MTY'!D3:D139""),0))"),18)</f>
        <v>18</v>
      </c>
      <c r="AD30" s="12">
        <f ca="1">IFERROR(__xludf.DUMMYFUNCTION("INDEX(IMPORTRANGE(""17pNv02DXDpQT9S3w4-QeNym2QJy2BzMBqDXp-XtzJBM"", ""'MTY'!BL3:BL139""),MATCH($D30,IMPORTRANGE(""17pNv02DXDpQT9S3w4-QeNym2QJy2BzMBqDXp-XtzJBM"", ""'MTY'!D3:D139""),0))"),5)</f>
        <v>5</v>
      </c>
      <c r="AE30" s="12">
        <f ca="1">IFERROR(__xludf.DUMMYFUNCTION("INDEX(IMPORTRANGE(""17pNv02DXDpQT9S3w4-QeNym2QJy2BzMBqDXp-XtzJBM"", ""'MTY'!BM3:BM139""),MATCH($D30,IMPORTRANGE(""17pNv02DXDpQT9S3w4-QeNym2QJy2BzMBqDXp-XtzJBM"", ""'MTY'!D3:D139""),0))"),10)</f>
        <v>10</v>
      </c>
    </row>
    <row r="31" spans="1:31">
      <c r="A31" s="9" t="s">
        <v>52</v>
      </c>
      <c r="B31" s="9" t="s">
        <v>86</v>
      </c>
      <c r="C31" s="2" t="s">
        <v>30</v>
      </c>
      <c r="D31" s="149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/>
      <c r="R31" s="2"/>
      <c r="S31" s="2">
        <f ca="1">IFERROR(__xludf.DUMMYFUNCTION("INDEX(IMPORTRANGE(""17pNv02DXDpQT9S3w4-QeNym2QJy2BzMBqDXp-XtzJBM"", ""'MTY'!BG3:BG139""),MATCH($D31,IMPORTRANGE(""17pNv02DXDpQT9S3w4-QeNym2QJy2BzMBqDXp-XtzJBM"", ""'MTY'!D3:D139""),0))"),4)</f>
        <v>4</v>
      </c>
      <c r="T31" s="4"/>
      <c r="U31" s="4"/>
      <c r="V31" s="4"/>
      <c r="W31" s="4"/>
      <c r="X31" s="181"/>
      <c r="Y31" s="4"/>
      <c r="Z31" s="12">
        <f ca="1">IFERROR(__xludf.DUMMYFUNCTION("INDEX(IMPORTRANGE(""17pNv02DXDpQT9S3w4-QeNym2QJy2BzMBqDXp-XtzJBM"", ""'MTY'!BH3:BH139""),MATCH($D31,IMPORTRANGE(""17pNv02DXDpQT9S3w4-QeNym2QJy2BzMBqDXp-XtzJBM"", ""'MTY'!D3:D139""),0))"),3)</f>
        <v>3</v>
      </c>
      <c r="AA31" s="12">
        <f ca="1">IFERROR(__xludf.DUMMYFUNCTION("INDEX(IMPORTRANGE(""17pNv02DXDpQT9S3w4-QeNym2QJy2BzMBqDXp-XtzJBM"", ""'MTY'!BI3:BI139""),MATCH($D31,IMPORTRANGE(""17pNv02DXDpQT9S3w4-QeNym2QJy2BzMBqDXp-XtzJBM"", ""'MTY'!D3:D139""),0))"),5)</f>
        <v>5</v>
      </c>
      <c r="AB31" s="12">
        <f ca="1">IFERROR(__xludf.DUMMYFUNCTION("INDEX(IMPORTRANGE(""17pNv02DXDpQT9S3w4-QeNym2QJy2BzMBqDXp-XtzJBM"", ""'MTY'!BJ3:BJ139""),MATCH($D31,IMPORTRANGE(""17pNv02DXDpQT9S3w4-QeNym2QJy2BzMBqDXp-XtzJBM"", ""'MTY'!D3:D139""),0))"),0)</f>
        <v>0</v>
      </c>
      <c r="AC31" s="12">
        <f ca="1">IFERROR(__xludf.DUMMYFUNCTION("INDEX(IMPORTRANGE(""17pNv02DXDpQT9S3w4-QeNym2QJy2BzMBqDXp-XtzJBM"", ""'MTY'!BK3:BK139""),MATCH($D31,IMPORTRANGE(""17pNv02DXDpQT9S3w4-QeNym2QJy2BzMBqDXp-XtzJBM"", ""'MTY'!D3:D139""),0))"),0)</f>
        <v>0</v>
      </c>
      <c r="AD31" s="12">
        <f ca="1">IFERROR(__xludf.DUMMYFUNCTION("INDEX(IMPORTRANGE(""17pNv02DXDpQT9S3w4-QeNym2QJy2BzMBqDXp-XtzJBM"", ""'MTY'!BL3:BL139""),MATCH($D31,IMPORTRANGE(""17pNv02DXDpQT9S3w4-QeNym2QJy2BzMBqDXp-XtzJBM"", ""'MTY'!D3:D139""),0))"),0)</f>
        <v>0</v>
      </c>
      <c r="AE31" s="12">
        <f ca="1">IFERROR(__xludf.DUMMYFUNCTION("INDEX(IMPORTRANGE(""17pNv02DXDpQT9S3w4-QeNym2QJy2BzMBqDXp-XtzJBM"", ""'MTY'!BM3:BM139""),MATCH($D31,IMPORTRANGE(""17pNv02DXDpQT9S3w4-QeNym2QJy2BzMBqDXp-XtzJBM"", ""'MTY'!D3:D139""),0))"),1)</f>
        <v>1</v>
      </c>
    </row>
    <row r="32" spans="1:31">
      <c r="A32" s="9" t="s">
        <v>52</v>
      </c>
      <c r="B32" s="9" t="s">
        <v>86</v>
      </c>
      <c r="C32" s="2" t="s">
        <v>30</v>
      </c>
      <c r="D32" s="149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/>
      <c r="R32" s="2"/>
      <c r="S32" s="2">
        <f ca="1">IFERROR(__xludf.DUMMYFUNCTION("INDEX(IMPORTRANGE(""17pNv02DXDpQT9S3w4-QeNym2QJy2BzMBqDXp-XtzJBM"", ""'MTY'!BG3:BG139""),MATCH($D32,IMPORTRANGE(""17pNv02DXDpQT9S3w4-QeNym2QJy2BzMBqDXp-XtzJBM"", ""'MTY'!D3:D139""),0))"),0)</f>
        <v>0</v>
      </c>
      <c r="T32" s="4"/>
      <c r="U32" s="4"/>
      <c r="V32" s="4"/>
      <c r="W32" s="4"/>
      <c r="X32" s="181"/>
      <c r="Y32" s="4"/>
      <c r="Z32" s="12">
        <f ca="1">IFERROR(__xludf.DUMMYFUNCTION("INDEX(IMPORTRANGE(""17pNv02DXDpQT9S3w4-QeNym2QJy2BzMBqDXp-XtzJBM"", ""'MTY'!BH3:BH139""),MATCH($D32,IMPORTRANGE(""17pNv02DXDpQT9S3w4-QeNym2QJy2BzMBqDXp-XtzJBM"", ""'MTY'!D3:D139""),0))"),0)</f>
        <v>0</v>
      </c>
      <c r="AA32" s="12">
        <f ca="1">IFERROR(__xludf.DUMMYFUNCTION("INDEX(IMPORTRANGE(""17pNv02DXDpQT9S3w4-QeNym2QJy2BzMBqDXp-XtzJBM"", ""'MTY'!BI3:BI139""),MATCH($D32,IMPORTRANGE(""17pNv02DXDpQT9S3w4-QeNym2QJy2BzMBqDXp-XtzJBM"", ""'MTY'!D3:D139""),0))"),0)</f>
        <v>0</v>
      </c>
      <c r="AB32" s="12">
        <f ca="1">IFERROR(__xludf.DUMMYFUNCTION("INDEX(IMPORTRANGE(""17pNv02DXDpQT9S3w4-QeNym2QJy2BzMBqDXp-XtzJBM"", ""'MTY'!BJ3:BJ139""),MATCH($D32,IMPORTRANGE(""17pNv02DXDpQT9S3w4-QeNym2QJy2BzMBqDXp-XtzJBM"", ""'MTY'!D3:D139""),0))"),0)</f>
        <v>0</v>
      </c>
      <c r="AC32" s="12">
        <f ca="1">IFERROR(__xludf.DUMMYFUNCTION("INDEX(IMPORTRANGE(""17pNv02DXDpQT9S3w4-QeNym2QJy2BzMBqDXp-XtzJBM"", ""'MTY'!BK3:BK139""),MATCH($D32,IMPORTRANGE(""17pNv02DXDpQT9S3w4-QeNym2QJy2BzMBqDXp-XtzJBM"", ""'MTY'!D3:D139""),0))"),0)</f>
        <v>0</v>
      </c>
      <c r="AD32" s="12">
        <f ca="1">IFERROR(__xludf.DUMMYFUNCTION("INDEX(IMPORTRANGE(""17pNv02DXDpQT9S3w4-QeNym2QJy2BzMBqDXp-XtzJBM"", ""'MTY'!BL3:BL139""),MATCH($D32,IMPORTRANGE(""17pNv02DXDpQT9S3w4-QeNym2QJy2BzMBqDXp-XtzJBM"", ""'MTY'!D3:D139""),0))"),0)</f>
        <v>0</v>
      </c>
      <c r="AE32" s="12">
        <f ca="1">IFERROR(__xludf.DUMMYFUNCTION("INDEX(IMPORTRANGE(""17pNv02DXDpQT9S3w4-QeNym2QJy2BzMBqDXp-XtzJBM"", ""'MTY'!BM3:BM139""),MATCH($D32,IMPORTRANGE(""17pNv02DXDpQT9S3w4-QeNym2QJy2BzMBqDXp-XtzJBM"", ""'MTY'!D3:D139""),0))"),0)</f>
        <v>0</v>
      </c>
    </row>
    <row r="33" spans="1:31">
      <c r="A33" s="9" t="s">
        <v>52</v>
      </c>
      <c r="B33" s="9" t="s">
        <v>86</v>
      </c>
      <c r="C33" s="2" t="s">
        <v>30</v>
      </c>
      <c r="D33" s="149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/>
      <c r="R33" s="2"/>
      <c r="S33" s="2">
        <f ca="1">IFERROR(__xludf.DUMMYFUNCTION("INDEX(IMPORTRANGE(""17pNv02DXDpQT9S3w4-QeNym2QJy2BzMBqDXp-XtzJBM"", ""'MTY'!BG3:BG139""),MATCH($D33,IMPORTRANGE(""17pNv02DXDpQT9S3w4-QeNym2QJy2BzMBqDXp-XtzJBM"", ""'MTY'!D3:D139""),0))"),1)</f>
        <v>1</v>
      </c>
      <c r="T33" s="4"/>
      <c r="U33" s="4"/>
      <c r="V33" s="4"/>
      <c r="W33" s="4"/>
      <c r="X33" s="181"/>
      <c r="Y33" s="4"/>
      <c r="Z33" s="12">
        <f ca="1">IFERROR(__xludf.DUMMYFUNCTION("INDEX(IMPORTRANGE(""17pNv02DXDpQT9S3w4-QeNym2QJy2BzMBqDXp-XtzJBM"", ""'MTY'!BH3:BH139""),MATCH($D33,IMPORTRANGE(""17pNv02DXDpQT9S3w4-QeNym2QJy2BzMBqDXp-XtzJBM"", ""'MTY'!D3:D139""),0))"),1)</f>
        <v>1</v>
      </c>
      <c r="AA33" s="12">
        <f ca="1">IFERROR(__xludf.DUMMYFUNCTION("INDEX(IMPORTRANGE(""17pNv02DXDpQT9S3w4-QeNym2QJy2BzMBqDXp-XtzJBM"", ""'MTY'!BI3:BI139""),MATCH($D33,IMPORTRANGE(""17pNv02DXDpQT9S3w4-QeNym2QJy2BzMBqDXp-XtzJBM"", ""'MTY'!D3:D139""),0))"),3)</f>
        <v>3</v>
      </c>
      <c r="AB33" s="12">
        <f ca="1">IFERROR(__xludf.DUMMYFUNCTION("INDEX(IMPORTRANGE(""17pNv02DXDpQT9S3w4-QeNym2QJy2BzMBqDXp-XtzJBM"", ""'MTY'!BJ3:BJ139""),MATCH($D33,IMPORTRANGE(""17pNv02DXDpQT9S3w4-QeNym2QJy2BzMBqDXp-XtzJBM"", ""'MTY'!D3:D139""),0))"),1)</f>
        <v>1</v>
      </c>
      <c r="AC33" s="12">
        <f ca="1">IFERROR(__xludf.DUMMYFUNCTION("INDEX(IMPORTRANGE(""17pNv02DXDpQT9S3w4-QeNym2QJy2BzMBqDXp-XtzJBM"", ""'MTY'!BK3:BK139""),MATCH($D33,IMPORTRANGE(""17pNv02DXDpQT9S3w4-QeNym2QJy2BzMBqDXp-XtzJBM"", ""'MTY'!D3:D139""),0))"),4)</f>
        <v>4</v>
      </c>
      <c r="AD33" s="12">
        <f ca="1">IFERROR(__xludf.DUMMYFUNCTION("INDEX(IMPORTRANGE(""17pNv02DXDpQT9S3w4-QeNym2QJy2BzMBqDXp-XtzJBM"", ""'MTY'!BL3:BL139""),MATCH($D33,IMPORTRANGE(""17pNv02DXDpQT9S3w4-QeNym2QJy2BzMBqDXp-XtzJBM"", ""'MTY'!D3:D139""),0))"),0)</f>
        <v>0</v>
      </c>
      <c r="AE33" s="12">
        <f ca="1">IFERROR(__xludf.DUMMYFUNCTION("INDEX(IMPORTRANGE(""17pNv02DXDpQT9S3w4-QeNym2QJy2BzMBqDXp-XtzJBM"", ""'MTY'!BM3:BM139""),MATCH($D33,IMPORTRANGE(""17pNv02DXDpQT9S3w4-QeNym2QJy2BzMBqDXp-XtzJBM"", ""'MTY'!D3:D139""),0))"),0)</f>
        <v>0</v>
      </c>
    </row>
    <row r="34" spans="1:31">
      <c r="A34" s="9" t="s">
        <v>52</v>
      </c>
      <c r="B34" s="9" t="s">
        <v>86</v>
      </c>
      <c r="C34" s="2" t="s">
        <v>30</v>
      </c>
      <c r="D34" s="149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/>
      <c r="R34" s="2"/>
      <c r="S34" s="2">
        <f ca="1">IFERROR(__xludf.DUMMYFUNCTION("INDEX(IMPORTRANGE(""17pNv02DXDpQT9S3w4-QeNym2QJy2BzMBqDXp-XtzJBM"", ""'MTY'!BG3:BG139""),MATCH($D34,IMPORTRANGE(""17pNv02DXDpQT9S3w4-QeNym2QJy2BzMBqDXp-XtzJBM"", ""'MTY'!D3:D139""),0))"),1)</f>
        <v>1</v>
      </c>
      <c r="T34" s="4"/>
      <c r="U34" s="4"/>
      <c r="V34" s="4"/>
      <c r="W34" s="4"/>
      <c r="X34" s="181"/>
      <c r="Y34" s="4"/>
      <c r="Z34" s="12">
        <f ca="1">IFERROR(__xludf.DUMMYFUNCTION("INDEX(IMPORTRANGE(""17pNv02DXDpQT9S3w4-QeNym2QJy2BzMBqDXp-XtzJBM"", ""'MTY'!BH3:BH139""),MATCH($D34,IMPORTRANGE(""17pNv02DXDpQT9S3w4-QeNym2QJy2BzMBqDXp-XtzJBM"", ""'MTY'!D3:D139""),0))"),0)</f>
        <v>0</v>
      </c>
      <c r="AA34" s="12">
        <f ca="1">IFERROR(__xludf.DUMMYFUNCTION("INDEX(IMPORTRANGE(""17pNv02DXDpQT9S3w4-QeNym2QJy2BzMBqDXp-XtzJBM"", ""'MTY'!BI3:BI139""),MATCH($D34,IMPORTRANGE(""17pNv02DXDpQT9S3w4-QeNym2QJy2BzMBqDXp-XtzJBM"", ""'MTY'!D3:D139""),0))"),0)</f>
        <v>0</v>
      </c>
      <c r="AB34" s="12">
        <f ca="1">IFERROR(__xludf.DUMMYFUNCTION("INDEX(IMPORTRANGE(""17pNv02DXDpQT9S3w4-QeNym2QJy2BzMBqDXp-XtzJBM"", ""'MTY'!BJ3:BJ139""),MATCH($D34,IMPORTRANGE(""17pNv02DXDpQT9S3w4-QeNym2QJy2BzMBqDXp-XtzJBM"", ""'MTY'!D3:D139""),0))"),0)</f>
        <v>0</v>
      </c>
      <c r="AC34" s="12">
        <f ca="1">IFERROR(__xludf.DUMMYFUNCTION("INDEX(IMPORTRANGE(""17pNv02DXDpQT9S3w4-QeNym2QJy2BzMBqDXp-XtzJBM"", ""'MTY'!BK3:BK139""),MATCH($D34,IMPORTRANGE(""17pNv02DXDpQT9S3w4-QeNym2QJy2BzMBqDXp-XtzJBM"", ""'MTY'!D3:D139""),0))"),0)</f>
        <v>0</v>
      </c>
      <c r="AD34" s="12">
        <f ca="1">IFERROR(__xludf.DUMMYFUNCTION("INDEX(IMPORTRANGE(""17pNv02DXDpQT9S3w4-QeNym2QJy2BzMBqDXp-XtzJBM"", ""'MTY'!BL3:BL139""),MATCH($D34,IMPORTRANGE(""17pNv02DXDpQT9S3w4-QeNym2QJy2BzMBqDXp-XtzJBM"", ""'MTY'!D3:D139""),0))"),2)</f>
        <v>2</v>
      </c>
      <c r="AE34" s="12">
        <f ca="1">IFERROR(__xludf.DUMMYFUNCTION("INDEX(IMPORTRANGE(""17pNv02DXDpQT9S3w4-QeNym2QJy2BzMBqDXp-XtzJBM"", ""'MTY'!BM3:BM139""),MATCH($D34,IMPORTRANGE(""17pNv02DXDpQT9S3w4-QeNym2QJy2BzMBqDXp-XtzJBM"", ""'MTY'!D3:D139""),0))"),2)</f>
        <v>2</v>
      </c>
    </row>
    <row r="35" spans="1:31">
      <c r="A35" s="21" t="s">
        <v>52</v>
      </c>
      <c r="B35" s="21" t="s">
        <v>86</v>
      </c>
      <c r="C35" s="22" t="s">
        <v>30</v>
      </c>
      <c r="D35" s="21" t="s">
        <v>350</v>
      </c>
      <c r="E35" s="21" t="s">
        <v>76</v>
      </c>
      <c r="F35" s="267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21" t="s">
        <v>363</v>
      </c>
      <c r="P35" s="21" t="s">
        <v>349</v>
      </c>
      <c r="Q35" s="262"/>
      <c r="R35" s="262"/>
      <c r="S35" s="262">
        <f ca="1">IFERROR(__xludf.DUMMYFUNCTION("INDEX(IMPORTRANGE(""17pNv02DXDpQT9S3w4-QeNym2QJy2BzMBqDXp-XtzJBM"", ""'MTY'!BG3:BG139""),MATCH($D35,IMPORTRANGE(""17pNv02DXDpQT9S3w4-QeNym2QJy2BzMBqDXp-XtzJBM"", ""'MTY'!D3:D139""),0))"),101)</f>
        <v>101</v>
      </c>
      <c r="T35" s="473"/>
      <c r="U35" s="473"/>
      <c r="V35" s="473"/>
      <c r="W35" s="473"/>
      <c r="X35" s="477"/>
      <c r="Y35" s="473"/>
      <c r="Z35" s="262">
        <f ca="1">IFERROR(__xludf.DUMMYFUNCTION("INDEX(IMPORTRANGE(""17pNv02DXDpQT9S3w4-QeNym2QJy2BzMBqDXp-XtzJBM"", ""'MTY'!BH3:BH139""),MATCH($D35,IMPORTRANGE(""17pNv02DXDpQT9S3w4-QeNym2QJy2BzMBqDXp-XtzJBM"", ""'MTY'!D3:D139""),0))"),30)</f>
        <v>30</v>
      </c>
      <c r="AA35" s="262">
        <f ca="1">IFERROR(__xludf.DUMMYFUNCTION("INDEX(IMPORTRANGE(""17pNv02DXDpQT9S3w4-QeNym2QJy2BzMBqDXp-XtzJBM"", ""'MTY'!BI3:BI139""),MATCH($D35,IMPORTRANGE(""17pNv02DXDpQT9S3w4-QeNym2QJy2BzMBqDXp-XtzJBM"", ""'MTY'!D3:D139""),0))"),98)</f>
        <v>98</v>
      </c>
      <c r="AB35" s="262">
        <f ca="1">IFERROR(__xludf.DUMMYFUNCTION("INDEX(IMPORTRANGE(""17pNv02DXDpQT9S3w4-QeNym2QJy2BzMBqDXp-XtzJBM"", ""'MTY'!BJ3:BJ139""),MATCH($D35,IMPORTRANGE(""17pNv02DXDpQT9S3w4-QeNym2QJy2BzMBqDXp-XtzJBM"", ""'MTY'!D3:D139""),0))"),38)</f>
        <v>38</v>
      </c>
      <c r="AC35" s="262">
        <f ca="1">IFERROR(__xludf.DUMMYFUNCTION("INDEX(IMPORTRANGE(""17pNv02DXDpQT9S3w4-QeNym2QJy2BzMBqDXp-XtzJBM"", ""'MTY'!BK3:BK139""),MATCH($D35,IMPORTRANGE(""17pNv02DXDpQT9S3w4-QeNym2QJy2BzMBqDXp-XtzJBM"", ""'MTY'!D3:D139""),0))"),105)</f>
        <v>105</v>
      </c>
      <c r="AD35" s="262">
        <f ca="1">IFERROR(__xludf.DUMMYFUNCTION("INDEX(IMPORTRANGE(""17pNv02DXDpQT9S3w4-QeNym2QJy2BzMBqDXp-XtzJBM"", ""'MTY'!BL3:BL139""),MATCH($D35,IMPORTRANGE(""17pNv02DXDpQT9S3w4-QeNym2QJy2BzMBqDXp-XtzJBM"", ""'MTY'!D3:D139""),0))"),31)</f>
        <v>31</v>
      </c>
      <c r="AE35" s="262">
        <f ca="1">IFERROR(__xludf.DUMMYFUNCTION("INDEX(IMPORTRANGE(""17pNv02DXDpQT9S3w4-QeNym2QJy2BzMBqDXp-XtzJBM"", ""'MTY'!BM3:BM139""),MATCH($D35,IMPORTRANGE(""17pNv02DXDpQT9S3w4-QeNym2QJy2BzMBqDXp-XtzJBM"", ""'MTY'!D3:D139""),0))"),59)</f>
        <v>59</v>
      </c>
    </row>
    <row r="36" spans="1:31">
      <c r="A36" s="9" t="s">
        <v>52</v>
      </c>
      <c r="B36" s="9" t="s">
        <v>86</v>
      </c>
      <c r="C36" s="2" t="s">
        <v>36</v>
      </c>
      <c r="D36" s="149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v>13</v>
      </c>
      <c r="R36" s="23">
        <v>28</v>
      </c>
      <c r="S36" s="23">
        <f ca="1">IFERROR(__xludf.DUMMYFUNCTION("INDEX(IMPORTRANGE(""17pNv02DXDpQT9S3w4-QeNym2QJy2BzMBqDXp-XtzJBM"", ""'MTY'!BG3:BG139""),MATCH($D36,IMPORTRANGE(""17pNv02DXDpQT9S3w4-QeNym2QJy2BzMBqDXp-XtzJBM"", ""'MTY'!D3:D139""),0))"),8.8884351777863)</f>
        <v>8.8884351777863007</v>
      </c>
      <c r="T36" s="2">
        <v>27.7</v>
      </c>
      <c r="U36" s="2">
        <v>12.4</v>
      </c>
      <c r="V36" s="2">
        <v>27</v>
      </c>
      <c r="W36" s="2">
        <v>12.1</v>
      </c>
      <c r="X36" s="24">
        <f ca="1">+S36*(1+(Y36-R36)/R36)</f>
        <v>8.3805245961985122</v>
      </c>
      <c r="Y36" s="2">
        <v>26.4</v>
      </c>
      <c r="Z36" s="23">
        <f ca="1">IFERROR(__xludf.DUMMYFUNCTION("INDEX(IMPORTRANGE(""17pNv02DXDpQT9S3w4-QeNym2QJy2BzMBqDXp-XtzJBM"", ""'MTY'!BH3:BH139""),MATCH($D36,IMPORTRANGE(""17pNv02DXDpQT9S3w4-QeNym2QJy2BzMBqDXp-XtzJBM"", ""'MTY'!D3:D139""),0))"),9.79204950860231)</f>
        <v>9.7920495086023092</v>
      </c>
      <c r="AA36" s="23">
        <f ca="1">IFERROR(__xludf.DUMMYFUNCTION("INDEX(IMPORTRANGE(""17pNv02DXDpQT9S3w4-QeNym2QJy2BzMBqDXp-XtzJBM"", ""'MTY'!BI3:BI139""),MATCH($D36,IMPORTRANGE(""17pNv02DXDpQT9S3w4-QeNym2QJy2BzMBqDXp-XtzJBM"", ""'MTY'!D3:D139""),0))"),31.9873617281008)</f>
        <v>31.987361728100801</v>
      </c>
      <c r="AB36" s="23">
        <f ca="1">IFERROR(__xludf.DUMMYFUNCTION("INDEX(IMPORTRANGE(""17pNv02DXDpQT9S3w4-QeNym2QJy2BzMBqDXp-XtzJBM"", ""'MTY'!BJ3:BJ139""),MATCH($D36,IMPORTRANGE(""17pNv02DXDpQT9S3w4-QeNym2QJy2BzMBqDXp-XtzJBM"", ""'MTY'!D3:D139""),0))"),8.05661681458332)</f>
        <v>8.0566168145833199</v>
      </c>
      <c r="AC36" s="23">
        <f ca="1">IFERROR(__xludf.DUMMYFUNCTION("INDEX(IMPORTRANGE(""17pNv02DXDpQT9S3w4-QeNym2QJy2BzMBqDXp-XtzJBM"", ""'MTY'!BK3:BK139""),MATCH($D36,IMPORTRANGE(""17pNv02DXDpQT9S3w4-QeNym2QJy2BzMBqDXp-XtzJBM"", ""'MTY'!D3:D139""),0))"),22.2617043560855)</f>
        <v>22.261704356085499</v>
      </c>
      <c r="AD36" s="23">
        <f ca="1">IFERROR(__xludf.DUMMYFUNCTION("INDEX(IMPORTRANGE(""17pNv02DXDpQT9S3w4-QeNym2QJy2BzMBqDXp-XtzJBM"", ""'MTY'!BL3:BL139""),MATCH($D36,IMPORTRANGE(""17pNv02DXDpQT9S3w4-QeNym2QJy2BzMBqDXp-XtzJBM"", ""'MTY'!D3:D139""),0))"),2.62186824181744)</f>
        <v>2.6218682418174399</v>
      </c>
      <c r="AE36" s="23">
        <f ca="1">IFERROR(__xludf.DUMMYFUNCTION("INDEX(IMPORTRANGE(""17pNv02DXDpQT9S3w4-QeNym2QJy2BzMBqDXp-XtzJBM"", ""'MTY'!BM3:BM139""),MATCH($D36,IMPORTRANGE(""17pNv02DXDpQT9S3w4-QeNym2QJy2BzMBqDXp-XtzJBM"", ""'MTY'!D3:D139""),0))"),11.1400837205613)</f>
        <v>11.1400837205613</v>
      </c>
    </row>
    <row r="37" spans="1:31">
      <c r="A37" s="9" t="s">
        <v>119</v>
      </c>
      <c r="B37" s="9" t="s">
        <v>120</v>
      </c>
      <c r="C37" s="2" t="s">
        <v>30</v>
      </c>
      <c r="D37" s="148" t="s">
        <v>121</v>
      </c>
      <c r="E37" s="257" t="s">
        <v>38</v>
      </c>
      <c r="F37" s="257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9">
        <v>375160</v>
      </c>
      <c r="R37" s="9">
        <v>375160</v>
      </c>
      <c r="S37" s="2">
        <f ca="1">IFERROR(__xludf.DUMMYFUNCTION("INDEX(IMPORTRANGE(""17pNv02DXDpQT9S3w4-QeNym2QJy2BzMBqDXp-XtzJBM"", ""'MTY'!BG3:BG139""),MATCH($D37,IMPORTRANGE(""17pNv02DXDpQT9S3w4-QeNym2QJy2BzMBqDXp-XtzJBM"", ""'MTY'!D3:D139""),0))"),375160)</f>
        <v>375160</v>
      </c>
      <c r="T37" s="4"/>
      <c r="U37" s="4"/>
      <c r="V37" s="4"/>
      <c r="W37" s="4"/>
      <c r="X37" s="4"/>
      <c r="Y37" s="4"/>
      <c r="Z37" s="12">
        <f ca="1">IFERROR(__xludf.DUMMYFUNCTION("INDEX(IMPORTRANGE(""17pNv02DXDpQT9S3w4-QeNym2QJy2BzMBqDXp-XtzJBM"", ""'MTY'!BH3:BH139""),MATCH($D37,IMPORTRANGE(""17pNv02DXDpQT9S3w4-QeNym2QJy2BzMBqDXp-XtzJBM"", ""'MTY'!D3:D139""),0))"),375160)</f>
        <v>375160</v>
      </c>
      <c r="AA37" s="12">
        <f ca="1">IFERROR(__xludf.DUMMYFUNCTION("INDEX(IMPORTRANGE(""17pNv02DXDpQT9S3w4-QeNym2QJy2BzMBqDXp-XtzJBM"", ""'MTY'!BI3:BI139""),MATCH($D37,IMPORTRANGE(""17pNv02DXDpQT9S3w4-QeNym2QJy2BzMBqDXp-XtzJBM"", ""'MTY'!D3:D139""),0))"),375160)</f>
        <v>375160</v>
      </c>
      <c r="AB37" s="12">
        <f ca="1">IFERROR(__xludf.DUMMYFUNCTION("INDEX(IMPORTRANGE(""17pNv02DXDpQT9S3w4-QeNym2QJy2BzMBqDXp-XtzJBM"", ""'MTY'!BJ3:BJ139""),MATCH($D37,IMPORTRANGE(""17pNv02DXDpQT9S3w4-QeNym2QJy2BzMBqDXp-XtzJBM"", ""'MTY'!D3:D139""),0))"),375160)</f>
        <v>375160</v>
      </c>
      <c r="AC37" s="12">
        <f ca="1">IFERROR(__xludf.DUMMYFUNCTION("INDEX(IMPORTRANGE(""17pNv02DXDpQT9S3w4-QeNym2QJy2BzMBqDXp-XtzJBM"", ""'MTY'!BK3:BK139""),MATCH($D37,IMPORTRANGE(""17pNv02DXDpQT9S3w4-QeNym2QJy2BzMBqDXp-XtzJBM"", ""'MTY'!D3:D139""),0))"),375160)</f>
        <v>375160</v>
      </c>
      <c r="AD37" s="12">
        <f ca="1">IFERROR(__xludf.DUMMYFUNCTION("INDEX(IMPORTRANGE(""17pNv02DXDpQT9S3w4-QeNym2QJy2BzMBqDXp-XtzJBM"", ""'MTY'!BL3:BL139""),MATCH($D37,IMPORTRANGE(""17pNv02DXDpQT9S3w4-QeNym2QJy2BzMBqDXp-XtzJBM"", ""'MTY'!D3:D139""),0))"),375160)</f>
        <v>375160</v>
      </c>
      <c r="AE37" s="12">
        <f ca="1">IFERROR(__xludf.DUMMYFUNCTION("INDEX(IMPORTRANGE(""17pNv02DXDpQT9S3w4-QeNym2QJy2BzMBqDXp-XtzJBM"", ""'MTY'!BM3:BM139""),MATCH($D37,IMPORTRANGE(""17pNv02DXDpQT9S3w4-QeNym2QJy2BzMBqDXp-XtzJBM"", ""'MTY'!D3:D139""),0))"),375160)</f>
        <v>375160</v>
      </c>
    </row>
    <row r="38" spans="1:31">
      <c r="A38" s="257" t="s">
        <v>119</v>
      </c>
      <c r="B38" s="257" t="s">
        <v>120</v>
      </c>
      <c r="C38" s="257" t="s">
        <v>30</v>
      </c>
      <c r="D38" s="454" t="s">
        <v>123</v>
      </c>
      <c r="E38" s="257" t="s">
        <v>38</v>
      </c>
      <c r="F38" s="257" t="s">
        <v>124</v>
      </c>
      <c r="G38" s="455">
        <v>44469</v>
      </c>
      <c r="H38" s="455">
        <v>44469</v>
      </c>
      <c r="I38" s="11">
        <v>44469</v>
      </c>
      <c r="J38" s="455">
        <v>44651</v>
      </c>
      <c r="K38" s="455">
        <v>44834</v>
      </c>
      <c r="L38" s="455">
        <v>45016</v>
      </c>
      <c r="M38" s="455">
        <v>45199</v>
      </c>
      <c r="N38" s="455">
        <v>45382</v>
      </c>
      <c r="O38" s="455" t="s">
        <v>361</v>
      </c>
      <c r="P38" s="455">
        <v>45565</v>
      </c>
      <c r="Q38" s="456">
        <v>278</v>
      </c>
      <c r="R38" s="257">
        <v>278</v>
      </c>
      <c r="S38" s="2">
        <f ca="1">IFERROR(__xludf.DUMMYFUNCTION("INDEX(IMPORTRANGE(""17pNv02DXDpQT9S3w4-QeNym2QJy2BzMBqDXp-XtzJBM"", ""'MTY'!BG3:BG139""),MATCH($D38,IMPORTRANGE(""17pNv02DXDpQT9S3w4-QeNym2QJy2BzMBqDXp-XtzJBM"", ""'MTY'!D3:D139""),0))"),278)</f>
        <v>278</v>
      </c>
      <c r="T38" s="456">
        <v>1500</v>
      </c>
      <c r="U38" s="456">
        <v>3000</v>
      </c>
      <c r="V38" s="456">
        <v>4500</v>
      </c>
      <c r="W38" s="456">
        <v>6000</v>
      </c>
      <c r="X38" s="456">
        <f t="shared" ref="X38:X39" si="6">((Y38-W38)/6)*5+W38</f>
        <v>7015.833333333333</v>
      </c>
      <c r="Y38" s="456">
        <v>7219</v>
      </c>
      <c r="Z38" s="12">
        <f ca="1">IFERROR(__xludf.DUMMYFUNCTION("INDEX(IMPORTRANGE(""17pNv02DXDpQT9S3w4-QeNym2QJy2BzMBqDXp-XtzJBM"", ""'MTY'!BH3:BH139""),MATCH($D38,IMPORTRANGE(""17pNv02DXDpQT9S3w4-QeNym2QJy2BzMBqDXp-XtzJBM"", ""'MTY'!D3:D139""),0))"),277)</f>
        <v>277</v>
      </c>
      <c r="AA38" s="12">
        <f ca="1">IFERROR(__xludf.DUMMYFUNCTION("INDEX(IMPORTRANGE(""17pNv02DXDpQT9S3w4-QeNym2QJy2BzMBqDXp-XtzJBM"", ""'MTY'!BI3:BI139""),MATCH($D38,IMPORTRANGE(""17pNv02DXDpQT9S3w4-QeNym2QJy2BzMBqDXp-XtzJBM"", ""'MTY'!D3:D139""),0))"),3763)</f>
        <v>3763</v>
      </c>
      <c r="AB38" s="12">
        <f ca="1">IFERROR(__xludf.DUMMYFUNCTION("INDEX(IMPORTRANGE(""17pNv02DXDpQT9S3w4-QeNym2QJy2BzMBqDXp-XtzJBM"", ""'MTY'!BJ3:BJ139""),MATCH($D38,IMPORTRANGE(""17pNv02DXDpQT9S3w4-QeNym2QJy2BzMBqDXp-XtzJBM"", ""'MTY'!D3:D139""),0))"),3763)</f>
        <v>3763</v>
      </c>
      <c r="AC38" s="12">
        <f ca="1">IFERROR(__xludf.DUMMYFUNCTION("INDEX(IMPORTRANGE(""17pNv02DXDpQT9S3w4-QeNym2QJy2BzMBqDXp-XtzJBM"", ""'MTY'!BK3:BK139""),MATCH($D38,IMPORTRANGE(""17pNv02DXDpQT9S3w4-QeNym2QJy2BzMBqDXp-XtzJBM"", ""'MTY'!D3:D139""),0))"),3763)</f>
        <v>3763</v>
      </c>
      <c r="AD38" s="12">
        <f ca="1">IFERROR(__xludf.DUMMYFUNCTION("INDEX(IMPORTRANGE(""17pNv02DXDpQT9S3w4-QeNym2QJy2BzMBqDXp-XtzJBM"", ""'MTY'!BL3:BL139""),MATCH($D38,IMPORTRANGE(""17pNv02DXDpQT9S3w4-QeNym2QJy2BzMBqDXp-XtzJBM"", ""'MTY'!D3:D139""),0))"),3763)</f>
        <v>3763</v>
      </c>
      <c r="AE38" s="12">
        <f ca="1">IFERROR(__xludf.DUMMYFUNCTION("INDEX(IMPORTRANGE(""17pNv02DXDpQT9S3w4-QeNym2QJy2BzMBqDXp-XtzJBM"", ""'MTY'!BM3:BM139""),MATCH($D38,IMPORTRANGE(""17pNv02DXDpQT9S3w4-QeNym2QJy2BzMBqDXp-XtzJBM"", ""'MTY'!D3:D139""),0))"),3763)</f>
        <v>3763</v>
      </c>
    </row>
    <row r="39" spans="1:31">
      <c r="A39" s="257" t="s">
        <v>119</v>
      </c>
      <c r="B39" s="257" t="s">
        <v>120</v>
      </c>
      <c r="C39" s="257" t="s">
        <v>36</v>
      </c>
      <c r="D39" s="454" t="s">
        <v>125</v>
      </c>
      <c r="E39" s="257" t="s">
        <v>38</v>
      </c>
      <c r="F39" s="257" t="s">
        <v>126</v>
      </c>
      <c r="G39" s="455">
        <v>44469</v>
      </c>
      <c r="H39" s="455">
        <v>44469</v>
      </c>
      <c r="I39" s="11">
        <v>44469</v>
      </c>
      <c r="J39" s="455">
        <v>44651</v>
      </c>
      <c r="K39" s="455">
        <v>44834</v>
      </c>
      <c r="L39" s="455">
        <v>45016</v>
      </c>
      <c r="M39" s="455">
        <v>45199</v>
      </c>
      <c r="N39" s="455">
        <v>45382</v>
      </c>
      <c r="O39" s="455" t="s">
        <v>361</v>
      </c>
      <c r="P39" s="455">
        <v>45565</v>
      </c>
      <c r="Q39" s="457">
        <f t="shared" ref="Q39:R39" si="7">Q38/Q37</f>
        <v>7.4101716600916947E-4</v>
      </c>
      <c r="R39" s="457">
        <f t="shared" si="7"/>
        <v>7.4101716600916947E-4</v>
      </c>
      <c r="S39" s="26">
        <f ca="1">IFERROR(__xludf.DUMMYFUNCTION("INDEX(IMPORTRANGE(""17pNv02DXDpQT9S3w4-QeNym2QJy2BzMBqDXp-XtzJBM"", ""'MTY'!BG3:BG139""),MATCH($D39,IMPORTRANGE(""17pNv02DXDpQT9S3w4-QeNym2QJy2BzMBqDXp-XtzJBM"", ""'MTY'!D3:D139""),0))"),0.000741017166009169)</f>
        <v>7.4101716600916904E-4</v>
      </c>
      <c r="T39" s="457">
        <v>1.06E-2</v>
      </c>
      <c r="U39" s="457">
        <v>8.0000000000000002E-3</v>
      </c>
      <c r="V39" s="457">
        <v>1.2E-2</v>
      </c>
      <c r="W39" s="457">
        <v>1.6400000000000001E-2</v>
      </c>
      <c r="X39" s="15">
        <f t="shared" si="6"/>
        <v>1.8733333333333331E-2</v>
      </c>
      <c r="Y39" s="457">
        <v>1.9199999999999998E-2</v>
      </c>
      <c r="Z39" s="15">
        <f ca="1">IFERROR(__xludf.DUMMYFUNCTION("INDEX(IMPORTRANGE(""17pNv02DXDpQT9S3w4-QeNym2QJy2BzMBqDXp-XtzJBM"", ""'MTY'!BH3:BH139""),MATCH($D39,IMPORTRANGE(""17pNv02DXDpQT9S3w4-QeNym2QJy2BzMBqDXp-XtzJBM"", ""'MTY'!D3:D139""),0))"),0.000738351636635035)</f>
        <v>7.3835163663503499E-4</v>
      </c>
      <c r="AA39" s="15">
        <f ca="1">IFERROR(__xludf.DUMMYFUNCTION("INDEX(IMPORTRANGE(""17pNv02DXDpQT9S3w4-QeNym2QJy2BzMBqDXp-XtzJBM"", ""'MTY'!BI3:BI139""),MATCH($D39,IMPORTRANGE(""17pNv02DXDpQT9S3w4-QeNym2QJy2BzMBqDXp-XtzJBM"", ""'MTY'!D3:D139""),0))"),0.0100303870348651)</f>
        <v>1.00303870348651E-2</v>
      </c>
      <c r="AB39" s="15">
        <f ca="1">IFERROR(__xludf.DUMMYFUNCTION("INDEX(IMPORTRANGE(""17pNv02DXDpQT9S3w4-QeNym2QJy2BzMBqDXp-XtzJBM"", ""'MTY'!BJ3:BJ139""),MATCH($D39,IMPORTRANGE(""17pNv02DXDpQT9S3w4-QeNym2QJy2BzMBqDXp-XtzJBM"", ""'MTY'!D3:D139""),0))"),0.0100303870348651)</f>
        <v>1.00303870348651E-2</v>
      </c>
      <c r="AC39" s="15">
        <f ca="1">IFERROR(__xludf.DUMMYFUNCTION("INDEX(IMPORTRANGE(""17pNv02DXDpQT9S3w4-QeNym2QJy2BzMBqDXp-XtzJBM"", ""'MTY'!BK3:BK139""),MATCH($D39,IMPORTRANGE(""17pNv02DXDpQT9S3w4-QeNym2QJy2BzMBqDXp-XtzJBM"", ""'MTY'!D3:D139""),0))"),0.0100303870348651)</f>
        <v>1.00303870348651E-2</v>
      </c>
      <c r="AD39" s="15">
        <f ca="1">IFERROR(__xludf.DUMMYFUNCTION("INDEX(IMPORTRANGE(""17pNv02DXDpQT9S3w4-QeNym2QJy2BzMBqDXp-XtzJBM"", ""'MTY'!BL3:BL139""),MATCH($D39,IMPORTRANGE(""17pNv02DXDpQT9S3w4-QeNym2QJy2BzMBqDXp-XtzJBM"", ""'MTY'!D3:D139""),0))"),0.0100303870348651)</f>
        <v>1.00303870348651E-2</v>
      </c>
      <c r="AE39" s="15">
        <f ca="1">IFERROR(__xludf.DUMMYFUNCTION("INDEX(IMPORTRANGE(""17pNv02DXDpQT9S3w4-QeNym2QJy2BzMBqDXp-XtzJBM"", ""'MTY'!BM3:BM139""),MATCH($D39,IMPORTRANGE(""17pNv02DXDpQT9S3w4-QeNym2QJy2BzMBqDXp-XtzJBM"", ""'MTY'!D3:D139""),0))"),0.0100303870348651)</f>
        <v>1.00303870348651E-2</v>
      </c>
    </row>
    <row r="40" spans="1:31">
      <c r="A40" s="7" t="s">
        <v>119</v>
      </c>
      <c r="B40" s="9" t="s">
        <v>120</v>
      </c>
      <c r="C40" s="1" t="s">
        <v>30</v>
      </c>
      <c r="D40" s="7" t="s">
        <v>330</v>
      </c>
      <c r="E40" s="257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2"/>
      <c r="S40" s="2" t="str">
        <f ca="1">IFERROR(__xludf.DUMMYFUNCTION("INDEX(IMPORTRANGE(""17pNv02DXDpQT9S3w4-QeNym2QJy2BzMBqDXp-XtzJBM"", ""'MTY'!BG3:BG139""),MATCH($D40,IMPORTRANGE(""17pNv02DXDpQT9S3w4-QeNym2QJy2BzMBqDXp-XtzJBM"", ""'MTY'!D3:D139""),0))"),"")</f>
        <v/>
      </c>
      <c r="T40" s="2"/>
      <c r="U40" s="2"/>
      <c r="V40" s="2"/>
      <c r="W40" s="2"/>
      <c r="X40" s="2"/>
      <c r="Y40" s="2"/>
      <c r="Z40" s="12" t="str">
        <f ca="1">IFERROR(__xludf.DUMMYFUNCTION("INDEX(IMPORTRANGE(""17pNv02DXDpQT9S3w4-QeNym2QJy2BzMBqDXp-XtzJBM"", ""'MTY'!BH3:BH139""),MATCH($D40,IMPORTRANGE(""17pNv02DXDpQT9S3w4-QeNym2QJy2BzMBqDXp-XtzJBM"", ""'MTY'!D3:D139""),0))"),"")</f>
        <v/>
      </c>
      <c r="AA40" s="12" t="str">
        <f ca="1">IFERROR(__xludf.DUMMYFUNCTION("INDEX(IMPORTRANGE(""17pNv02DXDpQT9S3w4-QeNym2QJy2BzMBqDXp-XtzJBM"", ""'MTY'!BI3:BI139""),MATCH($D40,IMPORTRANGE(""17pNv02DXDpQT9S3w4-QeNym2QJy2BzMBqDXp-XtzJBM"", ""'MTY'!D3:D139""),0))"),"")</f>
        <v/>
      </c>
      <c r="AB40" s="12">
        <f ca="1">IFERROR(__xludf.DUMMYFUNCTION("INDEX(IMPORTRANGE(""17pNv02DXDpQT9S3w4-QeNym2QJy2BzMBqDXp-XtzJBM"", ""'MTY'!BJ3:BJ139""),MATCH($D40,IMPORTRANGE(""17pNv02DXDpQT9S3w4-QeNym2QJy2BzMBqDXp-XtzJBM"", ""'MTY'!D3:D139""),0))"),745)</f>
        <v>745</v>
      </c>
      <c r="AC40" s="12">
        <f ca="1">IFERROR(__xludf.DUMMYFUNCTION("INDEX(IMPORTRANGE(""17pNv02DXDpQT9S3w4-QeNym2QJy2BzMBqDXp-XtzJBM"", ""'MTY'!BK3:BK139""),MATCH($D40,IMPORTRANGE(""17pNv02DXDpQT9S3w4-QeNym2QJy2BzMBqDXp-XtzJBM"", ""'MTY'!D3:D139""),0))"),1246.78999999999)</f>
        <v>1246.78999999999</v>
      </c>
      <c r="AD40" s="12">
        <f ca="1">IFERROR(__xludf.DUMMYFUNCTION("INDEX(IMPORTRANGE(""17pNv02DXDpQT9S3w4-QeNym2QJy2BzMBqDXp-XtzJBM"", ""'MTY'!BL3:BL139""),MATCH($D40,IMPORTRANGE(""17pNv02DXDpQT9S3w4-QeNym2QJy2BzMBqDXp-XtzJBM"", ""'MTY'!D3:D139""),0))"),648.86)</f>
        <v>648.86</v>
      </c>
      <c r="AE40" s="12">
        <f ca="1">IFERROR(__xludf.DUMMYFUNCTION("INDEX(IMPORTRANGE(""17pNv02DXDpQT9S3w4-QeNym2QJy2BzMBqDXp-XtzJBM"", ""'MTY'!BM3:BM139""),MATCH($D40,IMPORTRANGE(""17pNv02DXDpQT9S3w4-QeNym2QJy2BzMBqDXp-XtzJBM"", ""'MTY'!D3:D139""),0))"),1321.42)</f>
        <v>1321.42</v>
      </c>
    </row>
    <row r="41" spans="1:31">
      <c r="A41" s="7" t="s">
        <v>119</v>
      </c>
      <c r="B41" s="9" t="s">
        <v>120</v>
      </c>
      <c r="C41" s="1" t="s">
        <v>30</v>
      </c>
      <c r="D41" s="7" t="s">
        <v>331</v>
      </c>
      <c r="E41" s="257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2"/>
      <c r="S41" s="2" t="str">
        <f ca="1">IFERROR(__xludf.DUMMYFUNCTION("INDEX(IMPORTRANGE(""17pNv02DXDpQT9S3w4-QeNym2QJy2BzMBqDXp-XtzJBM"", ""'MTY'!BG3:BG139""),MATCH($D41,IMPORTRANGE(""17pNv02DXDpQT9S3w4-QeNym2QJy2BzMBqDXp-XtzJBM"", ""'MTY'!D3:D139""),0))"),"")</f>
        <v/>
      </c>
      <c r="T41" s="2"/>
      <c r="U41" s="2"/>
      <c r="V41" s="2"/>
      <c r="W41" s="2"/>
      <c r="X41" s="2"/>
      <c r="Y41" s="2"/>
      <c r="Z41" s="12" t="str">
        <f ca="1">IFERROR(__xludf.DUMMYFUNCTION("INDEX(IMPORTRANGE(""17pNv02DXDpQT9S3w4-QeNym2QJy2BzMBqDXp-XtzJBM"", ""'MTY'!BH3:BH139""),MATCH($D41,IMPORTRANGE(""17pNv02DXDpQT9S3w4-QeNym2QJy2BzMBqDXp-XtzJBM"", ""'MTY'!D3:D139""),0))"),"")</f>
        <v/>
      </c>
      <c r="AA41" s="12" t="str">
        <f ca="1">IFERROR(__xludf.DUMMYFUNCTION("INDEX(IMPORTRANGE(""17pNv02DXDpQT9S3w4-QeNym2QJy2BzMBqDXp-XtzJBM"", ""'MTY'!BI3:BI139""),MATCH($D41,IMPORTRANGE(""17pNv02DXDpQT9S3w4-QeNym2QJy2BzMBqDXp-XtzJBM"", ""'MTY'!D3:D139""),0))"),"")</f>
        <v/>
      </c>
      <c r="AB41" s="12">
        <f ca="1">IFERROR(__xludf.DUMMYFUNCTION("INDEX(IMPORTRANGE(""17pNv02DXDpQT9S3w4-QeNym2QJy2BzMBqDXp-XtzJBM"", ""'MTY'!BJ3:BJ139""),MATCH($D41,IMPORTRANGE(""17pNv02DXDpQT9S3w4-QeNym2QJy2BzMBqDXp-XtzJBM"", ""'MTY'!D3:D139""),0))"),178002)</f>
        <v>178002</v>
      </c>
      <c r="AC41" s="12">
        <f ca="1">IFERROR(__xludf.DUMMYFUNCTION("INDEX(IMPORTRANGE(""17pNv02DXDpQT9S3w4-QeNym2QJy2BzMBqDXp-XtzJBM"", ""'MTY'!BK3:BK139""),MATCH($D41,IMPORTRANGE(""17pNv02DXDpQT9S3w4-QeNym2QJy2BzMBqDXp-XtzJBM"", ""'MTY'!D3:D139""),0))"),362050.36)</f>
        <v>362050.36</v>
      </c>
      <c r="AD41" s="12">
        <f ca="1">IFERROR(__xludf.DUMMYFUNCTION("INDEX(IMPORTRANGE(""17pNv02DXDpQT9S3w4-QeNym2QJy2BzMBqDXp-XtzJBM"", ""'MTY'!BL3:BL139""),MATCH($D41,IMPORTRANGE(""17pNv02DXDpQT9S3w4-QeNym2QJy2BzMBqDXp-XtzJBM"", ""'MTY'!D3:D139""),0))"),191388.68)</f>
        <v>191388.68</v>
      </c>
      <c r="AE41" s="12">
        <f ca="1">IFERROR(__xludf.DUMMYFUNCTION("INDEX(IMPORTRANGE(""17pNv02DXDpQT9S3w4-QeNym2QJy2BzMBqDXp-XtzJBM"", ""'MTY'!BM3:BM139""),MATCH($D41,IMPORTRANGE(""17pNv02DXDpQT9S3w4-QeNym2QJy2BzMBqDXp-XtzJBM"", ""'MTY'!D3:D139""),0))"),361872.8)</f>
        <v>361872.8</v>
      </c>
    </row>
    <row r="42" spans="1:31">
      <c r="A42" s="7" t="s">
        <v>119</v>
      </c>
      <c r="B42" s="9" t="s">
        <v>120</v>
      </c>
      <c r="C42" s="1" t="s">
        <v>36</v>
      </c>
      <c r="D42" s="7" t="s">
        <v>333</v>
      </c>
      <c r="E42" s="257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2"/>
      <c r="S42" s="2" t="str">
        <f ca="1">IFERROR(__xludf.DUMMYFUNCTION("INDEX(IMPORTRANGE(""17pNv02DXDpQT9S3w4-QeNym2QJy2BzMBqDXp-XtzJBM"", ""'MTY'!BG3:BG139""),MATCH($D42,IMPORTRANGE(""17pNv02DXDpQT9S3w4-QeNym2QJy2BzMBqDXp-XtzJBM"", ""'MTY'!D3:D139""),0))"),"")</f>
        <v/>
      </c>
      <c r="T42" s="467">
        <v>3.5000000000000001E-3</v>
      </c>
      <c r="U42" s="467">
        <v>3.5000000000000001E-3</v>
      </c>
      <c r="V42" s="467">
        <v>3.5000000000000001E-3</v>
      </c>
      <c r="W42" s="467">
        <v>3.5000000000000001E-3</v>
      </c>
      <c r="X42" s="15">
        <f t="shared" ref="X42:X43" si="8">((Y42-W42)/6)*5+W42</f>
        <v>3.5000000000000001E-3</v>
      </c>
      <c r="Y42" s="467">
        <v>3.5000000000000001E-3</v>
      </c>
      <c r="Z42" s="15" t="str">
        <f ca="1">IFERROR(__xludf.DUMMYFUNCTION("INDEX(IMPORTRANGE(""17pNv02DXDpQT9S3w4-QeNym2QJy2BzMBqDXp-XtzJBM"", ""'MTY'!BH3:BH139""),MATCH($D42,IMPORTRANGE(""17pNv02DXDpQT9S3w4-QeNym2QJy2BzMBqDXp-XtzJBM"", ""'MTY'!D3:D139""),0))"),"")</f>
        <v/>
      </c>
      <c r="AA42" s="26" t="str">
        <f ca="1">IFERROR(__xludf.DUMMYFUNCTION("INDEX(IMPORTRANGE(""17pNv02DXDpQT9S3w4-QeNym2QJy2BzMBqDXp-XtzJBM"", ""'MTY'!BI3:BI139""),MATCH($D42,IMPORTRANGE(""17pNv02DXDpQT9S3w4-QeNym2QJy2BzMBqDXp-XtzJBM"", ""'MTY'!D3:D139""),0))"),"")</f>
        <v/>
      </c>
      <c r="AB42" s="15">
        <f ca="1">IFERROR(__xludf.DUMMYFUNCTION("INDEX(IMPORTRANGE(""17pNv02DXDpQT9S3w4-QeNym2QJy2BzMBqDXp-XtzJBM"", ""'MTY'!BJ3:BJ139""),MATCH($D42,IMPORTRANGE(""17pNv02DXDpQT9S3w4-QeNym2QJy2BzMBqDXp-XtzJBM"", ""'MTY'!D3:D139""),0))"),0.0041853462320648)</f>
        <v>4.1853462320648E-3</v>
      </c>
      <c r="AC42" s="26">
        <f ca="1">IFERROR(__xludf.DUMMYFUNCTION("INDEX(IMPORTRANGE(""17pNv02DXDpQT9S3w4-QeNym2QJy2BzMBqDXp-XtzJBM"", ""'MTY'!BK3:BK139""),MATCH($D42,IMPORTRANGE(""17pNv02DXDpQT9S3w4-QeNym2QJy2BzMBqDXp-XtzJBM"", ""'MTY'!D3:D139""),0))"),0.00344369219795831)</f>
        <v>3.4436921979583098E-3</v>
      </c>
      <c r="AD42" s="15">
        <f ca="1">IFERROR(__xludf.DUMMYFUNCTION("INDEX(IMPORTRANGE(""17pNv02DXDpQT9S3w4-QeNym2QJy2BzMBqDXp-XtzJBM"", ""'MTY'!BL3:BL139""),MATCH($D42,IMPORTRANGE(""17pNv02DXDpQT9S3w4-QeNym2QJy2BzMBqDXp-XtzJBM"", ""'MTY'!D3:D139""),0))"),0.00339027365672828)</f>
        <v>3.3902736567282799E-3</v>
      </c>
      <c r="AE42" s="15">
        <f ca="1">IFERROR(__xludf.DUMMYFUNCTION("INDEX(IMPORTRANGE(""17pNv02DXDpQT9S3w4-QeNym2QJy2BzMBqDXp-XtzJBM"", ""'MTY'!BM3:BM139""),MATCH($D42,IMPORTRANGE(""17pNv02DXDpQT9S3w4-QeNym2QJy2BzMBqDXp-XtzJBM"", ""'MTY'!D3:D139""),0))"),0.00365161460048945)</f>
        <v>3.6516146004894499E-3</v>
      </c>
    </row>
    <row r="43" spans="1:31">
      <c r="A43" s="9" t="s">
        <v>119</v>
      </c>
      <c r="B43" s="9" t="s">
        <v>127</v>
      </c>
      <c r="C43" s="2" t="s">
        <v>36</v>
      </c>
      <c r="D43" s="149" t="s">
        <v>128</v>
      </c>
      <c r="E43" s="9" t="s">
        <v>38</v>
      </c>
      <c r="F43" s="9" t="s">
        <v>129</v>
      </c>
      <c r="G43" s="2" t="s">
        <v>56</v>
      </c>
      <c r="H43" s="22" t="s">
        <v>57</v>
      </c>
      <c r="I43" s="2" t="s">
        <v>362</v>
      </c>
      <c r="J43" s="22" t="s">
        <v>58</v>
      </c>
      <c r="K43" s="22" t="s">
        <v>59</v>
      </c>
      <c r="L43" s="22" t="s">
        <v>335</v>
      </c>
      <c r="M43" s="22" t="s">
        <v>336</v>
      </c>
      <c r="N43" s="22" t="s">
        <v>337</v>
      </c>
      <c r="O43" s="22" t="s">
        <v>364</v>
      </c>
      <c r="P43" s="262" t="s">
        <v>132</v>
      </c>
      <c r="Q43" s="12">
        <v>6</v>
      </c>
      <c r="R43" s="2">
        <v>10</v>
      </c>
      <c r="S43" s="2">
        <f ca="1">IFERROR(__xludf.DUMMYFUNCTION("INDEX(IMPORTRANGE(""17pNv02DXDpQT9S3w4-QeNym2QJy2BzMBqDXp-XtzJBM"", ""'MTY'!BG3:BG139""),MATCH($D43,IMPORTRANGE(""17pNv02DXDpQT9S3w4-QeNym2QJy2BzMBqDXp-XtzJBM"", ""'MTY'!D3:D139""),0))"),10)</f>
        <v>10</v>
      </c>
      <c r="T43" s="2">
        <v>20</v>
      </c>
      <c r="U43" s="2">
        <f>T43+3</f>
        <v>23</v>
      </c>
      <c r="V43" s="2">
        <f>U43+5</f>
        <v>28</v>
      </c>
      <c r="W43" s="2">
        <f>V43+3</f>
        <v>31</v>
      </c>
      <c r="X43" s="456">
        <f t="shared" si="8"/>
        <v>34.333333333333336</v>
      </c>
      <c r="Y43" s="2">
        <v>35</v>
      </c>
      <c r="Z43" s="12">
        <f ca="1">IFERROR(__xludf.DUMMYFUNCTION("INDEX(IMPORTRANGE(""17pNv02DXDpQT9S3w4-QeNym2QJy2BzMBqDXp-XtzJBM"", ""'MTY'!BH3:BH139""),MATCH($D43,IMPORTRANGE(""17pNv02DXDpQT9S3w4-QeNym2QJy2BzMBqDXp-XtzJBM"", ""'MTY'!D3:D139""),0))"),12)</f>
        <v>12</v>
      </c>
      <c r="AA43" s="12">
        <f ca="1">IFERROR(__xludf.DUMMYFUNCTION("INDEX(IMPORTRANGE(""17pNv02DXDpQT9S3w4-QeNym2QJy2BzMBqDXp-XtzJBM"", ""'MTY'!BI3:BI139""),MATCH($D43,IMPORTRANGE(""17pNv02DXDpQT9S3w4-QeNym2QJy2BzMBqDXp-XtzJBM"", ""'MTY'!D3:D139""),0))"),25)</f>
        <v>25</v>
      </c>
      <c r="AB43" s="12">
        <f ca="1">IFERROR(__xludf.DUMMYFUNCTION("INDEX(IMPORTRANGE(""17pNv02DXDpQT9S3w4-QeNym2QJy2BzMBqDXp-XtzJBM"", ""'MTY'!BJ3:BJ139""),MATCH($D43,IMPORTRANGE(""17pNv02DXDpQT9S3w4-QeNym2QJy2BzMBqDXp-XtzJBM"", ""'MTY'!D3:D139""),0))"),29)</f>
        <v>29</v>
      </c>
      <c r="AC43" s="12">
        <f ca="1">IFERROR(__xludf.DUMMYFUNCTION("INDEX(IMPORTRANGE(""17pNv02DXDpQT9S3w4-QeNym2QJy2BzMBqDXp-XtzJBM"", ""'MTY'!BK3:BK139""),MATCH($D43,IMPORTRANGE(""17pNv02DXDpQT9S3w4-QeNym2QJy2BzMBqDXp-XtzJBM"", ""'MTY'!D3:D139""),0))"),55)</f>
        <v>55</v>
      </c>
      <c r="AD43" s="12">
        <f ca="1">IFERROR(__xludf.DUMMYFUNCTION("INDEX(IMPORTRANGE(""17pNv02DXDpQT9S3w4-QeNym2QJy2BzMBqDXp-XtzJBM"", ""'MTY'!BL3:BL139""),MATCH($D43,IMPORTRANGE(""17pNv02DXDpQT9S3w4-QeNym2QJy2BzMBqDXp-XtzJBM"", ""'MTY'!D3:D139""),0))"),63)</f>
        <v>63</v>
      </c>
      <c r="AE43" s="12">
        <f ca="1">IFERROR(__xludf.DUMMYFUNCTION("INDEX(IMPORTRANGE(""17pNv02DXDpQT9S3w4-QeNym2QJy2BzMBqDXp-XtzJBM"", ""'MTY'!BM3:BM139""),MATCH($D43,IMPORTRANGE(""17pNv02DXDpQT9S3w4-QeNym2QJy2BzMBqDXp-XtzJBM"", ""'MTY'!D3:D139""),0))"),63)</f>
        <v>63</v>
      </c>
    </row>
    <row r="44" spans="1:31">
      <c r="A44" s="9" t="s">
        <v>119</v>
      </c>
      <c r="B44" s="9" t="s">
        <v>133</v>
      </c>
      <c r="C44" s="2" t="s">
        <v>36</v>
      </c>
      <c r="D44" s="149" t="s">
        <v>134</v>
      </c>
      <c r="E44" s="9" t="s">
        <v>38</v>
      </c>
      <c r="F44" s="9" t="s">
        <v>135</v>
      </c>
      <c r="G44" s="2" t="s">
        <v>56</v>
      </c>
      <c r="H44" s="22" t="s">
        <v>57</v>
      </c>
      <c r="I44" s="2" t="s">
        <v>362</v>
      </c>
      <c r="J44" s="22" t="s">
        <v>58</v>
      </c>
      <c r="K44" s="22" t="s">
        <v>59</v>
      </c>
      <c r="L44" s="22" t="s">
        <v>335</v>
      </c>
      <c r="M44" s="22" t="s">
        <v>336</v>
      </c>
      <c r="N44" s="22" t="s">
        <v>337</v>
      </c>
      <c r="O44" s="22" t="s">
        <v>364</v>
      </c>
      <c r="P44" s="262" t="s">
        <v>132</v>
      </c>
      <c r="Q44" s="12">
        <v>1186</v>
      </c>
      <c r="R44" s="2">
        <v>3568</v>
      </c>
      <c r="S44" s="2">
        <f ca="1">IFERROR(__xludf.DUMMYFUNCTION("INDEX(IMPORTRANGE(""17pNv02DXDpQT9S3w4-QeNym2QJy2BzMBqDXp-XtzJBM"", ""'MTY'!BG3:BG139""),MATCH($D44,IMPORTRANGE(""17pNv02DXDpQT9S3w4-QeNym2QJy2BzMBqDXp-XtzJBM"", ""'MTY'!D3:D139""),0))"),3073)</f>
        <v>3073</v>
      </c>
      <c r="T44" s="456">
        <v>900</v>
      </c>
      <c r="U44" s="456">
        <f>1900</f>
        <v>1900</v>
      </c>
      <c r="V44" s="456">
        <f>1100+U44</f>
        <v>3000</v>
      </c>
      <c r="W44" s="456">
        <f t="shared" ref="W44:X44" si="9">V44+1000</f>
        <v>4000</v>
      </c>
      <c r="X44" s="456">
        <f t="shared" si="9"/>
        <v>5000</v>
      </c>
      <c r="Y44" s="456">
        <v>5000</v>
      </c>
      <c r="Z44" s="12">
        <f ca="1">IFERROR(__xludf.DUMMYFUNCTION("INDEX(IMPORTRANGE(""17pNv02DXDpQT9S3w4-QeNym2QJy2BzMBqDXp-XtzJBM"", ""'MTY'!BH3:BH139""),MATCH($D44,IMPORTRANGE(""17pNv02DXDpQT9S3w4-QeNym2QJy2BzMBqDXp-XtzJBM"", ""'MTY'!D3:D139""),0))"),446)</f>
        <v>446</v>
      </c>
      <c r="AA44" s="12">
        <f ca="1">IFERROR(__xludf.DUMMYFUNCTION("INDEX(IMPORTRANGE(""17pNv02DXDpQT9S3w4-QeNym2QJy2BzMBqDXp-XtzJBM"", ""'MTY'!BI3:BI139""),MATCH($D44,IMPORTRANGE(""17pNv02DXDpQT9S3w4-QeNym2QJy2BzMBqDXp-XtzJBM"", ""'MTY'!D3:D139""),0))"),1343)</f>
        <v>1343</v>
      </c>
      <c r="AB44" s="12">
        <f ca="1">IFERROR(__xludf.DUMMYFUNCTION("INDEX(IMPORTRANGE(""17pNv02DXDpQT9S3w4-QeNym2QJy2BzMBqDXp-XtzJBM"", ""'MTY'!BJ3:BJ139""),MATCH($D44,IMPORTRANGE(""17pNv02DXDpQT9S3w4-QeNym2QJy2BzMBqDXp-XtzJBM"", ""'MTY'!D3:D139""),0))"),5877)</f>
        <v>5877</v>
      </c>
      <c r="AC44" s="12">
        <f ca="1">IFERROR(__xludf.DUMMYFUNCTION("INDEX(IMPORTRANGE(""17pNv02DXDpQT9S3w4-QeNym2QJy2BzMBqDXp-XtzJBM"", ""'MTY'!BK3:BK139""),MATCH($D44,IMPORTRANGE(""17pNv02DXDpQT9S3w4-QeNym2QJy2BzMBqDXp-XtzJBM"", ""'MTY'!D3:D139""),0))"),9454)</f>
        <v>9454</v>
      </c>
      <c r="AD44" s="12">
        <f ca="1">IFERROR(__xludf.DUMMYFUNCTION("INDEX(IMPORTRANGE(""17pNv02DXDpQT9S3w4-QeNym2QJy2BzMBqDXp-XtzJBM"", ""'MTY'!BL3:BL139""),MATCH($D44,IMPORTRANGE(""17pNv02DXDpQT9S3w4-QeNym2QJy2BzMBqDXp-XtzJBM"", ""'MTY'!D3:D139""),0))"),12635)</f>
        <v>12635</v>
      </c>
      <c r="AE44" s="12">
        <f ca="1">IFERROR(__xludf.DUMMYFUNCTION("INDEX(IMPORTRANGE(""17pNv02DXDpQT9S3w4-QeNym2QJy2BzMBqDXp-XtzJBM"", ""'MTY'!BM3:BM139""),MATCH($D44,IMPORTRANGE(""17pNv02DXDpQT9S3w4-QeNym2QJy2BzMBqDXp-XtzJBM"", ""'MTY'!D3:D139""),0))"),16604)</f>
        <v>16604</v>
      </c>
    </row>
    <row r="45" spans="1:31">
      <c r="A45" s="9" t="s">
        <v>119</v>
      </c>
      <c r="B45" s="9" t="s">
        <v>136</v>
      </c>
      <c r="C45" s="2" t="s">
        <v>30</v>
      </c>
      <c r="D45" s="149" t="s">
        <v>137</v>
      </c>
      <c r="E45" s="9" t="s">
        <v>38</v>
      </c>
      <c r="F45" s="2" t="s">
        <v>138</v>
      </c>
      <c r="G45" s="2" t="s">
        <v>56</v>
      </c>
      <c r="H45" s="22" t="s">
        <v>57</v>
      </c>
      <c r="I45" s="2" t="s">
        <v>362</v>
      </c>
      <c r="J45" s="22" t="s">
        <v>58</v>
      </c>
      <c r="K45" s="22" t="s">
        <v>59</v>
      </c>
      <c r="L45" s="22" t="s">
        <v>335</v>
      </c>
      <c r="M45" s="22" t="s">
        <v>336</v>
      </c>
      <c r="N45" s="22" t="s">
        <v>337</v>
      </c>
      <c r="O45" s="22" t="s">
        <v>364</v>
      </c>
      <c r="P45" s="262" t="s">
        <v>132</v>
      </c>
      <c r="Q45" s="12">
        <v>2</v>
      </c>
      <c r="R45" s="2">
        <v>2</v>
      </c>
      <c r="S45" s="2">
        <f ca="1">IFERROR(__xludf.DUMMYFUNCTION("INDEX(IMPORTRANGE(""17pNv02DXDpQT9S3w4-QeNym2QJy2BzMBqDXp-XtzJBM"", ""'MTY'!BG3:BG139""),MATCH($D45,IMPORTRANGE(""17pNv02DXDpQT9S3w4-QeNym2QJy2BzMBqDXp-XtzJBM"", ""'MTY'!D3:D139""),0))"),2)</f>
        <v>2</v>
      </c>
      <c r="T45" s="2">
        <v>2</v>
      </c>
      <c r="U45" s="2">
        <v>2</v>
      </c>
      <c r="V45" s="2">
        <v>4</v>
      </c>
      <c r="W45" s="2">
        <v>2</v>
      </c>
      <c r="X45" s="2">
        <v>4</v>
      </c>
      <c r="Y45" s="2">
        <v>10</v>
      </c>
      <c r="Z45" s="12">
        <f ca="1">IFERROR(__xludf.DUMMYFUNCTION("INDEX(IMPORTRANGE(""17pNv02DXDpQT9S3w4-QeNym2QJy2BzMBqDXp-XtzJBM"", ""'MTY'!BH3:BH139""),MATCH($D45,IMPORTRANGE(""17pNv02DXDpQT9S3w4-QeNym2QJy2BzMBqDXp-XtzJBM"", ""'MTY'!D3:D139""),0))"),1)</f>
        <v>1</v>
      </c>
      <c r="AA45" s="12">
        <f ca="1">IFERROR(__xludf.DUMMYFUNCTION("INDEX(IMPORTRANGE(""17pNv02DXDpQT9S3w4-QeNym2QJy2BzMBqDXp-XtzJBM"", ""'MTY'!BI3:BI139""),MATCH($D45,IMPORTRANGE(""17pNv02DXDpQT9S3w4-QeNym2QJy2BzMBqDXp-XtzJBM"", ""'MTY'!D3:D139""),0))"),4)</f>
        <v>4</v>
      </c>
      <c r="AB45" s="12">
        <f ca="1">IFERROR(__xludf.DUMMYFUNCTION("INDEX(IMPORTRANGE(""17pNv02DXDpQT9S3w4-QeNym2QJy2BzMBqDXp-XtzJBM"", ""'MTY'!BJ3:BJ139""),MATCH($D45,IMPORTRANGE(""17pNv02DXDpQT9S3w4-QeNym2QJy2BzMBqDXp-XtzJBM"", ""'MTY'!D3:D139""),0))"),9)</f>
        <v>9</v>
      </c>
      <c r="AC45" s="12">
        <f ca="1">IFERROR(__xludf.DUMMYFUNCTION("INDEX(IMPORTRANGE(""17pNv02DXDpQT9S3w4-QeNym2QJy2BzMBqDXp-XtzJBM"", ""'MTY'!BK3:BK139""),MATCH($D45,IMPORTRANGE(""17pNv02DXDpQT9S3w4-QeNym2QJy2BzMBqDXp-XtzJBM"", ""'MTY'!D3:D139""),0))"),9)</f>
        <v>9</v>
      </c>
      <c r="AD45" s="12">
        <f ca="1">IFERROR(__xludf.DUMMYFUNCTION("INDEX(IMPORTRANGE(""17pNv02DXDpQT9S3w4-QeNym2QJy2BzMBqDXp-XtzJBM"", ""'MTY'!BL3:BL139""),MATCH($D45,IMPORTRANGE(""17pNv02DXDpQT9S3w4-QeNym2QJy2BzMBqDXp-XtzJBM"", ""'MTY'!D3:D139""),0))"),10)</f>
        <v>10</v>
      </c>
      <c r="AE45" s="12">
        <f ca="1">IFERROR(__xludf.DUMMYFUNCTION("INDEX(IMPORTRANGE(""17pNv02DXDpQT9S3w4-QeNym2QJy2BzMBqDXp-XtzJBM"", ""'MTY'!BM3:BM139""),MATCH($D45,IMPORTRANGE(""17pNv02DXDpQT9S3w4-QeNym2QJy2BzMBqDXp-XtzJBM"", ""'MTY'!D3:D139""),0))"),10)</f>
        <v>10</v>
      </c>
    </row>
    <row r="46" spans="1:31">
      <c r="A46" s="9" t="s">
        <v>119</v>
      </c>
      <c r="B46" s="9" t="s">
        <v>136</v>
      </c>
      <c r="C46" s="2" t="s">
        <v>30</v>
      </c>
      <c r="D46" s="149" t="s">
        <v>139</v>
      </c>
      <c r="E46" s="9" t="s">
        <v>38</v>
      </c>
      <c r="F46" s="2" t="s">
        <v>140</v>
      </c>
      <c r="G46" s="2" t="s">
        <v>56</v>
      </c>
      <c r="H46" s="22" t="s">
        <v>57</v>
      </c>
      <c r="I46" s="2" t="s">
        <v>362</v>
      </c>
      <c r="J46" s="22" t="s">
        <v>58</v>
      </c>
      <c r="K46" s="22" t="s">
        <v>59</v>
      </c>
      <c r="L46" s="22" t="s">
        <v>335</v>
      </c>
      <c r="M46" s="22" t="s">
        <v>336</v>
      </c>
      <c r="N46" s="22" t="s">
        <v>337</v>
      </c>
      <c r="O46" s="22" t="s">
        <v>364</v>
      </c>
      <c r="P46" s="262" t="s">
        <v>132</v>
      </c>
      <c r="Q46" s="12"/>
      <c r="R46" s="2"/>
      <c r="S46" s="2">
        <f ca="1">IFERROR(__xludf.DUMMYFUNCTION("INDEX(IMPORTRANGE(""17pNv02DXDpQT9S3w4-QeNym2QJy2BzMBqDXp-XtzJBM"", ""'MTY'!BG3:BG139""),MATCH($D46,IMPORTRANGE(""17pNv02DXDpQT9S3w4-QeNym2QJy2BzMBqDXp-XtzJBM"", ""'MTY'!D3:D139""),0))"),0)</f>
        <v>0</v>
      </c>
      <c r="T46" s="2"/>
      <c r="U46" s="2"/>
      <c r="V46" s="2"/>
      <c r="W46" s="2"/>
      <c r="X46" s="2"/>
      <c r="Y46" s="2"/>
      <c r="Z46" s="12" t="str">
        <f ca="1">IFERROR(__xludf.DUMMYFUNCTION("INDEX(IMPORTRANGE(""17pNv02DXDpQT9S3w4-QeNym2QJy2BzMBqDXp-XtzJBM"", ""'MTY'!BH3:BH139""),MATCH($D46,IMPORTRANGE(""17pNv02DXDpQT9S3w4-QeNym2QJy2BzMBqDXp-XtzJBM"", ""'MTY'!D3:D139""),0))"),"")</f>
        <v/>
      </c>
      <c r="AA46" s="12">
        <f ca="1">IFERROR(__xludf.DUMMYFUNCTION("INDEX(IMPORTRANGE(""17pNv02DXDpQT9S3w4-QeNym2QJy2BzMBqDXp-XtzJBM"", ""'MTY'!BI3:BI139""),MATCH($D46,IMPORTRANGE(""17pNv02DXDpQT9S3w4-QeNym2QJy2BzMBqDXp-XtzJBM"", ""'MTY'!D3:D139""),0))"),0)</f>
        <v>0</v>
      </c>
      <c r="AB46" s="12">
        <f ca="1">IFERROR(__xludf.DUMMYFUNCTION("INDEX(IMPORTRANGE(""17pNv02DXDpQT9S3w4-QeNym2QJy2BzMBqDXp-XtzJBM"", ""'MTY'!BJ3:BJ139""),MATCH($D46,IMPORTRANGE(""17pNv02DXDpQT9S3w4-QeNym2QJy2BzMBqDXp-XtzJBM"", ""'MTY'!D3:D139""),0))"),0)</f>
        <v>0</v>
      </c>
      <c r="AC46" s="12">
        <f ca="1">IFERROR(__xludf.DUMMYFUNCTION("INDEX(IMPORTRANGE(""17pNv02DXDpQT9S3w4-QeNym2QJy2BzMBqDXp-XtzJBM"", ""'MTY'!BK3:BK139""),MATCH($D46,IMPORTRANGE(""17pNv02DXDpQT9S3w4-QeNym2QJy2BzMBqDXp-XtzJBM"", ""'MTY'!D3:D139""),0))"),0)</f>
        <v>0</v>
      </c>
      <c r="AD46" s="12">
        <f ca="1">IFERROR(__xludf.DUMMYFUNCTION("INDEX(IMPORTRANGE(""17pNv02DXDpQT9S3w4-QeNym2QJy2BzMBqDXp-XtzJBM"", ""'MTY'!BL3:BL139""),MATCH($D46,IMPORTRANGE(""17pNv02DXDpQT9S3w4-QeNym2QJy2BzMBqDXp-XtzJBM"", ""'MTY'!D3:D139""),0))"),0)</f>
        <v>0</v>
      </c>
      <c r="AE46" s="12">
        <f ca="1">IFERROR(__xludf.DUMMYFUNCTION("INDEX(IMPORTRANGE(""17pNv02DXDpQT9S3w4-QeNym2QJy2BzMBqDXp-XtzJBM"", ""'MTY'!BM3:BM139""),MATCH($D46,IMPORTRANGE(""17pNv02DXDpQT9S3w4-QeNym2QJy2BzMBqDXp-XtzJBM"", ""'MTY'!D3:D139""),0))"),0)</f>
        <v>0</v>
      </c>
    </row>
    <row r="47" spans="1:31">
      <c r="A47" s="9" t="s">
        <v>119</v>
      </c>
      <c r="B47" s="9" t="s">
        <v>136</v>
      </c>
      <c r="C47" s="2" t="s">
        <v>30</v>
      </c>
      <c r="D47" s="149" t="s">
        <v>141</v>
      </c>
      <c r="E47" s="9" t="s">
        <v>38</v>
      </c>
      <c r="F47" s="2" t="s">
        <v>142</v>
      </c>
      <c r="G47" s="2" t="s">
        <v>56</v>
      </c>
      <c r="H47" s="22" t="s">
        <v>57</v>
      </c>
      <c r="I47" s="2" t="s">
        <v>362</v>
      </c>
      <c r="J47" s="22" t="s">
        <v>58</v>
      </c>
      <c r="K47" s="22" t="s">
        <v>59</v>
      </c>
      <c r="L47" s="22" t="s">
        <v>335</v>
      </c>
      <c r="M47" s="22" t="s">
        <v>336</v>
      </c>
      <c r="N47" s="22" t="s">
        <v>337</v>
      </c>
      <c r="O47" s="22" t="s">
        <v>364</v>
      </c>
      <c r="P47" s="262" t="s">
        <v>132</v>
      </c>
      <c r="Q47" s="12">
        <v>4</v>
      </c>
      <c r="R47" s="2">
        <v>8</v>
      </c>
      <c r="S47" s="2">
        <f ca="1">IFERROR(__xludf.DUMMYFUNCTION("INDEX(IMPORTRANGE(""17pNv02DXDpQT9S3w4-QeNym2QJy2BzMBqDXp-XtzJBM"", ""'MTY'!BG3:BG139""),MATCH($D47,IMPORTRANGE(""17pNv02DXDpQT9S3w4-QeNym2QJy2BzMBqDXp-XtzJBM"", ""'MTY'!D3:D139""),0))"),6)</f>
        <v>6</v>
      </c>
      <c r="T47" s="2">
        <v>15</v>
      </c>
      <c r="U47" s="2">
        <v>12</v>
      </c>
      <c r="V47" s="2">
        <v>27</v>
      </c>
      <c r="W47" s="2">
        <v>12</v>
      </c>
      <c r="X47" s="2">
        <v>28</v>
      </c>
      <c r="Y47" s="2">
        <v>70</v>
      </c>
      <c r="Z47" s="12">
        <f ca="1">IFERROR(__xludf.DUMMYFUNCTION("INDEX(IMPORTRANGE(""17pNv02DXDpQT9S3w4-QeNym2QJy2BzMBqDXp-XtzJBM"", ""'MTY'!BH3:BH139""),MATCH($D47,IMPORTRANGE(""17pNv02DXDpQT9S3w4-QeNym2QJy2BzMBqDXp-XtzJBM"", ""'MTY'!D3:D139""),0))"),8)</f>
        <v>8</v>
      </c>
      <c r="AA47" s="12">
        <f ca="1">IFERROR(__xludf.DUMMYFUNCTION("INDEX(IMPORTRANGE(""17pNv02DXDpQT9S3w4-QeNym2QJy2BzMBqDXp-XtzJBM"", ""'MTY'!BI3:BI139""),MATCH($D47,IMPORTRANGE(""17pNv02DXDpQT9S3w4-QeNym2QJy2BzMBqDXp-XtzJBM"", ""'MTY'!D3:D139""),0))"),36)</f>
        <v>36</v>
      </c>
      <c r="AB47" s="12">
        <f ca="1">IFERROR(__xludf.DUMMYFUNCTION("INDEX(IMPORTRANGE(""17pNv02DXDpQT9S3w4-QeNym2QJy2BzMBqDXp-XtzJBM"", ""'MTY'!BJ3:BJ139""),MATCH($D47,IMPORTRANGE(""17pNv02DXDpQT9S3w4-QeNym2QJy2BzMBqDXp-XtzJBM"", ""'MTY'!D3:D139""),0))"),103)</f>
        <v>103</v>
      </c>
      <c r="AC47" s="12">
        <f ca="1">IFERROR(__xludf.DUMMYFUNCTION("INDEX(IMPORTRANGE(""17pNv02DXDpQT9S3w4-QeNym2QJy2BzMBqDXp-XtzJBM"", ""'MTY'!BK3:BK139""),MATCH($D47,IMPORTRANGE(""17pNv02DXDpQT9S3w4-QeNym2QJy2BzMBqDXp-XtzJBM"", ""'MTY'!D3:D139""),0))"),113)</f>
        <v>113</v>
      </c>
      <c r="AD47" s="12">
        <f ca="1">IFERROR(__xludf.DUMMYFUNCTION("INDEX(IMPORTRANGE(""17pNv02DXDpQT9S3w4-QeNym2QJy2BzMBqDXp-XtzJBM"", ""'MTY'!BL3:BL139""),MATCH($D47,IMPORTRANGE(""17pNv02DXDpQT9S3w4-QeNym2QJy2BzMBqDXp-XtzJBM"", ""'MTY'!D3:D139""),0))"),121)</f>
        <v>121</v>
      </c>
      <c r="AE47" s="12">
        <f ca="1">IFERROR(__xludf.DUMMYFUNCTION("INDEX(IMPORTRANGE(""17pNv02DXDpQT9S3w4-QeNym2QJy2BzMBqDXp-XtzJBM"", ""'MTY'!BM3:BM139""),MATCH($D47,IMPORTRANGE(""17pNv02DXDpQT9S3w4-QeNym2QJy2BzMBqDXp-XtzJBM"", ""'MTY'!D3:D139""),0))"),347)</f>
        <v>347</v>
      </c>
    </row>
    <row r="48" spans="1:31">
      <c r="A48" s="9" t="s">
        <v>119</v>
      </c>
      <c r="B48" s="9" t="s">
        <v>136</v>
      </c>
      <c r="C48" s="2" t="s">
        <v>30</v>
      </c>
      <c r="D48" s="149" t="s">
        <v>143</v>
      </c>
      <c r="E48" s="9" t="s">
        <v>38</v>
      </c>
      <c r="F48" s="2" t="s">
        <v>144</v>
      </c>
      <c r="G48" s="2" t="s">
        <v>56</v>
      </c>
      <c r="H48" s="22" t="s">
        <v>57</v>
      </c>
      <c r="I48" s="2" t="s">
        <v>362</v>
      </c>
      <c r="J48" s="22" t="s">
        <v>58</v>
      </c>
      <c r="K48" s="22" t="s">
        <v>59</v>
      </c>
      <c r="L48" s="22" t="s">
        <v>335</v>
      </c>
      <c r="M48" s="22" t="s">
        <v>336</v>
      </c>
      <c r="N48" s="22" t="s">
        <v>337</v>
      </c>
      <c r="O48" s="22" t="s">
        <v>364</v>
      </c>
      <c r="P48" s="262" t="s">
        <v>132</v>
      </c>
      <c r="Q48" s="12"/>
      <c r="R48" s="2"/>
      <c r="S48" s="2">
        <f ca="1">IFERROR(__xludf.DUMMYFUNCTION("INDEX(IMPORTRANGE(""17pNv02DXDpQT9S3w4-QeNym2QJy2BzMBqDXp-XtzJBM"", ""'MTY'!BG3:BG139""),MATCH($D48,IMPORTRANGE(""17pNv02DXDpQT9S3w4-QeNym2QJy2BzMBqDXp-XtzJBM"", ""'MTY'!D3:D139""),0))"),0)</f>
        <v>0</v>
      </c>
      <c r="T48" s="4"/>
      <c r="U48" s="4"/>
      <c r="V48" s="4"/>
      <c r="W48" s="4"/>
      <c r="X48" s="4"/>
      <c r="Y48" s="4"/>
      <c r="Z48" s="12" t="str">
        <f ca="1">IFERROR(__xludf.DUMMYFUNCTION("INDEX(IMPORTRANGE(""17pNv02DXDpQT9S3w4-QeNym2QJy2BzMBqDXp-XtzJBM"", ""'MTY'!BH3:BH139""),MATCH($D48,IMPORTRANGE(""17pNv02DXDpQT9S3w4-QeNym2QJy2BzMBqDXp-XtzJBM"", ""'MTY'!D3:D139""),0))"),"")</f>
        <v/>
      </c>
      <c r="AA48" s="12">
        <f ca="1">IFERROR(__xludf.DUMMYFUNCTION("INDEX(IMPORTRANGE(""17pNv02DXDpQT9S3w4-QeNym2QJy2BzMBqDXp-XtzJBM"", ""'MTY'!BI3:BI139""),MATCH($D48,IMPORTRANGE(""17pNv02DXDpQT9S3w4-QeNym2QJy2BzMBqDXp-XtzJBM"", ""'MTY'!D3:D139""),0))"),19)</f>
        <v>19</v>
      </c>
      <c r="AB48" s="12">
        <f ca="1">IFERROR(__xludf.DUMMYFUNCTION("INDEX(IMPORTRANGE(""17pNv02DXDpQT9S3w4-QeNym2QJy2BzMBqDXp-XtzJBM"", ""'MTY'!BJ3:BJ139""),MATCH($D48,IMPORTRANGE(""17pNv02DXDpQT9S3w4-QeNym2QJy2BzMBqDXp-XtzJBM"", ""'MTY'!D3:D139""),0))"),52)</f>
        <v>52</v>
      </c>
      <c r="AC48" s="12">
        <f ca="1">IFERROR(__xludf.DUMMYFUNCTION("INDEX(IMPORTRANGE(""17pNv02DXDpQT9S3w4-QeNym2QJy2BzMBqDXp-XtzJBM"", ""'MTY'!BK3:BK139""),MATCH($D48,IMPORTRANGE(""17pNv02DXDpQT9S3w4-QeNym2QJy2BzMBqDXp-XtzJBM"", ""'MTY'!D3:D139""),0))"),53)</f>
        <v>53</v>
      </c>
      <c r="AD48" s="12">
        <f ca="1">IFERROR(__xludf.DUMMYFUNCTION("INDEX(IMPORTRANGE(""17pNv02DXDpQT9S3w4-QeNym2QJy2BzMBqDXp-XtzJBM"", ""'MTY'!BL3:BL139""),MATCH($D48,IMPORTRANGE(""17pNv02DXDpQT9S3w4-QeNym2QJy2BzMBqDXp-XtzJBM"", ""'MTY'!D3:D139""),0))"),53)</f>
        <v>53</v>
      </c>
      <c r="AE48" s="12">
        <f ca="1">IFERROR(__xludf.DUMMYFUNCTION("INDEX(IMPORTRANGE(""17pNv02DXDpQT9S3w4-QeNym2QJy2BzMBqDXp-XtzJBM"", ""'MTY'!BM3:BM139""),MATCH($D48,IMPORTRANGE(""17pNv02DXDpQT9S3w4-QeNym2QJy2BzMBqDXp-XtzJBM"", ""'MTY'!D3:D139""),0))"),53)</f>
        <v>53</v>
      </c>
    </row>
    <row r="49" spans="1:31">
      <c r="A49" s="9" t="s">
        <v>119</v>
      </c>
      <c r="B49" s="9" t="s">
        <v>136</v>
      </c>
      <c r="C49" s="2" t="s">
        <v>36</v>
      </c>
      <c r="D49" s="149" t="s">
        <v>145</v>
      </c>
      <c r="E49" s="9" t="s">
        <v>38</v>
      </c>
      <c r="F49" s="2" t="s">
        <v>146</v>
      </c>
      <c r="G49" s="2" t="s">
        <v>56</v>
      </c>
      <c r="H49" s="22" t="s">
        <v>57</v>
      </c>
      <c r="I49" s="2" t="s">
        <v>362</v>
      </c>
      <c r="J49" s="22" t="s">
        <v>58</v>
      </c>
      <c r="K49" s="22" t="s">
        <v>59</v>
      </c>
      <c r="L49" s="22" t="s">
        <v>335</v>
      </c>
      <c r="M49" s="22" t="s">
        <v>336</v>
      </c>
      <c r="N49" s="22" t="s">
        <v>337</v>
      </c>
      <c r="O49" s="22" t="s">
        <v>364</v>
      </c>
      <c r="P49" s="262" t="s">
        <v>132</v>
      </c>
      <c r="Q49" s="12">
        <v>6</v>
      </c>
      <c r="R49" s="2">
        <v>10</v>
      </c>
      <c r="S49" s="2">
        <f ca="1">IFERROR(__xludf.DUMMYFUNCTION("INDEX(IMPORTRANGE(""17pNv02DXDpQT9S3w4-QeNym2QJy2BzMBqDXp-XtzJBM"", ""'MTY'!BG3:BG139""),MATCH($D49,IMPORTRANGE(""17pNv02DXDpQT9S3w4-QeNym2QJy2BzMBqDXp-XtzJBM"", ""'MTY'!D3:D139""),0))"),9)</f>
        <v>9</v>
      </c>
      <c r="T49" s="4">
        <f>T45+T47</f>
        <v>17</v>
      </c>
      <c r="U49" s="4">
        <f>U45+U47+T49</f>
        <v>31</v>
      </c>
      <c r="V49" s="4">
        <f>V45+V47-U45-U47+U49</f>
        <v>48</v>
      </c>
      <c r="W49" s="4">
        <f>W45+W47+V49</f>
        <v>62</v>
      </c>
      <c r="X49" s="4">
        <f>X45+X47-W45-W47+W49</f>
        <v>80</v>
      </c>
      <c r="Y49" s="4">
        <f>Y45+Y47</f>
        <v>80</v>
      </c>
      <c r="Z49" s="12">
        <f ca="1">IFERROR(__xludf.DUMMYFUNCTION("INDEX(IMPORTRANGE(""17pNv02DXDpQT9S3w4-QeNym2QJy2BzMBqDXp-XtzJBM"", ""'MTY'!BH3:BH139""),MATCH($D49,IMPORTRANGE(""17pNv02DXDpQT9S3w4-QeNym2QJy2BzMBqDXp-XtzJBM"", ""'MTY'!D3:D139""),0))"),9)</f>
        <v>9</v>
      </c>
      <c r="AA49" s="12">
        <f ca="1">IFERROR(__xludf.DUMMYFUNCTION("INDEX(IMPORTRANGE(""17pNv02DXDpQT9S3w4-QeNym2QJy2BzMBqDXp-XtzJBM"", ""'MTY'!BI3:BI139""),MATCH($D49,IMPORTRANGE(""17pNv02DXDpQT9S3w4-QeNym2QJy2BzMBqDXp-XtzJBM"", ""'MTY'!D3:D139""),0))"),59)</f>
        <v>59</v>
      </c>
      <c r="AB49" s="12">
        <f ca="1">IFERROR(__xludf.DUMMYFUNCTION("INDEX(IMPORTRANGE(""17pNv02DXDpQT9S3w4-QeNym2QJy2BzMBqDXp-XtzJBM"", ""'MTY'!BJ3:BJ139""),MATCH($D49,IMPORTRANGE(""17pNv02DXDpQT9S3w4-QeNym2QJy2BzMBqDXp-XtzJBM"", ""'MTY'!D3:D139""),0))"),164)</f>
        <v>164</v>
      </c>
      <c r="AC49" s="12">
        <f ca="1">IFERROR(__xludf.DUMMYFUNCTION("INDEX(IMPORTRANGE(""17pNv02DXDpQT9S3w4-QeNym2QJy2BzMBqDXp-XtzJBM"", ""'MTY'!BK3:BK139""),MATCH($D49,IMPORTRANGE(""17pNv02DXDpQT9S3w4-QeNym2QJy2BzMBqDXp-XtzJBM"", ""'MTY'!D3:D139""),0))"),175)</f>
        <v>175</v>
      </c>
      <c r="AD49" s="12">
        <f ca="1">IFERROR(__xludf.DUMMYFUNCTION("INDEX(IMPORTRANGE(""17pNv02DXDpQT9S3w4-QeNym2QJy2BzMBqDXp-XtzJBM"", ""'MTY'!BL3:BL139""),MATCH($D49,IMPORTRANGE(""17pNv02DXDpQT9S3w4-QeNym2QJy2BzMBqDXp-XtzJBM"", ""'MTY'!D3:D139""),0))"),184)</f>
        <v>184</v>
      </c>
      <c r="AE49" s="12">
        <f ca="1">IFERROR(__xludf.DUMMYFUNCTION("INDEX(IMPORTRANGE(""17pNv02DXDpQT9S3w4-QeNym2QJy2BzMBqDXp-XtzJBM"", ""'MTY'!BM3:BM139""),MATCH($D49,IMPORTRANGE(""17pNv02DXDpQT9S3w4-QeNym2QJy2BzMBqDXp-XtzJBM"", ""'MTY'!D3:D139""),0))"),410)</f>
        <v>410</v>
      </c>
    </row>
    <row r="50" spans="1:31">
      <c r="A50" s="9" t="s">
        <v>147</v>
      </c>
      <c r="B50" s="9" t="s">
        <v>148</v>
      </c>
      <c r="C50" s="2" t="s">
        <v>30</v>
      </c>
      <c r="D50" s="149" t="s">
        <v>149</v>
      </c>
      <c r="E50" s="9" t="s">
        <v>38</v>
      </c>
      <c r="F50" s="9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12" t="s">
        <v>150</v>
      </c>
      <c r="R50" s="2" t="s">
        <v>150</v>
      </c>
      <c r="S50" s="2" t="str">
        <f ca="1">IFERROR(__xludf.DUMMYFUNCTION("INDEX(IMPORTRANGE(""17pNv02DXDpQT9S3w4-QeNym2QJy2BzMBqDXp-XtzJBM"", ""'MTY'!BG3:BG139""),MATCH($D50,IMPORTRANGE(""17pNv02DXDpQT9S3w4-QeNym2QJy2BzMBqDXp-XtzJBM"", ""'MTY'!D3:D139""),0))"),"No")</f>
        <v>No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151</v>
      </c>
      <c r="Y50" s="2" t="s">
        <v>151</v>
      </c>
      <c r="Z50" s="12" t="str">
        <f ca="1">IFERROR(__xludf.DUMMYFUNCTION("INDEX(IMPORTRANGE(""17pNv02DXDpQT9S3w4-QeNym2QJy2BzMBqDXp-XtzJBM"", ""'MTY'!BH3:BH139""),MATCH($D50,IMPORTRANGE(""17pNv02DXDpQT9S3w4-QeNym2QJy2BzMBqDXp-XtzJBM"", ""'MTY'!D3:D139""),0))"),"No")</f>
        <v>No</v>
      </c>
      <c r="AA50" s="12" t="str">
        <f ca="1">IFERROR(__xludf.DUMMYFUNCTION("INDEX(IMPORTRANGE(""17pNv02DXDpQT9S3w4-QeNym2QJy2BzMBqDXp-XtzJBM"", ""'MTY'!BI3:BI139""),MATCH($D50,IMPORTRANGE(""17pNv02DXDpQT9S3w4-QeNym2QJy2BzMBqDXp-XtzJBM"", ""'MTY'!D3:D139""),0))"),"No")</f>
        <v>No</v>
      </c>
      <c r="AB50" s="12" t="str">
        <f ca="1">IFERROR(__xludf.DUMMYFUNCTION("INDEX(IMPORTRANGE(""17pNv02DXDpQT9S3w4-QeNym2QJy2BzMBqDXp-XtzJBM"", ""'MTY'!BJ3:BJ139""),MATCH($D50,IMPORTRANGE(""17pNv02DXDpQT9S3w4-QeNym2QJy2BzMBqDXp-XtzJBM"", ""'MTY'!D3:D139""),0))"),"No")</f>
        <v>No</v>
      </c>
      <c r="AC50" s="12" t="str">
        <f ca="1">IFERROR(__xludf.DUMMYFUNCTION("INDEX(IMPORTRANGE(""17pNv02DXDpQT9S3w4-QeNym2QJy2BzMBqDXp-XtzJBM"", ""'MTY'!BK3:BK139""),MATCH($D50,IMPORTRANGE(""17pNv02DXDpQT9S3w4-QeNym2QJy2BzMBqDXp-XtzJBM"", ""'MTY'!D3:D139""),0))"),"No")</f>
        <v>No</v>
      </c>
      <c r="AD50" s="12" t="str">
        <f ca="1">IFERROR(__xludf.DUMMYFUNCTION("INDEX(IMPORTRANGE(""17pNv02DXDpQT9S3w4-QeNym2QJy2BzMBqDXp-XtzJBM"", ""'MTY'!BL3:BL139""),MATCH($D50,IMPORTRANGE(""17pNv02DXDpQT9S3w4-QeNym2QJy2BzMBqDXp-XtzJBM"", ""'MTY'!D3:D139""),0))"),"No")</f>
        <v>No</v>
      </c>
      <c r="AE50" s="12" t="str">
        <f ca="1">IFERROR(__xludf.DUMMYFUNCTION("INDEX(IMPORTRANGE(""17pNv02DXDpQT9S3w4-QeNym2QJy2BzMBqDXp-XtzJBM"", ""'MTY'!BM3:BM139""),MATCH($D50,IMPORTRANGE(""17pNv02DXDpQT9S3w4-QeNym2QJy2BzMBqDXp-XtzJBM"", ""'MTY'!D3:D139""),0))"),"No")</f>
        <v>No</v>
      </c>
    </row>
    <row r="51" spans="1:31">
      <c r="A51" s="9" t="s">
        <v>147</v>
      </c>
      <c r="B51" s="9" t="s">
        <v>148</v>
      </c>
      <c r="C51" s="2" t="s">
        <v>30</v>
      </c>
      <c r="D51" s="149" t="s">
        <v>152</v>
      </c>
      <c r="E51" s="9" t="s">
        <v>38</v>
      </c>
      <c r="F51" s="9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12" t="s">
        <v>150</v>
      </c>
      <c r="R51" s="2" t="s">
        <v>150</v>
      </c>
      <c r="S51" s="2" t="str">
        <f ca="1">IFERROR(__xludf.DUMMYFUNCTION("INDEX(IMPORTRANGE(""17pNv02DXDpQT9S3w4-QeNym2QJy2BzMBqDXp-XtzJBM"", ""'MTY'!BG3:BG139""),MATCH($D51,IMPORTRANGE(""17pNv02DXDpQT9S3w4-QeNym2QJy2BzMBqDXp-XtzJBM"", ""'MTY'!D3:D139""),0))"),"No")</f>
        <v>No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151</v>
      </c>
      <c r="Y51" s="2" t="s">
        <v>151</v>
      </c>
      <c r="Z51" s="12" t="str">
        <f ca="1">IFERROR(__xludf.DUMMYFUNCTION("INDEX(IMPORTRANGE(""17pNv02DXDpQT9S3w4-QeNym2QJy2BzMBqDXp-XtzJBM"", ""'MTY'!BH3:BH139""),MATCH($D51,IMPORTRANGE(""17pNv02DXDpQT9S3w4-QeNym2QJy2BzMBqDXp-XtzJBM"", ""'MTY'!D3:D139""),0))"),"No")</f>
        <v>No</v>
      </c>
      <c r="AA51" s="12" t="str">
        <f ca="1">IFERROR(__xludf.DUMMYFUNCTION("INDEX(IMPORTRANGE(""17pNv02DXDpQT9S3w4-QeNym2QJy2BzMBqDXp-XtzJBM"", ""'MTY'!BI3:BI139""),MATCH($D51,IMPORTRANGE(""17pNv02DXDpQT9S3w4-QeNym2QJy2BzMBqDXp-XtzJBM"", ""'MTY'!D3:D139""),0))"),"No")</f>
        <v>No</v>
      </c>
      <c r="AB51" s="12" t="str">
        <f ca="1">IFERROR(__xludf.DUMMYFUNCTION("INDEX(IMPORTRANGE(""17pNv02DXDpQT9S3w4-QeNym2QJy2BzMBqDXp-XtzJBM"", ""'MTY'!BJ3:BJ139""),MATCH($D51,IMPORTRANGE(""17pNv02DXDpQT9S3w4-QeNym2QJy2BzMBqDXp-XtzJBM"", ""'MTY'!D3:D139""),0))"),"No")</f>
        <v>No</v>
      </c>
      <c r="AC51" s="12" t="str">
        <f ca="1">IFERROR(__xludf.DUMMYFUNCTION("INDEX(IMPORTRANGE(""17pNv02DXDpQT9S3w4-QeNym2QJy2BzMBqDXp-XtzJBM"", ""'MTY'!BK3:BK139""),MATCH($D51,IMPORTRANGE(""17pNv02DXDpQT9S3w4-QeNym2QJy2BzMBqDXp-XtzJBM"", ""'MTY'!D3:D139""),0))"),"Sí")</f>
        <v>Sí</v>
      </c>
      <c r="AD51" s="12" t="str">
        <f ca="1">IFERROR(__xludf.DUMMYFUNCTION("INDEX(IMPORTRANGE(""17pNv02DXDpQT9S3w4-QeNym2QJy2BzMBqDXp-XtzJBM"", ""'MTY'!BL3:BL139""),MATCH($D51,IMPORTRANGE(""17pNv02DXDpQT9S3w4-QeNym2QJy2BzMBqDXp-XtzJBM"", ""'MTY'!D3:D139""),0))"),"Sí")</f>
        <v>Sí</v>
      </c>
      <c r="AE51" s="12" t="str">
        <f ca="1">IFERROR(__xludf.DUMMYFUNCTION("INDEX(IMPORTRANGE(""17pNv02DXDpQT9S3w4-QeNym2QJy2BzMBqDXp-XtzJBM"", ""'MTY'!BM3:BM139""),MATCH($D51,IMPORTRANGE(""17pNv02DXDpQT9S3w4-QeNym2QJy2BzMBqDXp-XtzJBM"", ""'MTY'!D3:D139""),0))"),"Sí")</f>
        <v>Sí</v>
      </c>
    </row>
    <row r="52" spans="1:31">
      <c r="A52" s="9" t="s">
        <v>147</v>
      </c>
      <c r="B52" s="9" t="s">
        <v>148</v>
      </c>
      <c r="C52" s="2" t="s">
        <v>30</v>
      </c>
      <c r="D52" s="149" t="s">
        <v>154</v>
      </c>
      <c r="E52" s="9" t="s">
        <v>38</v>
      </c>
      <c r="F52" s="9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12" t="s">
        <v>150</v>
      </c>
      <c r="R52" s="2" t="s">
        <v>150</v>
      </c>
      <c r="S52" s="2" t="str">
        <f ca="1">IFERROR(__xludf.DUMMYFUNCTION("INDEX(IMPORTRANGE(""17pNv02DXDpQT9S3w4-QeNym2QJy2BzMBqDXp-XtzJBM"", ""'MTY'!BG3:BG139""),MATCH($D52,IMPORTRANGE(""17pNv02DXDpQT9S3w4-QeNym2QJy2BzMBqDXp-XtzJBM"", ""'MTY'!D3:D139""),0))"),"No")</f>
        <v>No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155</v>
      </c>
      <c r="Y52" s="2" t="s">
        <v>155</v>
      </c>
      <c r="Z52" s="12" t="str">
        <f ca="1">IFERROR(__xludf.DUMMYFUNCTION("INDEX(IMPORTRANGE(""17pNv02DXDpQT9S3w4-QeNym2QJy2BzMBqDXp-XtzJBM"", ""'MTY'!BH3:BH139""),MATCH($D52,IMPORTRANGE(""17pNv02DXDpQT9S3w4-QeNym2QJy2BzMBqDXp-XtzJBM"", ""'MTY'!D3:D139""),0))"),"No")</f>
        <v>No</v>
      </c>
      <c r="AA52" s="12" t="str">
        <f ca="1">IFERROR(__xludf.DUMMYFUNCTION("INDEX(IMPORTRANGE(""17pNv02DXDpQT9S3w4-QeNym2QJy2BzMBqDXp-XtzJBM"", ""'MTY'!BI3:BI139""),MATCH($D52,IMPORTRANGE(""17pNv02DXDpQT9S3w4-QeNym2QJy2BzMBqDXp-XtzJBM"", ""'MTY'!D3:D139""),0))"),"No")</f>
        <v>No</v>
      </c>
      <c r="AB52" s="12" t="str">
        <f ca="1">IFERROR(__xludf.DUMMYFUNCTION("INDEX(IMPORTRANGE(""17pNv02DXDpQT9S3w4-QeNym2QJy2BzMBqDXp-XtzJBM"", ""'MTY'!BJ3:BJ139""),MATCH($D52,IMPORTRANGE(""17pNv02DXDpQT9S3w4-QeNym2QJy2BzMBqDXp-XtzJBM"", ""'MTY'!D3:D139""),0))"),"No")</f>
        <v>No</v>
      </c>
      <c r="AC52" s="12" t="str">
        <f ca="1">IFERROR(__xludf.DUMMYFUNCTION("INDEX(IMPORTRANGE(""17pNv02DXDpQT9S3w4-QeNym2QJy2BzMBqDXp-XtzJBM"", ""'MTY'!BK3:BK139""),MATCH($D52,IMPORTRANGE(""17pNv02DXDpQT9S3w4-QeNym2QJy2BzMBqDXp-XtzJBM"", ""'MTY'!D3:D139""),0))"),"Sí")</f>
        <v>Sí</v>
      </c>
      <c r="AD52" s="12" t="str">
        <f ca="1">IFERROR(__xludf.DUMMYFUNCTION("INDEX(IMPORTRANGE(""17pNv02DXDpQT9S3w4-QeNym2QJy2BzMBqDXp-XtzJBM"", ""'MTY'!BL3:BL139""),MATCH($D52,IMPORTRANGE(""17pNv02DXDpQT9S3w4-QeNym2QJy2BzMBqDXp-XtzJBM"", ""'MTY'!D3:D139""),0))"),"Sí")</f>
        <v>Sí</v>
      </c>
      <c r="AE52" s="12" t="str">
        <f ca="1">IFERROR(__xludf.DUMMYFUNCTION("INDEX(IMPORTRANGE(""17pNv02DXDpQT9S3w4-QeNym2QJy2BzMBqDXp-XtzJBM"", ""'MTY'!BM3:BM139""),MATCH($D52,IMPORTRANGE(""17pNv02DXDpQT9S3w4-QeNym2QJy2BzMBqDXp-XtzJBM"", ""'MTY'!D3:D139""),0))"),"Sí")</f>
        <v>Sí</v>
      </c>
    </row>
    <row r="53" spans="1:31">
      <c r="A53" s="9" t="s">
        <v>147</v>
      </c>
      <c r="B53" s="9" t="s">
        <v>148</v>
      </c>
      <c r="C53" s="2" t="s">
        <v>36</v>
      </c>
      <c r="D53" s="149" t="s">
        <v>156</v>
      </c>
      <c r="E53" s="9" t="s">
        <v>38</v>
      </c>
      <c r="F53" s="9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91">
        <f t="shared" ref="Q53:R53" si="10">COUNTIF(Q50:Q52,"Sí")*(1/3)</f>
        <v>0</v>
      </c>
      <c r="R53" s="91">
        <f t="shared" si="10"/>
        <v>0</v>
      </c>
      <c r="S53" s="478">
        <f ca="1">IFERROR(__xludf.DUMMYFUNCTION("INDEX(IMPORTRANGE(""17pNv02DXDpQT9S3w4-QeNym2QJy2BzMBqDXp-XtzJBM"", ""'MTY'!BG3:BG139""),MATCH($D53,IMPORTRANGE(""17pNv02DXDpQT9S3w4-QeNym2QJy2BzMBqDXp-XtzJBM"", ""'MTY'!D3:D139""),0))"),0)</f>
        <v>0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12">
        <f ca="1">IFERROR(__xludf.DUMMYFUNCTION("INDEX(IMPORTRANGE(""17pNv02DXDpQT9S3w4-QeNym2QJy2BzMBqDXp-XtzJBM"", ""'MTY'!BH3:BH139""),MATCH($D53,IMPORTRANGE(""17pNv02DXDpQT9S3w4-QeNym2QJy2BzMBqDXp-XtzJBM"", ""'MTY'!D3:D139""),0))"),0)</f>
        <v>0</v>
      </c>
      <c r="AA53" s="12">
        <f ca="1">IFERROR(__xludf.DUMMYFUNCTION("INDEX(IMPORTRANGE(""17pNv02DXDpQT9S3w4-QeNym2QJy2BzMBqDXp-XtzJBM"", ""'MTY'!BI3:BI139""),MATCH($D53,IMPORTRANGE(""17pNv02DXDpQT9S3w4-QeNym2QJy2BzMBqDXp-XtzJBM"", ""'MTY'!D3:D139""),0))"),0)</f>
        <v>0</v>
      </c>
      <c r="AB53" s="12">
        <f ca="1">IFERROR(__xludf.DUMMYFUNCTION("INDEX(IMPORTRANGE(""17pNv02DXDpQT9S3w4-QeNym2QJy2BzMBqDXp-XtzJBM"", ""'MTY'!BJ3:BJ139""),MATCH($D53,IMPORTRANGE(""17pNv02DXDpQT9S3w4-QeNym2QJy2BzMBqDXp-XtzJBM"", ""'MTY'!D3:D139""),0))"),0)</f>
        <v>0</v>
      </c>
      <c r="AC53" s="12">
        <f ca="1">IFERROR(__xludf.DUMMYFUNCTION("INDEX(IMPORTRANGE(""17pNv02DXDpQT9S3w4-QeNym2QJy2BzMBqDXp-XtzJBM"", ""'MTY'!BK3:BK139""),MATCH($D53,IMPORTRANGE(""17pNv02DXDpQT9S3w4-QeNym2QJy2BzMBqDXp-XtzJBM"", ""'MTY'!D3:D139""),0))"),0.666666666666666)</f>
        <v>0.66666666666666596</v>
      </c>
      <c r="AD53" s="12">
        <f ca="1">IFERROR(__xludf.DUMMYFUNCTION("INDEX(IMPORTRANGE(""17pNv02DXDpQT9S3w4-QeNym2QJy2BzMBqDXp-XtzJBM"", ""'MTY'!BL3:BL139""),MATCH($D53,IMPORTRANGE(""17pNv02DXDpQT9S3w4-QeNym2QJy2BzMBqDXp-XtzJBM"", ""'MTY'!D3:D139""),0))"),0.666666666666666)</f>
        <v>0.66666666666666596</v>
      </c>
      <c r="AE53" s="12">
        <f ca="1">IFERROR(__xludf.DUMMYFUNCTION("INDEX(IMPORTRANGE(""17pNv02DXDpQT9S3w4-QeNym2QJy2BzMBqDXp-XtzJBM"", ""'MTY'!BM3:BM139""),MATCH($D53,IMPORTRANGE(""17pNv02DXDpQT9S3w4-QeNym2QJy2BzMBqDXp-XtzJBM"", ""'MTY'!D3:D139""),0))"),0.666666666666666)</f>
        <v>0.66666666666666596</v>
      </c>
    </row>
    <row r="54" spans="1:31">
      <c r="A54" s="9" t="s">
        <v>147</v>
      </c>
      <c r="B54" s="9" t="s">
        <v>148</v>
      </c>
      <c r="C54" s="2" t="s">
        <v>36</v>
      </c>
      <c r="D54" s="149" t="s">
        <v>351</v>
      </c>
      <c r="E54" s="9" t="s">
        <v>38</v>
      </c>
      <c r="F54" s="9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12">
        <v>0</v>
      </c>
      <c r="R54" s="2">
        <v>0</v>
      </c>
      <c r="S54" s="2">
        <f ca="1">IFERROR(__xludf.DUMMYFUNCTION("INDEX(IMPORTRANGE(""17pNv02DXDpQT9S3w4-QeNym2QJy2BzMBqDXp-XtzJBM"", ""'MTY'!BG3:BG139""),MATCH($D54,IMPORTRANGE(""17pNv02DXDpQT9S3w4-QeNym2QJy2BzMBqDXp-XtzJBM"", ""'MTY'!D3:D139""),0))"),0)</f>
        <v>0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12">
        <f ca="1">IFERROR(__xludf.DUMMYFUNCTION("INDEX(IMPORTRANGE(""17pNv02DXDpQT9S3w4-QeNym2QJy2BzMBqDXp-XtzJBM"", ""'MTY'!BH3:BH139""),MATCH($D54,IMPORTRANGE(""17pNv02DXDpQT9S3w4-QeNym2QJy2BzMBqDXp-XtzJBM"", ""'MTY'!D3:D139""),0))"),0)</f>
        <v>0</v>
      </c>
      <c r="AA54" s="12">
        <f ca="1">IFERROR(__xludf.DUMMYFUNCTION("INDEX(IMPORTRANGE(""17pNv02DXDpQT9S3w4-QeNym2QJy2BzMBqDXp-XtzJBM"", ""'MTY'!BI3:BI139""),MATCH($D54,IMPORTRANGE(""17pNv02DXDpQT9S3w4-QeNym2QJy2BzMBqDXp-XtzJBM"", ""'MTY'!D3:D139""),0))"),0)</f>
        <v>0</v>
      </c>
      <c r="AB54" s="12">
        <f ca="1">IFERROR(__xludf.DUMMYFUNCTION("INDEX(IMPORTRANGE(""17pNv02DXDpQT9S3w4-QeNym2QJy2BzMBqDXp-XtzJBM"", ""'MTY'!BJ3:BJ139""),MATCH($D54,IMPORTRANGE(""17pNv02DXDpQT9S3w4-QeNym2QJy2BzMBqDXp-XtzJBM"", ""'MTY'!D3:D139""),0))"),0)</f>
        <v>0</v>
      </c>
      <c r="AC54" s="12">
        <f ca="1">IFERROR(__xludf.DUMMYFUNCTION("INDEX(IMPORTRANGE(""17pNv02DXDpQT9S3w4-QeNym2QJy2BzMBqDXp-XtzJBM"", ""'MTY'!BK3:BK139""),MATCH($D54,IMPORTRANGE(""17pNv02DXDpQT9S3w4-QeNym2QJy2BzMBqDXp-XtzJBM"", ""'MTY'!D3:D139""),0))"),0)</f>
        <v>0</v>
      </c>
      <c r="AD54" s="12">
        <f ca="1">IFERROR(__xludf.DUMMYFUNCTION("INDEX(IMPORTRANGE(""17pNv02DXDpQT9S3w4-QeNym2QJy2BzMBqDXp-XtzJBM"", ""'MTY'!BL3:BL139""),MATCH($D54,IMPORTRANGE(""17pNv02DXDpQT9S3w4-QeNym2QJy2BzMBqDXp-XtzJBM"", ""'MTY'!D3:D139""),0))"),0)</f>
        <v>0</v>
      </c>
      <c r="AE54" s="12">
        <f ca="1">IFERROR(__xludf.DUMMYFUNCTION("INDEX(IMPORTRANGE(""17pNv02DXDpQT9S3w4-QeNym2QJy2BzMBqDXp-XtzJBM"", ""'MTY'!BM3:BM139""),MATCH($D54,IMPORTRANGE(""17pNv02DXDpQT9S3w4-QeNym2QJy2BzMBqDXp-XtzJBM"", ""'MTY'!D3:D139""),0))"),0)</f>
        <v>0</v>
      </c>
    </row>
    <row r="55" spans="1:31">
      <c r="A55" s="9" t="s">
        <v>147</v>
      </c>
      <c r="B55" s="9" t="s">
        <v>148</v>
      </c>
      <c r="C55" s="2" t="s">
        <v>30</v>
      </c>
      <c r="D55" s="149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17</v>
      </c>
      <c r="R55" s="2">
        <v>17</v>
      </c>
      <c r="S55" s="2">
        <f ca="1">IFERROR(__xludf.DUMMYFUNCTION("INDEX(IMPORTRANGE(""17pNv02DXDpQT9S3w4-QeNym2QJy2BzMBqDXp-XtzJBM"", ""'MTY'!BG3:BG139""),MATCH($D55,IMPORTRANGE(""17pNv02DXDpQT9S3w4-QeNym2QJy2BzMBqDXp-XtzJBM"", ""'MTY'!D3:D139""),0))"),17)</f>
        <v>17</v>
      </c>
      <c r="T55" s="4"/>
      <c r="U55" s="4"/>
      <c r="V55" s="4"/>
      <c r="W55" s="4"/>
      <c r="X55" s="4"/>
      <c r="Y55" s="4"/>
      <c r="Z55" s="12">
        <f ca="1">IFERROR(__xludf.DUMMYFUNCTION("INDEX(IMPORTRANGE(""17pNv02DXDpQT9S3w4-QeNym2QJy2BzMBqDXp-XtzJBM"", ""'MTY'!BH3:BH139""),MATCH($D55,IMPORTRANGE(""17pNv02DXDpQT9S3w4-QeNym2QJy2BzMBqDXp-XtzJBM"", ""'MTY'!D3:D139""),0))"),17)</f>
        <v>17</v>
      </c>
      <c r="AA55" s="12">
        <f ca="1">IFERROR(__xludf.DUMMYFUNCTION("INDEX(IMPORTRANGE(""17pNv02DXDpQT9S3w4-QeNym2QJy2BzMBqDXp-XtzJBM"", ""'MTY'!BI3:BI139""),MATCH($D55,IMPORTRANGE(""17pNv02DXDpQT9S3w4-QeNym2QJy2BzMBqDXp-XtzJBM"", ""'MTY'!D3:D139""),0))"),17)</f>
        <v>17</v>
      </c>
      <c r="AB55" s="12">
        <f ca="1">IFERROR(__xludf.DUMMYFUNCTION("INDEX(IMPORTRANGE(""17pNv02DXDpQT9S3w4-QeNym2QJy2BzMBqDXp-XtzJBM"", ""'MTY'!BJ3:BJ139""),MATCH($D55,IMPORTRANGE(""17pNv02DXDpQT9S3w4-QeNym2QJy2BzMBqDXp-XtzJBM"", ""'MTY'!D3:D139""),0))"),17)</f>
        <v>17</v>
      </c>
      <c r="AC55" s="12">
        <f ca="1">IFERROR(__xludf.DUMMYFUNCTION("INDEX(IMPORTRANGE(""17pNv02DXDpQT9S3w4-QeNym2QJy2BzMBqDXp-XtzJBM"", ""'MTY'!BK3:BK139""),MATCH($D55,IMPORTRANGE(""17pNv02DXDpQT9S3w4-QeNym2QJy2BzMBqDXp-XtzJBM"", ""'MTY'!D3:D139""),0))"),17)</f>
        <v>17</v>
      </c>
      <c r="AD55" s="12">
        <f ca="1">IFERROR(__xludf.DUMMYFUNCTION("INDEX(IMPORTRANGE(""17pNv02DXDpQT9S3w4-QeNym2QJy2BzMBqDXp-XtzJBM"", ""'MTY'!BL3:BL139""),MATCH($D55,IMPORTRANGE(""17pNv02DXDpQT9S3w4-QeNym2QJy2BzMBqDXp-XtzJBM"", ""'MTY'!D3:D139""),0))"),17)</f>
        <v>17</v>
      </c>
      <c r="AE55" s="12">
        <f ca="1">IFERROR(__xludf.DUMMYFUNCTION("INDEX(IMPORTRANGE(""17pNv02DXDpQT9S3w4-QeNym2QJy2BzMBqDXp-XtzJBM"", ""'MTY'!BM3:BM139""),MATCH($D55,IMPORTRANGE(""17pNv02DXDpQT9S3w4-QeNym2QJy2BzMBqDXp-XtzJBM"", ""'MTY'!D3:D139""),0))"),17)</f>
        <v>17</v>
      </c>
    </row>
    <row r="56" spans="1:31">
      <c r="A56" s="9" t="s">
        <v>147</v>
      </c>
      <c r="B56" s="9" t="s">
        <v>148</v>
      </c>
      <c r="C56" s="2" t="s">
        <v>30</v>
      </c>
      <c r="D56" s="149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9</v>
      </c>
      <c r="R56" s="2">
        <v>9</v>
      </c>
      <c r="S56" s="2">
        <f ca="1">IFERROR(__xludf.DUMMYFUNCTION("INDEX(IMPORTRANGE(""17pNv02DXDpQT9S3w4-QeNym2QJy2BzMBqDXp-XtzJBM"", ""'MTY'!BG3:BG139""),MATCH($D56,IMPORTRANGE(""17pNv02DXDpQT9S3w4-QeNym2QJy2BzMBqDXp-XtzJBM"", ""'MTY'!D3:D139""),0))"),9)</f>
        <v>9</v>
      </c>
      <c r="T56" s="4"/>
      <c r="U56" s="4"/>
      <c r="V56" s="4"/>
      <c r="W56" s="4"/>
      <c r="X56" s="4"/>
      <c r="Y56" s="4"/>
      <c r="Z56" s="12">
        <f ca="1">IFERROR(__xludf.DUMMYFUNCTION("INDEX(IMPORTRANGE(""17pNv02DXDpQT9S3w4-QeNym2QJy2BzMBqDXp-XtzJBM"", ""'MTY'!BH3:BH139""),MATCH($D56,IMPORTRANGE(""17pNv02DXDpQT9S3w4-QeNym2QJy2BzMBqDXp-XtzJBM"", ""'MTY'!D3:D139""),0))"),9)</f>
        <v>9</v>
      </c>
      <c r="AA56" s="12">
        <f ca="1">IFERROR(__xludf.DUMMYFUNCTION("INDEX(IMPORTRANGE(""17pNv02DXDpQT9S3w4-QeNym2QJy2BzMBqDXp-XtzJBM"", ""'MTY'!BI3:BI139""),MATCH($D56,IMPORTRANGE(""17pNv02DXDpQT9S3w4-QeNym2QJy2BzMBqDXp-XtzJBM"", ""'MTY'!D3:D139""),0))"),14)</f>
        <v>14</v>
      </c>
      <c r="AB56" s="12">
        <f ca="1">IFERROR(__xludf.DUMMYFUNCTION("INDEX(IMPORTRANGE(""17pNv02DXDpQT9S3w4-QeNym2QJy2BzMBqDXp-XtzJBM"", ""'MTY'!BJ3:BJ139""),MATCH($D56,IMPORTRANGE(""17pNv02DXDpQT9S3w4-QeNym2QJy2BzMBqDXp-XtzJBM"", ""'MTY'!D3:D139""),0))"),14)</f>
        <v>14</v>
      </c>
      <c r="AC56" s="12">
        <f ca="1">IFERROR(__xludf.DUMMYFUNCTION("INDEX(IMPORTRANGE(""17pNv02DXDpQT9S3w4-QeNym2QJy2BzMBqDXp-XtzJBM"", ""'MTY'!BK3:BK139""),MATCH($D56,IMPORTRANGE(""17pNv02DXDpQT9S3w4-QeNym2QJy2BzMBqDXp-XtzJBM"", ""'MTY'!D3:D139""),0))"),14)</f>
        <v>14</v>
      </c>
      <c r="AD56" s="12">
        <f ca="1">IFERROR(__xludf.DUMMYFUNCTION("INDEX(IMPORTRANGE(""17pNv02DXDpQT9S3w4-QeNym2QJy2BzMBqDXp-XtzJBM"", ""'MTY'!BL3:BL139""),MATCH($D56,IMPORTRANGE(""17pNv02DXDpQT9S3w4-QeNym2QJy2BzMBqDXp-XtzJBM"", ""'MTY'!D3:D139""),0))"),14)</f>
        <v>14</v>
      </c>
      <c r="AE56" s="12">
        <f ca="1">IFERROR(__xludf.DUMMYFUNCTION("INDEX(IMPORTRANGE(""17pNv02DXDpQT9S3w4-QeNym2QJy2BzMBqDXp-XtzJBM"", ""'MTY'!BM3:BM139""),MATCH($D56,IMPORTRANGE(""17pNv02DXDpQT9S3w4-QeNym2QJy2BzMBqDXp-XtzJBM"", ""'MTY'!D3:D139""),0))"),14)</f>
        <v>14</v>
      </c>
    </row>
    <row r="57" spans="1:31">
      <c r="A57" s="9" t="s">
        <v>147</v>
      </c>
      <c r="B57" s="9" t="s">
        <v>148</v>
      </c>
      <c r="C57" s="2" t="s">
        <v>36</v>
      </c>
      <c r="D57" s="149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15">
        <f t="shared" ref="Q57:R57" si="11">Q56/Q55</f>
        <v>0.52941176470588236</v>
      </c>
      <c r="R57" s="15">
        <f t="shared" si="11"/>
        <v>0.52941176470588236</v>
      </c>
      <c r="S57" s="15">
        <f ca="1">IFERROR(__xludf.DUMMYFUNCTION("INDEX(IMPORTRANGE(""17pNv02DXDpQT9S3w4-QeNym2QJy2BzMBqDXp-XtzJBM"", ""'MTY'!BG3:BG139""),MATCH($D57,IMPORTRANGE(""17pNv02DXDpQT9S3w4-QeNym2QJy2BzMBqDXp-XtzJBM"", ""'MTY'!D3:D139""),0))"),0.529411764705882)</f>
        <v>0.52941176470588203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5">
        <f ca="1">IFERROR(__xludf.DUMMYFUNCTION("INDEX(IMPORTRANGE(""17pNv02DXDpQT9S3w4-QeNym2QJy2BzMBqDXp-XtzJBM"", ""'MTY'!BH3:BH139""),MATCH($D57,IMPORTRANGE(""17pNv02DXDpQT9S3w4-QeNym2QJy2BzMBqDXp-XtzJBM"", ""'MTY'!D3:D139""),0))"),0.529411764705882)</f>
        <v>0.52941176470588203</v>
      </c>
      <c r="AA57" s="15">
        <f ca="1">IFERROR(__xludf.DUMMYFUNCTION("INDEX(IMPORTRANGE(""17pNv02DXDpQT9S3w4-QeNym2QJy2BzMBqDXp-XtzJBM"", ""'MTY'!BI3:BI139""),MATCH($D57,IMPORTRANGE(""17pNv02DXDpQT9S3w4-QeNym2QJy2BzMBqDXp-XtzJBM"", ""'MTY'!D3:D139""),0))"),0.823529411764705)</f>
        <v>0.82352941176470495</v>
      </c>
      <c r="AB57" s="15">
        <f ca="1">IFERROR(__xludf.DUMMYFUNCTION("INDEX(IMPORTRANGE(""17pNv02DXDpQT9S3w4-QeNym2QJy2BzMBqDXp-XtzJBM"", ""'MTY'!BJ3:BJ139""),MATCH($D57,IMPORTRANGE(""17pNv02DXDpQT9S3w4-QeNym2QJy2BzMBqDXp-XtzJBM"", ""'MTY'!D3:D139""),0))"),0.823529411764705)</f>
        <v>0.82352941176470495</v>
      </c>
      <c r="AC57" s="15">
        <f ca="1">IFERROR(__xludf.DUMMYFUNCTION("INDEX(IMPORTRANGE(""17pNv02DXDpQT9S3w4-QeNym2QJy2BzMBqDXp-XtzJBM"", ""'MTY'!BK3:BK139""),MATCH($D57,IMPORTRANGE(""17pNv02DXDpQT9S3w4-QeNym2QJy2BzMBqDXp-XtzJBM"", ""'MTY'!D3:D139""),0))"),0.823529411764705)</f>
        <v>0.82352941176470495</v>
      </c>
      <c r="AD57" s="15">
        <f ca="1">IFERROR(__xludf.DUMMYFUNCTION("INDEX(IMPORTRANGE(""17pNv02DXDpQT9S3w4-QeNym2QJy2BzMBqDXp-XtzJBM"", ""'MTY'!BL3:BL139""),MATCH($D57,IMPORTRANGE(""17pNv02DXDpQT9S3w4-QeNym2QJy2BzMBqDXp-XtzJBM"", ""'MTY'!D3:D139""),0))"),0.823529411764705)</f>
        <v>0.82352941176470495</v>
      </c>
      <c r="AE57" s="15">
        <f ca="1">IFERROR(__xludf.DUMMYFUNCTION("INDEX(IMPORTRANGE(""17pNv02DXDpQT9S3w4-QeNym2QJy2BzMBqDXp-XtzJBM"", ""'MTY'!BM3:BM139""),MATCH($D57,IMPORTRANGE(""17pNv02DXDpQT9S3w4-QeNym2QJy2BzMBqDXp-XtzJBM"", ""'MTY'!D3:D139""),0))"),0.823529411764705)</f>
        <v>0.82352941176470495</v>
      </c>
    </row>
    <row r="58" spans="1:31">
      <c r="A58" s="9" t="s">
        <v>147</v>
      </c>
      <c r="B58" s="9" t="s">
        <v>168</v>
      </c>
      <c r="C58" s="2" t="s">
        <v>30</v>
      </c>
      <c r="D58" s="149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458">
        <v>107246</v>
      </c>
      <c r="R58" s="458">
        <v>107246</v>
      </c>
      <c r="S58" s="12">
        <f ca="1">IFERROR(__xludf.DUMMYFUNCTION("INDEX(IMPORTRANGE(""17pNv02DXDpQT9S3w4-QeNym2QJy2BzMBqDXp-XtzJBM"", ""'MTY'!BG3:BG139""),MATCH($D58,IMPORTRANGE(""17pNv02DXDpQT9S3w4-QeNym2QJy2BzMBqDXp-XtzJBM"", ""'MTY'!D3:D139""),0))"),107246)</f>
        <v>107246</v>
      </c>
      <c r="T58" s="4"/>
      <c r="U58" s="4"/>
      <c r="V58" s="4"/>
      <c r="W58" s="4"/>
      <c r="X58" s="4"/>
      <c r="Y58" s="4"/>
      <c r="Z58" s="12">
        <f ca="1">IFERROR(__xludf.DUMMYFUNCTION("INDEX(IMPORTRANGE(""17pNv02DXDpQT9S3w4-QeNym2QJy2BzMBqDXp-XtzJBM"", ""'MTY'!BH3:BH139""),MATCH($D58,IMPORTRANGE(""17pNv02DXDpQT9S3w4-QeNym2QJy2BzMBqDXp-XtzJBM"", ""'MTY'!D3:D139""),0))"),107501)</f>
        <v>107501</v>
      </c>
      <c r="AA58" s="12">
        <f ca="1">IFERROR(__xludf.DUMMYFUNCTION("INDEX(IMPORTRANGE(""17pNv02DXDpQT9S3w4-QeNym2QJy2BzMBqDXp-XtzJBM"", ""'MTY'!BI3:BI139""),MATCH($D58,IMPORTRANGE(""17pNv02DXDpQT9S3w4-QeNym2QJy2BzMBqDXp-XtzJBM"", ""'MTY'!D3:D139""),0))"),107975)</f>
        <v>107975</v>
      </c>
      <c r="AB58" s="12">
        <f ca="1">IFERROR(__xludf.DUMMYFUNCTION("INDEX(IMPORTRANGE(""17pNv02DXDpQT9S3w4-QeNym2QJy2BzMBqDXp-XtzJBM"", ""'MTY'!BJ3:BJ139""),MATCH($D58,IMPORTRANGE(""17pNv02DXDpQT9S3w4-QeNym2QJy2BzMBqDXp-XtzJBM"", ""'MTY'!D3:D139""),0))"),108156)</f>
        <v>108156</v>
      </c>
      <c r="AC58" s="12">
        <f ca="1">IFERROR(__xludf.DUMMYFUNCTION("INDEX(IMPORTRANGE(""17pNv02DXDpQT9S3w4-QeNym2QJy2BzMBqDXp-XtzJBM"", ""'MTY'!BK3:BK139""),MATCH($D58,IMPORTRANGE(""17pNv02DXDpQT9S3w4-QeNym2QJy2BzMBqDXp-XtzJBM"", ""'MTY'!D3:D139""),0))"),108396)</f>
        <v>108396</v>
      </c>
      <c r="AD58" s="12">
        <f ca="1">IFERROR(__xludf.DUMMYFUNCTION("INDEX(IMPORTRANGE(""17pNv02DXDpQT9S3w4-QeNym2QJy2BzMBqDXp-XtzJBM"", ""'MTY'!BL3:BL139""),MATCH($D58,IMPORTRANGE(""17pNv02DXDpQT9S3w4-QeNym2QJy2BzMBqDXp-XtzJBM"", ""'MTY'!D3:D139""),0))"),108717)</f>
        <v>108717</v>
      </c>
      <c r="AE58" s="12">
        <f ca="1">IFERROR(__xludf.DUMMYFUNCTION("INDEX(IMPORTRANGE(""17pNv02DXDpQT9S3w4-QeNym2QJy2BzMBqDXp-XtzJBM"", ""'MTY'!BM3:BM139""),MATCH($D58,IMPORTRANGE(""17pNv02DXDpQT9S3w4-QeNym2QJy2BzMBqDXp-XtzJBM"", ""'MTY'!D3:D139""),0))"),108935)</f>
        <v>108935</v>
      </c>
    </row>
    <row r="59" spans="1:31">
      <c r="A59" s="9" t="s">
        <v>147</v>
      </c>
      <c r="B59" s="9" t="s">
        <v>168</v>
      </c>
      <c r="C59" s="2" t="s">
        <v>30</v>
      </c>
      <c r="D59" s="149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458">
        <v>107246</v>
      </c>
      <c r="R59" s="459">
        <v>107246</v>
      </c>
      <c r="S59" s="2" t="str">
        <f ca="1">IFERROR(__xludf.DUMMYFUNCTION("INDEX(IMPORTRANGE(""17pNv02DXDpQT9S3w4-QeNym2QJy2BzMBqDXp-XtzJBM"", ""'MTY'!BG3:BG139""),MATCH($D59,IMPORTRANGE(""17pNv02DXDpQT9S3w4-QeNym2QJy2BzMBqDXp-XtzJBM"", ""'MTY'!D3:D139""),0))"),"")</f>
        <v/>
      </c>
      <c r="T59" s="4"/>
      <c r="U59" s="4"/>
      <c r="V59" s="4"/>
      <c r="W59" s="4"/>
      <c r="X59" s="4"/>
      <c r="Y59" s="4"/>
      <c r="Z59" s="12" t="str">
        <f ca="1">IFERROR(__xludf.DUMMYFUNCTION("INDEX(IMPORTRANGE(""17pNv02DXDpQT9S3w4-QeNym2QJy2BzMBqDXp-XtzJBM"", ""'MTY'!BH3:BH139""),MATCH($D59,IMPORTRANGE(""17pNv02DXDpQT9S3w4-QeNym2QJy2BzMBqDXp-XtzJBM"", ""'MTY'!D3:D139""),0))"),"")</f>
        <v/>
      </c>
      <c r="AA59" s="12">
        <f ca="1">IFERROR(__xludf.DUMMYFUNCTION("INDEX(IMPORTRANGE(""17pNv02DXDpQT9S3w4-QeNym2QJy2BzMBqDXp-XtzJBM"", ""'MTY'!BI3:BI139""),MATCH($D59,IMPORTRANGE(""17pNv02DXDpQT9S3w4-QeNym2QJy2BzMBqDXp-XtzJBM"", ""'MTY'!D3:D139""),0))"),108002)</f>
        <v>108002</v>
      </c>
      <c r="AB59" s="12">
        <f ca="1">IFERROR(__xludf.DUMMYFUNCTION("INDEX(IMPORTRANGE(""17pNv02DXDpQT9S3w4-QeNym2QJy2BzMBqDXp-XtzJBM"", ""'MTY'!BJ3:BJ139""),MATCH($D59,IMPORTRANGE(""17pNv02DXDpQT9S3w4-QeNym2QJy2BzMBqDXp-XtzJBM"", ""'MTY'!D3:D139""),0))"),108226)</f>
        <v>108226</v>
      </c>
      <c r="AC59" s="12">
        <f ca="1">IFERROR(__xludf.DUMMYFUNCTION("INDEX(IMPORTRANGE(""17pNv02DXDpQT9S3w4-QeNym2QJy2BzMBqDXp-XtzJBM"", ""'MTY'!BK3:BK139""),MATCH($D59,IMPORTRANGE(""17pNv02DXDpQT9S3w4-QeNym2QJy2BzMBqDXp-XtzJBM"", ""'MTY'!D3:D139""),0))"),108427)</f>
        <v>108427</v>
      </c>
      <c r="AD59" s="12">
        <f ca="1">IFERROR(__xludf.DUMMYFUNCTION("INDEX(IMPORTRANGE(""17pNv02DXDpQT9S3w4-QeNym2QJy2BzMBqDXp-XtzJBM"", ""'MTY'!BL3:BL139""),MATCH($D59,IMPORTRANGE(""17pNv02DXDpQT9S3w4-QeNym2QJy2BzMBqDXp-XtzJBM"", ""'MTY'!D3:D139""),0))"),108791)</f>
        <v>108791</v>
      </c>
      <c r="AE59" s="12">
        <f ca="1">IFERROR(__xludf.DUMMYFUNCTION("INDEX(IMPORTRANGE(""17pNv02DXDpQT9S3w4-QeNym2QJy2BzMBqDXp-XtzJBM"", ""'MTY'!BM3:BM139""),MATCH($D59,IMPORTRANGE(""17pNv02DXDpQT9S3w4-QeNym2QJy2BzMBqDXp-XtzJBM"", ""'MTY'!D3:D139""),0))"),108954)</f>
        <v>108954</v>
      </c>
    </row>
    <row r="60" spans="1:31">
      <c r="A60" s="9" t="s">
        <v>147</v>
      </c>
      <c r="B60" s="9" t="s">
        <v>168</v>
      </c>
      <c r="C60" s="2" t="s">
        <v>36</v>
      </c>
      <c r="D60" s="149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26">
        <f t="shared" ref="Q60:R60" si="12">Q58/Q59</f>
        <v>1</v>
      </c>
      <c r="R60" s="26">
        <f t="shared" si="12"/>
        <v>1</v>
      </c>
      <c r="S60" s="26" t="str">
        <f ca="1">IFERROR(__xludf.DUMMYFUNCTION("INDEX(IMPORTRANGE(""17pNv02DXDpQT9S3w4-QeNym2QJy2BzMBqDXp-XtzJBM"", ""'MTY'!BG3:BG139""),MATCH($D60,IMPORTRANGE(""17pNv02DXDpQT9S3w4-QeNym2QJy2BzMBqDXp-XtzJBM"", ""'MTY'!D3:D139""),0))"),"")</f>
        <v/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 t="str">
        <f ca="1">IFERROR(__xludf.DUMMYFUNCTION("INDEX(IMPORTRANGE(""17pNv02DXDpQT9S3w4-QeNym2QJy2BzMBqDXp-XtzJBM"", ""'MTY'!BH3:BH139""),MATCH($D60,IMPORTRANGE(""17pNv02DXDpQT9S3w4-QeNym2QJy2BzMBqDXp-XtzJBM"", ""'MTY'!D3:D139""),0))"),"#DIV/0!")</f>
        <v>#DIV/0!</v>
      </c>
      <c r="AA60" s="15">
        <f ca="1">IFERROR(__xludf.DUMMYFUNCTION("INDEX(IMPORTRANGE(""17pNv02DXDpQT9S3w4-QeNym2QJy2BzMBqDXp-XtzJBM"", ""'MTY'!BI3:BI139""),MATCH($D60,IMPORTRANGE(""17pNv02DXDpQT9S3w4-QeNym2QJy2BzMBqDXp-XtzJBM"", ""'MTY'!D3:D139""),0))"),0.999750004629543)</f>
        <v>0.999750004629543</v>
      </c>
      <c r="AB60" s="15">
        <f ca="1">IFERROR(__xludf.DUMMYFUNCTION("INDEX(IMPORTRANGE(""17pNv02DXDpQT9S3w4-QeNym2QJy2BzMBqDXp-XtzJBM"", ""'MTY'!BJ3:BJ139""),MATCH($D60,IMPORTRANGE(""17pNv02DXDpQT9S3w4-QeNym2QJy2BzMBqDXp-XtzJBM"", ""'MTY'!D3:D139""),0))"),0.999353205329588)</f>
        <v>0.99935320532958805</v>
      </c>
      <c r="AC60" s="15">
        <f ca="1">IFERROR(__xludf.DUMMYFUNCTION("INDEX(IMPORTRANGE(""17pNv02DXDpQT9S3w4-QeNym2QJy2BzMBqDXp-XtzJBM"", ""'MTY'!BK3:BK139""),MATCH($D60,IMPORTRANGE(""17pNv02DXDpQT9S3w4-QeNym2QJy2BzMBqDXp-XtzJBM"", ""'MTY'!D3:D139""),0))"),0.999714093353131)</f>
        <v>0.99971409335313099</v>
      </c>
      <c r="AD60" s="15">
        <f ca="1">IFERROR(__xludf.DUMMYFUNCTION("INDEX(IMPORTRANGE(""17pNv02DXDpQT9S3w4-QeNym2QJy2BzMBqDXp-XtzJBM"", ""'MTY'!BL3:BL139""),MATCH($D60,IMPORTRANGE(""17pNv02DXDpQT9S3w4-QeNym2QJy2BzMBqDXp-XtzJBM"", ""'MTY'!D3:D139""),0))"),0.999319796674357)</f>
        <v>0.999319796674357</v>
      </c>
      <c r="AE60" s="15">
        <f ca="1">IFERROR(__xludf.DUMMYFUNCTION("INDEX(IMPORTRANGE(""17pNv02DXDpQT9S3w4-QeNym2QJy2BzMBqDXp-XtzJBM"", ""'MTY'!BM3:BM139""),MATCH($D60,IMPORTRANGE(""17pNv02DXDpQT9S3w4-QeNym2QJy2BzMBqDXp-XtzJBM"", ""'MTY'!D3:D139""),0))"),0.999825614479505)</f>
        <v>0.99982561447950502</v>
      </c>
    </row>
    <row r="61" spans="1:31">
      <c r="A61" s="9" t="s">
        <v>147</v>
      </c>
      <c r="B61" s="9" t="s">
        <v>168</v>
      </c>
      <c r="C61" s="2" t="s">
        <v>30</v>
      </c>
      <c r="D61" s="149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375160</v>
      </c>
      <c r="R61" s="12">
        <v>375160</v>
      </c>
      <c r="S61" s="12">
        <f ca="1">IFERROR(__xludf.DUMMYFUNCTION("INDEX(IMPORTRANGE(""17pNv02DXDpQT9S3w4-QeNym2QJy2BzMBqDXp-XtzJBM"", ""'MTY'!BG3:BG139""),MATCH($D61,IMPORTRANGE(""17pNv02DXDpQT9S3w4-QeNym2QJy2BzMBqDXp-XtzJBM"", ""'MTY'!D3:D139""),0))"),375160)</f>
        <v>375160</v>
      </c>
      <c r="T61" s="4"/>
      <c r="U61" s="4"/>
      <c r="V61" s="4"/>
      <c r="W61" s="4"/>
      <c r="X61" s="4"/>
      <c r="Y61" s="4"/>
      <c r="Z61" s="12">
        <f ca="1">IFERROR(__xludf.DUMMYFUNCTION("INDEX(IMPORTRANGE(""17pNv02DXDpQT9S3w4-QeNym2QJy2BzMBqDXp-XtzJBM"", ""'MTY'!BH3:BH139""),MATCH($D61,IMPORTRANGE(""17pNv02DXDpQT9S3w4-QeNym2QJy2BzMBqDXp-XtzJBM"", ""'MTY'!D3:D139""),0))"),375160)</f>
        <v>375160</v>
      </c>
      <c r="AA61" s="12">
        <f ca="1">IFERROR(__xludf.DUMMYFUNCTION("INDEX(IMPORTRANGE(""17pNv02DXDpQT9S3w4-QeNym2QJy2BzMBqDXp-XtzJBM"", ""'MTY'!BI3:BI139""),MATCH($D61,IMPORTRANGE(""17pNv02DXDpQT9S3w4-QeNym2QJy2BzMBqDXp-XtzJBM"", ""'MTY'!D3:D139""),0))"),375160)</f>
        <v>375160</v>
      </c>
      <c r="AB61" s="12">
        <f ca="1">IFERROR(__xludf.DUMMYFUNCTION("INDEX(IMPORTRANGE(""17pNv02DXDpQT9S3w4-QeNym2QJy2BzMBqDXp-XtzJBM"", ""'MTY'!BJ3:BJ139""),MATCH($D61,IMPORTRANGE(""17pNv02DXDpQT9S3w4-QeNym2QJy2BzMBqDXp-XtzJBM"", ""'MTY'!D3:D139""),0))"),375160)</f>
        <v>375160</v>
      </c>
      <c r="AC61" s="12">
        <f ca="1">IFERROR(__xludf.DUMMYFUNCTION("INDEX(IMPORTRANGE(""17pNv02DXDpQT9S3w4-QeNym2QJy2BzMBqDXp-XtzJBM"", ""'MTY'!BK3:BK139""),MATCH($D61,IMPORTRANGE(""17pNv02DXDpQT9S3w4-QeNym2QJy2BzMBqDXp-XtzJBM"", ""'MTY'!D3:D139""),0))"),375160)</f>
        <v>375160</v>
      </c>
      <c r="AD61" s="12">
        <f ca="1">IFERROR(__xludf.DUMMYFUNCTION("INDEX(IMPORTRANGE(""17pNv02DXDpQT9S3w4-QeNym2QJy2BzMBqDXp-XtzJBM"", ""'MTY'!BL3:BL139""),MATCH($D61,IMPORTRANGE(""17pNv02DXDpQT9S3w4-QeNym2QJy2BzMBqDXp-XtzJBM"", ""'MTY'!D3:D139""),0))"),375160)</f>
        <v>375160</v>
      </c>
      <c r="AE61" s="12">
        <f ca="1">IFERROR(__xludf.DUMMYFUNCTION("INDEX(IMPORTRANGE(""17pNv02DXDpQT9S3w4-QeNym2QJy2BzMBqDXp-XtzJBM"", ""'MTY'!BM3:BM139""),MATCH($D61,IMPORTRANGE(""17pNv02DXDpQT9S3w4-QeNym2QJy2BzMBqDXp-XtzJBM"", ""'MTY'!D3:D139""),0))"),375160)</f>
        <v>375160</v>
      </c>
    </row>
    <row r="62" spans="1:31">
      <c r="A62" s="9" t="s">
        <v>147</v>
      </c>
      <c r="B62" s="9" t="s">
        <v>168</v>
      </c>
      <c r="C62" s="2" t="s">
        <v>36</v>
      </c>
      <c r="D62" s="454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457">
        <f t="shared" ref="Q62:R62" si="13">Q61/Q37</f>
        <v>1</v>
      </c>
      <c r="R62" s="457">
        <f t="shared" si="13"/>
        <v>1</v>
      </c>
      <c r="S62" s="26">
        <f ca="1">IFERROR(__xludf.DUMMYFUNCTION("INDEX(IMPORTRANGE(""17pNv02DXDpQT9S3w4-QeNym2QJy2BzMBqDXp-XtzJBM"", ""'MTY'!BG3:BG139""),MATCH($D62,IMPORTRANGE(""17pNv02DXDpQT9S3w4-QeNym2QJy2BzMBqDXp-XtzJBM"", ""'MTY'!D3:D139""),0))"),1)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""'MTY'!BH3:BH139""),MATCH($D62,IMPORTRANGE(""17pNv02DXDpQT9S3w4-QeNym2QJy2BzMBqDXp-XtzJBM"", ""'MTY'!D3:D139""),0))"),1)</f>
        <v>1</v>
      </c>
      <c r="AA62" s="15">
        <f ca="1">IFERROR(__xludf.DUMMYFUNCTION("INDEX(IMPORTRANGE(""17pNv02DXDpQT9S3w4-QeNym2QJy2BzMBqDXp-XtzJBM"", ""'MTY'!BI3:BI139""),MATCH($D62,IMPORTRANGE(""17pNv02DXDpQT9S3w4-QeNym2QJy2BzMBqDXp-XtzJBM"", ""'MTY'!D3:D139""),0))"),1)</f>
        <v>1</v>
      </c>
      <c r="AB62" s="15">
        <f ca="1">IFERROR(__xludf.DUMMYFUNCTION("INDEX(IMPORTRANGE(""17pNv02DXDpQT9S3w4-QeNym2QJy2BzMBqDXp-XtzJBM"", ""'MTY'!BJ3:BJ139""),MATCH($D62,IMPORTRANGE(""17pNv02DXDpQT9S3w4-QeNym2QJy2BzMBqDXp-XtzJBM"", ""'MTY'!D3:D139""),0))"),1)</f>
        <v>1</v>
      </c>
      <c r="AC62" s="15">
        <f ca="1">IFERROR(__xludf.DUMMYFUNCTION("INDEX(IMPORTRANGE(""17pNv02DXDpQT9S3w4-QeNym2QJy2BzMBqDXp-XtzJBM"", ""'MTY'!BK3:BK139""),MATCH($D62,IMPORTRANGE(""17pNv02DXDpQT9S3w4-QeNym2QJy2BzMBqDXp-XtzJBM"", ""'MTY'!D3:D139""),0))"),1)</f>
        <v>1</v>
      </c>
      <c r="AD62" s="15">
        <f ca="1">IFERROR(__xludf.DUMMYFUNCTION("INDEX(IMPORTRANGE(""17pNv02DXDpQT9S3w4-QeNym2QJy2BzMBqDXp-XtzJBM"", ""'MTY'!BL3:BL139""),MATCH($D62,IMPORTRANGE(""17pNv02DXDpQT9S3w4-QeNym2QJy2BzMBqDXp-XtzJBM"", ""'MTY'!D3:D139""),0))"),1)</f>
        <v>1</v>
      </c>
      <c r="AE62" s="15">
        <f ca="1">IFERROR(__xludf.DUMMYFUNCTION("INDEX(IMPORTRANGE(""17pNv02DXDpQT9S3w4-QeNym2QJy2BzMBqDXp-XtzJBM"", ""'MTY'!BM3:BM139""),MATCH($D62,IMPORTRANGE(""17pNv02DXDpQT9S3w4-QeNym2QJy2BzMBqDXp-XtzJBM"", ""'MTY'!D3:D139""),0))"),1)</f>
        <v>1</v>
      </c>
    </row>
    <row r="63" spans="1:31">
      <c r="A63" s="9" t="s">
        <v>147</v>
      </c>
      <c r="B63" s="9" t="s">
        <v>168</v>
      </c>
      <c r="C63" s="2" t="s">
        <v>30</v>
      </c>
      <c r="D63" s="149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460">
        <v>30000000</v>
      </c>
      <c r="R63" s="460">
        <v>30000000</v>
      </c>
      <c r="S63" s="30" t="str">
        <f ca="1">IFERROR(__xludf.DUMMYFUNCTION("INDEX(IMPORTRANGE(""17pNv02DXDpQT9S3w4-QeNym2QJy2BzMBqDXp-XtzJBM"", ""'MTY'!BG3:BG139""),MATCH($D63,IMPORTRANGE(""17pNv02DXDpQT9S3w4-QeNym2QJy2BzMBqDXp-XtzJBM"", ""'MTY'!D3:D139""),0))"),"")</f>
        <v/>
      </c>
      <c r="T63" s="4"/>
      <c r="U63" s="4"/>
      <c r="V63" s="4"/>
      <c r="W63" s="4"/>
      <c r="X63" s="4"/>
      <c r="Y63" s="4"/>
      <c r="Z63" s="12">
        <f ca="1">IFERROR(__xludf.DUMMYFUNCTION("INDEX(IMPORTRANGE(""17pNv02DXDpQT9S3w4-QeNym2QJy2BzMBqDXp-XtzJBM"", ""'MTY'!BH3:BH139""),MATCH($D63,IMPORTRANGE(""17pNv02DXDpQT9S3w4-QeNym2QJy2BzMBqDXp-XtzJBM"", ""'MTY'!D3:D139""),0))"),168695.5)</f>
        <v>168695.5</v>
      </c>
      <c r="AA63" s="12">
        <f ca="1">IFERROR(__xludf.DUMMYFUNCTION("INDEX(IMPORTRANGE(""17pNv02DXDpQT9S3w4-QeNym2QJy2BzMBqDXp-XtzJBM"", ""'MTY'!BI3:BI139""),MATCH($D63,IMPORTRANGE(""17pNv02DXDpQT9S3w4-QeNym2QJy2BzMBqDXp-XtzJBM"", ""'MTY'!D3:D139""),0))"),30066345.54)</f>
        <v>30066345.539999999</v>
      </c>
      <c r="AB63" s="12">
        <f ca="1">IFERROR(__xludf.DUMMYFUNCTION("INDEX(IMPORTRANGE(""17pNv02DXDpQT9S3w4-QeNym2QJy2BzMBqDXp-XtzJBM"", ""'MTY'!BJ3:BJ139""),MATCH($D63,IMPORTRANGE(""17pNv02DXDpQT9S3w4-QeNym2QJy2BzMBqDXp-XtzJBM"", ""'MTY'!D3:D139""),0))"),30104042.39)</f>
        <v>30104042.390000001</v>
      </c>
      <c r="AC63" s="12">
        <f ca="1">IFERROR(__xludf.DUMMYFUNCTION("INDEX(IMPORTRANGE(""17pNv02DXDpQT9S3w4-QeNym2QJy2BzMBqDXp-XtzJBM"", ""'MTY'!BK3:BK139""),MATCH($D63,IMPORTRANGE(""17pNv02DXDpQT9S3w4-QeNym2QJy2BzMBqDXp-XtzJBM"", ""'MTY'!D3:D139""),0))"),30234779.19)</f>
        <v>30234779.190000001</v>
      </c>
      <c r="AD63" s="12">
        <f ca="1">IFERROR(__xludf.DUMMYFUNCTION("INDEX(IMPORTRANGE(""17pNv02DXDpQT9S3w4-QeNym2QJy2BzMBqDXp-XtzJBM"", ""'MTY'!BL3:BL139""),MATCH($D63,IMPORTRANGE(""17pNv02DXDpQT9S3w4-QeNym2QJy2BzMBqDXp-XtzJBM"", ""'MTY'!D3:D139""),0))"),30350555.52)</f>
        <v>30350555.52</v>
      </c>
      <c r="AE63" s="12">
        <f ca="1">IFERROR(__xludf.DUMMYFUNCTION("INDEX(IMPORTRANGE(""17pNv02DXDpQT9S3w4-QeNym2QJy2BzMBqDXp-XtzJBM"", ""'MTY'!BM3:BM139""),MATCH($D63,IMPORTRANGE(""17pNv02DXDpQT9S3w4-QeNym2QJy2BzMBqDXp-XtzJBM"", ""'MTY'!D3:D139""),0))"),30704078.52)</f>
        <v>30704078.52</v>
      </c>
    </row>
    <row r="64" spans="1:31">
      <c r="A64" s="9" t="s">
        <v>147</v>
      </c>
      <c r="B64" s="9" t="s">
        <v>168</v>
      </c>
      <c r="C64" s="2" t="s">
        <v>30</v>
      </c>
      <c r="D64" s="149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460">
        <v>30000000</v>
      </c>
      <c r="R64" s="460">
        <v>30000000</v>
      </c>
      <c r="S64" s="30" t="str">
        <f ca="1">IFERROR(__xludf.DUMMYFUNCTION("INDEX(IMPORTRANGE(""17pNv02DXDpQT9S3w4-QeNym2QJy2BzMBqDXp-XtzJBM"", ""'MTY'!BG3:BG139""),MATCH($D64,IMPORTRANGE(""17pNv02DXDpQT9S3w4-QeNym2QJy2BzMBqDXp-XtzJBM"", ""'MTY'!D3:D139""),0))"),"")</f>
        <v/>
      </c>
      <c r="T64" s="4"/>
      <c r="U64" s="4"/>
      <c r="V64" s="4"/>
      <c r="W64" s="4"/>
      <c r="X64" s="4"/>
      <c r="Y64" s="4"/>
      <c r="Z64" s="12">
        <f ca="1">IFERROR(__xludf.DUMMYFUNCTION("INDEX(IMPORTRANGE(""17pNv02DXDpQT9S3w4-QeNym2QJy2BzMBqDXp-XtzJBM"", ""'MTY'!BH3:BH139""),MATCH($D64,IMPORTRANGE(""17pNv02DXDpQT9S3w4-QeNym2QJy2BzMBqDXp-XtzJBM"", ""'MTY'!D3:D139""),0))"),0)</f>
        <v>0</v>
      </c>
      <c r="AA64" s="12">
        <f ca="1">IFERROR(__xludf.DUMMYFUNCTION("INDEX(IMPORTRANGE(""17pNv02DXDpQT9S3w4-QeNym2QJy2BzMBqDXp-XtzJBM"", ""'MTY'!BI3:BI139""),MATCH($D64,IMPORTRANGE(""17pNv02DXDpQT9S3w4-QeNym2QJy2BzMBqDXp-XtzJBM"", ""'MTY'!D3:D139""),0))"),30072979.9399999)</f>
        <v>30072979.939999901</v>
      </c>
      <c r="AB64" s="12">
        <f ca="1">IFERROR(__xludf.DUMMYFUNCTION("INDEX(IMPORTRANGE(""17pNv02DXDpQT9S3w4-QeNym2QJy2BzMBqDXp-XtzJBM"", ""'MTY'!BJ3:BJ139""),MATCH($D64,IMPORTRANGE(""17pNv02DXDpQT9S3w4-QeNym2QJy2BzMBqDXp-XtzJBM"", ""'MTY'!D3:D139""),0))"),30109034.39)</f>
        <v>30109034.390000001</v>
      </c>
      <c r="AC64" s="12">
        <f ca="1">IFERROR(__xludf.DUMMYFUNCTION("INDEX(IMPORTRANGE(""17pNv02DXDpQT9S3w4-QeNym2QJy2BzMBqDXp-XtzJBM"", ""'MTY'!BK3:BK139""),MATCH($D64,IMPORTRANGE(""17pNv02DXDpQT9S3w4-QeNym2QJy2BzMBqDXp-XtzJBM"", ""'MTY'!D3:D139""),0))"),30290613.44)</f>
        <v>30290613.440000001</v>
      </c>
      <c r="AD64" s="12">
        <f ca="1">IFERROR(__xludf.DUMMYFUNCTION("INDEX(IMPORTRANGE(""17pNv02DXDpQT9S3w4-QeNym2QJy2BzMBqDXp-XtzJBM"", ""'MTY'!BL3:BL139""),MATCH($D64,IMPORTRANGE(""17pNv02DXDpQT9S3w4-QeNym2QJy2BzMBqDXp-XtzJBM"", ""'MTY'!D3:D139""),0))"),30427333.52)</f>
        <v>30427333.52</v>
      </c>
      <c r="AE64" s="12">
        <f ca="1">IFERROR(__xludf.DUMMYFUNCTION("INDEX(IMPORTRANGE(""17pNv02DXDpQT9S3w4-QeNym2QJy2BzMBqDXp-XtzJBM"", ""'MTY'!BM3:BM139""),MATCH($D64,IMPORTRANGE(""17pNv02DXDpQT9S3w4-QeNym2QJy2BzMBqDXp-XtzJBM"", ""'MTY'!D3:D139""),0))"),30716048.52)</f>
        <v>30716048.52</v>
      </c>
    </row>
    <row r="65" spans="1:31">
      <c r="A65" s="9" t="s">
        <v>147</v>
      </c>
      <c r="B65" s="9" t="s">
        <v>168</v>
      </c>
      <c r="C65" s="2" t="s">
        <v>36</v>
      </c>
      <c r="D65" s="149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322">
        <f t="shared" ref="Q65:R65" si="14">Q63/Q64</f>
        <v>1</v>
      </c>
      <c r="R65" s="322">
        <f t="shared" si="14"/>
        <v>1</v>
      </c>
      <c r="S65" s="26" t="str">
        <f ca="1">IFERROR(__xludf.DUMMYFUNCTION("INDEX(IMPORTRANGE(""17pNv02DXDpQT9S3w4-QeNym2QJy2BzMBqDXp-XtzJBM"", ""'MTY'!BG3:BG139""),MATCH($D65,IMPORTRANGE(""17pNv02DXDpQT9S3w4-QeNym2QJy2BzMBqDXp-XtzJBM"", ""'MTY'!D3:D139""),0))"),"")</f>
        <v/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 t="str">
        <f ca="1">IFERROR(__xludf.DUMMYFUNCTION("INDEX(IMPORTRANGE(""17pNv02DXDpQT9S3w4-QeNym2QJy2BzMBqDXp-XtzJBM"", ""'MTY'!BH3:BH139""),MATCH($D65,IMPORTRANGE(""17pNv02DXDpQT9S3w4-QeNym2QJy2BzMBqDXp-XtzJBM"", ""'MTY'!D3:D139""),0))"),"#DIV/0!")</f>
        <v>#DIV/0!</v>
      </c>
      <c r="AA65" s="15">
        <f ca="1">IFERROR(__xludf.DUMMYFUNCTION("INDEX(IMPORTRANGE(""17pNv02DXDpQT9S3w4-QeNym2QJy2BzMBqDXp-XtzJBM"", ""'MTY'!BI3:BI139""),MATCH($D65,IMPORTRANGE(""17pNv02DXDpQT9S3w4-QeNym2QJy2BzMBqDXp-XtzJBM"", ""'MTY'!D3:D139""),0))"),0.999779390003477)</f>
        <v>0.99977939000347704</v>
      </c>
      <c r="AB65" s="15">
        <f ca="1">IFERROR(__xludf.DUMMYFUNCTION("INDEX(IMPORTRANGE(""17pNv02DXDpQT9S3w4-QeNym2QJy2BzMBqDXp-XtzJBM"", ""'MTY'!BJ3:BJ139""),MATCH($D65,IMPORTRANGE(""17pNv02DXDpQT9S3w4-QeNym2QJy2BzMBqDXp-XtzJBM"", ""'MTY'!D3:D139""),0))"),0.999834202587325)</f>
        <v>0.99983420258732503</v>
      </c>
      <c r="AC65" s="15">
        <f ca="1">IFERROR(__xludf.DUMMYFUNCTION("INDEX(IMPORTRANGE(""17pNv02DXDpQT9S3w4-QeNym2QJy2BzMBqDXp-XtzJBM"", ""'MTY'!BK3:BK139""),MATCH($D65,IMPORTRANGE(""17pNv02DXDpQT9S3w4-QeNym2QJy2BzMBqDXp-XtzJBM"", ""'MTY'!D3:D139""),0))"),0.998156714451802)</f>
        <v>0.99815671445180199</v>
      </c>
      <c r="AD65" s="15">
        <f ca="1">IFERROR(__xludf.DUMMYFUNCTION("INDEX(IMPORTRANGE(""17pNv02DXDpQT9S3w4-QeNym2QJy2BzMBqDXp-XtzJBM"", ""'MTY'!BL3:BL139""),MATCH($D65,IMPORTRANGE(""17pNv02DXDpQT9S3w4-QeNym2QJy2BzMBqDXp-XtzJBM"", ""'MTY'!D3:D139""),0))"),0.99747667668777)</f>
        <v>0.99747667668776996</v>
      </c>
      <c r="AE65" s="15">
        <f ca="1">IFERROR(__xludf.DUMMYFUNCTION("INDEX(IMPORTRANGE(""17pNv02DXDpQT9S3w4-QeNym2QJy2BzMBqDXp-XtzJBM"", ""'MTY'!BM3:BM139""),MATCH($D65,IMPORTRANGE(""17pNv02DXDpQT9S3w4-QeNym2QJy2BzMBqDXp-XtzJBM"", ""'MTY'!D3:D139""),0))"),0.999610301435999)</f>
        <v>0.99961030143599905</v>
      </c>
    </row>
    <row r="66" spans="1:31">
      <c r="A66" s="9" t="s">
        <v>147</v>
      </c>
      <c r="B66" s="9" t="s">
        <v>168</v>
      </c>
      <c r="C66" s="2" t="s">
        <v>30</v>
      </c>
      <c r="D66" s="149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461">
        <v>158559.6</v>
      </c>
      <c r="R66" s="461">
        <v>158559.6</v>
      </c>
      <c r="S66" s="23">
        <f ca="1">IFERROR(__xludf.DUMMYFUNCTION("INDEX(IMPORTRANGE(""17pNv02DXDpQT9S3w4-QeNym2QJy2BzMBqDXp-XtzJBM"", ""'MTY'!BG3:BG139""),MATCH($D66,IMPORTRANGE(""17pNv02DXDpQT9S3w4-QeNym2QJy2BzMBqDXp-XtzJBM"", ""'MTY'!D3:D139""),0))"),158559.58)</f>
        <v>158559.57999999999</v>
      </c>
      <c r="T66" s="4"/>
      <c r="U66" s="4"/>
      <c r="V66" s="4"/>
      <c r="W66" s="4"/>
      <c r="X66" s="4"/>
      <c r="Y66" s="4"/>
      <c r="Z66" s="12">
        <f ca="1">IFERROR(__xludf.DUMMYFUNCTION("INDEX(IMPORTRANGE(""17pNv02DXDpQT9S3w4-QeNym2QJy2BzMBqDXp-XtzJBM"", ""'MTY'!BH3:BH139""),MATCH($D66,IMPORTRANGE(""17pNv02DXDpQT9S3w4-QeNym2QJy2BzMBqDXp-XtzJBM"", ""'MTY'!D3:D139""),0))"),159323.67)</f>
        <v>159323.67000000001</v>
      </c>
      <c r="AA66" s="12">
        <f ca="1">IFERROR(__xludf.DUMMYFUNCTION("INDEX(IMPORTRANGE(""17pNv02DXDpQT9S3w4-QeNym2QJy2BzMBqDXp-XtzJBM"", ""'MTY'!BI3:BI139""),MATCH($D66,IMPORTRANGE(""17pNv02DXDpQT9S3w4-QeNym2QJy2BzMBqDXp-XtzJBM"", ""'MTY'!D3:D139""),0))"),159617.25)</f>
        <v>159617.25</v>
      </c>
      <c r="AB66" s="12">
        <f ca="1">IFERROR(__xludf.DUMMYFUNCTION("INDEX(IMPORTRANGE(""17pNv02DXDpQT9S3w4-QeNym2QJy2BzMBqDXp-XtzJBM"", ""'MTY'!BJ3:BJ139""),MATCH($D66,IMPORTRANGE(""17pNv02DXDpQT9S3w4-QeNym2QJy2BzMBqDXp-XtzJBM"", ""'MTY'!D3:D139""),0))"),159737.25)</f>
        <v>159737.25</v>
      </c>
      <c r="AC66" s="12">
        <f ca="1">IFERROR(__xludf.DUMMYFUNCTION("INDEX(IMPORTRANGE(""17pNv02DXDpQT9S3w4-QeNym2QJy2BzMBqDXp-XtzJBM"", ""'MTY'!BK3:BK139""),MATCH($D66,IMPORTRANGE(""17pNv02DXDpQT9S3w4-QeNym2QJy2BzMBqDXp-XtzJBM"", ""'MTY'!D3:D139""),0))"),159777.25)</f>
        <v>159777.25</v>
      </c>
      <c r="AD66" s="12">
        <f ca="1">IFERROR(__xludf.DUMMYFUNCTION("INDEX(IMPORTRANGE(""17pNv02DXDpQT9S3w4-QeNym2QJy2BzMBqDXp-XtzJBM"", ""'MTY'!BL3:BL139""),MATCH($D66,IMPORTRANGE(""17pNv02DXDpQT9S3w4-QeNym2QJy2BzMBqDXp-XtzJBM"", ""'MTY'!D3:D139""),0))"),160630.1)</f>
        <v>160630.1</v>
      </c>
      <c r="AE66" s="12">
        <f ca="1">IFERROR(__xludf.DUMMYFUNCTION("INDEX(IMPORTRANGE(""17pNv02DXDpQT9S3w4-QeNym2QJy2BzMBqDXp-XtzJBM"", ""'MTY'!BM3:BM139""),MATCH($D66,IMPORTRANGE(""17pNv02DXDpQT9S3w4-QeNym2QJy2BzMBqDXp-XtzJBM"", ""'MTY'!D3:D139""),0))"),161343.1)</f>
        <v>161343.1</v>
      </c>
    </row>
    <row r="67" spans="1:31">
      <c r="A67" s="9" t="s">
        <v>147</v>
      </c>
      <c r="B67" s="9" t="s">
        <v>168</v>
      </c>
      <c r="C67" s="2" t="s">
        <v>30</v>
      </c>
      <c r="D67" s="149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461">
        <v>158605.20000000001</v>
      </c>
      <c r="R67" s="461">
        <v>158605.20000000001</v>
      </c>
      <c r="S67" s="23">
        <f ca="1">IFERROR(__xludf.DUMMYFUNCTION("INDEX(IMPORTRANGE(""17pNv02DXDpQT9S3w4-QeNym2QJy2BzMBqDXp-XtzJBM"", ""'MTY'!BG3:BG139""),MATCH($D67,IMPORTRANGE(""17pNv02DXDpQT9S3w4-QeNym2QJy2BzMBqDXp-XtzJBM"", ""'MTY'!D3:D139""),0))"),158605.16)</f>
        <v>158605.16</v>
      </c>
      <c r="T67" s="4"/>
      <c r="U67" s="4"/>
      <c r="V67" s="4"/>
      <c r="W67" s="4"/>
      <c r="X67" s="4"/>
      <c r="Y67" s="4"/>
      <c r="Z67" s="12">
        <f ca="1">IFERROR(__xludf.DUMMYFUNCTION("INDEX(IMPORTRANGE(""17pNv02DXDpQT9S3w4-QeNym2QJy2BzMBqDXp-XtzJBM"", ""'MTY'!BH3:BH139""),MATCH($D67,IMPORTRANGE(""17pNv02DXDpQT9S3w4-QeNym2QJy2BzMBqDXp-XtzJBM"", ""'MTY'!D3:D139""),0))"),158890.659999999)</f>
        <v>158890.65999999901</v>
      </c>
      <c r="AA67" s="12">
        <f ca="1">IFERROR(__xludf.DUMMYFUNCTION("INDEX(IMPORTRANGE(""17pNv02DXDpQT9S3w4-QeNym2QJy2BzMBqDXp-XtzJBM"", ""'MTY'!BI3:BI139""),MATCH($D67,IMPORTRANGE(""17pNv02DXDpQT9S3w4-QeNym2QJy2BzMBqDXp-XtzJBM"", ""'MTY'!D3:D139""),0))"),159586.25)</f>
        <v>159586.25</v>
      </c>
      <c r="AB67" s="12">
        <f ca="1">IFERROR(__xludf.DUMMYFUNCTION("INDEX(IMPORTRANGE(""17pNv02DXDpQT9S3w4-QeNym2QJy2BzMBqDXp-XtzJBM"", ""'MTY'!BJ3:BJ139""),MATCH($D67,IMPORTRANGE(""17pNv02DXDpQT9S3w4-QeNym2QJy2BzMBqDXp-XtzJBM"", ""'MTY'!D3:D139""),0))"),159737.25)</f>
        <v>159737.25</v>
      </c>
      <c r="AC67" s="12">
        <f ca="1">IFERROR(__xludf.DUMMYFUNCTION("INDEX(IMPORTRANGE(""17pNv02DXDpQT9S3w4-QeNym2QJy2BzMBqDXp-XtzJBM"", ""'MTY'!BK3:BK139""),MATCH($D67,IMPORTRANGE(""17pNv02DXDpQT9S3w4-QeNym2QJy2BzMBqDXp-XtzJBM"", ""'MTY'!D3:D139""),0))"),160459.25)</f>
        <v>160459.25</v>
      </c>
      <c r="AD67" s="12">
        <f ca="1">IFERROR(__xludf.DUMMYFUNCTION("INDEX(IMPORTRANGE(""17pNv02DXDpQT9S3w4-QeNym2QJy2BzMBqDXp-XtzJBM"", ""'MTY'!BL3:BL139""),MATCH($D67,IMPORTRANGE(""17pNv02DXDpQT9S3w4-QeNym2QJy2BzMBqDXp-XtzJBM"", ""'MTY'!D3:D139""),0))"),160900.1)</f>
        <v>160900.1</v>
      </c>
      <c r="AE67" s="12">
        <f ca="1">IFERROR(__xludf.DUMMYFUNCTION("INDEX(IMPORTRANGE(""17pNv02DXDpQT9S3w4-QeNym2QJy2BzMBqDXp-XtzJBM"", ""'MTY'!BM3:BM139""),MATCH($D67,IMPORTRANGE(""17pNv02DXDpQT9S3w4-QeNym2QJy2BzMBqDXp-XtzJBM"", ""'MTY'!D3:D139""),0))"),161343.1)</f>
        <v>161343.1</v>
      </c>
    </row>
    <row r="68" spans="1:31">
      <c r="A68" s="9" t="s">
        <v>147</v>
      </c>
      <c r="B68" s="9" t="s">
        <v>168</v>
      </c>
      <c r="C68" s="2" t="s">
        <v>36</v>
      </c>
      <c r="D68" s="149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462">
        <f t="shared" ref="Q68:R68" si="15">Q66/Q67</f>
        <v>0.99971249366351167</v>
      </c>
      <c r="R68" s="462">
        <f t="shared" si="15"/>
        <v>0.99971249366351167</v>
      </c>
      <c r="S68" s="15">
        <f ca="1">IFERROR(__xludf.DUMMYFUNCTION("INDEX(IMPORTRANGE(""17pNv02DXDpQT9S3w4-QeNym2QJy2BzMBqDXp-XtzJBM"", ""'MTY'!BG3:BG139""),MATCH($D68,IMPORTRANGE(""17pNv02DXDpQT9S3w4-QeNym2QJy2BzMBqDXp-XtzJBM"", ""'MTY'!D3:D139""),0))"),0.999712619690305)</f>
        <v>0.999712619690305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""'MTY'!BH3:BH139""),MATCH($D68,IMPORTRANGE(""17pNv02DXDpQT9S3w4-QeNym2QJy2BzMBqDXp-XtzJBM"", ""'MTY'!D3:D139""),0))"),1.00272520738475)</f>
        <v>1.0027252073847499</v>
      </c>
      <c r="AA68" s="15">
        <f ca="1">IFERROR(__xludf.DUMMYFUNCTION("INDEX(IMPORTRANGE(""17pNv02DXDpQT9S3w4-QeNym2QJy2BzMBqDXp-XtzJBM"", ""'MTY'!BI3:BI139""),MATCH($D68,IMPORTRANGE(""17pNv02DXDpQT9S3w4-QeNym2QJy2BzMBqDXp-XtzJBM"", ""'MTY'!D3:D139""),0))"),1.00019425232437)</f>
        <v>1.0001942523243701</v>
      </c>
      <c r="AB68" s="15">
        <f ca="1">IFERROR(__xludf.DUMMYFUNCTION("INDEX(IMPORTRANGE(""17pNv02DXDpQT9S3w4-QeNym2QJy2BzMBqDXp-XtzJBM"", ""'MTY'!BJ3:BJ139""),MATCH($D68,IMPORTRANGE(""17pNv02DXDpQT9S3w4-QeNym2QJy2BzMBqDXp-XtzJBM"", ""'MTY'!D3:D139""),0))"),1)</f>
        <v>1</v>
      </c>
      <c r="AC68" s="15">
        <f ca="1">IFERROR(__xludf.DUMMYFUNCTION("INDEX(IMPORTRANGE(""17pNv02DXDpQT9S3w4-QeNym2QJy2BzMBqDXp-XtzJBM"", ""'MTY'!BK3:BK139""),MATCH($D68,IMPORTRANGE(""17pNv02DXDpQT9S3w4-QeNym2QJy2BzMBqDXp-XtzJBM"", ""'MTY'!D3:D139""),0))"),0.995749699690108)</f>
        <v>0.99574969969010796</v>
      </c>
      <c r="AD68" s="15">
        <f ca="1">IFERROR(__xludf.DUMMYFUNCTION("INDEX(IMPORTRANGE(""17pNv02DXDpQT9S3w4-QeNym2QJy2BzMBqDXp-XtzJBM"", ""'MTY'!BL3:BL139""),MATCH($D68,IMPORTRANGE(""17pNv02DXDpQT9S3w4-QeNym2QJy2BzMBqDXp-XtzJBM"", ""'MTY'!D3:D139""),0))"),0.998321940135525)</f>
        <v>0.998321940135525</v>
      </c>
      <c r="AE68" s="15">
        <f ca="1">IFERROR(__xludf.DUMMYFUNCTION("INDEX(IMPORTRANGE(""17pNv02DXDpQT9S3w4-QeNym2QJy2BzMBqDXp-XtzJBM"", ""'MTY'!BM3:BM139""),MATCH($D68,IMPORTRANGE(""17pNv02DXDpQT9S3w4-QeNym2QJy2BzMBqDXp-XtzJBM"", ""'MTY'!D3:D139""),0))"),1)</f>
        <v>1</v>
      </c>
    </row>
    <row r="69" spans="1:31">
      <c r="A69" s="9" t="s">
        <v>147</v>
      </c>
      <c r="B69" s="9" t="s">
        <v>168</v>
      </c>
      <c r="C69" s="2" t="s">
        <v>30</v>
      </c>
      <c r="D69" s="149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3">
        <v>0</v>
      </c>
      <c r="R69" s="23">
        <v>4.8600000000000003</v>
      </c>
      <c r="S69" s="23">
        <f ca="1">IFERROR(__xludf.DUMMYFUNCTION("INDEX(IMPORTRANGE(""17pNv02DXDpQT9S3w4-QeNym2QJy2BzMBqDXp-XtzJBM"", ""'MTY'!BG3:BG139""),MATCH($D69,IMPORTRANGE(""17pNv02DXDpQT9S3w4-QeNym2QJy2BzMBqDXp-XtzJBM"", ""'MTY'!D3:D139""),0))"),4.86)</f>
        <v>4.8600000000000003</v>
      </c>
      <c r="T69" s="2">
        <v>28.8</v>
      </c>
      <c r="U69" s="24">
        <v>13</v>
      </c>
      <c r="V69" s="2">
        <v>34.299999999999997</v>
      </c>
      <c r="W69" s="2">
        <v>13</v>
      </c>
      <c r="X69" s="24">
        <f>((34.4-W69)/6*5)+W69</f>
        <v>30.833333333333332</v>
      </c>
      <c r="Y69" s="2">
        <v>97.5</v>
      </c>
      <c r="Z69" s="23">
        <f ca="1">IFERROR(__xludf.DUMMYFUNCTION("INDEX(IMPORTRANGE(""17pNv02DXDpQT9S3w4-QeNym2QJy2BzMBqDXp-XtzJBM"", ""'MTY'!BH3:BH139""),MATCH($D69,IMPORTRANGE(""17pNv02DXDpQT9S3w4-QeNym2QJy2BzMBqDXp-XtzJBM"", ""'MTY'!D3:D139""),0))"),22.32)</f>
        <v>22.32</v>
      </c>
      <c r="AA69" s="23">
        <f ca="1">IFERROR(__xludf.DUMMYFUNCTION("INDEX(IMPORTRANGE(""17pNv02DXDpQT9S3w4-QeNym2QJy2BzMBqDXp-XtzJBM"", ""'MTY'!BI3:BI139""),MATCH($D69,IMPORTRANGE(""17pNv02DXDpQT9S3w4-QeNym2QJy2BzMBqDXp-XtzJBM"", ""'MTY'!D3:D139""),0))"),39.18)</f>
        <v>39.18</v>
      </c>
      <c r="AB69" s="23">
        <f ca="1">IFERROR(__xludf.DUMMYFUNCTION("INDEX(IMPORTRANGE(""17pNv02DXDpQT9S3w4-QeNym2QJy2BzMBqDXp-XtzJBM"", ""'MTY'!BJ3:BJ139""),MATCH($D69,IMPORTRANGE(""17pNv02DXDpQT9S3w4-QeNym2QJy2BzMBqDXp-XtzJBM"", ""'MTY'!D3:D139""),0))"),15.19)</f>
        <v>15.19</v>
      </c>
      <c r="AC69" s="23">
        <f ca="1">IFERROR(__xludf.DUMMYFUNCTION("INDEX(IMPORTRANGE(""17pNv02DXDpQT9S3w4-QeNym2QJy2BzMBqDXp-XtzJBM"", ""'MTY'!BK3:BK139""),MATCH($D69,IMPORTRANGE(""17pNv02DXDpQT9S3w4-QeNym2QJy2BzMBqDXp-XtzJBM"", ""'MTY'!D3:D139""),0))"),29.306)</f>
        <v>29.306000000000001</v>
      </c>
      <c r="AD69" s="23">
        <f ca="1">IFERROR(__xludf.DUMMYFUNCTION("INDEX(IMPORTRANGE(""17pNv02DXDpQT9S3w4-QeNym2QJy2BzMBqDXp-XtzJBM"", ""'MTY'!BL3:BL139""),MATCH($D69,IMPORTRANGE(""17pNv02DXDpQT9S3w4-QeNym2QJy2BzMBqDXp-XtzJBM"", ""'MTY'!D3:D139""),0))"),16.24)</f>
        <v>16.239999999999998</v>
      </c>
      <c r="AE69" s="23">
        <f ca="1">IFERROR(__xludf.DUMMYFUNCTION("INDEX(IMPORTRANGE(""17pNv02DXDpQT9S3w4-QeNym2QJy2BzMBqDXp-XtzJBM"", ""'MTY'!BM3:BM139""),MATCH($D69,IMPORTRANGE(""17pNv02DXDpQT9S3w4-QeNym2QJy2BzMBqDXp-XtzJBM"", ""'MTY'!D3:D139""),0))"),26.32)</f>
        <v>26.32</v>
      </c>
    </row>
    <row r="70" spans="1:31">
      <c r="A70" s="9" t="s">
        <v>147</v>
      </c>
      <c r="B70" s="9" t="s">
        <v>168</v>
      </c>
      <c r="C70" s="2" t="s">
        <v>30</v>
      </c>
      <c r="D70" s="149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</v>
      </c>
      <c r="R70" s="23">
        <v>4.5580000000000002E-2</v>
      </c>
      <c r="S70" s="23">
        <f ca="1">IFERROR(__xludf.DUMMYFUNCTION("INDEX(IMPORTRANGE(""17pNv02DXDpQT9S3w4-QeNym2QJy2BzMBqDXp-XtzJBM"", ""'MTY'!BG3:BG139""),MATCH($D70,IMPORTRANGE(""17pNv02DXDpQT9S3w4-QeNym2QJy2BzMBqDXp-XtzJBM"", ""'MTY'!D3:D139""),0))"),0.04558)</f>
        <v>4.5580000000000002E-2</v>
      </c>
      <c r="T70" s="2">
        <v>0.64</v>
      </c>
      <c r="U70" s="2">
        <v>0.15</v>
      </c>
      <c r="V70" s="2">
        <v>0.41</v>
      </c>
      <c r="W70" s="2">
        <v>0.2</v>
      </c>
      <c r="X70" s="24">
        <f>((0.5-W70)/6*5)+W70</f>
        <v>0.44999999999999996</v>
      </c>
      <c r="Y70" s="2">
        <v>1.55</v>
      </c>
      <c r="Z70" s="23">
        <f ca="1">IFERROR(__xludf.DUMMYFUNCTION("INDEX(IMPORTRANGE(""17pNv02DXDpQT9S3w4-QeNym2QJy2BzMBqDXp-XtzJBM"", ""'MTY'!BH3:BH139""),MATCH($D70,IMPORTRANGE(""17pNv02DXDpQT9S3w4-QeNym2QJy2BzMBqDXp-XtzJBM"", ""'MTY'!D3:D139""),0))"),0.76431)</f>
        <v>0.76431000000000004</v>
      </c>
      <c r="AA70" s="23">
        <f ca="1">IFERROR(__xludf.DUMMYFUNCTION("INDEX(IMPORTRANGE(""17pNv02DXDpQT9S3w4-QeNym2QJy2BzMBqDXp-XtzJBM"", ""'MTY'!BI3:BI139""),MATCH($D70,IMPORTRANGE(""17pNv02DXDpQT9S3w4-QeNym2QJy2BzMBqDXp-XtzJBM"", ""'MTY'!D3:D139""),0))"),1.69581)</f>
        <v>1.69581</v>
      </c>
      <c r="AB70" s="23">
        <f ca="1">IFERROR(__xludf.DUMMYFUNCTION("INDEX(IMPORTRANGE(""17pNv02DXDpQT9S3w4-QeNym2QJy2BzMBqDXp-XtzJBM"", ""'MTY'!BJ3:BJ139""),MATCH($D70,IMPORTRANGE(""17pNv02DXDpQT9S3w4-QeNym2QJy2BzMBqDXp-XtzJBM"", ""'MTY'!D3:D139""),0))"),0.0985)</f>
        <v>9.8500000000000004E-2</v>
      </c>
      <c r="AC70" s="23">
        <f ca="1">IFERROR(__xludf.DUMMYFUNCTION("INDEX(IMPORTRANGE(""17pNv02DXDpQT9S3w4-QeNym2QJy2BzMBqDXp-XtzJBM"", ""'MTY'!BK3:BK139""),MATCH($D70,IMPORTRANGE(""17pNv02DXDpQT9S3w4-QeNym2QJy2BzMBqDXp-XtzJBM"", ""'MTY'!D3:D139""),0))"),0.2085)</f>
        <v>0.20849999999999999</v>
      </c>
      <c r="AD70" s="23">
        <f ca="1">IFERROR(__xludf.DUMMYFUNCTION("INDEX(IMPORTRANGE(""17pNv02DXDpQT9S3w4-QeNym2QJy2BzMBqDXp-XtzJBM"", ""'MTY'!BL3:BL139""),MATCH($D70,IMPORTRANGE(""17pNv02DXDpQT9S3w4-QeNym2QJy2BzMBqDXp-XtzJBM"", ""'MTY'!D3:D139""),0))"),0)</f>
        <v>0</v>
      </c>
      <c r="AE70" s="23">
        <f ca="1">IFERROR(__xludf.DUMMYFUNCTION("INDEX(IMPORTRANGE(""17pNv02DXDpQT9S3w4-QeNym2QJy2BzMBqDXp-XtzJBM"", ""'MTY'!BM3:BM139""),MATCH($D70,IMPORTRANGE(""17pNv02DXDpQT9S3w4-QeNym2QJy2BzMBqDXp-XtzJBM"", ""'MTY'!D3:D139""),0))"),0)</f>
        <v>0</v>
      </c>
    </row>
    <row r="71" spans="1:31">
      <c r="A71" s="9" t="s">
        <v>147</v>
      </c>
      <c r="B71" s="9" t="s">
        <v>168</v>
      </c>
      <c r="C71" s="2" t="s">
        <v>30</v>
      </c>
      <c r="D71" s="149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2">
        <v>0</v>
      </c>
      <c r="R71" s="2">
        <v>0</v>
      </c>
      <c r="S71" s="2">
        <f ca="1">IFERROR(__xludf.DUMMYFUNCTION("INDEX(IMPORTRANGE(""17pNv02DXDpQT9S3w4-QeNym2QJy2BzMBqDXp-XtzJBM"", ""'MTY'!BG3:BG139""),MATCH($D71,IMPORTRANGE(""17pNv02DXDpQT9S3w4-QeNym2QJy2BzMBqDXp-XtzJBM"", ""'MTY'!D3:D139""),0))"),0)</f>
        <v>0</v>
      </c>
      <c r="T71" s="4"/>
      <c r="U71" s="4"/>
      <c r="V71" s="4"/>
      <c r="W71" s="4"/>
      <c r="X71" s="4"/>
      <c r="Y71" s="4"/>
      <c r="Z71" s="23">
        <f ca="1">IFERROR(__xludf.DUMMYFUNCTION("INDEX(IMPORTRANGE(""17pNv02DXDpQT9S3w4-QeNym2QJy2BzMBqDXp-XtzJBM"", ""'MTY'!BH3:BH139""),MATCH($D71,IMPORTRANGE(""17pNv02DXDpQT9S3w4-QeNym2QJy2BzMBqDXp-XtzJBM"", ""'MTY'!D3:D139""),0))"),0)</f>
        <v>0</v>
      </c>
      <c r="AA71" s="23" t="str">
        <f ca="1">IFERROR(__xludf.DUMMYFUNCTION("INDEX(IMPORTRANGE(""17pNv02DXDpQT9S3w4-QeNym2QJy2BzMBqDXp-XtzJBM"", ""'MTY'!BI3:BI139""),MATCH($D71,IMPORTRANGE(""17pNv02DXDpQT9S3w4-QeNym2QJy2BzMBqDXp-XtzJBM"", ""'MTY'!D3:D139""),0))"),"")</f>
        <v/>
      </c>
      <c r="AB71" s="23" t="str">
        <f ca="1">IFERROR(__xludf.DUMMYFUNCTION("INDEX(IMPORTRANGE(""17pNv02DXDpQT9S3w4-QeNym2QJy2BzMBqDXp-XtzJBM"", ""'MTY'!BJ3:BJ139""),MATCH($D71,IMPORTRANGE(""17pNv02DXDpQT9S3w4-QeNym2QJy2BzMBqDXp-XtzJBM"", ""'MTY'!D3:D139""),0))"),"")</f>
        <v/>
      </c>
      <c r="AC71" s="23" t="str">
        <f ca="1">IFERROR(__xludf.DUMMYFUNCTION("INDEX(IMPORTRANGE(""17pNv02DXDpQT9S3w4-QeNym2QJy2BzMBqDXp-XtzJBM"", ""'MTY'!BK3:BK139""),MATCH($D71,IMPORTRANGE(""17pNv02DXDpQT9S3w4-QeNym2QJy2BzMBqDXp-XtzJBM"", ""'MTY'!D3:D139""),0))"),"")</f>
        <v/>
      </c>
      <c r="AD71" s="23" t="str">
        <f ca="1">IFERROR(__xludf.DUMMYFUNCTION("INDEX(IMPORTRANGE(""17pNv02DXDpQT9S3w4-QeNym2QJy2BzMBqDXp-XtzJBM"", ""'MTY'!BL3:BL139""),MATCH($D71,IMPORTRANGE(""17pNv02DXDpQT9S3w4-QeNym2QJy2BzMBqDXp-XtzJBM"", ""'MTY'!D3:D139""),0))"),"")</f>
        <v/>
      </c>
      <c r="AE71" s="23" t="str">
        <f ca="1">IFERROR(__xludf.DUMMYFUNCTION("INDEX(IMPORTRANGE(""17pNv02DXDpQT9S3w4-QeNym2QJy2BzMBqDXp-XtzJBM"", ""'MTY'!BM3:BM139""),MATCH($D71,IMPORTRANGE(""17pNv02DXDpQT9S3w4-QeNym2QJy2BzMBqDXp-XtzJBM"", ""'MTY'!D3:D139""),0))"),"")</f>
        <v/>
      </c>
    </row>
    <row r="72" spans="1:31">
      <c r="A72" s="9" t="s">
        <v>147</v>
      </c>
      <c r="B72" s="9" t="s">
        <v>168</v>
      </c>
      <c r="C72" s="2" t="s">
        <v>36</v>
      </c>
      <c r="D72" s="149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 t="shared" ref="Q72:R72" si="16">Q69+Q70</f>
        <v>0</v>
      </c>
      <c r="R72" s="23">
        <f t="shared" si="16"/>
        <v>4.9055800000000005</v>
      </c>
      <c r="S72" s="23">
        <f ca="1">IFERROR(__xludf.DUMMYFUNCTION("INDEX(IMPORTRANGE(""17pNv02DXDpQT9S3w4-QeNym2QJy2BzMBqDXp-XtzJBM"", ""'MTY'!BG3:BG139""),MATCH($D72,IMPORTRANGE(""17pNv02DXDpQT9S3w4-QeNym2QJy2BzMBqDXp-XtzJBM"", ""'MTY'!D3:D139""),0))"),4.90558)</f>
        <v>4.9055799999999996</v>
      </c>
      <c r="T72" s="4">
        <f t="shared" ref="T72:Y72" si="17">T69+T70</f>
        <v>29.44</v>
      </c>
      <c r="U72" s="320">
        <f t="shared" si="17"/>
        <v>13.15</v>
      </c>
      <c r="V72" s="4">
        <f t="shared" si="17"/>
        <v>34.709999999999994</v>
      </c>
      <c r="W72" s="4">
        <f t="shared" si="17"/>
        <v>13.2</v>
      </c>
      <c r="X72" s="320">
        <f t="shared" si="17"/>
        <v>31.283333333333331</v>
      </c>
      <c r="Y72" s="4">
        <f t="shared" si="17"/>
        <v>99.05</v>
      </c>
      <c r="Z72" s="23">
        <f ca="1">IFERROR(__xludf.DUMMYFUNCTION("INDEX(IMPORTRANGE(""17pNv02DXDpQT9S3w4-QeNym2QJy2BzMBqDXp-XtzJBM"", ""'MTY'!BH3:BH139""),MATCH($D72,IMPORTRANGE(""17pNv02DXDpQT9S3w4-QeNym2QJy2BzMBqDXp-XtzJBM"", ""'MTY'!D3:D139""),0))"),23.08431)</f>
        <v>23.084309999999999</v>
      </c>
      <c r="AA72" s="23">
        <f ca="1">IFERROR(__xludf.DUMMYFUNCTION("INDEX(IMPORTRANGE(""17pNv02DXDpQT9S3w4-QeNym2QJy2BzMBqDXp-XtzJBM"", ""'MTY'!BI3:BI139""),MATCH($D72,IMPORTRANGE(""17pNv02DXDpQT9S3w4-QeNym2QJy2BzMBqDXp-XtzJBM"", ""'MTY'!D3:D139""),0))"),40.87581)</f>
        <v>40.875810000000001</v>
      </c>
      <c r="AB72" s="23">
        <f ca="1">IFERROR(__xludf.DUMMYFUNCTION("INDEX(IMPORTRANGE(""17pNv02DXDpQT9S3w4-QeNym2QJy2BzMBqDXp-XtzJBM"", ""'MTY'!BJ3:BJ139""),MATCH($D72,IMPORTRANGE(""17pNv02DXDpQT9S3w4-QeNym2QJy2BzMBqDXp-XtzJBM"", ""'MTY'!D3:D139""),0))"),15.2885)</f>
        <v>15.288500000000001</v>
      </c>
      <c r="AC72" s="23">
        <f ca="1">IFERROR(__xludf.DUMMYFUNCTION("INDEX(IMPORTRANGE(""17pNv02DXDpQT9S3w4-QeNym2QJy2BzMBqDXp-XtzJBM"", ""'MTY'!BK3:BK139""),MATCH($D72,IMPORTRANGE(""17pNv02DXDpQT9S3w4-QeNym2QJy2BzMBqDXp-XtzJBM"", ""'MTY'!D3:D139""),0))"),29.5145)</f>
        <v>29.514500000000002</v>
      </c>
      <c r="AD72" s="23">
        <f ca="1">IFERROR(__xludf.DUMMYFUNCTION("INDEX(IMPORTRANGE(""17pNv02DXDpQT9S3w4-QeNym2QJy2BzMBqDXp-XtzJBM"", ""'MTY'!BL3:BL139""),MATCH($D72,IMPORTRANGE(""17pNv02DXDpQT9S3w4-QeNym2QJy2BzMBqDXp-XtzJBM"", ""'MTY'!D3:D139""),0))"),16.24)</f>
        <v>16.239999999999998</v>
      </c>
      <c r="AE72" s="23">
        <f ca="1">IFERROR(__xludf.DUMMYFUNCTION("INDEX(IMPORTRANGE(""17pNv02DXDpQT9S3w4-QeNym2QJy2BzMBqDXp-XtzJBM"", ""'MTY'!BM3:BM139""),MATCH($D72,IMPORTRANGE(""17pNv02DXDpQT9S3w4-QeNym2QJy2BzMBqDXp-XtzJBM"", ""'MTY'!D3:D139""),0))"),26.32)</f>
        <v>26.32</v>
      </c>
    </row>
    <row r="73" spans="1:31">
      <c r="A73" s="9" t="s">
        <v>199</v>
      </c>
      <c r="B73" s="9" t="s">
        <v>200</v>
      </c>
      <c r="C73" s="2" t="s">
        <v>36</v>
      </c>
      <c r="D73" s="149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5.12</v>
      </c>
      <c r="R73" s="23">
        <v>5.12</v>
      </c>
      <c r="S73" s="23">
        <f ca="1">IFERROR(__xludf.DUMMYFUNCTION("INDEX(IMPORTRANGE(""17pNv02DXDpQT9S3w4-QeNym2QJy2BzMBqDXp-XtzJBM"", ""'MTY'!BG3:BG139""),MATCH($D73,IMPORTRANGE(""17pNv02DXDpQT9S3w4-QeNym2QJy2BzMBqDXp-XtzJBM"", ""'MTY'!D3:D139""),0))"),9.59)</f>
        <v>9.59</v>
      </c>
      <c r="T73" s="2">
        <v>7</v>
      </c>
      <c r="U73" s="2">
        <v>9</v>
      </c>
      <c r="V73" s="2">
        <v>11</v>
      </c>
      <c r="W73" s="2">
        <v>13</v>
      </c>
      <c r="X73" s="2">
        <v>15</v>
      </c>
      <c r="Y73" s="2">
        <v>15</v>
      </c>
      <c r="Z73" s="23">
        <f ca="1">IFERROR(__xludf.DUMMYFUNCTION("INDEX(IMPORTRANGE(""17pNv02DXDpQT9S3w4-QeNym2QJy2BzMBqDXp-XtzJBM"", ""'MTY'!BH3:BH139""),MATCH($D73,IMPORTRANGE(""17pNv02DXDpQT9S3w4-QeNym2QJy2BzMBqDXp-XtzJBM"", ""'MTY'!D3:D139""),0))"),2.58)</f>
        <v>2.58</v>
      </c>
      <c r="AA73" s="23">
        <f ca="1">IFERROR(__xludf.DUMMYFUNCTION("INDEX(IMPORTRANGE(""17pNv02DXDpQT9S3w4-QeNym2QJy2BzMBqDXp-XtzJBM"", ""'MTY'!BI3:BI139""),MATCH($D73,IMPORTRANGE(""17pNv02DXDpQT9S3w4-QeNym2QJy2BzMBqDXp-XtzJBM"", ""'MTY'!D3:D139""),0))"),9.59)</f>
        <v>9.59</v>
      </c>
      <c r="AB73" s="23">
        <f ca="1">IFERROR(__xludf.DUMMYFUNCTION("INDEX(IMPORTRANGE(""17pNv02DXDpQT9S3w4-QeNym2QJy2BzMBqDXp-XtzJBM"", ""'MTY'!BJ3:BJ139""),MATCH($D73,IMPORTRANGE(""17pNv02DXDpQT9S3w4-QeNym2QJy2BzMBqDXp-XtzJBM"", ""'MTY'!D3:D139""),0))"),9.205)</f>
        <v>9.2050000000000001</v>
      </c>
      <c r="AC73" s="23">
        <f ca="1">IFERROR(__xludf.DUMMYFUNCTION("INDEX(IMPORTRANGE(""17pNv02DXDpQT9S3w4-QeNym2QJy2BzMBqDXp-XtzJBM"", ""'MTY'!BK3:BK139""),MATCH($D73,IMPORTRANGE(""17pNv02DXDpQT9S3w4-QeNym2QJy2BzMBqDXp-XtzJBM"", ""'MTY'!D3:D139""),0))"),17.9)</f>
        <v>17.899999999999999</v>
      </c>
      <c r="AD73" s="23">
        <f ca="1">IFERROR(__xludf.DUMMYFUNCTION("INDEX(IMPORTRANGE(""17pNv02DXDpQT9S3w4-QeNym2QJy2BzMBqDXp-XtzJBM"", ""'MTY'!BL3:BL139""),MATCH($D73,IMPORTRANGE(""17pNv02DXDpQT9S3w4-QeNym2QJy2BzMBqDXp-XtzJBM"", ""'MTY'!D3:D139""),0))"),18.2)</f>
        <v>18.2</v>
      </c>
      <c r="AE73" s="23">
        <f ca="1">IFERROR(__xludf.DUMMYFUNCTION("INDEX(IMPORTRANGE(""17pNv02DXDpQT9S3w4-QeNym2QJy2BzMBqDXp-XtzJBM"", ""'MTY'!BM3:BM139""),MATCH($D73,IMPORTRANGE(""17pNv02DXDpQT9S3w4-QeNym2QJy2BzMBqDXp-XtzJBM"", ""'MTY'!D3:D139""),0))"),29.62)</f>
        <v>29.62</v>
      </c>
    </row>
    <row r="74" spans="1:31">
      <c r="A74" s="9" t="s">
        <v>199</v>
      </c>
      <c r="B74" s="9" t="s">
        <v>200</v>
      </c>
      <c r="C74" s="2" t="s">
        <v>30</v>
      </c>
      <c r="D74" s="149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>
        <f ca="1">IFERROR(__xludf.DUMMYFUNCTION("INDEX(IMPORTRANGE(""17pNv02DXDpQT9S3w4-QeNym2QJy2BzMBqDXp-XtzJBM"", ""'MTY'!BG3:BG139""),MATCH($D74,IMPORTRANGE(""17pNv02DXDpQT9S3w4-QeNym2QJy2BzMBqDXp-XtzJBM"", ""'MTY'!D3:D139""),0))"),2162.36)</f>
        <v>2162.36</v>
      </c>
      <c r="T74" s="12">
        <v>12135</v>
      </c>
      <c r="U74" s="12">
        <v>4000</v>
      </c>
      <c r="V74" s="12">
        <v>9000</v>
      </c>
      <c r="W74" s="12">
        <v>3000</v>
      </c>
      <c r="X74" s="12">
        <v>6000</v>
      </c>
      <c r="Y74" s="12">
        <v>27135</v>
      </c>
      <c r="Z74" s="23">
        <f ca="1">IFERROR(__xludf.DUMMYFUNCTION("INDEX(IMPORTRANGE(""17pNv02DXDpQT9S3w4-QeNym2QJy2BzMBqDXp-XtzJBM"", ""'MTY'!BH3:BH139""),MATCH($D74,IMPORTRANGE(""17pNv02DXDpQT9S3w4-QeNym2QJy2BzMBqDXp-XtzJBM"", ""'MTY'!D3:D139""),0))"),9971.47)</f>
        <v>9971.4699999999993</v>
      </c>
      <c r="AA74" s="23">
        <f ca="1">IFERROR(__xludf.DUMMYFUNCTION("INDEX(IMPORTRANGE(""17pNv02DXDpQT9S3w4-QeNym2QJy2BzMBqDXp-XtzJBM"", ""'MTY'!BI3:BI139""),MATCH($D74,IMPORTRANGE(""17pNv02DXDpQT9S3w4-QeNym2QJy2BzMBqDXp-XtzJBM"", ""'MTY'!D3:D139""),0))"),14313.29)</f>
        <v>14313.29</v>
      </c>
      <c r="AB74" s="23">
        <f ca="1">IFERROR(__xludf.DUMMYFUNCTION("INDEX(IMPORTRANGE(""17pNv02DXDpQT9S3w4-QeNym2QJy2BzMBqDXp-XtzJBM"", ""'MTY'!BJ3:BJ139""),MATCH($D74,IMPORTRANGE(""17pNv02DXDpQT9S3w4-QeNym2QJy2BzMBqDXp-XtzJBM"", ""'MTY'!D3:D139""),0))"),1518.72)</f>
        <v>1518.72</v>
      </c>
      <c r="AC74" s="23">
        <f ca="1">IFERROR(__xludf.DUMMYFUNCTION("INDEX(IMPORTRANGE(""17pNv02DXDpQT9S3w4-QeNym2QJy2BzMBqDXp-XtzJBM"", ""'MTY'!BK3:BK139""),MATCH($D74,IMPORTRANGE(""17pNv02DXDpQT9S3w4-QeNym2QJy2BzMBqDXp-XtzJBM"", ""'MTY'!D3:D139""),0))"),8151.04)</f>
        <v>8151.04</v>
      </c>
      <c r="AD74" s="23">
        <f ca="1">IFERROR(__xludf.DUMMYFUNCTION("INDEX(IMPORTRANGE(""17pNv02DXDpQT9S3w4-QeNym2QJy2BzMBqDXp-XtzJBM"", ""'MTY'!BL3:BL139""),MATCH($D74,IMPORTRANGE(""17pNv02DXDpQT9S3w4-QeNym2QJy2BzMBqDXp-XtzJBM"", ""'MTY'!D3:D139""),0))"),4011.18)</f>
        <v>4011.18</v>
      </c>
      <c r="AE74" s="23">
        <f ca="1">IFERROR(__xludf.DUMMYFUNCTION("INDEX(IMPORTRANGE(""17pNv02DXDpQT9S3w4-QeNym2QJy2BzMBqDXp-XtzJBM"", ""'MTY'!BM3:BM139""),MATCH($D74,IMPORTRANGE(""17pNv02DXDpQT9S3w4-QeNym2QJy2BzMBqDXp-XtzJBM"", ""'MTY'!D3:D139""),0))"),6389.68)</f>
        <v>6389.68</v>
      </c>
    </row>
    <row r="75" spans="1:31">
      <c r="A75" s="9" t="s">
        <v>199</v>
      </c>
      <c r="B75" s="9" t="s">
        <v>200</v>
      </c>
      <c r="C75" s="2" t="s">
        <v>30</v>
      </c>
      <c r="D75" s="149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>
        <f ca="1">IFERROR(__xludf.DUMMYFUNCTION("INDEX(IMPORTRANGE(""17pNv02DXDpQT9S3w4-QeNym2QJy2BzMBqDXp-XtzJBM"", ""'MTY'!BG3:BG139""),MATCH($D75,IMPORTRANGE(""17pNv02DXDpQT9S3w4-QeNym2QJy2BzMBqDXp-XtzJBM"", ""'MTY'!D3:D139""),0))"),9)</f>
        <v>9</v>
      </c>
      <c r="T75" s="12">
        <v>440</v>
      </c>
      <c r="U75" s="12">
        <v>200</v>
      </c>
      <c r="V75" s="12">
        <v>440</v>
      </c>
      <c r="W75" s="12">
        <v>200</v>
      </c>
      <c r="X75" s="12">
        <v>445</v>
      </c>
      <c r="Y75" s="12">
        <v>1325</v>
      </c>
      <c r="Z75" s="23">
        <f ca="1">IFERROR(__xludf.DUMMYFUNCTION("INDEX(IMPORTRANGE(""17pNv02DXDpQT9S3w4-QeNym2QJy2BzMBqDXp-XtzJBM"", ""'MTY'!BH3:BH139""),MATCH($D75,IMPORTRANGE(""17pNv02DXDpQT9S3w4-QeNym2QJy2BzMBqDXp-XtzJBM"", ""'MTY'!D3:D139""),0))"),320)</f>
        <v>320</v>
      </c>
      <c r="AA75" s="23">
        <f ca="1">IFERROR(__xludf.DUMMYFUNCTION("INDEX(IMPORTRANGE(""17pNv02DXDpQT9S3w4-QeNym2QJy2BzMBqDXp-XtzJBM"", ""'MTY'!BI3:BI139""),MATCH($D75,IMPORTRANGE(""17pNv02DXDpQT9S3w4-QeNym2QJy2BzMBqDXp-XtzJBM"", ""'MTY'!D3:D139""),0))"),2089.33999999999)</f>
        <v>2089.3399999999901</v>
      </c>
      <c r="AB75" s="23">
        <f ca="1">IFERROR(__xludf.DUMMYFUNCTION("INDEX(IMPORTRANGE(""17pNv02DXDpQT9S3w4-QeNym2QJy2BzMBqDXp-XtzJBM"", ""'MTY'!BJ3:BJ139""),MATCH($D75,IMPORTRANGE(""17pNv02DXDpQT9S3w4-QeNym2QJy2BzMBqDXp-XtzJBM"", ""'MTY'!D3:D139""),0))"),6313.13999999999)</f>
        <v>6313.1399999999903</v>
      </c>
      <c r="AC75" s="23">
        <f ca="1">IFERROR(__xludf.DUMMYFUNCTION("INDEX(IMPORTRANGE(""17pNv02DXDpQT9S3w4-QeNym2QJy2BzMBqDXp-XtzJBM"", ""'MTY'!BK3:BK139""),MATCH($D75,IMPORTRANGE(""17pNv02DXDpQT9S3w4-QeNym2QJy2BzMBqDXp-XtzJBM"", ""'MTY'!D3:D139""),0))"),9622.31)</f>
        <v>9622.31</v>
      </c>
      <c r="AD75" s="23">
        <f ca="1">IFERROR(__xludf.DUMMYFUNCTION("INDEX(IMPORTRANGE(""17pNv02DXDpQT9S3w4-QeNym2QJy2BzMBqDXp-XtzJBM"", ""'MTY'!BL3:BL139""),MATCH($D75,IMPORTRANGE(""17pNv02DXDpQT9S3w4-QeNym2QJy2BzMBqDXp-XtzJBM"", ""'MTY'!D3:D139""),0))"),12463.38)</f>
        <v>12463.38</v>
      </c>
      <c r="AE75" s="23">
        <f ca="1">IFERROR(__xludf.DUMMYFUNCTION("INDEX(IMPORTRANGE(""17pNv02DXDpQT9S3w4-QeNym2QJy2BzMBqDXp-XtzJBM"", ""'MTY'!BM3:BM139""),MATCH($D75,IMPORTRANGE(""17pNv02DXDpQT9S3w4-QeNym2QJy2BzMBqDXp-XtzJBM"", ""'MTY'!D3:D139""),0))"),22916.3799999999)</f>
        <v>22916.379999999899</v>
      </c>
    </row>
    <row r="76" spans="1:31">
      <c r="A76" s="9" t="s">
        <v>199</v>
      </c>
      <c r="B76" s="9" t="s">
        <v>200</v>
      </c>
      <c r="C76" s="2" t="s">
        <v>30</v>
      </c>
      <c r="D76" s="149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""'MTY'!BG3:BG139""),MATCH($D76,IMPORTRANGE(""17pNv02DXDpQT9S3w4-QeNym2QJy2BzMBqDXp-XtzJBM"", ""'MTY'!D3:D139""),0))"),"")</f>
        <v/>
      </c>
      <c r="T76" s="12">
        <v>8780</v>
      </c>
      <c r="U76" s="12">
        <v>3000</v>
      </c>
      <c r="V76" s="12">
        <v>10000</v>
      </c>
      <c r="W76" s="12">
        <v>2000</v>
      </c>
      <c r="X76" s="12">
        <v>5000</v>
      </c>
      <c r="Y76" s="12">
        <v>23780</v>
      </c>
      <c r="Z76" s="23">
        <f ca="1">IFERROR(__xludf.DUMMYFUNCTION("INDEX(IMPORTRANGE(""17pNv02DXDpQT9S3w4-QeNym2QJy2BzMBqDXp-XtzJBM"", ""'MTY'!BH3:BH139""),MATCH($D76,IMPORTRANGE(""17pNv02DXDpQT9S3w4-QeNym2QJy2BzMBqDXp-XtzJBM"", ""'MTY'!D3:D139""),0))"),8778.86999999999)</f>
        <v>8778.8699999999899</v>
      </c>
      <c r="AA76" s="23">
        <f ca="1">IFERROR(__xludf.DUMMYFUNCTION("INDEX(IMPORTRANGE(""17pNv02DXDpQT9S3w4-QeNym2QJy2BzMBqDXp-XtzJBM"", ""'MTY'!BI3:BI139""),MATCH($D76,IMPORTRANGE(""17pNv02DXDpQT9S3w4-QeNym2QJy2BzMBqDXp-XtzJBM"", ""'MTY'!D3:D139""),0))"),10548.2099999999)</f>
        <v>10548.209999999901</v>
      </c>
      <c r="AB76" s="23">
        <f ca="1">IFERROR(__xludf.DUMMYFUNCTION("INDEX(IMPORTRANGE(""17pNv02DXDpQT9S3w4-QeNym2QJy2BzMBqDXp-XtzJBM"", ""'MTY'!BJ3:BJ139""),MATCH($D76,IMPORTRANGE(""17pNv02DXDpQT9S3w4-QeNym2QJy2BzMBqDXp-XtzJBM"", ""'MTY'!D3:D139""),0))"),5647.13999999999)</f>
        <v>5647.1399999999903</v>
      </c>
      <c r="AC76" s="23">
        <f ca="1">IFERROR(__xludf.DUMMYFUNCTION("INDEX(IMPORTRANGE(""17pNv02DXDpQT9S3w4-QeNym2QJy2BzMBqDXp-XtzJBM"", ""'MTY'!BK3:BK139""),MATCH($D76,IMPORTRANGE(""17pNv02DXDpQT9S3w4-QeNym2QJy2BzMBqDXp-XtzJBM"", ""'MTY'!D3:D139""),0))"),5647.13999999999)</f>
        <v>5647.1399999999903</v>
      </c>
      <c r="AD76" s="23">
        <f ca="1">IFERROR(__xludf.DUMMYFUNCTION("INDEX(IMPORTRANGE(""17pNv02DXDpQT9S3w4-QeNym2QJy2BzMBqDXp-XtzJBM"", ""'MTY'!BL3:BL139""),MATCH($D76,IMPORTRANGE(""17pNv02DXDpQT9S3w4-QeNym2QJy2BzMBqDXp-XtzJBM"", ""'MTY'!D3:D139""),0))"),12463.38)</f>
        <v>12463.38</v>
      </c>
      <c r="AE76" s="23">
        <f ca="1">IFERROR(__xludf.DUMMYFUNCTION("INDEX(IMPORTRANGE(""17pNv02DXDpQT9S3w4-QeNym2QJy2BzMBqDXp-XtzJBM"", ""'MTY'!BM3:BM139""),MATCH($D76,IMPORTRANGE(""17pNv02DXDpQT9S3w4-QeNym2QJy2BzMBqDXp-XtzJBM"", ""'MTY'!D3:D139""),0))"),22916.3799999999)</f>
        <v>22916.379999999899</v>
      </c>
    </row>
    <row r="77" spans="1:31">
      <c r="A77" s="9" t="s">
        <v>199</v>
      </c>
      <c r="B77" s="9" t="s">
        <v>200</v>
      </c>
      <c r="C77" s="2" t="s">
        <v>36</v>
      </c>
      <c r="D77" s="149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""'MTY'!BG3:BG139""),MATCH($D77,IMPORTRANGE(""17pNv02DXDpQT9S3w4-QeNym2QJy2BzMBqDXp-XtzJBM"", ""'MTY'!D3:D139""),0))"),"")</f>
        <v/>
      </c>
      <c r="T77" s="6">
        <f t="shared" ref="T77:Y77" si="18">SUM(T74:T76)</f>
        <v>21355</v>
      </c>
      <c r="U77" s="6">
        <f t="shared" si="18"/>
        <v>7200</v>
      </c>
      <c r="V77" s="6">
        <f t="shared" si="18"/>
        <v>19440</v>
      </c>
      <c r="W77" s="6">
        <f t="shared" si="18"/>
        <v>5200</v>
      </c>
      <c r="X77" s="6">
        <f t="shared" si="18"/>
        <v>11445</v>
      </c>
      <c r="Y77" s="6">
        <f t="shared" si="18"/>
        <v>52240</v>
      </c>
      <c r="Z77" s="23">
        <f ca="1">IFERROR(__xludf.DUMMYFUNCTION("INDEX(IMPORTRANGE(""17pNv02DXDpQT9S3w4-QeNym2QJy2BzMBqDXp-XtzJBM"", ""'MTY'!BH3:BH139""),MATCH($D77,IMPORTRANGE(""17pNv02DXDpQT9S3w4-QeNym2QJy2BzMBqDXp-XtzJBM"", ""'MTY'!D3:D139""),0))"),19070.34)</f>
        <v>19070.34</v>
      </c>
      <c r="AA77" s="23">
        <f ca="1">IFERROR(__xludf.DUMMYFUNCTION("INDEX(IMPORTRANGE(""17pNv02DXDpQT9S3w4-QeNym2QJy2BzMBqDXp-XtzJBM"", ""'MTY'!BI3:BI139""),MATCH($D77,IMPORTRANGE(""17pNv02DXDpQT9S3w4-QeNym2QJy2BzMBqDXp-XtzJBM"", ""'MTY'!D3:D139""),0))"),26950.8399999999)</f>
        <v>26950.839999999898</v>
      </c>
      <c r="AB77" s="23">
        <f ca="1">IFERROR(__xludf.DUMMYFUNCTION("INDEX(IMPORTRANGE(""17pNv02DXDpQT9S3w4-QeNym2QJy2BzMBqDXp-XtzJBM"", ""'MTY'!BJ3:BJ139""),MATCH($D77,IMPORTRANGE(""17pNv02DXDpQT9S3w4-QeNym2QJy2BzMBqDXp-XtzJBM"", ""'MTY'!D3:D139""),0))"),13479)</f>
        <v>13479</v>
      </c>
      <c r="AC77" s="23">
        <f ca="1">IFERROR(__xludf.DUMMYFUNCTION("INDEX(IMPORTRANGE(""17pNv02DXDpQT9S3w4-QeNym2QJy2BzMBqDXp-XtzJBM"", ""'MTY'!BK3:BK139""),MATCH($D77,IMPORTRANGE(""17pNv02DXDpQT9S3w4-QeNym2QJy2BzMBqDXp-XtzJBM"", ""'MTY'!D3:D139""),0))"),23420.4899999999)</f>
        <v>23420.4899999999</v>
      </c>
      <c r="AD77" s="23">
        <f ca="1">IFERROR(__xludf.DUMMYFUNCTION("INDEX(IMPORTRANGE(""17pNv02DXDpQT9S3w4-QeNym2QJy2BzMBqDXp-XtzJBM"", ""'MTY'!BL3:BL139""),MATCH($D77,IMPORTRANGE(""17pNv02DXDpQT9S3w4-QeNym2QJy2BzMBqDXp-XtzJBM"", ""'MTY'!D3:D139""),0))"),28937.94)</f>
        <v>28937.94</v>
      </c>
      <c r="AE77" s="23">
        <f ca="1">IFERROR(__xludf.DUMMYFUNCTION("INDEX(IMPORTRANGE(""17pNv02DXDpQT9S3w4-QeNym2QJy2BzMBqDXp-XtzJBM"", ""'MTY'!BM3:BM139""),MATCH($D77,IMPORTRANGE(""17pNv02DXDpQT9S3w4-QeNym2QJy2BzMBqDXp-XtzJBM"", ""'MTY'!D3:D139""),0))"),52222.4399999999)</f>
        <v>52222.4399999999</v>
      </c>
    </row>
    <row r="78" spans="1:31">
      <c r="A78" s="9" t="s">
        <v>199</v>
      </c>
      <c r="B78" s="9" t="s">
        <v>200</v>
      </c>
      <c r="C78" s="2" t="s">
        <v>30</v>
      </c>
      <c r="D78" s="149" t="s">
        <v>211</v>
      </c>
      <c r="E78" s="9" t="s">
        <v>38</v>
      </c>
      <c r="F78" s="9" t="s">
        <v>212</v>
      </c>
      <c r="G78" s="9" t="s">
        <v>213</v>
      </c>
      <c r="H78" s="2" t="s">
        <v>214</v>
      </c>
      <c r="I78" s="2" t="s">
        <v>365</v>
      </c>
      <c r="J78" s="9" t="s">
        <v>215</v>
      </c>
      <c r="K78" s="4"/>
      <c r="L78" s="9" t="s">
        <v>216</v>
      </c>
      <c r="M78" s="4"/>
      <c r="N78" s="9" t="s">
        <v>217</v>
      </c>
      <c r="O78" s="9" t="s">
        <v>366</v>
      </c>
      <c r="P78" s="2" t="s">
        <v>218</v>
      </c>
      <c r="Q78" s="36">
        <v>405781762.76999998</v>
      </c>
      <c r="R78" s="50">
        <v>405781762.76999998</v>
      </c>
      <c r="S78" s="50">
        <f ca="1">IFERROR(__xludf.DUMMYFUNCTION("INDEX(IMPORTRANGE(""17pNv02DXDpQT9S3w4-QeNym2QJy2BzMBqDXp-XtzJBM"", ""'MTY'!BG3:BG139""),MATCH($D78,IMPORTRANGE(""17pNv02DXDpQT9S3w4-QeNym2QJy2BzMBqDXp-XtzJBM"", ""'MTY'!D3:D139""),0))"),370137114.569999)</f>
        <v>370137114.56999898</v>
      </c>
      <c r="T78" s="178"/>
      <c r="U78" s="178"/>
      <c r="V78" s="178"/>
      <c r="W78" s="178"/>
      <c r="X78" s="178"/>
      <c r="Y78" s="178"/>
      <c r="Z78" s="50">
        <f ca="1">IFERROR(__xludf.DUMMYFUNCTION("INDEX(IMPORTRANGE(""17pNv02DXDpQT9S3w4-QeNym2QJy2BzMBqDXp-XtzJBM"", ""'MTY'!BH3:BH139""),MATCH($D78,IMPORTRANGE(""17pNv02DXDpQT9S3w4-QeNym2QJy2BzMBqDXp-XtzJBM"", ""'MTY'!D3:D139""),0))"),405781762.769999)</f>
        <v>405781762.76999903</v>
      </c>
      <c r="AA78" s="479" t="str">
        <f ca="1">IFERROR(__xludf.DUMMYFUNCTION("INDEX(IMPORTRANGE(""17pNv02DXDpQT9S3w4-QeNym2QJy2BzMBqDXp-XtzJBM"", ""'MTY'!BI3:BI139""),MATCH($D78,IMPORTRANGE(""17pNv02DXDpQT9S3w4-QeNym2QJy2BzMBqDXp-XtzJBM"", ""'MTY'!D3:D139""),0))"),"")</f>
        <v/>
      </c>
      <c r="AB78" s="50">
        <f ca="1">IFERROR(__xludf.DUMMYFUNCTION("INDEX(IMPORTRANGE(""17pNv02DXDpQT9S3w4-QeNym2QJy2BzMBqDXp-XtzJBM"", ""'MTY'!BJ3:BJ139""),MATCH($D78,IMPORTRANGE(""17pNv02DXDpQT9S3w4-QeNym2QJy2BzMBqDXp-XtzJBM"", ""'MTY'!D3:D139""),0))"),184765477.29)</f>
        <v>184765477.28999999</v>
      </c>
      <c r="AC78" s="479" t="str">
        <f ca="1">IFERROR(__xludf.DUMMYFUNCTION("INDEX(IMPORTRANGE(""17pNv02DXDpQT9S3w4-QeNym2QJy2BzMBqDXp-XtzJBM"", ""'MTY'!BK3:BK139""),MATCH($D78,IMPORTRANGE(""17pNv02DXDpQT9S3w4-QeNym2QJy2BzMBqDXp-XtzJBM"", ""'MTY'!D3:D139""),0))"),"")</f>
        <v/>
      </c>
      <c r="AD78" s="50">
        <f ca="1">IFERROR(__xludf.DUMMYFUNCTION("INDEX(IMPORTRANGE(""17pNv02DXDpQT9S3w4-QeNym2QJy2BzMBqDXp-XtzJBM"", ""'MTY'!BL3:BL139""),MATCH($D78,IMPORTRANGE(""17pNv02DXDpQT9S3w4-QeNym2QJy2BzMBqDXp-XtzJBM"", ""'MTY'!D3:D139""),0))"),248580266.519999)</f>
        <v>248580266.519999</v>
      </c>
      <c r="AE78" s="50">
        <f ca="1">IFERROR(__xludf.DUMMYFUNCTION("INDEX(IMPORTRANGE(""17pNv02DXDpQT9S3w4-QeNym2QJy2BzMBqDXp-XtzJBM"", ""'MTY'!BM3:BM139""),MATCH($D78,IMPORTRANGE(""17pNv02DXDpQT9S3w4-QeNym2QJy2BzMBqDXp-XtzJBM"", ""'MTY'!D3:D139""),0))"),907495001.67)</f>
        <v>907495001.66999996</v>
      </c>
    </row>
    <row r="79" spans="1:31">
      <c r="A79" s="9" t="s">
        <v>199</v>
      </c>
      <c r="B79" s="9" t="s">
        <v>200</v>
      </c>
      <c r="C79" s="2" t="s">
        <v>30</v>
      </c>
      <c r="D79" s="149" t="s">
        <v>219</v>
      </c>
      <c r="E79" s="9" t="s">
        <v>38</v>
      </c>
      <c r="F79" s="9" t="s">
        <v>220</v>
      </c>
      <c r="G79" s="9" t="s">
        <v>213</v>
      </c>
      <c r="H79" s="2" t="s">
        <v>214</v>
      </c>
      <c r="I79" s="2" t="s">
        <v>365</v>
      </c>
      <c r="J79" s="9" t="s">
        <v>215</v>
      </c>
      <c r="K79" s="4"/>
      <c r="L79" s="9" t="s">
        <v>216</v>
      </c>
      <c r="M79" s="4"/>
      <c r="N79" s="9" t="s">
        <v>217</v>
      </c>
      <c r="O79" s="9" t="s">
        <v>366</v>
      </c>
      <c r="P79" s="2" t="s">
        <v>218</v>
      </c>
      <c r="Q79" s="36">
        <v>45709853.130000003</v>
      </c>
      <c r="R79" s="50">
        <v>45709853.130000003</v>
      </c>
      <c r="S79" s="50">
        <f ca="1">IFERROR(__xludf.DUMMYFUNCTION("INDEX(IMPORTRANGE(""17pNv02DXDpQT9S3w4-QeNym2QJy2BzMBqDXp-XtzJBM"", ""'MTY'!BG3:BG139""),MATCH($D79,IMPORTRANGE(""17pNv02DXDpQT9S3w4-QeNym2QJy2BzMBqDXp-XtzJBM"", ""'MTY'!D3:D139""),0))"),13177600.44)</f>
        <v>13177600.439999999</v>
      </c>
      <c r="T79" s="178"/>
      <c r="U79" s="178"/>
      <c r="V79" s="178"/>
      <c r="W79" s="178"/>
      <c r="X79" s="178"/>
      <c r="Y79" s="178"/>
      <c r="Z79" s="50">
        <f ca="1">IFERROR(__xludf.DUMMYFUNCTION("INDEX(IMPORTRANGE(""17pNv02DXDpQT9S3w4-QeNym2QJy2BzMBqDXp-XtzJBM"", ""'MTY'!BH3:BH139""),MATCH($D79,IMPORTRANGE(""17pNv02DXDpQT9S3w4-QeNym2QJy2BzMBqDXp-XtzJBM"", ""'MTY'!D3:D139""),0))"),45709853.13)</f>
        <v>45709853.130000003</v>
      </c>
      <c r="AA79" s="479" t="str">
        <f ca="1">IFERROR(__xludf.DUMMYFUNCTION("INDEX(IMPORTRANGE(""17pNv02DXDpQT9S3w4-QeNym2QJy2BzMBqDXp-XtzJBM"", ""'MTY'!BI3:BI139""),MATCH($D79,IMPORTRANGE(""17pNv02DXDpQT9S3w4-QeNym2QJy2BzMBqDXp-XtzJBM"", ""'MTY'!D3:D139""),0))"),"")</f>
        <v/>
      </c>
      <c r="AB79" s="50">
        <f ca="1">IFERROR(__xludf.DUMMYFUNCTION("INDEX(IMPORTRANGE(""17pNv02DXDpQT9S3w4-QeNym2QJy2BzMBqDXp-XtzJBM"", ""'MTY'!BJ3:BJ139""),MATCH($D79,IMPORTRANGE(""17pNv02DXDpQT9S3w4-QeNym2QJy2BzMBqDXp-XtzJBM"", ""'MTY'!D3:D139""),0))"),48730397.06)</f>
        <v>48730397.060000002</v>
      </c>
      <c r="AC79" s="479" t="str">
        <f ca="1">IFERROR(__xludf.DUMMYFUNCTION("INDEX(IMPORTRANGE(""17pNv02DXDpQT9S3w4-QeNym2QJy2BzMBqDXp-XtzJBM"", ""'MTY'!BK3:BK139""),MATCH($D79,IMPORTRANGE(""17pNv02DXDpQT9S3w4-QeNym2QJy2BzMBqDXp-XtzJBM"", ""'MTY'!D3:D139""),0))"),"")</f>
        <v/>
      </c>
      <c r="AD79" s="50">
        <f ca="1">IFERROR(__xludf.DUMMYFUNCTION("INDEX(IMPORTRANGE(""17pNv02DXDpQT9S3w4-QeNym2QJy2BzMBqDXp-XtzJBM"", ""'MTY'!BL3:BL139""),MATCH($D79,IMPORTRANGE(""17pNv02DXDpQT9S3w4-QeNym2QJy2BzMBqDXp-XtzJBM"", ""'MTY'!D3:D139""),0))"),22929352.34)</f>
        <v>22929352.34</v>
      </c>
      <c r="AE79" s="50">
        <f ca="1">IFERROR(__xludf.DUMMYFUNCTION("INDEX(IMPORTRANGE(""17pNv02DXDpQT9S3w4-QeNym2QJy2BzMBqDXp-XtzJBM"", ""'MTY'!BM3:BM139""),MATCH($D79,IMPORTRANGE(""17pNv02DXDpQT9S3w4-QeNym2QJy2BzMBqDXp-XtzJBM"", ""'MTY'!D3:D139""),0))"),93685093.15)</f>
        <v>93685093.150000006</v>
      </c>
    </row>
    <row r="80" spans="1:31">
      <c r="A80" s="9" t="s">
        <v>199</v>
      </c>
      <c r="B80" s="9" t="s">
        <v>200</v>
      </c>
      <c r="C80" s="2" t="s">
        <v>36</v>
      </c>
      <c r="D80" s="149" t="s">
        <v>221</v>
      </c>
      <c r="E80" s="9" t="s">
        <v>38</v>
      </c>
      <c r="F80" s="9" t="s">
        <v>222</v>
      </c>
      <c r="G80" s="9" t="s">
        <v>213</v>
      </c>
      <c r="H80" s="2" t="s">
        <v>214</v>
      </c>
      <c r="I80" s="2" t="s">
        <v>365</v>
      </c>
      <c r="J80" s="9" t="s">
        <v>215</v>
      </c>
      <c r="K80" s="4"/>
      <c r="L80" s="9" t="s">
        <v>216</v>
      </c>
      <c r="M80" s="4"/>
      <c r="N80" s="9" t="s">
        <v>217</v>
      </c>
      <c r="O80" s="9" t="s">
        <v>366</v>
      </c>
      <c r="P80" s="2" t="s">
        <v>218</v>
      </c>
      <c r="Q80" s="15">
        <f t="shared" ref="Q80:R80" si="19">Q79/Q78</f>
        <v>0.1126463959788865</v>
      </c>
      <c r="R80" s="15">
        <f t="shared" si="19"/>
        <v>0.1126463959788865</v>
      </c>
      <c r="S80" s="15">
        <f ca="1">IFERROR(__xludf.DUMMYFUNCTION("INDEX(IMPORTRANGE(""17pNv02DXDpQT9S3w4-QeNym2QJy2BzMBqDXp-XtzJBM"", ""'MTY'!BG3:BG139""),MATCH($D80,IMPORTRANGE(""17pNv02DXDpQT9S3w4-QeNym2QJy2BzMBqDXp-XtzJBM"", ""'MTY'!D3:D139""),0))"),0.0356019429591891)</f>
        <v>3.5601942959189101E-2</v>
      </c>
      <c r="T80" s="26"/>
      <c r="U80" s="26">
        <v>0.19</v>
      </c>
      <c r="V80" s="469"/>
      <c r="W80" s="26">
        <v>0.14000000000000001</v>
      </c>
      <c r="X80" s="15">
        <v>0.1</v>
      </c>
      <c r="Y80" s="26">
        <v>0.1</v>
      </c>
      <c r="Z80" s="15">
        <f ca="1">IFERROR(__xludf.DUMMYFUNCTION("INDEX(IMPORTRANGE(""17pNv02DXDpQT9S3w4-QeNym2QJy2BzMBqDXp-XtzJBM"", ""'MTY'!BH3:BH139""),MATCH($D80,IMPORTRANGE(""17pNv02DXDpQT9S3w4-QeNym2QJy2BzMBqDXp-XtzJBM"", ""'MTY'!D3:D139""),0))"),0.112646395978886)</f>
        <v>0.112646395978886</v>
      </c>
      <c r="AA80" s="479" t="str">
        <f ca="1">IFERROR(__xludf.DUMMYFUNCTION("INDEX(IMPORTRANGE(""17pNv02DXDpQT9S3w4-QeNym2QJy2BzMBqDXp-XtzJBM"", ""'MTY'!BI3:BI139""),MATCH($D80,IMPORTRANGE(""17pNv02DXDpQT9S3w4-QeNym2QJy2BzMBqDXp-XtzJBM"", ""'MTY'!D3:D139""),0))"),"")</f>
        <v/>
      </c>
      <c r="AB80" s="15">
        <f ca="1">IFERROR(__xludf.DUMMYFUNCTION("INDEX(IMPORTRANGE(""17pNv02DXDpQT9S3w4-QeNym2QJy2BzMBqDXp-XtzJBM"", ""'MTY'!BJ3:BJ139""),MATCH($D80,IMPORTRANGE(""17pNv02DXDpQT9S3w4-QeNym2QJy2BzMBqDXp-XtzJBM"", ""'MTY'!D3:D139""),0))"),0.263741894723735)</f>
        <v>0.26374189472373499</v>
      </c>
      <c r="AC80" s="479" t="str">
        <f ca="1">IFERROR(__xludf.DUMMYFUNCTION("INDEX(IMPORTRANGE(""17pNv02DXDpQT9S3w4-QeNym2QJy2BzMBqDXp-XtzJBM"", ""'MTY'!BK3:BK139""),MATCH($D80,IMPORTRANGE(""17pNv02DXDpQT9S3w4-QeNym2QJy2BzMBqDXp-XtzJBM"", ""'MTY'!D3:D139""),0))"),"")</f>
        <v/>
      </c>
      <c r="AD80" s="15">
        <f ca="1">IFERROR(__xludf.DUMMYFUNCTION("INDEX(IMPORTRANGE(""17pNv02DXDpQT9S3w4-QeNym2QJy2BzMBqDXp-XtzJBM"", ""'MTY'!BL3:BL139""),MATCH($D80,IMPORTRANGE(""17pNv02DXDpQT9S3w4-QeNym2QJy2BzMBqDXp-XtzJBM"", ""'MTY'!D3:D139""),0))"),0.0922412412738932)</f>
        <v>9.2241241273893201E-2</v>
      </c>
      <c r="AE80" s="15">
        <f ca="1">IFERROR(__xludf.DUMMYFUNCTION("INDEX(IMPORTRANGE(""17pNv02DXDpQT9S3w4-QeNym2QJy2BzMBqDXp-XtzJBM"", ""'MTY'!BM3:BM139""),MATCH($D80,IMPORTRANGE(""17pNv02DXDpQT9S3w4-QeNym2QJy2BzMBqDXp-XtzJBM"", ""'MTY'!D3:D139""),0))"),0.103234831021215)</f>
        <v>0.103234831021215</v>
      </c>
    </row>
    <row r="81" spans="1:31">
      <c r="A81" s="9" t="s">
        <v>199</v>
      </c>
      <c r="B81" s="9" t="s">
        <v>200</v>
      </c>
      <c r="C81" s="2" t="s">
        <v>30</v>
      </c>
      <c r="D81" s="149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0</v>
      </c>
      <c r="R81" s="2">
        <v>0</v>
      </c>
      <c r="S81" s="2">
        <f ca="1">IFERROR(__xludf.DUMMYFUNCTION("INDEX(IMPORTRANGE(""17pNv02DXDpQT9S3w4-QeNym2QJy2BzMBqDXp-XtzJBM"", ""'MTY'!BG3:BG139""),MATCH($D81,IMPORTRANGE(""17pNv02DXDpQT9S3w4-QeNym2QJy2BzMBqDXp-XtzJBM"", ""'MTY'!D3:D139""),0))"),0)</f>
        <v>0</v>
      </c>
      <c r="T81" s="2">
        <v>50</v>
      </c>
      <c r="U81" s="2">
        <v>10</v>
      </c>
      <c r="V81" s="2">
        <v>25</v>
      </c>
      <c r="W81" s="2">
        <v>10</v>
      </c>
      <c r="X81" s="2">
        <f>(25-W81)/6*5+W81</f>
        <v>22.5</v>
      </c>
      <c r="Y81" s="2">
        <v>100</v>
      </c>
      <c r="Z81" s="12">
        <f ca="1">IFERROR(__xludf.DUMMYFUNCTION("INDEX(IMPORTRANGE(""17pNv02DXDpQT9S3w4-QeNym2QJy2BzMBqDXp-XtzJBM"", ""'MTY'!BH3:BH139""),MATCH($D81,IMPORTRANGE(""17pNv02DXDpQT9S3w4-QeNym2QJy2BzMBqDXp-XtzJBM"", ""'MTY'!D3:D139""),0))"),0)</f>
        <v>0</v>
      </c>
      <c r="AA81" s="12">
        <f ca="1">IFERROR(__xludf.DUMMYFUNCTION("INDEX(IMPORTRANGE(""17pNv02DXDpQT9S3w4-QeNym2QJy2BzMBqDXp-XtzJBM"", ""'MTY'!BI3:BI139""),MATCH($D81,IMPORTRANGE(""17pNv02DXDpQT9S3w4-QeNym2QJy2BzMBqDXp-XtzJBM"", ""'MTY'!D3:D139""),0))"),42)</f>
        <v>42</v>
      </c>
      <c r="AB81" s="12">
        <f ca="1">IFERROR(__xludf.DUMMYFUNCTION("INDEX(IMPORTRANGE(""17pNv02DXDpQT9S3w4-QeNym2QJy2BzMBqDXp-XtzJBM"", ""'MTY'!BJ3:BJ139""),MATCH($D81,IMPORTRANGE(""17pNv02DXDpQT9S3w4-QeNym2QJy2BzMBqDXp-XtzJBM"", ""'MTY'!D3:D139""),0))"),46)</f>
        <v>46</v>
      </c>
      <c r="AC81" s="12">
        <f ca="1">IFERROR(__xludf.DUMMYFUNCTION("INDEX(IMPORTRANGE(""17pNv02DXDpQT9S3w4-QeNym2QJy2BzMBqDXp-XtzJBM"", ""'MTY'!BK3:BK139""),MATCH($D81,IMPORTRANGE(""17pNv02DXDpQT9S3w4-QeNym2QJy2BzMBqDXp-XtzJBM"", ""'MTY'!D3:D139""),0))"),122)</f>
        <v>122</v>
      </c>
      <c r="AD81" s="12">
        <f ca="1">IFERROR(__xludf.DUMMYFUNCTION("INDEX(IMPORTRANGE(""17pNv02DXDpQT9S3w4-QeNym2QJy2BzMBqDXp-XtzJBM"", ""'MTY'!BL3:BL139""),MATCH($D81,IMPORTRANGE(""17pNv02DXDpQT9S3w4-QeNym2QJy2BzMBqDXp-XtzJBM"", ""'MTY'!D3:D139""),0))"),42)</f>
        <v>42</v>
      </c>
      <c r="AE81" s="12">
        <f ca="1">IFERROR(__xludf.DUMMYFUNCTION("INDEX(IMPORTRANGE(""17pNv02DXDpQT9S3w4-QeNym2QJy2BzMBqDXp-XtzJBM"", ""'MTY'!BM3:BM139""),MATCH($D81,IMPORTRANGE(""17pNv02DXDpQT9S3w4-QeNym2QJy2BzMBqDXp-XtzJBM"", ""'MTY'!D3:D139""),0))"),123)</f>
        <v>123</v>
      </c>
    </row>
    <row r="82" spans="1:31">
      <c r="A82" s="9" t="s">
        <v>199</v>
      </c>
      <c r="B82" s="9" t="s">
        <v>200</v>
      </c>
      <c r="C82" s="2" t="s">
        <v>30</v>
      </c>
      <c r="D82" s="149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0</v>
      </c>
      <c r="R82" s="2">
        <v>0</v>
      </c>
      <c r="S82" s="2">
        <f ca="1">IFERROR(__xludf.DUMMYFUNCTION("INDEX(IMPORTRANGE(""17pNv02DXDpQT9S3w4-QeNym2QJy2BzMBqDXp-XtzJBM"", ""'MTY'!BG3:BG139""),MATCH($D82,IMPORTRANGE(""17pNv02DXDpQT9S3w4-QeNym2QJy2BzMBqDXp-XtzJBM"", ""'MTY'!D3:D139""),0))"),0)</f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12">
        <f ca="1">IFERROR(__xludf.DUMMYFUNCTION("INDEX(IMPORTRANGE(""17pNv02DXDpQT9S3w4-QeNym2QJy2BzMBqDXp-XtzJBM"", ""'MTY'!BH3:BH139""),MATCH($D82,IMPORTRANGE(""17pNv02DXDpQT9S3w4-QeNym2QJy2BzMBqDXp-XtzJBM"", ""'MTY'!D3:D139""),0))"),0)</f>
        <v>0</v>
      </c>
      <c r="AA82" s="12">
        <f ca="1">IFERROR(__xludf.DUMMYFUNCTION("INDEX(IMPORTRANGE(""17pNv02DXDpQT9S3w4-QeNym2QJy2BzMBqDXp-XtzJBM"", ""'MTY'!BI3:BI139""),MATCH($D82,IMPORTRANGE(""17pNv02DXDpQT9S3w4-QeNym2QJy2BzMBqDXp-XtzJBM"", ""'MTY'!D3:D139""),0))"),0)</f>
        <v>0</v>
      </c>
      <c r="AB82" s="12">
        <f ca="1">IFERROR(__xludf.DUMMYFUNCTION("INDEX(IMPORTRANGE(""17pNv02DXDpQT9S3w4-QeNym2QJy2BzMBqDXp-XtzJBM"", ""'MTY'!BJ3:BJ139""),MATCH($D82,IMPORTRANGE(""17pNv02DXDpQT9S3w4-QeNym2QJy2BzMBqDXp-XtzJBM"", ""'MTY'!D3:D139""),0))"),0)</f>
        <v>0</v>
      </c>
      <c r="AC82" s="12">
        <f ca="1">IFERROR(__xludf.DUMMYFUNCTION("INDEX(IMPORTRANGE(""17pNv02DXDpQT9S3w4-QeNym2QJy2BzMBqDXp-XtzJBM"", ""'MTY'!BK3:BK139""),MATCH($D82,IMPORTRANGE(""17pNv02DXDpQT9S3w4-QeNym2QJy2BzMBqDXp-XtzJBM"", ""'MTY'!D3:D139""),0))"),0)</f>
        <v>0</v>
      </c>
      <c r="AD82" s="12">
        <f ca="1">IFERROR(__xludf.DUMMYFUNCTION("INDEX(IMPORTRANGE(""17pNv02DXDpQT9S3w4-QeNym2QJy2BzMBqDXp-XtzJBM"", ""'MTY'!BL3:BL139""),MATCH($D82,IMPORTRANGE(""17pNv02DXDpQT9S3w4-QeNym2QJy2BzMBqDXp-XtzJBM"", ""'MTY'!D3:D139""),0))"),0)</f>
        <v>0</v>
      </c>
      <c r="AE82" s="12">
        <f ca="1">IFERROR(__xludf.DUMMYFUNCTION("INDEX(IMPORTRANGE(""17pNv02DXDpQT9S3w4-QeNym2QJy2BzMBqDXp-XtzJBM"", ""'MTY'!BM3:BM139""),MATCH($D82,IMPORTRANGE(""17pNv02DXDpQT9S3w4-QeNym2QJy2BzMBqDXp-XtzJBM"", ""'MTY'!D3:D139""),0))"),12)</f>
        <v>12</v>
      </c>
    </row>
    <row r="83" spans="1:31">
      <c r="A83" s="9" t="s">
        <v>199</v>
      </c>
      <c r="B83" s="9" t="s">
        <v>200</v>
      </c>
      <c r="C83" s="2" t="s">
        <v>36</v>
      </c>
      <c r="D83" s="149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23">
        <f t="shared" ref="Q83:R83" si="20">Q81+Q82</f>
        <v>0</v>
      </c>
      <c r="R83" s="23">
        <f t="shared" si="20"/>
        <v>0</v>
      </c>
      <c r="S83" s="23">
        <f ca="1">IFERROR(__xludf.DUMMYFUNCTION("INDEX(IMPORTRANGE(""17pNv02DXDpQT9S3w4-QeNym2QJy2BzMBqDXp-XtzJBM"", ""'MTY'!BG3:BG139""),MATCH($D83,IMPORTRANGE(""17pNv02DXDpQT9S3w4-QeNym2QJy2BzMBqDXp-XtzJBM"", ""'MTY'!D3:D139""),0))"),0)</f>
        <v>0</v>
      </c>
      <c r="T83" s="6">
        <f t="shared" ref="T83:Y83" si="21">SUM(T81:T82)</f>
        <v>50</v>
      </c>
      <c r="U83" s="6">
        <f t="shared" si="21"/>
        <v>10</v>
      </c>
      <c r="V83" s="6">
        <f t="shared" si="21"/>
        <v>25</v>
      </c>
      <c r="W83" s="6">
        <f t="shared" si="21"/>
        <v>10</v>
      </c>
      <c r="X83" s="6">
        <f t="shared" si="21"/>
        <v>22.5</v>
      </c>
      <c r="Y83" s="6">
        <f t="shared" si="21"/>
        <v>100</v>
      </c>
      <c r="Z83" s="12">
        <f ca="1">IFERROR(__xludf.DUMMYFUNCTION("INDEX(IMPORTRANGE(""17pNv02DXDpQT9S3w4-QeNym2QJy2BzMBqDXp-XtzJBM"", ""'MTY'!BH3:BH139""),MATCH($D83,IMPORTRANGE(""17pNv02DXDpQT9S3w4-QeNym2QJy2BzMBqDXp-XtzJBM"", ""'MTY'!D3:D139""),0))"),0)</f>
        <v>0</v>
      </c>
      <c r="AA83" s="12">
        <f ca="1">IFERROR(__xludf.DUMMYFUNCTION("INDEX(IMPORTRANGE(""17pNv02DXDpQT9S3w4-QeNym2QJy2BzMBqDXp-XtzJBM"", ""'MTY'!BI3:BI139""),MATCH($D83,IMPORTRANGE(""17pNv02DXDpQT9S3w4-QeNym2QJy2BzMBqDXp-XtzJBM"", ""'MTY'!D3:D139""),0))"),42)</f>
        <v>42</v>
      </c>
      <c r="AB83" s="12">
        <f ca="1">IFERROR(__xludf.DUMMYFUNCTION("INDEX(IMPORTRANGE(""17pNv02DXDpQT9S3w4-QeNym2QJy2BzMBqDXp-XtzJBM"", ""'MTY'!BJ3:BJ139""),MATCH($D83,IMPORTRANGE(""17pNv02DXDpQT9S3w4-QeNym2QJy2BzMBqDXp-XtzJBM"", ""'MTY'!D3:D139""),0))"),46)</f>
        <v>46</v>
      </c>
      <c r="AC83" s="12">
        <f ca="1">IFERROR(__xludf.DUMMYFUNCTION("INDEX(IMPORTRANGE(""17pNv02DXDpQT9S3w4-QeNym2QJy2BzMBqDXp-XtzJBM"", ""'MTY'!BK3:BK139""),MATCH($D83,IMPORTRANGE(""17pNv02DXDpQT9S3w4-QeNym2QJy2BzMBqDXp-XtzJBM"", ""'MTY'!D3:D139""),0))"),122)</f>
        <v>122</v>
      </c>
      <c r="AD83" s="12">
        <f ca="1">IFERROR(__xludf.DUMMYFUNCTION("INDEX(IMPORTRANGE(""17pNv02DXDpQT9S3w4-QeNym2QJy2BzMBqDXp-XtzJBM"", ""'MTY'!BL3:BL139""),MATCH($D83,IMPORTRANGE(""17pNv02DXDpQT9S3w4-QeNym2QJy2BzMBqDXp-XtzJBM"", ""'MTY'!D3:D139""),0))"),42)</f>
        <v>42</v>
      </c>
      <c r="AE83" s="12">
        <f ca="1">IFERROR(__xludf.DUMMYFUNCTION("INDEX(IMPORTRANGE(""17pNv02DXDpQT9S3w4-QeNym2QJy2BzMBqDXp-XtzJBM"", ""'MTY'!BM3:BM139""),MATCH($D83,IMPORTRANGE(""17pNv02DXDpQT9S3w4-QeNym2QJy2BzMBqDXp-XtzJBM"", ""'MTY'!D3:D139""),0))"),135)</f>
        <v>135</v>
      </c>
    </row>
    <row r="84" spans="1:31">
      <c r="A84" s="9" t="s">
        <v>199</v>
      </c>
      <c r="B84" s="9" t="s">
        <v>228</v>
      </c>
      <c r="C84" s="2" t="s">
        <v>30</v>
      </c>
      <c r="D84" s="149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417</v>
      </c>
      <c r="R84" s="2">
        <v>801</v>
      </c>
      <c r="S84" s="2">
        <f ca="1">IFERROR(__xludf.DUMMYFUNCTION("INDEX(IMPORTRANGE(""17pNv02DXDpQT9S3w4-QeNym2QJy2BzMBqDXp-XtzJBM"", ""'MTY'!BG3:BG139""),MATCH($D84,IMPORTRANGE(""17pNv02DXDpQT9S3w4-QeNym2QJy2BzMBqDXp-XtzJBM"", ""'MTY'!D3:D139""),0))"),725)</f>
        <v>725</v>
      </c>
      <c r="T84" s="4"/>
      <c r="U84" s="4"/>
      <c r="V84" s="4"/>
      <c r="W84" s="4"/>
      <c r="X84" s="4"/>
      <c r="Y84" s="4"/>
      <c r="Z84" s="12">
        <f ca="1">IFERROR(__xludf.DUMMYFUNCTION("INDEX(IMPORTRANGE(""17pNv02DXDpQT9S3w4-QeNym2QJy2BzMBqDXp-XtzJBM"", ""'MTY'!BH3:BH139""),MATCH($D84,IMPORTRANGE(""17pNv02DXDpQT9S3w4-QeNym2QJy2BzMBqDXp-XtzJBM"", ""'MTY'!D3:D139""),0))"),322)</f>
        <v>322</v>
      </c>
      <c r="AA84" s="12">
        <f ca="1">IFERROR(__xludf.DUMMYFUNCTION("INDEX(IMPORTRANGE(""17pNv02DXDpQT9S3w4-QeNym2QJy2BzMBqDXp-XtzJBM"", ""'MTY'!BI3:BI139""),MATCH($D84,IMPORTRANGE(""17pNv02DXDpQT9S3w4-QeNym2QJy2BzMBqDXp-XtzJBM"", ""'MTY'!D3:D139""),0))"),629)</f>
        <v>629</v>
      </c>
      <c r="AB84" s="12">
        <f ca="1">IFERROR(__xludf.DUMMYFUNCTION("INDEX(IMPORTRANGE(""17pNv02DXDpQT9S3w4-QeNym2QJy2BzMBqDXp-XtzJBM"", ""'MTY'!BJ3:BJ139""),MATCH($D84,IMPORTRANGE(""17pNv02DXDpQT9S3w4-QeNym2QJy2BzMBqDXp-XtzJBM"", ""'MTY'!D3:D139""),0))"),366)</f>
        <v>366</v>
      </c>
      <c r="AC84" s="12">
        <f ca="1">IFERROR(__xludf.DUMMYFUNCTION("INDEX(IMPORTRANGE(""17pNv02DXDpQT9S3w4-QeNym2QJy2BzMBqDXp-XtzJBM"", ""'MTY'!BK3:BK139""),MATCH($D84,IMPORTRANGE(""17pNv02DXDpQT9S3w4-QeNym2QJy2BzMBqDXp-XtzJBM"", ""'MTY'!D3:D139""),0))"),702)</f>
        <v>702</v>
      </c>
      <c r="AD84" s="12">
        <f ca="1">IFERROR(__xludf.DUMMYFUNCTION("INDEX(IMPORTRANGE(""17pNv02DXDpQT9S3w4-QeNym2QJy2BzMBqDXp-XtzJBM"", ""'MTY'!BL3:BL139""),MATCH($D84,IMPORTRANGE(""17pNv02DXDpQT9S3w4-QeNym2QJy2BzMBqDXp-XtzJBM"", ""'MTY'!D3:D139""),0))"),352)</f>
        <v>352</v>
      </c>
      <c r="AE84" s="12">
        <f ca="1">IFERROR(__xludf.DUMMYFUNCTION("INDEX(IMPORTRANGE(""17pNv02DXDpQT9S3w4-QeNym2QJy2BzMBqDXp-XtzJBM"", ""'MTY'!BM3:BM139""),MATCH($D84,IMPORTRANGE(""17pNv02DXDpQT9S3w4-QeNym2QJy2BzMBqDXp-XtzJBM"", ""'MTY'!D3:D139""),0))"),633)</f>
        <v>633</v>
      </c>
    </row>
    <row r="85" spans="1:31">
      <c r="A85" s="9" t="s">
        <v>199</v>
      </c>
      <c r="B85" s="9" t="s">
        <v>228</v>
      </c>
      <c r="C85" s="2" t="s">
        <v>30</v>
      </c>
      <c r="D85" s="149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47</v>
      </c>
      <c r="R85" s="2">
        <v>97</v>
      </c>
      <c r="S85" s="2">
        <f ca="1">IFERROR(__xludf.DUMMYFUNCTION("INDEX(IMPORTRANGE(""17pNv02DXDpQT9S3w4-QeNym2QJy2BzMBqDXp-XtzJBM"", ""'MTY'!BG3:BG139""),MATCH($D85,IMPORTRANGE(""17pNv02DXDpQT9S3w4-QeNym2QJy2BzMBqDXp-XtzJBM"", ""'MTY'!D3:D139""),0))"),84)</f>
        <v>84</v>
      </c>
      <c r="T85" s="6"/>
      <c r="U85" s="6"/>
      <c r="V85" s="6"/>
      <c r="W85" s="6"/>
      <c r="X85" s="6"/>
      <c r="Y85" s="6"/>
      <c r="Z85" s="12">
        <f ca="1">IFERROR(__xludf.DUMMYFUNCTION("INDEX(IMPORTRANGE(""17pNv02DXDpQT9S3w4-QeNym2QJy2BzMBqDXp-XtzJBM"", ""'MTY'!BH3:BH139""),MATCH($D85,IMPORTRANGE(""17pNv02DXDpQT9S3w4-QeNym2QJy2BzMBqDXp-XtzJBM"", ""'MTY'!D3:D139""),0))"),24)</f>
        <v>24</v>
      </c>
      <c r="AA85" s="12">
        <f ca="1">IFERROR(__xludf.DUMMYFUNCTION("INDEX(IMPORTRANGE(""17pNv02DXDpQT9S3w4-QeNym2QJy2BzMBqDXp-XtzJBM"", ""'MTY'!BI3:BI139""),MATCH($D85,IMPORTRANGE(""17pNv02DXDpQT9S3w4-QeNym2QJy2BzMBqDXp-XtzJBM"", ""'MTY'!D3:D139""),0))"),77)</f>
        <v>77</v>
      </c>
      <c r="AB85" s="12">
        <f ca="1">IFERROR(__xludf.DUMMYFUNCTION("INDEX(IMPORTRANGE(""17pNv02DXDpQT9S3w4-QeNym2QJy2BzMBqDXp-XtzJBM"", ""'MTY'!BJ3:BJ139""),MATCH($D85,IMPORTRANGE(""17pNv02DXDpQT9S3w4-QeNym2QJy2BzMBqDXp-XtzJBM"", ""'MTY'!D3:D139""),0))"),44)</f>
        <v>44</v>
      </c>
      <c r="AC85" s="12">
        <f ca="1">IFERROR(__xludf.DUMMYFUNCTION("INDEX(IMPORTRANGE(""17pNv02DXDpQT9S3w4-QeNym2QJy2BzMBqDXp-XtzJBM"", ""'MTY'!BK3:BK139""),MATCH($D85,IMPORTRANGE(""17pNv02DXDpQT9S3w4-QeNym2QJy2BzMBqDXp-XtzJBM"", ""'MTY'!D3:D139""),0))"),85)</f>
        <v>85</v>
      </c>
      <c r="AD85" s="12">
        <f ca="1">IFERROR(__xludf.DUMMYFUNCTION("INDEX(IMPORTRANGE(""17pNv02DXDpQT9S3w4-QeNym2QJy2BzMBqDXp-XtzJBM"", ""'MTY'!BL3:BL139""),MATCH($D85,IMPORTRANGE(""17pNv02DXDpQT9S3w4-QeNym2QJy2BzMBqDXp-XtzJBM"", ""'MTY'!D3:D139""),0))"),37)</f>
        <v>37</v>
      </c>
      <c r="AE85" s="12">
        <f ca="1">IFERROR(__xludf.DUMMYFUNCTION("INDEX(IMPORTRANGE(""17pNv02DXDpQT9S3w4-QeNym2QJy2BzMBqDXp-XtzJBM"", ""'MTY'!BM3:BM139""),MATCH($D85,IMPORTRANGE(""17pNv02DXDpQT9S3w4-QeNym2QJy2BzMBqDXp-XtzJBM"", ""'MTY'!D3:D139""),0))"),76)</f>
        <v>76</v>
      </c>
    </row>
    <row r="86" spans="1:31">
      <c r="A86" s="9" t="s">
        <v>199</v>
      </c>
      <c r="B86" s="9" t="s">
        <v>228</v>
      </c>
      <c r="C86" s="2" t="s">
        <v>30</v>
      </c>
      <c r="D86" s="149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12566</v>
      </c>
      <c r="R86" s="2">
        <v>23525</v>
      </c>
      <c r="S86" s="2">
        <f ca="1">IFERROR(__xludf.DUMMYFUNCTION("INDEX(IMPORTRANGE(""17pNv02DXDpQT9S3w4-QeNym2QJy2BzMBqDXp-XtzJBM"", ""'MTY'!BG3:BG139""),MATCH($D86,IMPORTRANGE(""17pNv02DXDpQT9S3w4-QeNym2QJy2BzMBqDXp-XtzJBM"", ""'MTY'!D3:D139""),0))"),21737)</f>
        <v>21737</v>
      </c>
      <c r="T86" s="4"/>
      <c r="U86" s="4"/>
      <c r="V86" s="4"/>
      <c r="W86" s="4"/>
      <c r="X86" s="4"/>
      <c r="Y86" s="4"/>
      <c r="Z86" s="12">
        <f ca="1">IFERROR(__xludf.DUMMYFUNCTION("INDEX(IMPORTRANGE(""17pNv02DXDpQT9S3w4-QeNym2QJy2BzMBqDXp-XtzJBM"", ""'MTY'!BH3:BH139""),MATCH($D86,IMPORTRANGE(""17pNv02DXDpQT9S3w4-QeNym2QJy2BzMBqDXp-XtzJBM"", ""'MTY'!D3:D139""),0))"),10796)</f>
        <v>10796</v>
      </c>
      <c r="AA86" s="12">
        <f ca="1">IFERROR(__xludf.DUMMYFUNCTION("INDEX(IMPORTRANGE(""17pNv02DXDpQT9S3w4-QeNym2QJy2BzMBqDXp-XtzJBM"", ""'MTY'!BI3:BI139""),MATCH($D86,IMPORTRANGE(""17pNv02DXDpQT9S3w4-QeNym2QJy2BzMBqDXp-XtzJBM"", ""'MTY'!D3:D139""),0))"),22239)</f>
        <v>22239</v>
      </c>
      <c r="AB86" s="12">
        <f ca="1">IFERROR(__xludf.DUMMYFUNCTION("INDEX(IMPORTRANGE(""17pNv02DXDpQT9S3w4-QeNym2QJy2BzMBqDXp-XtzJBM"", ""'MTY'!BJ3:BJ139""),MATCH($D86,IMPORTRANGE(""17pNv02DXDpQT9S3w4-QeNym2QJy2BzMBqDXp-XtzJBM"", ""'MTY'!D3:D139""),0))"),12580)</f>
        <v>12580</v>
      </c>
      <c r="AC86" s="12">
        <f ca="1">IFERROR(__xludf.DUMMYFUNCTION("INDEX(IMPORTRANGE(""17pNv02DXDpQT9S3w4-QeNym2QJy2BzMBqDXp-XtzJBM"", ""'MTY'!BK3:BK139""),MATCH($D86,IMPORTRANGE(""17pNv02DXDpQT9S3w4-QeNym2QJy2BzMBqDXp-XtzJBM"", ""'MTY'!D3:D139""),0))"),26152)</f>
        <v>26152</v>
      </c>
      <c r="AD86" s="12">
        <f ca="1">IFERROR(__xludf.DUMMYFUNCTION("INDEX(IMPORTRANGE(""17pNv02DXDpQT9S3w4-QeNym2QJy2BzMBqDXp-XtzJBM"", ""'MTY'!BL3:BL139""),MATCH($D86,IMPORTRANGE(""17pNv02DXDpQT9S3w4-QeNym2QJy2BzMBqDXp-XtzJBM"", ""'MTY'!D3:D139""),0))"),12442)</f>
        <v>12442</v>
      </c>
      <c r="AE86" s="12">
        <f ca="1">IFERROR(__xludf.DUMMYFUNCTION("INDEX(IMPORTRANGE(""17pNv02DXDpQT9S3w4-QeNym2QJy2BzMBqDXp-XtzJBM"", ""'MTY'!BM3:BM139""),MATCH($D86,IMPORTRANGE(""17pNv02DXDpQT9S3w4-QeNym2QJy2BzMBqDXp-XtzJBM"", ""'MTY'!D3:D139""),0))"),24238)</f>
        <v>24238</v>
      </c>
    </row>
    <row r="87" spans="1:31">
      <c r="A87" s="9" t="s">
        <v>199</v>
      </c>
      <c r="B87" s="9" t="s">
        <v>228</v>
      </c>
      <c r="C87" s="2" t="s">
        <v>30</v>
      </c>
      <c r="D87" s="149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580</v>
      </c>
      <c r="R87" s="2">
        <v>1310</v>
      </c>
      <c r="S87" s="2">
        <f ca="1">IFERROR(__xludf.DUMMYFUNCTION("INDEX(IMPORTRANGE(""17pNv02DXDpQT9S3w4-QeNym2QJy2BzMBqDXp-XtzJBM"", ""'MTY'!BG3:BG139""),MATCH($D87,IMPORTRANGE(""17pNv02DXDpQT9S3w4-QeNym2QJy2BzMBqDXp-XtzJBM"", ""'MTY'!D3:D139""),0))"),1196)</f>
        <v>1196</v>
      </c>
      <c r="T87" s="4"/>
      <c r="U87" s="4"/>
      <c r="V87" s="4"/>
      <c r="W87" s="4"/>
      <c r="X87" s="4"/>
      <c r="Y87" s="4"/>
      <c r="Z87" s="12">
        <f ca="1">IFERROR(__xludf.DUMMYFUNCTION("INDEX(IMPORTRANGE(""17pNv02DXDpQT9S3w4-QeNym2QJy2BzMBqDXp-XtzJBM"", ""'MTY'!BH3:BH139""),MATCH($D87,IMPORTRANGE(""17pNv02DXDpQT9S3w4-QeNym2QJy2BzMBqDXp-XtzJBM"", ""'MTY'!D3:D139""),0))"),434)</f>
        <v>434</v>
      </c>
      <c r="AA87" s="12">
        <f ca="1">IFERROR(__xludf.DUMMYFUNCTION("INDEX(IMPORTRANGE(""17pNv02DXDpQT9S3w4-QeNym2QJy2BzMBqDXp-XtzJBM"", ""'MTY'!BI3:BI139""),MATCH($D87,IMPORTRANGE(""17pNv02DXDpQT9S3w4-QeNym2QJy2BzMBqDXp-XtzJBM"", ""'MTY'!D3:D139""),0))"),1507)</f>
        <v>1507</v>
      </c>
      <c r="AB87" s="12">
        <f ca="1">IFERROR(__xludf.DUMMYFUNCTION("INDEX(IMPORTRANGE(""17pNv02DXDpQT9S3w4-QeNym2QJy2BzMBqDXp-XtzJBM"", ""'MTY'!BJ3:BJ139""),MATCH($D87,IMPORTRANGE(""17pNv02DXDpQT9S3w4-QeNym2QJy2BzMBqDXp-XtzJBM"", ""'MTY'!D3:D139""),0))"),1082)</f>
        <v>1082</v>
      </c>
      <c r="AC87" s="12">
        <f ca="1">IFERROR(__xludf.DUMMYFUNCTION("INDEX(IMPORTRANGE(""17pNv02DXDpQT9S3w4-QeNym2QJy2BzMBqDXp-XtzJBM"", ""'MTY'!BK3:BK139""),MATCH($D87,IMPORTRANGE(""17pNv02DXDpQT9S3w4-QeNym2QJy2BzMBqDXp-XtzJBM"", ""'MTY'!D3:D139""),0))"),2583)</f>
        <v>2583</v>
      </c>
      <c r="AD87" s="12">
        <f ca="1">IFERROR(__xludf.DUMMYFUNCTION("INDEX(IMPORTRANGE(""17pNv02DXDpQT9S3w4-QeNym2QJy2BzMBqDXp-XtzJBM"", ""'MTY'!BL3:BL139""),MATCH($D87,IMPORTRANGE(""17pNv02DXDpQT9S3w4-QeNym2QJy2BzMBqDXp-XtzJBM"", ""'MTY'!D3:D139""),0))"),1303)</f>
        <v>1303</v>
      </c>
      <c r="AE87" s="12">
        <f ca="1">IFERROR(__xludf.DUMMYFUNCTION("INDEX(IMPORTRANGE(""17pNv02DXDpQT9S3w4-QeNym2QJy2BzMBqDXp-XtzJBM"", ""'MTY'!BM3:BM139""),MATCH($D87,IMPORTRANGE(""17pNv02DXDpQT9S3w4-QeNym2QJy2BzMBqDXp-XtzJBM"", ""'MTY'!D3:D139""),0))"),2562)</f>
        <v>2562</v>
      </c>
    </row>
    <row r="88" spans="1:31">
      <c r="A88" s="9" t="s">
        <v>199</v>
      </c>
      <c r="B88" s="9" t="s">
        <v>228</v>
      </c>
      <c r="C88" s="2" t="s">
        <v>30</v>
      </c>
      <c r="D88" s="149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3003</v>
      </c>
      <c r="R88" s="2">
        <v>5668</v>
      </c>
      <c r="S88" s="2">
        <f ca="1">IFERROR(__xludf.DUMMYFUNCTION("INDEX(IMPORTRANGE(""17pNv02DXDpQT9S3w4-QeNym2QJy2BzMBqDXp-XtzJBM"", ""'MTY'!BG3:BG139""),MATCH($D88,IMPORTRANGE(""17pNv02DXDpQT9S3w4-QeNym2QJy2BzMBqDXp-XtzJBM"", ""'MTY'!D3:D139""),0))"),5217)</f>
        <v>5217</v>
      </c>
      <c r="T88" s="4"/>
      <c r="U88" s="4"/>
      <c r="V88" s="4"/>
      <c r="W88" s="4"/>
      <c r="X88" s="4"/>
      <c r="Y88" s="4"/>
      <c r="Z88" s="12">
        <f ca="1">IFERROR(__xludf.DUMMYFUNCTION("INDEX(IMPORTRANGE(""17pNv02DXDpQT9S3w4-QeNym2QJy2BzMBqDXp-XtzJBM"", ""'MTY'!BH3:BH139""),MATCH($D88,IMPORTRANGE(""17pNv02DXDpQT9S3w4-QeNym2QJy2BzMBqDXp-XtzJBM"", ""'MTY'!D3:D139""),0))"),1812)</f>
        <v>1812</v>
      </c>
      <c r="AA88" s="12">
        <f ca="1">IFERROR(__xludf.DUMMYFUNCTION("INDEX(IMPORTRANGE(""17pNv02DXDpQT9S3w4-QeNym2QJy2BzMBqDXp-XtzJBM"", ""'MTY'!BI3:BI139""),MATCH($D88,IMPORTRANGE(""17pNv02DXDpQT9S3w4-QeNym2QJy2BzMBqDXp-XtzJBM"", ""'MTY'!D3:D139""),0))"),3683)</f>
        <v>3683</v>
      </c>
      <c r="AB88" s="12">
        <f ca="1">IFERROR(__xludf.DUMMYFUNCTION("INDEX(IMPORTRANGE(""17pNv02DXDpQT9S3w4-QeNym2QJy2BzMBqDXp-XtzJBM"", ""'MTY'!BJ3:BJ139""),MATCH($D88,IMPORTRANGE(""17pNv02DXDpQT9S3w4-QeNym2QJy2BzMBqDXp-XtzJBM"", ""'MTY'!D3:D139""),0))"),1836)</f>
        <v>1836</v>
      </c>
      <c r="AC88" s="12">
        <f ca="1">IFERROR(__xludf.DUMMYFUNCTION("INDEX(IMPORTRANGE(""17pNv02DXDpQT9S3w4-QeNym2QJy2BzMBqDXp-XtzJBM"", ""'MTY'!BK3:BK139""),MATCH($D88,IMPORTRANGE(""17pNv02DXDpQT9S3w4-QeNym2QJy2BzMBqDXp-XtzJBM"", ""'MTY'!D3:D139""),0))"),3755)</f>
        <v>3755</v>
      </c>
      <c r="AD88" s="12">
        <f ca="1">IFERROR(__xludf.DUMMYFUNCTION("INDEX(IMPORTRANGE(""17pNv02DXDpQT9S3w4-QeNym2QJy2BzMBqDXp-XtzJBM"", ""'MTY'!BL3:BL139""),MATCH($D88,IMPORTRANGE(""17pNv02DXDpQT9S3w4-QeNym2QJy2BzMBqDXp-XtzJBM"", ""'MTY'!D3:D139""),0))"),1954)</f>
        <v>1954</v>
      </c>
      <c r="AE88" s="12">
        <f ca="1">IFERROR(__xludf.DUMMYFUNCTION("INDEX(IMPORTRANGE(""17pNv02DXDpQT9S3w4-QeNym2QJy2BzMBqDXp-XtzJBM"", ""'MTY'!BM3:BM139""),MATCH($D88,IMPORTRANGE(""17pNv02DXDpQT9S3w4-QeNym2QJy2BzMBqDXp-XtzJBM"", ""'MTY'!D3:D139""),0))"),2641)</f>
        <v>2641</v>
      </c>
    </row>
    <row r="89" spans="1:31">
      <c r="A89" s="9" t="s">
        <v>199</v>
      </c>
      <c r="B89" s="9" t="s">
        <v>228</v>
      </c>
      <c r="C89" s="2" t="s">
        <v>36</v>
      </c>
      <c r="D89" s="149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 t="shared" ref="Q89:R89" si="22">SUM(Q84:Q88)</f>
        <v>16613</v>
      </c>
      <c r="R89" s="12">
        <f t="shared" si="22"/>
        <v>31401</v>
      </c>
      <c r="S89" s="12">
        <f ca="1">IFERROR(__xludf.DUMMYFUNCTION("INDEX(IMPORTRANGE(""17pNv02DXDpQT9S3w4-QeNym2QJy2BzMBqDXp-XtzJBM"", ""'MTY'!BG3:BG139""),MATCH($D89,IMPORTRANGE(""17pNv02DXDpQT9S3w4-QeNym2QJy2BzMBqDXp-XtzJBM"", ""'MTY'!D3:D139""),0))"),28959)</f>
        <v>28959</v>
      </c>
      <c r="T89" s="6">
        <v>31213</v>
      </c>
      <c r="U89" s="6">
        <v>16447</v>
      </c>
      <c r="V89" s="6">
        <v>30961</v>
      </c>
      <c r="W89" s="6">
        <v>16314</v>
      </c>
      <c r="X89" s="6">
        <f ca="1">+S89*(1+((Y89-R89)/R89))</f>
        <v>28379.838444635523</v>
      </c>
      <c r="Y89" s="6">
        <v>30773</v>
      </c>
      <c r="Z89" s="12">
        <f ca="1">IFERROR(__xludf.DUMMYFUNCTION("INDEX(IMPORTRANGE(""17pNv02DXDpQT9S3w4-QeNym2QJy2BzMBqDXp-XtzJBM"", ""'MTY'!BH3:BH139""),MATCH($D89,IMPORTRANGE(""17pNv02DXDpQT9S3w4-QeNym2QJy2BzMBqDXp-XtzJBM"", ""'MTY'!D3:D139""),0))"),13388)</f>
        <v>13388</v>
      </c>
      <c r="AA89" s="12">
        <f ca="1">IFERROR(__xludf.DUMMYFUNCTION("INDEX(IMPORTRANGE(""17pNv02DXDpQT9S3w4-QeNym2QJy2BzMBqDXp-XtzJBM"", ""'MTY'!BI3:BI139""),MATCH($D89,IMPORTRANGE(""17pNv02DXDpQT9S3w4-QeNym2QJy2BzMBqDXp-XtzJBM"", ""'MTY'!D3:D139""),0))"),28135)</f>
        <v>28135</v>
      </c>
      <c r="AB89" s="12">
        <f ca="1">IFERROR(__xludf.DUMMYFUNCTION("INDEX(IMPORTRANGE(""17pNv02DXDpQT9S3w4-QeNym2QJy2BzMBqDXp-XtzJBM"", ""'MTY'!BJ3:BJ139""),MATCH($D89,IMPORTRANGE(""17pNv02DXDpQT9S3w4-QeNym2QJy2BzMBqDXp-XtzJBM"", ""'MTY'!D3:D139""),0))"),15908)</f>
        <v>15908</v>
      </c>
      <c r="AC89" s="12">
        <f ca="1">IFERROR(__xludf.DUMMYFUNCTION("INDEX(IMPORTRANGE(""17pNv02DXDpQT9S3w4-QeNym2QJy2BzMBqDXp-XtzJBM"", ""'MTY'!BK3:BK139""),MATCH($D89,IMPORTRANGE(""17pNv02DXDpQT9S3w4-QeNym2QJy2BzMBqDXp-XtzJBM"", ""'MTY'!D3:D139""),0))"),33277)</f>
        <v>33277</v>
      </c>
      <c r="AD89" s="12">
        <f ca="1">IFERROR(__xludf.DUMMYFUNCTION("INDEX(IMPORTRANGE(""17pNv02DXDpQT9S3w4-QeNym2QJy2BzMBqDXp-XtzJBM"", ""'MTY'!BL3:BL139""),MATCH($D89,IMPORTRANGE(""17pNv02DXDpQT9S3w4-QeNym2QJy2BzMBqDXp-XtzJBM"", ""'MTY'!D3:D139""),0))"),16088)</f>
        <v>16088</v>
      </c>
      <c r="AE89" s="12">
        <f ca="1">IFERROR(__xludf.DUMMYFUNCTION("INDEX(IMPORTRANGE(""17pNv02DXDpQT9S3w4-QeNym2QJy2BzMBqDXp-XtzJBM"", ""'MTY'!BM3:BM139""),MATCH($D89,IMPORTRANGE(""17pNv02DXDpQT9S3w4-QeNym2QJy2BzMBqDXp-XtzJBM"", ""'MTY'!D3:D139""),0))"),30150)</f>
        <v>30150</v>
      </c>
    </row>
    <row r="90" spans="1:31">
      <c r="A90" s="9" t="s">
        <v>243</v>
      </c>
      <c r="B90" s="9" t="s">
        <v>244</v>
      </c>
      <c r="C90" s="2" t="s">
        <v>36</v>
      </c>
      <c r="D90" s="149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5</v>
      </c>
      <c r="R90" s="2">
        <v>12</v>
      </c>
      <c r="S90" s="2">
        <f ca="1">IFERROR(__xludf.DUMMYFUNCTION("INDEX(IMPORTRANGE(""17pNv02DXDpQT9S3w4-QeNym2QJy2BzMBqDXp-XtzJBM"", ""'MTY'!BG3:BG139""),MATCH($D90,IMPORTRANGE(""17pNv02DXDpQT9S3w4-QeNym2QJy2BzMBqDXp-XtzJBM"", ""'MTY'!D3:D139""),0))"),12)</f>
        <v>12</v>
      </c>
      <c r="T90" s="2">
        <v>157</v>
      </c>
      <c r="U90" s="2">
        <v>87</v>
      </c>
      <c r="V90" s="2">
        <v>157</v>
      </c>
      <c r="W90" s="2">
        <v>87</v>
      </c>
      <c r="X90" s="29">
        <f t="shared" ref="X90:X91" si="23">(Y90-W90)/6*5+W90</f>
        <v>145.33333333333331</v>
      </c>
      <c r="Y90" s="2">
        <v>157</v>
      </c>
      <c r="Z90" s="12">
        <f ca="1">IFERROR(__xludf.DUMMYFUNCTION("INDEX(IMPORTRANGE(""17pNv02DXDpQT9S3w4-QeNym2QJy2BzMBqDXp-XtzJBM"", ""'MTY'!BH3:BH139""),MATCH($D90,IMPORTRANGE(""17pNv02DXDpQT9S3w4-QeNym2QJy2BzMBqDXp-XtzJBM"", ""'MTY'!D3:D139""),0))"),94)</f>
        <v>94</v>
      </c>
      <c r="AA90" s="2">
        <f ca="1">IFERROR(__xludf.DUMMYFUNCTION("INDEX(IMPORTRANGE(""17pNv02DXDpQT9S3w4-QeNym2QJy2BzMBqDXp-XtzJBM"", ""'MTY'!BI3:BI139""),MATCH($D90,IMPORTRANGE(""17pNv02DXDpQT9S3w4-QeNym2QJy2BzMBqDXp-XtzJBM"", ""'MTY'!D3:D139""),0))"),255)</f>
        <v>255</v>
      </c>
      <c r="AB90" s="12">
        <f ca="1">IFERROR(__xludf.DUMMYFUNCTION("INDEX(IMPORTRANGE(""17pNv02DXDpQT9S3w4-QeNym2QJy2BzMBqDXp-XtzJBM"", ""'MTY'!BJ3:BJ139""),MATCH($D90,IMPORTRANGE(""17pNv02DXDpQT9S3w4-QeNym2QJy2BzMBqDXp-XtzJBM"", ""'MTY'!D3:D139""),0))"),178)</f>
        <v>178</v>
      </c>
      <c r="AC90" s="2">
        <f ca="1">IFERROR(__xludf.DUMMYFUNCTION("INDEX(IMPORTRANGE(""17pNv02DXDpQT9S3w4-QeNym2QJy2BzMBqDXp-XtzJBM"", ""'MTY'!BK3:BK139""),MATCH($D90,IMPORTRANGE(""17pNv02DXDpQT9S3w4-QeNym2QJy2BzMBqDXp-XtzJBM"", ""'MTY'!D3:D139""),0))"),178)</f>
        <v>178</v>
      </c>
      <c r="AD90" s="12">
        <f ca="1">IFERROR(__xludf.DUMMYFUNCTION("INDEX(IMPORTRANGE(""17pNv02DXDpQT9S3w4-QeNym2QJy2BzMBqDXp-XtzJBM"", ""'MTY'!BL3:BL139""),MATCH($D90,IMPORTRANGE(""17pNv02DXDpQT9S3w4-QeNym2QJy2BzMBqDXp-XtzJBM"", ""'MTY'!D3:D139""),0))"),71)</f>
        <v>71</v>
      </c>
      <c r="AE90" s="12">
        <f ca="1">IFERROR(__xludf.DUMMYFUNCTION("INDEX(IMPORTRANGE(""17pNv02DXDpQT9S3w4-QeNym2QJy2BzMBqDXp-XtzJBM"", ""'MTY'!BM3:BM139""),MATCH($D90,IMPORTRANGE(""17pNv02DXDpQT9S3w4-QeNym2QJy2BzMBqDXp-XtzJBM"", ""'MTY'!D3:D139""),0))"),173)</f>
        <v>173</v>
      </c>
    </row>
    <row r="91" spans="1:31">
      <c r="A91" s="9" t="s">
        <v>243</v>
      </c>
      <c r="B91" s="9" t="s">
        <v>247</v>
      </c>
      <c r="C91" s="2" t="s">
        <v>36</v>
      </c>
      <c r="D91" s="149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1" t="s">
        <v>361</v>
      </c>
      <c r="P91" s="11">
        <v>45565</v>
      </c>
      <c r="Q91" s="2">
        <v>2</v>
      </c>
      <c r="R91" s="2">
        <v>2</v>
      </c>
      <c r="S91" s="2">
        <f ca="1">IFERROR(__xludf.DUMMYFUNCTION("INDEX(IMPORTRANGE(""17pNv02DXDpQT9S3w4-QeNym2QJy2BzMBqDXp-XtzJBM"", ""'MTY'!BG3:BG139""),MATCH($D91,IMPORTRANGE(""17pNv02DXDpQT9S3w4-QeNym2QJy2BzMBqDXp-XtzJBM"", ""'MTY'!D3:D139""),0))"),2)</f>
        <v>2</v>
      </c>
      <c r="T91" s="2">
        <v>2</v>
      </c>
      <c r="U91" s="2">
        <v>22</v>
      </c>
      <c r="V91" s="2">
        <v>27</v>
      </c>
      <c r="W91" s="2">
        <v>32</v>
      </c>
      <c r="X91" s="29">
        <f t="shared" si="23"/>
        <v>38.666666666666664</v>
      </c>
      <c r="Y91" s="2">
        <v>40</v>
      </c>
      <c r="Z91" s="12">
        <f ca="1">IFERROR(__xludf.DUMMYFUNCTION("INDEX(IMPORTRANGE(""17pNv02DXDpQT9S3w4-QeNym2QJy2BzMBqDXp-XtzJBM"", ""'MTY'!BH3:BH139""),MATCH($D91,IMPORTRANGE(""17pNv02DXDpQT9S3w4-QeNym2QJy2BzMBqDXp-XtzJBM"", ""'MTY'!D3:D139""),0))"),2)</f>
        <v>2</v>
      </c>
      <c r="AA91" s="2">
        <f ca="1">IFERROR(__xludf.DUMMYFUNCTION("INDEX(IMPORTRANGE(""17pNv02DXDpQT9S3w4-QeNym2QJy2BzMBqDXp-XtzJBM"", ""'MTY'!BI3:BI139""),MATCH($D91,IMPORTRANGE(""17pNv02DXDpQT9S3w4-QeNym2QJy2BzMBqDXp-XtzJBM"", ""'MTY'!D3:D139""),0))"),4)</f>
        <v>4</v>
      </c>
      <c r="AB91" s="12">
        <f ca="1">IFERROR(__xludf.DUMMYFUNCTION("INDEX(IMPORTRANGE(""17pNv02DXDpQT9S3w4-QeNym2QJy2BzMBqDXp-XtzJBM"", ""'MTY'!BJ3:BJ139""),MATCH($D91,IMPORTRANGE(""17pNv02DXDpQT9S3w4-QeNym2QJy2BzMBqDXp-XtzJBM"", ""'MTY'!D3:D139""),0))"),3)</f>
        <v>3</v>
      </c>
      <c r="AC91" s="2">
        <f ca="1">IFERROR(__xludf.DUMMYFUNCTION("INDEX(IMPORTRANGE(""17pNv02DXDpQT9S3w4-QeNym2QJy2BzMBqDXp-XtzJBM"", ""'MTY'!BK3:BK139""),MATCH($D91,IMPORTRANGE(""17pNv02DXDpQT9S3w4-QeNym2QJy2BzMBqDXp-XtzJBM"", ""'MTY'!D3:D139""),0))"),9)</f>
        <v>9</v>
      </c>
      <c r="AD91" s="12">
        <f ca="1">IFERROR(__xludf.DUMMYFUNCTION("INDEX(IMPORTRANGE(""17pNv02DXDpQT9S3w4-QeNym2QJy2BzMBqDXp-XtzJBM"", ""'MTY'!BL3:BL139""),MATCH($D91,IMPORTRANGE(""17pNv02DXDpQT9S3w4-QeNym2QJy2BzMBqDXp-XtzJBM"", ""'MTY'!D3:D139""),0))"),23)</f>
        <v>23</v>
      </c>
      <c r="AE91" s="12">
        <f ca="1">IFERROR(__xludf.DUMMYFUNCTION("INDEX(IMPORTRANGE(""17pNv02DXDpQT9S3w4-QeNym2QJy2BzMBqDXp-XtzJBM"", ""'MTY'!BM3:BM139""),MATCH($D91,IMPORTRANGE(""17pNv02DXDpQT9S3w4-QeNym2QJy2BzMBqDXp-XtzJBM"", ""'MTY'!D3:D139""),0))"),51)</f>
        <v>51</v>
      </c>
    </row>
    <row r="92" spans="1:31">
      <c r="A92" s="9" t="s">
        <v>243</v>
      </c>
      <c r="B92" s="9" t="s">
        <v>250</v>
      </c>
      <c r="C92" s="2" t="s">
        <v>36</v>
      </c>
      <c r="D92" s="149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12">
        <v>100</v>
      </c>
      <c r="R92" s="2">
        <v>100</v>
      </c>
      <c r="S92" s="2">
        <f ca="1">IFERROR(__xludf.DUMMYFUNCTION("INDEX(IMPORTRANGE(""17pNv02DXDpQT9S3w4-QeNym2QJy2BzMBqDXp-XtzJBM"", ""'MTY'!BG3:BG139""),MATCH($D92,IMPORTRANGE(""17pNv02DXDpQT9S3w4-QeNym2QJy2BzMBqDXp-XtzJBM"", ""'MTY'!D3:D139""),0))"),100)</f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3">
        <f ca="1">IFERROR(__xludf.DUMMYFUNCTION("INDEX(IMPORTRANGE(""17pNv02DXDpQT9S3w4-QeNym2QJy2BzMBqDXp-XtzJBM"", ""'MTY'!BH3:BH139""),MATCH($D92,IMPORTRANGE(""17pNv02DXDpQT9S3w4-QeNym2QJy2BzMBqDXp-XtzJBM"", ""'MTY'!D3:D139""),0))"),99.77)</f>
        <v>99.77</v>
      </c>
      <c r="AA92" s="23">
        <f ca="1">IFERROR(__xludf.DUMMYFUNCTION("INDEX(IMPORTRANGE(""17pNv02DXDpQT9S3w4-QeNym2QJy2BzMBqDXp-XtzJBM"", ""'MTY'!BI3:BI139""),MATCH($D92,IMPORTRANGE(""17pNv02DXDpQT9S3w4-QeNym2QJy2BzMBqDXp-XtzJBM"", ""'MTY'!D3:D139""),0))"),99.78)</f>
        <v>99.78</v>
      </c>
      <c r="AB92" s="23">
        <f ca="1">IFERROR(__xludf.DUMMYFUNCTION("INDEX(IMPORTRANGE(""17pNv02DXDpQT9S3w4-QeNym2QJy2BzMBqDXp-XtzJBM"", ""'MTY'!BJ3:BJ139""),MATCH($D92,IMPORTRANGE(""17pNv02DXDpQT9S3w4-QeNym2QJy2BzMBqDXp-XtzJBM"", ""'MTY'!D3:D139""),0))"),99.95)</f>
        <v>99.95</v>
      </c>
      <c r="AC92" s="23">
        <f ca="1">IFERROR(__xludf.DUMMYFUNCTION("INDEX(IMPORTRANGE(""17pNv02DXDpQT9S3w4-QeNym2QJy2BzMBqDXp-XtzJBM"", ""'MTY'!BK3:BK139""),MATCH($D92,IMPORTRANGE(""17pNv02DXDpQT9S3w4-QeNym2QJy2BzMBqDXp-XtzJBM"", ""'MTY'!D3:D139""),0))"),98.5)</f>
        <v>98.5</v>
      </c>
      <c r="AD92" s="23">
        <f ca="1">IFERROR(__xludf.DUMMYFUNCTION("INDEX(IMPORTRANGE(""17pNv02DXDpQT9S3w4-QeNym2QJy2BzMBqDXp-XtzJBM"", ""'MTY'!BL3:BL139""),MATCH($D92,IMPORTRANGE(""17pNv02DXDpQT9S3w4-QeNym2QJy2BzMBqDXp-XtzJBM"", ""'MTY'!D3:D139""),0))"),100)</f>
        <v>100</v>
      </c>
      <c r="AE92" s="23">
        <f ca="1">IFERROR(__xludf.DUMMYFUNCTION("INDEX(IMPORTRANGE(""17pNv02DXDpQT9S3w4-QeNym2QJy2BzMBqDXp-XtzJBM"", ""'MTY'!BM3:BM139""),MATCH($D92,IMPORTRANGE(""17pNv02DXDpQT9S3w4-QeNym2QJy2BzMBqDXp-XtzJBM"", ""'MTY'!D3:D139""),0))"),100)</f>
        <v>100</v>
      </c>
    </row>
    <row r="93" spans="1:31">
      <c r="A93" s="9" t="s">
        <v>243</v>
      </c>
      <c r="B93" s="9" t="s">
        <v>257</v>
      </c>
      <c r="C93" s="2" t="s">
        <v>36</v>
      </c>
      <c r="D93" s="149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2">
        <v>0</v>
      </c>
      <c r="R93" s="2">
        <v>0</v>
      </c>
      <c r="S93" s="2">
        <f ca="1">IFERROR(__xludf.DUMMYFUNCTION("INDEX(IMPORTRANGE(""17pNv02DXDpQT9S3w4-QeNym2QJy2BzMBqDXp-XtzJBM"", ""'MTY'!BG3:BG139""),MATCH($D93,IMPORTRANGE(""17pNv02DXDpQT9S3w4-QeNym2QJy2BzMBqDXp-XtzJBM"", ""'MTY'!D3:D139""),0))"),0)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194">
        <f ca="1">IFERROR(__xludf.DUMMYFUNCTION("INDEX(IMPORTRANGE(""17pNv02DXDpQT9S3w4-QeNym2QJy2BzMBqDXp-XtzJBM"", ""'MTY'!BH3:BH139""),MATCH($D93,IMPORTRANGE(""17pNv02DXDpQT9S3w4-QeNym2QJy2BzMBqDXp-XtzJBM"", ""'MTY'!D3:D139""),0))"),0)</f>
        <v>0</v>
      </c>
      <c r="AA93" s="194">
        <f ca="1">IFERROR(__xludf.DUMMYFUNCTION("INDEX(IMPORTRANGE(""17pNv02DXDpQT9S3w4-QeNym2QJy2BzMBqDXp-XtzJBM"", ""'MTY'!BI3:BI139""),MATCH($D93,IMPORTRANGE(""17pNv02DXDpQT9S3w4-QeNym2QJy2BzMBqDXp-XtzJBM"", ""'MTY'!D3:D139""),0))"),0)</f>
        <v>0</v>
      </c>
      <c r="AB93" s="194">
        <f ca="1">IFERROR(__xludf.DUMMYFUNCTION("INDEX(IMPORTRANGE(""17pNv02DXDpQT9S3w4-QeNym2QJy2BzMBqDXp-XtzJBM"", ""'MTY'!BJ3:BJ139""),MATCH($D93,IMPORTRANGE(""17pNv02DXDpQT9S3w4-QeNym2QJy2BzMBqDXp-XtzJBM"", ""'MTY'!D3:D139""),0))"),2.56890168654874)</f>
        <v>2.56890168654874</v>
      </c>
      <c r="AC93" s="194">
        <f ca="1">IFERROR(__xludf.DUMMYFUNCTION("INDEX(IMPORTRANGE(""17pNv02DXDpQT9S3w4-QeNym2QJy2BzMBqDXp-XtzJBM"", ""'MTY'!BK3:BK139""),MATCH($D93,IMPORTRANGE(""17pNv02DXDpQT9S3w4-QeNym2QJy2BzMBqDXp-XtzJBM"", ""'MTY'!D3:D139""),0))"),2.76758535582065)</f>
        <v>2.7675853558206498</v>
      </c>
      <c r="AD93" s="24">
        <f ca="1">IFERROR(__xludf.DUMMYFUNCTION("INDEX(IMPORTRANGE(""17pNv02DXDpQT9S3w4-QeNym2QJy2BzMBqDXp-XtzJBM"", ""'MTY'!BL3:BL139""),MATCH($D93,IMPORTRANGE(""17pNv02DXDpQT9S3w4-QeNym2QJy2BzMBqDXp-XtzJBM"", ""'MTY'!D3:D139""),0))"),2.89058000822706)</f>
        <v>2.8905800082270598</v>
      </c>
      <c r="AE93" s="24">
        <f ca="1">IFERROR(__xludf.DUMMYFUNCTION("INDEX(IMPORTRANGE(""17pNv02DXDpQT9S3w4-QeNym2QJy2BzMBqDXp-XtzJBM"", ""'MTY'!BM3:BM139""),MATCH($D93,IMPORTRANGE(""17pNv02DXDpQT9S3w4-QeNym2QJy2BzMBqDXp-XtzJBM"", ""'MTY'!D3:D139""),0))"),2.79967091731797)</f>
        <v>2.7996709173179699</v>
      </c>
    </row>
    <row r="94" spans="1:31">
      <c r="A94" s="9" t="s">
        <v>243</v>
      </c>
      <c r="B94" s="9" t="s">
        <v>260</v>
      </c>
      <c r="C94" s="2" t="s">
        <v>30</v>
      </c>
      <c r="D94" s="149" t="s">
        <v>261</v>
      </c>
      <c r="E94" s="9" t="s">
        <v>38</v>
      </c>
      <c r="F94" s="9" t="s">
        <v>262</v>
      </c>
      <c r="G94" s="11">
        <v>44469</v>
      </c>
      <c r="H94" s="470"/>
      <c r="I94" s="49">
        <v>44440</v>
      </c>
      <c r="J94" s="11">
        <v>44651</v>
      </c>
      <c r="K94" s="4"/>
      <c r="L94" s="11">
        <v>45016</v>
      </c>
      <c r="M94" s="4"/>
      <c r="N94" s="11">
        <v>45382</v>
      </c>
      <c r="O94" s="11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""'MTY'!BG3:BG139""),MATCH($D94,IMPORTRANGE(""17pNv02DXDpQT9S3w4-QeNym2QJy2BzMBqDXp-XtzJBM"", ""'MTY'!D3:D139""),0))"),"")</f>
        <v/>
      </c>
      <c r="T94" s="4"/>
      <c r="U94" s="4"/>
      <c r="V94" s="4"/>
      <c r="W94" s="4"/>
      <c r="X94" s="4"/>
      <c r="Y94" s="4"/>
      <c r="Z94" s="12">
        <f ca="1">IFERROR(__xludf.DUMMYFUNCTION("INDEX(IMPORTRANGE(""17pNv02DXDpQT9S3w4-QeNym2QJy2BzMBqDXp-XtzJBM"", ""'MTY'!BH3:BH139""),MATCH($D94,IMPORTRANGE(""17pNv02DXDpQT9S3w4-QeNym2QJy2BzMBqDXp-XtzJBM"", ""'MTY'!D3:D139""),0))"),6)</f>
        <v>6</v>
      </c>
      <c r="AA94" s="9">
        <f ca="1">IFERROR(__xludf.DUMMYFUNCTION("INDEX(IMPORTRANGE(""17pNv02DXDpQT9S3w4-QeNym2QJy2BzMBqDXp-XtzJBM"", ""'MTY'!BI3:BI139""),MATCH($D94,IMPORTRANGE(""17pNv02DXDpQT9S3w4-QeNym2QJy2BzMBqDXp-XtzJBM"", ""'MTY'!D3:D139""),0))"),6)</f>
        <v>6</v>
      </c>
      <c r="AB94" s="12">
        <f ca="1">IFERROR(__xludf.DUMMYFUNCTION("INDEX(IMPORTRANGE(""17pNv02DXDpQT9S3w4-QeNym2QJy2BzMBqDXp-XtzJBM"", ""'MTY'!BJ3:BJ139""),MATCH($D94,IMPORTRANGE(""17pNv02DXDpQT9S3w4-QeNym2QJy2BzMBqDXp-XtzJBM"", ""'MTY'!D3:D139""),0))"),5)</f>
        <v>5</v>
      </c>
      <c r="AC94" s="9" t="str">
        <f ca="1">IFERROR(__xludf.DUMMYFUNCTION("INDEX(IMPORTRANGE(""17pNv02DXDpQT9S3w4-QeNym2QJy2BzMBqDXp-XtzJBM"", ""'MTY'!BK3:BK139""),MATCH($D94,IMPORTRANGE(""17pNv02DXDpQT9S3w4-QeNym2QJy2BzMBqDXp-XtzJBM"", ""'MTY'!D3:D139""),0))"),"")</f>
        <v/>
      </c>
      <c r="AD94" s="12">
        <f ca="1">IFERROR(__xludf.DUMMYFUNCTION("INDEX(IMPORTRANGE(""17pNv02DXDpQT9S3w4-QeNym2QJy2BzMBqDXp-XtzJBM"", ""'MTY'!BL3:BL139""),MATCH($D94,IMPORTRANGE(""17pNv02DXDpQT9S3w4-QeNym2QJy2BzMBqDXp-XtzJBM"", ""'MTY'!D3:D139""),0))"),5)</f>
        <v>5</v>
      </c>
      <c r="AE94" s="12">
        <f ca="1">IFERROR(__xludf.DUMMYFUNCTION("INDEX(IMPORTRANGE(""17pNv02DXDpQT9S3w4-QeNym2QJy2BzMBqDXp-XtzJBM"", ""'MTY'!BM3:BM139""),MATCH($D94,IMPORTRANGE(""17pNv02DXDpQT9S3w4-QeNym2QJy2BzMBqDXp-XtzJBM"", ""'MTY'!D3:D139""),0))"),6)</f>
        <v>6</v>
      </c>
    </row>
    <row r="95" spans="1:31">
      <c r="A95" s="9" t="s">
        <v>243</v>
      </c>
      <c r="B95" s="9" t="s">
        <v>260</v>
      </c>
      <c r="C95" s="2" t="s">
        <v>30</v>
      </c>
      <c r="D95" s="149" t="s">
        <v>263</v>
      </c>
      <c r="E95" s="9" t="s">
        <v>38</v>
      </c>
      <c r="F95" s="9" t="s">
        <v>264</v>
      </c>
      <c r="G95" s="11">
        <v>44469</v>
      </c>
      <c r="H95" s="4"/>
      <c r="I95" s="49">
        <v>44440</v>
      </c>
      <c r="J95" s="11">
        <v>44651</v>
      </c>
      <c r="K95" s="4"/>
      <c r="L95" s="11">
        <v>45016</v>
      </c>
      <c r="M95" s="4"/>
      <c r="N95" s="11">
        <v>45382</v>
      </c>
      <c r="O95" s="11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""'MTY'!BG3:BG139""),MATCH($D95,IMPORTRANGE(""17pNv02DXDpQT9S3w4-QeNym2QJy2BzMBqDXp-XtzJBM"", ""'MTY'!D3:D139""),0))"),"")</f>
        <v/>
      </c>
      <c r="T95" s="4"/>
      <c r="U95" s="4"/>
      <c r="V95" s="4"/>
      <c r="W95" s="4"/>
      <c r="X95" s="4"/>
      <c r="Y95" s="4"/>
      <c r="Z95" s="12">
        <f ca="1">IFERROR(__xludf.DUMMYFUNCTION("INDEX(IMPORTRANGE(""17pNv02DXDpQT9S3w4-QeNym2QJy2BzMBqDXp-XtzJBM"", ""'MTY'!BH3:BH139""),MATCH($D95,IMPORTRANGE(""17pNv02DXDpQT9S3w4-QeNym2QJy2BzMBqDXp-XtzJBM"", ""'MTY'!D3:D139""),0))"),12)</f>
        <v>12</v>
      </c>
      <c r="AA95" s="9">
        <f ca="1">IFERROR(__xludf.DUMMYFUNCTION("INDEX(IMPORTRANGE(""17pNv02DXDpQT9S3w4-QeNym2QJy2BzMBqDXp-XtzJBM"", ""'MTY'!BI3:BI139""),MATCH($D95,IMPORTRANGE(""17pNv02DXDpQT9S3w4-QeNym2QJy2BzMBqDXp-XtzJBM"", ""'MTY'!D3:D139""),0))"),12)</f>
        <v>12</v>
      </c>
      <c r="AB95" s="12">
        <f ca="1">IFERROR(__xludf.DUMMYFUNCTION("INDEX(IMPORTRANGE(""17pNv02DXDpQT9S3w4-QeNym2QJy2BzMBqDXp-XtzJBM"", ""'MTY'!BJ3:BJ139""),MATCH($D95,IMPORTRANGE(""17pNv02DXDpQT9S3w4-QeNym2QJy2BzMBqDXp-XtzJBM"", ""'MTY'!D3:D139""),0))"),12)</f>
        <v>12</v>
      </c>
      <c r="AC95" s="9">
        <f ca="1">IFERROR(__xludf.DUMMYFUNCTION("INDEX(IMPORTRANGE(""17pNv02DXDpQT9S3w4-QeNym2QJy2BzMBqDXp-XtzJBM"", ""'MTY'!BK3:BK139""),MATCH($D95,IMPORTRANGE(""17pNv02DXDpQT9S3w4-QeNym2QJy2BzMBqDXp-XtzJBM"", ""'MTY'!D3:D139""),0))"),0)</f>
        <v>0</v>
      </c>
      <c r="AD95" s="12">
        <f ca="1">IFERROR(__xludf.DUMMYFUNCTION("INDEX(IMPORTRANGE(""17pNv02DXDpQT9S3w4-QeNym2QJy2BzMBqDXp-XtzJBM"", ""'MTY'!BL3:BL139""),MATCH($D95,IMPORTRANGE(""17pNv02DXDpQT9S3w4-QeNym2QJy2BzMBqDXp-XtzJBM"", ""'MTY'!D3:D139""),0))"),12)</f>
        <v>12</v>
      </c>
      <c r="AE95" s="12">
        <f ca="1">IFERROR(__xludf.DUMMYFUNCTION("INDEX(IMPORTRANGE(""17pNv02DXDpQT9S3w4-QeNym2QJy2BzMBqDXp-XtzJBM"", ""'MTY'!BM3:BM139""),MATCH($D95,IMPORTRANGE(""17pNv02DXDpQT9S3w4-QeNym2QJy2BzMBqDXp-XtzJBM"", ""'MTY'!D3:D139""),0))"),12)</f>
        <v>12</v>
      </c>
    </row>
    <row r="96" spans="1:31">
      <c r="A96" s="9" t="s">
        <v>243</v>
      </c>
      <c r="B96" s="9" t="s">
        <v>260</v>
      </c>
      <c r="C96" s="2" t="s">
        <v>30</v>
      </c>
      <c r="D96" s="149" t="s">
        <v>265</v>
      </c>
      <c r="E96" s="9" t="s">
        <v>38</v>
      </c>
      <c r="F96" s="9" t="s">
        <v>266</v>
      </c>
      <c r="G96" s="11">
        <v>44469</v>
      </c>
      <c r="H96" s="4"/>
      <c r="I96" s="49">
        <v>44440</v>
      </c>
      <c r="J96" s="11">
        <v>44651</v>
      </c>
      <c r="K96" s="4"/>
      <c r="L96" s="11">
        <v>45016</v>
      </c>
      <c r="M96" s="4"/>
      <c r="N96" s="11">
        <v>45382</v>
      </c>
      <c r="O96" s="11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""'MTY'!BG3:BG139""),MATCH($D96,IMPORTRANGE(""17pNv02DXDpQT9S3w4-QeNym2QJy2BzMBqDXp-XtzJBM"", ""'MTY'!D3:D139""),0))"),"")</f>
        <v/>
      </c>
      <c r="T96" s="4"/>
      <c r="U96" s="4"/>
      <c r="V96" s="4"/>
      <c r="W96" s="4"/>
      <c r="X96" s="4"/>
      <c r="Y96" s="4"/>
      <c r="Z96" s="12">
        <f ca="1">IFERROR(__xludf.DUMMYFUNCTION("INDEX(IMPORTRANGE(""17pNv02DXDpQT9S3w4-QeNym2QJy2BzMBqDXp-XtzJBM"", ""'MTY'!BH3:BH139""),MATCH($D96,IMPORTRANGE(""17pNv02DXDpQT9S3w4-QeNym2QJy2BzMBqDXp-XtzJBM"", ""'MTY'!D3:D139""),0))"),0)</f>
        <v>0</v>
      </c>
      <c r="AA96" s="9">
        <f ca="1">IFERROR(__xludf.DUMMYFUNCTION("INDEX(IMPORTRANGE(""17pNv02DXDpQT9S3w4-QeNym2QJy2BzMBqDXp-XtzJBM"", ""'MTY'!BI3:BI139""),MATCH($D96,IMPORTRANGE(""17pNv02DXDpQT9S3w4-QeNym2QJy2BzMBqDXp-XtzJBM"", ""'MTY'!D3:D139""),0))"),0)</f>
        <v>0</v>
      </c>
      <c r="AB96" s="12">
        <f ca="1">IFERROR(__xludf.DUMMYFUNCTION("INDEX(IMPORTRANGE(""17pNv02DXDpQT9S3w4-QeNym2QJy2BzMBqDXp-XtzJBM"", ""'MTY'!BJ3:BJ139""),MATCH($D96,IMPORTRANGE(""17pNv02DXDpQT9S3w4-QeNym2QJy2BzMBqDXp-XtzJBM"", ""'MTY'!D3:D139""),0))"),0)</f>
        <v>0</v>
      </c>
      <c r="AC96" s="9" t="str">
        <f ca="1">IFERROR(__xludf.DUMMYFUNCTION("INDEX(IMPORTRANGE(""17pNv02DXDpQT9S3w4-QeNym2QJy2BzMBqDXp-XtzJBM"", ""'MTY'!BK3:BK139""),MATCH($D96,IMPORTRANGE(""17pNv02DXDpQT9S3w4-QeNym2QJy2BzMBqDXp-XtzJBM"", ""'MTY'!D3:D139""),0))"),"")</f>
        <v/>
      </c>
      <c r="AD96" s="12">
        <f ca="1">IFERROR(__xludf.DUMMYFUNCTION("INDEX(IMPORTRANGE(""17pNv02DXDpQT9S3w4-QeNym2QJy2BzMBqDXp-XtzJBM"", ""'MTY'!BL3:BL139""),MATCH($D96,IMPORTRANGE(""17pNv02DXDpQT9S3w4-QeNym2QJy2BzMBqDXp-XtzJBM"", ""'MTY'!D3:D139""),0))"),7)</f>
        <v>7</v>
      </c>
      <c r="AE96" s="12">
        <f ca="1">IFERROR(__xludf.DUMMYFUNCTION("INDEX(IMPORTRANGE(""17pNv02DXDpQT9S3w4-QeNym2QJy2BzMBqDXp-XtzJBM"", ""'MTY'!BM3:BM139""),MATCH($D96,IMPORTRANGE(""17pNv02DXDpQT9S3w4-QeNym2QJy2BzMBqDXp-XtzJBM"", ""'MTY'!D3:D139""),0))"),7)</f>
        <v>7</v>
      </c>
    </row>
    <row r="97" spans="1:31">
      <c r="A97" s="9" t="s">
        <v>243</v>
      </c>
      <c r="B97" s="9" t="s">
        <v>260</v>
      </c>
      <c r="C97" s="2" t="s">
        <v>30</v>
      </c>
      <c r="D97" s="149" t="s">
        <v>267</v>
      </c>
      <c r="E97" s="9" t="s">
        <v>38</v>
      </c>
      <c r="F97" s="9" t="s">
        <v>268</v>
      </c>
      <c r="G97" s="11">
        <v>44469</v>
      </c>
      <c r="H97" s="4"/>
      <c r="I97" s="49">
        <v>44440</v>
      </c>
      <c r="J97" s="11">
        <v>44651</v>
      </c>
      <c r="K97" s="4"/>
      <c r="L97" s="11">
        <v>45016</v>
      </c>
      <c r="M97" s="4"/>
      <c r="N97" s="11">
        <v>45382</v>
      </c>
      <c r="O97" s="11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""'MTY'!BG3:BG139""),MATCH($D97,IMPORTRANGE(""17pNv02DXDpQT9S3w4-QeNym2QJy2BzMBqDXp-XtzJBM"", ""'MTY'!D3:D139""),0))"),"")</f>
        <v/>
      </c>
      <c r="T97" s="4"/>
      <c r="U97" s="4"/>
      <c r="V97" s="4"/>
      <c r="W97" s="4"/>
      <c r="X97" s="4"/>
      <c r="Y97" s="4"/>
      <c r="Z97" s="12">
        <f ca="1">IFERROR(__xludf.DUMMYFUNCTION("INDEX(IMPORTRANGE(""17pNv02DXDpQT9S3w4-QeNym2QJy2BzMBqDXp-XtzJBM"", ""'MTY'!BH3:BH139""),MATCH($D97,IMPORTRANGE(""17pNv02DXDpQT9S3w4-QeNym2QJy2BzMBqDXp-XtzJBM"", ""'MTY'!D3:D139""),0))"),0)</f>
        <v>0</v>
      </c>
      <c r="AA97" s="9">
        <f ca="1">IFERROR(__xludf.DUMMYFUNCTION("INDEX(IMPORTRANGE(""17pNv02DXDpQT9S3w4-QeNym2QJy2BzMBqDXp-XtzJBM"", ""'MTY'!BI3:BI139""),MATCH($D97,IMPORTRANGE(""17pNv02DXDpQT9S3w4-QeNym2QJy2BzMBqDXp-XtzJBM"", ""'MTY'!D3:D139""),0))"),0)</f>
        <v>0</v>
      </c>
      <c r="AB97" s="12">
        <f ca="1">IFERROR(__xludf.DUMMYFUNCTION("INDEX(IMPORTRANGE(""17pNv02DXDpQT9S3w4-QeNym2QJy2BzMBqDXp-XtzJBM"", ""'MTY'!BJ3:BJ139""),MATCH($D97,IMPORTRANGE(""17pNv02DXDpQT9S3w4-QeNym2QJy2BzMBqDXp-XtzJBM"", ""'MTY'!D3:D139""),0))"),0)</f>
        <v>0</v>
      </c>
      <c r="AC97" s="9">
        <f ca="1">IFERROR(__xludf.DUMMYFUNCTION("INDEX(IMPORTRANGE(""17pNv02DXDpQT9S3w4-QeNym2QJy2BzMBqDXp-XtzJBM"", ""'MTY'!BK3:BK139""),MATCH($D97,IMPORTRANGE(""17pNv02DXDpQT9S3w4-QeNym2QJy2BzMBqDXp-XtzJBM"", ""'MTY'!D3:D139""),0))"),0)</f>
        <v>0</v>
      </c>
      <c r="AD97" s="12">
        <f ca="1">IFERROR(__xludf.DUMMYFUNCTION("INDEX(IMPORTRANGE(""17pNv02DXDpQT9S3w4-QeNym2QJy2BzMBqDXp-XtzJBM"", ""'MTY'!BL3:BL139""),MATCH($D97,IMPORTRANGE(""17pNv02DXDpQT9S3w4-QeNym2QJy2BzMBqDXp-XtzJBM"", ""'MTY'!D3:D139""),0))"),13)</f>
        <v>13</v>
      </c>
      <c r="AE97" s="12">
        <f ca="1">IFERROR(__xludf.DUMMYFUNCTION("INDEX(IMPORTRANGE(""17pNv02DXDpQT9S3w4-QeNym2QJy2BzMBqDXp-XtzJBM"", ""'MTY'!BM3:BM139""),MATCH($D97,IMPORTRANGE(""17pNv02DXDpQT9S3w4-QeNym2QJy2BzMBqDXp-XtzJBM"", ""'MTY'!D3:D139""),0))"),15)</f>
        <v>15</v>
      </c>
    </row>
    <row r="98" spans="1:31">
      <c r="A98" s="9" t="s">
        <v>243</v>
      </c>
      <c r="B98" s="9" t="s">
        <v>260</v>
      </c>
      <c r="C98" s="2" t="s">
        <v>30</v>
      </c>
      <c r="D98" s="149" t="s">
        <v>269</v>
      </c>
      <c r="E98" s="9" t="s">
        <v>38</v>
      </c>
      <c r="F98" s="9" t="s">
        <v>270</v>
      </c>
      <c r="G98" s="11">
        <v>44469</v>
      </c>
      <c r="H98" s="4"/>
      <c r="I98" s="49">
        <v>44440</v>
      </c>
      <c r="J98" s="11">
        <v>44651</v>
      </c>
      <c r="K98" s="4"/>
      <c r="L98" s="11">
        <v>45016</v>
      </c>
      <c r="M98" s="4"/>
      <c r="N98" s="11">
        <v>45382</v>
      </c>
      <c r="O98" s="11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""'MTY'!BG3:BG139""),MATCH($D98,IMPORTRANGE(""17pNv02DXDpQT9S3w4-QeNym2QJy2BzMBqDXp-XtzJBM"", ""'MTY'!D3:D139""),0))"),"")</f>
        <v/>
      </c>
      <c r="T98" s="4"/>
      <c r="U98" s="4"/>
      <c r="V98" s="4"/>
      <c r="W98" s="4"/>
      <c r="X98" s="4"/>
      <c r="Y98" s="4"/>
      <c r="Z98" s="12">
        <f ca="1">IFERROR(__xludf.DUMMYFUNCTION("INDEX(IMPORTRANGE(""17pNv02DXDpQT9S3w4-QeNym2QJy2BzMBqDXp-XtzJBM"", ""'MTY'!BH3:BH139""),MATCH($D98,IMPORTRANGE(""17pNv02DXDpQT9S3w4-QeNym2QJy2BzMBqDXp-XtzJBM"", ""'MTY'!D3:D139""),0))"),35)</f>
        <v>35</v>
      </c>
      <c r="AA98" s="9">
        <f ca="1">IFERROR(__xludf.DUMMYFUNCTION("INDEX(IMPORTRANGE(""17pNv02DXDpQT9S3w4-QeNym2QJy2BzMBqDXp-XtzJBM"", ""'MTY'!BI3:BI139""),MATCH($D98,IMPORTRANGE(""17pNv02DXDpQT9S3w4-QeNym2QJy2BzMBqDXp-XtzJBM"", ""'MTY'!D3:D139""),0))"),42)</f>
        <v>42</v>
      </c>
      <c r="AB98" s="12">
        <f ca="1">IFERROR(__xludf.DUMMYFUNCTION("INDEX(IMPORTRANGE(""17pNv02DXDpQT9S3w4-QeNym2QJy2BzMBqDXp-XtzJBM"", ""'MTY'!BJ3:BJ139""),MATCH($D98,IMPORTRANGE(""17pNv02DXDpQT9S3w4-QeNym2QJy2BzMBqDXp-XtzJBM"", ""'MTY'!D3:D139""),0))"),42)</f>
        <v>42</v>
      </c>
      <c r="AC98" s="9" t="str">
        <f ca="1">IFERROR(__xludf.DUMMYFUNCTION("INDEX(IMPORTRANGE(""17pNv02DXDpQT9S3w4-QeNym2QJy2BzMBqDXp-XtzJBM"", ""'MTY'!BK3:BK139""),MATCH($D98,IMPORTRANGE(""17pNv02DXDpQT9S3w4-QeNym2QJy2BzMBqDXp-XtzJBM"", ""'MTY'!D3:D139""),0))"),"")</f>
        <v/>
      </c>
      <c r="AD98" s="12">
        <f ca="1">IFERROR(__xludf.DUMMYFUNCTION("INDEX(IMPORTRANGE(""17pNv02DXDpQT9S3w4-QeNym2QJy2BzMBqDXp-XtzJBM"", ""'MTY'!BL3:BL139""),MATCH($D98,IMPORTRANGE(""17pNv02DXDpQT9S3w4-QeNym2QJy2BzMBqDXp-XtzJBM"", ""'MTY'!D3:D139""),0))"),36)</f>
        <v>36</v>
      </c>
      <c r="AE98" s="12">
        <f ca="1">IFERROR(__xludf.DUMMYFUNCTION("INDEX(IMPORTRANGE(""17pNv02DXDpQT9S3w4-QeNym2QJy2BzMBqDXp-XtzJBM"", ""'MTY'!BM3:BM139""),MATCH($D98,IMPORTRANGE(""17pNv02DXDpQT9S3w4-QeNym2QJy2BzMBqDXp-XtzJBM"", ""'MTY'!D3:D139""),0))"),35)</f>
        <v>35</v>
      </c>
    </row>
    <row r="99" spans="1:31">
      <c r="A99" s="9" t="s">
        <v>243</v>
      </c>
      <c r="B99" s="9" t="s">
        <v>260</v>
      </c>
      <c r="C99" s="2" t="s">
        <v>30</v>
      </c>
      <c r="D99" s="149" t="s">
        <v>271</v>
      </c>
      <c r="E99" s="9" t="s">
        <v>38</v>
      </c>
      <c r="F99" s="9" t="s">
        <v>272</v>
      </c>
      <c r="G99" s="11">
        <v>44469</v>
      </c>
      <c r="H99" s="4"/>
      <c r="I99" s="49">
        <v>44440</v>
      </c>
      <c r="J99" s="11">
        <v>44651</v>
      </c>
      <c r="K99" s="4"/>
      <c r="L99" s="11">
        <v>45016</v>
      </c>
      <c r="M99" s="4"/>
      <c r="N99" s="11">
        <v>45382</v>
      </c>
      <c r="O99" s="11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""'MTY'!BG3:BG139""),MATCH($D99,IMPORTRANGE(""17pNv02DXDpQT9S3w4-QeNym2QJy2BzMBqDXp-XtzJBM"", ""'MTY'!D3:D139""),0))"),"")</f>
        <v/>
      </c>
      <c r="T99" s="4"/>
      <c r="U99" s="4"/>
      <c r="V99" s="4"/>
      <c r="W99" s="4"/>
      <c r="X99" s="4"/>
      <c r="Y99" s="4"/>
      <c r="Z99" s="12">
        <f ca="1">IFERROR(__xludf.DUMMYFUNCTION("INDEX(IMPORTRANGE(""17pNv02DXDpQT9S3w4-QeNym2QJy2BzMBqDXp-XtzJBM"", ""'MTY'!BH3:BH139""),MATCH($D99,IMPORTRANGE(""17pNv02DXDpQT9S3w4-QeNym2QJy2BzMBqDXp-XtzJBM"", ""'MTY'!D3:D139""),0))"),98)</f>
        <v>98</v>
      </c>
      <c r="AA99" s="9">
        <f ca="1">IFERROR(__xludf.DUMMYFUNCTION("INDEX(IMPORTRANGE(""17pNv02DXDpQT9S3w4-QeNym2QJy2BzMBqDXp-XtzJBM"", ""'MTY'!BI3:BI139""),MATCH($D99,IMPORTRANGE(""17pNv02DXDpQT9S3w4-QeNym2QJy2BzMBqDXp-XtzJBM"", ""'MTY'!D3:D139""),0))"),102)</f>
        <v>102</v>
      </c>
      <c r="AB99" s="12">
        <f ca="1">IFERROR(__xludf.DUMMYFUNCTION("INDEX(IMPORTRANGE(""17pNv02DXDpQT9S3w4-QeNym2QJy2BzMBqDXp-XtzJBM"", ""'MTY'!BJ3:BJ139""),MATCH($D99,IMPORTRANGE(""17pNv02DXDpQT9S3w4-QeNym2QJy2BzMBqDXp-XtzJBM"", ""'MTY'!D3:D139""),0))"),103)</f>
        <v>103</v>
      </c>
      <c r="AC99" s="9">
        <f ca="1">IFERROR(__xludf.DUMMYFUNCTION("INDEX(IMPORTRANGE(""17pNv02DXDpQT9S3w4-QeNym2QJy2BzMBqDXp-XtzJBM"", ""'MTY'!BK3:BK139""),MATCH($D99,IMPORTRANGE(""17pNv02DXDpQT9S3w4-QeNym2QJy2BzMBqDXp-XtzJBM"", ""'MTY'!D3:D139""),0))"),0)</f>
        <v>0</v>
      </c>
      <c r="AD99" s="12">
        <f ca="1">IFERROR(__xludf.DUMMYFUNCTION("INDEX(IMPORTRANGE(""17pNv02DXDpQT9S3w4-QeNym2QJy2BzMBqDXp-XtzJBM"", ""'MTY'!BL3:BL139""),MATCH($D99,IMPORTRANGE(""17pNv02DXDpQT9S3w4-QeNym2QJy2BzMBqDXp-XtzJBM"", ""'MTY'!D3:D139""),0))"),86)</f>
        <v>86</v>
      </c>
      <c r="AE99" s="12">
        <f ca="1">IFERROR(__xludf.DUMMYFUNCTION("INDEX(IMPORTRANGE(""17pNv02DXDpQT9S3w4-QeNym2QJy2BzMBqDXp-XtzJBM"", ""'MTY'!BM3:BM139""),MATCH($D99,IMPORTRANGE(""17pNv02DXDpQT9S3w4-QeNym2QJy2BzMBqDXp-XtzJBM"", ""'MTY'!D3:D139""),0))"),91)</f>
        <v>91</v>
      </c>
    </row>
    <row r="100" spans="1:31">
      <c r="A100" s="9" t="s">
        <v>243</v>
      </c>
      <c r="B100" s="9" t="s">
        <v>260</v>
      </c>
      <c r="C100" s="2" t="s">
        <v>36</v>
      </c>
      <c r="D100" s="149" t="s">
        <v>273</v>
      </c>
      <c r="E100" s="9" t="s">
        <v>38</v>
      </c>
      <c r="F100" s="9" t="s">
        <v>274</v>
      </c>
      <c r="G100" s="11">
        <v>44469</v>
      </c>
      <c r="H100" s="4"/>
      <c r="I100" s="49">
        <v>44440</v>
      </c>
      <c r="J100" s="11">
        <v>44651</v>
      </c>
      <c r="K100" s="4"/>
      <c r="L100" s="11">
        <v>45016</v>
      </c>
      <c r="M100" s="4"/>
      <c r="N100" s="11">
        <v>45382</v>
      </c>
      <c r="O100" s="11" t="s">
        <v>361</v>
      </c>
      <c r="P100" s="11">
        <v>45565</v>
      </c>
      <c r="Q100" s="254"/>
      <c r="R100" s="254"/>
      <c r="S100" s="30" t="str">
        <f ca="1">IFERROR(__xludf.DUMMYFUNCTION("INDEX(IMPORTRANGE(""17pNv02DXDpQT9S3w4-QeNym2QJy2BzMBqDXp-XtzJBM"", ""'MTY'!BG3:BG139""),MATCH($D100,IMPORTRANGE(""17pNv02DXDpQT9S3w4-QeNym2QJy2BzMBqDXp-XtzJBM"", ""'MTY'!D3:D139""),0))"),"")</f>
        <v/>
      </c>
      <c r="T100" s="4"/>
      <c r="U100" s="60">
        <v>0.5</v>
      </c>
      <c r="V100" s="4"/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""'MTY'!BH3:BH139""),MATCH($D100,IMPORTRANGE(""17pNv02DXDpQT9S3w4-QeNym2QJy2BzMBqDXp-XtzJBM"", ""'MTY'!D3:D139""),0))"),0.372727272727272)</f>
        <v>0.37272727272727202</v>
      </c>
      <c r="AA100" s="15">
        <f ca="1">IFERROR(__xludf.DUMMYFUNCTION("INDEX(IMPORTRANGE(""17pNv02DXDpQT9S3w4-QeNym2QJy2BzMBqDXp-XtzJBM"", ""'MTY'!BI3:BI139""),MATCH($D100,IMPORTRANGE(""17pNv02DXDpQT9S3w4-QeNym2QJy2BzMBqDXp-XtzJBM"", ""'MTY'!D3:D139""),0))"),0.421052631578947)</f>
        <v>0.42105263157894701</v>
      </c>
      <c r="AB100" s="15">
        <f ca="1">IFERROR(__xludf.DUMMYFUNCTION("INDEX(IMPORTRANGE(""17pNv02DXDpQT9S3w4-QeNym2QJy2BzMBqDXp-XtzJBM"", ""'MTY'!BJ3:BJ139""),MATCH($D100,IMPORTRANGE(""17pNv02DXDpQT9S3w4-QeNym2QJy2BzMBqDXp-XtzJBM"", ""'MTY'!D3:D139""),0))"),0.408695652173913)</f>
        <v>0.40869565217391302</v>
      </c>
      <c r="AC100" s="15" t="str">
        <f ca="1">IFERROR(__xludf.DUMMYFUNCTION("INDEX(IMPORTRANGE(""17pNv02DXDpQT9S3w4-QeNym2QJy2BzMBqDXp-XtzJBM"", ""'MTY'!BK3:BK139""),MATCH($D100,IMPORTRANGE(""17pNv02DXDpQT9S3w4-QeNym2QJy2BzMBqDXp-XtzJBM"", ""'MTY'!D3:D139""),0))"),"")</f>
        <v/>
      </c>
      <c r="AD100" s="15">
        <f ca="1">IFERROR(__xludf.DUMMYFUNCTION("INDEX(IMPORTRANGE(""17pNv02DXDpQT9S3w4-QeNym2QJy2BzMBqDXp-XtzJBM"", ""'MTY'!BL3:BL139""),MATCH($D100,IMPORTRANGE(""17pNv02DXDpQT9S3w4-QeNym2QJy2BzMBqDXp-XtzJBM"", ""'MTY'!D3:D139""),0))"),0.432432432432432)</f>
        <v>0.43243243243243201</v>
      </c>
      <c r="AE100" s="15">
        <f ca="1">IFERROR(__xludf.DUMMYFUNCTION("INDEX(IMPORTRANGE(""17pNv02DXDpQT9S3w4-QeNym2QJy2BzMBqDXp-XtzJBM"", ""'MTY'!BM3:BM139""),MATCH($D100,IMPORTRANGE(""17pNv02DXDpQT9S3w4-QeNym2QJy2BzMBqDXp-XtzJBM"", ""'MTY'!D3:D139""),0))"),0.406779661016949)</f>
        <v>0.40677966101694901</v>
      </c>
    </row>
    <row r="101" spans="1:31">
      <c r="A101" s="9" t="s">
        <v>275</v>
      </c>
      <c r="B101" s="9" t="s">
        <v>276</v>
      </c>
      <c r="C101" s="2" t="s">
        <v>30</v>
      </c>
      <c r="D101" s="149" t="s">
        <v>277</v>
      </c>
      <c r="E101" s="9" t="s">
        <v>278</v>
      </c>
      <c r="F101" s="9" t="s">
        <v>279</v>
      </c>
      <c r="G101" s="11" t="s">
        <v>213</v>
      </c>
      <c r="H101" s="2" t="s">
        <v>214</v>
      </c>
      <c r="I101" s="2" t="s">
        <v>368</v>
      </c>
      <c r="J101" s="9" t="s">
        <v>215</v>
      </c>
      <c r="K101" s="4"/>
      <c r="L101" s="9" t="s">
        <v>216</v>
      </c>
      <c r="M101" s="4"/>
      <c r="N101" s="9" t="s">
        <v>217</v>
      </c>
      <c r="O101" s="9" t="s">
        <v>369</v>
      </c>
      <c r="P101" s="2" t="s">
        <v>218</v>
      </c>
      <c r="Q101" s="36">
        <v>3081185453.3200002</v>
      </c>
      <c r="R101" s="36">
        <v>3081185453.3200002</v>
      </c>
      <c r="S101" s="36">
        <f ca="1">IFERROR(__xludf.DUMMYFUNCTION("INDEX(IMPORTRANGE(""17pNv02DXDpQT9S3w4-QeNym2QJy2BzMBqDXp-XtzJBM"", ""'MTY'!BG3:BG139""),MATCH($D101,IMPORTRANGE(""17pNv02DXDpQT9S3w4-QeNym2QJy2BzMBqDXp-XtzJBM"", ""'MTY'!D3:D139""),0))"),1772120818.66)</f>
        <v>1772120818.6600001</v>
      </c>
      <c r="T101" s="4"/>
      <c r="U101" s="4"/>
      <c r="V101" s="4"/>
      <c r="W101" s="4"/>
      <c r="X101" s="4"/>
      <c r="Y101" s="4"/>
      <c r="Z101" s="36">
        <f ca="1">IFERROR(__xludf.DUMMYFUNCTION("INDEX(IMPORTRANGE(""17pNv02DXDpQT9S3w4-QeNym2QJy2BzMBqDXp-XtzJBM"", ""'MTY'!BH3:BH139""),MATCH($D101,IMPORTRANGE(""17pNv02DXDpQT9S3w4-QeNym2QJy2BzMBqDXp-XtzJBM"", ""'MTY'!D3:D139""),0))"),3081185453.32)</f>
        <v>3081185453.3200002</v>
      </c>
      <c r="AA101" s="479" t="str">
        <f ca="1">IFERROR(__xludf.DUMMYFUNCTION("INDEX(IMPORTRANGE(""17pNv02DXDpQT9S3w4-QeNym2QJy2BzMBqDXp-XtzJBM"", ""'MTY'!BI3:BI139""),MATCH($D101,IMPORTRANGE(""17pNv02DXDpQT9S3w4-QeNym2QJy2BzMBqDXp-XtzJBM"", ""'MTY'!D3:D139""),0))"),"")</f>
        <v/>
      </c>
      <c r="AB101" s="36">
        <f ca="1">IFERROR(__xludf.DUMMYFUNCTION("INDEX(IMPORTRANGE(""17pNv02DXDpQT9S3w4-QeNym2QJy2BzMBqDXp-XtzJBM"", ""'MTY'!BJ3:BJ139""),MATCH($D101,IMPORTRANGE(""17pNv02DXDpQT9S3w4-QeNym2QJy2BzMBqDXp-XtzJBM"", ""'MTY'!D3:D139""),0))"),3540135702.81)</f>
        <v>3540135702.8099999</v>
      </c>
      <c r="AC101" s="479" t="str">
        <f ca="1">IFERROR(__xludf.DUMMYFUNCTION("INDEX(IMPORTRANGE(""17pNv02DXDpQT9S3w4-QeNym2QJy2BzMBqDXp-XtzJBM"", ""'MTY'!BK3:BK139""),MATCH($D101,IMPORTRANGE(""17pNv02DXDpQT9S3w4-QeNym2QJy2BzMBqDXp-XtzJBM"", ""'MTY'!D3:D139""),0))"),"")</f>
        <v/>
      </c>
      <c r="AD101" s="36">
        <f ca="1">IFERROR(__xludf.DUMMYFUNCTION("INDEX(IMPORTRANGE(""17pNv02DXDpQT9S3w4-QeNym2QJy2BzMBqDXp-XtzJBM"", ""'MTY'!BL3:BL139""),MATCH($D101,IMPORTRANGE(""17pNv02DXDpQT9S3w4-QeNym2QJy2BzMBqDXp-XtzJBM"", ""'MTY'!D3:D139""),0))"),3677529115.07)</f>
        <v>3677529115.0700002</v>
      </c>
      <c r="AE101" s="36">
        <f ca="1">IFERROR(__xludf.DUMMYFUNCTION("INDEX(IMPORTRANGE(""17pNv02DXDpQT9S3w4-QeNym2QJy2BzMBqDXp-XtzJBM"", ""'MTY'!BM3:BM139""),MATCH($D101,IMPORTRANGE(""17pNv02DXDpQT9S3w4-QeNym2QJy2BzMBqDXp-XtzJBM"", ""'MTY'!D3:D139""),0))"),2347613496.32)</f>
        <v>2347613496.3200002</v>
      </c>
    </row>
    <row r="102" spans="1:31">
      <c r="A102" s="9" t="s">
        <v>275</v>
      </c>
      <c r="B102" s="9" t="s">
        <v>276</v>
      </c>
      <c r="C102" s="2" t="s">
        <v>30</v>
      </c>
      <c r="D102" s="149" t="s">
        <v>280</v>
      </c>
      <c r="E102" s="9" t="s">
        <v>278</v>
      </c>
      <c r="F102" s="9" t="s">
        <v>281</v>
      </c>
      <c r="G102" s="9" t="s">
        <v>213</v>
      </c>
      <c r="H102" s="2" t="s">
        <v>214</v>
      </c>
      <c r="I102" s="2" t="s">
        <v>368</v>
      </c>
      <c r="J102" s="9" t="s">
        <v>215</v>
      </c>
      <c r="K102" s="4"/>
      <c r="L102" s="9" t="s">
        <v>216</v>
      </c>
      <c r="M102" s="4"/>
      <c r="N102" s="9" t="s">
        <v>217</v>
      </c>
      <c r="O102" s="9" t="s">
        <v>369</v>
      </c>
      <c r="P102" s="2" t="s">
        <v>218</v>
      </c>
      <c r="Q102" s="36">
        <v>6868671716.9499998</v>
      </c>
      <c r="R102" s="36">
        <v>6868671716.9499998</v>
      </c>
      <c r="S102" s="36">
        <f ca="1">IFERROR(__xludf.DUMMYFUNCTION("INDEX(IMPORTRANGE(""17pNv02DXDpQT9S3w4-QeNym2QJy2BzMBqDXp-XtzJBM"", ""'MTY'!BG3:BG139""),MATCH($D102,IMPORTRANGE(""17pNv02DXDpQT9S3w4-QeNym2QJy2BzMBqDXp-XtzJBM"", ""'MTY'!D3:D139""),0))"),3699923656.84)</f>
        <v>3699923656.8400002</v>
      </c>
      <c r="T102" s="4"/>
      <c r="U102" s="4"/>
      <c r="V102" s="4"/>
      <c r="W102" s="4"/>
      <c r="X102" s="4"/>
      <c r="Y102" s="4"/>
      <c r="Z102" s="36">
        <f ca="1">IFERROR(__xludf.DUMMYFUNCTION("INDEX(IMPORTRANGE(""17pNv02DXDpQT9S3w4-QeNym2QJy2BzMBqDXp-XtzJBM"", ""'MTY'!BH3:BH139""),MATCH($D102,IMPORTRANGE(""17pNv02DXDpQT9S3w4-QeNym2QJy2BzMBqDXp-XtzJBM"", ""'MTY'!D3:D139""),0))"),6868671716.95)</f>
        <v>6868671716.9499998</v>
      </c>
      <c r="AA102" s="479" t="str">
        <f ca="1">IFERROR(__xludf.DUMMYFUNCTION("INDEX(IMPORTRANGE(""17pNv02DXDpQT9S3w4-QeNym2QJy2BzMBqDXp-XtzJBM"", ""'MTY'!BI3:BI139""),MATCH($D102,IMPORTRANGE(""17pNv02DXDpQT9S3w4-QeNym2QJy2BzMBqDXp-XtzJBM"", ""'MTY'!D3:D139""),0))"),"")</f>
        <v/>
      </c>
      <c r="AB102" s="36">
        <f ca="1">IFERROR(__xludf.DUMMYFUNCTION("INDEX(IMPORTRANGE(""17pNv02DXDpQT9S3w4-QeNym2QJy2BzMBqDXp-XtzJBM"", ""'MTY'!BJ3:BJ139""),MATCH($D102,IMPORTRANGE(""17pNv02DXDpQT9S3w4-QeNym2QJy2BzMBqDXp-XtzJBM"", ""'MTY'!D3:D139""),0))"),8222789935)</f>
        <v>8222789935</v>
      </c>
      <c r="AC102" s="479" t="str">
        <f ca="1">IFERROR(__xludf.DUMMYFUNCTION("INDEX(IMPORTRANGE(""17pNv02DXDpQT9S3w4-QeNym2QJy2BzMBqDXp-XtzJBM"", ""'MTY'!BK3:BK139""),MATCH($D102,IMPORTRANGE(""17pNv02DXDpQT9S3w4-QeNym2QJy2BzMBqDXp-XtzJBM"", ""'MTY'!D3:D139""),0))"),"")</f>
        <v/>
      </c>
      <c r="AD102" s="36">
        <f ca="1">IFERROR(__xludf.DUMMYFUNCTION("INDEX(IMPORTRANGE(""17pNv02DXDpQT9S3w4-QeNym2QJy2BzMBqDXp-XtzJBM"", ""'MTY'!BL3:BL139""),MATCH($D102,IMPORTRANGE(""17pNv02DXDpQT9S3w4-QeNym2QJy2BzMBqDXp-XtzJBM"", ""'MTY'!D3:D139""),0))"),9476934093.05)</f>
        <v>9476934093.0499992</v>
      </c>
      <c r="AE102" s="36">
        <f ca="1">IFERROR(__xludf.DUMMYFUNCTION("INDEX(IMPORTRANGE(""17pNv02DXDpQT9S3w4-QeNym2QJy2BzMBqDXp-XtzJBM"", ""'MTY'!BM3:BM139""),MATCH($D102,IMPORTRANGE(""17pNv02DXDpQT9S3w4-QeNym2QJy2BzMBqDXp-XtzJBM"", ""'MTY'!D3:D139""),0))"),5638901528.39)</f>
        <v>5638901528.3900003</v>
      </c>
    </row>
    <row r="103" spans="1:31">
      <c r="A103" s="9" t="s">
        <v>275</v>
      </c>
      <c r="B103" s="9" t="s">
        <v>276</v>
      </c>
      <c r="C103" s="2" t="s">
        <v>36</v>
      </c>
      <c r="D103" s="149" t="s">
        <v>282</v>
      </c>
      <c r="E103" s="9" t="s">
        <v>278</v>
      </c>
      <c r="F103" s="9" t="s">
        <v>283</v>
      </c>
      <c r="G103" s="9" t="s">
        <v>213</v>
      </c>
      <c r="H103" s="2" t="s">
        <v>214</v>
      </c>
      <c r="I103" s="2" t="s">
        <v>368</v>
      </c>
      <c r="J103" s="9" t="s">
        <v>215</v>
      </c>
      <c r="K103" s="4"/>
      <c r="L103" s="9" t="s">
        <v>216</v>
      </c>
      <c r="M103" s="4"/>
      <c r="N103" s="9" t="s">
        <v>217</v>
      </c>
      <c r="O103" s="9" t="s">
        <v>369</v>
      </c>
      <c r="P103" s="2" t="s">
        <v>218</v>
      </c>
      <c r="Q103" s="15">
        <f t="shared" ref="Q103:R103" si="24">Q101/Q102</f>
        <v>0.4485853423037352</v>
      </c>
      <c r="R103" s="15">
        <f t="shared" si="24"/>
        <v>0.4485853423037352</v>
      </c>
      <c r="S103" s="15">
        <f ca="1">IFERROR(__xludf.DUMMYFUNCTION("INDEX(IMPORTRANGE(""17pNv02DXDpQT9S3w4-QeNym2QJy2BzMBqDXp-XtzJBM"", ""'MTY'!BG3:BG139""),MATCH($D103,IMPORTRANGE(""17pNv02DXDpQT9S3w4-QeNym2QJy2BzMBqDXp-XtzJBM"", ""'MTY'!D3:D139""),0))"),0.478961455159731)</f>
        <v>0.47896145515973099</v>
      </c>
      <c r="T103" s="26"/>
      <c r="U103" s="15">
        <v>0.45900000000000002</v>
      </c>
      <c r="V103" s="15"/>
      <c r="W103" s="15">
        <v>0.46899999999999997</v>
      </c>
      <c r="X103" s="15">
        <f>(Y103-W103)/6*5+W103</f>
        <v>0.46899999999999997</v>
      </c>
      <c r="Y103" s="15">
        <v>0.46899999999999997</v>
      </c>
      <c r="Z103" s="15">
        <f ca="1">IFERROR(__xludf.DUMMYFUNCTION("INDEX(IMPORTRANGE(""17pNv02DXDpQT9S3w4-QeNym2QJy2BzMBqDXp-XtzJBM"", ""'MTY'!BH3:BH139""),MATCH($D103,IMPORTRANGE(""17pNv02DXDpQT9S3w4-QeNym2QJy2BzMBqDXp-XtzJBM"", ""'MTY'!D3:D139""),0))"),0.448585342303735)</f>
        <v>0.44858534230373498</v>
      </c>
      <c r="AA103" s="479" t="str">
        <f ca="1">IFERROR(__xludf.DUMMYFUNCTION("INDEX(IMPORTRANGE(""17pNv02DXDpQT9S3w4-QeNym2QJy2BzMBqDXp-XtzJBM"", ""'MTY'!BI3:BI139""),MATCH($D103,IMPORTRANGE(""17pNv02DXDpQT9S3w4-QeNym2QJy2BzMBqDXp-XtzJBM"", ""'MTY'!D3:D139""),0))"),"")</f>
        <v/>
      </c>
      <c r="AB103" s="15">
        <f ca="1">IFERROR(__xludf.DUMMYFUNCTION("INDEX(IMPORTRANGE(""17pNv02DXDpQT9S3w4-QeNym2QJy2BzMBqDXp-XtzJBM"", ""'MTY'!BJ3:BJ139""),MATCH($D103,IMPORTRANGE(""17pNv02DXDpQT9S3w4-QeNym2QJy2BzMBqDXp-XtzJBM"", ""'MTY'!D3:D139""),0))"),0.430527318683108)</f>
        <v>0.43052731868310801</v>
      </c>
      <c r="AC103" s="479" t="str">
        <f ca="1">IFERROR(__xludf.DUMMYFUNCTION("INDEX(IMPORTRANGE(""17pNv02DXDpQT9S3w4-QeNym2QJy2BzMBqDXp-XtzJBM"", ""'MTY'!BK3:BK139""),MATCH($D103,IMPORTRANGE(""17pNv02DXDpQT9S3w4-QeNym2QJy2BzMBqDXp-XtzJBM"", ""'MTY'!D3:D139""),0))"),"")</f>
        <v/>
      </c>
      <c r="AD103" s="15">
        <f ca="1">IFERROR(__xludf.DUMMYFUNCTION("INDEX(IMPORTRANGE(""17pNv02DXDpQT9S3w4-QeNym2QJy2BzMBqDXp-XtzJBM"", ""'MTY'!BL3:BL139""),MATCH($D103,IMPORTRANGE(""17pNv02DXDpQT9S3w4-QeNym2QJy2BzMBqDXp-XtzJBM"", ""'MTY'!D3:D139""),0))"),0.388050510741332)</f>
        <v>0.38805051074133201</v>
      </c>
      <c r="AE103" s="15">
        <f ca="1">IFERROR(__xludf.DUMMYFUNCTION("INDEX(IMPORTRANGE(""17pNv02DXDpQT9S3w4-QeNym2QJy2BzMBqDXp-XtzJBM"", ""'MTY'!BM3:BM139""),MATCH($D103,IMPORTRANGE(""17pNv02DXDpQT9S3w4-QeNym2QJy2BzMBqDXp-XtzJBM"", ""'MTY'!D3:D139""),0))"),0.416324612958843)</f>
        <v>0.41632461295884299</v>
      </c>
    </row>
    <row r="104" spans="1:31">
      <c r="A104" s="9" t="s">
        <v>275</v>
      </c>
      <c r="B104" s="9" t="s">
        <v>284</v>
      </c>
      <c r="C104" s="2" t="s">
        <v>30</v>
      </c>
      <c r="D104" s="149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2" t="s">
        <v>368</v>
      </c>
      <c r="J104" s="9" t="s">
        <v>215</v>
      </c>
      <c r="K104" s="4"/>
      <c r="L104" s="9" t="s">
        <v>216</v>
      </c>
      <c r="M104" s="4"/>
      <c r="N104" s="9" t="s">
        <v>217</v>
      </c>
      <c r="O104" s="9" t="s">
        <v>369</v>
      </c>
      <c r="P104" s="2" t="s">
        <v>218</v>
      </c>
      <c r="Q104" s="50">
        <v>5072924918.2700005</v>
      </c>
      <c r="R104" s="50">
        <v>5072924918.2700005</v>
      </c>
      <c r="S104" s="50">
        <f ca="1">IFERROR(__xludf.DUMMYFUNCTION("INDEX(IMPORTRANGE(""17pNv02DXDpQT9S3w4-QeNym2QJy2BzMBqDXp-XtzJBM"", ""'MTY'!BG3:BG139""),MATCH($D104,IMPORTRANGE(""17pNv02DXDpQT9S3w4-QeNym2QJy2BzMBqDXp-XtzJBM"", ""'MTY'!D3:D139""),0))"),2816705514.87)</f>
        <v>2816705514.8699999</v>
      </c>
      <c r="T104" s="178"/>
      <c r="U104" s="178"/>
      <c r="V104" s="178"/>
      <c r="W104" s="178"/>
      <c r="X104" s="178"/>
      <c r="Y104" s="178"/>
      <c r="Z104" s="50">
        <f ca="1">IFERROR(__xludf.DUMMYFUNCTION("INDEX(IMPORTRANGE(""17pNv02DXDpQT9S3w4-QeNym2QJy2BzMBqDXp-XtzJBM"", ""'MTY'!BH3:BH139""),MATCH($D104,IMPORTRANGE(""17pNv02DXDpQT9S3w4-QeNym2QJy2BzMBqDXp-XtzJBM"", ""'MTY'!D3:D139""),0))"),5072924918.27)</f>
        <v>5072924918.2700005</v>
      </c>
      <c r="AA104" s="479" t="str">
        <f ca="1">IFERROR(__xludf.DUMMYFUNCTION("INDEX(IMPORTRANGE(""17pNv02DXDpQT9S3w4-QeNym2QJy2BzMBqDXp-XtzJBM"", ""'MTY'!BI3:BI139""),MATCH($D104,IMPORTRANGE(""17pNv02DXDpQT9S3w4-QeNym2QJy2BzMBqDXp-XtzJBM"", ""'MTY'!D3:D139""),0))"),"")</f>
        <v/>
      </c>
      <c r="AB104" s="50">
        <f ca="1">IFERROR(__xludf.DUMMYFUNCTION("INDEX(IMPORTRANGE(""17pNv02DXDpQT9S3w4-QeNym2QJy2BzMBqDXp-XtzJBM"", ""'MTY'!BJ3:BJ139""),MATCH($D104,IMPORTRANGE(""17pNv02DXDpQT9S3w4-QeNym2QJy2BzMBqDXp-XtzJBM"", ""'MTY'!D3:D139""),0))"),5361668150.05)</f>
        <v>5361668150.0500002</v>
      </c>
      <c r="AC104" s="479" t="str">
        <f ca="1">IFERROR(__xludf.DUMMYFUNCTION("INDEX(IMPORTRANGE(""17pNv02DXDpQT9S3w4-QeNym2QJy2BzMBqDXp-XtzJBM"", ""'MTY'!BK3:BK139""),MATCH($D104,IMPORTRANGE(""17pNv02DXDpQT9S3w4-QeNym2QJy2BzMBqDXp-XtzJBM"", ""'MTY'!D3:D139""),0))"),"")</f>
        <v/>
      </c>
      <c r="AD104" s="50">
        <f ca="1">IFERROR(__xludf.DUMMYFUNCTION("INDEX(IMPORTRANGE(""17pNv02DXDpQT9S3w4-QeNym2QJy2BzMBqDXp-XtzJBM"", ""'MTY'!BL3:BL139""),MATCH($D104,IMPORTRANGE(""17pNv02DXDpQT9S3w4-QeNym2QJy2BzMBqDXp-XtzJBM"", ""'MTY'!D3:D139""),0))"),6559834473.03)</f>
        <v>6559834473.0299997</v>
      </c>
      <c r="AE104" s="50">
        <f ca="1">IFERROR(__xludf.DUMMYFUNCTION("INDEX(IMPORTRANGE(""17pNv02DXDpQT9S3w4-QeNym2QJy2BzMBqDXp-XtzJBM"", ""'MTY'!BM3:BM139""),MATCH($D104,IMPORTRANGE(""17pNv02DXDpQT9S3w4-QeNym2QJy2BzMBqDXp-XtzJBM"", ""'MTY'!D3:D139""),0))"),3547264431.17)</f>
        <v>3547264431.1700001</v>
      </c>
    </row>
    <row r="105" spans="1:31">
      <c r="A105" s="9" t="s">
        <v>275</v>
      </c>
      <c r="B105" s="9" t="s">
        <v>276</v>
      </c>
      <c r="C105" s="2" t="s">
        <v>36</v>
      </c>
      <c r="D105" s="149" t="s">
        <v>287</v>
      </c>
      <c r="E105" s="9" t="s">
        <v>278</v>
      </c>
      <c r="F105" s="9" t="s">
        <v>288</v>
      </c>
      <c r="G105" s="9" t="s">
        <v>213</v>
      </c>
      <c r="H105" s="2" t="s">
        <v>214</v>
      </c>
      <c r="I105" s="2" t="s">
        <v>368</v>
      </c>
      <c r="J105" s="9" t="s">
        <v>215</v>
      </c>
      <c r="K105" s="4"/>
      <c r="L105" s="9" t="s">
        <v>216</v>
      </c>
      <c r="M105" s="4"/>
      <c r="N105" s="9" t="s">
        <v>217</v>
      </c>
      <c r="O105" s="9" t="s">
        <v>369</v>
      </c>
      <c r="P105" s="2" t="s">
        <v>218</v>
      </c>
      <c r="Q105" s="15">
        <f t="shared" ref="Q105:R105" si="25">Q101/Q104</f>
        <v>0.60737848538289907</v>
      </c>
      <c r="R105" s="15">
        <f t="shared" si="25"/>
        <v>0.60737848538289907</v>
      </c>
      <c r="S105" s="15">
        <f ca="1">IFERROR(__xludf.DUMMYFUNCTION("INDEX(IMPORTRANGE(""17pNv02DXDpQT9S3w4-QeNym2QJy2BzMBqDXp-XtzJBM"", ""'MTY'!BG3:BG139""),MATCH($D105,IMPORTRANGE(""17pNv02DXDpQT9S3w4-QeNym2QJy2BzMBqDXp-XtzJBM"", ""'MTY'!D3:D139""),0))"),0.607378485382899)</f>
        <v>0.60737848538289896</v>
      </c>
      <c r="T105" s="26"/>
      <c r="U105" s="15">
        <v>0.61</v>
      </c>
      <c r="V105" s="15"/>
      <c r="W105" s="15">
        <v>0.62</v>
      </c>
      <c r="X105" s="15">
        <f>(Y105-W105)/6*5+W105</f>
        <v>0.62</v>
      </c>
      <c r="Y105" s="15">
        <v>0.62</v>
      </c>
      <c r="Z105" s="15">
        <f ca="1">IFERROR(__xludf.DUMMYFUNCTION("INDEX(IMPORTRANGE(""17pNv02DXDpQT9S3w4-QeNym2QJy2BzMBqDXp-XtzJBM"", ""'MTY'!BH3:BH139""),MATCH($D105,IMPORTRANGE(""17pNv02DXDpQT9S3w4-QeNym2QJy2BzMBqDXp-XtzJBM"", ""'MTY'!D3:D139""),0))"),0.607378485382899)</f>
        <v>0.60737848538289896</v>
      </c>
      <c r="AA105" s="479" t="str">
        <f ca="1">IFERROR(__xludf.DUMMYFUNCTION("INDEX(IMPORTRANGE(""17pNv02DXDpQT9S3w4-QeNym2QJy2BzMBqDXp-XtzJBM"", ""'MTY'!BI3:BI139""),MATCH($D105,IMPORTRANGE(""17pNv02DXDpQT9S3w4-QeNym2QJy2BzMBqDXp-XtzJBM"", ""'MTY'!D3:D139""),0))"),"")</f>
        <v/>
      </c>
      <c r="AB105" s="15">
        <f ca="1">IFERROR(__xludf.DUMMYFUNCTION("INDEX(IMPORTRANGE(""17pNv02DXDpQT9S3w4-QeNym2QJy2BzMBqDXp-XtzJBM"", ""'MTY'!BJ3:BJ139""),MATCH($D105,IMPORTRANGE(""17pNv02DXDpQT9S3w4-QeNym2QJy2BzMBqDXp-XtzJBM"", ""'MTY'!D3:D139""),0))"),0.660267589066844)</f>
        <v>0.66026758906684402</v>
      </c>
      <c r="AC105" s="479" t="str">
        <f ca="1">IFERROR(__xludf.DUMMYFUNCTION("INDEX(IMPORTRANGE(""17pNv02DXDpQT9S3w4-QeNym2QJy2BzMBqDXp-XtzJBM"", ""'MTY'!BK3:BK139""),MATCH($D105,IMPORTRANGE(""17pNv02DXDpQT9S3w4-QeNym2QJy2BzMBqDXp-XtzJBM"", ""'MTY'!D3:D139""),0))"),"")</f>
        <v/>
      </c>
      <c r="AD105" s="15">
        <f ca="1">IFERROR(__xludf.DUMMYFUNCTION("INDEX(IMPORTRANGE(""17pNv02DXDpQT9S3w4-QeNym2QJy2BzMBqDXp-XtzJBM"", ""'MTY'!BL3:BL139""),MATCH($D105,IMPORTRANGE(""17pNv02DXDpQT9S3w4-QeNym2QJy2BzMBqDXp-XtzJBM"", ""'MTY'!D3:D139""),0))"),0.560613096289203)</f>
        <v>0.56061309628920297</v>
      </c>
      <c r="AE105" s="15">
        <f ca="1">IFERROR(__xludf.DUMMYFUNCTION("INDEX(IMPORTRANGE(""17pNv02DXDpQT9S3w4-QeNym2QJy2BzMBqDXp-XtzJBM"", ""'MTY'!BM3:BM139""),MATCH($D105,IMPORTRANGE(""17pNv02DXDpQT9S3w4-QeNym2QJy2BzMBqDXp-XtzJBM"", ""'MTY'!D3:D139""),0))"),0.661809555467981)</f>
        <v>0.66180955546798104</v>
      </c>
    </row>
    <row r="106" spans="1:31">
      <c r="A106" s="9" t="s">
        <v>275</v>
      </c>
      <c r="B106" s="9" t="s">
        <v>276</v>
      </c>
      <c r="C106" s="2" t="s">
        <v>30</v>
      </c>
      <c r="D106" s="149" t="s">
        <v>289</v>
      </c>
      <c r="E106" s="9" t="s">
        <v>38</v>
      </c>
      <c r="F106" s="9" t="s">
        <v>112</v>
      </c>
      <c r="G106" s="9" t="s">
        <v>254</v>
      </c>
      <c r="H106" s="9" t="s">
        <v>254</v>
      </c>
      <c r="I106" s="2" t="s">
        <v>370</v>
      </c>
      <c r="J106" s="9" t="s">
        <v>254</v>
      </c>
      <c r="K106" s="4"/>
      <c r="L106" s="9" t="s">
        <v>255</v>
      </c>
      <c r="M106" s="4"/>
      <c r="N106" s="9" t="s">
        <v>256</v>
      </c>
      <c r="O106" s="9" t="s">
        <v>361</v>
      </c>
      <c r="P106" s="2" t="s">
        <v>218</v>
      </c>
      <c r="Q106" s="12">
        <v>426298</v>
      </c>
      <c r="R106" s="12">
        <v>426298</v>
      </c>
      <c r="S106" s="12">
        <f ca="1">IFERROR(__xludf.DUMMYFUNCTION("INDEX(IMPORTRANGE(""17pNv02DXDpQT9S3w4-QeNym2QJy2BzMBqDXp-XtzJBM"", ""'MTY'!BG3:BG139""),MATCH($D106,IMPORTRANGE(""17pNv02DXDpQT9S3w4-QeNym2QJy2BzMBqDXp-XtzJBM"", ""'MTY'!D3:D139""),0))"),421949)</f>
        <v>421949</v>
      </c>
      <c r="T106" s="6"/>
      <c r="U106" s="6"/>
      <c r="V106" s="6"/>
      <c r="W106" s="6"/>
      <c r="X106" s="6"/>
      <c r="Y106" s="6"/>
      <c r="Z106" s="12">
        <f ca="1">IFERROR(__xludf.DUMMYFUNCTION("INDEX(IMPORTRANGE(""17pNv02DXDpQT9S3w4-QeNym2QJy2BzMBqDXp-XtzJBM"", ""'MTY'!BH3:BH139""),MATCH($D106,IMPORTRANGE(""17pNv02DXDpQT9S3w4-QeNym2QJy2BzMBqDXp-XtzJBM"", ""'MTY'!D3:D139""),0))"),426298)</f>
        <v>426298</v>
      </c>
      <c r="AA106" s="479" t="str">
        <f ca="1">IFERROR(__xludf.DUMMYFUNCTION("INDEX(IMPORTRANGE(""17pNv02DXDpQT9S3w4-QeNym2QJy2BzMBqDXp-XtzJBM"", ""'MTY'!BI3:BI139""),MATCH($D106,IMPORTRANGE(""17pNv02DXDpQT9S3w4-QeNym2QJy2BzMBqDXp-XtzJBM"", ""'MTY'!D3:D139""),0))"),"")</f>
        <v/>
      </c>
      <c r="AB106" s="12">
        <f ca="1">IFERROR(__xludf.DUMMYFUNCTION("INDEX(IMPORTRANGE(""17pNv02DXDpQT9S3w4-QeNym2QJy2BzMBqDXp-XtzJBM"", ""'MTY'!BJ3:BJ139""),MATCH($D106,IMPORTRANGE(""17pNv02DXDpQT9S3w4-QeNym2QJy2BzMBqDXp-XtzJBM"", ""'MTY'!D3:D139""),0))"),432349)</f>
        <v>432349</v>
      </c>
      <c r="AC106" s="479" t="str">
        <f ca="1">IFERROR(__xludf.DUMMYFUNCTION("INDEX(IMPORTRANGE(""17pNv02DXDpQT9S3w4-QeNym2QJy2BzMBqDXp-XtzJBM"", ""'MTY'!BK3:BK139""),MATCH($D106,IMPORTRANGE(""17pNv02DXDpQT9S3w4-QeNym2QJy2BzMBqDXp-XtzJBM"", ""'MTY'!D3:D139""),0))"),"")</f>
        <v/>
      </c>
      <c r="AD106" s="12">
        <f ca="1">IFERROR(__xludf.DUMMYFUNCTION("INDEX(IMPORTRANGE(""17pNv02DXDpQT9S3w4-QeNym2QJy2BzMBqDXp-XtzJBM"", ""'MTY'!BL3:BL139""),MATCH($D106,IMPORTRANGE(""17pNv02DXDpQT9S3w4-QeNym2QJy2BzMBqDXp-XtzJBM"", ""'MTY'!D3:D139""),0))"),436472)</f>
        <v>436472</v>
      </c>
      <c r="AE106" s="12">
        <f ca="1">IFERROR(__xludf.DUMMYFUNCTION("INDEX(IMPORTRANGE(""17pNv02DXDpQT9S3w4-QeNym2QJy2BzMBqDXp-XtzJBM"", ""'MTY'!BM3:BM139""),MATCH($D106,IMPORTRANGE(""17pNv02DXDpQT9S3w4-QeNym2QJy2BzMBqDXp-XtzJBM"", ""'MTY'!D3:D139""),0))"),441446)</f>
        <v>441446</v>
      </c>
    </row>
    <row r="107" spans="1:31">
      <c r="A107" s="9" t="s">
        <v>275</v>
      </c>
      <c r="B107" s="9" t="s">
        <v>276</v>
      </c>
      <c r="C107" s="2" t="s">
        <v>30</v>
      </c>
      <c r="D107" s="149" t="s">
        <v>290</v>
      </c>
      <c r="E107" s="9" t="s">
        <v>38</v>
      </c>
      <c r="F107" s="9" t="s">
        <v>291</v>
      </c>
      <c r="G107" s="9" t="s">
        <v>213</v>
      </c>
      <c r="H107" s="2" t="s">
        <v>214</v>
      </c>
      <c r="I107" s="2" t="s">
        <v>365</v>
      </c>
      <c r="J107" s="9" t="s">
        <v>215</v>
      </c>
      <c r="K107" s="4"/>
      <c r="L107" s="9" t="s">
        <v>216</v>
      </c>
      <c r="M107" s="4"/>
      <c r="N107" s="9" t="s">
        <v>217</v>
      </c>
      <c r="O107" s="9" t="s">
        <v>366</v>
      </c>
      <c r="P107" s="2" t="s">
        <v>218</v>
      </c>
      <c r="Q107" s="12">
        <v>276910</v>
      </c>
      <c r="R107" s="12">
        <v>276910</v>
      </c>
      <c r="S107" s="12">
        <f ca="1">IFERROR(__xludf.DUMMYFUNCTION("INDEX(IMPORTRANGE(""17pNv02DXDpQT9S3w4-QeNym2QJy2BzMBqDXp-XtzJBM"", ""'MTY'!BG3:BG139""),MATCH($D107,IMPORTRANGE(""17pNv02DXDpQT9S3w4-QeNym2QJy2BzMBqDXp-XtzJBM"", ""'MTY'!D3:D139""),0))"),231152)</f>
        <v>231152</v>
      </c>
      <c r="T107" s="30"/>
      <c r="U107" s="30"/>
      <c r="V107" s="30"/>
      <c r="W107" s="30"/>
      <c r="X107" s="30"/>
      <c r="Y107" s="30"/>
      <c r="Z107" s="12">
        <f ca="1">IFERROR(__xludf.DUMMYFUNCTION("INDEX(IMPORTRANGE(""17pNv02DXDpQT9S3w4-QeNym2QJy2BzMBqDXp-XtzJBM"", ""'MTY'!BH3:BH139""),MATCH($D107,IMPORTRANGE(""17pNv02DXDpQT9S3w4-QeNym2QJy2BzMBqDXp-XtzJBM"", ""'MTY'!D3:D139""),0))"),276910)</f>
        <v>276910</v>
      </c>
      <c r="AA107" s="479" t="str">
        <f ca="1">IFERROR(__xludf.DUMMYFUNCTION("INDEX(IMPORTRANGE(""17pNv02DXDpQT9S3w4-QeNym2QJy2BzMBqDXp-XtzJBM"", ""'MTY'!BI3:BI139""),MATCH($D107,IMPORTRANGE(""17pNv02DXDpQT9S3w4-QeNym2QJy2BzMBqDXp-XtzJBM"", ""'MTY'!D3:D139""),0))"),"")</f>
        <v/>
      </c>
      <c r="AB107" s="12">
        <f ca="1">IFERROR(__xludf.DUMMYFUNCTION("INDEX(IMPORTRANGE(""17pNv02DXDpQT9S3w4-QeNym2QJy2BzMBqDXp-XtzJBM"", ""'MTY'!BJ3:BJ139""),MATCH($D107,IMPORTRANGE(""17pNv02DXDpQT9S3w4-QeNym2QJy2BzMBqDXp-XtzJBM"", ""'MTY'!D3:D139""),0))"),276172)</f>
        <v>276172</v>
      </c>
      <c r="AC107" s="479" t="str">
        <f ca="1">IFERROR(__xludf.DUMMYFUNCTION("INDEX(IMPORTRANGE(""17pNv02DXDpQT9S3w4-QeNym2QJy2BzMBqDXp-XtzJBM"", ""'MTY'!BK3:BK139""),MATCH($D107,IMPORTRANGE(""17pNv02DXDpQT9S3w4-QeNym2QJy2BzMBqDXp-XtzJBM"", ""'MTY'!D3:D139""),0))"),"")</f>
        <v/>
      </c>
      <c r="AD107" s="12">
        <f ca="1">IFERROR(__xludf.DUMMYFUNCTION("INDEX(IMPORTRANGE(""17pNv02DXDpQT9S3w4-QeNym2QJy2BzMBqDXp-XtzJBM"", ""'MTY'!BL3:BL139""),MATCH($D107,IMPORTRANGE(""17pNv02DXDpQT9S3w4-QeNym2QJy2BzMBqDXp-XtzJBM"", ""'MTY'!D3:D139""),0))"),274322)</f>
        <v>274322</v>
      </c>
      <c r="AE107" s="12">
        <f ca="1">IFERROR(__xludf.DUMMYFUNCTION("INDEX(IMPORTRANGE(""17pNv02DXDpQT9S3w4-QeNym2QJy2BzMBqDXp-XtzJBM"", ""'MTY'!BM3:BM139""),MATCH($D107,IMPORTRANGE(""17pNv02DXDpQT9S3w4-QeNym2QJy2BzMBqDXp-XtzJBM"", ""'MTY'!D3:D139""),0))"),261231)</f>
        <v>261231</v>
      </c>
    </row>
    <row r="108" spans="1:31">
      <c r="A108" s="9" t="s">
        <v>275</v>
      </c>
      <c r="B108" s="9" t="s">
        <v>276</v>
      </c>
      <c r="C108" s="2" t="s">
        <v>36</v>
      </c>
      <c r="D108" s="149" t="s">
        <v>292</v>
      </c>
      <c r="E108" s="9" t="s">
        <v>38</v>
      </c>
      <c r="F108" s="9" t="s">
        <v>293</v>
      </c>
      <c r="G108" s="9" t="s">
        <v>213</v>
      </c>
      <c r="H108" s="2" t="s">
        <v>214</v>
      </c>
      <c r="I108" s="2" t="s">
        <v>365</v>
      </c>
      <c r="J108" s="9" t="s">
        <v>215</v>
      </c>
      <c r="K108" s="4"/>
      <c r="L108" s="9" t="s">
        <v>216</v>
      </c>
      <c r="M108" s="4"/>
      <c r="N108" s="9" t="s">
        <v>217</v>
      </c>
      <c r="O108" s="9" t="s">
        <v>366</v>
      </c>
      <c r="P108" s="2" t="s">
        <v>218</v>
      </c>
      <c r="Q108" s="15">
        <f t="shared" ref="Q108:R108" si="26">Q107/Q106</f>
        <v>0.64956908078386477</v>
      </c>
      <c r="R108" s="15">
        <f t="shared" si="26"/>
        <v>0.64956908078386477</v>
      </c>
      <c r="S108" s="15">
        <f ca="1">IFERROR(__xludf.DUMMYFUNCTION("INDEX(IMPORTRANGE(""17pNv02DXDpQT9S3w4-QeNym2QJy2BzMBqDXp-XtzJBM"", ""'MTY'!BG3:BG139""),MATCH($D108,IMPORTRANGE(""17pNv02DXDpQT9S3w4-QeNym2QJy2BzMBqDXp-XtzJBM"", ""'MTY'!D3:D139""),0))"),0.547819760207987)</f>
        <v>0.54781976020798695</v>
      </c>
      <c r="T108" s="26"/>
      <c r="U108" s="15">
        <v>0.65</v>
      </c>
      <c r="V108" s="15"/>
      <c r="W108" s="15">
        <v>0.66</v>
      </c>
      <c r="X108" s="15">
        <v>0.61</v>
      </c>
      <c r="Y108" s="15">
        <v>0.61</v>
      </c>
      <c r="Z108" s="15">
        <f ca="1">IFERROR(__xludf.DUMMYFUNCTION("INDEX(IMPORTRANGE(""17pNv02DXDpQT9S3w4-QeNym2QJy2BzMBqDXp-XtzJBM"", ""'MTY'!BH3:BH139""),MATCH($D108,IMPORTRANGE(""17pNv02DXDpQT9S3w4-QeNym2QJy2BzMBqDXp-XtzJBM"", ""'MTY'!D3:D139""),0))"),0.649569080783864)</f>
        <v>0.64956908078386399</v>
      </c>
      <c r="AA108" s="479" t="str">
        <f ca="1">IFERROR(__xludf.DUMMYFUNCTION("INDEX(IMPORTRANGE(""17pNv02DXDpQT9S3w4-QeNym2QJy2BzMBqDXp-XtzJBM"", ""'MTY'!BI3:BI139""),MATCH($D108,IMPORTRANGE(""17pNv02DXDpQT9S3w4-QeNym2QJy2BzMBqDXp-XtzJBM"", ""'MTY'!D3:D139""),0))"),"")</f>
        <v/>
      </c>
      <c r="AB108" s="15">
        <f ca="1">IFERROR(__xludf.DUMMYFUNCTION("INDEX(IMPORTRANGE(""17pNv02DXDpQT9S3w4-QeNym2QJy2BzMBqDXp-XtzJBM"", ""'MTY'!BJ3:BJ139""),MATCH($D108,IMPORTRANGE(""17pNv02DXDpQT9S3w4-QeNym2QJy2BzMBqDXp-XtzJBM"", ""'MTY'!D3:D139""),0))"),0.638770992878438)</f>
        <v>0.63877099287843797</v>
      </c>
      <c r="AC108" s="479" t="str">
        <f ca="1">IFERROR(__xludf.DUMMYFUNCTION("INDEX(IMPORTRANGE(""17pNv02DXDpQT9S3w4-QeNym2QJy2BzMBqDXp-XtzJBM"", ""'MTY'!BK3:BK139""),MATCH($D108,IMPORTRANGE(""17pNv02DXDpQT9S3w4-QeNym2QJy2BzMBqDXp-XtzJBM"", ""'MTY'!D3:D139""),0))"),"")</f>
        <v/>
      </c>
      <c r="AD108" s="15">
        <f ca="1">IFERROR(__xludf.DUMMYFUNCTION("INDEX(IMPORTRANGE(""17pNv02DXDpQT9S3w4-QeNym2QJy2BzMBqDXp-XtzJBM"", ""'MTY'!BL3:BL139""),MATCH($D108,IMPORTRANGE(""17pNv02DXDpQT9S3w4-QeNym2QJy2BzMBqDXp-XtzJBM"", ""'MTY'!D3:D139""),0))"),0.628498506204292)</f>
        <v>0.62849850620429204</v>
      </c>
      <c r="AE108" s="15">
        <f ca="1">IFERROR(__xludf.DUMMYFUNCTION("INDEX(IMPORTRANGE(""17pNv02DXDpQT9S3w4-QeNym2QJy2BzMBqDXp-XtzJBM"", ""'MTY'!BM3:BM139""),MATCH($D108,IMPORTRANGE(""17pNv02DXDpQT9S3w4-QeNym2QJy2BzMBqDXp-XtzJBM"", ""'MTY'!D3:D139""),0))"),0.591762072824309)</f>
        <v>0.59176207282430904</v>
      </c>
    </row>
    <row r="109" spans="1:31">
      <c r="A109" s="9" t="s">
        <v>275</v>
      </c>
      <c r="B109" s="9" t="s">
        <v>276</v>
      </c>
      <c r="C109" s="9" t="s">
        <v>30</v>
      </c>
      <c r="D109" s="149" t="s">
        <v>294</v>
      </c>
      <c r="E109" s="9" t="s">
        <v>38</v>
      </c>
      <c r="F109" s="9" t="s">
        <v>295</v>
      </c>
      <c r="G109" s="9" t="s">
        <v>213</v>
      </c>
      <c r="H109" s="2" t="s">
        <v>214</v>
      </c>
      <c r="I109" s="2" t="s">
        <v>365</v>
      </c>
      <c r="J109" s="9" t="s">
        <v>215</v>
      </c>
      <c r="K109" s="4"/>
      <c r="L109" s="9" t="s">
        <v>216</v>
      </c>
      <c r="M109" s="4"/>
      <c r="N109" s="9" t="s">
        <v>217</v>
      </c>
      <c r="O109" s="9" t="s">
        <v>366</v>
      </c>
      <c r="P109" s="2" t="s">
        <v>218</v>
      </c>
      <c r="Q109" s="36"/>
      <c r="R109" s="36"/>
      <c r="S109" s="36">
        <f ca="1">IFERROR(__xludf.DUMMYFUNCTION("INDEX(IMPORTRANGE(""17pNv02DXDpQT9S3w4-QeNym2QJy2BzMBqDXp-XtzJBM"", ""'MTY'!BG3:BG139""),MATCH($D109,IMPORTRANGE(""17pNv02DXDpQT9S3w4-QeNym2QJy2BzMBqDXp-XtzJBM"", ""'MTY'!D3:D139""),0))"),1054757595.06999)</f>
        <v>1054757595.06999</v>
      </c>
      <c r="T109" s="36"/>
      <c r="U109" s="36"/>
      <c r="V109" s="36"/>
      <c r="W109" s="36"/>
      <c r="X109" s="36"/>
      <c r="Y109" s="36"/>
      <c r="Z109" s="36">
        <f ca="1">IFERROR(__xludf.DUMMYFUNCTION("INDEX(IMPORTRANGE(""17pNv02DXDpQT9S3w4-QeNym2QJy2BzMBqDXp-XtzJBM"", ""'MTY'!BH3:BH139""),MATCH($D109,IMPORTRANGE(""17pNv02DXDpQT9S3w4-QeNym2QJy2BzMBqDXp-XtzJBM"", ""'MTY'!D3:D139""),0))"),1379390367.35)</f>
        <v>1379390367.3499999</v>
      </c>
      <c r="AA109" s="479" t="str">
        <f ca="1">IFERROR(__xludf.DUMMYFUNCTION("INDEX(IMPORTRANGE(""17pNv02DXDpQT9S3w4-QeNym2QJy2BzMBqDXp-XtzJBM"", ""'MTY'!BI3:BI139""),MATCH($D109,IMPORTRANGE(""17pNv02DXDpQT9S3w4-QeNym2QJy2BzMBqDXp-XtzJBM"", ""'MTY'!D3:D139""),0))"),"")</f>
        <v/>
      </c>
      <c r="AB109" s="36">
        <f ca="1">IFERROR(__xludf.DUMMYFUNCTION("INDEX(IMPORTRANGE(""17pNv02DXDpQT9S3w4-QeNym2QJy2BzMBqDXp-XtzJBM"", ""'MTY'!BJ3:BJ139""),MATCH($D109,IMPORTRANGE(""17pNv02DXDpQT9S3w4-QeNym2QJy2BzMBqDXp-XtzJBM"", ""'MTY'!D3:D139""),0))"),1437821747.75999)</f>
        <v>1437821747.75999</v>
      </c>
      <c r="AC109" s="479" t="str">
        <f ca="1">IFERROR(__xludf.DUMMYFUNCTION("INDEX(IMPORTRANGE(""17pNv02DXDpQT9S3w4-QeNym2QJy2BzMBqDXp-XtzJBM"", ""'MTY'!BK3:BK139""),MATCH($D109,IMPORTRANGE(""17pNv02DXDpQT9S3w4-QeNym2QJy2BzMBqDXp-XtzJBM"", ""'MTY'!D3:D139""),0))"),"")</f>
        <v/>
      </c>
      <c r="AD109" s="36">
        <f ca="1">IFERROR(__xludf.DUMMYFUNCTION("INDEX(IMPORTRANGE(""17pNv02DXDpQT9S3w4-QeNym2QJy2BzMBqDXp-XtzJBM"", ""'MTY'!BL3:BL139""),MATCH($D109,IMPORTRANGE(""17pNv02DXDpQT9S3w4-QeNym2QJy2BzMBqDXp-XtzJBM"", ""'MTY'!D3:D139""),0))"),1490261010.66)</f>
        <v>1490261010.6600001</v>
      </c>
      <c r="AE109" s="36">
        <f ca="1">IFERROR(__xludf.DUMMYFUNCTION("INDEX(IMPORTRANGE(""17pNv02DXDpQT9S3w4-QeNym2QJy2BzMBqDXp-XtzJBM"", ""'MTY'!BM3:BM139""),MATCH($D109,IMPORTRANGE(""17pNv02DXDpQT9S3w4-QeNym2QJy2BzMBqDXp-XtzJBM"", ""'MTY'!D3:D139""),0))"),1336302864.19)</f>
        <v>1336302864.1900001</v>
      </c>
    </row>
    <row r="110" spans="1:31">
      <c r="A110" s="9" t="s">
        <v>275</v>
      </c>
      <c r="B110" s="9" t="s">
        <v>276</v>
      </c>
      <c r="C110" s="9" t="s">
        <v>36</v>
      </c>
      <c r="D110" s="149" t="s">
        <v>296</v>
      </c>
      <c r="E110" s="9" t="s">
        <v>38</v>
      </c>
      <c r="F110" s="9" t="s">
        <v>297</v>
      </c>
      <c r="G110" s="9" t="s">
        <v>213</v>
      </c>
      <c r="H110" s="2" t="s">
        <v>214</v>
      </c>
      <c r="I110" s="2" t="s">
        <v>365</v>
      </c>
      <c r="J110" s="9" t="s">
        <v>215</v>
      </c>
      <c r="K110" s="4"/>
      <c r="L110" s="9" t="s">
        <v>216</v>
      </c>
      <c r="M110" s="4"/>
      <c r="N110" s="9" t="s">
        <v>217</v>
      </c>
      <c r="O110" s="9" t="s">
        <v>366</v>
      </c>
      <c r="P110" s="2" t="s">
        <v>218</v>
      </c>
      <c r="Q110" s="36">
        <v>1379390367.3499999</v>
      </c>
      <c r="R110" s="36">
        <v>1379390367.3499999</v>
      </c>
      <c r="S110" s="36" t="str">
        <f ca="1">IFERROR(__xludf.DUMMYFUNCTION("INDEX(IMPORTRANGE(""17pNv02DXDpQT9S3w4-QeNym2QJy2BzMBqDXp-XtzJBM"", ""'MTY'!BG3:BG139""),MATCH($D110,IMPORTRANGE(""17pNv02DXDpQT9S3w4-QeNym2QJy2BzMBqDXp-XtzJBM"", ""'MTY'!D3:D139""),0))"),"")</f>
        <v/>
      </c>
      <c r="T110" s="36"/>
      <c r="U110" s="36">
        <v>1480000000</v>
      </c>
      <c r="V110" s="36"/>
      <c r="W110" s="36">
        <v>1480000000</v>
      </c>
      <c r="X110" s="36">
        <f>(Y110-W110)/6*5+W110</f>
        <v>1459166666.6666667</v>
      </c>
      <c r="Y110" s="36">
        <v>1455000000</v>
      </c>
      <c r="Z110" s="36" t="str">
        <f ca="1">IFERROR(__xludf.DUMMYFUNCTION("INDEX(IMPORTRANGE(""17pNv02DXDpQT9S3w4-QeNym2QJy2BzMBqDXp-XtzJBM"", ""'MTY'!BH3:BH139""),MATCH($D110,IMPORTRANGE(""17pNv02DXDpQT9S3w4-QeNym2QJy2BzMBqDXp-XtzJBM"", ""'MTY'!D3:D139""),0))"),"")</f>
        <v/>
      </c>
      <c r="AA110" s="479" t="str">
        <f ca="1">IFERROR(__xludf.DUMMYFUNCTION("INDEX(IMPORTRANGE(""17pNv02DXDpQT9S3w4-QeNym2QJy2BzMBqDXp-XtzJBM"", ""'MTY'!BI3:BI139""),MATCH($D110,IMPORTRANGE(""17pNv02DXDpQT9S3w4-QeNym2QJy2BzMBqDXp-XtzJBM"", ""'MTY'!D3:D139""),0))"),"")</f>
        <v/>
      </c>
      <c r="AB110" s="36">
        <f ca="1">IFERROR(__xludf.DUMMYFUNCTION("INDEX(IMPORTRANGE(""17pNv02DXDpQT9S3w4-QeNym2QJy2BzMBqDXp-XtzJBM"", ""'MTY'!BJ3:BJ139""),MATCH($D110,IMPORTRANGE(""17pNv02DXDpQT9S3w4-QeNym2QJy2BzMBqDXp-XtzJBM"", ""'MTY'!D3:D139""),0))"),1540788108.32)</f>
        <v>1540788108.3199999</v>
      </c>
      <c r="AC110" s="479" t="str">
        <f ca="1">IFERROR(__xludf.DUMMYFUNCTION("INDEX(IMPORTRANGE(""17pNv02DXDpQT9S3w4-QeNym2QJy2BzMBqDXp-XtzJBM"", ""'MTY'!BK3:BK139""),MATCH($D110,IMPORTRANGE(""17pNv02DXDpQT9S3w4-QeNym2QJy2BzMBqDXp-XtzJBM"", ""'MTY'!D3:D139""),0))"),"")</f>
        <v/>
      </c>
      <c r="AD110" s="36">
        <f ca="1">IFERROR(__xludf.DUMMYFUNCTION("INDEX(IMPORTRANGE(""17pNv02DXDpQT9S3w4-QeNym2QJy2BzMBqDXp-XtzJBM"", ""'MTY'!BL3:BL139""),MATCH($D110,IMPORTRANGE(""17pNv02DXDpQT9S3w4-QeNym2QJy2BzMBqDXp-XtzJBM"", ""'MTY'!D3:D139""),0))"),1561488791.52999)</f>
        <v>1561488791.52999</v>
      </c>
      <c r="AE110" s="36">
        <f ca="1">IFERROR(__xludf.DUMMYFUNCTION("INDEX(IMPORTRANGE(""17pNv02DXDpQT9S3w4-QeNym2QJy2BzMBqDXp-XtzJBM"", ""'MTY'!BM3:BM139""),MATCH($D110,IMPORTRANGE(""17pNv02DXDpQT9S3w4-QeNym2QJy2BzMBqDXp-XtzJBM"", ""'MTY'!D3:D139""),0))"),1383305690.53)</f>
        <v>1383305690.53</v>
      </c>
    </row>
    <row r="111" spans="1:31">
      <c r="A111" s="9" t="s">
        <v>275</v>
      </c>
      <c r="B111" s="9" t="s">
        <v>298</v>
      </c>
      <c r="C111" s="2" t="s">
        <v>30</v>
      </c>
      <c r="D111" s="149" t="s">
        <v>299</v>
      </c>
      <c r="E111" s="9" t="s">
        <v>278</v>
      </c>
      <c r="F111" s="9" t="s">
        <v>300</v>
      </c>
      <c r="G111" s="9" t="s">
        <v>213</v>
      </c>
      <c r="H111" s="2" t="s">
        <v>214</v>
      </c>
      <c r="I111" s="2" t="s">
        <v>368</v>
      </c>
      <c r="J111" s="9" t="s">
        <v>215</v>
      </c>
      <c r="K111" s="4"/>
      <c r="L111" s="9" t="s">
        <v>216</v>
      </c>
      <c r="M111" s="4"/>
      <c r="N111" s="9" t="s">
        <v>217</v>
      </c>
      <c r="O111" s="9" t="s">
        <v>369</v>
      </c>
      <c r="P111" s="2" t="s">
        <v>218</v>
      </c>
      <c r="Q111" s="36">
        <v>7008731456.6499996</v>
      </c>
      <c r="R111" s="36">
        <v>7008731456.6499996</v>
      </c>
      <c r="S111" s="36">
        <f ca="1">IFERROR(__xludf.DUMMYFUNCTION("INDEX(IMPORTRANGE(""17pNv02DXDpQT9S3w4-QeNym2QJy2BzMBqDXp-XtzJBM"", ""'MTY'!BG3:BG139""),MATCH($D111,IMPORTRANGE(""17pNv02DXDpQT9S3w4-QeNym2QJy2BzMBqDXp-XtzJBM"", ""'MTY'!D3:D139""),0))"),4165240043.94)</f>
        <v>4165240043.9400001</v>
      </c>
      <c r="T111" s="178"/>
      <c r="U111" s="178"/>
      <c r="V111" s="178"/>
      <c r="W111" s="178"/>
      <c r="X111" s="336"/>
      <c r="Y111" s="178"/>
      <c r="Z111" s="36">
        <f ca="1">IFERROR(__xludf.DUMMYFUNCTION("INDEX(IMPORTRANGE(""17pNv02DXDpQT9S3w4-QeNym2QJy2BzMBqDXp-XtzJBM"", ""'MTY'!BH3:BH139""),MATCH($D111,IMPORTRANGE(""17pNv02DXDpQT9S3w4-QeNym2QJy2BzMBqDXp-XtzJBM"", ""'MTY'!D3:D139""),0))"),7008731456.65)</f>
        <v>7008731456.6499996</v>
      </c>
      <c r="AA111" s="479" t="str">
        <f ca="1">IFERROR(__xludf.DUMMYFUNCTION("INDEX(IMPORTRANGE(""17pNv02DXDpQT9S3w4-QeNym2QJy2BzMBqDXp-XtzJBM"", ""'MTY'!BI3:BI139""),MATCH($D111,IMPORTRANGE(""17pNv02DXDpQT9S3w4-QeNym2QJy2BzMBqDXp-XtzJBM"", ""'MTY'!D3:D139""),0))"),"")</f>
        <v/>
      </c>
      <c r="AB111" s="36">
        <f ca="1">IFERROR(__xludf.DUMMYFUNCTION("INDEX(IMPORTRANGE(""17pNv02DXDpQT9S3w4-QeNym2QJy2BzMBqDXp-XtzJBM"", ""'MTY'!BJ3:BJ139""),MATCH($D111,IMPORTRANGE(""17pNv02DXDpQT9S3w4-QeNym2QJy2BzMBqDXp-XtzJBM"", ""'MTY'!D3:D139""),0))"),7869734755.85)</f>
        <v>7869734755.8500004</v>
      </c>
      <c r="AC111" s="479" t="str">
        <f ca="1">IFERROR(__xludf.DUMMYFUNCTION("INDEX(IMPORTRANGE(""17pNv02DXDpQT9S3w4-QeNym2QJy2BzMBqDXp-XtzJBM"", ""'MTY'!BK3:BK139""),MATCH($D111,IMPORTRANGE(""17pNv02DXDpQT9S3w4-QeNym2QJy2BzMBqDXp-XtzJBM"", ""'MTY'!D3:D139""),0))"),"")</f>
        <v/>
      </c>
      <c r="AD111" s="36">
        <f ca="1">IFERROR(__xludf.DUMMYFUNCTION("INDEX(IMPORTRANGE(""17pNv02DXDpQT9S3w4-QeNym2QJy2BzMBqDXp-XtzJBM"", ""'MTY'!BL3:BL139""),MATCH($D111,IMPORTRANGE(""17pNv02DXDpQT9S3w4-QeNym2QJy2BzMBqDXp-XtzJBM"", ""'MTY'!D3:D139""),0))"),9488524234.56)</f>
        <v>9488524234.5599995</v>
      </c>
      <c r="AE111" s="36">
        <f ca="1">IFERROR(__xludf.DUMMYFUNCTION("INDEX(IMPORTRANGE(""17pNv02DXDpQT9S3w4-QeNym2QJy2BzMBqDXp-XtzJBM"", ""'MTY'!BM3:BM139""),MATCH($D111,IMPORTRANGE(""17pNv02DXDpQT9S3w4-QeNym2QJy2BzMBqDXp-XtzJBM"", ""'MTY'!D3:D139""),0))"),5418337149.35)</f>
        <v>5418337149.3500004</v>
      </c>
    </row>
    <row r="112" spans="1:31">
      <c r="A112" s="9" t="s">
        <v>275</v>
      </c>
      <c r="B112" s="9" t="s">
        <v>298</v>
      </c>
      <c r="C112" s="2" t="s">
        <v>36</v>
      </c>
      <c r="D112" s="149" t="s">
        <v>301</v>
      </c>
      <c r="E112" s="9" t="s">
        <v>278</v>
      </c>
      <c r="F112" s="9" t="s">
        <v>302</v>
      </c>
      <c r="G112" s="9" t="s">
        <v>213</v>
      </c>
      <c r="H112" s="2" t="s">
        <v>214</v>
      </c>
      <c r="I112" s="2" t="s">
        <v>368</v>
      </c>
      <c r="J112" s="9" t="s">
        <v>215</v>
      </c>
      <c r="K112" s="4"/>
      <c r="L112" s="9" t="s">
        <v>216</v>
      </c>
      <c r="M112" s="4"/>
      <c r="N112" s="9" t="s">
        <v>217</v>
      </c>
      <c r="O112" s="9" t="s">
        <v>369</v>
      </c>
      <c r="P112" s="2" t="s">
        <v>218</v>
      </c>
      <c r="Q112" s="15">
        <f t="shared" ref="Q112:R112" si="27">Q104/Q111</f>
        <v>0.72380072622938429</v>
      </c>
      <c r="R112" s="15">
        <f t="shared" si="27"/>
        <v>0.72380072622938429</v>
      </c>
      <c r="S112" s="15">
        <f ca="1">IFERROR(__xludf.DUMMYFUNCTION("INDEX(IMPORTRANGE(""17pNv02DXDpQT9S3w4-QeNym2QJy2BzMBqDXp-XtzJBM"", ""'MTY'!BG3:BG139""),MATCH($D112,IMPORTRANGE(""17pNv02DXDpQT9S3w4-QeNym2QJy2BzMBqDXp-XtzJBM"", ""'MTY'!D3:D139""),0))"),0.676240861308346)</f>
        <v>0.67624086130834604</v>
      </c>
      <c r="T112" s="26"/>
      <c r="U112" s="26">
        <v>0.72</v>
      </c>
      <c r="V112" s="26"/>
      <c r="W112" s="26">
        <v>0.71499999999999997</v>
      </c>
      <c r="X112" s="15">
        <f>(Y112-W112)/6*5+W112</f>
        <v>0.71083333333333332</v>
      </c>
      <c r="Y112" s="15">
        <v>0.71</v>
      </c>
      <c r="Z112" s="15">
        <f ca="1">IFERROR(__xludf.DUMMYFUNCTION("INDEX(IMPORTRANGE(""17pNv02DXDpQT9S3w4-QeNym2QJy2BzMBqDXp-XtzJBM"", ""'MTY'!BH3:BH139""),MATCH($D112,IMPORTRANGE(""17pNv02DXDpQT9S3w4-QeNym2QJy2BzMBqDXp-XtzJBM"", ""'MTY'!D3:D139""),0))"),0.723800726229384)</f>
        <v>0.72380072622938396</v>
      </c>
      <c r="AA112" s="479" t="str">
        <f ca="1">IFERROR(__xludf.DUMMYFUNCTION("INDEX(IMPORTRANGE(""17pNv02DXDpQT9S3w4-QeNym2QJy2BzMBqDXp-XtzJBM"", ""'MTY'!BI3:BI139""),MATCH($D112,IMPORTRANGE(""17pNv02DXDpQT9S3w4-QeNym2QJy2BzMBqDXp-XtzJBM"", ""'MTY'!D3:D139""),0))"),"")</f>
        <v/>
      </c>
      <c r="AB112" s="15">
        <f ca="1">IFERROR(__xludf.DUMMYFUNCTION("INDEX(IMPORTRANGE(""17pNv02DXDpQT9S3w4-QeNym2QJy2BzMBqDXp-XtzJBM"", ""'MTY'!BJ3:BJ139""),MATCH($D112,IMPORTRANGE(""17pNv02DXDpQT9S3w4-QeNym2QJy2BzMBqDXp-XtzJBM"", ""'MTY'!D3:D139""),0))"),0.681302269566884)</f>
        <v>0.681302269566884</v>
      </c>
      <c r="AC112" s="479" t="str">
        <f ca="1">IFERROR(__xludf.DUMMYFUNCTION("INDEX(IMPORTRANGE(""17pNv02DXDpQT9S3w4-QeNym2QJy2BzMBqDXp-XtzJBM"", ""'MTY'!BK3:BK139""),MATCH($D112,IMPORTRANGE(""17pNv02DXDpQT9S3w4-QeNym2QJy2BzMBqDXp-XtzJBM"", ""'MTY'!D3:D139""),0))"),"")</f>
        <v/>
      </c>
      <c r="AD112" s="15">
        <f ca="1">IFERROR(__xludf.DUMMYFUNCTION("INDEX(IMPORTRANGE(""17pNv02DXDpQT9S3w4-QeNym2QJy2BzMBqDXp-XtzJBM"", ""'MTY'!BL3:BL139""),MATCH($D112,IMPORTRANGE(""17pNv02DXDpQT9S3w4-QeNym2QJy2BzMBqDXp-XtzJBM"", ""'MTY'!D3:D139""),0))"),0.691344018402477)</f>
        <v>0.69134401840247695</v>
      </c>
      <c r="AE112" s="15">
        <f ca="1">IFERROR(__xludf.DUMMYFUNCTION("INDEX(IMPORTRANGE(""17pNv02DXDpQT9S3w4-QeNym2QJy2BzMBqDXp-XtzJBM"", ""'MTY'!BM3:BM139""),MATCH($D112,IMPORTRANGE(""17pNv02DXDpQT9S3w4-QeNym2QJy2BzMBqDXp-XtzJBM"", ""'MTY'!D3:D139""),0))"),0.654677686787272)</f>
        <v>0.65467768678727201</v>
      </c>
    </row>
    <row r="113" spans="1:31">
      <c r="A113" s="9" t="s">
        <v>275</v>
      </c>
      <c r="B113" s="9" t="s">
        <v>303</v>
      </c>
      <c r="C113" s="2" t="s">
        <v>36</v>
      </c>
      <c r="D113" s="149" t="s">
        <v>304</v>
      </c>
      <c r="E113" s="9" t="s">
        <v>305</v>
      </c>
      <c r="F113" s="9" t="s">
        <v>306</v>
      </c>
      <c r="G113" s="11" t="s">
        <v>307</v>
      </c>
      <c r="H113" s="4"/>
      <c r="I113" s="49">
        <v>44348</v>
      </c>
      <c r="J113" s="2" t="s">
        <v>254</v>
      </c>
      <c r="K113" s="4"/>
      <c r="L113" s="2" t="s">
        <v>255</v>
      </c>
      <c r="M113" s="4"/>
      <c r="N113" s="2" t="s">
        <v>256</v>
      </c>
      <c r="O113" s="49">
        <v>45444</v>
      </c>
      <c r="P113" s="2"/>
      <c r="Q113" s="30" t="s">
        <v>308</v>
      </c>
      <c r="R113" s="30" t="s">
        <v>308</v>
      </c>
      <c r="S113" s="30" t="str">
        <f ca="1">IFERROR(__xludf.DUMMYFUNCTION("INDEX(IMPORTRANGE(""17pNv02DXDpQT9S3w4-QeNym2QJy2BzMBqDXp-XtzJBM"", ""'MTY'!BG3:BG139""),MATCH($D113,IMPORTRANGE(""17pNv02DXDpQT9S3w4-QeNym2QJy2BzMBqDXp-XtzJBM"", ""'MTY'!D3:D139""),0))"),"Verde")</f>
        <v>Verde</v>
      </c>
      <c r="T113" s="30" t="s">
        <v>308</v>
      </c>
      <c r="U113" s="30" t="s">
        <v>308</v>
      </c>
      <c r="V113" s="30" t="s">
        <v>308</v>
      </c>
      <c r="W113" s="30" t="s">
        <v>308</v>
      </c>
      <c r="X113" s="30" t="s">
        <v>308</v>
      </c>
      <c r="Y113" s="30" t="s">
        <v>308</v>
      </c>
      <c r="Z113" s="30" t="str">
        <f ca="1">IFERROR(__xludf.DUMMYFUNCTION("INDEX(IMPORTRANGE(""17pNv02DXDpQT9S3w4-QeNym2QJy2BzMBqDXp-XtzJBM"", ""'MTY'!BH3:BH139""),MATCH($D113,IMPORTRANGE(""17pNv02DXDpQT9S3w4-QeNym2QJy2BzMBqDXp-XtzJBM"", ""'MTY'!D3:D139""),0))"),"Verde")</f>
        <v>Verde</v>
      </c>
      <c r="AA113" s="479" t="str">
        <f ca="1">IFERROR(__xludf.DUMMYFUNCTION("INDEX(IMPORTRANGE(""17pNv02DXDpQT9S3w4-QeNym2QJy2BzMBqDXp-XtzJBM"", ""'MTY'!BI3:BI139""),MATCH($D113,IMPORTRANGE(""17pNv02DXDpQT9S3w4-QeNym2QJy2BzMBqDXp-XtzJBM"", ""'MTY'!D3:D139""),0))"),"")</f>
        <v/>
      </c>
      <c r="AB113" s="30" t="str">
        <f ca="1">IFERROR(__xludf.DUMMYFUNCTION("INDEX(IMPORTRANGE(""17pNv02DXDpQT9S3w4-QeNym2QJy2BzMBqDXp-XtzJBM"", ""'MTY'!BJ3:BJ139""),MATCH($D113,IMPORTRANGE(""17pNv02DXDpQT9S3w4-QeNym2QJy2BzMBqDXp-XtzJBM"", ""'MTY'!D3:D139""),0))"),"Verde")</f>
        <v>Verde</v>
      </c>
      <c r="AC113" s="479" t="str">
        <f ca="1">IFERROR(__xludf.DUMMYFUNCTION("INDEX(IMPORTRANGE(""17pNv02DXDpQT9S3w4-QeNym2QJy2BzMBqDXp-XtzJBM"", ""'MTY'!BK3:BK139""),MATCH($D113,IMPORTRANGE(""17pNv02DXDpQT9S3w4-QeNym2QJy2BzMBqDXp-XtzJBM"", ""'MTY'!D3:D139""),0))"),"")</f>
        <v/>
      </c>
      <c r="AD113" s="30" t="str">
        <f ca="1">IFERROR(__xludf.DUMMYFUNCTION("INDEX(IMPORTRANGE(""17pNv02DXDpQT9S3w4-QeNym2QJy2BzMBqDXp-XtzJBM"", ""'MTY'!BL3:BL139""),MATCH($D113,IMPORTRANGE(""17pNv02DXDpQT9S3w4-QeNym2QJy2BzMBqDXp-XtzJBM"", ""'MTY'!D3:D139""),0))"),"Verde")</f>
        <v>Verde</v>
      </c>
      <c r="AE113" s="30" t="str">
        <f ca="1">IFERROR(__xludf.DUMMYFUNCTION("INDEX(IMPORTRANGE(""17pNv02DXDpQT9S3w4-QeNym2QJy2BzMBqDXp-XtzJBM"", ""'MTY'!BM3:BM139""),MATCH($D113,IMPORTRANGE(""17pNv02DXDpQT9S3w4-QeNym2QJy2BzMBqDXp-XtzJBM"", ""'MTY'!D3:D139""),0))"),"Verde")</f>
        <v>Verde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44887-3E6A-7947-B15B-57D046F8EB9E}">
  <dimension ref="A1:M39"/>
  <sheetViews>
    <sheetView workbookViewId="0"/>
  </sheetViews>
  <sheetFormatPr baseColWidth="10" defaultRowHeight="16"/>
  <cols>
    <col min="1" max="1" width="10.83203125" style="118"/>
    <col min="3" max="3" width="19.5" customWidth="1"/>
    <col min="7" max="7" width="14.6640625" customWidth="1"/>
    <col min="8" max="8" width="14.16406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339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MTY'!$D$3:$AE$113,6,0)</f>
        <v>44469</v>
      </c>
      <c r="E2" s="212">
        <f ca="1">VLOOKUP(C2,'BD EVA 5 MTY'!$D$3:$AE$113,16,0)</f>
        <v>1125</v>
      </c>
      <c r="F2" s="75" t="str">
        <f>VLOOKUP(C2,'BD EVA 5 MTY'!$D$3:$AE$113,12,0)</f>
        <v>Ago 2024</v>
      </c>
      <c r="G2" s="212">
        <f ca="1">VLOOKUP(C2,'BD EVA 5 MTY'!$D$3:$AE$113,28,0)</f>
        <v>1172</v>
      </c>
      <c r="H2" s="212">
        <f>VLOOKUP(C2,'BD EVA 5 MTY'!$D$3:$AE$113,21,0)</f>
        <v>1414.1666666666667</v>
      </c>
      <c r="I2" s="78">
        <f ca="1">IF(G2&gt;=E2,G2/H2,0)</f>
        <v>0.82875662934590444</v>
      </c>
      <c r="J2" s="72" t="s">
        <v>316</v>
      </c>
      <c r="K2" s="81">
        <v>2.7</v>
      </c>
      <c r="L2" s="81">
        <f t="shared" ref="L2:L39" ca="1" si="0">IF(I2&lt;0,0,IF(I2&gt;1,K2,I2*K2))</f>
        <v>2.2376428992339421</v>
      </c>
      <c r="M2" s="124">
        <f ca="1">SUM(L2:L4)</f>
        <v>9.5348351162565628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MTY'!$D$3:$AE$113,6,0)</f>
        <v>44469</v>
      </c>
      <c r="E3" s="207">
        <f ca="1">VLOOKUP(C3,'BD EVA 5 MTY'!$D$3:$AE$113,16,0)</f>
        <v>0.93777777777777704</v>
      </c>
      <c r="F3" s="75" t="str">
        <f>VLOOKUP(C3,'BD EVA 5 MTY'!$D$3:$AE$113,12,0)</f>
        <v>Ago 2024</v>
      </c>
      <c r="G3" s="207">
        <f ca="1">VLOOKUP(C3,'BD EVA 5 MTY'!$D$3:$AE$113,28,0)</f>
        <v>0.96928327645051104</v>
      </c>
      <c r="H3" s="207" t="str">
        <f>VLOOKUP(C3,'BD EVA 5 MTY'!$D$3:$AE$113,21,0)</f>
        <v>&gt;=97%</v>
      </c>
      <c r="I3" s="78">
        <f ca="1">IF(G3&gt;=97%,1,G3/97%)</f>
        <v>0.99926110974279492</v>
      </c>
      <c r="J3" s="75" t="s">
        <v>318</v>
      </c>
      <c r="K3" s="81">
        <v>3.8</v>
      </c>
      <c r="L3" s="81">
        <f t="shared" ca="1" si="0"/>
        <v>3.7971922170226207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MTY'!$D$3:$AE$113,6,0)</f>
        <v>44469</v>
      </c>
      <c r="E4" s="207">
        <f ca="1">VLOOKUP(C4,'BD EVA 5 MTY'!$D$3:$AE$113,16,0)</f>
        <v>1.6E-2</v>
      </c>
      <c r="F4" s="89" t="str">
        <f>VLOOKUP(C4,'BD EVA 5 MTY'!$D$3:$AE$113,12,0)</f>
        <v>Ago 2024</v>
      </c>
      <c r="G4" s="207">
        <f ca="1">VLOOKUP(C4,'BD EVA 5 MTY'!$D$3:$AE$113,28,0)</f>
        <v>3.1569965870307103E-2</v>
      </c>
      <c r="H4" s="207">
        <f>VLOOKUP(C4,'BD EVA 5 MTY'!$D$3:$AE$113,21,0)</f>
        <v>2.316391468868249E-2</v>
      </c>
      <c r="I4" s="77">
        <f t="shared" ref="I4:I5" ca="1" si="1">G4/H4</f>
        <v>1.3628942384998366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MTY'!$D$3:$AE$113,6,0)</f>
        <v>octubre 20 - agosto 21</v>
      </c>
      <c r="E5" s="207">
        <f ca="1">VLOOKUP(C5,'BD EVA 5 MTY'!$D$3:$AE$113,16,0)</f>
        <v>0</v>
      </c>
      <c r="F5" s="75" t="str">
        <f>VLOOKUP(C5,'BD EVA 5 MTY'!$D$3:$AE$113,12,0)</f>
        <v>octubre 23 - agosto 24</v>
      </c>
      <c r="G5" s="207">
        <f ca="1">VLOOKUP(C5,'BD EVA 5 MTY'!$D$3:$AE$113,28,0)</f>
        <v>3.1702898550724598E-2</v>
      </c>
      <c r="H5" s="207">
        <f>VLOOKUP(C5,'BD EVA 5 MTY'!$D$3:$AE$113,21,0)</f>
        <v>4.7500000000000001E-2</v>
      </c>
      <c r="I5" s="77">
        <f t="shared" ca="1" si="1"/>
        <v>0.66742944317314945</v>
      </c>
      <c r="J5" s="75" t="s">
        <v>318</v>
      </c>
      <c r="K5" s="208">
        <v>1.6</v>
      </c>
      <c r="L5" s="209">
        <f t="shared" ca="1" si="0"/>
        <v>1.0678871090770392</v>
      </c>
      <c r="M5" s="130">
        <f ca="1">SUM(L5:L10)</f>
        <v>1.0678871090770392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MTY'!$D$3:$AE$113,6,0)</f>
        <v>octubre 20 - agosto 21</v>
      </c>
      <c r="E6" s="209">
        <f ca="1">VLOOKUP(C6,'BD EVA 5 MTY'!$D$3:$AE$113,16,0)</f>
        <v>3.5201723476381401</v>
      </c>
      <c r="F6" s="75" t="str">
        <f>VLOOKUP(C6,'BD EVA 5 MTY'!$D$3:$AE$113,12,0)</f>
        <v>octubre 23 - agosto 24</v>
      </c>
      <c r="G6" s="209">
        <f ca="1">VLOOKUP(C6,'BD EVA 5 MTY'!$D$3:$AE$113,28,0)</f>
        <v>16.238088135055499</v>
      </c>
      <c r="H6" s="209">
        <f ca="1">VLOOKUP(C6,'BD EVA 5 MTY'!$D$3:$AE$113,21,0)</f>
        <v>3.2854941911289308</v>
      </c>
      <c r="I6" s="78">
        <f t="shared" ref="I6:I10" ca="1" si="2">(G6-E6)/(H6-E6)</f>
        <v>-54.193010447132423</v>
      </c>
      <c r="J6" s="71" t="s">
        <v>319</v>
      </c>
      <c r="K6" s="208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MTY'!$D$3:$AE$113,6,0)</f>
        <v>octubre 20 - agosto 21</v>
      </c>
      <c r="E7" s="208">
        <f ca="1">VLOOKUP(C7,'BD EVA 5 MTY'!$D$3:$AE$113,16,0)</f>
        <v>148.63927737902</v>
      </c>
      <c r="F7" s="75" t="str">
        <f>VLOOKUP(C7,'BD EVA 5 MTY'!$D$3:$AE$113,12,0)</f>
        <v>octubre 23 - agosto 24</v>
      </c>
      <c r="G7" s="208">
        <f ca="1">VLOOKUP(C7,'BD EVA 5 MTY'!$D$3:$AE$113,28,0)</f>
        <v>173.33215009280201</v>
      </c>
      <c r="H7" s="208">
        <f ca="1">VLOOKUP(C7,'BD EVA 5 MTY'!$D$3:$AE$113,21,0)</f>
        <v>138.66679524874391</v>
      </c>
      <c r="I7" s="78">
        <f t="shared" ca="1" si="2"/>
        <v>-2.4761009737801736</v>
      </c>
      <c r="J7" s="71" t="s">
        <v>319</v>
      </c>
      <c r="K7" s="208">
        <v>1.6</v>
      </c>
      <c r="L7" s="209">
        <f t="shared" ca="1" si="0"/>
        <v>0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MTY'!$D$3:$AE$113,6,0)</f>
        <v>octubre 20 - agosto 21</v>
      </c>
      <c r="E8" s="208">
        <f ca="1">VLOOKUP(C8,'BD EVA 5 MTY'!$D$3:$AE$113,16,0)</f>
        <v>87.476282838807705</v>
      </c>
      <c r="F8" s="75" t="str">
        <f>VLOOKUP(C8,'BD EVA 5 MTY'!$D$3:$AE$113,12,0)</f>
        <v>octubre 23 - agosto 24</v>
      </c>
      <c r="G8" s="208">
        <f ca="1">VLOOKUP(C8,'BD EVA 5 MTY'!$D$3:$AE$113,28,0)</f>
        <v>124.617885687635</v>
      </c>
      <c r="H8" s="208">
        <f ca="1">VLOOKUP(C8,'BD EVA 5 MTY'!$D$3:$AE$113,21,0)</f>
        <v>81.46487951576168</v>
      </c>
      <c r="I8" s="78">
        <f t="shared" ca="1" si="2"/>
        <v>-6.1785245229573702</v>
      </c>
      <c r="J8" s="71" t="s">
        <v>319</v>
      </c>
      <c r="K8" s="208">
        <v>1.7</v>
      </c>
      <c r="L8" s="20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MTY'!$D$3:$AE$113,6,0)</f>
        <v>octubre 20 - agosto 21</v>
      </c>
      <c r="E9" s="208">
        <f ca="1">VLOOKUP(C9,'BD EVA 5 MTY'!$D$3:$AE$113,16,0)</f>
        <v>20.240990998919301</v>
      </c>
      <c r="F9" s="75" t="str">
        <f>VLOOKUP(C9,'BD EVA 5 MTY'!$D$3:$AE$113,12,0)</f>
        <v>octubre 23 - agosto 24</v>
      </c>
      <c r="G9" s="208">
        <f ca="1">VLOOKUP(C9,'BD EVA 5 MTY'!$D$3:$AE$113,28,0)</f>
        <v>28.6998767038191</v>
      </c>
      <c r="H9" s="208">
        <f ca="1">VLOOKUP(C9,'BD EVA 5 MTY'!$D$3:$AE$113,21,0)</f>
        <v>18.984653626572584</v>
      </c>
      <c r="I9" s="78">
        <f t="shared" ca="1" si="2"/>
        <v>-6.7329730780032557</v>
      </c>
      <c r="J9" s="71" t="s">
        <v>319</v>
      </c>
      <c r="K9" s="208">
        <v>1.7</v>
      </c>
      <c r="L9" s="209">
        <f t="shared" ca="1" si="0"/>
        <v>0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MTY'!$D$3:$AE$113,6,0)</f>
        <v>octubre 20 - agosto 21</v>
      </c>
      <c r="E10" s="208">
        <f ca="1">VLOOKUP(C10,'BD EVA 5 MTY'!$D$3:$AE$113,16,0)</f>
        <v>8.8884351777863007</v>
      </c>
      <c r="F10" s="89" t="str">
        <f>VLOOKUP(C10,'BD EVA 5 MTY'!$D$3:$AE$113,12,0)</f>
        <v>octubre 23 - agosto 24</v>
      </c>
      <c r="G10" s="208">
        <f ca="1">VLOOKUP(C10,'BD EVA 5 MTY'!$D$3:$AE$113,28,0)</f>
        <v>11.1400837205613</v>
      </c>
      <c r="H10" s="208">
        <f ca="1">VLOOKUP(C10,'BD EVA 5 MTY'!$D$3:$AE$113,21,0)</f>
        <v>8.3805245961985122</v>
      </c>
      <c r="I10" s="78">
        <f t="shared" ca="1" si="2"/>
        <v>-4.4331593481200571</v>
      </c>
      <c r="J10" s="71" t="s">
        <v>319</v>
      </c>
      <c r="K10" s="208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MTY'!$D$3:$AE$113,6,0)</f>
        <v>44469</v>
      </c>
      <c r="E11" s="78">
        <f ca="1">VLOOKUP(C11,'BD EVA 5 MTY'!$D$3:$AE$113,16,0)</f>
        <v>7.4101716600916904E-4</v>
      </c>
      <c r="F11" s="75" t="str">
        <f>VLOOKUP(C11,'BD EVA 5 MTY'!$D$3:$AE$113,12,0)</f>
        <v>Ago 2024</v>
      </c>
      <c r="G11" s="78">
        <f ca="1">VLOOKUP(C11,'BD EVA 5 MTY'!$D$3:$AE$113,28,0)</f>
        <v>1.00303870348651E-2</v>
      </c>
      <c r="H11" s="78">
        <f>VLOOKUP(C11,'BD EVA 5 MTY'!$D$3:$AE$113,21,0)</f>
        <v>1.8733333333333331E-2</v>
      </c>
      <c r="I11" s="77">
        <f t="shared" ref="I11:I15" ca="1" si="3">G11/H11</f>
        <v>0.53542991289315489</v>
      </c>
      <c r="J11" s="89" t="s">
        <v>318</v>
      </c>
      <c r="K11" s="85">
        <v>1.05</v>
      </c>
      <c r="L11" s="209">
        <f t="shared" ca="1" si="0"/>
        <v>0.56220140853781264</v>
      </c>
      <c r="M11" s="130">
        <f ca="1">SUM(L11:L15)</f>
        <v>9.5122014085378126</v>
      </c>
    </row>
    <row r="12" spans="1:13" ht="91">
      <c r="A12" s="141" t="s">
        <v>119</v>
      </c>
      <c r="B12" s="72" t="s">
        <v>120</v>
      </c>
      <c r="C12" s="72" t="s">
        <v>333</v>
      </c>
      <c r="D12" s="75" t="str">
        <f>VLOOKUP(C12,'BD EVA 5 MTY'!$D$3:$AE$113,6,0)</f>
        <v>octubre 20 - agosto 21</v>
      </c>
      <c r="E12" s="210" t="str">
        <f ca="1">VLOOKUP(C12,'BD EVA 5 MTY'!$D$3:$AE$113,16,0)</f>
        <v/>
      </c>
      <c r="F12" s="75" t="str">
        <f>VLOOKUP(C12,'BD EVA 5 MTY'!$D$3:$AE$113,12,0)</f>
        <v>octubre 23 - agosto 24</v>
      </c>
      <c r="G12" s="210">
        <f ca="1">VLOOKUP(C12,'BD EVA 5 MTY'!$D$3:$AE$113,28,0)</f>
        <v>3.6516146004894499E-3</v>
      </c>
      <c r="H12" s="210">
        <f>VLOOKUP(C12,'BD EVA 5 MTY'!$D$3:$AE$113,21,0)</f>
        <v>3.5000000000000001E-3</v>
      </c>
      <c r="I12" s="78">
        <f t="shared" ca="1" si="3"/>
        <v>1.0433184572826999</v>
      </c>
      <c r="J12" s="75" t="s">
        <v>318</v>
      </c>
      <c r="K12" s="85">
        <v>1.05</v>
      </c>
      <c r="L12" s="209">
        <f t="shared" ca="1" si="0"/>
        <v>1.05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MTY'!$D$3:$AE$113,6,0)</f>
        <v>octubre 20 - agosto 21</v>
      </c>
      <c r="E13" s="212">
        <f ca="1">VLOOKUP(C13,'BD EVA 5 MTY'!$D$3:$AE$113,16,0)</f>
        <v>10</v>
      </c>
      <c r="F13" s="75" t="str">
        <f>VLOOKUP(C13,'BD EVA 5 MTY'!$D$3:$AE$113,12,0)</f>
        <v>octubre 21 - agosto 24</v>
      </c>
      <c r="G13" s="212">
        <f ca="1">VLOOKUP(C13,'BD EVA 5 MTY'!$D$3:$AE$113,28,0)</f>
        <v>63</v>
      </c>
      <c r="H13" s="212">
        <f>VLOOKUP(C13,'BD EVA 5 MTY'!$D$3:$AE$113,21,0)</f>
        <v>34.333333333333336</v>
      </c>
      <c r="I13" s="78">
        <f t="shared" ca="1" si="3"/>
        <v>1.8349514563106795</v>
      </c>
      <c r="J13" s="75" t="s">
        <v>318</v>
      </c>
      <c r="K13" s="81">
        <v>2.4</v>
      </c>
      <c r="L13" s="209">
        <f t="shared" ca="1" si="0"/>
        <v>2.4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MTY'!$D$3:$AE$113,6,0)</f>
        <v>octubre 20 - agosto 21</v>
      </c>
      <c r="E14" s="212">
        <f ca="1">VLOOKUP(C14,'BD EVA 5 MTY'!$D$3:$AE$113,16,0)</f>
        <v>3073</v>
      </c>
      <c r="F14" s="75" t="str">
        <f>VLOOKUP(C14,'BD EVA 5 MTY'!$D$3:$AE$113,12,0)</f>
        <v>octubre 21 - agosto 24</v>
      </c>
      <c r="G14" s="212">
        <f ca="1">VLOOKUP(C14,'BD EVA 5 MTY'!$D$3:$AE$113,28,0)</f>
        <v>16604</v>
      </c>
      <c r="H14" s="212">
        <f>VLOOKUP(C14,'BD EVA 5 MTY'!$D$3:$AE$113,21,0)</f>
        <v>5000</v>
      </c>
      <c r="I14" s="78">
        <f t="shared" ca="1" si="3"/>
        <v>3.3208000000000002</v>
      </c>
      <c r="J14" s="75" t="s">
        <v>318</v>
      </c>
      <c r="K14" s="81">
        <v>2.4</v>
      </c>
      <c r="L14" s="209">
        <f t="shared" ca="1" si="0"/>
        <v>2.4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MTY'!$D$3:$AE$113,6,0)</f>
        <v>octubre 20 - agosto 21</v>
      </c>
      <c r="E15" s="212">
        <f ca="1">VLOOKUP(C15,'BD EVA 5 MTY'!$D$3:$AE$113,16,0)</f>
        <v>9</v>
      </c>
      <c r="F15" s="89" t="str">
        <f>VLOOKUP(C15,'BD EVA 5 MTY'!$D$3:$AE$113,12,0)</f>
        <v>octubre 21 - agosto 24</v>
      </c>
      <c r="G15" s="212">
        <f ca="1">VLOOKUP(C15,'BD EVA 5 MTY'!$D$3:$AE$113,28,0)</f>
        <v>410</v>
      </c>
      <c r="H15" s="212">
        <f>VLOOKUP(C15,'BD EVA 5 MTY'!$D$3:$AE$113,21,0)</f>
        <v>80</v>
      </c>
      <c r="I15" s="78">
        <f t="shared" ca="1" si="3"/>
        <v>5.125</v>
      </c>
      <c r="J15" s="75" t="s">
        <v>318</v>
      </c>
      <c r="K15" s="8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MTY'!$D$3:$AE$113,6,0)</f>
        <v>44469</v>
      </c>
      <c r="E16" s="213">
        <f ca="1">VLOOKUP(C16,'BD EVA 5 MTY'!$D$3:$AE$113,16,0)</f>
        <v>0</v>
      </c>
      <c r="F16" s="75" t="str">
        <f>VLOOKUP(C16,'BD EVA 5 MTY'!$D$3:$AE$113,12,0)</f>
        <v>Ago 2024</v>
      </c>
      <c r="G16" s="213">
        <f ca="1">VLOOKUP(C16,'BD EVA 5 MTY'!$D$3:$AE$113,28,0)</f>
        <v>0.66666666666666596</v>
      </c>
      <c r="H16" s="213" t="str">
        <f>VLOOKUP(C16,'BD EVA 5 MTY'!$D$3:$AE$113,21,0)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0.66666666666666596</v>
      </c>
      <c r="J16" s="75" t="s">
        <v>318</v>
      </c>
      <c r="K16" s="81">
        <v>1.5</v>
      </c>
      <c r="L16" s="209">
        <f t="shared" ca="1" si="0"/>
        <v>0.99999999999999889</v>
      </c>
      <c r="M16" s="130">
        <f ca="1">SUM(L16:L23)</f>
        <v>7.7401918548468753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MTY'!$D$3:$AE$113,6,0)</f>
        <v>44469</v>
      </c>
      <c r="E17" s="212">
        <f ca="1">VLOOKUP(C17,'BD EVA 5 MTY'!$D$3:$AE$113,16,0)</f>
        <v>0</v>
      </c>
      <c r="F17" s="75" t="str">
        <f>VLOOKUP(C17,'BD EVA 5 MTY'!$D$3:$AE$113,12,0)</f>
        <v>Ago 2024</v>
      </c>
      <c r="G17" s="212">
        <f ca="1">VLOOKUP(C17,'BD EVA 5 MTY'!$D$3:$AE$113,28,0)</f>
        <v>0</v>
      </c>
      <c r="H17" s="212" t="str">
        <f>VLOOKUP(C17,'BD EVA 5 MTY'!$D$3:$AE$113,21,0)</f>
        <v>Actualizado al 2019</v>
      </c>
      <c r="I17" s="214">
        <f t="shared" ca="1" si="4"/>
        <v>0</v>
      </c>
      <c r="J17" s="75" t="s">
        <v>318</v>
      </c>
      <c r="K17" s="81">
        <v>1.5</v>
      </c>
      <c r="L17" s="209">
        <f t="shared" ca="1" si="0"/>
        <v>0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MTY'!$D$3:$AE$113,6,0)</f>
        <v>44469</v>
      </c>
      <c r="E18" s="207">
        <f ca="1">VLOOKUP(C18,'BD EVA 5 MTY'!$D$3:$AE$113,16,0)</f>
        <v>0.52941176470588203</v>
      </c>
      <c r="F18" s="75" t="str">
        <f>VLOOKUP(C18,'BD EVA 5 MTY'!$D$3:$AE$113,12,0)</f>
        <v>Ago 2024</v>
      </c>
      <c r="G18" s="207">
        <f ca="1">VLOOKUP(C18,'BD EVA 5 MTY'!$D$3:$AE$113,28,0)</f>
        <v>0.82352941176470495</v>
      </c>
      <c r="H18" s="207">
        <f>VLOOKUP(C18,'BD EVA 5 MTY'!$D$3:$AE$113,21,0)</f>
        <v>1</v>
      </c>
      <c r="I18" s="214">
        <f t="shared" ref="I18:I27" ca="1" si="5">G18/H18</f>
        <v>0.82352941176470495</v>
      </c>
      <c r="J18" s="75" t="s">
        <v>318</v>
      </c>
      <c r="K18" s="81">
        <v>0.3</v>
      </c>
      <c r="L18" s="209">
        <f t="shared" ca="1" si="0"/>
        <v>0.24705882352941147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MTY'!$D$3:$AE$113,6,0)</f>
        <v>44469</v>
      </c>
      <c r="E19" s="207" t="str">
        <f ca="1">VLOOKUP(C19,'BD EVA 5 MTY'!$D$3:$AE$113,16,0)</f>
        <v/>
      </c>
      <c r="F19" s="75" t="str">
        <f>VLOOKUP(C19,'BD EVA 5 MTY'!$D$3:$AE$113,12,0)</f>
        <v>Ago 2024</v>
      </c>
      <c r="G19" s="207">
        <f ca="1">VLOOKUP(C19,'BD EVA 5 MTY'!$D$3:$AE$113,28,0)</f>
        <v>0.99982561447950502</v>
      </c>
      <c r="H19" s="207">
        <f>VLOOKUP(C19,'BD EVA 5 MTY'!$D$3:$AE$113,21,0)</f>
        <v>1</v>
      </c>
      <c r="I19" s="214">
        <f t="shared" ca="1" si="5"/>
        <v>0.99982561447950502</v>
      </c>
      <c r="J19" s="75" t="s">
        <v>318</v>
      </c>
      <c r="K19" s="81">
        <v>1.5</v>
      </c>
      <c r="L19" s="209">
        <f t="shared" ca="1" si="0"/>
        <v>1.4997384217192575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MTY'!$D$3:$AE$113,6,0)</f>
        <v>44469</v>
      </c>
      <c r="E20" s="214">
        <f ca="1">VLOOKUP(C20,'BD EVA 5 MTY'!$D$3:$AE$113,16,0)</f>
        <v>1</v>
      </c>
      <c r="F20" s="75" t="str">
        <f>VLOOKUP(C20,'BD EVA 5 MTY'!$D$3:$AE$113,12,0)</f>
        <v>Ago 2024</v>
      </c>
      <c r="G20" s="214">
        <f ca="1">VLOOKUP(C20,'BD EVA 5 MTY'!$D$3:$AE$113,28,0)</f>
        <v>1</v>
      </c>
      <c r="H20" s="214">
        <f>VLOOKUP(C20,'BD EVA 5 MTY'!$D$3:$AE$113,21,0)</f>
        <v>1</v>
      </c>
      <c r="I20" s="214">
        <f t="shared" ca="1" si="5"/>
        <v>1</v>
      </c>
      <c r="J20" s="75" t="s">
        <v>318</v>
      </c>
      <c r="K20" s="8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MTY'!$D$3:$AE$113,6,0)</f>
        <v>44469</v>
      </c>
      <c r="E21" s="207" t="str">
        <f ca="1">VLOOKUP(C21,'BD EVA 5 MTY'!$D$3:$AE$113,16,0)</f>
        <v/>
      </c>
      <c r="F21" s="75" t="str">
        <f>VLOOKUP(C21,'BD EVA 5 MTY'!$D$3:$AE$113,12,0)</f>
        <v>Ago 2024</v>
      </c>
      <c r="G21" s="207">
        <f ca="1">VLOOKUP(C21,'BD EVA 5 MTY'!$D$3:$AE$113,28,0)</f>
        <v>0.99961030143599905</v>
      </c>
      <c r="H21" s="207">
        <f>VLOOKUP(C21,'BD EVA 5 MTY'!$D$3:$AE$113,21,0)</f>
        <v>1</v>
      </c>
      <c r="I21" s="214">
        <f t="shared" ca="1" si="5"/>
        <v>0.99961030143599905</v>
      </c>
      <c r="J21" s="75" t="s">
        <v>318</v>
      </c>
      <c r="K21" s="81">
        <v>0.9</v>
      </c>
      <c r="L21" s="209">
        <f t="shared" ca="1" si="0"/>
        <v>0.89964927129239913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MTY'!$D$3:$AE$113,6,0)</f>
        <v>44469</v>
      </c>
      <c r="E22" s="207">
        <f ca="1">VLOOKUP(C22,'BD EVA 5 MTY'!$D$3:$AE$113,16,0)</f>
        <v>0.999712619690305</v>
      </c>
      <c r="F22" s="75" t="str">
        <f>VLOOKUP(C22,'BD EVA 5 MTY'!$D$3:$AE$113,12,0)</f>
        <v>Ago 2024</v>
      </c>
      <c r="G22" s="207">
        <f ca="1">VLOOKUP(C22,'BD EVA 5 MTY'!$D$3:$AE$113,28,0)</f>
        <v>1</v>
      </c>
      <c r="H22" s="207">
        <f>VLOOKUP(C22,'BD EVA 5 MTY'!$D$3:$AE$113,21,0)</f>
        <v>1</v>
      </c>
      <c r="I22" s="214">
        <f t="shared" ca="1" si="5"/>
        <v>1</v>
      </c>
      <c r="J22" s="75" t="s">
        <v>318</v>
      </c>
      <c r="K22" s="81">
        <v>1.5</v>
      </c>
      <c r="L22" s="209">
        <f t="shared" ca="1" si="0"/>
        <v>1.5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MTY'!$D$3:$AE$113,6,0)</f>
        <v>octubre 20 - septiembre 21</v>
      </c>
      <c r="E23" s="208">
        <f ca="1">VLOOKUP(C23,'BD EVA 5 MTY'!$D$3:$AE$113,16,0)</f>
        <v>4.9055799999999996</v>
      </c>
      <c r="F23" s="89" t="str">
        <f>VLOOKUP(C23,'BD EVA 5 MTY'!$D$3:$AE$113,12,0)</f>
        <v>octubre 23 - septiembre 24</v>
      </c>
      <c r="G23" s="208">
        <f ca="1">VLOOKUP(C23,'BD EVA 5 MTY'!$D$3:$AE$113,28,0)</f>
        <v>26.32</v>
      </c>
      <c r="H23" s="208">
        <f>VLOOKUP(C23,'BD EVA 5 MTY'!$D$3:$AE$113,21,0)</f>
        <v>31.283333333333331</v>
      </c>
      <c r="I23" s="214">
        <f t="shared" ca="1" si="5"/>
        <v>0.84134256792754403</v>
      </c>
      <c r="J23" s="75" t="s">
        <v>318</v>
      </c>
      <c r="K23" s="81">
        <v>1.3</v>
      </c>
      <c r="L23" s="209">
        <f t="shared" ca="1" si="0"/>
        <v>1.0937453383058073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MTY'!$D$3:$AE$113,6,0)</f>
        <v>44469</v>
      </c>
      <c r="E24" s="171">
        <f ca="1">VLOOKUP(C24,'BD EVA 5 MTY'!$D$3:$AE$113,16,0)</f>
        <v>9.59</v>
      </c>
      <c r="F24" s="75" t="str">
        <f>VLOOKUP(C24,'BD EVA 5 MTY'!$D$3:$AE$113,12,0)</f>
        <v>Ago 2024</v>
      </c>
      <c r="G24" s="171">
        <f ca="1">VLOOKUP(C24,'BD EVA 5 MTY'!$D$3:$AE$113,28,0)</f>
        <v>29.62</v>
      </c>
      <c r="H24" s="171">
        <f>VLOOKUP(C24,'BD EVA 5 MTY'!$D$3:$AE$113,21,0)</f>
        <v>15</v>
      </c>
      <c r="I24" s="214">
        <f t="shared" ca="1" si="5"/>
        <v>1.9746666666666668</v>
      </c>
      <c r="J24" s="75" t="s">
        <v>318</v>
      </c>
      <c r="K24" s="81">
        <v>1.9450000000000001</v>
      </c>
      <c r="L24" s="82">
        <f t="shared" ca="1" si="0"/>
        <v>1.9450000000000001</v>
      </c>
      <c r="M24" s="130">
        <f ca="1">SUM(L24:L28)</f>
        <v>7.78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MTY'!$D$3:$AE$113,6,0)</f>
        <v>octubre 20 - agosto 21</v>
      </c>
      <c r="E25" s="212" t="str">
        <f ca="1">VLOOKUP(C25,'BD EVA 5 MTY'!$D$3:$AE$113,16,0)</f>
        <v/>
      </c>
      <c r="F25" s="75" t="str">
        <f>VLOOKUP(C25,'BD EVA 5 MTY'!$D$3:$AE$113,12,0)</f>
        <v>octubre 23 - agosto 24</v>
      </c>
      <c r="G25" s="212">
        <f ca="1">VLOOKUP(C25,'BD EVA 5 MTY'!$D$3:$AE$113,28,0)</f>
        <v>52222.4399999999</v>
      </c>
      <c r="H25" s="212">
        <f>VLOOKUP(C25,'BD EVA 5 MTY'!$D$3:$AE$113,21,0)</f>
        <v>11445</v>
      </c>
      <c r="I25" s="214">
        <f t="shared" ca="1" si="5"/>
        <v>4.5629043250327568</v>
      </c>
      <c r="J25" s="75" t="s">
        <v>318</v>
      </c>
      <c r="K25" s="81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MTY'!$D$3:$AE$113,6,0)</f>
        <v>enero - agosto 2021</v>
      </c>
      <c r="E26" s="210">
        <f ca="1">VLOOKUP(C26,'BD EVA 5 MTY'!$D$3:$AE$113,16,0)</f>
        <v>3.5601942959189101E-2</v>
      </c>
      <c r="F26" s="75" t="str">
        <f>VLOOKUP(C26,'BD EVA 5 MTY'!$D$3:$AE$113,12,0)</f>
        <v>enero- agosto 2024</v>
      </c>
      <c r="G26" s="210">
        <f ca="1">VLOOKUP(C26,'BD EVA 5 MTY'!$D$3:$AE$113,28,0)</f>
        <v>0.103234831021215</v>
      </c>
      <c r="H26" s="210">
        <f>VLOOKUP(C26,'BD EVA 5 MTY'!$D$3:$AE$113,21,0)</f>
        <v>0.1</v>
      </c>
      <c r="I26" s="214">
        <f t="shared" ca="1" si="5"/>
        <v>1.03234831021215</v>
      </c>
      <c r="J26" s="75" t="s">
        <v>318</v>
      </c>
      <c r="K26" s="81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MTY'!$D$3:$AE$113,6,0)</f>
        <v>octubre 20 - agosto 21</v>
      </c>
      <c r="E27" s="212">
        <f ca="1">VLOOKUP(C27,'BD EVA 5 MTY'!$D$3:$AE$113,16,0)</f>
        <v>0</v>
      </c>
      <c r="F27" s="75" t="str">
        <f>VLOOKUP(C27,'BD EVA 5 MTY'!$D$3:$AE$113,12,0)</f>
        <v>octubre 23 - agosto 24</v>
      </c>
      <c r="G27" s="212">
        <f ca="1">VLOOKUP(C27,'BD EVA 5 MTY'!$D$3:$AE$113,28,0)</f>
        <v>135</v>
      </c>
      <c r="H27" s="212">
        <f>VLOOKUP(C27,'BD EVA 5 MTY'!$D$3:$AE$113,21,0)</f>
        <v>22.5</v>
      </c>
      <c r="I27" s="214">
        <f t="shared" ca="1" si="5"/>
        <v>6</v>
      </c>
      <c r="J27" s="75" t="s">
        <v>318</v>
      </c>
      <c r="K27" s="81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MTY'!$D$3:$AE$113,6,0)</f>
        <v>octubre 18 - agosto 19</v>
      </c>
      <c r="E28" s="212">
        <f ca="1">VLOOKUP(C28,'BD EVA 5 MTY'!$D$3:$AE$113,16,0)</f>
        <v>28959</v>
      </c>
      <c r="F28" s="89" t="str">
        <f>VLOOKUP(C28,'BD EVA 5 MTY'!$D$3:$AE$113,12,0)</f>
        <v>octubre 23 - agosto 24</v>
      </c>
      <c r="G28" s="212">
        <f ca="1">VLOOKUP(C28,'BD EVA 5 MTY'!$D$3:$AE$113,28,0)</f>
        <v>30150</v>
      </c>
      <c r="H28" s="212">
        <f ca="1">VLOOKUP(C28,'BD EVA 5 MTY'!$D$3:$AE$113,21,0)</f>
        <v>28379.838444635523</v>
      </c>
      <c r="I28" s="78">
        <f ca="1">(G28-E28)/(H28-E28)</f>
        <v>-2.0564210261685654</v>
      </c>
      <c r="J28" s="89" t="s">
        <v>319</v>
      </c>
      <c r="K28" s="81">
        <v>2.2200000000000002</v>
      </c>
      <c r="L28" s="209">
        <f t="shared" ca="1" si="0"/>
        <v>0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75" t="str">
        <f>VLOOKUP(C29,'BD EVA 5 MTY'!$D$3:$AE$113,6,0)</f>
        <v>octubre 20 - agosto 21</v>
      </c>
      <c r="E29" s="212">
        <f ca="1">VLOOKUP(C29,'BD EVA 5 MTY'!$D$3:$AE$113,16,0)</f>
        <v>12</v>
      </c>
      <c r="F29" s="75" t="str">
        <f>VLOOKUP(C29,'BD EVA 5 MTY'!$D$3:$AE$113,12,0)</f>
        <v>octubre 23 - agosto 24</v>
      </c>
      <c r="G29" s="212">
        <f ca="1">VLOOKUP(C29,'BD EVA 5 MTY'!$D$3:$AE$113,28,0)</f>
        <v>173</v>
      </c>
      <c r="H29" s="212">
        <f>VLOOKUP(C29,'BD EVA 5 MTY'!$D$3:$AE$113,21,0)</f>
        <v>145.33333333333331</v>
      </c>
      <c r="I29" s="78">
        <f t="shared" ref="I29:I33" ca="1" si="6">G29/H29</f>
        <v>1.1903669724770645</v>
      </c>
      <c r="J29" s="75" t="s">
        <v>318</v>
      </c>
      <c r="K29" s="76">
        <v>2</v>
      </c>
      <c r="L29" s="209">
        <f t="shared" ca="1" si="0"/>
        <v>2</v>
      </c>
      <c r="M29" s="130">
        <f ca="1">SUM(L29:L33)</f>
        <v>9.0269541027267817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MTY'!$D$3:$AE$113,6,0)</f>
        <v>44469</v>
      </c>
      <c r="E30" s="212">
        <f ca="1">VLOOKUP(C30,'BD EVA 5 MTY'!$D$3:$AE$113,16,0)</f>
        <v>2</v>
      </c>
      <c r="F30" s="75" t="str">
        <f>VLOOKUP(C30,'BD EVA 5 MTY'!$D$3:$AE$113,12,0)</f>
        <v>Ago 2024</v>
      </c>
      <c r="G30" s="212">
        <f ca="1">VLOOKUP(C30,'BD EVA 5 MTY'!$D$3:$AE$113,28,0)</f>
        <v>51</v>
      </c>
      <c r="H30" s="212">
        <f>VLOOKUP(C30,'BD EVA 5 MTY'!$D$3:$AE$113,21,0)</f>
        <v>38.666666666666664</v>
      </c>
      <c r="I30" s="78">
        <f t="shared" ca="1" si="6"/>
        <v>1.3189655172413794</v>
      </c>
      <c r="J30" s="75" t="s">
        <v>318</v>
      </c>
      <c r="K30" s="76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MTY'!$D$3:$AE$113,6,0)</f>
        <v>44440</v>
      </c>
      <c r="E31" s="212">
        <f ca="1">VLOOKUP(C31,'BD EVA 5 MTY'!$D$3:$AE$113,16,0)</f>
        <v>100</v>
      </c>
      <c r="F31" s="75">
        <f>VLOOKUP(C31,'BD EVA 5 MTY'!$D$3:$AE$113,12,0)</f>
        <v>45444</v>
      </c>
      <c r="G31" s="212">
        <f ca="1">VLOOKUP(C31,'BD EVA 5 MTY'!$D$3:$AE$113,28,0)</f>
        <v>100</v>
      </c>
      <c r="H31" s="212">
        <f>VLOOKUP(C31,'BD EVA 5 MTY'!$D$3:$AE$113,21,0)</f>
        <v>100</v>
      </c>
      <c r="I31" s="78">
        <f t="shared" ca="1" si="6"/>
        <v>1</v>
      </c>
      <c r="J31" s="75" t="s">
        <v>318</v>
      </c>
      <c r="K31" s="76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MTY'!$D$3:$AE$113,6,0)</f>
        <v>44440</v>
      </c>
      <c r="E32" s="209">
        <f ca="1">VLOOKUP(C32,'BD EVA 5 MTY'!$D$3:$AE$113,16,0)</f>
        <v>0</v>
      </c>
      <c r="F32" s="75" t="str">
        <f>VLOOKUP(C32,'BD EVA 5 MTY'!$D$3:$AE$113,12,0)</f>
        <v>Ago 2024</v>
      </c>
      <c r="G32" s="209">
        <f ca="1">VLOOKUP(C32,'BD EVA 5 MTY'!$D$3:$AE$113,28,0)</f>
        <v>2.7996709173179699</v>
      </c>
      <c r="H32" s="209">
        <f>VLOOKUP(C32,'BD EVA 5 MTY'!$D$3:$AE$113,21,0)</f>
        <v>4</v>
      </c>
      <c r="I32" s="78">
        <f t="shared" ca="1" si="6"/>
        <v>0.69991772932949248</v>
      </c>
      <c r="J32" s="75" t="s">
        <v>318</v>
      </c>
      <c r="K32" s="76">
        <v>2</v>
      </c>
      <c r="L32" s="209">
        <f t="shared" ca="1" si="0"/>
        <v>1.399835458658985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MTY'!$D$3:$AE$113,6,0)</f>
        <v>44440</v>
      </c>
      <c r="E33" s="75" t="str">
        <f ca="1">VLOOKUP(C33,'BD EVA 5 MTY'!$D$3:$AE$113,16,0)</f>
        <v/>
      </c>
      <c r="F33" s="75" t="str">
        <f>VLOOKUP(C33,'BD EVA 5 MTY'!$D$3:$AE$113,12,0)</f>
        <v>Ago 2024</v>
      </c>
      <c r="G33" s="75">
        <f ca="1">VLOOKUP(C33,'BD EVA 5 MTY'!$D$3:$AE$113,28,0)</f>
        <v>0.40677966101694901</v>
      </c>
      <c r="H33" s="207">
        <f>VLOOKUP(C33,'BD EVA 5 MTY'!$D$3:$AE$113,21,0)</f>
        <v>0.5</v>
      </c>
      <c r="I33" s="78">
        <f t="shared" ca="1" si="6"/>
        <v>0.81355932203389802</v>
      </c>
      <c r="J33" s="75" t="s">
        <v>318</v>
      </c>
      <c r="K33" s="76">
        <v>2</v>
      </c>
      <c r="L33" s="209">
        <f t="shared" ca="1" si="0"/>
        <v>1.627118644067796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MTY'!$D$3:$AE$113,6,0)</f>
        <v>enero - junio 2021</v>
      </c>
      <c r="E34" s="78">
        <f ca="1">VLOOKUP(C34,'BD EVA 5 MTY'!$D$3:$AE$113,16,0)</f>
        <v>0.47896145515973099</v>
      </c>
      <c r="F34" s="75" t="str">
        <f>VLOOKUP(C34,'BD EVA 5 MTY'!$D$3:$AE$113,12,0)</f>
        <v>enero- junio 2024</v>
      </c>
      <c r="G34" s="78">
        <f ca="1">VLOOKUP(C34,'BD EVA 5 MTY'!$D$3:$AE$113,28,0)</f>
        <v>0.41632461295884299</v>
      </c>
      <c r="H34" s="78">
        <f>VLOOKUP(C34,'BD EVA 5 MTY'!$D$3:$AE$113,21,0)</f>
        <v>0.46899999999999997</v>
      </c>
      <c r="I34" s="78">
        <f ca="1">(G34/H34)</f>
        <v>0.88768574191650962</v>
      </c>
      <c r="J34" s="75" t="s">
        <v>318</v>
      </c>
      <c r="K34" s="85">
        <v>2.1631999999999998</v>
      </c>
      <c r="L34" s="209">
        <f t="shared" ca="1" si="0"/>
        <v>1.9202417969137935</v>
      </c>
      <c r="M34" s="130">
        <f ca="1">SUM(L34:L39)</f>
        <v>9.6361343519219709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MTY'!$D$3:$AE$113,6,0)</f>
        <v>enero - junio 2021</v>
      </c>
      <c r="E35" s="78">
        <f ca="1">VLOOKUP(C35,'BD EVA 5 MTY'!$D$3:$AE$113,16,0)</f>
        <v>0.60737848538289896</v>
      </c>
      <c r="F35" s="75" t="str">
        <f>VLOOKUP(C35,'BD EVA 5 MTY'!$D$3:$AE$113,12,0)</f>
        <v>enero- junio 2024</v>
      </c>
      <c r="G35" s="78">
        <f ca="1">VLOOKUP(C35,'BD EVA 5 MTY'!$D$3:$AE$113,28,0)</f>
        <v>0.66180955546798104</v>
      </c>
      <c r="H35" s="78">
        <f>VLOOKUP(C35,'BD EVA 5 MTY'!$D$3:$AE$113,21,0)</f>
        <v>0.62</v>
      </c>
      <c r="I35" s="78">
        <f ca="1">G35/H35</f>
        <v>1.0674347668838404</v>
      </c>
      <c r="J35" s="75" t="s">
        <v>318</v>
      </c>
      <c r="K35" s="85">
        <v>1.3520000000000001</v>
      </c>
      <c r="L35" s="209">
        <f t="shared" ca="1" si="0"/>
        <v>1.3520000000000001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MTY'!$D$3:$AE$113,6,0)</f>
        <v>enero - agosto 2021</v>
      </c>
      <c r="E36" s="78">
        <f ca="1">VLOOKUP(C36,'BD EVA 5 MTY'!$D$3:$AE$113,16,0)</f>
        <v>0.54781976020798695</v>
      </c>
      <c r="F36" s="75" t="str">
        <f>VLOOKUP(C36,'BD EVA 5 MTY'!$D$3:$AE$113,12,0)</f>
        <v>enero- agosto 2024</v>
      </c>
      <c r="G36" s="78">
        <f ca="1">VLOOKUP(C36,'BD EVA 5 MTY'!$D$3:$AE$113,28,0)</f>
        <v>0.59176207282430904</v>
      </c>
      <c r="H36" s="78">
        <f>VLOOKUP(C36,'BD EVA 5 MTY'!$D$3:$AE$113,21,0)</f>
        <v>0.61</v>
      </c>
      <c r="I36" s="78">
        <f ca="1">IF(G36&lt;E36,0,G36/H36)</f>
        <v>0.97010175872837545</v>
      </c>
      <c r="J36" s="72" t="s">
        <v>316</v>
      </c>
      <c r="K36" s="85">
        <v>2.1631999999999998</v>
      </c>
      <c r="L36" s="209">
        <f t="shared" ca="1" si="0"/>
        <v>2.0985241244812216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MTY'!$D$3:$AE$113,6,0)</f>
        <v>enero - agosto 2021</v>
      </c>
      <c r="E37" s="90" t="str">
        <f ca="1">VLOOKUP(C37,'BD EVA 5 MTY'!$D$3:$AE$113,16,0)</f>
        <v/>
      </c>
      <c r="F37" s="75" t="str">
        <f>VLOOKUP(C37,'BD EVA 5 MTY'!$D$3:$AE$113,12,0)</f>
        <v>enero- agosto 2024</v>
      </c>
      <c r="G37" s="90">
        <f ca="1">VLOOKUP(C37,'BD EVA 5 MTY'!$D$3:$AE$113,28,0)</f>
        <v>1383305690.53</v>
      </c>
      <c r="H37" s="90">
        <f>VLOOKUP(C37,'BD EVA 5 MTY'!$D$3:$AE$113,21,0)</f>
        <v>1459166666.6666667</v>
      </c>
      <c r="I37" s="78">
        <f ca="1">G37/H37</f>
        <v>0.9480107530759565</v>
      </c>
      <c r="J37" s="75" t="s">
        <v>318</v>
      </c>
      <c r="K37" s="85">
        <v>1.0815999999999999</v>
      </c>
      <c r="L37" s="209">
        <f t="shared" ca="1" si="0"/>
        <v>1.0253684305269544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75" t="str">
        <f>VLOOKUP(C38,'BD EVA 5 MTY'!$D$3:$AE$113,6,0)</f>
        <v>enero - junio 2021</v>
      </c>
      <c r="E38" s="78">
        <f ca="1">VLOOKUP(C38,'BD EVA 5 MTY'!$D$3:$AE$113,16,0)</f>
        <v>0.67624086130834604</v>
      </c>
      <c r="F38" s="75" t="str">
        <f>VLOOKUP(C38,'BD EVA 5 MTY'!$D$3:$AE$113,12,0)</f>
        <v>enero- junio 2024</v>
      </c>
      <c r="G38" s="78">
        <f ca="1">VLOOKUP(C38,'BD EVA 5 MTY'!$D$3:$AE$113,28,0)</f>
        <v>0.65467768678727201</v>
      </c>
      <c r="H38" s="78">
        <f>VLOOKUP(C38,'BD EVA 5 MTY'!$D$3:$AE$113,21,0)</f>
        <v>0.71083333333333332</v>
      </c>
      <c r="I38" s="78">
        <f ca="1">(H38/G38)</f>
        <v>1.0857760202912006</v>
      </c>
      <c r="J38" s="89" t="s">
        <v>341</v>
      </c>
      <c r="K38" s="85">
        <v>1.62</v>
      </c>
      <c r="L38" s="209">
        <f t="shared" ca="1" si="0"/>
        <v>1.62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MTY'!$D$3:$AE$113,6,0)</f>
        <v>44348</v>
      </c>
      <c r="E39" s="75" t="str">
        <f ca="1">VLOOKUP(C39,'BD EVA 5 MTY'!$D$3:$AE$113,16,0)</f>
        <v>Verde</v>
      </c>
      <c r="F39" s="75">
        <f>VLOOKUP(C39,'BD EVA 5 MTY'!$D$3:$AE$113,12,0)</f>
        <v>45444</v>
      </c>
      <c r="G39" s="75" t="str">
        <f ca="1">VLOOKUP(C39,'BD EVA 5 MTY'!$D$3:$AE$113,28,0)</f>
        <v>Verde</v>
      </c>
      <c r="H39" s="207" t="str">
        <f>VLOOKUP(C39,'BD EVA 5 MTY'!$D$3:$AE$113,21,0)</f>
        <v>Verde</v>
      </c>
      <c r="I39" s="76">
        <f ca="1">IF(G39="Verde",1,0)</f>
        <v>1</v>
      </c>
      <c r="J39" s="75" t="s">
        <v>318</v>
      </c>
      <c r="K39" s="85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A290C-CF07-CD47-B1C4-6CC9B10A0D9A}">
  <dimension ref="A1:L15"/>
  <sheetViews>
    <sheetView workbookViewId="0">
      <selection activeCell="E20" sqref="E20"/>
    </sheetView>
  </sheetViews>
  <sheetFormatPr baseColWidth="10" defaultRowHeight="16"/>
  <cols>
    <col min="1" max="1" width="21.6640625" customWidth="1"/>
    <col min="2" max="2" width="13.33203125" customWidth="1"/>
    <col min="4" max="4" width="13" customWidth="1"/>
    <col min="6" max="6" width="12.1640625" customWidth="1"/>
    <col min="8" max="8" width="13" customWidth="1"/>
    <col min="10" max="10" width="12.5" customWidth="1"/>
  </cols>
  <sheetData>
    <row r="1" spans="1:12" ht="22">
      <c r="A1" s="220" t="s">
        <v>376</v>
      </c>
    </row>
    <row r="2" spans="1:12">
      <c r="A2" s="221" t="s">
        <v>443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MTY'!M2</f>
        <v>7.2459808555134808</v>
      </c>
      <c r="D5" s="228">
        <v>8.5000000000000006E-2</v>
      </c>
      <c r="E5" s="229">
        <f ca="1">'EVA 2 MTY'!M2</f>
        <v>9.7388782193400569</v>
      </c>
      <c r="F5" s="228">
        <v>0.1</v>
      </c>
      <c r="G5" s="229">
        <f ca="1">'EVA 3 MTY'!M2</f>
        <v>9.6520374652636605</v>
      </c>
      <c r="H5" s="228">
        <v>8.5000000000000006E-2</v>
      </c>
      <c r="I5" s="229">
        <f ca="1">'EVA 4 MTY'!M2</f>
        <v>9.6394160838882286</v>
      </c>
      <c r="J5" s="228">
        <v>8.5000000000000006E-2</v>
      </c>
      <c r="K5" s="229">
        <f ca="1">'EVA 5 MTY'!M2</f>
        <v>9.5348351162565628</v>
      </c>
      <c r="L5" s="236">
        <f ca="1">AVERAGE(C5,E5,G5,I5,K5)</f>
        <v>9.1622295480523981</v>
      </c>
    </row>
    <row r="6" spans="1:12">
      <c r="A6" s="222" t="s">
        <v>52</v>
      </c>
      <c r="B6" s="227">
        <v>0.22</v>
      </c>
      <c r="C6" s="229">
        <f ca="1">'EVA 1 MTY'!M5</f>
        <v>6.7060000000000004</v>
      </c>
      <c r="D6" s="228">
        <v>0.188</v>
      </c>
      <c r="E6" s="229">
        <f ca="1">'EVA 2 MTY'!M5</f>
        <v>8.3000000000000007</v>
      </c>
      <c r="F6" s="228">
        <v>0.221</v>
      </c>
      <c r="G6" s="229">
        <f ca="1">'EVA 3 MTY'!M5</f>
        <v>9.4832352846602479</v>
      </c>
      <c r="H6" s="228">
        <v>0.188</v>
      </c>
      <c r="I6" s="229">
        <f ca="1">'EVA 4 MTY'!M5</f>
        <v>10</v>
      </c>
      <c r="J6" s="228">
        <v>0.188</v>
      </c>
      <c r="K6" s="229">
        <f ca="1">'EVA 5 MTY'!M5</f>
        <v>1.0678871090770392</v>
      </c>
      <c r="L6" s="236">
        <f t="shared" ref="L6:L11" ca="1" si="0">AVERAGE(C6,E6,G6,I6,K6)</f>
        <v>7.1114244787474572</v>
      </c>
    </row>
    <row r="7" spans="1:12">
      <c r="A7" s="222" t="s">
        <v>119</v>
      </c>
      <c r="B7" s="227">
        <v>0.11</v>
      </c>
      <c r="C7" s="229">
        <f ca="1">'EVA 1 MTY'!M11</f>
        <v>9.8871521484166696</v>
      </c>
      <c r="D7" s="228">
        <v>9.5000000000000001E-2</v>
      </c>
      <c r="E7" s="229">
        <f ca="1">'EVA 2 MTY'!M11</f>
        <v>10</v>
      </c>
      <c r="F7" s="228">
        <v>0.111</v>
      </c>
      <c r="G7" s="229">
        <f ca="1">'EVA 3 MTY'!M11</f>
        <v>9.9823032622154688</v>
      </c>
      <c r="H7" s="228">
        <v>9.5000000000000001E-2</v>
      </c>
      <c r="I7" s="229">
        <f ca="1">'EVA 4 MTY'!M11</f>
        <v>9.5592715108360657</v>
      </c>
      <c r="J7" s="228">
        <v>9.5000000000000001E-2</v>
      </c>
      <c r="K7" s="229">
        <f ca="1">'EVA 5 MTY'!M11</f>
        <v>9.5122014085378126</v>
      </c>
      <c r="L7" s="236">
        <f t="shared" ca="1" si="0"/>
        <v>9.7881856660012012</v>
      </c>
    </row>
    <row r="8" spans="1:12">
      <c r="A8" s="222" t="s">
        <v>378</v>
      </c>
      <c r="B8" s="227">
        <v>0.24</v>
      </c>
      <c r="C8" s="229">
        <f ca="1">'EVA 1 MTY'!M15</f>
        <v>6.9464852814768552</v>
      </c>
      <c r="D8" s="228">
        <v>0.2</v>
      </c>
      <c r="E8" s="229">
        <f ca="1">'EVA 2 MTY'!M16</f>
        <v>6.9459394138523862</v>
      </c>
      <c r="F8" s="228">
        <v>0.23699999999999999</v>
      </c>
      <c r="G8" s="229">
        <f ca="1">'EVA 3 MTY'!M16</f>
        <v>7.7440075411196174</v>
      </c>
      <c r="H8" s="228">
        <v>0.2</v>
      </c>
      <c r="I8" s="229">
        <f ca="1">'EVA 4 MTY'!M16</f>
        <v>7.9412504377632258</v>
      </c>
      <c r="J8" s="228">
        <v>0.2</v>
      </c>
      <c r="K8" s="229">
        <f ca="1">'EVA 5 MTY'!M16</f>
        <v>7.7401918548468753</v>
      </c>
      <c r="L8" s="236">
        <f t="shared" ca="1" si="0"/>
        <v>7.4635749058117922</v>
      </c>
    </row>
    <row r="9" spans="1:12">
      <c r="A9" s="222" t="s">
        <v>199</v>
      </c>
      <c r="B9" s="227">
        <v>0.17</v>
      </c>
      <c r="C9" s="229">
        <f ca="1">'EVA 1 MTY'!M23</f>
        <v>9.5518400000000003</v>
      </c>
      <c r="D9" s="228">
        <v>0.14499999999999999</v>
      </c>
      <c r="E9" s="229">
        <f ca="1">'EVA 2 MTY'!M24</f>
        <v>9.8999999999999986</v>
      </c>
      <c r="F9" s="228">
        <v>0.17</v>
      </c>
      <c r="G9" s="229">
        <f ca="1">'EVA 3 MTY'!M24</f>
        <v>7.78</v>
      </c>
      <c r="H9" s="228">
        <v>0.14499999999999999</v>
      </c>
      <c r="I9" s="229">
        <f ca="1">'EVA 4 MTY'!M24</f>
        <v>9.2834139387138581</v>
      </c>
      <c r="J9" s="228">
        <v>0.14499999999999999</v>
      </c>
      <c r="K9" s="229">
        <f ca="1">'EVA 5 MTY'!M24</f>
        <v>7.78</v>
      </c>
      <c r="L9" s="236">
        <f t="shared" ca="1" si="0"/>
        <v>8.8590507877427704</v>
      </c>
    </row>
    <row r="10" spans="1:12">
      <c r="A10" s="222" t="s">
        <v>243</v>
      </c>
      <c r="B10" s="227">
        <v>0.16</v>
      </c>
      <c r="C10" s="229">
        <f ca="1">'EVA 1 MTY'!M27</f>
        <v>7.4945000000000004</v>
      </c>
      <c r="D10" s="228">
        <v>0.13800000000000001</v>
      </c>
      <c r="E10" s="229">
        <f ca="1">'EVA 2 MTY'!M29</f>
        <v>7.1909607246972946</v>
      </c>
      <c r="F10" s="228">
        <v>0.161</v>
      </c>
      <c r="G10" s="229">
        <f ca="1">'EVA 3 MTY'!M28</f>
        <v>7.5255741807212386</v>
      </c>
      <c r="H10" s="228">
        <v>0.13800000000000001</v>
      </c>
      <c r="I10" s="229">
        <f ca="1">'EVA 4 MTY'!M29</f>
        <v>8.2447036418892345</v>
      </c>
      <c r="J10" s="228">
        <v>0.13800000000000001</v>
      </c>
      <c r="K10" s="229">
        <f ca="1">'EVA 5 MTY'!M29</f>
        <v>9.0269541027267817</v>
      </c>
      <c r="L10" s="236">
        <f t="shared" ca="1" si="0"/>
        <v>7.89653853000691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MTY'!M34</f>
        <v>7.7635296320323253</v>
      </c>
      <c r="F11" s="232"/>
      <c r="G11" s="232"/>
      <c r="H11" s="228">
        <v>0.14899999999999999</v>
      </c>
      <c r="I11" s="229">
        <f ca="1">'EVA 4 MTY'!M34</f>
        <v>7.333929504085325</v>
      </c>
      <c r="J11" s="228">
        <v>0.14899999999999999</v>
      </c>
      <c r="K11" s="229">
        <f ca="1">'EVA 5 MTY'!M34</f>
        <v>9.6361343519219709</v>
      </c>
      <c r="L11" s="236">
        <f t="shared" ca="1" si="0"/>
        <v>8.2445311626798734</v>
      </c>
    </row>
    <row r="12" spans="1:12">
      <c r="A12" s="223" t="s">
        <v>392</v>
      </c>
      <c r="B12" s="234"/>
      <c r="C12" s="231">
        <f ca="1">SUMPRODUCT(B5:B10,C5:C10)</f>
        <v>7.7775940894316271</v>
      </c>
      <c r="D12" s="234"/>
      <c r="E12" s="231">
        <f ca="1">SUMPRODUCT(D5:D11,E5:E11)</f>
        <v>8.3120110265954246</v>
      </c>
      <c r="F12" s="234"/>
      <c r="G12" s="231">
        <f ca="1">SUMPRODUCT(F5:F10,G5:G10)</f>
        <v>8.5385816368836682</v>
      </c>
      <c r="H12" s="234"/>
      <c r="I12" s="231">
        <f ca="1">SUMPRODUCT(H5:H11,I5:I11)</f>
        <v>8.7723508680155078</v>
      </c>
      <c r="J12" s="233"/>
      <c r="K12" s="231">
        <f ca="1">SUMPRODUCT(J5:J11,K5:K11)</f>
        <v>7.2725249507814276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8.1346125143415318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4AFDE-01FF-CD45-994E-D775AB0B6072}">
  <dimension ref="A1:AC109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476051</v>
      </c>
      <c r="Q2" s="12">
        <v>476051</v>
      </c>
      <c r="R2" s="13"/>
      <c r="S2" s="316"/>
      <c r="T2" s="316"/>
      <c r="U2" s="316"/>
      <c r="V2" s="316"/>
      <c r="W2" s="316"/>
      <c r="X2" s="12">
        <v>479050</v>
      </c>
      <c r="Y2" s="12">
        <v>479050</v>
      </c>
      <c r="Z2" s="12">
        <v>483249</v>
      </c>
      <c r="AA2" s="12">
        <v>483249</v>
      </c>
      <c r="AB2" s="12">
        <v>488759</v>
      </c>
      <c r="AC2" s="12">
        <v>488759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554</v>
      </c>
      <c r="Q3" s="2">
        <v>554</v>
      </c>
      <c r="R3" s="4">
        <v>479</v>
      </c>
      <c r="S3" s="4">
        <v>497</v>
      </c>
      <c r="T3" s="4">
        <v>514</v>
      </c>
      <c r="U3" s="4">
        <v>532</v>
      </c>
      <c r="V3" s="4">
        <v>550</v>
      </c>
      <c r="W3" s="4">
        <v>550</v>
      </c>
      <c r="X3" s="480">
        <v>449</v>
      </c>
      <c r="Y3" s="2">
        <f ca="1">IFERROR(__xludf.DUMMYFUNCTION("INDEX(IMPORTRANGE(""1y0FWgjbB0gVlqn-q5LMJbGIsqOrzru4yowQz67dz2yc"", ""'SNG'!AM3:AM139""),MATCH(D3,IMPORTRANGE(""1y0FWgjbB0gVlqn-q5LMJbGIsqOrzru4yowQz67dz2yc"", ""'SNG'!D3:D139""),0))"),462)</f>
        <v>462</v>
      </c>
      <c r="Z3" s="1"/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395</v>
      </c>
      <c r="Q4" s="2">
        <v>395</v>
      </c>
      <c r="R4" s="13"/>
      <c r="S4" s="13"/>
      <c r="T4" s="13"/>
      <c r="U4" s="13"/>
      <c r="V4" s="13"/>
      <c r="W4" s="13"/>
      <c r="X4" s="2">
        <v>447</v>
      </c>
      <c r="Y4" s="2">
        <f ca="1">IFERROR(__xludf.DUMMYFUNCTION("INDEX(IMPORTRANGE(""1y0FWgjbB0gVlqn-q5LMJbGIsqOrzru4yowQz67dz2yc"", ""'SNG'!AM3:AM139""),MATCH(D4,IMPORTRANGE(""1y0FWgjbB0gVlqn-q5LMJbGIsqOrzru4yowQz67dz2yc"", ""'SNG'!D3:D139""),0))"),462)</f>
        <v>462</v>
      </c>
      <c r="Z4" s="1"/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56" t="s">
        <v>43</v>
      </c>
      <c r="E5" s="7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0.71299638989169678</v>
      </c>
      <c r="Q5" s="15">
        <f t="shared" si="0"/>
        <v>0.71299638989169678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0.99554565701559017</v>
      </c>
      <c r="Y5" s="15">
        <f ca="1">IFERROR(__xludf.DUMMYFUNCTION("INDEX(IMPORTRANGE(""1y0FWgjbB0gVlqn-q5LMJbGIsqOrzru4yowQz67dz2yc"", ""'SNG'!AM3:AM139""),MATCH(D5,IMPORTRANGE(""1y0FWgjbB0gVlqn-q5LMJbGIsqOrzru4yowQz67dz2yc"", ""'SNG'!D3:D139""),0))"),1)</f>
        <v>1</v>
      </c>
      <c r="Z5" s="1"/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56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430"/>
      <c r="Q6" s="418"/>
      <c r="R6" s="1"/>
      <c r="S6" s="1"/>
      <c r="T6" s="1"/>
      <c r="U6" s="1"/>
      <c r="V6" s="1"/>
      <c r="W6" s="1"/>
      <c r="X6" s="418"/>
      <c r="Y6" s="2">
        <f ca="1">IFERROR(__xludf.DUMMYFUNCTION("INDEX(IMPORTRANGE(""1y0FWgjbB0gVlqn-q5LMJbGIsqOrzru4yowQz67dz2yc"", ""'SNG'!AM3:AM139""),MATCH(D6,IMPORTRANGE(""1y0FWgjbB0gVlqn-q5LMJbGIsqOrzru4yowQz67dz2yc"", ""'SNG'!D3:D139""),0))"),16)</f>
        <v>16</v>
      </c>
      <c r="Z6" s="1"/>
      <c r="AA6" s="1"/>
      <c r="AB6" s="1"/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430"/>
      <c r="Q7" s="418"/>
      <c r="R7" s="1"/>
      <c r="S7" s="1"/>
      <c r="T7" s="1"/>
      <c r="U7" s="1"/>
      <c r="V7" s="1"/>
      <c r="W7" s="1"/>
      <c r="X7" s="418"/>
      <c r="Y7" s="2">
        <f ca="1">IFERROR(__xludf.DUMMYFUNCTION("INDEX(IMPORTRANGE(""1y0FWgjbB0gVlqn-q5LMJbGIsqOrzru4yowQz67dz2yc"", ""'SNG'!AM3:AM139""),MATCH(D7,IMPORTRANGE(""1y0FWgjbB0gVlqn-q5LMJbGIsqOrzru4yowQz67dz2yc"", ""'SNG'!D3:D139""),0))"),0)</f>
        <v>0</v>
      </c>
      <c r="Z7" s="1"/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420">
        <f t="shared" ref="P8:Q8" si="1">P6/P3</f>
        <v>0</v>
      </c>
      <c r="Q8" s="420">
        <f t="shared" si="1"/>
        <v>0</v>
      </c>
      <c r="R8" s="47">
        <v>3.6999999999999998E-2</v>
      </c>
      <c r="S8" s="47">
        <v>3.9E-2</v>
      </c>
      <c r="T8" s="47">
        <v>4.1000000000000002E-2</v>
      </c>
      <c r="U8" s="47">
        <v>4.2999999999999997E-2</v>
      </c>
      <c r="V8" s="47">
        <v>4.4999999999999998E-2</v>
      </c>
      <c r="W8" s="47">
        <v>4.4999999999999998E-2</v>
      </c>
      <c r="X8" s="420">
        <f>X6/X3</f>
        <v>0</v>
      </c>
      <c r="Y8" s="15">
        <f ca="1">IFERROR(__xludf.DUMMYFUNCTION("INDEX(IMPORTRANGE(""1y0FWgjbB0gVlqn-q5LMJbGIsqOrzru4yowQz67dz2yc"", ""'SNG'!AM3:AM139""),MATCH(D8,IMPORTRANGE(""1y0FWgjbB0gVlqn-q5LMJbGIsqOrzru4yowQz67dz2yc"", ""'SNG'!D3:D139""),0))"),0.0346320346320346)</f>
        <v>3.4632034632034597E-2</v>
      </c>
      <c r="Z8" s="1"/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65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12">
        <f ca="1">IFERROR(__xludf.DUMMYFUNCTION("INDEX(IMPORTRANGE(""1y0FWgjbB0gVlqn-q5LMJbGIsqOrzru4yowQz67dz2yc"", ""'SNG'!AM3:AM139""),MATCH(D9,IMPORTRANGE(""1y0FWgjbB0gVlqn-q5LMJbGIsqOrzru4yowQz67dz2yc"", ""'SNG'!D3:D139""),0))"),337)</f>
        <v>337</v>
      </c>
      <c r="Z9" s="1"/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55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418</v>
      </c>
      <c r="Q10" s="12">
        <v>590</v>
      </c>
      <c r="R10" s="13"/>
      <c r="S10" s="13"/>
      <c r="T10" s="13"/>
      <c r="U10" s="13"/>
      <c r="V10" s="13"/>
      <c r="W10" s="13"/>
      <c r="X10" s="12">
        <v>112</v>
      </c>
      <c r="Y10" s="12">
        <f ca="1">IFERROR(__xludf.DUMMYFUNCTION("INDEX(IMPORTRANGE(""1y0FWgjbB0gVlqn-q5LMJbGIsqOrzru4yowQz67dz2yc"", ""'SNG'!AM3:AM139""),MATCH(D10,IMPORTRANGE(""1y0FWgjbB0gVlqn-q5LMJbGIsqOrzru4yowQz67dz2yc"", ""'SNG'!D3:D139""),0))"),2182)</f>
        <v>2182</v>
      </c>
      <c r="Z10" s="1"/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37">
        <v>0.15</v>
      </c>
      <c r="S11" s="37">
        <v>0.3</v>
      </c>
      <c r="T11" s="37">
        <v>0.45</v>
      </c>
      <c r="U11" s="37">
        <v>0.6</v>
      </c>
      <c r="V11" s="37">
        <v>0.75</v>
      </c>
      <c r="W11" s="37">
        <f>V11</f>
        <v>0.75</v>
      </c>
      <c r="X11" s="15">
        <f>X9/X10</f>
        <v>0</v>
      </c>
      <c r="Y11" s="15">
        <f ca="1">IFERROR(__xludf.DUMMYFUNCTION("INDEX(IMPORTRANGE(""1y0FWgjbB0gVlqn-q5LMJbGIsqOrzru4yowQz67dz2yc"", ""'SNG'!AM3:AM139""),MATCH(D11,IMPORTRANGE(""1y0FWgjbB0gVlqn-q5LMJbGIsqOrzru4yowQz67dz2yc"", ""'SNG'!D3:D139""),0))"),0.154445462878093)</f>
        <v>0.15444546287809299</v>
      </c>
      <c r="Z11" s="1"/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21</v>
      </c>
      <c r="Q12" s="12">
        <v>52</v>
      </c>
      <c r="R12" s="13"/>
      <c r="S12" s="13"/>
      <c r="T12" s="13"/>
      <c r="U12" s="13"/>
      <c r="V12" s="13"/>
      <c r="W12" s="13"/>
      <c r="X12" s="12">
        <v>11</v>
      </c>
      <c r="Y12" s="12">
        <f ca="1">IFERROR(__xludf.DUMMYFUNCTION("INDEX(IMPORTRANGE(""1y0FWgjbB0gVlqn-q5LMJbGIsqOrzru4yowQz67dz2yc"", ""'SNG'!AM3:AM139""),MATCH(D12,IMPORTRANGE(""1y0FWgjbB0gVlqn-q5LMJbGIsqOrzru4yowQz67dz2yc"", ""'SNG'!D3:D139""),0))"),44)</f>
        <v>44</v>
      </c>
      <c r="Z12" s="1"/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4.4112920674465554</v>
      </c>
      <c r="Q13" s="23">
        <f t="shared" si="3"/>
        <v>10.923199405105755</v>
      </c>
      <c r="R13" s="1">
        <v>7.9</v>
      </c>
      <c r="S13" s="1">
        <v>2</v>
      </c>
      <c r="T13" s="1">
        <v>4.9000000000000004</v>
      </c>
      <c r="U13" s="1">
        <v>0.8</v>
      </c>
      <c r="V13" s="1">
        <v>1.92</v>
      </c>
      <c r="W13" s="1"/>
      <c r="X13" s="23">
        <f>(X12/X$2)*100000</f>
        <v>2.2962112514351318</v>
      </c>
      <c r="Y13" s="23">
        <f ca="1">IFERROR(__xludf.DUMMYFUNCTION("INDEX(IMPORTRANGE(""1y0FWgjbB0gVlqn-q5LMJbGIsqOrzru4yowQz67dz2yc"", ""'SNG'!AM3:AM139""),MATCH(D13,IMPORTRANGE(""1y0FWgjbB0gVlqn-q5LMJbGIsqOrzru4yowQz67dz2yc"", ""'SNG'!D3:D139""),0))"),9.18484500574052)</f>
        <v>9.1848450057405202</v>
      </c>
      <c r="Z13" s="1"/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138</v>
      </c>
      <c r="Q14" s="12">
        <v>250</v>
      </c>
      <c r="R14" s="13"/>
      <c r="S14" s="13"/>
      <c r="T14" s="13"/>
      <c r="U14" s="13"/>
      <c r="V14" s="13"/>
      <c r="W14" s="13"/>
      <c r="X14" s="12">
        <v>133</v>
      </c>
      <c r="Y14" s="12">
        <f ca="1">IFERROR(__xludf.DUMMYFUNCTION("INDEX(IMPORTRANGE(""1y0FWgjbB0gVlqn-q5LMJbGIsqOrzru4yowQz67dz2yc"", ""'SNG'!AM3:AM139""),MATCH(D14,IMPORTRANGE(""1y0FWgjbB0gVlqn-q5LMJbGIsqOrzru4yowQz67dz2yc"", ""'SNG'!D3:D139""),0))"),260)</f>
        <v>260</v>
      </c>
      <c r="Z14" s="1"/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177</v>
      </c>
      <c r="Q15" s="12">
        <v>364</v>
      </c>
      <c r="R15" s="13"/>
      <c r="S15" s="13"/>
      <c r="T15" s="13"/>
      <c r="U15" s="13"/>
      <c r="V15" s="13"/>
      <c r="W15" s="13"/>
      <c r="X15" s="12">
        <v>204</v>
      </c>
      <c r="Y15" s="12">
        <f ca="1">IFERROR(__xludf.DUMMYFUNCTION("INDEX(IMPORTRANGE(""1y0FWgjbB0gVlqn-q5LMJbGIsqOrzru4yowQz67dz2yc"", ""'SNG'!AM3:AM139""),MATCH(D15,IMPORTRANGE(""1y0FWgjbB0gVlqn-q5LMJbGIsqOrzru4yowQz67dz2yc"", ""'SNG'!D3:D139""),0))"),432)</f>
        <v>432</v>
      </c>
      <c r="Z15" s="1"/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129</v>
      </c>
      <c r="Q16" s="12">
        <v>250</v>
      </c>
      <c r="R16" s="13"/>
      <c r="S16" s="13"/>
      <c r="T16" s="13"/>
      <c r="U16" s="13"/>
      <c r="V16" s="13"/>
      <c r="W16" s="13"/>
      <c r="X16" s="12">
        <v>133</v>
      </c>
      <c r="Y16" s="12">
        <f ca="1">IFERROR(__xludf.DUMMYFUNCTION("INDEX(IMPORTRANGE(""1y0FWgjbB0gVlqn-q5LMJbGIsqOrzru4yowQz67dz2yc"", ""'SNG'!AM3:AM139""),MATCH(D16,IMPORTRANGE(""1y0FWgjbB0gVlqn-q5LMJbGIsqOrzru4yowQz67dz2yc"", ""'SNG'!D3:D139""),0))"),259)</f>
        <v>259</v>
      </c>
      <c r="Z16" s="1"/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135</v>
      </c>
      <c r="R17" s="13"/>
      <c r="S17" s="13"/>
      <c r="T17" s="13"/>
      <c r="U17" s="13"/>
      <c r="V17" s="13"/>
      <c r="W17" s="13"/>
      <c r="X17" s="12">
        <v>68</v>
      </c>
      <c r="Y17" s="12">
        <f ca="1">IFERROR(__xludf.DUMMYFUNCTION("INDEX(IMPORTRANGE(""1y0FWgjbB0gVlqn-q5LMJbGIsqOrzru4yowQz67dz2yc"", ""'SNG'!AM3:AM139""),MATCH(D17,IMPORTRANGE(""1y0FWgjbB0gVlqn-q5LMJbGIsqOrzru4yowQz67dz2yc"", ""'SNG'!D3:D139""),0))"),119)</f>
        <v>119</v>
      </c>
      <c r="Z17" s="1"/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107.55150183488745</v>
      </c>
      <c r="Q18" s="23">
        <f t="shared" si="4"/>
        <v>209.85146549424323</v>
      </c>
      <c r="R18" s="1"/>
      <c r="S18" s="1"/>
      <c r="T18" s="1"/>
      <c r="U18" s="1"/>
      <c r="V18" s="1"/>
      <c r="W18" s="1"/>
      <c r="X18" s="23">
        <f>(SUM(X14:X17)/X2)*100000</f>
        <v>112.30560484291829</v>
      </c>
      <c r="Y18" s="23">
        <f ca="1">IFERROR(__xludf.DUMMYFUNCTION("INDEX(IMPORTRANGE(""1y0FWgjbB0gVlqn-q5LMJbGIsqOrzru4yowQz67dz2yc"", ""'SNG'!AM3:AM139""),MATCH(D18,IMPORTRANGE(""1y0FWgjbB0gVlqn-q5LMJbGIsqOrzru4yowQz67dz2yc"", ""'SNG'!D3:D139""),0))"),223.358730821417)</f>
        <v>223.358730821417</v>
      </c>
      <c r="Z18" s="1"/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903</v>
      </c>
      <c r="Q19" s="12">
        <v>2078</v>
      </c>
      <c r="R19" s="13"/>
      <c r="S19" s="13"/>
      <c r="T19" s="13"/>
      <c r="U19" s="13"/>
      <c r="V19" s="13"/>
      <c r="W19" s="13"/>
      <c r="X19" s="12">
        <v>1049</v>
      </c>
      <c r="Y19" s="12">
        <f ca="1">IFERROR(__xludf.DUMMYFUNCTION("INDEX(IMPORTRANGE(""1y0FWgjbB0gVlqn-q5LMJbGIsqOrzru4yowQz67dz2yc"", ""'SNG'!AM3:AM139""),MATCH(D19,IMPORTRANGE(""1y0FWgjbB0gVlqn-q5LMJbGIsqOrzru4yowQz67dz2yc"", ""'SNG'!D3:D139""),0))"),2163)</f>
        <v>2163</v>
      </c>
      <c r="Z19" s="1"/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189.68555890020187</v>
      </c>
      <c r="Q20" s="23">
        <f t="shared" si="5"/>
        <v>436.50785315018771</v>
      </c>
      <c r="R20" s="1">
        <v>399.8</v>
      </c>
      <c r="S20" s="1">
        <v>157.80000000000001</v>
      </c>
      <c r="T20" s="1">
        <v>363.2</v>
      </c>
      <c r="U20" s="1">
        <v>141.9</v>
      </c>
      <c r="V20" s="1">
        <v>326.5</v>
      </c>
      <c r="W20" s="1">
        <v>326.5</v>
      </c>
      <c r="X20" s="23">
        <f>(X19/X$2)*100000</f>
        <v>218.97505479595031</v>
      </c>
      <c r="Y20" s="23">
        <f ca="1">IFERROR(__xludf.DUMMYFUNCTION("INDEX(IMPORTRANGE(""1y0FWgjbB0gVlqn-q5LMJbGIsqOrzru4yowQz67dz2yc"", ""'SNG'!AM3:AM139""),MATCH(D20,IMPORTRANGE(""1y0FWgjbB0gVlqn-q5LMJbGIsqOrzru4yowQz67dz2yc"", ""'SNG'!D3:D139""),0))"),451.518630623108)</f>
        <v>451.51863062310798</v>
      </c>
      <c r="Z20" s="1"/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175</v>
      </c>
      <c r="Q21" s="2">
        <v>387</v>
      </c>
      <c r="R21" s="13"/>
      <c r="S21" s="13"/>
      <c r="T21" s="13"/>
      <c r="U21" s="13"/>
      <c r="V21" s="13"/>
      <c r="W21" s="13"/>
      <c r="X21" s="2">
        <v>184</v>
      </c>
      <c r="Y21" s="2">
        <f ca="1">IFERROR(__xludf.DUMMYFUNCTION("INDEX(IMPORTRANGE(""1y0FWgjbB0gVlqn-q5LMJbGIsqOrzru4yowQz67dz2yc"", ""'SNG'!AM3:AM139""),MATCH(D21,IMPORTRANGE(""1y0FWgjbB0gVlqn-q5LMJbGIsqOrzru4yowQz67dz2yc"", ""'SNG'!D3:D139""),0))"),408)</f>
        <v>408</v>
      </c>
      <c r="Z21" s="1"/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36.760767228721292</v>
      </c>
      <c r="Q22" s="23">
        <f t="shared" si="6"/>
        <v>81.293810957229383</v>
      </c>
      <c r="R22" s="1">
        <v>80.900000000000006</v>
      </c>
      <c r="S22" s="1">
        <v>36.4</v>
      </c>
      <c r="T22" s="1">
        <v>80.599999999999994</v>
      </c>
      <c r="U22" s="1">
        <v>36.299999999999997</v>
      </c>
      <c r="V22" s="1">
        <v>80.25</v>
      </c>
      <c r="W22" s="1">
        <v>80.25</v>
      </c>
      <c r="X22" s="23">
        <f>(X21/X$2)*100000</f>
        <v>38.409351842187661</v>
      </c>
      <c r="Y22" s="23">
        <f ca="1">IFERROR(__xludf.DUMMYFUNCTION("INDEX(IMPORTRANGE(""1y0FWgjbB0gVlqn-q5LMJbGIsqOrzru4yowQz67dz2yc"", ""'SNG'!AM3:AM139""),MATCH(D22,IMPORTRANGE(""1y0FWgjbB0gVlqn-q5LMJbGIsqOrzru4yowQz67dz2yc"", ""'SNG'!D3:D139""),0))"),85.168562780503)</f>
        <v>85.168562780502995</v>
      </c>
      <c r="Z22" s="1"/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4</v>
      </c>
      <c r="Q23" s="12">
        <v>12</v>
      </c>
      <c r="R23" s="13"/>
      <c r="S23" s="13"/>
      <c r="T23" s="13"/>
      <c r="U23" s="13"/>
      <c r="V23" s="13"/>
      <c r="W23" s="13"/>
      <c r="X23" s="12">
        <v>9</v>
      </c>
      <c r="Y23" s="12">
        <f ca="1">IFERROR(__xludf.DUMMYFUNCTION("INDEX(IMPORTRANGE(""1y0FWgjbB0gVlqn-q5LMJbGIsqOrzru4yowQz67dz2yc"", ""'SNG'!AM3:AM139""),MATCH(D23,IMPORTRANGE(""1y0FWgjbB0gVlqn-q5LMJbGIsqOrzru4yowQz67dz2yc"", ""'SNG'!D3:D139""),0))"),18)</f>
        <v>18</v>
      </c>
      <c r="Z23" s="1"/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5</v>
      </c>
      <c r="Q24" s="12">
        <v>8</v>
      </c>
      <c r="R24" s="13"/>
      <c r="S24" s="13"/>
      <c r="T24" s="13"/>
      <c r="U24" s="13"/>
      <c r="V24" s="13"/>
      <c r="W24" s="13"/>
      <c r="X24" s="12">
        <v>6</v>
      </c>
      <c r="Y24" s="12">
        <f ca="1">IFERROR(__xludf.DUMMYFUNCTION("INDEX(IMPORTRANGE(""1y0FWgjbB0gVlqn-q5LMJbGIsqOrzru4yowQz67dz2yc"", ""'SNG'!AM3:AM139""),MATCH(D24,IMPORTRANGE(""1y0FWgjbB0gVlqn-q5LMJbGIsqOrzru4yowQz67dz2yc"", ""'SNG'!D3:D139""),0))"),18)</f>
        <v>18</v>
      </c>
      <c r="Z24" s="1"/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3</v>
      </c>
      <c r="Q25" s="12">
        <v>7</v>
      </c>
      <c r="R25" s="13"/>
      <c r="S25" s="13"/>
      <c r="T25" s="13"/>
      <c r="U25" s="13"/>
      <c r="V25" s="13"/>
      <c r="W25" s="13"/>
      <c r="X25" s="12">
        <v>2</v>
      </c>
      <c r="Y25" s="12">
        <f ca="1">IFERROR(__xludf.DUMMYFUNCTION("INDEX(IMPORTRANGE(""1y0FWgjbB0gVlqn-q5LMJbGIsqOrzru4yowQz67dz2yc"", ""'SNG'!AM3:AM139""),MATCH(D25,IMPORTRANGE(""1y0FWgjbB0gVlqn-q5LMJbGIsqOrzru4yowQz67dz2yc"", ""'SNG'!D3:D139""),0))"),3)</f>
        <v>3</v>
      </c>
      <c r="Z25" s="1"/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0</v>
      </c>
      <c r="Q26" s="12">
        <v>0</v>
      </c>
      <c r="R26" s="13"/>
      <c r="S26" s="13"/>
      <c r="T26" s="13"/>
      <c r="U26" s="13"/>
      <c r="V26" s="13"/>
      <c r="W26" s="13"/>
      <c r="X26" s="12">
        <v>0</v>
      </c>
      <c r="Y26" s="12">
        <f ca="1">IFERROR(__xludf.DUMMYFUNCTION("INDEX(IMPORTRANGE(""1y0FWgjbB0gVlqn-q5LMJbGIsqOrzru4yowQz67dz2yc"", ""'SNG'!AM3:AM139""),MATCH(D26,IMPORTRANGE(""1y0FWgjbB0gVlqn-q5LMJbGIsqOrzru4yowQz67dz2yc"", ""'SNG'!D3:D139""),0))"),0)</f>
        <v>0</v>
      </c>
      <c r="Z26" s="1"/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5</v>
      </c>
      <c r="Q27" s="12">
        <v>6</v>
      </c>
      <c r="R27" s="13"/>
      <c r="S27" s="13"/>
      <c r="T27" s="13"/>
      <c r="U27" s="13"/>
      <c r="V27" s="13"/>
      <c r="W27" s="13"/>
      <c r="X27" s="12">
        <v>4</v>
      </c>
      <c r="Y27" s="12">
        <f ca="1">IFERROR(__xludf.DUMMYFUNCTION("INDEX(IMPORTRANGE(""1y0FWgjbB0gVlqn-q5LMJbGIsqOrzru4yowQz67dz2yc"", ""'SNG'!AM3:AM139""),MATCH(D27,IMPORTRANGE(""1y0FWgjbB0gVlqn-q5LMJbGIsqOrzru4yowQz67dz2yc"", ""'SNG'!D3:D139""),0))"),6)</f>
        <v>6</v>
      </c>
      <c r="Z27" s="1"/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12">
        <f ca="1">IFERROR(__xludf.DUMMYFUNCTION("INDEX(IMPORTRANGE(""1y0FWgjbB0gVlqn-q5LMJbGIsqOrzru4yowQz67dz2yc"", ""'SNG'!AM3:AM139""),MATCH(D28,IMPORTRANGE(""1y0FWgjbB0gVlqn-q5LMJbGIsqOrzru4yowQz67dz2yc"", ""'SNG'!D3:D139""),0))"),0)</f>
        <v>0</v>
      </c>
      <c r="Z28" s="1"/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3</v>
      </c>
      <c r="Q29" s="12">
        <v>5</v>
      </c>
      <c r="R29" s="13"/>
      <c r="S29" s="13"/>
      <c r="T29" s="13"/>
      <c r="U29" s="13"/>
      <c r="V29" s="13"/>
      <c r="W29" s="13"/>
      <c r="X29" s="12">
        <v>2</v>
      </c>
      <c r="Y29" s="12">
        <f ca="1">IFERROR(__xludf.DUMMYFUNCTION("INDEX(IMPORTRANGE(""1y0FWgjbB0gVlqn-q5LMJbGIsqOrzru4yowQz67dz2yc"", ""'SNG'!AM3:AM139""),MATCH(D29,IMPORTRANGE(""1y0FWgjbB0gVlqn-q5LMJbGIsqOrzru4yowQz67dz2yc"", ""'SNG'!D3:D139""),0))"),4)</f>
        <v>4</v>
      </c>
      <c r="Z29" s="1"/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1</v>
      </c>
      <c r="Q30" s="12">
        <v>2</v>
      </c>
      <c r="R30" s="13"/>
      <c r="S30" s="13"/>
      <c r="T30" s="13"/>
      <c r="U30" s="13"/>
      <c r="V30" s="13"/>
      <c r="W30" s="13"/>
      <c r="X30" s="12">
        <v>2</v>
      </c>
      <c r="Y30" s="12">
        <f ca="1">IFERROR(__xludf.DUMMYFUNCTION("INDEX(IMPORTRANGE(""1y0FWgjbB0gVlqn-q5LMJbGIsqOrzru4yowQz67dz2yc"", ""'SNG'!AM3:AM139""),MATCH(D30,IMPORTRANGE(""1y0FWgjbB0gVlqn-q5LMJbGIsqOrzru4yowQz67dz2yc"", ""'SNG'!D3:D139""),0))"),2)</f>
        <v>2</v>
      </c>
      <c r="Z30" s="1"/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12">
        <f ca="1">IFERROR(__xludf.DUMMYFUNCTION("INDEX(IMPORTRANGE(""1y0FWgjbB0gVlqn-q5LMJbGIsqOrzru4yowQz67dz2yc"", ""'SNG'!AM3:AM139""),MATCH(D31,IMPORTRANGE(""1y0FWgjbB0gVlqn-q5LMJbGIsqOrzru4yowQz67dz2yc"", ""'SNG'!D3:D139""),0))"),0)</f>
        <v>0</v>
      </c>
      <c r="Z31" s="1"/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1</v>
      </c>
      <c r="R32" s="13"/>
      <c r="S32" s="13"/>
      <c r="T32" s="13"/>
      <c r="U32" s="13"/>
      <c r="V32" s="13"/>
      <c r="W32" s="13"/>
      <c r="X32" s="12">
        <v>0</v>
      </c>
      <c r="Y32" s="12">
        <f ca="1">IFERROR(__xludf.DUMMYFUNCTION("INDEX(IMPORTRANGE(""1y0FWgjbB0gVlqn-q5LMJbGIsqOrzru4yowQz67dz2yc"", ""'SNG'!AM3:AM139""),MATCH(D32,IMPORTRANGE(""1y0FWgjbB0gVlqn-q5LMJbGIsqOrzru4yowQz67dz2yc"", ""'SNG'!D3:D139""),0))"),0)</f>
        <v>0</v>
      </c>
      <c r="Z32" s="1"/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13"/>
      <c r="X33" s="12">
        <v>0</v>
      </c>
      <c r="Y33" s="12">
        <f ca="1">IFERROR(__xludf.DUMMYFUNCTION("INDEX(IMPORTRANGE(""1y0FWgjbB0gVlqn-q5LMJbGIsqOrzru4yowQz67dz2yc"", ""'SNG'!AM3:AM139""),MATCH(D33,IMPORTRANGE(""1y0FWgjbB0gVlqn-q5LMJbGIsqOrzru4yowQz67dz2yc"", ""'SNG'!D3:D139""),0))"),3)</f>
        <v>3</v>
      </c>
      <c r="Z33" s="1"/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4.4112920674465554</v>
      </c>
      <c r="Q34" s="23">
        <f t="shared" si="7"/>
        <v>8.6125226078718455</v>
      </c>
      <c r="R34" s="1">
        <v>6.8</v>
      </c>
      <c r="S34" s="1">
        <v>2.6</v>
      </c>
      <c r="T34" s="1">
        <v>5</v>
      </c>
      <c r="U34" s="1">
        <v>1.7</v>
      </c>
      <c r="V34" s="1">
        <v>3.25</v>
      </c>
      <c r="W34" s="1">
        <v>3.25</v>
      </c>
      <c r="X34" s="23">
        <f>(SUM(X23:X33)/X$2)*100000</f>
        <v>5.2186619350798455</v>
      </c>
      <c r="Y34" s="23">
        <f ca="1">IFERROR(__xludf.DUMMYFUNCTION("INDEX(IMPORTRANGE(""1y0FWgjbB0gVlqn-q5LMJbGIsqOrzru4yowQz67dz2yc"", ""'SNG'!AM3:AM139""),MATCH(D34,IMPORTRANGE(""1y0FWgjbB0gVlqn-q5LMJbGIsqOrzru4yowQz67dz2yc"", ""'SNG'!D3:D139""),0))"),11.2723097797724)</f>
        <v>11.272309779772399</v>
      </c>
      <c r="Z34" s="1"/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30">
        <v>126480</v>
      </c>
      <c r="Q35" s="12">
        <v>126480</v>
      </c>
      <c r="R35" s="13"/>
      <c r="S35" s="13"/>
      <c r="T35" s="13"/>
      <c r="U35" s="13"/>
      <c r="V35" s="13"/>
      <c r="W35" s="13"/>
      <c r="X35" s="12">
        <v>126480</v>
      </c>
      <c r="Y35" s="12">
        <f ca="1">IFERROR(__xludf.DUMMYFUNCTION("INDEX(IMPORTRANGE(""1y0FWgjbB0gVlqn-q5LMJbGIsqOrzru4yowQz67dz2yc"", ""'SNG'!AM3:AM139""),MATCH(D35,IMPORTRANGE(""1y0FWgjbB0gVlqn-q5LMJbGIsqOrzru4yowQz67dz2yc"", ""'SNG'!D3:D139""),0))"),125979)</f>
        <v>125979</v>
      </c>
      <c r="Z35" s="1"/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7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23">
        <v>0</v>
      </c>
      <c r="Q36" s="23">
        <v>0</v>
      </c>
      <c r="R36" s="1"/>
      <c r="S36" s="1"/>
      <c r="T36" s="1"/>
      <c r="U36" s="1"/>
      <c r="V36" s="1"/>
      <c r="W36" s="1"/>
      <c r="X36" s="23">
        <v>0</v>
      </c>
      <c r="Y36" s="23">
        <f ca="1">IFERROR(__xludf.DUMMYFUNCTION("INDEX(IMPORTRANGE(""1y0FWgjbB0gVlqn-q5LMJbGIsqOrzru4yowQz67dz2yc"", ""'SNG'!AM3:AM139""),MATCH(D36,IMPORTRANGE(""1y0FWgjbB0gVlqn-q5LMJbGIsqOrzru4yowQz67dz2yc"", ""'SNG'!D3:D139""),0))"),0)</f>
        <v>0</v>
      </c>
      <c r="Z36" s="1"/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7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8">P36/P35</f>
        <v>0</v>
      </c>
      <c r="Q37" s="15">
        <f t="shared" si="8"/>
        <v>0</v>
      </c>
      <c r="R37" s="34"/>
      <c r="S37" s="34"/>
      <c r="T37" s="34"/>
      <c r="U37" s="34"/>
      <c r="V37" s="34"/>
      <c r="W37" s="34"/>
      <c r="X37" s="15">
        <f>X36/X35</f>
        <v>0</v>
      </c>
      <c r="Y37" s="15">
        <f ca="1">IFERROR(__xludf.DUMMYFUNCTION("INDEX(IMPORTRANGE(""1y0FWgjbB0gVlqn-q5LMJbGIsqOrzru4yowQz67dz2yc"", ""'SNG'!AM3:AM139""),MATCH(D37,IMPORTRANGE(""1y0FWgjbB0gVlqn-q5LMJbGIsqOrzru4yowQz67dz2yc"", ""'SNG'!D3:D139""),0))"),0)</f>
        <v>0</v>
      </c>
      <c r="Z37" s="1"/>
      <c r="AA37" s="1"/>
      <c r="AB37" s="1"/>
      <c r="AC37" s="1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9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12">
        <v>0</v>
      </c>
      <c r="R38" s="1">
        <v>1</v>
      </c>
      <c r="S38" s="1">
        <v>1</v>
      </c>
      <c r="T38" s="1">
        <v>2</v>
      </c>
      <c r="U38" s="1">
        <v>2</v>
      </c>
      <c r="V38" s="1">
        <v>3</v>
      </c>
      <c r="W38" s="1">
        <v>3</v>
      </c>
      <c r="X38" s="12">
        <v>1</v>
      </c>
      <c r="Y38" s="12">
        <f ca="1">IFERROR(__xludf.DUMMYFUNCTION("INDEX(IMPORTRANGE(""1y0FWgjbB0gVlqn-q5LMJbGIsqOrzru4yowQz67dz2yc"", ""'SNG'!AM3:AM139""),MATCH(D38,IMPORTRANGE(""1y0FWgjbB0gVlqn-q5LMJbGIsqOrzru4yowQz67dz2yc"", ""'SNG'!D3:D139""),0))"),2)</f>
        <v>2</v>
      </c>
      <c r="Z38" s="1"/>
      <c r="AA38" s="1"/>
      <c r="AB38" s="1"/>
      <c r="AC38" s="1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9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744</v>
      </c>
      <c r="Q39" s="12">
        <v>792</v>
      </c>
      <c r="R39" s="1">
        <v>350</v>
      </c>
      <c r="S39" s="1">
        <v>175</v>
      </c>
      <c r="T39" s="1">
        <v>350</v>
      </c>
      <c r="U39" s="1">
        <v>175</v>
      </c>
      <c r="V39" s="1">
        <v>350</v>
      </c>
      <c r="W39" s="1">
        <f>V39+T39+R39</f>
        <v>1050</v>
      </c>
      <c r="X39" s="12">
        <v>9</v>
      </c>
      <c r="Y39" s="12">
        <f ca="1">IFERROR(__xludf.DUMMYFUNCTION("INDEX(IMPORTRANGE(""1y0FWgjbB0gVlqn-q5LMJbGIsqOrzru4yowQz67dz2yc"", ""'SNG'!AM3:AM139""),MATCH(D39,IMPORTRANGE(""1y0FWgjbB0gVlqn-q5LMJbGIsqOrzru4yowQz67dz2yc"", ""'SNG'!D3:D139""),0))"),175)</f>
        <v>175</v>
      </c>
      <c r="Z39" s="1"/>
      <c r="AA39" s="1"/>
      <c r="AB39" s="1"/>
      <c r="AC39" s="1"/>
    </row>
    <row r="40" spans="1:29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0</v>
      </c>
      <c r="Q40" s="12">
        <v>0</v>
      </c>
      <c r="R40" s="13"/>
      <c r="S40" s="13"/>
      <c r="T40" s="13"/>
      <c r="U40" s="13"/>
      <c r="V40" s="13"/>
      <c r="W40" s="13"/>
      <c r="X40" s="12">
        <v>2</v>
      </c>
      <c r="Y40" s="12">
        <f ca="1">IFERROR(__xludf.DUMMYFUNCTION("INDEX(IMPORTRANGE(""1y0FWgjbB0gVlqn-q5LMJbGIsqOrzru4yowQz67dz2yc"", ""'SNG'!AM3:AM139""),MATCH(D40,IMPORTRANGE(""1y0FWgjbB0gVlqn-q5LMJbGIsqOrzru4yowQz67dz2yc"", ""'SNG'!D3:D139""),0))"),3)</f>
        <v>3</v>
      </c>
      <c r="Z40" s="1"/>
      <c r="AA40" s="1"/>
      <c r="AB40" s="1"/>
      <c r="AC40" s="1"/>
    </row>
    <row r="41" spans="1:29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12"/>
      <c r="R41" s="13"/>
      <c r="S41" s="13"/>
      <c r="T41" s="13"/>
      <c r="U41" s="13"/>
      <c r="V41" s="13"/>
      <c r="W41" s="13"/>
      <c r="X41" s="12"/>
      <c r="Y41" s="12">
        <f ca="1">IFERROR(__xludf.DUMMYFUNCTION("INDEX(IMPORTRANGE(""1y0FWgjbB0gVlqn-q5LMJbGIsqOrzru4yowQz67dz2yc"", ""'SNG'!AM3:AM139""),MATCH(D41,IMPORTRANGE(""1y0FWgjbB0gVlqn-q5LMJbGIsqOrzru4yowQz67dz2yc"", ""'SNG'!D3:D139""),0))"),0)</f>
        <v>0</v>
      </c>
      <c r="Z41" s="1"/>
      <c r="AA41" s="1"/>
      <c r="AB41" s="1"/>
      <c r="AC41" s="1"/>
    </row>
    <row r="42" spans="1:29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19</v>
      </c>
      <c r="Q42" s="12">
        <v>33</v>
      </c>
      <c r="R42" s="13"/>
      <c r="S42" s="13"/>
      <c r="T42" s="13"/>
      <c r="U42" s="13"/>
      <c r="V42" s="13"/>
      <c r="W42" s="13"/>
      <c r="X42" s="12">
        <v>15</v>
      </c>
      <c r="Y42" s="12">
        <f ca="1">IFERROR(__xludf.DUMMYFUNCTION("INDEX(IMPORTRANGE(""1y0FWgjbB0gVlqn-q5LMJbGIsqOrzru4yowQz67dz2yc"", ""'SNG'!AM3:AM139""),MATCH(D42,IMPORTRANGE(""1y0FWgjbB0gVlqn-q5LMJbGIsqOrzru4yowQz67dz2yc"", ""'SNG'!D3:D139""),0))"),25)</f>
        <v>25</v>
      </c>
      <c r="Z42" s="1"/>
      <c r="AA42" s="1"/>
      <c r="AB42" s="1"/>
      <c r="AC42" s="1"/>
    </row>
    <row r="43" spans="1:29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12"/>
      <c r="R43" s="13"/>
      <c r="S43" s="13"/>
      <c r="T43" s="13"/>
      <c r="U43" s="13"/>
      <c r="V43" s="13"/>
      <c r="W43" s="13"/>
      <c r="X43" s="12"/>
      <c r="Y43" s="12">
        <f ca="1">IFERROR(__xludf.DUMMYFUNCTION("INDEX(IMPORTRANGE(""1y0FWgjbB0gVlqn-q5LMJbGIsqOrzru4yowQz67dz2yc"", ""'SNG'!AM3:AM139""),MATCH(D43,IMPORTRANGE(""1y0FWgjbB0gVlqn-q5LMJbGIsqOrzru4yowQz67dz2yc"", ""'SNG'!D3:D139""),0))"),2)</f>
        <v>2</v>
      </c>
      <c r="Z43" s="1"/>
      <c r="AA43" s="1"/>
      <c r="AB43" s="1"/>
      <c r="AC43" s="1"/>
    </row>
    <row r="44" spans="1:29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f t="shared" ref="P44:Q44" si="9">SUM(P40:P42)</f>
        <v>19</v>
      </c>
      <c r="Q44" s="12">
        <f t="shared" si="9"/>
        <v>33</v>
      </c>
      <c r="R44" s="1">
        <v>30</v>
      </c>
      <c r="S44" s="1">
        <v>15</v>
      </c>
      <c r="T44" s="1">
        <v>30</v>
      </c>
      <c r="U44" s="1">
        <v>15</v>
      </c>
      <c r="V44" s="1">
        <v>30</v>
      </c>
      <c r="W44" s="1">
        <f>V44</f>
        <v>30</v>
      </c>
      <c r="X44" s="12">
        <f>SUM(X40:X42)</f>
        <v>17</v>
      </c>
      <c r="Y44" s="12">
        <f ca="1">IFERROR(__xludf.DUMMYFUNCTION("INDEX(IMPORTRANGE(""1y0FWgjbB0gVlqn-q5LMJbGIsqOrzru4yowQz67dz2yc"", ""'SNG'!AM3:AM139""),MATCH(D44,IMPORTRANGE(""1y0FWgjbB0gVlqn-q5LMJbGIsqOrzru4yowQz67dz2yc"", ""'SNG'!D3:D139""),0))"),30)</f>
        <v>30</v>
      </c>
      <c r="Z44" s="1"/>
      <c r="AA44" s="1"/>
      <c r="AB44" s="1"/>
      <c r="AC44" s="1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9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150</v>
      </c>
      <c r="Q45" s="2" t="s">
        <v>150</v>
      </c>
      <c r="R45" s="156" t="s">
        <v>151</v>
      </c>
      <c r="S45" s="156" t="s">
        <v>151</v>
      </c>
      <c r="T45" s="156" t="s">
        <v>151</v>
      </c>
      <c r="U45" s="156" t="s">
        <v>151</v>
      </c>
      <c r="V45" s="156" t="s">
        <v>151</v>
      </c>
      <c r="W45" s="156" t="s">
        <v>151</v>
      </c>
      <c r="X45" s="2" t="s">
        <v>150</v>
      </c>
      <c r="Y45" s="2" t="str">
        <f ca="1">IFERROR(__xludf.DUMMYFUNCTION("INDEX(IMPORTRANGE(""1y0FWgjbB0gVlqn-q5LMJbGIsqOrzru4yowQz67dz2yc"", ""'SNG'!AM3:AM139""),MATCH(D45,IMPORTRANGE(""1y0FWgjbB0gVlqn-q5LMJbGIsqOrzru4yowQz67dz2yc"", ""'SNG'!D3:D139""),0))"),"No")</f>
        <v>No</v>
      </c>
      <c r="Z45" s="1"/>
      <c r="AA45" s="1"/>
      <c r="AB45" s="1"/>
      <c r="AC45" s="1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9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150</v>
      </c>
      <c r="Q46" s="2" t="s">
        <v>150</v>
      </c>
      <c r="R46" s="156" t="s">
        <v>151</v>
      </c>
      <c r="S46" s="156" t="s">
        <v>151</v>
      </c>
      <c r="T46" s="156" t="s">
        <v>151</v>
      </c>
      <c r="U46" s="156" t="s">
        <v>151</v>
      </c>
      <c r="V46" s="156" t="s">
        <v>151</v>
      </c>
      <c r="W46" s="156" t="s">
        <v>151</v>
      </c>
      <c r="X46" s="2" t="s">
        <v>150</v>
      </c>
      <c r="Y46" s="2" t="str">
        <f ca="1">IFERROR(__xludf.DUMMYFUNCTION("INDEX(IMPORTRANGE(""1y0FWgjbB0gVlqn-q5LMJbGIsqOrzru4yowQz67dz2yc"", ""'SNG'!AM3:AM139""),MATCH(D46,IMPORTRANGE(""1y0FWgjbB0gVlqn-q5LMJbGIsqOrzru4yowQz67dz2yc"", ""'SNG'!D3:D139""),0))"),"No")</f>
        <v>No</v>
      </c>
      <c r="Z46" s="1"/>
      <c r="AA46" s="1"/>
      <c r="AB46" s="1"/>
      <c r="AC46" s="1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9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153</v>
      </c>
      <c r="Q47" s="2" t="s">
        <v>153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153</v>
      </c>
      <c r="Y47" s="2" t="str">
        <f ca="1">IFERROR(__xludf.DUMMYFUNCTION("INDEX(IMPORTRANGE(""1y0FWgjbB0gVlqn-q5LMJbGIsqOrzru4yowQz67dz2yc"", ""'SNG'!AM3:AM139""),MATCH(D47,IMPORTRANGE(""1y0FWgjbB0gVlqn-q5LMJbGIsqOrzru4yowQz67dz2yc"", ""'SNG'!D3:D139""),0))"),"Sí")</f>
        <v>Sí</v>
      </c>
      <c r="Z47" s="1"/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23">
        <f t="shared" ref="P48:Q48" si="10">COUNTIF(P45:P47,"Sí")*(1/3)</f>
        <v>0.33333333333333331</v>
      </c>
      <c r="Q48" s="23">
        <f t="shared" si="10"/>
        <v>0.33333333333333331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23">
        <f>COUNTIF(X45:X47,"Sí")*(1/3)</f>
        <v>0.33333333333333331</v>
      </c>
      <c r="Y48" s="23">
        <f ca="1">IFERROR(__xludf.DUMMYFUNCTION("INDEX(IMPORTRANGE(""1y0FWgjbB0gVlqn-q5LMJbGIsqOrzru4yowQz67dz2yc"", ""'SNG'!AM3:AM139""),MATCH(D48,IMPORTRANGE(""1y0FWgjbB0gVlqn-q5LMJbGIsqOrzru4yowQz67dz2yc"", ""'SNG'!D3:D139""),0))"),0.333333333333333)</f>
        <v>0.33333333333333298</v>
      </c>
      <c r="Z48" s="1"/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150</v>
      </c>
      <c r="Q49" s="2" t="s">
        <v>150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2" t="s">
        <v>150</v>
      </c>
      <c r="Y49" s="2">
        <f ca="1">IFERROR(__xludf.DUMMYFUNCTION("INDEX(IMPORTRANGE(""1y0FWgjbB0gVlqn-q5LMJbGIsqOrzru4yowQz67dz2yc"", ""'SNG'!AM3:AM139""),MATCH(D49,IMPORTRANGE(""1y0FWgjbB0gVlqn-q5LMJbGIsqOrzru4yowQz67dz2yc"", ""'SNG'!D3:D139""),0))"),0.5)</f>
        <v>0.5</v>
      </c>
      <c r="Z49" s="1"/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9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1</v>
      </c>
      <c r="Q50" s="12">
        <v>1</v>
      </c>
      <c r="R50" s="13"/>
      <c r="S50" s="13"/>
      <c r="T50" s="13"/>
      <c r="U50" s="13"/>
      <c r="V50" s="13"/>
      <c r="W50" s="13"/>
      <c r="X50" s="12">
        <v>1</v>
      </c>
      <c r="Y50" s="12">
        <f ca="1">IFERROR(__xludf.DUMMYFUNCTION("INDEX(IMPORTRANGE(""1y0FWgjbB0gVlqn-q5LMJbGIsqOrzru4yowQz67dz2yc"", ""'SNG'!AM3:AM139""),MATCH(D50,IMPORTRANGE(""1y0FWgjbB0gVlqn-q5LMJbGIsqOrzru4yowQz67dz2yc"", ""'SNG'!D3:D139""),0))"),1)</f>
        <v>1</v>
      </c>
      <c r="Z50" s="1"/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9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13"/>
      <c r="X51" s="12">
        <v>0</v>
      </c>
      <c r="Y51" s="12">
        <f ca="1">IFERROR(__xludf.DUMMYFUNCTION("INDEX(IMPORTRANGE(""1y0FWgjbB0gVlqn-q5LMJbGIsqOrzru4yowQz67dz2yc"", ""'SNG'!AM3:AM139""),MATCH(D51,IMPORTRANGE(""1y0FWgjbB0gVlqn-q5LMJbGIsqOrzru4yowQz67dz2yc"", ""'SNG'!D3:D139""),0))"),0)</f>
        <v>0</v>
      </c>
      <c r="Z51" s="1"/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9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5">
        <f t="shared" ref="P52:Q52" si="11">P51/P50</f>
        <v>0</v>
      </c>
      <c r="Q52" s="15">
        <f t="shared" si="11"/>
        <v>0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5">
        <f>X51/X50</f>
        <v>0</v>
      </c>
      <c r="Y52" s="15">
        <f ca="1">IFERROR(__xludf.DUMMYFUNCTION("INDEX(IMPORTRANGE(""1y0FWgjbB0gVlqn-q5LMJbGIsqOrzru4yowQz67dz2yc"", ""'SNG'!AM3:AM139""),MATCH(D52,IMPORTRANGE(""1y0FWgjbB0gVlqn-q5LMJbGIsqOrzru4yowQz67dz2yc"", ""'SNG'!D3:D139""),0))"),0)</f>
        <v>0</v>
      </c>
      <c r="Z52" s="1"/>
      <c r="AA52" s="1"/>
      <c r="AB52" s="1"/>
      <c r="AC52" s="1"/>
    </row>
    <row r="53" spans="1:29">
      <c r="A53" s="7" t="s">
        <v>147</v>
      </c>
      <c r="B53" s="7" t="s">
        <v>168</v>
      </c>
      <c r="C53" s="1" t="s">
        <v>30</v>
      </c>
      <c r="D53" s="155" t="s">
        <v>169</v>
      </c>
      <c r="E53" s="7" t="s">
        <v>38</v>
      </c>
      <c r="F53" s="9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35610</v>
      </c>
      <c r="Q53" s="12">
        <v>35610</v>
      </c>
      <c r="R53" s="13"/>
      <c r="S53" s="13"/>
      <c r="T53" s="13"/>
      <c r="U53" s="13"/>
      <c r="V53" s="13"/>
      <c r="W53" s="13"/>
      <c r="X53" s="12">
        <v>35610</v>
      </c>
      <c r="Y53" s="12">
        <f ca="1">IFERROR(__xludf.DUMMYFUNCTION("INDEX(IMPORTRANGE(""1y0FWgjbB0gVlqn-q5LMJbGIsqOrzru4yowQz67dz2yc"", ""'SNG'!AM3:AM139""),MATCH(D53,IMPORTRANGE(""1y0FWgjbB0gVlqn-q5LMJbGIsqOrzru4yowQz67dz2yc"", ""'SNG'!D3:D139""),0))"),35715)</f>
        <v>35715</v>
      </c>
      <c r="Z53" s="1"/>
      <c r="AA53" s="1"/>
      <c r="AB53" s="1"/>
      <c r="AC53" s="1"/>
    </row>
    <row r="54" spans="1:29">
      <c r="A54" s="7" t="s">
        <v>147</v>
      </c>
      <c r="B54" s="7" t="s">
        <v>168</v>
      </c>
      <c r="C54" s="1" t="s">
        <v>30</v>
      </c>
      <c r="D54" s="155" t="s">
        <v>171</v>
      </c>
      <c r="E54" s="7" t="s">
        <v>38</v>
      </c>
      <c r="F54" s="9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35610</v>
      </c>
      <c r="Q54" s="12">
        <v>35610</v>
      </c>
      <c r="R54" s="13"/>
      <c r="S54" s="13"/>
      <c r="T54" s="13"/>
      <c r="U54" s="13"/>
      <c r="V54" s="13"/>
      <c r="W54" s="13"/>
      <c r="X54" s="12">
        <v>35610</v>
      </c>
      <c r="Y54" s="12">
        <f ca="1">IFERROR(__xludf.DUMMYFUNCTION("INDEX(IMPORTRANGE(""1y0FWgjbB0gVlqn-q5LMJbGIsqOrzru4yowQz67dz2yc"", ""'SNG'!AM3:AM139""),MATCH(D54,IMPORTRANGE(""1y0FWgjbB0gVlqn-q5LMJbGIsqOrzru4yowQz67dz2yc"", ""'SNG'!D3:D139""),0))"),35715)</f>
        <v>35715</v>
      </c>
      <c r="Z54" s="1"/>
      <c r="AA54" s="1"/>
      <c r="AB54" s="1"/>
      <c r="AC54" s="1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9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4">
        <f t="shared" ref="P55:Q55" si="12">P53/P54</f>
        <v>1</v>
      </c>
      <c r="Q55" s="14">
        <f t="shared" si="12"/>
        <v>1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4">
        <f>X53/X54</f>
        <v>1</v>
      </c>
      <c r="Y55" s="14">
        <f ca="1">IFERROR(__xludf.DUMMYFUNCTION("INDEX(IMPORTRANGE(""1y0FWgjbB0gVlqn-q5LMJbGIsqOrzru4yowQz67dz2yc"", ""'SNG'!AM3:AM139""),MATCH(D55,IMPORTRANGE(""1y0FWgjbB0gVlqn-q5LMJbGIsqOrzru4yowQz67dz2yc"", ""'SNG'!D3:D139""),0))"),1)</f>
        <v>1</v>
      </c>
      <c r="Z55" s="1"/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9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126480</v>
      </c>
      <c r="Q56" s="12">
        <v>126480</v>
      </c>
      <c r="R56" s="13"/>
      <c r="S56" s="13"/>
      <c r="T56" s="13"/>
      <c r="U56" s="13"/>
      <c r="V56" s="13"/>
      <c r="W56" s="13"/>
      <c r="X56" s="12">
        <v>126480</v>
      </c>
      <c r="Y56" s="12">
        <f ca="1">IFERROR(__xludf.DUMMYFUNCTION("INDEX(IMPORTRANGE(""1y0FWgjbB0gVlqn-q5LMJbGIsqOrzru4yowQz67dz2yc"", ""'SNG'!AM3:AM139""),MATCH(D56,IMPORTRANGE(""1y0FWgjbB0gVlqn-q5LMJbGIsqOrzru4yowQz67dz2yc"", ""'SNG'!D3:D139""),0))"),126078)</f>
        <v>126078</v>
      </c>
      <c r="Z56" s="1"/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36</v>
      </c>
      <c r="D57" s="1" t="s">
        <v>177</v>
      </c>
      <c r="E57" s="7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3">P56/P35</f>
        <v>1</v>
      </c>
      <c r="Q57" s="15">
        <f t="shared" si="13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X56/X35</f>
        <v>1</v>
      </c>
      <c r="Y57" s="15">
        <f ca="1">IFERROR(__xludf.DUMMYFUNCTION("INDEX(IMPORTRANGE(""1y0FWgjbB0gVlqn-q5LMJbGIsqOrzru4yowQz67dz2yc"", ""'SNG'!AM3:AM139""),MATCH(D57,IMPORTRANGE(""1y0FWgjbB0gVlqn-q5LMJbGIsqOrzru4yowQz67dz2yc"", ""'SNG'!D3:D139""),0))"),1.00078584525992)</f>
        <v>1.0007858452599201</v>
      </c>
      <c r="Z57" s="1"/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9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14999166</v>
      </c>
      <c r="Q58" s="12">
        <v>14999166</v>
      </c>
      <c r="R58" s="13"/>
      <c r="S58" s="13"/>
      <c r="T58" s="13"/>
      <c r="U58" s="13"/>
      <c r="V58" s="13"/>
      <c r="W58" s="13"/>
      <c r="X58" s="12">
        <v>14999166</v>
      </c>
      <c r="Y58" s="12">
        <f ca="1">IFERROR(__xludf.DUMMYFUNCTION("INDEX(IMPORTRANGE(""1y0FWgjbB0gVlqn-q5LMJbGIsqOrzru4yowQz67dz2yc"", ""'SNG'!AM3:AM139""),MATCH(D58,IMPORTRANGE(""1y0FWgjbB0gVlqn-q5LMJbGIsqOrzru4yowQz67dz2yc"", ""'SNG'!D3:D139""),0))"),15118730.39)</f>
        <v>15118730.390000001</v>
      </c>
      <c r="Z58" s="1"/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9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14999166</v>
      </c>
      <c r="Q59" s="12">
        <v>14999166</v>
      </c>
      <c r="R59" s="13"/>
      <c r="S59" s="13"/>
      <c r="T59" s="13"/>
      <c r="U59" s="13"/>
      <c r="V59" s="13"/>
      <c r="W59" s="13"/>
      <c r="X59" s="12">
        <v>14999166</v>
      </c>
      <c r="Y59" s="12">
        <f ca="1">IFERROR(__xludf.DUMMYFUNCTION("INDEX(IMPORTRANGE(""1y0FWgjbB0gVlqn-q5LMJbGIsqOrzru4yowQz67dz2yc"", ""'SNG'!AM3:AM139""),MATCH(D59,IMPORTRANGE(""1y0FWgjbB0gVlqn-q5LMJbGIsqOrzru4yowQz67dz2yc"", ""'SNG'!D3:D139""),0))"),15118730.39)</f>
        <v>15118730.390000001</v>
      </c>
      <c r="Z59" s="1"/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9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4">
        <f t="shared" ref="P60:Q60" si="14">P58/P59</f>
        <v>1</v>
      </c>
      <c r="Q60" s="14">
        <f t="shared" si="14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4">
        <f>X58/X59</f>
        <v>1</v>
      </c>
      <c r="Y60" s="14">
        <f ca="1">IFERROR(__xludf.DUMMYFUNCTION("INDEX(IMPORTRANGE(""1y0FWgjbB0gVlqn-q5LMJbGIsqOrzru4yowQz67dz2yc"", ""'SNG'!AM3:AM139""),MATCH(D60,IMPORTRANGE(""1y0FWgjbB0gVlqn-q5LMJbGIsqOrzru4yowQz67dz2yc"", ""'SNG'!D3:D139""),0))"),1)</f>
        <v>1</v>
      </c>
      <c r="Z60" s="1"/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9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23">
        <v>82160.14</v>
      </c>
      <c r="Q61" s="23">
        <v>82160.14</v>
      </c>
      <c r="R61" s="13"/>
      <c r="S61" s="13"/>
      <c r="T61" s="13"/>
      <c r="U61" s="13"/>
      <c r="V61" s="13"/>
      <c r="W61" s="13"/>
      <c r="X61" s="23">
        <v>82160.14</v>
      </c>
      <c r="Y61" s="23">
        <f ca="1">IFERROR(__xludf.DUMMYFUNCTION("INDEX(IMPORTRANGE(""1y0FWgjbB0gVlqn-q5LMJbGIsqOrzru4yowQz67dz2yc"", ""'SNG'!AM3:AM139""),MATCH(D61,IMPORTRANGE(""1y0FWgjbB0gVlqn-q5LMJbGIsqOrzru4yowQz67dz2yc"", ""'SNG'!D3:D139""),0))"),82819.04)</f>
        <v>82819.039999999994</v>
      </c>
      <c r="Z61" s="1"/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9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23">
        <v>136818.97</v>
      </c>
      <c r="Q62" s="23">
        <v>136818.97</v>
      </c>
      <c r="R62" s="13"/>
      <c r="S62" s="13"/>
      <c r="T62" s="13"/>
      <c r="U62" s="13"/>
      <c r="V62" s="13"/>
      <c r="W62" s="13"/>
      <c r="X62" s="23">
        <v>136818.97</v>
      </c>
      <c r="Y62" s="23">
        <f ca="1">IFERROR(__xludf.DUMMYFUNCTION("INDEX(IMPORTRANGE(""1y0FWgjbB0gVlqn-q5LMJbGIsqOrzru4yowQz67dz2yc"", ""'SNG'!AM3:AM139""),MATCH(D62,IMPORTRANGE(""1y0FWgjbB0gVlqn-q5LMJbGIsqOrzru4yowQz67dz2yc"", ""'SNG'!D3:D139""),0))"),136030)</f>
        <v>136030</v>
      </c>
      <c r="Z62" s="1"/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9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5">P61/P62</f>
        <v>0.60050254727103991</v>
      </c>
      <c r="Q63" s="15">
        <f t="shared" si="15"/>
        <v>0.60050254727103991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0.60050254727103991</v>
      </c>
      <c r="Y63" s="15">
        <f ca="1">IFERROR(__xludf.DUMMYFUNCTION("INDEX(IMPORTRANGE(""1y0FWgjbB0gVlqn-q5LMJbGIsqOrzru4yowQz67dz2yc"", ""'SNG'!AM3:AM139""),MATCH(D63,IMPORTRANGE(""1y0FWgjbB0gVlqn-q5LMJbGIsqOrzru4yowQz67dz2yc"", ""'SNG'!D3:D139""),0))"),0.608829228846577)</f>
        <v>0.60882922884657698</v>
      </c>
      <c r="Z63" s="1"/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9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23">
        <v>129.41</v>
      </c>
      <c r="Q64" s="23">
        <v>258.02999999999997</v>
      </c>
      <c r="R64" s="1"/>
      <c r="S64" s="1"/>
      <c r="T64" s="1"/>
      <c r="U64" s="1"/>
      <c r="V64" s="1"/>
      <c r="W64" s="1"/>
      <c r="X64" s="23">
        <v>77.84</v>
      </c>
      <c r="Y64" s="23">
        <f ca="1">IFERROR(__xludf.DUMMYFUNCTION("INDEX(IMPORTRANGE(""1y0FWgjbB0gVlqn-q5LMJbGIsqOrzru4yowQz67dz2yc"", ""'SNG'!AM3:AM139""),MATCH(D64,IMPORTRANGE(""1y0FWgjbB0gVlqn-q5LMJbGIsqOrzru4yowQz67dz2yc"", ""'SNG'!D3:D139""),0))"),191.519999999999)</f>
        <v>191.51999999999899</v>
      </c>
      <c r="Z64" s="1"/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9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23">
        <v>0</v>
      </c>
      <c r="Q65" s="23">
        <v>0</v>
      </c>
      <c r="R65" s="1"/>
      <c r="S65" s="1"/>
      <c r="T65" s="1"/>
      <c r="U65" s="1"/>
      <c r="V65" s="1"/>
      <c r="W65" s="1"/>
      <c r="X65" s="23">
        <v>0</v>
      </c>
      <c r="Y65" s="23">
        <f ca="1">IFERROR(__xludf.DUMMYFUNCTION("INDEX(IMPORTRANGE(""1y0FWgjbB0gVlqn-q5LMJbGIsqOrzru4yowQz67dz2yc"", ""'SNG'!AM3:AM139""),MATCH(D65,IMPORTRANGE(""1y0FWgjbB0gVlqn-q5LMJbGIsqOrzru4yowQz67dz2yc"", ""'SNG'!D3:D139""),0))"),21)</f>
        <v>21</v>
      </c>
      <c r="Z65" s="1"/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9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0</v>
      </c>
      <c r="Q66" s="12">
        <v>0</v>
      </c>
      <c r="R66" s="13"/>
      <c r="S66" s="13"/>
      <c r="T66" s="13"/>
      <c r="U66" s="13"/>
      <c r="V66" s="13"/>
      <c r="W66" s="13"/>
      <c r="X66" s="12">
        <v>0</v>
      </c>
      <c r="Y66" s="12" t="str">
        <f ca="1">IFERROR(__xludf.DUMMYFUNCTION("INDEX(IMPORTRANGE(""1y0FWgjbB0gVlqn-q5LMJbGIsqOrzru4yowQz67dz2yc"", ""'SNG'!AM3:AM139""),MATCH(D66,IMPORTRANGE(""1y0FWgjbB0gVlqn-q5LMJbGIsqOrzru4yowQz67dz2yc"", ""'SNG'!D3:D139""),0))"),"")</f>
        <v/>
      </c>
      <c r="Z66" s="1"/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9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f t="shared" ref="P67:Q67" si="16">P64+P65</f>
        <v>129.41</v>
      </c>
      <c r="Q67" s="23">
        <f t="shared" si="16"/>
        <v>258.02999999999997</v>
      </c>
      <c r="R67" s="13">
        <v>285.7</v>
      </c>
      <c r="S67" s="13">
        <v>142.80000000000001</v>
      </c>
      <c r="T67" s="13">
        <v>285.7</v>
      </c>
      <c r="U67" s="13">
        <v>142.80000000000001</v>
      </c>
      <c r="V67" s="13">
        <v>285.7</v>
      </c>
      <c r="W67" s="13">
        <v>857.08</v>
      </c>
      <c r="X67" s="23">
        <f>X64+X65</f>
        <v>77.84</v>
      </c>
      <c r="Y67" s="23">
        <f ca="1">IFERROR(__xludf.DUMMYFUNCTION("INDEX(IMPORTRANGE(""1y0FWgjbB0gVlqn-q5LMJbGIsqOrzru4yowQz67dz2yc"", ""'SNG'!AM3:AM139""),MATCH(D67,IMPORTRANGE(""1y0FWgjbB0gVlqn-q5LMJbGIsqOrzru4yowQz67dz2yc"", ""'SNG'!D3:D139""),0))"),212.519999999999)</f>
        <v>212.51999999999899</v>
      </c>
      <c r="Z67" s="1"/>
      <c r="AA67" s="1"/>
      <c r="AB67" s="1"/>
      <c r="AC67" s="1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9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3">
        <v>3.2</v>
      </c>
      <c r="Q68" s="23">
        <v>3.2</v>
      </c>
      <c r="R68" s="1">
        <v>7.9</v>
      </c>
      <c r="S68" s="1">
        <v>12.7</v>
      </c>
      <c r="T68" s="1">
        <v>17.399999999999999</v>
      </c>
      <c r="U68" s="1">
        <v>22.2</v>
      </c>
      <c r="V68" s="1">
        <v>26.9</v>
      </c>
      <c r="W68" s="1">
        <v>26.9</v>
      </c>
      <c r="X68" s="23">
        <v>3.2</v>
      </c>
      <c r="Y68" s="23">
        <f ca="1">IFERROR(__xludf.DUMMYFUNCTION("INDEX(IMPORTRANGE(""1y0FWgjbB0gVlqn-q5LMJbGIsqOrzru4yowQz67dz2yc"", ""'SNG'!AM3:AM139""),MATCH(D68,IMPORTRANGE(""1y0FWgjbB0gVlqn-q5LMJbGIsqOrzru4yowQz67dz2yc"", ""'SNG'!D3:D139""),0))"),23.9)</f>
        <v>23.9</v>
      </c>
      <c r="Z68" s="1"/>
      <c r="AA68" s="1"/>
      <c r="AB68" s="1"/>
      <c r="AC68" s="1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9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"/>
      <c r="S69" s="1"/>
      <c r="T69" s="1"/>
      <c r="U69" s="1"/>
      <c r="V69" s="1"/>
      <c r="W69" s="1"/>
      <c r="X69" s="12">
        <v>0</v>
      </c>
      <c r="Y69" s="12">
        <f ca="1">IFERROR(__xludf.DUMMYFUNCTION("INDEX(IMPORTRANGE(""1y0FWgjbB0gVlqn-q5LMJbGIsqOrzru4yowQz67dz2yc"", ""'SNG'!AM3:AM139""),MATCH(D69,IMPORTRANGE(""1y0FWgjbB0gVlqn-q5LMJbGIsqOrzru4yowQz67dz2yc"", ""'SNG'!D3:D139""),0))"),0)</f>
        <v>0</v>
      </c>
      <c r="Z69" s="1"/>
      <c r="AA69" s="1"/>
      <c r="AB69" s="1"/>
      <c r="AC69" s="1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"/>
      <c r="S70" s="1"/>
      <c r="T70" s="1"/>
      <c r="U70" s="1"/>
      <c r="V70" s="1"/>
      <c r="W70" s="1"/>
      <c r="X70" s="12">
        <v>12800</v>
      </c>
      <c r="Y70" s="12">
        <f ca="1">IFERROR(__xludf.DUMMYFUNCTION("INDEX(IMPORTRANGE(""1y0FWgjbB0gVlqn-q5LMJbGIsqOrzru4yowQz67dz2yc"", ""'SNG'!AM3:AM139""),MATCH(D70,IMPORTRANGE(""1y0FWgjbB0gVlqn-q5LMJbGIsqOrzru4yowQz67dz2yc"", ""'SNG'!D3:D139""),0))"),12800)</f>
        <v>12800</v>
      </c>
      <c r="Z70" s="1"/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"/>
      <c r="S71" s="1"/>
      <c r="T71" s="1"/>
      <c r="U71" s="1"/>
      <c r="V71" s="1"/>
      <c r="W71" s="1"/>
      <c r="X71" s="12">
        <v>0</v>
      </c>
      <c r="Y71" s="12">
        <f ca="1">IFERROR(__xludf.DUMMYFUNCTION("INDEX(IMPORTRANGE(""1y0FWgjbB0gVlqn-q5LMJbGIsqOrzru4yowQz67dz2yc"", ""'SNG'!AM3:AM139""),MATCH(D71,IMPORTRANGE(""1y0FWgjbB0gVlqn-q5LMJbGIsqOrzru4yowQz67dz2yc"", ""'SNG'!D3:D139""),0))"),0)</f>
        <v>0</v>
      </c>
      <c r="Z71" s="1"/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3">
        <v>9479</v>
      </c>
      <c r="S72" s="13">
        <v>4739.5</v>
      </c>
      <c r="T72" s="13">
        <v>9479</v>
      </c>
      <c r="U72" s="13">
        <v>4739.5</v>
      </c>
      <c r="V72" s="13">
        <v>9479</v>
      </c>
      <c r="W72" s="13">
        <v>28437</v>
      </c>
      <c r="X72" s="12">
        <f>SUM(X69:X71)</f>
        <v>12800</v>
      </c>
      <c r="Y72" s="12">
        <f ca="1">IFERROR(__xludf.DUMMYFUNCTION("INDEX(IMPORTRANGE(""1y0FWgjbB0gVlqn-q5LMJbGIsqOrzru4yowQz67dz2yc"", ""'SNG'!AM3:AM139""),MATCH(D72,IMPORTRANGE(""1y0FWgjbB0gVlqn-q5LMJbGIsqOrzru4yowQz67dz2yc"", ""'SNG'!D3:D139""),0))"),12800)</f>
        <v>12800</v>
      </c>
      <c r="Z72" s="1"/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155" t="s">
        <v>211</v>
      </c>
      <c r="E73" s="7" t="s">
        <v>38</v>
      </c>
      <c r="F73" s="9" t="s">
        <v>212</v>
      </c>
      <c r="G73" s="155" t="s">
        <v>213</v>
      </c>
      <c r="H73" s="156" t="s">
        <v>214</v>
      </c>
      <c r="I73" s="7" t="s">
        <v>215</v>
      </c>
      <c r="J73" s="13"/>
      <c r="K73" s="7" t="s">
        <v>216</v>
      </c>
      <c r="L73" s="13"/>
      <c r="M73" s="7" t="s">
        <v>217</v>
      </c>
      <c r="N73" s="1" t="s">
        <v>218</v>
      </c>
      <c r="O73" s="1" t="s">
        <v>218</v>
      </c>
      <c r="P73" s="50">
        <v>39651110.659999996</v>
      </c>
      <c r="Q73" s="50">
        <v>39651110.659999996</v>
      </c>
      <c r="R73" s="13"/>
      <c r="S73" s="13"/>
      <c r="T73" s="13"/>
      <c r="U73" s="13"/>
      <c r="V73" s="13"/>
      <c r="W73" s="13"/>
      <c r="X73" s="50">
        <v>39651110.659999996</v>
      </c>
      <c r="Y73" s="184" t="str">
        <f ca="1">IFERROR(__xludf.DUMMYFUNCTION("INDEX(IMPORTRANGE(""1y0FWgjbB0gVlqn-q5LMJbGIsqOrzru4yowQz67dz2yc"", ""'SNG'!AM3:AM139""),MATCH(D73,IMPORTRANGE(""1y0FWgjbB0gVlqn-q5LMJbGIsqOrzru4yowQz67dz2yc"", ""'SNG'!D3:D139""),0))"),"")</f>
        <v/>
      </c>
      <c r="Z73" s="1"/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155" t="s">
        <v>219</v>
      </c>
      <c r="E74" s="7" t="s">
        <v>38</v>
      </c>
      <c r="F74" s="9" t="s">
        <v>220</v>
      </c>
      <c r="G74" s="155" t="s">
        <v>213</v>
      </c>
      <c r="H74" s="156" t="s">
        <v>214</v>
      </c>
      <c r="I74" s="7" t="s">
        <v>215</v>
      </c>
      <c r="J74" s="13"/>
      <c r="K74" s="7" t="s">
        <v>216</v>
      </c>
      <c r="L74" s="13"/>
      <c r="M74" s="7" t="s">
        <v>217</v>
      </c>
      <c r="N74" s="1" t="s">
        <v>218</v>
      </c>
      <c r="O74" s="1" t="s">
        <v>218</v>
      </c>
      <c r="P74" s="50">
        <v>29387580.710000001</v>
      </c>
      <c r="Q74" s="50">
        <v>29387580.710000001</v>
      </c>
      <c r="R74" s="13"/>
      <c r="S74" s="13"/>
      <c r="T74" s="13"/>
      <c r="U74" s="13"/>
      <c r="V74" s="13"/>
      <c r="W74" s="13"/>
      <c r="X74" s="50">
        <v>29387580.710000001</v>
      </c>
      <c r="Y74" s="184" t="str">
        <f ca="1">IFERROR(__xludf.DUMMYFUNCTION("INDEX(IMPORTRANGE(""1y0FWgjbB0gVlqn-q5LMJbGIsqOrzru4yowQz67dz2yc"", ""'SNG'!AM3:AM139""),MATCH(D74,IMPORTRANGE(""1y0FWgjbB0gVlqn-q5LMJbGIsqOrzru4yowQz67dz2yc"", ""'SNG'!D3:D139""),0))"),"")</f>
        <v/>
      </c>
      <c r="Z74" s="1"/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55" t="s">
        <v>213</v>
      </c>
      <c r="H75" s="156" t="s">
        <v>214</v>
      </c>
      <c r="I75" s="7" t="s">
        <v>215</v>
      </c>
      <c r="J75" s="13"/>
      <c r="K75" s="7" t="s">
        <v>216</v>
      </c>
      <c r="L75" s="13"/>
      <c r="M75" s="7" t="s">
        <v>217</v>
      </c>
      <c r="N75" s="1" t="s">
        <v>218</v>
      </c>
      <c r="O75" s="1" t="s">
        <v>218</v>
      </c>
      <c r="P75" s="15">
        <f t="shared" ref="P75:Q75" si="17">P74/P73</f>
        <v>0.74115403631420007</v>
      </c>
      <c r="Q75" s="15">
        <f t="shared" si="17"/>
        <v>0.74115403631420007</v>
      </c>
      <c r="R75" s="1"/>
      <c r="S75" s="1"/>
      <c r="T75" s="1"/>
      <c r="U75" s="1"/>
      <c r="V75" s="1"/>
      <c r="W75" s="1"/>
      <c r="X75" s="15">
        <f>X74/X73</f>
        <v>0.74115403631420007</v>
      </c>
      <c r="Y75" s="179" t="str">
        <f ca="1">IFERROR(__xludf.DUMMYFUNCTION("INDEX(IMPORTRANGE(""1y0FWgjbB0gVlqn-q5LMJbGIsqOrzru4yowQz67dz2yc"", ""'SNG'!AM3:AM139""),MATCH(D75,IMPORTRANGE(""1y0FWgjbB0gVlqn-q5LMJbGIsqOrzru4yowQz67dz2yc"", ""'SNG'!D3:D139""),0))"),"")</f>
        <v/>
      </c>
      <c r="Z75" s="1"/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4</v>
      </c>
      <c r="Q76" s="12">
        <v>4</v>
      </c>
      <c r="R76" s="1"/>
      <c r="S76" s="1"/>
      <c r="T76" s="1"/>
      <c r="U76" s="1"/>
      <c r="V76" s="1"/>
      <c r="W76" s="1"/>
      <c r="X76" s="12">
        <v>0</v>
      </c>
      <c r="Y76" s="12">
        <f ca="1">IFERROR(__xludf.DUMMYFUNCTION("INDEX(IMPORTRANGE(""1y0FWgjbB0gVlqn-q5LMJbGIsqOrzru4yowQz67dz2yc"", ""'SNG'!AM3:AM139""),MATCH(D76,IMPORTRANGE(""1y0FWgjbB0gVlqn-q5LMJbGIsqOrzru4yowQz67dz2yc"", ""'SNG'!D3:D139""),0))"),0)</f>
        <v>0</v>
      </c>
      <c r="Z76" s="1"/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155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1</v>
      </c>
      <c r="Q77" s="12">
        <v>6</v>
      </c>
      <c r="R77" s="1"/>
      <c r="S77" s="1"/>
      <c r="T77" s="1"/>
      <c r="U77" s="1"/>
      <c r="V77" s="1"/>
      <c r="W77" s="1"/>
      <c r="X77" s="12">
        <v>0</v>
      </c>
      <c r="Y77" s="12">
        <f ca="1">IFERROR(__xludf.DUMMYFUNCTION("INDEX(IMPORTRANGE(""1y0FWgjbB0gVlqn-q5LMJbGIsqOrzru4yowQz67dz2yc"", ""'SNG'!AM3:AM139""),MATCH(D77,IMPORTRANGE(""1y0FWgjbB0gVlqn-q5LMJbGIsqOrzru4yowQz67dz2yc"", ""'SNG'!D3:D139""),0))"),10)</f>
        <v>10</v>
      </c>
      <c r="Z77" s="1"/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155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f t="shared" ref="P78:Q78" si="18">P76+P77</f>
        <v>5</v>
      </c>
      <c r="Q78" s="12">
        <f t="shared" si="18"/>
        <v>10</v>
      </c>
      <c r="R78" s="13">
        <v>7</v>
      </c>
      <c r="S78" s="13">
        <v>3.5</v>
      </c>
      <c r="T78" s="13">
        <v>7</v>
      </c>
      <c r="U78" s="13">
        <v>3</v>
      </c>
      <c r="V78" s="13">
        <v>6</v>
      </c>
      <c r="W78" s="13">
        <v>20</v>
      </c>
      <c r="X78" s="12">
        <f>X76+X77</f>
        <v>0</v>
      </c>
      <c r="Y78" s="12">
        <f ca="1">IFERROR(__xludf.DUMMYFUNCTION("INDEX(IMPORTRANGE(""1y0FWgjbB0gVlqn-q5LMJbGIsqOrzru4yowQz67dz2yc"", ""'SNG'!AM3:AM139""),MATCH(D78,IMPORTRANGE(""1y0FWgjbB0gVlqn-q5LMJbGIsqOrzru4yowQz67dz2yc"", ""'SNG'!D3:D139""),0))"),10)</f>
        <v>10</v>
      </c>
      <c r="Z78" s="1"/>
      <c r="AA78" s="1"/>
      <c r="AB78" s="1"/>
      <c r="AC78" s="1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70</v>
      </c>
      <c r="Q79" s="12">
        <v>123</v>
      </c>
      <c r="R79" s="13"/>
      <c r="S79" s="13"/>
      <c r="T79" s="13"/>
      <c r="U79" s="13"/>
      <c r="V79" s="13"/>
      <c r="W79" s="13"/>
      <c r="X79" s="12">
        <v>37</v>
      </c>
      <c r="Y79" s="12">
        <f ca="1">IFERROR(__xludf.DUMMYFUNCTION("INDEX(IMPORTRANGE(""1y0FWgjbB0gVlqn-q5LMJbGIsqOrzru4yowQz67dz2yc"", ""'SNG'!AM3:AM139""),MATCH(D79,IMPORTRANGE(""1y0FWgjbB0gVlqn-q5LMJbGIsqOrzru4yowQz67dz2yc"", ""'SNG'!D3:D139""),0))"),62)</f>
        <v>62</v>
      </c>
      <c r="Z79" s="1"/>
      <c r="AA79" s="1"/>
      <c r="AB79" s="1"/>
      <c r="AC79" s="1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16</v>
      </c>
      <c r="Q80" s="12">
        <v>30</v>
      </c>
      <c r="R80" s="13"/>
      <c r="S80" s="13"/>
      <c r="T80" s="13"/>
      <c r="U80" s="13"/>
      <c r="V80" s="13"/>
      <c r="W80" s="13"/>
      <c r="X80" s="12">
        <v>4</v>
      </c>
      <c r="Y80" s="12">
        <f ca="1">IFERROR(__xludf.DUMMYFUNCTION("INDEX(IMPORTRANGE(""1y0FWgjbB0gVlqn-q5LMJbGIsqOrzru4yowQz67dz2yc"", ""'SNG'!AM3:AM139""),MATCH(D80,IMPORTRANGE(""1y0FWgjbB0gVlqn-q5LMJbGIsqOrzru4yowQz67dz2yc"", ""'SNG'!D3:D139""),0))"),20)</f>
        <v>20</v>
      </c>
      <c r="Z80" s="1"/>
      <c r="AA80" s="1"/>
      <c r="AB80" s="1"/>
      <c r="AC80" s="1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4771</v>
      </c>
      <c r="Q81" s="12">
        <v>8906</v>
      </c>
      <c r="R81" s="13"/>
      <c r="S81" s="13"/>
      <c r="T81" s="13"/>
      <c r="U81" s="13"/>
      <c r="V81" s="13"/>
      <c r="W81" s="13"/>
      <c r="X81" s="12">
        <v>4295</v>
      </c>
      <c r="Y81" s="12">
        <f ca="1">IFERROR(__xludf.DUMMYFUNCTION("INDEX(IMPORTRANGE(""1y0FWgjbB0gVlqn-q5LMJbGIsqOrzru4yowQz67dz2yc"", ""'SNG'!AM3:AM139""),MATCH(D81,IMPORTRANGE(""1y0FWgjbB0gVlqn-q5LMJbGIsqOrzru4yowQz67dz2yc"", ""'SNG'!D3:D139""),0))"),9950)</f>
        <v>9950</v>
      </c>
      <c r="Z81" s="1"/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179</v>
      </c>
      <c r="Q82" s="12">
        <v>368</v>
      </c>
      <c r="R82" s="13"/>
      <c r="S82" s="13"/>
      <c r="T82" s="13"/>
      <c r="U82" s="13"/>
      <c r="V82" s="13"/>
      <c r="W82" s="13"/>
      <c r="X82" s="12">
        <v>237</v>
      </c>
      <c r="Y82" s="12">
        <f ca="1">IFERROR(__xludf.DUMMYFUNCTION("INDEX(IMPORTRANGE(""1y0FWgjbB0gVlqn-q5LMJbGIsqOrzru4yowQz67dz2yc"", ""'SNG'!AM3:AM139""),MATCH(D82,IMPORTRANGE(""1y0FWgjbB0gVlqn-q5LMJbGIsqOrzru4yowQz67dz2yc"", ""'SNG'!D3:D139""),0))"),555)</f>
        <v>555</v>
      </c>
      <c r="Z82" s="1"/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717</v>
      </c>
      <c r="Q83" s="12">
        <v>1408</v>
      </c>
      <c r="R83" s="13"/>
      <c r="S83" s="13"/>
      <c r="T83" s="13"/>
      <c r="U83" s="13"/>
      <c r="V83" s="13"/>
      <c r="W83" s="13"/>
      <c r="X83" s="12">
        <v>593</v>
      </c>
      <c r="Y83" s="12">
        <f ca="1">IFERROR(__xludf.DUMMYFUNCTION("INDEX(IMPORTRANGE(""1y0FWgjbB0gVlqn-q5LMJbGIsqOrzru4yowQz67dz2yc"", ""'SNG'!AM3:AM139""),MATCH(D83,IMPORTRANGE(""1y0FWgjbB0gVlqn-q5LMJbGIsqOrzru4yowQz67dz2yc"", ""'SNG'!D3:D139""),0))"),599)</f>
        <v>599</v>
      </c>
      <c r="Z83" s="1"/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f t="shared" ref="P84:Q84" si="19">SUM(P79:P83)</f>
        <v>5753</v>
      </c>
      <c r="Q84" s="12">
        <f t="shared" si="19"/>
        <v>10835</v>
      </c>
      <c r="R84" s="1">
        <v>10654</v>
      </c>
      <c r="S84" s="1">
        <v>5561</v>
      </c>
      <c r="T84" s="1">
        <v>10474</v>
      </c>
      <c r="U84" s="1">
        <v>5465</v>
      </c>
      <c r="V84" s="1">
        <v>10293</v>
      </c>
      <c r="W84" s="1">
        <v>10293</v>
      </c>
      <c r="X84" s="12">
        <f>SUM(X79:X83)</f>
        <v>5166</v>
      </c>
      <c r="Y84" s="12">
        <f ca="1">IFERROR(__xludf.DUMMYFUNCTION("INDEX(IMPORTRANGE(""1y0FWgjbB0gVlqn-q5LMJbGIsqOrzru4yowQz67dz2yc"", ""'SNG'!AM3:AM139""),MATCH(D84,IMPORTRANGE(""1y0FWgjbB0gVlqn-q5LMJbGIsqOrzru4yowQz67dz2yc"", ""'SNG'!D3:D139""),0))"),11186)</f>
        <v>11186</v>
      </c>
      <c r="Z84" s="1"/>
      <c r="AA84" s="1"/>
      <c r="AB84" s="1"/>
      <c r="AC84" s="1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0</v>
      </c>
      <c r="Q85" s="2">
        <v>0</v>
      </c>
      <c r="R85" s="1">
        <v>115</v>
      </c>
      <c r="S85" s="1">
        <v>58</v>
      </c>
      <c r="T85" s="1">
        <v>115</v>
      </c>
      <c r="U85" s="1">
        <v>58</v>
      </c>
      <c r="V85" s="1">
        <v>115</v>
      </c>
      <c r="W85" s="1">
        <v>346</v>
      </c>
      <c r="X85" s="2">
        <v>22</v>
      </c>
      <c r="Y85" s="2">
        <f ca="1">IFERROR(__xludf.DUMMYFUNCTION("INDEX(IMPORTRANGE(""1y0FWgjbB0gVlqn-q5LMJbGIsqOrzru4yowQz67dz2yc"", ""'SNG'!AM3:AM139""),MATCH(D85,IMPORTRANGE(""1y0FWgjbB0gVlqn-q5LMJbGIsqOrzru4yowQz67dz2yc"", ""'SNG'!D3:D139""),0))"),66)</f>
        <v>66</v>
      </c>
      <c r="Z85" s="1"/>
      <c r="AA85" s="1"/>
      <c r="AB85" s="1"/>
      <c r="AC85" s="1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12">
        <v>2</v>
      </c>
      <c r="Q86" s="12">
        <v>2</v>
      </c>
      <c r="R86" s="1">
        <v>10</v>
      </c>
      <c r="S86" s="1">
        <v>30</v>
      </c>
      <c r="T86" s="1">
        <v>50</v>
      </c>
      <c r="U86" s="1">
        <v>70</v>
      </c>
      <c r="V86" s="1">
        <v>80</v>
      </c>
      <c r="W86" s="1">
        <v>80</v>
      </c>
      <c r="X86" s="2">
        <v>2</v>
      </c>
      <c r="Y86" s="2">
        <f ca="1">IFERROR(__xludf.DUMMYFUNCTION("INDEX(IMPORTRANGE(""1y0FWgjbB0gVlqn-q5LMJbGIsqOrzru4yowQz67dz2yc"", ""'SNG'!AM3:AM139""),MATCH(D86,IMPORTRANGE(""1y0FWgjbB0gVlqn-q5LMJbGIsqOrzru4yowQz67dz2yc"", ""'SNG'!D3:D139""),0))"),10)</f>
        <v>10</v>
      </c>
      <c r="Z86" s="1"/>
      <c r="AA86" s="1"/>
      <c r="AB86" s="1"/>
      <c r="AC86" s="1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23">
        <v>95.55</v>
      </c>
      <c r="Q87" s="23">
        <v>95.55</v>
      </c>
      <c r="R87" s="1">
        <v>100</v>
      </c>
      <c r="S87" s="1">
        <v>100</v>
      </c>
      <c r="T87" s="1">
        <v>100</v>
      </c>
      <c r="U87" s="1">
        <v>100</v>
      </c>
      <c r="V87" s="1">
        <v>100</v>
      </c>
      <c r="W87" s="1">
        <v>100</v>
      </c>
      <c r="X87" s="23">
        <v>95.27</v>
      </c>
      <c r="Y87" s="23">
        <f ca="1">IFERROR(__xludf.DUMMYFUNCTION("INDEX(IMPORTRANGE(""1y0FWgjbB0gVlqn-q5LMJbGIsqOrzru4yowQz67dz2yc"", ""'SNG'!AM3:AM139""),MATCH(D87,IMPORTRANGE(""1y0FWgjbB0gVlqn-q5LMJbGIsqOrzru4yowQz67dz2yc"", ""'SNG'!D3:D139""),0))"),90.61)</f>
        <v>90.61</v>
      </c>
      <c r="Z87" s="1"/>
      <c r="AA87" s="1"/>
      <c r="AB87" s="1"/>
      <c r="AC87" s="1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12">
        <v>0</v>
      </c>
      <c r="R88" s="1">
        <v>4</v>
      </c>
      <c r="S88" s="1">
        <v>4</v>
      </c>
      <c r="T88" s="1">
        <v>4</v>
      </c>
      <c r="U88" s="1">
        <v>4</v>
      </c>
      <c r="V88" s="1">
        <v>4</v>
      </c>
      <c r="W88" s="1">
        <v>4</v>
      </c>
      <c r="X88" s="12">
        <v>0</v>
      </c>
      <c r="Y88" s="12">
        <f ca="1">IFERROR(__xludf.DUMMYFUNCTION("INDEX(IMPORTRANGE(""1y0FWgjbB0gVlqn-q5LMJbGIsqOrzru4yowQz67dz2yc"", ""'SNG'!AM3:AM139""),MATCH(D88,IMPORTRANGE(""1y0FWgjbB0gVlqn-q5LMJbGIsqOrzru4yowQz67dz2yc"", ""'SNG'!D3:D139""),0))"),1.57142857142857)</f>
        <v>1.5714285714285701</v>
      </c>
      <c r="Z88" s="1"/>
      <c r="AA88" s="1"/>
      <c r="AB88" s="1"/>
      <c r="AC88" s="1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157"/>
      <c r="I89" s="11">
        <v>44651</v>
      </c>
      <c r="J89" s="13"/>
      <c r="K89" s="11">
        <v>45016</v>
      </c>
      <c r="L89" s="13"/>
      <c r="M89" s="11">
        <v>45382</v>
      </c>
      <c r="N89" s="13"/>
      <c r="O89" s="11">
        <v>45565</v>
      </c>
      <c r="P89" s="254"/>
      <c r="Q89" s="254"/>
      <c r="R89" s="13"/>
      <c r="S89" s="13"/>
      <c r="T89" s="13"/>
      <c r="U89" s="13"/>
      <c r="V89" s="13"/>
      <c r="W89" s="13"/>
      <c r="X89" s="12">
        <v>1</v>
      </c>
      <c r="Y89" s="12">
        <f ca="1">IFERROR(__xludf.DUMMYFUNCTION("INDEX(IMPORTRANGE(""1y0FWgjbB0gVlqn-q5LMJbGIsqOrzru4yowQz67dz2yc"", ""'SNG'!AM3:AM139""),MATCH(D89,IMPORTRANGE(""1y0FWgjbB0gVlqn-q5LMJbGIsqOrzru4yowQz67dz2yc"", ""'SNG'!D3:D139""),0))"),1)</f>
        <v>1</v>
      </c>
      <c r="Z89" s="1"/>
      <c r="AA89" s="1"/>
      <c r="AB89" s="1"/>
      <c r="AC89" s="1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158"/>
      <c r="I90" s="11">
        <v>44651</v>
      </c>
      <c r="J90" s="13"/>
      <c r="K90" s="11">
        <v>45016</v>
      </c>
      <c r="L90" s="13"/>
      <c r="M90" s="11">
        <v>45382</v>
      </c>
      <c r="N90" s="13"/>
      <c r="O90" s="11">
        <v>45565</v>
      </c>
      <c r="P90" s="254"/>
      <c r="Q90" s="254"/>
      <c r="R90" s="13"/>
      <c r="S90" s="13"/>
      <c r="T90" s="13"/>
      <c r="U90" s="13"/>
      <c r="V90" s="13"/>
      <c r="W90" s="13"/>
      <c r="X90" s="12">
        <v>10</v>
      </c>
      <c r="Y90" s="12">
        <f ca="1">IFERROR(__xludf.DUMMYFUNCTION("INDEX(IMPORTRANGE(""1y0FWgjbB0gVlqn-q5LMJbGIsqOrzru4yowQz67dz2yc"", ""'SNG'!AM3:AM139""),MATCH(D90,IMPORTRANGE(""1y0FWgjbB0gVlqn-q5LMJbGIsqOrzru4yowQz67dz2yc"", ""'SNG'!D3:D139""),0))"),11)</f>
        <v>11</v>
      </c>
      <c r="Z90" s="1"/>
      <c r="AA90" s="1"/>
      <c r="AB90" s="1"/>
      <c r="AC90" s="1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158"/>
      <c r="I91" s="11">
        <v>44651</v>
      </c>
      <c r="J91" s="13"/>
      <c r="K91" s="11">
        <v>45016</v>
      </c>
      <c r="L91" s="13"/>
      <c r="M91" s="11">
        <v>45382</v>
      </c>
      <c r="N91" s="13"/>
      <c r="O91" s="11">
        <v>45565</v>
      </c>
      <c r="P91" s="254"/>
      <c r="Q91" s="254"/>
      <c r="R91" s="13"/>
      <c r="S91" s="13"/>
      <c r="T91" s="13"/>
      <c r="U91" s="13"/>
      <c r="V91" s="13"/>
      <c r="W91" s="13"/>
      <c r="X91" s="12">
        <v>1</v>
      </c>
      <c r="Y91" s="12">
        <f ca="1">IFERROR(__xludf.DUMMYFUNCTION("INDEX(IMPORTRANGE(""1y0FWgjbB0gVlqn-q5LMJbGIsqOrzru4yowQz67dz2yc"", ""'SNG'!AM3:AM139""),MATCH(D91,IMPORTRANGE(""1y0FWgjbB0gVlqn-q5LMJbGIsqOrzru4yowQz67dz2yc"", ""'SNG'!D3:D139""),0))"),1)</f>
        <v>1</v>
      </c>
      <c r="Z91" s="1"/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158"/>
      <c r="I92" s="11">
        <v>44651</v>
      </c>
      <c r="J92" s="13"/>
      <c r="K92" s="11">
        <v>45016</v>
      </c>
      <c r="L92" s="13"/>
      <c r="M92" s="11">
        <v>45382</v>
      </c>
      <c r="N92" s="13"/>
      <c r="O92" s="11">
        <v>45565</v>
      </c>
      <c r="P92" s="254"/>
      <c r="Q92" s="254"/>
      <c r="R92" s="13"/>
      <c r="S92" s="13"/>
      <c r="T92" s="13"/>
      <c r="U92" s="13"/>
      <c r="V92" s="13"/>
      <c r="W92" s="13"/>
      <c r="X92" s="12">
        <v>2</v>
      </c>
      <c r="Y92" s="12">
        <f ca="1">IFERROR(__xludf.DUMMYFUNCTION("INDEX(IMPORTRANGE(""1y0FWgjbB0gVlqn-q5LMJbGIsqOrzru4yowQz67dz2yc"", ""'SNG'!AM3:AM139""),MATCH(D92,IMPORTRANGE(""1y0FWgjbB0gVlqn-q5LMJbGIsqOrzru4yowQz67dz2yc"", ""'SNG'!D3:D139""),0))"),2)</f>
        <v>2</v>
      </c>
      <c r="Z92" s="1"/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158"/>
      <c r="I93" s="11">
        <v>44651</v>
      </c>
      <c r="J93" s="13"/>
      <c r="K93" s="11">
        <v>45016</v>
      </c>
      <c r="L93" s="13"/>
      <c r="M93" s="11">
        <v>45382</v>
      </c>
      <c r="N93" s="13"/>
      <c r="O93" s="11">
        <v>45565</v>
      </c>
      <c r="P93" s="254"/>
      <c r="Q93" s="254"/>
      <c r="R93" s="13"/>
      <c r="S93" s="13"/>
      <c r="T93" s="13"/>
      <c r="U93" s="13"/>
      <c r="V93" s="13"/>
      <c r="W93" s="13"/>
      <c r="X93" s="12">
        <v>16</v>
      </c>
      <c r="Y93" s="12">
        <f ca="1">IFERROR(__xludf.DUMMYFUNCTION("INDEX(IMPORTRANGE(""1y0FWgjbB0gVlqn-q5LMJbGIsqOrzru4yowQz67dz2yc"", ""'SNG'!AM3:AM139""),MATCH(D93,IMPORTRANGE(""1y0FWgjbB0gVlqn-q5LMJbGIsqOrzru4yowQz67dz2yc"", ""'SNG'!D3:D139""),0))"),23)</f>
        <v>23</v>
      </c>
      <c r="Z93" s="1"/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158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12">
        <v>53</v>
      </c>
      <c r="Y94" s="12">
        <f ca="1">IFERROR(__xludf.DUMMYFUNCTION("INDEX(IMPORTRANGE(""1y0FWgjbB0gVlqn-q5LMJbGIsqOrzru4yowQz67dz2yc"", ""'SNG'!AM3:AM139""),MATCH(D94,IMPORTRANGE(""1y0FWgjbB0gVlqn-q5LMJbGIsqOrzru4yowQz67dz2yc"", ""'SNG'!D3:D139""),0))"),62)</f>
        <v>62</v>
      </c>
      <c r="Z94" s="1"/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0">
        <v>44469</v>
      </c>
      <c r="H95" s="158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44">
        <v>0.5</v>
      </c>
      <c r="S95" s="44">
        <v>0.5</v>
      </c>
      <c r="T95" s="44">
        <v>0.5</v>
      </c>
      <c r="U95" s="44">
        <v>0.5</v>
      </c>
      <c r="V95" s="44">
        <v>0.5</v>
      </c>
      <c r="W95" s="44">
        <v>0.5</v>
      </c>
      <c r="X95" s="15">
        <f>SUM(X89,X91,X93)/SUM(X90,X92,X94)</f>
        <v>0.27692307692307694</v>
      </c>
      <c r="Y95" s="15">
        <f ca="1">IFERROR(__xludf.DUMMYFUNCTION("INDEX(IMPORTRANGE(""1y0FWgjbB0gVlqn-q5LMJbGIsqOrzru4yowQz67dz2yc"", ""'SNG'!AM3:AM139""),MATCH(D95,IMPORTRANGE(""1y0FWgjbB0gVlqn-q5LMJbGIsqOrzru4yowQz67dz2yc"", ""'SNG'!D3:D139""),0))"),0.333333333333333)</f>
        <v>0.33333333333333298</v>
      </c>
      <c r="Z95" s="1"/>
      <c r="AA95" s="1"/>
      <c r="AB95" s="1"/>
      <c r="AC95" s="1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59" t="s">
        <v>213</v>
      </c>
      <c r="H96" s="156" t="s">
        <v>214</v>
      </c>
      <c r="I96" s="7" t="s">
        <v>215</v>
      </c>
      <c r="J96" s="13"/>
      <c r="K96" s="7" t="s">
        <v>216</v>
      </c>
      <c r="L96" s="13"/>
      <c r="M96" s="7" t="s">
        <v>217</v>
      </c>
      <c r="N96" s="1" t="s">
        <v>218</v>
      </c>
      <c r="O96" s="1" t="s">
        <v>218</v>
      </c>
      <c r="P96" s="36">
        <v>641679794</v>
      </c>
      <c r="Q96" s="36">
        <v>641679794</v>
      </c>
      <c r="R96" s="13"/>
      <c r="S96" s="13"/>
      <c r="T96" s="13"/>
      <c r="U96" s="13"/>
      <c r="V96" s="13"/>
      <c r="W96" s="13"/>
      <c r="X96" s="36">
        <v>641679794</v>
      </c>
      <c r="Y96" s="178" t="str">
        <f ca="1">IFERROR(__xludf.DUMMYFUNCTION("INDEX(IMPORTRANGE(""1y0FWgjbB0gVlqn-q5LMJbGIsqOrzru4yowQz67dz2yc"", ""'SNG'!AM3:AM139""),MATCH(D96,IMPORTRANGE(""1y0FWgjbB0gVlqn-q5LMJbGIsqOrzru4yowQz67dz2yc"", ""'SNG'!D3:D139""),0))"),"")</f>
        <v/>
      </c>
      <c r="Z96" s="1"/>
      <c r="AA96" s="1"/>
      <c r="AB96" s="1"/>
      <c r="AC96" s="1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55" t="s">
        <v>213</v>
      </c>
      <c r="H97" s="156" t="s">
        <v>214</v>
      </c>
      <c r="I97" s="7" t="s">
        <v>215</v>
      </c>
      <c r="J97" s="13"/>
      <c r="K97" s="7" t="s">
        <v>216</v>
      </c>
      <c r="L97" s="13"/>
      <c r="M97" s="7" t="s">
        <v>217</v>
      </c>
      <c r="N97" s="1" t="s">
        <v>218</v>
      </c>
      <c r="O97" s="1" t="s">
        <v>218</v>
      </c>
      <c r="P97" s="36">
        <v>2323752062</v>
      </c>
      <c r="Q97" s="36">
        <v>2323752062</v>
      </c>
      <c r="R97" s="13"/>
      <c r="S97" s="13"/>
      <c r="T97" s="13"/>
      <c r="U97" s="13"/>
      <c r="V97" s="13"/>
      <c r="W97" s="13"/>
      <c r="X97" s="36">
        <v>2323752062</v>
      </c>
      <c r="Y97" s="178" t="str">
        <f ca="1">IFERROR(__xludf.DUMMYFUNCTION("INDEX(IMPORTRANGE(""1y0FWgjbB0gVlqn-q5LMJbGIsqOrzru4yowQz67dz2yc"", ""'SNG'!AM3:AM139""),MATCH(D97,IMPORTRANGE(""1y0FWgjbB0gVlqn-q5LMJbGIsqOrzru4yowQz67dz2yc"", ""'SNG'!D3:D139""),0))"),"")</f>
        <v/>
      </c>
      <c r="Z97" s="1"/>
      <c r="AA97" s="1"/>
      <c r="AB97" s="1"/>
      <c r="AC97" s="1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55" t="s">
        <v>213</v>
      </c>
      <c r="H98" s="156" t="s">
        <v>214</v>
      </c>
      <c r="I98" s="7" t="s">
        <v>215</v>
      </c>
      <c r="J98" s="13"/>
      <c r="K98" s="7" t="s">
        <v>216</v>
      </c>
      <c r="L98" s="13"/>
      <c r="M98" s="7" t="s">
        <v>217</v>
      </c>
      <c r="N98" s="1" t="s">
        <v>218</v>
      </c>
      <c r="O98" s="1" t="s">
        <v>218</v>
      </c>
      <c r="P98" s="15">
        <f t="shared" ref="P98:Q98" si="20">P96/P97</f>
        <v>0.27613952645521095</v>
      </c>
      <c r="Q98" s="15">
        <f t="shared" si="20"/>
        <v>0.27613952645521095</v>
      </c>
      <c r="R98" s="1"/>
      <c r="S98" s="1"/>
      <c r="T98" s="1"/>
      <c r="U98" s="1"/>
      <c r="V98" s="1"/>
      <c r="W98" s="1"/>
      <c r="X98" s="15">
        <f>X96/X97</f>
        <v>0.27613952645521095</v>
      </c>
      <c r="Y98" s="179" t="str">
        <f ca="1">IFERROR(__xludf.DUMMYFUNCTION("INDEX(IMPORTRANGE(""1y0FWgjbB0gVlqn-q5LMJbGIsqOrzru4yowQz67dz2yc"", ""'SNG'!AM3:AM139""),MATCH(D98,IMPORTRANGE(""1y0FWgjbB0gVlqn-q5LMJbGIsqOrzru4yowQz67dz2yc"", ""'SNG'!D3:D139""),0))"),"")</f>
        <v/>
      </c>
      <c r="Z98" s="1"/>
      <c r="AA98" s="1"/>
      <c r="AB98" s="1"/>
      <c r="AC98" s="1"/>
    </row>
    <row r="99" spans="1:29">
      <c r="A99" s="7" t="s">
        <v>275</v>
      </c>
      <c r="B99" s="7" t="s">
        <v>284</v>
      </c>
      <c r="C99" s="1" t="s">
        <v>30</v>
      </c>
      <c r="D99" s="155" t="s">
        <v>285</v>
      </c>
      <c r="E99" s="7" t="s">
        <v>278</v>
      </c>
      <c r="F99" s="9" t="s">
        <v>286</v>
      </c>
      <c r="G99" s="155" t="s">
        <v>213</v>
      </c>
      <c r="H99" s="156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50">
        <v>1770850112.28</v>
      </c>
      <c r="Q99" s="50">
        <v>1770850112.28</v>
      </c>
      <c r="R99" s="330"/>
      <c r="S99" s="13"/>
      <c r="T99" s="13"/>
      <c r="U99" s="13"/>
      <c r="V99" s="13"/>
      <c r="W99" s="13"/>
      <c r="X99" s="12">
        <v>1770850112.28</v>
      </c>
      <c r="Y99" s="6" t="str">
        <f ca="1">IFERROR(__xludf.DUMMYFUNCTION("INDEX(IMPORTRANGE(""1y0FWgjbB0gVlqn-q5LMJbGIsqOrzru4yowQz67dz2yc"", ""'SNG'!AM3:AM139""),MATCH(D99,IMPORTRANGE(""1y0FWgjbB0gVlqn-q5LMJbGIsqOrzru4yowQz67dz2yc"", ""'SNG'!D3:D139""),0))"),"")</f>
        <v/>
      </c>
      <c r="Z99" s="1"/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36</v>
      </c>
      <c r="D100" s="155" t="s">
        <v>287</v>
      </c>
      <c r="E100" s="7" t="s">
        <v>278</v>
      </c>
      <c r="F100" s="9" t="s">
        <v>288</v>
      </c>
      <c r="G100" s="155" t="s">
        <v>213</v>
      </c>
      <c r="H100" s="156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15">
        <f t="shared" ref="P100:Q100" si="21">P96/P99</f>
        <v>0.3623569208654403</v>
      </c>
      <c r="Q100" s="15">
        <f t="shared" si="21"/>
        <v>0.3623569208654403</v>
      </c>
      <c r="R100" s="1"/>
      <c r="S100" s="1"/>
      <c r="T100" s="1"/>
      <c r="U100" s="1"/>
      <c r="V100" s="1"/>
      <c r="W100" s="1"/>
      <c r="X100" s="15">
        <f>X96/X99</f>
        <v>0.3623569208654403</v>
      </c>
      <c r="Y100" s="179" t="str">
        <f ca="1">IFERROR(__xludf.DUMMYFUNCTION("INDEX(IMPORTRANGE(""1y0FWgjbB0gVlqn-q5LMJbGIsqOrzru4yowQz67dz2yc"", ""'SNG'!AM3:AM139""),MATCH(D100,IMPORTRANGE(""1y0FWgjbB0gVlqn-q5LMJbGIsqOrzru4yowQz67dz2yc"", ""'SNG'!D3:D139""),0))"),"")</f>
        <v/>
      </c>
      <c r="Z100" s="1"/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55" t="s">
        <v>254</v>
      </c>
      <c r="H101" s="155" t="s">
        <v>254</v>
      </c>
      <c r="I101" s="7" t="s">
        <v>254</v>
      </c>
      <c r="J101" s="13"/>
      <c r="K101" s="7" t="s">
        <v>255</v>
      </c>
      <c r="L101" s="13"/>
      <c r="M101" s="7" t="s">
        <v>256</v>
      </c>
      <c r="N101" s="260">
        <v>45536</v>
      </c>
      <c r="O101" s="1" t="s">
        <v>218</v>
      </c>
      <c r="P101" s="12">
        <v>147356</v>
      </c>
      <c r="Q101" s="12">
        <v>147356</v>
      </c>
      <c r="R101" s="13"/>
      <c r="S101" s="13"/>
      <c r="T101" s="13"/>
      <c r="U101" s="13"/>
      <c r="V101" s="13"/>
      <c r="W101" s="13"/>
      <c r="X101" s="12">
        <v>147356</v>
      </c>
      <c r="Y101" s="6" t="str">
        <f ca="1">IFERROR(__xludf.DUMMYFUNCTION("INDEX(IMPORTRANGE(""1y0FWgjbB0gVlqn-q5LMJbGIsqOrzru4yowQz67dz2yc"", ""'SNG'!AM3:AM139""),MATCH(D101,IMPORTRANGE(""1y0FWgjbB0gVlqn-q5LMJbGIsqOrzru4yowQz67dz2yc"", ""'SNG'!D3:D139""),0))"),"")</f>
        <v/>
      </c>
      <c r="Z101" s="1"/>
      <c r="AA101" s="1"/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55" t="s">
        <v>213</v>
      </c>
      <c r="H102" s="156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12">
        <v>99460</v>
      </c>
      <c r="Q102" s="12">
        <v>99460</v>
      </c>
      <c r="R102" s="1"/>
      <c r="S102" s="1"/>
      <c r="T102" s="1"/>
      <c r="U102" s="1"/>
      <c r="V102" s="1"/>
      <c r="W102" s="1"/>
      <c r="X102" s="12">
        <v>99460</v>
      </c>
      <c r="Y102" s="6" t="str">
        <f ca="1">IFERROR(__xludf.DUMMYFUNCTION("INDEX(IMPORTRANGE(""1y0FWgjbB0gVlqn-q5LMJbGIsqOrzru4yowQz67dz2yc"", ""'SNG'!AM3:AM139""),MATCH(D102,IMPORTRANGE(""1y0FWgjbB0gVlqn-q5LMJbGIsqOrzru4yowQz67dz2yc"", ""'SNG'!D3:D139""),0))"),"")</f>
        <v/>
      </c>
      <c r="Z102" s="1"/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55" t="s">
        <v>213</v>
      </c>
      <c r="H103" s="156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2">P102/P101</f>
        <v>0.67496403268275473</v>
      </c>
      <c r="Q103" s="15">
        <f t="shared" si="22"/>
        <v>0.67496403268275473</v>
      </c>
      <c r="R103" s="1"/>
      <c r="S103" s="1"/>
      <c r="T103" s="1"/>
      <c r="U103" s="1"/>
      <c r="V103" s="1"/>
      <c r="W103" s="1"/>
      <c r="X103" s="15">
        <f>X102/X101</f>
        <v>0.67496403268275473</v>
      </c>
      <c r="Y103" s="179" t="str">
        <f ca="1">IFERROR(__xludf.DUMMYFUNCTION("INDEX(IMPORTRANGE(""1y0FWgjbB0gVlqn-q5LMJbGIsqOrzru4yowQz67dz2yc"", ""'SNG'!AM3:AM139""),MATCH(D103,IMPORTRANGE(""1y0FWgjbB0gVlqn-q5LMJbGIsqOrzru4yowQz67dz2yc"", ""'SNG'!D3:D139""),0))"),"")</f>
        <v/>
      </c>
      <c r="Z103" s="1"/>
      <c r="AA103" s="1"/>
      <c r="AB103" s="1"/>
      <c r="AC103" s="1"/>
    </row>
    <row r="104" spans="1:29">
      <c r="A104" s="155" t="s">
        <v>275</v>
      </c>
      <c r="B104" s="155" t="s">
        <v>276</v>
      </c>
      <c r="C104" s="155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158"/>
      <c r="K104" s="155" t="s">
        <v>216</v>
      </c>
      <c r="L104" s="158"/>
      <c r="M104" s="155" t="s">
        <v>217</v>
      </c>
      <c r="N104" s="156" t="s">
        <v>218</v>
      </c>
      <c r="O104" s="156" t="s">
        <v>218</v>
      </c>
      <c r="P104" s="50"/>
      <c r="Q104" s="50"/>
      <c r="R104" s="1"/>
      <c r="S104" s="1"/>
      <c r="T104" s="1"/>
      <c r="U104" s="1"/>
      <c r="V104" s="1"/>
      <c r="W104" s="1"/>
      <c r="X104" s="36"/>
      <c r="Y104" s="178" t="str">
        <f ca="1">IFERROR(__xludf.DUMMYFUNCTION("INDEX(IMPORTRANGE(""1y0FWgjbB0gVlqn-q5LMJbGIsqOrzru4yowQz67dz2yc"", ""'SNG'!AM3:AM139""),MATCH(D104,IMPORTRANGE(""1y0FWgjbB0gVlqn-q5LMJbGIsqOrzru4yowQz67dz2yc"", ""'SNG'!D3:D139""),0))"),"")</f>
        <v/>
      </c>
      <c r="Z104" s="1"/>
      <c r="AA104" s="1"/>
      <c r="AB104" s="1"/>
      <c r="AC104" s="1"/>
    </row>
    <row r="105" spans="1:29">
      <c r="A105" s="155" t="s">
        <v>275</v>
      </c>
      <c r="B105" s="155" t="s">
        <v>276</v>
      </c>
      <c r="C105" s="155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158"/>
      <c r="K105" s="155" t="s">
        <v>216</v>
      </c>
      <c r="L105" s="158"/>
      <c r="M105" s="155" t="s">
        <v>217</v>
      </c>
      <c r="N105" s="156" t="s">
        <v>218</v>
      </c>
      <c r="O105" s="156" t="s">
        <v>218</v>
      </c>
      <c r="P105" s="50">
        <v>363858395.08999997</v>
      </c>
      <c r="Q105" s="50">
        <v>363858395.08999997</v>
      </c>
      <c r="R105" s="1"/>
      <c r="S105" s="1"/>
      <c r="T105" s="1"/>
      <c r="U105" s="1"/>
      <c r="V105" s="1"/>
      <c r="W105" s="1"/>
      <c r="X105" s="36">
        <v>363858395.08999997</v>
      </c>
      <c r="Y105" s="178" t="str">
        <f ca="1">IFERROR(__xludf.DUMMYFUNCTION("INDEX(IMPORTRANGE(""1y0FWgjbB0gVlqn-q5LMJbGIsqOrzru4yowQz67dz2yc"", ""'SNG'!AM3:AM139""),MATCH(D105,IMPORTRANGE(""1y0FWgjbB0gVlqn-q5LMJbGIsqOrzru4yowQz67dz2yc"", ""'SNG'!D3:D139""),0))"),"")</f>
        <v/>
      </c>
      <c r="Z105" s="1"/>
      <c r="AA105" s="1"/>
      <c r="AB105" s="1"/>
      <c r="AC105" s="1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55" t="s">
        <v>213</v>
      </c>
      <c r="H106" s="156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36">
        <v>2494247239.0900002</v>
      </c>
      <c r="Q106" s="36">
        <v>2494247239.0900002</v>
      </c>
      <c r="R106" s="13"/>
      <c r="S106" s="13"/>
      <c r="T106" s="13"/>
      <c r="U106" s="13"/>
      <c r="V106" s="13"/>
      <c r="W106" s="13"/>
      <c r="X106" s="36">
        <v>2494247239.0900002</v>
      </c>
      <c r="Y106" s="178" t="str">
        <f ca="1">IFERROR(__xludf.DUMMYFUNCTION("INDEX(IMPORTRANGE(""1y0FWgjbB0gVlqn-q5LMJbGIsqOrzru4yowQz67dz2yc"", ""'SNG'!AM3:AM139""),MATCH(D106,IMPORTRANGE(""1y0FWgjbB0gVlqn-q5LMJbGIsqOrzru4yowQz67dz2yc"", ""'SNG'!D3:D139""),0))"),"")</f>
        <v/>
      </c>
      <c r="Z106" s="1"/>
      <c r="AA106" s="1"/>
      <c r="AB106" s="1"/>
      <c r="AC106" s="1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55" t="s">
        <v>213</v>
      </c>
      <c r="H107" s="156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5">
        <f t="shared" ref="P107:Q107" si="23">P99/P106</f>
        <v>0.70997376864936457</v>
      </c>
      <c r="Q107" s="15">
        <f t="shared" si="23"/>
        <v>0.70997376864936457</v>
      </c>
      <c r="R107" s="1"/>
      <c r="S107" s="1"/>
      <c r="T107" s="1"/>
      <c r="U107" s="1"/>
      <c r="V107" s="1"/>
      <c r="W107" s="1"/>
      <c r="X107" s="15">
        <f>X99/X106</f>
        <v>0.70997376864936457</v>
      </c>
      <c r="Y107" s="179" t="str">
        <f ca="1">IFERROR(__xludf.DUMMYFUNCTION("INDEX(IMPORTRANGE(""1y0FWgjbB0gVlqn-q5LMJbGIsqOrzru4yowQz67dz2yc"", ""'SNG'!AM3:AM139""),MATCH(D107,IMPORTRANGE(""1y0FWgjbB0gVlqn-q5LMJbGIsqOrzru4yowQz67dz2yc"", ""'SNG'!D3:D139""),0))"),"")</f>
        <v/>
      </c>
      <c r="Z107" s="1"/>
      <c r="AA107" s="1"/>
      <c r="AB107" s="1"/>
      <c r="AC107" s="1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158"/>
      <c r="I108" s="1" t="s">
        <v>254</v>
      </c>
      <c r="J108" s="13"/>
      <c r="K108" s="1" t="s">
        <v>255</v>
      </c>
      <c r="L108" s="13"/>
      <c r="M108" s="1" t="s">
        <v>256</v>
      </c>
      <c r="N108" s="49">
        <v>45473</v>
      </c>
      <c r="O108" s="1"/>
      <c r="P108" s="30" t="s">
        <v>308</v>
      </c>
      <c r="Q108" s="30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1" t="s">
        <v>308</v>
      </c>
      <c r="X108" s="30" t="s">
        <v>308</v>
      </c>
      <c r="Y108" s="254" t="str">
        <f ca="1">IFERROR(__xludf.DUMMYFUNCTION("INDEX(IMPORTRANGE(""1y0FWgjbB0gVlqn-q5LMJbGIsqOrzru4yowQz67dz2yc"", ""'SNG'!AM3:AM139""),MATCH(D108,IMPORTRANGE(""1y0FWgjbB0gVlqn-q5LMJbGIsqOrzru4yowQz67dz2yc"", ""'SNG'!D3:D139""),0))"),"")</f>
        <v/>
      </c>
      <c r="Z108" s="1"/>
      <c r="AA108" s="1"/>
      <c r="AB108" s="1"/>
      <c r="AC108" s="1"/>
    </row>
    <row r="109" spans="1:29">
      <c r="A109" s="1"/>
      <c r="B109" s="1"/>
      <c r="C109" s="1"/>
      <c r="D109" s="1"/>
      <c r="E109" s="1"/>
      <c r="F109" s="1"/>
      <c r="G109" s="10" t="s">
        <v>307</v>
      </c>
      <c r="H109" s="158"/>
      <c r="I109" s="1"/>
      <c r="J109" s="1"/>
      <c r="K109" s="1"/>
      <c r="L109" s="1"/>
      <c r="M109" s="1"/>
      <c r="N109" s="1"/>
      <c r="O109" s="1"/>
      <c r="P109" s="2"/>
      <c r="Q109" s="2"/>
      <c r="R109" s="1"/>
      <c r="S109" s="1"/>
      <c r="T109" s="1"/>
      <c r="U109" s="1"/>
      <c r="V109" s="1"/>
      <c r="W109" s="1"/>
      <c r="X109" s="2"/>
      <c r="Y109" s="1"/>
      <c r="Z109" s="1"/>
      <c r="AA109" s="1"/>
      <c r="AB109" s="1"/>
      <c r="AC10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507D6-AFF7-D647-B6F2-ACDD83DA0A26}">
  <dimension ref="A1:M30"/>
  <sheetViews>
    <sheetView workbookViewId="0"/>
  </sheetViews>
  <sheetFormatPr baseColWidth="10" defaultRowHeight="16"/>
  <cols>
    <col min="1" max="1" width="10.83203125" style="118"/>
    <col min="3" max="3" width="20.33203125" customWidth="1"/>
    <col min="4" max="4" width="12" customWidth="1"/>
    <col min="5" max="5" width="11.6640625" customWidth="1"/>
    <col min="7" max="7" width="11.6640625" customWidth="1"/>
    <col min="8" max="8" width="12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22">
        <v>462</v>
      </c>
      <c r="F2" s="75">
        <v>44834</v>
      </c>
      <c r="G2" s="123">
        <f ca="1">VLOOKUP(C2,'BD EVA 1 SNG'!$D$3:$Y$108,22,0)</f>
        <v>462</v>
      </c>
      <c r="H2" s="123">
        <f>VLOOKUP(C2,'BD EVA 1 SNG'!$D$3:$R$108,15,0)</f>
        <v>479</v>
      </c>
      <c r="I2" s="80">
        <f ca="1">IF(G2&gt;=E2,G2/H2,0)</f>
        <v>0.964509394572025</v>
      </c>
      <c r="J2" s="72" t="s">
        <v>316</v>
      </c>
      <c r="K2" s="81">
        <v>2.7</v>
      </c>
      <c r="L2" s="81">
        <f t="shared" ref="L2:L10" ca="1" si="0">IF(I2&lt;0,0,IF(I2&gt;1,K2,I2*K2))</f>
        <v>2.6041753653444677</v>
      </c>
      <c r="M2" s="124">
        <f ca="1">SUM(L2:L4)</f>
        <v>9.6801786413477409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SNG'!$D$3:$Q$108,14,0)</f>
        <v>0.71299638989169678</v>
      </c>
      <c r="F3" s="75">
        <v>44834</v>
      </c>
      <c r="G3" s="293">
        <f ca="1">VLOOKUP(C3,'BD EVA 1 SNG'!$D$3:$Y$108,22,0)</f>
        <v>1</v>
      </c>
      <c r="H3" s="79" t="s">
        <v>317</v>
      </c>
      <c r="I3" s="83">
        <f ca="1">G3/97%</f>
        <v>1.0309278350515465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SNG'!$D$3:$Q$108,14,0)</f>
        <v>0</v>
      </c>
      <c r="F4" s="75">
        <v>44834</v>
      </c>
      <c r="G4" s="126">
        <f ca="1">VLOOKUP(C4,'BD EVA 1 SNG'!$D$3:$Y$108,22,0)</f>
        <v>3.4632034632034597E-2</v>
      </c>
      <c r="H4" s="126">
        <f>VLOOKUP(C4,'BD EVA 1 SNG'!$D$3:$R$108,15,0)</f>
        <v>3.6999999999999998E-2</v>
      </c>
      <c r="I4" s="77">
        <f t="shared" ref="I4:I5" ca="1" si="1">G4/H4</f>
        <v>0.93600093600093515</v>
      </c>
      <c r="J4" s="75" t="s">
        <v>318</v>
      </c>
      <c r="K4" s="81">
        <v>3.5</v>
      </c>
      <c r="L4" s="81">
        <f t="shared" ca="1" si="0"/>
        <v>3.2760032760032729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SNG'!$D$3:$Q$108,14,0)</f>
        <v>0</v>
      </c>
      <c r="F5" s="72" t="s">
        <v>59</v>
      </c>
      <c r="G5" s="126">
        <f ca="1">VLOOKUP(C5,'BD EVA 1 SNG'!$D$3:$Y$108,22,0)</f>
        <v>0.15444546287809299</v>
      </c>
      <c r="H5" s="125">
        <f>VLOOKUP(C5,'BD EVA 1 SNG'!$D$3:$R$108,15,0)</f>
        <v>0.15</v>
      </c>
      <c r="I5" s="77">
        <f t="shared" ca="1" si="1"/>
        <v>1.0296364191872867</v>
      </c>
      <c r="J5" s="75" t="s">
        <v>318</v>
      </c>
      <c r="K5" s="129">
        <f>3.25*0.488</f>
        <v>1.5859999999999999</v>
      </c>
      <c r="L5" s="129">
        <f t="shared" ca="1" si="0"/>
        <v>1.5859999999999999</v>
      </c>
      <c r="M5" s="130">
        <f ca="1">SUM(L5:L10)</f>
        <v>2.5681083283826451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SNG'!$D$3:$Q$108,14,0)</f>
        <v>10.923199405105755</v>
      </c>
      <c r="F6" s="72" t="s">
        <v>59</v>
      </c>
      <c r="G6" s="132">
        <f ca="1">VLOOKUP(C6,'BD EVA 1 SNG'!$D$3:$Y$108,22,0)</f>
        <v>9.1848450057405202</v>
      </c>
      <c r="H6" s="123">
        <f>VLOOKUP(C6,'BD EVA 1 SNG'!$D$3:$R$108,15,0)</f>
        <v>7.9</v>
      </c>
      <c r="I6" s="78">
        <f t="shared" ref="I6:I10" ca="1" si="2">(G6-E6)/(H6-E6)</f>
        <v>0.57500487610225148</v>
      </c>
      <c r="J6" s="71" t="s">
        <v>319</v>
      </c>
      <c r="K6" s="129">
        <f>3.5*0.488</f>
        <v>1.708</v>
      </c>
      <c r="L6" s="129">
        <f t="shared" ca="1" si="0"/>
        <v>0.9821083283826455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SNG'!$D$3:$Q$108,14,0)</f>
        <v>209.85146549424323</v>
      </c>
      <c r="F7" s="72" t="s">
        <v>59</v>
      </c>
      <c r="G7" s="131">
        <f ca="1">VLOOKUP(C7,'BD EVA 1 SNG'!$D$3:$Y$108,22,0)</f>
        <v>223.358730821417</v>
      </c>
      <c r="H7" s="122">
        <f>VLOOKUP(C7,'BD EVA 1 SNG'!$D$3:$R$108,15,0)</f>
        <v>0</v>
      </c>
      <c r="I7" s="78">
        <f t="shared" ca="1" si="2"/>
        <v>-6.4365837500164169E-2</v>
      </c>
      <c r="J7" s="71" t="s">
        <v>319</v>
      </c>
      <c r="K7" s="129">
        <f>3.25*0.488</f>
        <v>1.5859999999999999</v>
      </c>
      <c r="L7" s="129">
        <f t="shared" ca="1" si="0"/>
        <v>0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SNG'!$D$3:$Q$108,14,0)</f>
        <v>436.50785315018771</v>
      </c>
      <c r="F8" s="72" t="s">
        <v>59</v>
      </c>
      <c r="G8" s="131">
        <f ca="1">VLOOKUP(C8,'BD EVA 1 SNG'!$D$3:$Y$108,22,0)</f>
        <v>451.51863062310798</v>
      </c>
      <c r="H8" s="123">
        <f>VLOOKUP(C8,'BD EVA 1 SNG'!$D$3:$R$108,15,0)</f>
        <v>399.8</v>
      </c>
      <c r="I8" s="78">
        <f t="shared" ca="1" si="2"/>
        <v>-0.40892550734320215</v>
      </c>
      <c r="J8" s="71" t="s">
        <v>319</v>
      </c>
      <c r="K8" s="129">
        <f t="shared" ref="K8:K10" si="3">10/3*0.512</f>
        <v>1.7066666666666668</v>
      </c>
      <c r="L8" s="12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SNG'!$D$3:$Q$108,14,0)</f>
        <v>81.293810957229383</v>
      </c>
      <c r="F9" s="72" t="s">
        <v>59</v>
      </c>
      <c r="G9" s="131">
        <f ca="1">VLOOKUP(C9,'BD EVA 1 SNG'!$D$3:$Y$108,22,0)</f>
        <v>85.168562780502995</v>
      </c>
      <c r="H9" s="123">
        <f>VLOOKUP(C9,'BD EVA 1 SNG'!$D$3:$R$108,15,0)</f>
        <v>80.900000000000006</v>
      </c>
      <c r="I9" s="78">
        <f t="shared" ca="1" si="2"/>
        <v>-9.8391163377832243</v>
      </c>
      <c r="J9" s="71" t="s">
        <v>319</v>
      </c>
      <c r="K9" s="129">
        <f t="shared" si="3"/>
        <v>1.7066666666666668</v>
      </c>
      <c r="L9" s="129">
        <f t="shared" ca="1" si="0"/>
        <v>0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SNG'!$D$3:$Q$108,14,0)</f>
        <v>8.6125226078718455</v>
      </c>
      <c r="F10" s="72" t="s">
        <v>59</v>
      </c>
      <c r="G10" s="131">
        <f ca="1">VLOOKUP(C10,'BD EVA 1 SNG'!$D$3:$Y$108,22,0)</f>
        <v>11.272309779772399</v>
      </c>
      <c r="H10" s="123">
        <f>VLOOKUP(C10,'BD EVA 1 SNG'!$D$3:$R$108,15,0)</f>
        <v>6.8</v>
      </c>
      <c r="I10" s="78">
        <f t="shared" ca="1" si="2"/>
        <v>-1.4674504805341517</v>
      </c>
      <c r="J10" s="71" t="s">
        <v>319</v>
      </c>
      <c r="K10" s="129">
        <f t="shared" si="3"/>
        <v>1.7066666666666668</v>
      </c>
      <c r="L10" s="12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26">
        <f>VLOOKUP(C11,'BD EVA 1 SNG'!$D$3:$Q$108,14,0)</f>
        <v>0</v>
      </c>
      <c r="F11" s="75">
        <v>44834</v>
      </c>
      <c r="G11" s="122"/>
      <c r="H11" s="122"/>
      <c r="I11" s="87"/>
      <c r="J11" s="87" t="s">
        <v>318</v>
      </c>
      <c r="K11" s="87" t="s">
        <v>320</v>
      </c>
      <c r="L11" s="136"/>
      <c r="M11" s="130">
        <f ca="1">SUM(L11:L14)</f>
        <v>10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SNG'!$D$3:$Q$108,14,0)</f>
        <v>0</v>
      </c>
      <c r="F12" s="71" t="s">
        <v>59</v>
      </c>
      <c r="G12" s="137">
        <f ca="1">VLOOKUP(C12,'BD EVA 1 SNG'!$D$3:$Y$108,22,0)</f>
        <v>2</v>
      </c>
      <c r="H12" s="123">
        <f>VLOOKUP(C12,'BD EVA 1 SNG'!$D$3:$R$108,15,0)</f>
        <v>1</v>
      </c>
      <c r="I12" s="126">
        <f t="shared" ref="I12:I16" ca="1" si="4">G12/1</f>
        <v>2</v>
      </c>
      <c r="J12" s="72" t="s">
        <v>318</v>
      </c>
      <c r="K12" s="71">
        <f t="shared" ref="K12:K13" si="5">2.4+2.1/3</f>
        <v>3.1</v>
      </c>
      <c r="L12" s="129">
        <f t="shared" ref="L12:L30" ca="1" si="6">IF(I12&lt;0,0,IF(I12&gt;1,K12,I12*K12))</f>
        <v>3.1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SNG'!$D$3:$Q$108,14,0)</f>
        <v>792</v>
      </c>
      <c r="F13" s="71" t="s">
        <v>59</v>
      </c>
      <c r="G13" s="137">
        <f ca="1">VLOOKUP(C13,'BD EVA 1 SNG'!$D$3:$Y$108,22,0)</f>
        <v>175</v>
      </c>
      <c r="H13" s="123">
        <f>VLOOKUP(C13,'BD EVA 1 SNG'!$D$3:$R$108,15,0)</f>
        <v>350</v>
      </c>
      <c r="I13" s="126">
        <f t="shared" ca="1" si="4"/>
        <v>175</v>
      </c>
      <c r="J13" s="72" t="s">
        <v>318</v>
      </c>
      <c r="K13" s="71">
        <f t="shared" si="5"/>
        <v>3.1</v>
      </c>
      <c r="L13" s="129">
        <f t="shared" ca="1" si="6"/>
        <v>3.1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SNG'!$D$3:$Q$108,14,0)</f>
        <v>33</v>
      </c>
      <c r="F14" s="71" t="s">
        <v>59</v>
      </c>
      <c r="G14" s="137">
        <f ca="1">VLOOKUP(C14,'BD EVA 1 SNG'!$D$3:$Y$108,22,0)</f>
        <v>30</v>
      </c>
      <c r="H14" s="123">
        <f>VLOOKUP(C14,'BD EVA 1 SNG'!$D$3:$R$108,15,0)</f>
        <v>30</v>
      </c>
      <c r="I14" s="126">
        <f t="shared" ca="1" si="4"/>
        <v>30</v>
      </c>
      <c r="J14" s="72" t="s">
        <v>318</v>
      </c>
      <c r="K14" s="71">
        <f>3.1+2.1/3</f>
        <v>3.8000000000000003</v>
      </c>
      <c r="L14" s="129">
        <f t="shared" ca="1" si="6"/>
        <v>3.8000000000000003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1">
        <f>VLOOKUP(C15,'BD EVA 1 SNG'!$D$3:$Q$108,14,0)</f>
        <v>0.33333333333333331</v>
      </c>
      <c r="F15" s="75">
        <v>44834</v>
      </c>
      <c r="G15" s="131">
        <f ca="1">VLOOKUP(C15,'BD EVA 1 SNG'!$D$3:$Y$108,22,0)</f>
        <v>0.33333333333333298</v>
      </c>
      <c r="H15" s="123" t="str">
        <f>VLOOKUP(C15,'BD EVA 1 SNG'!$D$3:$R$108,15,0)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ca="1" si="4"/>
        <v>0.33333333333333298</v>
      </c>
      <c r="J15" s="75" t="s">
        <v>318</v>
      </c>
      <c r="K15" s="71">
        <v>1.5</v>
      </c>
      <c r="L15" s="129">
        <f t="shared" ca="1" si="6"/>
        <v>0.49999999999999944</v>
      </c>
      <c r="M15" s="130">
        <f ca="1">SUM(L15:L22)</f>
        <v>7.0302581939873976</v>
      </c>
    </row>
    <row r="16" spans="1:13" ht="52">
      <c r="A16" s="121" t="s">
        <v>147</v>
      </c>
      <c r="B16" s="72" t="s">
        <v>148</v>
      </c>
      <c r="C16" s="72" t="s">
        <v>158</v>
      </c>
      <c r="D16" s="75">
        <v>44469</v>
      </c>
      <c r="E16" s="123" t="str">
        <f>VLOOKUP(C16,'BD EVA 1 SNG'!$D$3:$Q$108,14,0)</f>
        <v>No</v>
      </c>
      <c r="F16" s="75">
        <v>44834</v>
      </c>
      <c r="G16" s="123">
        <f ca="1">VLOOKUP(C16,'BD EVA 1 SNG'!$D$3:$Y$108,22,0)</f>
        <v>0.5</v>
      </c>
      <c r="H16" s="123" t="str">
        <f>VLOOKUP(C16,'BD EVA 1 SNG'!$D$3:$R$108,15,0)</f>
        <v>Actualizado al 2017</v>
      </c>
      <c r="I16" s="125">
        <f t="shared" ca="1" si="4"/>
        <v>0.5</v>
      </c>
      <c r="J16" s="75" t="s">
        <v>318</v>
      </c>
      <c r="K16" s="71">
        <v>1.5</v>
      </c>
      <c r="L16" s="129">
        <f t="shared" ca="1" si="6"/>
        <v>0.75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26">
        <f>VLOOKUP(C17,'BD EVA 1 SNG'!$D$3:$Q$108,14,0)</f>
        <v>0</v>
      </c>
      <c r="F17" s="75">
        <v>44834</v>
      </c>
      <c r="G17" s="126">
        <f ca="1">VLOOKUP(C17,'BD EVA 1 SNG'!$D$3:$Y$108,22,0)</f>
        <v>0</v>
      </c>
      <c r="H17" s="125">
        <f>VLOOKUP(C17,'BD EVA 1 SNG'!$D$3:$R$108,15,0)</f>
        <v>1</v>
      </c>
      <c r="I17" s="125">
        <f t="shared" ref="I17:I25" ca="1" si="7">G17/H17</f>
        <v>0</v>
      </c>
      <c r="J17" s="75" t="s">
        <v>318</v>
      </c>
      <c r="K17" s="71">
        <v>0.3</v>
      </c>
      <c r="L17" s="129">
        <f t="shared" ca="1" si="6"/>
        <v>0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5">
        <f>VLOOKUP(C18,'BD EVA 1 SNG'!$D$3:$Q$108,14,0)</f>
        <v>1</v>
      </c>
      <c r="F18" s="75">
        <v>44834</v>
      </c>
      <c r="G18" s="125">
        <f ca="1">VLOOKUP(C18,'BD EVA 1 SNG'!$D$3:$Y$108,22,0)</f>
        <v>1</v>
      </c>
      <c r="H18" s="125">
        <f>VLOOKUP(C18,'BD EVA 1 SNG'!$D$3:$R$108,15,0)</f>
        <v>1</v>
      </c>
      <c r="I18" s="125">
        <f t="shared" ca="1" si="7"/>
        <v>1</v>
      </c>
      <c r="J18" s="75" t="s">
        <v>318</v>
      </c>
      <c r="K18" s="71">
        <v>1.5</v>
      </c>
      <c r="L18" s="129">
        <f t="shared" ca="1" si="6"/>
        <v>1.5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6">
        <f>VLOOKUP(C19,'BD EVA 1 SNG'!$D$3:$Q$108,14,0)</f>
        <v>1</v>
      </c>
      <c r="F19" s="75">
        <v>44834</v>
      </c>
      <c r="G19" s="126">
        <f ca="1">VLOOKUP(C19,'BD EVA 1 SNG'!$D$3:$Y$108,22,0)</f>
        <v>1.0007858452599201</v>
      </c>
      <c r="H19" s="125">
        <f>VLOOKUP(C19,'BD EVA 1 SNG'!$D$3:$R$108,15,0)</f>
        <v>1</v>
      </c>
      <c r="I19" s="125">
        <f t="shared" ca="1" si="7"/>
        <v>1.0007858452599201</v>
      </c>
      <c r="J19" s="75" t="s">
        <v>318</v>
      </c>
      <c r="K19" s="71">
        <v>1.5</v>
      </c>
      <c r="L19" s="129">
        <f t="shared" ca="1" si="6"/>
        <v>1.5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5">
        <f>VLOOKUP(C20,'BD EVA 1 SNG'!$D$3:$Q$108,14,0)</f>
        <v>1</v>
      </c>
      <c r="F20" s="75">
        <v>44834</v>
      </c>
      <c r="G20" s="125">
        <f ca="1">VLOOKUP(C20,'BD EVA 1 SNG'!$D$3:$Y$108,22,0)</f>
        <v>1</v>
      </c>
      <c r="H20" s="125">
        <f>VLOOKUP(C20,'BD EVA 1 SNG'!$D$3:$R$108,15,0)</f>
        <v>1</v>
      </c>
      <c r="I20" s="125">
        <f t="shared" ca="1" si="7"/>
        <v>1</v>
      </c>
      <c r="J20" s="75" t="s">
        <v>318</v>
      </c>
      <c r="K20" s="71">
        <v>0.9</v>
      </c>
      <c r="L20" s="129">
        <f t="shared" ca="1" si="6"/>
        <v>0.9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SNG'!$D$3:$Q$108,14,0)</f>
        <v>0.60050254727103991</v>
      </c>
      <c r="F21" s="75">
        <v>44834</v>
      </c>
      <c r="G21" s="126">
        <f ca="1">VLOOKUP(C21,'BD EVA 1 SNG'!$D$3:$Y$108,22,0)</f>
        <v>0.60882922884657698</v>
      </c>
      <c r="H21" s="125">
        <f>VLOOKUP(C21,'BD EVA 1 SNG'!$D$3:$R$108,15,0)</f>
        <v>1</v>
      </c>
      <c r="I21" s="125">
        <f t="shared" ca="1" si="7"/>
        <v>0.60882922884657698</v>
      </c>
      <c r="J21" s="75" t="s">
        <v>318</v>
      </c>
      <c r="K21" s="71">
        <v>1.5</v>
      </c>
      <c r="L21" s="129">
        <f t="shared" ca="1" si="6"/>
        <v>0.91324384326986552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SNG'!$D$3:$Q$108,14,0)</f>
        <v>258.02999999999997</v>
      </c>
      <c r="F22" s="71" t="s">
        <v>59</v>
      </c>
      <c r="G22" s="131">
        <f ca="1">VLOOKUP(C22,'BD EVA 1 SNG'!$D$3:$Y$108,22,0)</f>
        <v>212.51999999999899</v>
      </c>
      <c r="H22" s="123">
        <f>VLOOKUP(C22,'BD EVA 1 SNG'!$D$3:$R$108,15,0)</f>
        <v>285.7</v>
      </c>
      <c r="I22" s="125">
        <f t="shared" ca="1" si="7"/>
        <v>0.74385719285963947</v>
      </c>
      <c r="J22" s="75" t="s">
        <v>318</v>
      </c>
      <c r="K22" s="71">
        <v>1.3</v>
      </c>
      <c r="L22" s="129">
        <f t="shared" ca="1" si="6"/>
        <v>0.96701435071753139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1">
        <f>VLOOKUP(C23,'BD EVA 1 SNG'!$D$3:$Q$108,14,0)</f>
        <v>3.2</v>
      </c>
      <c r="F23" s="75">
        <v>44834</v>
      </c>
      <c r="G23" s="140">
        <f ca="1">VLOOKUP(C23,'BD EVA 1 SNG'!$D$3:$Y$108,22,0)</f>
        <v>23.9</v>
      </c>
      <c r="H23" s="123">
        <f>VLOOKUP(C23,'BD EVA 1 SNG'!$D$3:$R$108,15,0)</f>
        <v>7.9</v>
      </c>
      <c r="I23" s="125">
        <f t="shared" ca="1" si="7"/>
        <v>3.0253164556962022</v>
      </c>
      <c r="J23" s="75" t="s">
        <v>318</v>
      </c>
      <c r="K23" s="82">
        <v>2.645</v>
      </c>
      <c r="L23" s="129">
        <f t="shared" ca="1" si="6"/>
        <v>2.645</v>
      </c>
      <c r="M23" s="130">
        <f ca="1">SUM(L23:L26)</f>
        <v>7.78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SNG'!$D$3:$Q$108,14,0)</f>
        <v>0</v>
      </c>
      <c r="F24" s="71" t="s">
        <v>59</v>
      </c>
      <c r="G24" s="137">
        <f ca="1">VLOOKUP(C24,'BD EVA 1 SNG'!$D$3:$Y$108,22,0)</f>
        <v>12800</v>
      </c>
      <c r="H24" s="137">
        <f>VLOOKUP(C24,'BD EVA 1 SNG'!$D$3:$R$108,15,0)</f>
        <v>9479</v>
      </c>
      <c r="I24" s="125">
        <f t="shared" ca="1" si="7"/>
        <v>1.3503534128072581</v>
      </c>
      <c r="J24" s="75" t="s">
        <v>318</v>
      </c>
      <c r="K24" s="82">
        <v>2.3340000000000001</v>
      </c>
      <c r="L24" s="129">
        <f t="shared" ca="1" si="6"/>
        <v>2.3340000000000001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SNG'!$D$3:$Q$108,14,0)</f>
        <v>10</v>
      </c>
      <c r="F25" s="71" t="s">
        <v>59</v>
      </c>
      <c r="G25" s="137">
        <f ca="1">VLOOKUP(C25,'BD EVA 1 SNG'!$D$3:$Y$108,22,0)</f>
        <v>10</v>
      </c>
      <c r="H25" s="123">
        <f>VLOOKUP(C25,'BD EVA 1 SNG'!$D$3:$R$108,15,0)</f>
        <v>7</v>
      </c>
      <c r="I25" s="125">
        <f t="shared" ca="1" si="7"/>
        <v>1.4285714285714286</v>
      </c>
      <c r="J25" s="75" t="s">
        <v>318</v>
      </c>
      <c r="K25" s="82">
        <v>2.8010000000000002</v>
      </c>
      <c r="L25" s="129">
        <f t="shared" ca="1" si="6"/>
        <v>2.8010000000000002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SNG'!$D$3:$Q$108,14,0)</f>
        <v>10835</v>
      </c>
      <c r="F26" s="71" t="s">
        <v>59</v>
      </c>
      <c r="G26" s="137">
        <f ca="1">VLOOKUP(C26,'BD EVA 1 SNG'!$D$3:$Y$108,22,0)</f>
        <v>11186</v>
      </c>
      <c r="H26" s="123">
        <f>VLOOKUP(C26,'BD EVA 1 SNG'!$D$3:$R$108,15,0)</f>
        <v>10654</v>
      </c>
      <c r="I26" s="78">
        <f ca="1">(G26-E26)/(H26-E26)</f>
        <v>-1.9392265193370166</v>
      </c>
      <c r="J26" s="71" t="s">
        <v>319</v>
      </c>
      <c r="K26" s="82">
        <v>2.2200000000000002</v>
      </c>
      <c r="L26" s="129">
        <f t="shared" ca="1" si="6"/>
        <v>0</v>
      </c>
      <c r="M26" s="127"/>
    </row>
    <row r="27" spans="1:13" ht="208">
      <c r="A27" s="121" t="s">
        <v>243</v>
      </c>
      <c r="B27" s="72" t="s">
        <v>244</v>
      </c>
      <c r="C27" s="72" t="s">
        <v>245</v>
      </c>
      <c r="D27" s="71" t="s">
        <v>57</v>
      </c>
      <c r="E27" s="123">
        <f>VLOOKUP(C27,'BD EVA 1 SNG'!$D$3:$Q$108,14,0)</f>
        <v>0</v>
      </c>
      <c r="F27" s="71" t="s">
        <v>59</v>
      </c>
      <c r="G27" s="123">
        <f ca="1">VLOOKUP(C27,'BD EVA 1 SNG'!$D$3:$Y$108,22,0)</f>
        <v>66</v>
      </c>
      <c r="H27" s="123">
        <f>VLOOKUP(C27,'BD EVA 1 SNG'!$D$3:$R$108,15,0)</f>
        <v>115</v>
      </c>
      <c r="I27" s="71">
        <f t="shared" ref="I27:I30" ca="1" si="8">G27/H27</f>
        <v>0.57391304347826089</v>
      </c>
      <c r="J27" s="75" t="s">
        <v>318</v>
      </c>
      <c r="K27" s="71">
        <v>2.5</v>
      </c>
      <c r="L27" s="129">
        <f t="shared" ca="1" si="6"/>
        <v>1.4347826086956523</v>
      </c>
      <c r="M27" s="130">
        <f ca="1">SUM(L27:L30)</f>
        <v>7.1821754658385082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37">
        <f>VLOOKUP(C28,'BD EVA 1 SNG'!$D$3:$Q$108,14,0)</f>
        <v>2</v>
      </c>
      <c r="F28" s="75">
        <v>44834</v>
      </c>
      <c r="G28" s="123">
        <f ca="1">VLOOKUP(C28,'BD EVA 1 SNG'!$D$3:$Y$108,22,0)</f>
        <v>10</v>
      </c>
      <c r="H28" s="123">
        <f>VLOOKUP(C28,'BD EVA 1 SNG'!$D$3:$R$108,15,0)</f>
        <v>10</v>
      </c>
      <c r="I28" s="71">
        <f t="shared" ca="1" si="8"/>
        <v>1</v>
      </c>
      <c r="J28" s="75" t="s">
        <v>318</v>
      </c>
      <c r="K28" s="71">
        <v>2.5</v>
      </c>
      <c r="L28" s="129">
        <f t="shared" ca="1" si="6"/>
        <v>2.5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31">
        <f>VLOOKUP(C29,'BD EVA 1 SNG'!$D$3:$Q$108,14,0)</f>
        <v>95.55</v>
      </c>
      <c r="F29" s="75">
        <v>44713</v>
      </c>
      <c r="G29" s="131">
        <f ca="1">VLOOKUP(C29,'BD EVA 1 SNG'!$D$3:$Y$108,22,0)</f>
        <v>90.61</v>
      </c>
      <c r="H29" s="123">
        <f>VLOOKUP(C29,'BD EVA 1 SNG'!$D$3:$R$108,15,0)</f>
        <v>100</v>
      </c>
      <c r="I29" s="71">
        <f t="shared" ca="1" si="8"/>
        <v>0.90610000000000002</v>
      </c>
      <c r="J29" s="75" t="s">
        <v>318</v>
      </c>
      <c r="K29" s="71">
        <v>2.5</v>
      </c>
      <c r="L29" s="129">
        <f t="shared" ca="1" si="6"/>
        <v>2.26525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SNG'!$D$3:$Q$108,14,0)</f>
        <v>0</v>
      </c>
      <c r="F30" s="75">
        <v>44834</v>
      </c>
      <c r="G30" s="137">
        <f ca="1">VLOOKUP(C30,'BD EVA 1 SNG'!$D$3:$Y$108,22,0)</f>
        <v>1.5714285714285701</v>
      </c>
      <c r="H30" s="123">
        <f>VLOOKUP(C30,'BD EVA 1 SNG'!$D$3:$R$108,15,0)</f>
        <v>4</v>
      </c>
      <c r="I30" s="71">
        <f t="shared" ca="1" si="8"/>
        <v>0.39285714285714252</v>
      </c>
      <c r="J30" s="75" t="s">
        <v>318</v>
      </c>
      <c r="K30" s="71">
        <v>2.5</v>
      </c>
      <c r="L30" s="129">
        <f t="shared" ca="1" si="6"/>
        <v>0.98214285714285632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E4798-818A-4B4E-88B2-8A7FC952C821}">
  <dimension ref="A1:M31"/>
  <sheetViews>
    <sheetView workbookViewId="0"/>
  </sheetViews>
  <sheetFormatPr baseColWidth="10" defaultRowHeight="16"/>
  <cols>
    <col min="1" max="1" width="10.83203125" style="118"/>
    <col min="3" max="3" width="19" customWidth="1"/>
    <col min="4" max="4" width="12" customWidth="1"/>
    <col min="5" max="5" width="11.66406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APO'!$D$3:$Y$113,4,0)</f>
        <v>44469</v>
      </c>
      <c r="E2" s="187">
        <f ca="1">'BD EVA 3 APO'!Y3</f>
        <v>818</v>
      </c>
      <c r="F2" s="75">
        <f>VLOOKUP(C2,'BD EVA 3 APO'!$D$3:$AC$113,9,0)</f>
        <v>45199</v>
      </c>
      <c r="G2" s="188">
        <f ca="1">VLOOKUP(C2,'BD EVA 3 APO'!$D$3:$AC$113,24,0)</f>
        <v>845</v>
      </c>
      <c r="H2" s="188">
        <f>VLOOKUP(C2,'BD EVA 3 APO'!$D$3:$AC$113,17,0)</f>
        <v>840</v>
      </c>
      <c r="I2" s="78">
        <f ca="1">IF(G2&gt;=E2,G2/H2,0)</f>
        <v>1.0059523809523809</v>
      </c>
      <c r="J2" s="72" t="s">
        <v>316</v>
      </c>
      <c r="K2" s="81">
        <v>2.7</v>
      </c>
      <c r="L2" s="81">
        <f t="shared" ref="L2:L31" ca="1" si="0">IF(I2&lt;0,0,IF(I2&gt;1,K2,I2*K2))</f>
        <v>2.7</v>
      </c>
      <c r="M2" s="124">
        <f ca="1">SUM(L2:L4)</f>
        <v>10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APO'!$D$3:$Y$113,4,0)</f>
        <v>44469</v>
      </c>
      <c r="E3" s="126">
        <f>VLOOKUP(C3,'BD EVA 3 APO'!$D$3:$Q$110,14,0)</f>
        <v>1</v>
      </c>
      <c r="F3" s="75">
        <f>VLOOKUP(C3,'BD EVA 3 APO'!$D$3:$AC$113,9,0)</f>
        <v>45199</v>
      </c>
      <c r="G3" s="126">
        <f ca="1">VLOOKUP(C3,'BD EVA 3 APO'!$D$3:$AC$113,24,0)</f>
        <v>0.98934911242603496</v>
      </c>
      <c r="H3" s="126" t="str">
        <f>VLOOKUP(C3,'BD EVA 3 APO'!$D$3:$AC$113,17,0)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89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APO'!$D$3:$Y$113,4,0)</f>
        <v>44469</v>
      </c>
      <c r="E4" s="126">
        <f>VLOOKUP(C4,'BD EVA 3 APO'!$D$3:$Q$110,14,0)</f>
        <v>0</v>
      </c>
      <c r="F4" s="75">
        <f>VLOOKUP(C4,'BD EVA 3 APO'!$D$3:$AC$113,9,0)</f>
        <v>45199</v>
      </c>
      <c r="G4" s="126">
        <f ca="1">VLOOKUP(C4,'BD EVA 3 APO'!$D$3:$AC$113,24,0)</f>
        <v>1.30177514792899E-2</v>
      </c>
      <c r="H4" s="126">
        <f>VLOOKUP(C4,'BD EVA 3 APO'!$D$3:$AC$113,17,0)</f>
        <v>6.7000000000000002E-3</v>
      </c>
      <c r="I4" s="77">
        <f t="shared" ref="I4:I5" ca="1" si="1">G4/H4</f>
        <v>1.9429479819835671</v>
      </c>
      <c r="J4" s="75" t="s">
        <v>318</v>
      </c>
      <c r="K4" s="81">
        <v>3.5</v>
      </c>
      <c r="L4" s="81">
        <f t="shared" ca="1" si="0"/>
        <v>3.5</v>
      </c>
      <c r="M4" s="189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3 APO'!$D$3:$Y$113,4,0)</f>
        <v>octubre 20 - mar 21</v>
      </c>
      <c r="E5" s="126">
        <f>VLOOKUP(C5,'BD EVA 3 APO'!$D$3:$Q$110,14,0)</f>
        <v>0</v>
      </c>
      <c r="F5" s="75" t="str">
        <f>VLOOKUP(C5,'BD EVA 3 APO'!$D$3:$AC$113,9,0)</f>
        <v>octubre 22 - septiembre 23</v>
      </c>
      <c r="G5" s="126">
        <f ca="1">VLOOKUP(C5,'BD EVA 3 APO'!$D$3:$AC$113,24,0)</f>
        <v>0.260752688172043</v>
      </c>
      <c r="H5" s="126">
        <f>VLOOKUP(C5,'BD EVA 3 APO'!$D$3:$AC$113,17,0)</f>
        <v>0.2</v>
      </c>
      <c r="I5" s="77">
        <f t="shared" ca="1" si="1"/>
        <v>1.303763440860215</v>
      </c>
      <c r="J5" s="75" t="s">
        <v>318</v>
      </c>
      <c r="K5" s="129">
        <v>1.6</v>
      </c>
      <c r="L5" s="129">
        <f t="shared" ca="1" si="0"/>
        <v>1.6</v>
      </c>
      <c r="M5" s="130">
        <f ca="1">SUM(L5:L10)</f>
        <v>10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3 APO'!$D$3:$Y$113,4,0)</f>
        <v>octubre 20 - mar 21</v>
      </c>
      <c r="E6" s="129">
        <f>VLOOKUP(C6,'BD EVA 3 APO'!$D$3:$Q$110,14,0)</f>
        <v>13.819333247212851</v>
      </c>
      <c r="F6" s="75" t="str">
        <f>VLOOKUP(C6,'BD EVA 3 APO'!$D$3:$AC$113,9,0)</f>
        <v>octubre 22 - septiembre 23</v>
      </c>
      <c r="G6" s="129">
        <f ca="1">VLOOKUP(C6,'BD EVA 3 APO'!$D$3:$AC$113,24,0)</f>
        <v>11.2546804320065</v>
      </c>
      <c r="H6" s="129">
        <f>VLOOKUP(C6,'BD EVA 3 APO'!$D$3:$AC$113,17,0)</f>
        <v>12.6</v>
      </c>
      <c r="I6" s="78">
        <f t="shared" ref="I6:I10" ca="1" si="2">(G6-E6)/(H6-E6)</f>
        <v>2.1033239445152723</v>
      </c>
      <c r="J6" s="71" t="s">
        <v>319</v>
      </c>
      <c r="K6" s="129">
        <v>1.7</v>
      </c>
      <c r="L6" s="129">
        <f t="shared" ca="1" si="0"/>
        <v>1.7</v>
      </c>
      <c r="M6" s="189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3 APO'!$D$3:$Y$113,4,0)</f>
        <v>octubre 20 - mar 21</v>
      </c>
      <c r="E7" s="131">
        <f>VLOOKUP(C7,'BD EVA 3 APO'!$D$3:$Q$110,14,0)</f>
        <v>274.28372292837679</v>
      </c>
      <c r="F7" s="75" t="str">
        <f>VLOOKUP(C7,'BD EVA 3 APO'!$D$3:$AC$113,9,0)</f>
        <v>octubre 22 - septiembre 23</v>
      </c>
      <c r="G7" s="131">
        <f ca="1">VLOOKUP(C7,'BD EVA 3 APO'!$D$3:$AC$113,24,0)</f>
        <v>181.37350388502901</v>
      </c>
      <c r="H7" s="131">
        <f>VLOOKUP(C7,'BD EVA 3 APO'!$D$3:$AC$113,17,0)</f>
        <v>252.5</v>
      </c>
      <c r="I7" s="78">
        <f t="shared" ca="1" si="2"/>
        <v>4.2651212260103311</v>
      </c>
      <c r="J7" s="71" t="s">
        <v>319</v>
      </c>
      <c r="K7" s="129">
        <v>1.6</v>
      </c>
      <c r="L7" s="129">
        <f t="shared" ca="1" si="0"/>
        <v>1.6</v>
      </c>
      <c r="M7" s="189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3 APO'!$D$3:$Y$113,4,0)</f>
        <v>octubre 20 - mar 21</v>
      </c>
      <c r="E8" s="131">
        <f>VLOOKUP(C8,'BD EVA 3 APO'!$D$3:$Q$110,14,0)</f>
        <v>836.82071217633472</v>
      </c>
      <c r="F8" s="75" t="str">
        <f>VLOOKUP(C8,'BD EVA 3 APO'!$D$3:$AC$113,9,0)</f>
        <v>octubre 22 - septiembre 23</v>
      </c>
      <c r="G8" s="131">
        <f ca="1">VLOOKUP(C8,'BD EVA 3 APO'!$D$3:$AC$113,24,0)</f>
        <v>660.85174844346295</v>
      </c>
      <c r="H8" s="131">
        <f>VLOOKUP(C8,'BD EVA 3 APO'!$D$3:$AC$113,17,0)</f>
        <v>779.31</v>
      </c>
      <c r="I8" s="78">
        <f t="shared" ca="1" si="2"/>
        <v>3.0597597747238758</v>
      </c>
      <c r="J8" s="71" t="s">
        <v>319</v>
      </c>
      <c r="K8" s="129">
        <v>1.7</v>
      </c>
      <c r="L8" s="129">
        <f t="shared" ca="1" si="0"/>
        <v>1.7</v>
      </c>
      <c r="M8" s="189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3 APO'!$D$3:$Y$113,4,0)</f>
        <v>octubre 20 - mar 21</v>
      </c>
      <c r="E9" s="131">
        <f>VLOOKUP(C9,'BD EVA 3 APO'!$D$3:$Q$110,14,0)</f>
        <v>121.67021663306967</v>
      </c>
      <c r="F9" s="75" t="str">
        <f>VLOOKUP(C9,'BD EVA 3 APO'!$D$3:$AC$113,9,0)</f>
        <v>octubre 22 - septiembre 23</v>
      </c>
      <c r="G9" s="131">
        <f ca="1">VLOOKUP(C9,'BD EVA 3 APO'!$D$3:$AC$113,24,0)</f>
        <v>97.107691419749003</v>
      </c>
      <c r="H9" s="131">
        <f>VLOOKUP(C9,'BD EVA 3 APO'!$D$3:$AC$113,17,0)</f>
        <v>112.97</v>
      </c>
      <c r="I9" s="78">
        <f t="shared" ca="1" si="2"/>
        <v>2.8232084612649864</v>
      </c>
      <c r="J9" s="71" t="s">
        <v>319</v>
      </c>
      <c r="K9" s="129">
        <v>1.7</v>
      </c>
      <c r="L9" s="129">
        <f t="shared" ca="1" si="0"/>
        <v>1.7</v>
      </c>
      <c r="M9" s="189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3 APO'!$D$3:$Y$113,4,0)</f>
        <v>octubre 20 - mar 21</v>
      </c>
      <c r="E10" s="131">
        <f>VLOOKUP(C10,'BD EVA 3 APO'!$D$3:$Q$110,14,0)</f>
        <v>13.368702815238519</v>
      </c>
      <c r="F10" s="75" t="str">
        <f>VLOOKUP(C10,'BD EVA 3 APO'!$D$3:$AC$113,9,0)</f>
        <v>octubre 22 - septiembre 23</v>
      </c>
      <c r="G10" s="131">
        <f ca="1">VLOOKUP(C10,'BD EVA 3 APO'!$D$3:$AC$113,24,0)</f>
        <v>10.821808107698599</v>
      </c>
      <c r="H10" s="131">
        <f>VLOOKUP(C10,'BD EVA 3 APO'!$D$3:$AC$113,17,0)</f>
        <v>12.26</v>
      </c>
      <c r="I10" s="78">
        <f t="shared" ca="1" si="2"/>
        <v>2.297184306321074</v>
      </c>
      <c r="J10" s="71" t="s">
        <v>319</v>
      </c>
      <c r="K10" s="129">
        <v>1.7</v>
      </c>
      <c r="L10" s="129">
        <f t="shared" ca="1" si="0"/>
        <v>1.7</v>
      </c>
      <c r="M10" s="189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APO'!$D$3:$Y$113,4,0)</f>
        <v>44469</v>
      </c>
      <c r="E11" s="170">
        <f>VLOOKUP(C11,'BD EVA 3 APO'!$D$3:$Q$110,14,0)</f>
        <v>0</v>
      </c>
      <c r="F11" s="75">
        <f>VLOOKUP(C11,'BD EVA 3 APO'!$D$3:$AC$113,9,0)</f>
        <v>45199</v>
      </c>
      <c r="G11" s="170">
        <f ca="1">VLOOKUP(C11,'BD EVA 3 APO'!$D$3:$AC$113,24,0)</f>
        <v>0</v>
      </c>
      <c r="H11" s="170">
        <f>VLOOKUP(C11,'BD EVA 3 APO'!$D$3:$AC$113,17,0)</f>
        <v>5.5999999999999999E-3</v>
      </c>
      <c r="I11" s="77">
        <f t="shared" ref="I11:I15" ca="1" si="3">G11/H11</f>
        <v>0</v>
      </c>
      <c r="J11" s="89" t="s">
        <v>318</v>
      </c>
      <c r="K11" s="71">
        <v>1.1000000000000001</v>
      </c>
      <c r="L11" s="132">
        <f t="shared" ca="1" si="0"/>
        <v>0</v>
      </c>
      <c r="M11" s="130">
        <f ca="1">SUM(L11:L15)</f>
        <v>7.0625323871644934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3 APO'!$D$3:$Y$113,4,0)</f>
        <v>octubre 20 - mar 21</v>
      </c>
      <c r="E12" s="128">
        <f>VLOOKUP(C12,'BD EVA 3 APO'!$D$3:$Q$110,14,0)</f>
        <v>0</v>
      </c>
      <c r="F12" s="75" t="str">
        <f>VLOOKUP(C12,'BD EVA 3 APO'!$D$3:$AC$113,9,0)</f>
        <v>octubre 22 - septiembre 23</v>
      </c>
      <c r="G12" s="128">
        <f ca="1">VLOOKUP(C12,'BD EVA 3 APO'!$D$3:$AC$113,24,0)</f>
        <v>4.86232979649672E-4</v>
      </c>
      <c r="H12" s="128">
        <f>VLOOKUP(C12,'BD EVA 3 APO'!$D$3:$AC$113,17,0)</f>
        <v>6.0344238605040783E-4</v>
      </c>
      <c r="I12" s="78">
        <f t="shared" ca="1" si="3"/>
        <v>0.80576537361274303</v>
      </c>
      <c r="J12" s="75" t="s">
        <v>318</v>
      </c>
      <c r="K12" s="71">
        <v>1.1000000000000001</v>
      </c>
      <c r="L12" s="132">
        <f t="shared" ca="1" si="0"/>
        <v>0.88634191097401738</v>
      </c>
      <c r="M12" s="189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3 APO'!$D$3:$Y$113,4,0)</f>
        <v>octubre 20 - mar 21</v>
      </c>
      <c r="E13" s="137">
        <f>VLOOKUP(C13,'BD EVA 3 APO'!$D$3:$Q$110,14,0)</f>
        <v>0</v>
      </c>
      <c r="F13" s="75" t="str">
        <f>VLOOKUP(C13,'BD EVA 3 APO'!$D$3:$AC$113,9,0)</f>
        <v>octubre 21 - septiembre 23</v>
      </c>
      <c r="G13" s="137">
        <f ca="1">VLOOKUP(C13,'BD EVA 3 APO'!$D$3:$AC$113,24,0)</f>
        <v>2</v>
      </c>
      <c r="H13" s="137">
        <f>VLOOKUP(C13,'BD EVA 3 APO'!$D$3:$AC$113,17,0)</f>
        <v>1</v>
      </c>
      <c r="I13" s="78">
        <f t="shared" ca="1" si="3"/>
        <v>2</v>
      </c>
      <c r="J13" s="75" t="s">
        <v>318</v>
      </c>
      <c r="K13" s="82">
        <v>2.35</v>
      </c>
      <c r="L13" s="132">
        <f t="shared" ca="1" si="0"/>
        <v>2.35</v>
      </c>
      <c r="M13" s="189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3 APO'!$D$3:$Y$113,4,0)</f>
        <v>octubre 20 - mar 21</v>
      </c>
      <c r="E14" s="137">
        <f>VLOOKUP(C14,'BD EVA 3 APO'!$D$3:$Q$110,14,0)</f>
        <v>1074</v>
      </c>
      <c r="F14" s="75" t="str">
        <f>VLOOKUP(C14,'BD EVA 3 APO'!$D$3:$AC$113,9,0)</f>
        <v>octubre 21 - septiembre 23</v>
      </c>
      <c r="G14" s="137">
        <f ca="1">VLOOKUP(C14,'BD EVA 3 APO'!$D$3:$AC$113,24,0)</f>
        <v>15046</v>
      </c>
      <c r="H14" s="137">
        <f>VLOOKUP(C14,'BD EVA 3 APO'!$D$3:$AC$113,17,0)</f>
        <v>3430</v>
      </c>
      <c r="I14" s="78">
        <f t="shared" ca="1" si="3"/>
        <v>4.3865889212827991</v>
      </c>
      <c r="J14" s="75" t="s">
        <v>318</v>
      </c>
      <c r="K14" s="82">
        <v>2.35</v>
      </c>
      <c r="L14" s="132">
        <f t="shared" ca="1" si="0"/>
        <v>2.35</v>
      </c>
      <c r="M14" s="189"/>
    </row>
    <row r="15" spans="1:13" ht="78">
      <c r="A15" s="121" t="s">
        <v>119</v>
      </c>
      <c r="B15" s="72" t="s">
        <v>136</v>
      </c>
      <c r="C15" s="72" t="s">
        <v>145</v>
      </c>
      <c r="D15" s="71" t="str">
        <f>VLOOKUP(C15,'BD EVA 3 APO'!$D$3:$Y$113,4,0)</f>
        <v>octubre 20 - mar 21</v>
      </c>
      <c r="E15" s="137">
        <f>VLOOKUP(C15,'BD EVA 3 APO'!$D$3:$Q$110,14,0)</f>
        <v>1</v>
      </c>
      <c r="F15" s="75" t="str">
        <f>VLOOKUP(C15,'BD EVA 3 APO'!$D$3:$AC$113,9,0)</f>
        <v>octubre 21 - septiembre 23</v>
      </c>
      <c r="G15" s="137">
        <f ca="1">VLOOKUP(C15,'BD EVA 3 APO'!$D$3:$AC$113,24,0)</f>
        <v>10</v>
      </c>
      <c r="H15" s="137">
        <f>VLOOKUP(C15,'BD EVA 3 APO'!$D$3:$AC$113,17,0)</f>
        <v>21</v>
      </c>
      <c r="I15" s="78">
        <f t="shared" ca="1" si="3"/>
        <v>0.47619047619047616</v>
      </c>
      <c r="J15" s="75" t="s">
        <v>318</v>
      </c>
      <c r="K15" s="71">
        <v>3.1</v>
      </c>
      <c r="L15" s="132">
        <f t="shared" ca="1" si="0"/>
        <v>1.4761904761904761</v>
      </c>
      <c r="M15" s="189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APO'!$D$3:$Y$113,4,0)</f>
        <v>44469</v>
      </c>
      <c r="E16" s="139">
        <f>VLOOKUP(C16,'BD EVA 3 APO'!$D$3:$Q$110,14,0)</f>
        <v>0.66666666666666663</v>
      </c>
      <c r="F16" s="75">
        <f>VLOOKUP(C16,'BD EVA 3 APO'!$D$3:$AC$113,9,0)</f>
        <v>45199</v>
      </c>
      <c r="G16" s="137">
        <f ca="1">VLOOKUP(C16,'BD EVA 3 APO'!$D$3:$AC$113,24,0)</f>
        <v>1</v>
      </c>
      <c r="H16" s="139" t="str">
        <f>VLOOKUP(C16,'BD EVA 3 APO'!$D$3:$AC$113,17,0)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171">
        <v>1.5</v>
      </c>
      <c r="L16" s="132">
        <f t="shared" ca="1" si="0"/>
        <v>1.5</v>
      </c>
      <c r="M16" s="130">
        <f ca="1">SUM(L16:L23)</f>
        <v>8.7282311024155845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APO'!$D$3:$Y$113,4,0)</f>
        <v>44469</v>
      </c>
      <c r="E17" s="137">
        <f>VLOOKUP(C17,'BD EVA 3 APO'!$D$3:$Q$110,14,0)</f>
        <v>1</v>
      </c>
      <c r="F17" s="75">
        <f>VLOOKUP(C17,'BD EVA 3 APO'!$D$3:$AC$113,9,0)</f>
        <v>45199</v>
      </c>
      <c r="G17" s="137">
        <f ca="1">VLOOKUP(C17,'BD EVA 3 APO'!$D$3:$AC$113,24,0)</f>
        <v>1</v>
      </c>
      <c r="H17" s="137" t="str">
        <f>VLOOKUP(C17,'BD EVA 3 APO'!$D$3:$AC$113,17,0)</f>
        <v>Actualizado al 2018</v>
      </c>
      <c r="I17" s="125">
        <f t="shared" ca="1" si="4"/>
        <v>1</v>
      </c>
      <c r="J17" s="75" t="s">
        <v>318</v>
      </c>
      <c r="K17" s="71">
        <v>1.5</v>
      </c>
      <c r="L17" s="132">
        <f t="shared" ca="1" si="0"/>
        <v>1.5</v>
      </c>
      <c r="M17" s="189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APO'!$D$3:$Y$113,4,0)</f>
        <v>44469</v>
      </c>
      <c r="E18" s="126">
        <f>VLOOKUP(C18,'BD EVA 3 APO'!$D$3:$Q$110,14,0)</f>
        <v>0</v>
      </c>
      <c r="F18" s="75">
        <f>VLOOKUP(C18,'BD EVA 3 APO'!$D$3:$AC$113,9,0)</f>
        <v>45199</v>
      </c>
      <c r="G18" s="126">
        <f ca="1">VLOOKUP(C18,'BD EVA 3 APO'!$D$3:$AC$113,24,0)</f>
        <v>0</v>
      </c>
      <c r="H18" s="126">
        <f>VLOOKUP(C18,'BD EVA 3 APO'!$D$3:$AC$113,17,0)</f>
        <v>1</v>
      </c>
      <c r="I18" s="125">
        <f t="shared" ref="I18:I26" ca="1" si="5">G18/H18</f>
        <v>0</v>
      </c>
      <c r="J18" s="75" t="s">
        <v>318</v>
      </c>
      <c r="K18" s="71">
        <v>0.3</v>
      </c>
      <c r="L18" s="132">
        <f t="shared" ca="1" si="0"/>
        <v>0</v>
      </c>
      <c r="M18" s="189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APO'!$D$3:$Y$113,4,0)</f>
        <v>44469</v>
      </c>
      <c r="E19" s="126">
        <f>VLOOKUP(C19,'BD EVA 3 APO'!$D$3:$Q$110,14,0)</f>
        <v>0.99790476190476185</v>
      </c>
      <c r="F19" s="75">
        <f>VLOOKUP(C19,'BD EVA 3 APO'!$D$3:$AC$113,9,0)</f>
        <v>45199</v>
      </c>
      <c r="G19" s="126">
        <f ca="1">VLOOKUP(C19,'BD EVA 3 APO'!$D$3:$AC$113,24,0)</f>
        <v>0.98089633318243497</v>
      </c>
      <c r="H19" s="126">
        <f>VLOOKUP(C19,'BD EVA 3 APO'!$D$3:$AC$113,17,0)</f>
        <v>1</v>
      </c>
      <c r="I19" s="125">
        <f t="shared" ca="1" si="5"/>
        <v>0.98089633318243497</v>
      </c>
      <c r="J19" s="75" t="s">
        <v>318</v>
      </c>
      <c r="K19" s="71">
        <v>1.5</v>
      </c>
      <c r="L19" s="132">
        <f t="shared" ca="1" si="0"/>
        <v>1.4713444997736524</v>
      </c>
      <c r="M19" s="189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APO'!$D$3:$Y$113,4,0)</f>
        <v>44469</v>
      </c>
      <c r="E20" s="125">
        <f>VLOOKUP(C20,'BD EVA 3 APO'!$D$3:$Q$110,14,0)</f>
        <v>1</v>
      </c>
      <c r="F20" s="75">
        <f>VLOOKUP(C20,'BD EVA 3 APO'!$D$3:$AC$113,9,0)</f>
        <v>45199</v>
      </c>
      <c r="G20" s="125">
        <f ca="1">VLOOKUP(C20,'BD EVA 3 APO'!$D$3:$AC$113,24,0)</f>
        <v>1</v>
      </c>
      <c r="H20" s="125">
        <f>VLOOKUP(C20,'BD EVA 3 APO'!$D$3:$AC$113,17,0)</f>
        <v>1</v>
      </c>
      <c r="I20" s="125">
        <f t="shared" ca="1" si="5"/>
        <v>1</v>
      </c>
      <c r="J20" s="75" t="s">
        <v>318</v>
      </c>
      <c r="K20" s="71">
        <v>1.5</v>
      </c>
      <c r="L20" s="132">
        <f t="shared" ca="1" si="0"/>
        <v>1.5</v>
      </c>
      <c r="M20" s="189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APO'!$D$3:$Y$113,4,0)</f>
        <v>44469</v>
      </c>
      <c r="E21" s="126">
        <f>VLOOKUP(C21,'BD EVA 3 APO'!$D$3:$Q$110,14,0)</f>
        <v>0.52489848972141995</v>
      </c>
      <c r="F21" s="75">
        <f>VLOOKUP(C21,'BD EVA 3 APO'!$D$3:$AC$113,9,0)</f>
        <v>45199</v>
      </c>
      <c r="G21" s="126">
        <f ca="1">VLOOKUP(C21,'BD EVA 3 APO'!$D$3:$AC$113,24,0)</f>
        <v>0.74668063069855695</v>
      </c>
      <c r="H21" s="126">
        <f>VLOOKUP(C21,'BD EVA 3 APO'!$D$3:$AC$113,17,0)</f>
        <v>1</v>
      </c>
      <c r="I21" s="125">
        <f t="shared" ca="1" si="5"/>
        <v>0.74668063069855695</v>
      </c>
      <c r="J21" s="75" t="s">
        <v>318</v>
      </c>
      <c r="K21" s="71">
        <v>0.9</v>
      </c>
      <c r="L21" s="132">
        <f t="shared" ca="1" si="0"/>
        <v>0.67201256762870132</v>
      </c>
      <c r="M21" s="189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APO'!$D$3:$Y$113,4,0)</f>
        <v>44469</v>
      </c>
      <c r="E22" s="126">
        <f>VLOOKUP(C22,'BD EVA 3 APO'!$D$3:$Q$110,14,0)</f>
        <v>0.69675834672650638</v>
      </c>
      <c r="F22" s="75">
        <f>VLOOKUP(C22,'BD EVA 3 APO'!$D$3:$AC$113,9,0)</f>
        <v>45199</v>
      </c>
      <c r="G22" s="126">
        <f ca="1">VLOOKUP(C22,'BD EVA 3 APO'!$D$3:$AC$113,24,0)</f>
        <v>0.73763532158777301</v>
      </c>
      <c r="H22" s="126">
        <f>VLOOKUP(C22,'BD EVA 3 APO'!$D$3:$AC$113,17,0)</f>
        <v>1</v>
      </c>
      <c r="I22" s="125">
        <f t="shared" ca="1" si="5"/>
        <v>0.73763532158777301</v>
      </c>
      <c r="J22" s="75" t="s">
        <v>318</v>
      </c>
      <c r="K22" s="71">
        <v>1.5</v>
      </c>
      <c r="L22" s="132">
        <f t="shared" ca="1" si="0"/>
        <v>1.1064529823816596</v>
      </c>
      <c r="M22" s="189"/>
    </row>
    <row r="23" spans="1:13" ht="195">
      <c r="A23" s="121" t="s">
        <v>147</v>
      </c>
      <c r="B23" s="72" t="s">
        <v>168</v>
      </c>
      <c r="C23" s="72" t="s">
        <v>197</v>
      </c>
      <c r="D23" s="71" t="str">
        <f>VLOOKUP(C23,'BD EVA 3 APO'!$D$3:$Y$113,4,0)</f>
        <v>octubre 20 - mar 21</v>
      </c>
      <c r="E23" s="131">
        <f>VLOOKUP(C23,'BD EVA 3 APO'!$D$3:$Q$110,14,0)</f>
        <v>3.15</v>
      </c>
      <c r="F23" s="75" t="str">
        <f>VLOOKUP(C23,'BD EVA 3 APO'!$D$3:$AC$113,9,0)</f>
        <v>octubre 22 - septiembre 23</v>
      </c>
      <c r="G23" s="131">
        <f ca="1">VLOOKUP(C23,'BD EVA 3 APO'!$D$3:$AC$113,24,0)</f>
        <v>14.299999999999899</v>
      </c>
      <c r="H23" s="131">
        <f>VLOOKUP(C23,'BD EVA 3 APO'!$D$3:$AC$113,17,0)</f>
        <v>19</v>
      </c>
      <c r="I23" s="125">
        <f t="shared" ca="1" si="5"/>
        <v>0.7526315789473631</v>
      </c>
      <c r="J23" s="75" t="s">
        <v>318</v>
      </c>
      <c r="K23" s="71">
        <v>1.3</v>
      </c>
      <c r="L23" s="132">
        <f t="shared" ca="1" si="0"/>
        <v>0.97842105263157209</v>
      </c>
      <c r="M23" s="189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APO'!$D$3:$Y$113,4,0)</f>
        <v>44469</v>
      </c>
      <c r="E24" s="140">
        <f>VLOOKUP(C24,'BD EVA 3 APO'!$D$3:$Q$110,14,0)</f>
        <v>6.0339999999999998</v>
      </c>
      <c r="F24" s="75">
        <f>VLOOKUP(C24,'BD EVA 3 APO'!$D$3:$AC$113,9,0)</f>
        <v>45199</v>
      </c>
      <c r="G24" s="140">
        <f ca="1">VLOOKUP(C24,'BD EVA 3 APO'!$D$3:$AC$113,24,0)</f>
        <v>0</v>
      </c>
      <c r="H24" s="140">
        <f>VLOOKUP(C24,'BD EVA 3 APO'!$D$3:$AC$113,17,0)</f>
        <v>7.2340000000000009</v>
      </c>
      <c r="I24" s="125">
        <f t="shared" ca="1" si="5"/>
        <v>0</v>
      </c>
      <c r="J24" s="75" t="s">
        <v>318</v>
      </c>
      <c r="K24" s="82">
        <v>2.65</v>
      </c>
      <c r="L24" s="82">
        <f t="shared" ca="1" si="0"/>
        <v>0</v>
      </c>
      <c r="M24" s="130">
        <f ca="1">SUM(L24:L27)</f>
        <v>7.35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APO'!$D$3:$Y$113,4,0)</f>
        <v>octubre 20 - mar 21</v>
      </c>
      <c r="E25" s="137">
        <f>VLOOKUP(C25,'BD EVA 3 APO'!$D$3:$Q$110,14,0)</f>
        <v>0</v>
      </c>
      <c r="F25" s="75" t="str">
        <f>VLOOKUP(C25,'BD EVA 3 APO'!$D$3:$AC$113,9,0)</f>
        <v>octubre 22 - septiembre 23</v>
      </c>
      <c r="G25" s="137">
        <f ca="1">VLOOKUP(C25,'BD EVA 3 APO'!$D$3:$AC$113,24,0)</f>
        <v>3982</v>
      </c>
      <c r="H25" s="137">
        <f>VLOOKUP(C25,'BD EVA 3 APO'!$D$3:$AC$113,17,0)</f>
        <v>1350</v>
      </c>
      <c r="I25" s="125">
        <f t="shared" ca="1" si="5"/>
        <v>2.9496296296296296</v>
      </c>
      <c r="J25" s="75" t="s">
        <v>318</v>
      </c>
      <c r="K25" s="82">
        <v>2.33</v>
      </c>
      <c r="L25" s="129">
        <f t="shared" ca="1" si="0"/>
        <v>2.33</v>
      </c>
      <c r="M25" s="189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APO'!$D$3:$Y$113,4,0)</f>
        <v>octubre 20 - mar 21</v>
      </c>
      <c r="E26" s="137">
        <f>VLOOKUP(C26,'BD EVA 3 APO'!$D$3:$Q$110,14,0)</f>
        <v>10</v>
      </c>
      <c r="F26" s="75" t="str">
        <f>VLOOKUP(C26,'BD EVA 3 APO'!$D$3:$AC$113,9,0)</f>
        <v>octubre 22 - septiembre 23</v>
      </c>
      <c r="G26" s="137">
        <f ca="1">VLOOKUP(C26,'BD EVA 3 APO'!$D$3:$AC$113,24,0)</f>
        <v>28</v>
      </c>
      <c r="H26" s="137">
        <f>VLOOKUP(C26,'BD EVA 3 APO'!$D$3:$AC$113,17,0)</f>
        <v>8</v>
      </c>
      <c r="I26" s="125">
        <f t="shared" ca="1" si="5"/>
        <v>3.5</v>
      </c>
      <c r="J26" s="75" t="s">
        <v>318</v>
      </c>
      <c r="K26" s="82">
        <v>2.8</v>
      </c>
      <c r="L26" s="129">
        <f t="shared" ca="1" si="0"/>
        <v>2.8</v>
      </c>
      <c r="M26" s="189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APO'!$D$3:$Y$113,4,0)</f>
        <v>octubre 2018 - marzo 2019</v>
      </c>
      <c r="E27" s="137">
        <f>VLOOKUP(C27,'BD EVA 3 APO'!$D$3:$Q$110,14,0)</f>
        <v>4158</v>
      </c>
      <c r="F27" s="75" t="str">
        <f>VLOOKUP(C27,'BD EVA 3 APO'!$D$3:$AC$113,9,0)</f>
        <v>octubre 22 - septiembre 23</v>
      </c>
      <c r="G27" s="137">
        <f ca="1">VLOOKUP(C27,'BD EVA 3 APO'!$D$3:$AC$113,24,0)</f>
        <v>3922</v>
      </c>
      <c r="H27" s="137">
        <f>VLOOKUP(C27,'BD EVA 3 APO'!$D$3:$AC$113,17,0)</f>
        <v>3928</v>
      </c>
      <c r="I27" s="78">
        <f ca="1">(G27-E27)/(H27-E27)</f>
        <v>1.0260869565217392</v>
      </c>
      <c r="J27" s="71" t="s">
        <v>319</v>
      </c>
      <c r="K27" s="82">
        <v>2.2200000000000002</v>
      </c>
      <c r="L27" s="129">
        <f t="shared" ca="1" si="0"/>
        <v>2.2200000000000002</v>
      </c>
      <c r="M27" s="189"/>
    </row>
    <row r="28" spans="1:13" ht="208">
      <c r="A28" s="121" t="s">
        <v>243</v>
      </c>
      <c r="B28" s="72" t="s">
        <v>244</v>
      </c>
      <c r="C28" s="72" t="s">
        <v>338</v>
      </c>
      <c r="D28" s="71" t="str">
        <f>VLOOKUP(C28,'BD EVA 3 APO'!$D$3:$Y$113,4,0)</f>
        <v>octubre 20 - mar 21</v>
      </c>
      <c r="E28" s="137">
        <f>VLOOKUP(C28,'BD EVA 3 APO'!$D$3:$Q$110,14,0)</f>
        <v>3</v>
      </c>
      <c r="F28" s="75" t="str">
        <f>VLOOKUP(C28,'BD EVA 3 APO'!$D$3:$AC$113,9,0)</f>
        <v>octubre 22 - septiembre 23</v>
      </c>
      <c r="G28" s="137">
        <f ca="1">VLOOKUP(C28,'BD EVA 3 APO'!$D$3:$AC$113,24,0)</f>
        <v>14</v>
      </c>
      <c r="H28" s="137">
        <f>VLOOKUP(C28,'BD EVA 3 APO'!$D$3:$AC$113,17,0)</f>
        <v>7</v>
      </c>
      <c r="I28" s="78">
        <f t="shared" ref="I28:I31" ca="1" si="6">G28/H28</f>
        <v>2</v>
      </c>
      <c r="J28" s="75" t="s">
        <v>318</v>
      </c>
      <c r="K28" s="82">
        <v>2.5</v>
      </c>
      <c r="L28" s="129">
        <f t="shared" ca="1" si="0"/>
        <v>2.5</v>
      </c>
      <c r="M28" s="130">
        <f ca="1">SUM(L28:L31)</f>
        <v>9.3546894282188369</v>
      </c>
    </row>
    <row r="29" spans="1:13" ht="65">
      <c r="A29" s="121" t="s">
        <v>243</v>
      </c>
      <c r="B29" s="72" t="s">
        <v>247</v>
      </c>
      <c r="C29" s="72" t="s">
        <v>248</v>
      </c>
      <c r="D29" s="75">
        <f>VLOOKUP(C29,'BD EVA 3 APO'!$D$3:$Y$113,4,0)</f>
        <v>44469</v>
      </c>
      <c r="E29" s="137">
        <f>VLOOKUP(C29,'BD EVA 3 APO'!$D$3:$Q$110,14,0)</f>
        <v>3</v>
      </c>
      <c r="F29" s="75">
        <f>VLOOKUP(C29,'BD EVA 3 APO'!$D$3:$AC$113,9,0)</f>
        <v>45199</v>
      </c>
      <c r="G29" s="137">
        <f ca="1">VLOOKUP(C29,'BD EVA 3 APO'!$D$3:$AC$113,24,0)</f>
        <v>6</v>
      </c>
      <c r="H29" s="137">
        <f>VLOOKUP(C29,'BD EVA 3 APO'!$D$3:$AC$113,17,0)</f>
        <v>5</v>
      </c>
      <c r="I29" s="78">
        <f t="shared" ca="1" si="6"/>
        <v>1.2</v>
      </c>
      <c r="J29" s="75" t="s">
        <v>318</v>
      </c>
      <c r="K29" s="82">
        <v>2.5</v>
      </c>
      <c r="L29" s="129">
        <f t="shared" ca="1" si="0"/>
        <v>2.5</v>
      </c>
      <c r="M29" s="189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APO'!$D$3:$Y$113,4,0)</f>
        <v>44469</v>
      </c>
      <c r="E30" s="137">
        <f>VLOOKUP(C30,'BD EVA 3 APO'!$D$3:$Q$110,14,0)</f>
        <v>100</v>
      </c>
      <c r="F30" s="75">
        <f>VLOOKUP(C30,'BD EVA 3 APO'!$D$3:$AC$113,9,0)</f>
        <v>45078</v>
      </c>
      <c r="G30" s="137">
        <f ca="1">VLOOKUP(C30,'BD EVA 3 APO'!$D$3:$AC$113,24,0)</f>
        <v>100</v>
      </c>
      <c r="H30" s="137">
        <f>VLOOKUP(C30,'BD EVA 3 APO'!$D$3:$AC$113,17,0)</f>
        <v>100</v>
      </c>
      <c r="I30" s="78">
        <f t="shared" ca="1" si="6"/>
        <v>1</v>
      </c>
      <c r="J30" s="75" t="s">
        <v>318</v>
      </c>
      <c r="K30" s="82">
        <v>2.5</v>
      </c>
      <c r="L30" s="129">
        <f t="shared" ca="1" si="0"/>
        <v>2.5</v>
      </c>
      <c r="M30" s="189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APO'!$D$3:$Y$113,4,0)</f>
        <v>44469</v>
      </c>
      <c r="E31" s="129">
        <f>VLOOKUP(C31,'BD EVA 3 APO'!$D$3:$Q$110,14,0)</f>
        <v>0</v>
      </c>
      <c r="F31" s="75">
        <f>VLOOKUP(C31,'BD EVA 3 APO'!$D$3:$AC$113,9,0)</f>
        <v>45199</v>
      </c>
      <c r="G31" s="129">
        <f ca="1">VLOOKUP(C31,'BD EVA 3 APO'!$D$3:$AC$113,24,0)</f>
        <v>2.9675030851501401</v>
      </c>
      <c r="H31" s="129">
        <f>VLOOKUP(C31,'BD EVA 3 APO'!$D$3:$AC$113,17,0)</f>
        <v>4</v>
      </c>
      <c r="I31" s="78">
        <f t="shared" ca="1" si="6"/>
        <v>0.74187577128753501</v>
      </c>
      <c r="J31" s="75" t="s">
        <v>318</v>
      </c>
      <c r="K31" s="82">
        <v>2.5</v>
      </c>
      <c r="L31" s="129">
        <f t="shared" ca="1" si="0"/>
        <v>1.8546894282188375</v>
      </c>
      <c r="M31" s="189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A3AC-71E1-E94C-8A26-09AAAAB1C313}">
  <dimension ref="A1:AC112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476051</v>
      </c>
      <c r="Q2" s="12">
        <v>476051</v>
      </c>
      <c r="R2" s="13"/>
      <c r="S2" s="316"/>
      <c r="T2" s="316"/>
      <c r="U2" s="316"/>
      <c r="V2" s="316"/>
      <c r="W2" s="316"/>
      <c r="X2" s="12">
        <v>479050</v>
      </c>
      <c r="Y2" s="12">
        <v>479050</v>
      </c>
      <c r="Z2" s="12">
        <v>483249</v>
      </c>
      <c r="AA2" s="12">
        <v>483249</v>
      </c>
      <c r="AB2" s="12">
        <v>488759</v>
      </c>
      <c r="AC2" s="12">
        <v>488759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554</v>
      </c>
      <c r="Q3" s="2">
        <v>554</v>
      </c>
      <c r="R3" s="4">
        <v>479</v>
      </c>
      <c r="S3" s="4">
        <v>497</v>
      </c>
      <c r="T3" s="4">
        <v>514</v>
      </c>
      <c r="U3" s="4">
        <v>532</v>
      </c>
      <c r="V3" s="4">
        <v>550</v>
      </c>
      <c r="W3" s="4">
        <v>550</v>
      </c>
      <c r="X3" s="481">
        <v>449</v>
      </c>
      <c r="Y3" s="2">
        <f ca="1">IFERROR(__xludf.DUMMYFUNCTION("INDEX(IMPORTRANGE(""1y0FWgjbB0gVlqn-q5LMJbGIsqOrzru4yowQz67dz2yc"", ""'SNG'!BH3:BH139""),MATCH(D3,IMPORTRANGE(""1y0FWgjbB0gVlqn-q5LMJbGIsqOrzru4yowQz67dz2yc"", ""'SNG'!D3:D139""),0))"),462)</f>
        <v>462</v>
      </c>
      <c r="Z3" s="2">
        <f ca="1">IFERROR(__xludf.DUMMYFUNCTION("INDEX(IMPORTRANGE(""1y0FWgjbB0gVlqn-q5LMJbGIsqOrzru4yowQz67dz2yc"", ""'SNG'!BI3:BI139""),MATCH(D3,IMPORTRANGE(""1y0FWgjbB0gVlqn-q5LMJbGIsqOrzru4yowQz67dz2yc"", ""'SNG'!D3:D139""),0))"),447)</f>
        <v>447</v>
      </c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395</v>
      </c>
      <c r="Q4" s="2">
        <v>395</v>
      </c>
      <c r="R4" s="13"/>
      <c r="S4" s="13"/>
      <c r="T4" s="13"/>
      <c r="U4" s="13"/>
      <c r="V4" s="13"/>
      <c r="W4" s="13"/>
      <c r="X4" s="2">
        <v>447</v>
      </c>
      <c r="Y4" s="2">
        <f ca="1">IFERROR(__xludf.DUMMYFUNCTION("INDEX(IMPORTRANGE(""1y0FWgjbB0gVlqn-q5LMJbGIsqOrzru4yowQz67dz2yc"", ""'SNG'!BH3:BH139""),MATCH(D4,IMPORTRANGE(""1y0FWgjbB0gVlqn-q5LMJbGIsqOrzru4yowQz67dz2yc"", ""'SNG'!D3:D139""),0))"),462)</f>
        <v>462</v>
      </c>
      <c r="Z4" s="2">
        <f ca="1">IFERROR(__xludf.DUMMYFUNCTION("INDEX(IMPORTRANGE(""1y0FWgjbB0gVlqn-q5LMJbGIsqOrzru4yowQz67dz2yc"", ""'SNG'!BI3:BI139""),MATCH(D4,IMPORTRANGE(""1y0FWgjbB0gVlqn-q5LMJbGIsqOrzru4yowQz67dz2yc"", ""'SNG'!D3:D139""),0))"),447)</f>
        <v>447</v>
      </c>
      <c r="AA4" s="1"/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0.71299638989169678</v>
      </c>
      <c r="Q5" s="15">
        <f t="shared" si="0"/>
        <v>0.71299638989169678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0.99554565701559017</v>
      </c>
      <c r="Y5" s="15">
        <f ca="1">IFERROR(__xludf.DUMMYFUNCTION("INDEX(IMPORTRANGE(""1y0FWgjbB0gVlqn-q5LMJbGIsqOrzru4yowQz67dz2yc"", ""'SNG'!BH3:BH139""),MATCH(D5,IMPORTRANGE(""1y0FWgjbB0gVlqn-q5LMJbGIsqOrzru4yowQz67dz2yc"", ""'SNG'!D3:D139""),0))"),1)</f>
        <v>1</v>
      </c>
      <c r="Z5" s="15">
        <f ca="1">IFERROR(__xludf.DUMMYFUNCTION("INDEX(IMPORTRANGE(""1y0FWgjbB0gVlqn-q5LMJbGIsqOrzru4yowQz67dz2yc"", ""'SNG'!BI3:BI139""),MATCH(D5,IMPORTRANGE(""1y0FWgjbB0gVlqn-q5LMJbGIsqOrzru4yowQz67dz2yc"", ""'SNG'!D3:D139""),0))"),1)</f>
        <v>1</v>
      </c>
      <c r="AA5" s="1"/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430"/>
      <c r="Q6" s="418"/>
      <c r="R6" s="1"/>
      <c r="S6" s="1"/>
      <c r="T6" s="1"/>
      <c r="U6" s="1"/>
      <c r="V6" s="1"/>
      <c r="W6" s="1"/>
      <c r="X6" s="418"/>
      <c r="Y6" s="2">
        <f ca="1">IFERROR(__xludf.DUMMYFUNCTION("INDEX(IMPORTRANGE(""1y0FWgjbB0gVlqn-q5LMJbGIsqOrzru4yowQz67dz2yc"", ""'SNG'!BH3:BH139""),MATCH(D6,IMPORTRANGE(""1y0FWgjbB0gVlqn-q5LMJbGIsqOrzru4yowQz67dz2yc"", ""'SNG'!D3:D139""),0))"),16)</f>
        <v>16</v>
      </c>
      <c r="Z6" s="2">
        <f ca="1">IFERROR(__xludf.DUMMYFUNCTION("INDEX(IMPORTRANGE(""1y0FWgjbB0gVlqn-q5LMJbGIsqOrzru4yowQz67dz2yc"", ""'SNG'!BI3:BI139""),MATCH(D6,IMPORTRANGE(""1y0FWgjbB0gVlqn-q5LMJbGIsqOrzru4yowQz67dz2yc"", ""'SNG'!D3:D139""),0))"),19)</f>
        <v>19</v>
      </c>
      <c r="AA6" s="1"/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430"/>
      <c r="Q7" s="418"/>
      <c r="R7" s="1"/>
      <c r="S7" s="1"/>
      <c r="T7" s="1"/>
      <c r="U7" s="1"/>
      <c r="V7" s="1"/>
      <c r="W7" s="1"/>
      <c r="X7" s="418"/>
      <c r="Y7" s="2">
        <f ca="1">IFERROR(__xludf.DUMMYFUNCTION("INDEX(IMPORTRANGE(""1y0FWgjbB0gVlqn-q5LMJbGIsqOrzru4yowQz67dz2yc"", ""'SNG'!BH3:BH139""),MATCH(D7,IMPORTRANGE(""1y0FWgjbB0gVlqn-q5LMJbGIsqOrzru4yowQz67dz2yc"", ""'SNG'!D3:D139""),0))"),0)</f>
        <v>0</v>
      </c>
      <c r="Z7" s="2">
        <f ca="1">IFERROR(__xludf.DUMMYFUNCTION("INDEX(IMPORTRANGE(""1y0FWgjbB0gVlqn-q5LMJbGIsqOrzru4yowQz67dz2yc"", ""'SNG'!BI3:BI139""),MATCH(D7,IMPORTRANGE(""1y0FWgjbB0gVlqn-q5LMJbGIsqOrzru4yowQz67dz2yc"", ""'SNG'!D3:D139""),0))"),0)</f>
        <v>0</v>
      </c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420">
        <f t="shared" ref="P8:Q8" si="1">P6/P3</f>
        <v>0</v>
      </c>
      <c r="Q8" s="420">
        <f t="shared" si="1"/>
        <v>0</v>
      </c>
      <c r="R8" s="15">
        <v>3.6999999999999998E-2</v>
      </c>
      <c r="S8" s="15">
        <v>3.9E-2</v>
      </c>
      <c r="T8" s="15">
        <v>4.1000000000000002E-2</v>
      </c>
      <c r="U8" s="15">
        <v>4.2999999999999997E-2</v>
      </c>
      <c r="V8" s="15">
        <v>4.4999999999999998E-2</v>
      </c>
      <c r="W8" s="15">
        <v>4.4999999999999998E-2</v>
      </c>
      <c r="X8" s="420">
        <f>X6/X3</f>
        <v>0</v>
      </c>
      <c r="Y8" s="15">
        <f ca="1">IFERROR(__xludf.DUMMYFUNCTION("INDEX(IMPORTRANGE(""1y0FWgjbB0gVlqn-q5LMJbGIsqOrzru4yowQz67dz2yc"", ""'SNG'!BH3:BH139""),MATCH(D8,IMPORTRANGE(""1y0FWgjbB0gVlqn-q5LMJbGIsqOrzru4yowQz67dz2yc"", ""'SNG'!D3:D139""),0))"),0.0346320346320346)</f>
        <v>3.4632034632034597E-2</v>
      </c>
      <c r="Z8" s="15">
        <f ca="1">IFERROR(__xludf.DUMMYFUNCTION("INDEX(IMPORTRANGE(""1y0FWgjbB0gVlqn-q5LMJbGIsqOrzru4yowQz67dz2yc"", ""'SNG'!BI3:BI139""),MATCH(D8,IMPORTRANGE(""1y0FWgjbB0gVlqn-q5LMJbGIsqOrzru4yowQz67dz2yc"", ""'SNG'!D3:D139""),0))"),0.0425055928411633)</f>
        <v>4.25055928411633E-2</v>
      </c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65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12">
        <f ca="1">IFERROR(__xludf.DUMMYFUNCTION("INDEX(IMPORTRANGE(""1y0FWgjbB0gVlqn-q5LMJbGIsqOrzru4yowQz67dz2yc"", ""'SNG'!BH3:BH139""),MATCH(D9,IMPORTRANGE(""1y0FWgjbB0gVlqn-q5LMJbGIsqOrzru4yowQz67dz2yc"", ""'SNG'!D3:D139""),0))"),337)</f>
        <v>337</v>
      </c>
      <c r="Z9" s="12">
        <f ca="1">IFERROR(__xludf.DUMMYFUNCTION("INDEX(IMPORTRANGE(""1y0FWgjbB0gVlqn-q5LMJbGIsqOrzru4yowQz67dz2yc"", ""'SNG'!BI3:BI139""),MATCH(D9,IMPORTRANGE(""1y0FWgjbB0gVlqn-q5LMJbGIsqOrzru4yowQz67dz2yc"", ""'SNG'!D3:D139""),0))"),433)</f>
        <v>433</v>
      </c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55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418</v>
      </c>
      <c r="Q10" s="12">
        <v>590</v>
      </c>
      <c r="R10" s="13"/>
      <c r="S10" s="13"/>
      <c r="T10" s="13"/>
      <c r="U10" s="13"/>
      <c r="V10" s="13"/>
      <c r="W10" s="13"/>
      <c r="X10" s="12">
        <v>112</v>
      </c>
      <c r="Y10" s="12">
        <f ca="1">IFERROR(__xludf.DUMMYFUNCTION("INDEX(IMPORTRANGE(""1y0FWgjbB0gVlqn-q5LMJbGIsqOrzru4yowQz67dz2yc"", ""'SNG'!BH3:BH139""),MATCH(D10,IMPORTRANGE(""1y0FWgjbB0gVlqn-q5LMJbGIsqOrzru4yowQz67dz2yc"", ""'SNG'!D3:D139""),0))"),2182)</f>
        <v>2182</v>
      </c>
      <c r="Z10" s="12">
        <f ca="1">IFERROR(__xludf.DUMMYFUNCTION("INDEX(IMPORTRANGE(""1y0FWgjbB0gVlqn-q5LMJbGIsqOrzru4yowQz67dz2yc"", ""'SNG'!BI3:BI139""),MATCH(D10,IMPORTRANGE(""1y0FWgjbB0gVlqn-q5LMJbGIsqOrzru4yowQz67dz2yc"", ""'SNG'!D3:D139""),0))"),1485)</f>
        <v>1485</v>
      </c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4">
        <v>0.15</v>
      </c>
      <c r="S11" s="14">
        <v>0.3</v>
      </c>
      <c r="T11" s="14">
        <v>0.45</v>
      </c>
      <c r="U11" s="14">
        <v>0.6</v>
      </c>
      <c r="V11" s="14">
        <v>0.75</v>
      </c>
      <c r="W11" s="14">
        <f>V11</f>
        <v>0.75</v>
      </c>
      <c r="X11" s="15">
        <f>X9/X10</f>
        <v>0</v>
      </c>
      <c r="Y11" s="15">
        <f ca="1">IFERROR(__xludf.DUMMYFUNCTION("INDEX(IMPORTRANGE(""1y0FWgjbB0gVlqn-q5LMJbGIsqOrzru4yowQz67dz2yc"", ""'SNG'!BH3:BH139""),MATCH(D11,IMPORTRANGE(""1y0FWgjbB0gVlqn-q5LMJbGIsqOrzru4yowQz67dz2yc"", ""'SNG'!D3:D139""),0))"),0.154445462878093)</f>
        <v>0.15444546287809299</v>
      </c>
      <c r="Z11" s="15">
        <f ca="1">IFERROR(__xludf.DUMMYFUNCTION("INDEX(IMPORTRANGE(""1y0FWgjbB0gVlqn-q5LMJbGIsqOrzru4yowQz67dz2yc"", ""'SNG'!BI3:BI139""),MATCH(D11,IMPORTRANGE(""1y0FWgjbB0gVlqn-q5LMJbGIsqOrzru4yowQz67dz2yc"", ""'SNG'!D3:D139""),0))"),0.291582491582491)</f>
        <v>0.291582491582491</v>
      </c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21</v>
      </c>
      <c r="Q12" s="12">
        <v>52</v>
      </c>
      <c r="R12" s="13"/>
      <c r="S12" s="13"/>
      <c r="T12" s="13"/>
      <c r="U12" s="13"/>
      <c r="V12" s="13"/>
      <c r="W12" s="13"/>
      <c r="X12" s="12">
        <v>11</v>
      </c>
      <c r="Y12" s="12">
        <f ca="1">IFERROR(__xludf.DUMMYFUNCTION("INDEX(IMPORTRANGE(""1y0FWgjbB0gVlqn-q5LMJbGIsqOrzru4yowQz67dz2yc"", ""'SNG'!BH3:BH139""),MATCH(D12,IMPORTRANGE(""1y0FWgjbB0gVlqn-q5LMJbGIsqOrzru4yowQz67dz2yc"", ""'SNG'!D3:D139""),0))"),44)</f>
        <v>44</v>
      </c>
      <c r="Z12" s="12">
        <f ca="1">IFERROR(__xludf.DUMMYFUNCTION("INDEX(IMPORTRANGE(""1y0FWgjbB0gVlqn-q5LMJbGIsqOrzru4yowQz67dz2yc"", ""'SNG'!BI3:BI139""),MATCH(D12,IMPORTRANGE(""1y0FWgjbB0gVlqn-q5LMJbGIsqOrzru4yowQz67dz2yc"", ""'SNG'!D3:D139""),0))"),16)</f>
        <v>16</v>
      </c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4.4112920674465554</v>
      </c>
      <c r="Q13" s="23">
        <f t="shared" si="3"/>
        <v>10.923199405105755</v>
      </c>
      <c r="R13" s="2">
        <v>7.9</v>
      </c>
      <c r="S13" s="2">
        <v>2</v>
      </c>
      <c r="T13" s="2">
        <v>4.9000000000000004</v>
      </c>
      <c r="U13" s="2">
        <v>0.8</v>
      </c>
      <c r="V13" s="2">
        <v>1.92</v>
      </c>
      <c r="W13" s="2">
        <f>V13</f>
        <v>1.92</v>
      </c>
      <c r="X13" s="23">
        <f>(X12/X$2)*100000</f>
        <v>2.2962112514351318</v>
      </c>
      <c r="Y13" s="23">
        <f ca="1">IFERROR(__xludf.DUMMYFUNCTION("INDEX(IMPORTRANGE(""1y0FWgjbB0gVlqn-q5LMJbGIsqOrzru4yowQz67dz2yc"", ""'SNG'!BH3:BH139""),MATCH(D13,IMPORTRANGE(""1y0FWgjbB0gVlqn-q5LMJbGIsqOrzru4yowQz67dz2yc"", ""'SNG'!D3:D139""),0))"),9.18484500574052)</f>
        <v>9.1848450057405202</v>
      </c>
      <c r="Z13" s="23">
        <f ca="1">IFERROR(__xludf.DUMMYFUNCTION("INDEX(IMPORTRANGE(""1y0FWgjbB0gVlqn-q5LMJbGIsqOrzru4yowQz67dz2yc"", ""'SNG'!BI3:BI139""),MATCH(D13,IMPORTRANGE(""1y0FWgjbB0gVlqn-q5LMJbGIsqOrzru4yowQz67dz2yc"", ""'SNG'!D3:D139""),0))"),3.3109225264822)</f>
        <v>3.3109225264822002</v>
      </c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138</v>
      </c>
      <c r="Q14" s="12">
        <v>250</v>
      </c>
      <c r="R14" s="13"/>
      <c r="S14" s="13"/>
      <c r="T14" s="13"/>
      <c r="U14" s="13"/>
      <c r="V14" s="13"/>
      <c r="W14" s="13"/>
      <c r="X14" s="12">
        <v>133</v>
      </c>
      <c r="Y14" s="12">
        <f ca="1">IFERROR(__xludf.DUMMYFUNCTION("INDEX(IMPORTRANGE(""1y0FWgjbB0gVlqn-q5LMJbGIsqOrzru4yowQz67dz2yc"", ""'SNG'!BH3:BH139""),MATCH(D14,IMPORTRANGE(""1y0FWgjbB0gVlqn-q5LMJbGIsqOrzru4yowQz67dz2yc"", ""'SNG'!D3:D139""),0))"),260)</f>
        <v>260</v>
      </c>
      <c r="Z14" s="12">
        <f ca="1">IFERROR(__xludf.DUMMYFUNCTION("INDEX(IMPORTRANGE(""1y0FWgjbB0gVlqn-q5LMJbGIsqOrzru4yowQz67dz2yc"", ""'SNG'!BI3:BI139""),MATCH(D14,IMPORTRANGE(""1y0FWgjbB0gVlqn-q5LMJbGIsqOrzru4yowQz67dz2yc"", ""'SNG'!D3:D139""),0))"),91)</f>
        <v>91</v>
      </c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177</v>
      </c>
      <c r="Q15" s="12">
        <v>364</v>
      </c>
      <c r="R15" s="13"/>
      <c r="S15" s="13"/>
      <c r="T15" s="13"/>
      <c r="U15" s="13"/>
      <c r="V15" s="13"/>
      <c r="W15" s="13"/>
      <c r="X15" s="12">
        <v>204</v>
      </c>
      <c r="Y15" s="12">
        <f ca="1">IFERROR(__xludf.DUMMYFUNCTION("INDEX(IMPORTRANGE(""1y0FWgjbB0gVlqn-q5LMJbGIsqOrzru4yowQz67dz2yc"", ""'SNG'!BH3:BH139""),MATCH(D15,IMPORTRANGE(""1y0FWgjbB0gVlqn-q5LMJbGIsqOrzru4yowQz67dz2yc"", ""'SNG'!D3:D139""),0))"),432)</f>
        <v>432</v>
      </c>
      <c r="Z15" s="12">
        <f ca="1">IFERROR(__xludf.DUMMYFUNCTION("INDEX(IMPORTRANGE(""1y0FWgjbB0gVlqn-q5LMJbGIsqOrzru4yowQz67dz2yc"", ""'SNG'!BI3:BI139""),MATCH(D15,IMPORTRANGE(""1y0FWgjbB0gVlqn-q5LMJbGIsqOrzru4yowQz67dz2yc"", ""'SNG'!D3:D139""),0))"),177)</f>
        <v>177</v>
      </c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129</v>
      </c>
      <c r="Q16" s="12">
        <v>250</v>
      </c>
      <c r="R16" s="13"/>
      <c r="S16" s="13"/>
      <c r="T16" s="13"/>
      <c r="U16" s="13"/>
      <c r="V16" s="13"/>
      <c r="W16" s="13"/>
      <c r="X16" s="12">
        <v>133</v>
      </c>
      <c r="Y16" s="12">
        <f ca="1">IFERROR(__xludf.DUMMYFUNCTION("INDEX(IMPORTRANGE(""1y0FWgjbB0gVlqn-q5LMJbGIsqOrzru4yowQz67dz2yc"", ""'SNG'!BH3:BH139""),MATCH(D16,IMPORTRANGE(""1y0FWgjbB0gVlqn-q5LMJbGIsqOrzru4yowQz67dz2yc"", ""'SNG'!D3:D139""),0))"),259)</f>
        <v>259</v>
      </c>
      <c r="Z16" s="12">
        <f ca="1">IFERROR(__xludf.DUMMYFUNCTION("INDEX(IMPORTRANGE(""1y0FWgjbB0gVlqn-q5LMJbGIsqOrzru4yowQz67dz2yc"", ""'SNG'!BI3:BI139""),MATCH(D16,IMPORTRANGE(""1y0FWgjbB0gVlqn-q5LMJbGIsqOrzru4yowQz67dz2yc"", ""'SNG'!D3:D139""),0))"),83)</f>
        <v>83</v>
      </c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135</v>
      </c>
      <c r="R17" s="13"/>
      <c r="S17" s="13"/>
      <c r="T17" s="13"/>
      <c r="U17" s="13"/>
      <c r="V17" s="13"/>
      <c r="W17" s="13"/>
      <c r="X17" s="12">
        <v>68</v>
      </c>
      <c r="Y17" s="12">
        <f ca="1">IFERROR(__xludf.DUMMYFUNCTION("INDEX(IMPORTRANGE(""1y0FWgjbB0gVlqn-q5LMJbGIsqOrzru4yowQz67dz2yc"", ""'SNG'!BH3:BH139""),MATCH(D17,IMPORTRANGE(""1y0FWgjbB0gVlqn-q5LMJbGIsqOrzru4yowQz67dz2yc"", ""'SNG'!D3:D139""),0))"),119)</f>
        <v>119</v>
      </c>
      <c r="Z17" s="12">
        <f ca="1">IFERROR(__xludf.DUMMYFUNCTION("INDEX(IMPORTRANGE(""1y0FWgjbB0gVlqn-q5LMJbGIsqOrzru4yowQz67dz2yc"", ""'SNG'!BI3:BI139""),MATCH(D17,IMPORTRANGE(""1y0FWgjbB0gVlqn-q5LMJbGIsqOrzru4yowQz67dz2yc"", ""'SNG'!D3:D139""),0))"),39)</f>
        <v>39</v>
      </c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9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107.55150183488745</v>
      </c>
      <c r="Q18" s="23">
        <f t="shared" si="4"/>
        <v>209.85146549424323</v>
      </c>
      <c r="R18" s="2"/>
      <c r="S18" s="2">
        <v>107</v>
      </c>
      <c r="T18" s="2">
        <v>203</v>
      </c>
      <c r="U18" s="2">
        <v>107</v>
      </c>
      <c r="V18" s="2">
        <v>195</v>
      </c>
      <c r="W18" s="2">
        <f>V18</f>
        <v>195</v>
      </c>
      <c r="X18" s="23">
        <f>(SUM(X14:X17)/X2)*100000</f>
        <v>112.30560484291829</v>
      </c>
      <c r="Y18" s="23">
        <f ca="1">IFERROR(__xludf.DUMMYFUNCTION("INDEX(IMPORTRANGE(""1y0FWgjbB0gVlqn-q5LMJbGIsqOrzru4yowQz67dz2yc"", ""'SNG'!BH3:BH139""),MATCH(D18,IMPORTRANGE(""1y0FWgjbB0gVlqn-q5LMJbGIsqOrzru4yowQz67dz2yc"", ""'SNG'!D3:D139""),0))"),223.358730821417)</f>
        <v>223.358730821417</v>
      </c>
      <c r="Z18" s="23">
        <f ca="1">IFERROR(__xludf.DUMMYFUNCTION("INDEX(IMPORTRANGE(""1y0FWgjbB0gVlqn-q5LMJbGIsqOrzru4yowQz67dz2yc"", ""'SNG'!BI3:BI139""),MATCH(D18,IMPORTRANGE(""1y0FWgjbB0gVlqn-q5LMJbGIsqOrzru4yowQz67dz2yc"", ""'SNG'!D3:D139""),0))"),80.7037365830037)</f>
        <v>80.703736583003703</v>
      </c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9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903</v>
      </c>
      <c r="Q19" s="12">
        <v>2078</v>
      </c>
      <c r="R19" s="13"/>
      <c r="S19" s="13"/>
      <c r="T19" s="13"/>
      <c r="U19" s="13"/>
      <c r="V19" s="13"/>
      <c r="W19" s="13"/>
      <c r="X19" s="12">
        <v>1049</v>
      </c>
      <c r="Y19" s="12">
        <f ca="1">IFERROR(__xludf.DUMMYFUNCTION("INDEX(IMPORTRANGE(""1y0FWgjbB0gVlqn-q5LMJbGIsqOrzru4yowQz67dz2yc"", ""'SNG'!BH3:BH139""),MATCH(D19,IMPORTRANGE(""1y0FWgjbB0gVlqn-q5LMJbGIsqOrzru4yowQz67dz2yc"", ""'SNG'!D3:D139""),0))"),2163)</f>
        <v>2163</v>
      </c>
      <c r="Z19" s="12">
        <f ca="1">IFERROR(__xludf.DUMMYFUNCTION("INDEX(IMPORTRANGE(""1y0FWgjbB0gVlqn-q5LMJbGIsqOrzru4yowQz67dz2yc"", ""'SNG'!BI3:BI139""),MATCH(D19,IMPORTRANGE(""1y0FWgjbB0gVlqn-q5LMJbGIsqOrzru4yowQz67dz2yc"", ""'SNG'!D3:D139""),0))"),907)</f>
        <v>907</v>
      </c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9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189.68555890020187</v>
      </c>
      <c r="Q20" s="23">
        <f t="shared" si="5"/>
        <v>436.50785315018771</v>
      </c>
      <c r="R20" s="2">
        <v>399.8</v>
      </c>
      <c r="S20" s="2">
        <v>157.80000000000001</v>
      </c>
      <c r="T20" s="2">
        <v>363.2</v>
      </c>
      <c r="U20" s="2">
        <v>141.9</v>
      </c>
      <c r="V20" s="2">
        <v>326.5</v>
      </c>
      <c r="W20" s="2">
        <v>326.5</v>
      </c>
      <c r="X20" s="23">
        <f>(X19/X$2)*100000</f>
        <v>218.97505479595031</v>
      </c>
      <c r="Y20" s="23">
        <f ca="1">IFERROR(__xludf.DUMMYFUNCTION("INDEX(IMPORTRANGE(""1y0FWgjbB0gVlqn-q5LMJbGIsqOrzru4yowQz67dz2yc"", ""'SNG'!BH3:BH139""),MATCH(D20,IMPORTRANGE(""1y0FWgjbB0gVlqn-q5LMJbGIsqOrzru4yowQz67dz2yc"", ""'SNG'!D3:D139""),0))"),451.518630623108)</f>
        <v>451.51863062310798</v>
      </c>
      <c r="Z20" s="23">
        <f ca="1">IFERROR(__xludf.DUMMYFUNCTION("INDEX(IMPORTRANGE(""1y0FWgjbB0gVlqn-q5LMJbGIsqOrzru4yowQz67dz2yc"", ""'SNG'!BI3:BI139""),MATCH(D20,IMPORTRANGE(""1y0FWgjbB0gVlqn-q5LMJbGIsqOrzru4yowQz67dz2yc"", ""'SNG'!D3:D139""),0))"),187.68792071996)</f>
        <v>187.68792071996</v>
      </c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9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175</v>
      </c>
      <c r="Q21" s="2">
        <v>387</v>
      </c>
      <c r="R21" s="13"/>
      <c r="S21" s="13"/>
      <c r="T21" s="13"/>
      <c r="U21" s="13"/>
      <c r="V21" s="13"/>
      <c r="W21" s="13"/>
      <c r="X21" s="2">
        <v>184</v>
      </c>
      <c r="Y21" s="2">
        <f ca="1">IFERROR(__xludf.DUMMYFUNCTION("INDEX(IMPORTRANGE(""1y0FWgjbB0gVlqn-q5LMJbGIsqOrzru4yowQz67dz2yc"", ""'SNG'!BH3:BH139""),MATCH(D21,IMPORTRANGE(""1y0FWgjbB0gVlqn-q5LMJbGIsqOrzru4yowQz67dz2yc"", ""'SNG'!D3:D139""),0))"),408)</f>
        <v>408</v>
      </c>
      <c r="Z21" s="2">
        <f ca="1">IFERROR(__xludf.DUMMYFUNCTION("INDEX(IMPORTRANGE(""1y0FWgjbB0gVlqn-q5LMJbGIsqOrzru4yowQz67dz2yc"", ""'SNG'!BI3:BI139""),MATCH(D21,IMPORTRANGE(""1y0FWgjbB0gVlqn-q5LMJbGIsqOrzru4yowQz67dz2yc"", ""'SNG'!D3:D139""),0))"),172)</f>
        <v>172</v>
      </c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9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36.760767228721292</v>
      </c>
      <c r="Q22" s="23">
        <f t="shared" si="6"/>
        <v>81.293810957229383</v>
      </c>
      <c r="R22" s="2">
        <v>80.900000000000006</v>
      </c>
      <c r="S22" s="2">
        <v>36.4</v>
      </c>
      <c r="T22" s="2">
        <v>80.599999999999994</v>
      </c>
      <c r="U22" s="2">
        <v>36.299999999999997</v>
      </c>
      <c r="V22" s="2">
        <v>80.25</v>
      </c>
      <c r="W22" s="2">
        <v>80.25</v>
      </c>
      <c r="X22" s="23">
        <f>(X21/X$2)*100000</f>
        <v>38.409351842187661</v>
      </c>
      <c r="Y22" s="23">
        <f ca="1">IFERROR(__xludf.DUMMYFUNCTION("INDEX(IMPORTRANGE(""1y0FWgjbB0gVlqn-q5LMJbGIsqOrzru4yowQz67dz2yc"", ""'SNG'!BH3:BH139""),MATCH(D22,IMPORTRANGE(""1y0FWgjbB0gVlqn-q5LMJbGIsqOrzru4yowQz67dz2yc"", ""'SNG'!D3:D139""),0))"),85.168562780503)</f>
        <v>85.168562780502995</v>
      </c>
      <c r="Z22" s="23">
        <f ca="1">IFERROR(__xludf.DUMMYFUNCTION("INDEX(IMPORTRANGE(""1y0FWgjbB0gVlqn-q5LMJbGIsqOrzru4yowQz67dz2yc"", ""'SNG'!BI3:BI139""),MATCH(D22,IMPORTRANGE(""1y0FWgjbB0gVlqn-q5LMJbGIsqOrzru4yowQz67dz2yc"", ""'SNG'!D3:D139""),0))"),35.5924171596837)</f>
        <v>35.592417159683698</v>
      </c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9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4</v>
      </c>
      <c r="Q23" s="12">
        <v>12</v>
      </c>
      <c r="R23" s="13"/>
      <c r="S23" s="13"/>
      <c r="T23" s="13"/>
      <c r="U23" s="13"/>
      <c r="V23" s="13"/>
      <c r="W23" s="13"/>
      <c r="X23" s="12">
        <v>9</v>
      </c>
      <c r="Y23" s="12">
        <f ca="1">IFERROR(__xludf.DUMMYFUNCTION("INDEX(IMPORTRANGE(""1y0FWgjbB0gVlqn-q5LMJbGIsqOrzru4yowQz67dz2yc"", ""'SNG'!BH3:BH139""),MATCH(D23,IMPORTRANGE(""1y0FWgjbB0gVlqn-q5LMJbGIsqOrzru4yowQz67dz2yc"", ""'SNG'!D3:D139""),0))"),18)</f>
        <v>18</v>
      </c>
      <c r="Z23" s="12">
        <f ca="1">IFERROR(__xludf.DUMMYFUNCTION("INDEX(IMPORTRANGE(""1y0FWgjbB0gVlqn-q5LMJbGIsqOrzru4yowQz67dz2yc"", ""'SNG'!BI3:BI139""),MATCH(D23,IMPORTRANGE(""1y0FWgjbB0gVlqn-q5LMJbGIsqOrzru4yowQz67dz2yc"", ""'SNG'!D3:D139""),0))"),9)</f>
        <v>9</v>
      </c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9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5</v>
      </c>
      <c r="Q24" s="12">
        <v>8</v>
      </c>
      <c r="R24" s="13"/>
      <c r="S24" s="13"/>
      <c r="T24" s="13"/>
      <c r="U24" s="13"/>
      <c r="V24" s="13"/>
      <c r="W24" s="13"/>
      <c r="X24" s="12">
        <v>6</v>
      </c>
      <c r="Y24" s="12">
        <f ca="1">IFERROR(__xludf.DUMMYFUNCTION("INDEX(IMPORTRANGE(""1y0FWgjbB0gVlqn-q5LMJbGIsqOrzru4yowQz67dz2yc"", ""'SNG'!BH3:BH139""),MATCH(D24,IMPORTRANGE(""1y0FWgjbB0gVlqn-q5LMJbGIsqOrzru4yowQz67dz2yc"", ""'SNG'!D3:D139""),0))"),18)</f>
        <v>18</v>
      </c>
      <c r="Z24" s="12">
        <f ca="1">IFERROR(__xludf.DUMMYFUNCTION("INDEX(IMPORTRANGE(""1y0FWgjbB0gVlqn-q5LMJbGIsqOrzru4yowQz67dz2yc"", ""'SNG'!BI3:BI139""),MATCH(D24,IMPORTRANGE(""1y0FWgjbB0gVlqn-q5LMJbGIsqOrzru4yowQz67dz2yc"", ""'SNG'!D3:D139""),0))"),5)</f>
        <v>5</v>
      </c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9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3</v>
      </c>
      <c r="Q25" s="12">
        <v>7</v>
      </c>
      <c r="R25" s="13"/>
      <c r="S25" s="13"/>
      <c r="T25" s="13"/>
      <c r="U25" s="13"/>
      <c r="V25" s="13"/>
      <c r="W25" s="13"/>
      <c r="X25" s="12">
        <v>2</v>
      </c>
      <c r="Y25" s="12">
        <f ca="1">IFERROR(__xludf.DUMMYFUNCTION("INDEX(IMPORTRANGE(""1y0FWgjbB0gVlqn-q5LMJbGIsqOrzru4yowQz67dz2yc"", ""'SNG'!BH3:BH139""),MATCH(D25,IMPORTRANGE(""1y0FWgjbB0gVlqn-q5LMJbGIsqOrzru4yowQz67dz2yc"", ""'SNG'!D3:D139""),0))"),3)</f>
        <v>3</v>
      </c>
      <c r="Z25" s="12">
        <f ca="1">IFERROR(__xludf.DUMMYFUNCTION("INDEX(IMPORTRANGE(""1y0FWgjbB0gVlqn-q5LMJbGIsqOrzru4yowQz67dz2yc"", ""'SNG'!BI3:BI139""),MATCH(D25,IMPORTRANGE(""1y0FWgjbB0gVlqn-q5LMJbGIsqOrzru4yowQz67dz2yc"", ""'SNG'!D3:D139""),0))"),1)</f>
        <v>1</v>
      </c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101</v>
      </c>
      <c r="E26" s="9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0</v>
      </c>
      <c r="Q26" s="12">
        <v>0</v>
      </c>
      <c r="R26" s="13"/>
      <c r="S26" s="13"/>
      <c r="T26" s="13"/>
      <c r="U26" s="13"/>
      <c r="V26" s="13"/>
      <c r="W26" s="13"/>
      <c r="X26" s="12">
        <v>0</v>
      </c>
      <c r="Y26" s="12">
        <f ca="1">IFERROR(__xludf.DUMMYFUNCTION("INDEX(IMPORTRANGE(""1y0FWgjbB0gVlqn-q5LMJbGIsqOrzru4yowQz67dz2yc"", ""'SNG'!BH3:BH139""),MATCH(D26,IMPORTRANGE(""1y0FWgjbB0gVlqn-q5LMJbGIsqOrzru4yowQz67dz2yc"", ""'SNG'!D3:D139""),0))"),0)</f>
        <v>0</v>
      </c>
      <c r="Z26" s="12">
        <f ca="1">IFERROR(__xludf.DUMMYFUNCTION("INDEX(IMPORTRANGE(""1y0FWgjbB0gVlqn-q5LMJbGIsqOrzru4yowQz67dz2yc"", ""'SNG'!BI3:BI139""),MATCH(D26,IMPORTRANGE(""1y0FWgjbB0gVlqn-q5LMJbGIsqOrzru4yowQz67dz2yc"", ""'SNG'!D3:D139""),0))"),0)</f>
        <v>0</v>
      </c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103</v>
      </c>
      <c r="E27" s="9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5</v>
      </c>
      <c r="Q27" s="12">
        <v>6</v>
      </c>
      <c r="R27" s="13"/>
      <c r="S27" s="13"/>
      <c r="T27" s="13"/>
      <c r="U27" s="13"/>
      <c r="V27" s="13"/>
      <c r="W27" s="13"/>
      <c r="X27" s="12">
        <v>4</v>
      </c>
      <c r="Y27" s="12">
        <f ca="1">IFERROR(__xludf.DUMMYFUNCTION("INDEX(IMPORTRANGE(""1y0FWgjbB0gVlqn-q5LMJbGIsqOrzru4yowQz67dz2yc"", ""'SNG'!BH3:BH139""),MATCH(D27,IMPORTRANGE(""1y0FWgjbB0gVlqn-q5LMJbGIsqOrzru4yowQz67dz2yc"", ""'SNG'!D3:D139""),0))"),6)</f>
        <v>6</v>
      </c>
      <c r="Z27" s="12">
        <f ca="1">IFERROR(__xludf.DUMMYFUNCTION("INDEX(IMPORTRANGE(""1y0FWgjbB0gVlqn-q5LMJbGIsqOrzru4yowQz67dz2yc"", ""'SNG'!BI3:BI139""),MATCH(D27,IMPORTRANGE(""1y0FWgjbB0gVlqn-q5LMJbGIsqOrzru4yowQz67dz2yc"", ""'SNG'!D3:D139""),0))"),1)</f>
        <v>1</v>
      </c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105</v>
      </c>
      <c r="E28" s="9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12">
        <f ca="1">IFERROR(__xludf.DUMMYFUNCTION("INDEX(IMPORTRANGE(""1y0FWgjbB0gVlqn-q5LMJbGIsqOrzru4yowQz67dz2yc"", ""'SNG'!BH3:BH139""),MATCH(D28,IMPORTRANGE(""1y0FWgjbB0gVlqn-q5LMJbGIsqOrzru4yowQz67dz2yc"", ""'SNG'!D3:D139""),0))"),0)</f>
        <v>0</v>
      </c>
      <c r="Z28" s="12">
        <f ca="1">IFERROR(__xludf.DUMMYFUNCTION("INDEX(IMPORTRANGE(""1y0FWgjbB0gVlqn-q5LMJbGIsqOrzru4yowQz67dz2yc"", ""'SNG'!BI3:BI139""),MATCH(D28,IMPORTRANGE(""1y0FWgjbB0gVlqn-q5LMJbGIsqOrzru4yowQz67dz2yc"", ""'SNG'!D3:D139""),0))"),0)</f>
        <v>0</v>
      </c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9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3</v>
      </c>
      <c r="Q29" s="12">
        <v>5</v>
      </c>
      <c r="R29" s="13"/>
      <c r="S29" s="13"/>
      <c r="T29" s="13"/>
      <c r="U29" s="13"/>
      <c r="V29" s="13"/>
      <c r="W29" s="13"/>
      <c r="X29" s="12">
        <v>2</v>
      </c>
      <c r="Y29" s="12">
        <f ca="1">IFERROR(__xludf.DUMMYFUNCTION("INDEX(IMPORTRANGE(""1y0FWgjbB0gVlqn-q5LMJbGIsqOrzru4yowQz67dz2yc"", ""'SNG'!BH3:BH139""),MATCH(D29,IMPORTRANGE(""1y0FWgjbB0gVlqn-q5LMJbGIsqOrzru4yowQz67dz2yc"", ""'SNG'!D3:D139""),0))"),4)</f>
        <v>4</v>
      </c>
      <c r="Z29" s="12">
        <f ca="1">IFERROR(__xludf.DUMMYFUNCTION("INDEX(IMPORTRANGE(""1y0FWgjbB0gVlqn-q5LMJbGIsqOrzru4yowQz67dz2yc"", ""'SNG'!BI3:BI139""),MATCH(D29,IMPORTRANGE(""1y0FWgjbB0gVlqn-q5LMJbGIsqOrzru4yowQz67dz2yc"", ""'SNG'!D3:D139""),0))"),2)</f>
        <v>2</v>
      </c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9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1</v>
      </c>
      <c r="Q30" s="12">
        <v>2</v>
      </c>
      <c r="R30" s="13"/>
      <c r="S30" s="13"/>
      <c r="T30" s="13"/>
      <c r="U30" s="13"/>
      <c r="V30" s="13"/>
      <c r="W30" s="13"/>
      <c r="X30" s="12">
        <v>2</v>
      </c>
      <c r="Y30" s="12">
        <f ca="1">IFERROR(__xludf.DUMMYFUNCTION("INDEX(IMPORTRANGE(""1y0FWgjbB0gVlqn-q5LMJbGIsqOrzru4yowQz67dz2yc"", ""'SNG'!BH3:BH139""),MATCH(D30,IMPORTRANGE(""1y0FWgjbB0gVlqn-q5LMJbGIsqOrzru4yowQz67dz2yc"", ""'SNG'!D3:D139""),0))"),2)</f>
        <v>2</v>
      </c>
      <c r="Z30" s="12">
        <f ca="1">IFERROR(__xludf.DUMMYFUNCTION("INDEX(IMPORTRANGE(""1y0FWgjbB0gVlqn-q5LMJbGIsqOrzru4yowQz67dz2yc"", ""'SNG'!BI3:BI139""),MATCH(D30,IMPORTRANGE(""1y0FWgjbB0gVlqn-q5LMJbGIsqOrzru4yowQz67dz2yc"", ""'SNG'!D3:D139""),0))"),0)</f>
        <v>0</v>
      </c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9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12">
        <f ca="1">IFERROR(__xludf.DUMMYFUNCTION("INDEX(IMPORTRANGE(""1y0FWgjbB0gVlqn-q5LMJbGIsqOrzru4yowQz67dz2yc"", ""'SNG'!BH3:BH139""),MATCH(D31,IMPORTRANGE(""1y0FWgjbB0gVlqn-q5LMJbGIsqOrzru4yowQz67dz2yc"", ""'SNG'!D3:D139""),0))"),0)</f>
        <v>0</v>
      </c>
      <c r="Z31" s="12">
        <f ca="1">IFERROR(__xludf.DUMMYFUNCTION("INDEX(IMPORTRANGE(""1y0FWgjbB0gVlqn-q5LMJbGIsqOrzru4yowQz67dz2yc"", ""'SNG'!BI3:BI139""),MATCH(D31,IMPORTRANGE(""1y0FWgjbB0gVlqn-q5LMJbGIsqOrzru4yowQz67dz2yc"", ""'SNG'!D3:D139""),0))"),0)</f>
        <v>0</v>
      </c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9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1</v>
      </c>
      <c r="R32" s="13"/>
      <c r="S32" s="13"/>
      <c r="T32" s="13"/>
      <c r="U32" s="13"/>
      <c r="V32" s="13"/>
      <c r="W32" s="13"/>
      <c r="X32" s="12">
        <v>0</v>
      </c>
      <c r="Y32" s="12">
        <f ca="1">IFERROR(__xludf.DUMMYFUNCTION("INDEX(IMPORTRANGE(""1y0FWgjbB0gVlqn-q5LMJbGIsqOrzru4yowQz67dz2yc"", ""'SNG'!BH3:BH139""),MATCH(D32,IMPORTRANGE(""1y0FWgjbB0gVlqn-q5LMJbGIsqOrzru4yowQz67dz2yc"", ""'SNG'!D3:D139""),0))"),0)</f>
        <v>0</v>
      </c>
      <c r="Z32" s="12">
        <f ca="1">IFERROR(__xludf.DUMMYFUNCTION("INDEX(IMPORTRANGE(""1y0FWgjbB0gVlqn-q5LMJbGIsqOrzru4yowQz67dz2yc"", ""'SNG'!BI3:BI139""),MATCH(D32,IMPORTRANGE(""1y0FWgjbB0gVlqn-q5LMJbGIsqOrzru4yowQz67dz2yc"", ""'SNG'!D3:D139""),0))"),0)</f>
        <v>0</v>
      </c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9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13"/>
      <c r="X33" s="12">
        <v>0</v>
      </c>
      <c r="Y33" s="12">
        <f ca="1">IFERROR(__xludf.DUMMYFUNCTION("INDEX(IMPORTRANGE(""1y0FWgjbB0gVlqn-q5LMJbGIsqOrzru4yowQz67dz2yc"", ""'SNG'!BH3:BH139""),MATCH(D33,IMPORTRANGE(""1y0FWgjbB0gVlqn-q5LMJbGIsqOrzru4yowQz67dz2yc"", ""'SNG'!D3:D139""),0))"),3)</f>
        <v>3</v>
      </c>
      <c r="Z33" s="12">
        <f ca="1">IFERROR(__xludf.DUMMYFUNCTION("INDEX(IMPORTRANGE(""1y0FWgjbB0gVlqn-q5LMJbGIsqOrzru4yowQz67dz2yc"", ""'SNG'!BI3:BI139""),MATCH(D33,IMPORTRANGE(""1y0FWgjbB0gVlqn-q5LMJbGIsqOrzru4yowQz67dz2yc"", ""'SNG'!D3:D139""),0))"),1)</f>
        <v>1</v>
      </c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9" t="s">
        <v>76</v>
      </c>
      <c r="F34" s="9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4.4112920674465554</v>
      </c>
      <c r="Q34" s="23">
        <f t="shared" si="7"/>
        <v>8.6125226078718455</v>
      </c>
      <c r="R34" s="2">
        <v>6.8</v>
      </c>
      <c r="S34" s="2">
        <v>2.6</v>
      </c>
      <c r="T34" s="2">
        <v>5</v>
      </c>
      <c r="U34" s="2">
        <v>1.7</v>
      </c>
      <c r="V34" s="2">
        <v>3.25</v>
      </c>
      <c r="W34" s="2">
        <v>3.25</v>
      </c>
      <c r="X34" s="23">
        <f>(SUM(X23:X33)/X$2)*100000</f>
        <v>5.2186619350798455</v>
      </c>
      <c r="Y34" s="23">
        <f ca="1">IFERROR(__xludf.DUMMYFUNCTION("INDEX(IMPORTRANGE(""1y0FWgjbB0gVlqn-q5LMJbGIsqOrzru4yowQz67dz2yc"", ""'SNG'!BH3:BH139""),MATCH(D34,IMPORTRANGE(""1y0FWgjbB0gVlqn-q5LMJbGIsqOrzru4yowQz67dz2yc"", ""'SNG'!D3:D139""),0))"),11.2723097797724)</f>
        <v>11.272309779772399</v>
      </c>
      <c r="Z34" s="23">
        <f ca="1">IFERROR(__xludf.DUMMYFUNCTION("INDEX(IMPORTRANGE(""1y0FWgjbB0gVlqn-q5LMJbGIsqOrzru4yowQz67dz2yc"", ""'SNG'!BI3:BI139""),MATCH(D34,IMPORTRANGE(""1y0FWgjbB0gVlqn-q5LMJbGIsqOrzru4yowQz67dz2yc"", ""'SNG'!D3:D139""),0))"),3.93172050019762)</f>
        <v>3.9317205001976201</v>
      </c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9" t="s">
        <v>38</v>
      </c>
      <c r="F35" s="2" t="s">
        <v>122</v>
      </c>
      <c r="G35" s="11">
        <v>44469</v>
      </c>
      <c r="H35" s="11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30">
        <v>126480</v>
      </c>
      <c r="Q35" s="12">
        <v>126480</v>
      </c>
      <c r="R35" s="13"/>
      <c r="S35" s="13"/>
      <c r="T35" s="13"/>
      <c r="U35" s="13"/>
      <c r="V35" s="13"/>
      <c r="W35" s="13"/>
      <c r="X35" s="12">
        <v>126480</v>
      </c>
      <c r="Y35" s="12">
        <f ca="1">IFERROR(__xludf.DUMMYFUNCTION("INDEX(IMPORTRANGE(""1y0FWgjbB0gVlqn-q5LMJbGIsqOrzru4yowQz67dz2yc"", ""'SNG'!BH3:BH139""),MATCH(D35,IMPORTRANGE(""1y0FWgjbB0gVlqn-q5LMJbGIsqOrzru4yowQz67dz2yc"", ""'SNG'!D3:D139""),0))"),125979)</f>
        <v>125979</v>
      </c>
      <c r="Z35" s="12">
        <f ca="1">IFERROR(__xludf.DUMMYFUNCTION("INDEX(IMPORTRANGE(""1y0FWgjbB0gVlqn-q5LMJbGIsqOrzru4yowQz67dz2yc"", ""'SNG'!BI3:BI139""),MATCH(D35,IMPORTRANGE(""1y0FWgjbB0gVlqn-q5LMJbGIsqOrzru4yowQz67dz2yc"", ""'SNG'!D3:D139""),0))"),127275)</f>
        <v>127275</v>
      </c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9" t="s">
        <v>38</v>
      </c>
      <c r="F36" s="2" t="s">
        <v>124</v>
      </c>
      <c r="G36" s="11">
        <v>44469</v>
      </c>
      <c r="H36" s="11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23">
        <v>0</v>
      </c>
      <c r="Q36" s="23">
        <v>0</v>
      </c>
      <c r="R36" s="1"/>
      <c r="S36" s="1"/>
      <c r="T36" s="1"/>
      <c r="U36" s="1"/>
      <c r="V36" s="1"/>
      <c r="W36" s="1"/>
      <c r="X36" s="23">
        <v>0</v>
      </c>
      <c r="Y36" s="23">
        <f ca="1">IFERROR(__xludf.DUMMYFUNCTION("INDEX(IMPORTRANGE(""1y0FWgjbB0gVlqn-q5LMJbGIsqOrzru4yowQz67dz2yc"", ""'SNG'!BH3:BH139""),MATCH(D36,IMPORTRANGE(""1y0FWgjbB0gVlqn-q5LMJbGIsqOrzru4yowQz67dz2yc"", ""'SNG'!D3:D139""),0))"),0)</f>
        <v>0</v>
      </c>
      <c r="Z36" s="23">
        <f ca="1">IFERROR(__xludf.DUMMYFUNCTION("INDEX(IMPORTRANGE(""1y0FWgjbB0gVlqn-q5LMJbGIsqOrzru4yowQz67dz2yc"", ""'SNG'!BI3:BI139""),MATCH(D36,IMPORTRANGE(""1y0FWgjbB0gVlqn-q5LMJbGIsqOrzru4yowQz67dz2yc"", ""'SNG'!D3:D139""),0))"),0)</f>
        <v>0</v>
      </c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9" t="s">
        <v>38</v>
      </c>
      <c r="F37" s="2" t="s">
        <v>126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5">
        <f t="shared" ref="P37:Q37" si="8">P36/P35</f>
        <v>0</v>
      </c>
      <c r="Q37" s="15">
        <f t="shared" si="8"/>
        <v>0</v>
      </c>
      <c r="R37" s="329"/>
      <c r="S37" s="329"/>
      <c r="T37" s="329"/>
      <c r="U37" s="329"/>
      <c r="V37" s="329"/>
      <c r="W37" s="329"/>
      <c r="X37" s="15">
        <f>X36/X35</f>
        <v>0</v>
      </c>
      <c r="Y37" s="15">
        <f ca="1">IFERROR(__xludf.DUMMYFUNCTION("INDEX(IMPORTRANGE(""1y0FWgjbB0gVlqn-q5LMJbGIsqOrzru4yowQz67dz2yc"", ""'SNG'!BH3:BH139""),MATCH(D37,IMPORTRANGE(""1y0FWgjbB0gVlqn-q5LMJbGIsqOrzru4yowQz67dz2yc"", ""'SNG'!D3:D139""),0))"),0)</f>
        <v>0</v>
      </c>
      <c r="Z37" s="26">
        <f ca="1">IFERROR(__xludf.DUMMYFUNCTION("INDEX(IMPORTRANGE(""1y0FWgjbB0gVlqn-q5LMJbGIsqOrzru4yowQz67dz2yc"", ""'SNG'!BI3:BI139""),MATCH(D37,IMPORTRANGE(""1y0FWgjbB0gVlqn-q5LMJbGIsqOrzru4yowQz67dz2yc"", ""'SNG'!D3:D139""),0))"),0)</f>
        <v>0</v>
      </c>
      <c r="AA37" s="1"/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7" t="s">
        <v>330</v>
      </c>
      <c r="E38" s="9" t="s">
        <v>38</v>
      </c>
      <c r="F38" s="2" t="s">
        <v>176</v>
      </c>
      <c r="G38" s="2" t="s">
        <v>56</v>
      </c>
      <c r="H38" s="2" t="s">
        <v>57</v>
      </c>
      <c r="I38" s="9" t="s">
        <v>58</v>
      </c>
      <c r="J38" s="9" t="s">
        <v>59</v>
      </c>
      <c r="K38" s="9" t="s">
        <v>60</v>
      </c>
      <c r="L38" s="9" t="s">
        <v>61</v>
      </c>
      <c r="M38" s="9" t="s">
        <v>62</v>
      </c>
      <c r="N38" s="9" t="s">
        <v>63</v>
      </c>
      <c r="O38" s="9" t="s">
        <v>63</v>
      </c>
      <c r="P38" s="12"/>
      <c r="Q38" s="12"/>
      <c r="R38" s="1"/>
      <c r="S38" s="1"/>
      <c r="T38" s="1"/>
      <c r="U38" s="1"/>
      <c r="V38" s="1"/>
      <c r="W38" s="1"/>
      <c r="X38" s="12"/>
      <c r="Y38" s="12"/>
      <c r="Z38" s="12"/>
      <c r="AA38" s="1"/>
      <c r="AB38" s="1"/>
      <c r="AC38" s="1"/>
    </row>
    <row r="39" spans="1:29">
      <c r="A39" s="7" t="s">
        <v>119</v>
      </c>
      <c r="B39" s="7" t="s">
        <v>120</v>
      </c>
      <c r="C39" s="1" t="s">
        <v>30</v>
      </c>
      <c r="D39" s="7" t="s">
        <v>331</v>
      </c>
      <c r="E39" s="9" t="s">
        <v>38</v>
      </c>
      <c r="F39" s="2" t="s">
        <v>332</v>
      </c>
      <c r="G39" s="2" t="s">
        <v>56</v>
      </c>
      <c r="H39" s="2" t="s">
        <v>57</v>
      </c>
      <c r="I39" s="9" t="s">
        <v>58</v>
      </c>
      <c r="J39" s="9" t="s">
        <v>59</v>
      </c>
      <c r="K39" s="9" t="s">
        <v>60</v>
      </c>
      <c r="L39" s="9" t="s">
        <v>61</v>
      </c>
      <c r="M39" s="9" t="s">
        <v>62</v>
      </c>
      <c r="N39" s="9" t="s">
        <v>63</v>
      </c>
      <c r="O39" s="9" t="s">
        <v>63</v>
      </c>
      <c r="P39" s="12"/>
      <c r="Q39" s="12"/>
      <c r="R39" s="1"/>
      <c r="S39" s="1"/>
      <c r="T39" s="1"/>
      <c r="U39" s="1"/>
      <c r="V39" s="1"/>
      <c r="W39" s="1"/>
      <c r="X39" s="12"/>
      <c r="Y39" s="12"/>
      <c r="Z39" s="12"/>
      <c r="AA39" s="1"/>
      <c r="AB39" s="1"/>
      <c r="AC39" s="1"/>
    </row>
    <row r="40" spans="1:29">
      <c r="A40" s="7" t="s">
        <v>119</v>
      </c>
      <c r="B40" s="7" t="s">
        <v>120</v>
      </c>
      <c r="C40" s="1" t="s">
        <v>36</v>
      </c>
      <c r="D40" s="7" t="s">
        <v>333</v>
      </c>
      <c r="E40" s="9" t="s">
        <v>38</v>
      </c>
      <c r="F40" s="2" t="s">
        <v>334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2"/>
      <c r="S40" s="26">
        <v>5.0000000000000001E-4</v>
      </c>
      <c r="T40" s="26">
        <v>5.0000000000000001E-4</v>
      </c>
      <c r="U40" s="26">
        <v>1.5E-3</v>
      </c>
      <c r="V40" s="26">
        <v>1.5E-3</v>
      </c>
      <c r="W40" s="26">
        <f>V40</f>
        <v>1.5E-3</v>
      </c>
      <c r="X40" s="12"/>
      <c r="Y40" s="12"/>
      <c r="Z40" s="26">
        <f ca="1">IFERROR(__xludf.DUMMYFUNCTION("INDEX(IMPORTRANGE(""1y0FWgjbB0gVlqn-q5LMJbGIsqOrzru4yowQz67dz2yc"", ""'SNG'!BI3:BI139""),MATCH(D40,IMPORTRANGE(""1y0FWgjbB0gVlqn-q5LMJbGIsqOrzru4yowQz67dz2yc"", ""'SNG'!D3:D139""),0))"),0.000545762469288934)</f>
        <v>5.4576246928893398E-4</v>
      </c>
      <c r="AA40" s="1"/>
      <c r="AB40" s="1"/>
      <c r="AC40" s="1"/>
    </row>
    <row r="41" spans="1:29">
      <c r="A41" s="7" t="s">
        <v>119</v>
      </c>
      <c r="B41" s="7" t="s">
        <v>127</v>
      </c>
      <c r="C41" s="1" t="s">
        <v>36</v>
      </c>
      <c r="D41" s="7" t="s">
        <v>128</v>
      </c>
      <c r="E41" s="9" t="s">
        <v>38</v>
      </c>
      <c r="F41" s="9" t="s">
        <v>129</v>
      </c>
      <c r="G41" s="2" t="s">
        <v>56</v>
      </c>
      <c r="H41" s="2" t="s">
        <v>57</v>
      </c>
      <c r="I41" s="2" t="s">
        <v>58</v>
      </c>
      <c r="J41" s="2" t="s">
        <v>59</v>
      </c>
      <c r="K41" s="2" t="s">
        <v>335</v>
      </c>
      <c r="L41" s="2" t="s">
        <v>336</v>
      </c>
      <c r="M41" s="2" t="s">
        <v>337</v>
      </c>
      <c r="N41" s="12" t="s">
        <v>132</v>
      </c>
      <c r="O41" s="12" t="s">
        <v>132</v>
      </c>
      <c r="P41" s="12">
        <v>0</v>
      </c>
      <c r="Q41" s="12">
        <v>0</v>
      </c>
      <c r="R41" s="2">
        <v>1</v>
      </c>
      <c r="S41" s="2">
        <v>1</v>
      </c>
      <c r="T41" s="2">
        <v>2</v>
      </c>
      <c r="U41" s="2">
        <v>2</v>
      </c>
      <c r="V41" s="2">
        <v>3</v>
      </c>
      <c r="W41" s="2">
        <v>3</v>
      </c>
      <c r="X41" s="12">
        <v>1</v>
      </c>
      <c r="Y41" s="12">
        <f ca="1">IFERROR(__xludf.DUMMYFUNCTION("INDEX(IMPORTRANGE(""1y0FWgjbB0gVlqn-q5LMJbGIsqOrzru4yowQz67dz2yc"", ""'SNG'!BH3:BH139""),MATCH(D41,IMPORTRANGE(""1y0FWgjbB0gVlqn-q5LMJbGIsqOrzru4yowQz67dz2yc"", ""'SNG'!D3:D139""),0))"),2)</f>
        <v>2</v>
      </c>
      <c r="Z41" s="12">
        <f ca="1">IFERROR(__xludf.DUMMYFUNCTION("INDEX(IMPORTRANGE(""1y0FWgjbB0gVlqn-q5LMJbGIsqOrzru4yowQz67dz2yc"", ""'SNG'!BI3:BI139""),MATCH(D41,IMPORTRANGE(""1y0FWgjbB0gVlqn-q5LMJbGIsqOrzru4yowQz67dz2yc"", ""'SNG'!D3:D139""),0))"),3)</f>
        <v>3</v>
      </c>
      <c r="AA41" s="1"/>
      <c r="AB41" s="1"/>
      <c r="AC41" s="1"/>
    </row>
    <row r="42" spans="1:29">
      <c r="A42" s="7" t="s">
        <v>119</v>
      </c>
      <c r="B42" s="7" t="s">
        <v>133</v>
      </c>
      <c r="C42" s="1" t="s">
        <v>36</v>
      </c>
      <c r="D42" s="7" t="s">
        <v>134</v>
      </c>
      <c r="E42" s="9" t="s">
        <v>38</v>
      </c>
      <c r="F42" s="9" t="s">
        <v>135</v>
      </c>
      <c r="G42" s="2" t="s">
        <v>56</v>
      </c>
      <c r="H42" s="2" t="s">
        <v>57</v>
      </c>
      <c r="I42" s="2" t="s">
        <v>58</v>
      </c>
      <c r="J42" s="2" t="s">
        <v>59</v>
      </c>
      <c r="K42" s="2" t="s">
        <v>335</v>
      </c>
      <c r="L42" s="2" t="s">
        <v>336</v>
      </c>
      <c r="M42" s="2" t="s">
        <v>337</v>
      </c>
      <c r="N42" s="12" t="s">
        <v>132</v>
      </c>
      <c r="O42" s="12" t="s">
        <v>132</v>
      </c>
      <c r="P42" s="12">
        <v>744</v>
      </c>
      <c r="Q42" s="12">
        <v>792</v>
      </c>
      <c r="R42" s="2">
        <v>350</v>
      </c>
      <c r="S42" s="2">
        <f t="shared" ref="S42:V42" si="9">175+R42</f>
        <v>525</v>
      </c>
      <c r="T42" s="2">
        <f t="shared" si="9"/>
        <v>700</v>
      </c>
      <c r="U42" s="2">
        <f t="shared" si="9"/>
        <v>875</v>
      </c>
      <c r="V42" s="2">
        <f t="shared" si="9"/>
        <v>1050</v>
      </c>
      <c r="W42" s="2">
        <f>V42</f>
        <v>1050</v>
      </c>
      <c r="X42" s="12">
        <v>9</v>
      </c>
      <c r="Y42" s="12">
        <f ca="1">IFERROR(__xludf.DUMMYFUNCTION("INDEX(IMPORTRANGE(""1y0FWgjbB0gVlqn-q5LMJbGIsqOrzru4yowQz67dz2yc"", ""'SNG'!BH3:BH139""),MATCH(D42,IMPORTRANGE(""1y0FWgjbB0gVlqn-q5LMJbGIsqOrzru4yowQz67dz2yc"", ""'SNG'!D3:D139""),0))"),175)</f>
        <v>175</v>
      </c>
      <c r="Z42" s="12">
        <f ca="1">IFERROR(__xludf.DUMMYFUNCTION("INDEX(IMPORTRANGE(""1y0FWgjbB0gVlqn-q5LMJbGIsqOrzru4yowQz67dz2yc"", ""'SNG'!BI3:BI139""),MATCH(D42,IMPORTRANGE(""1y0FWgjbB0gVlqn-q5LMJbGIsqOrzru4yowQz67dz2yc"", ""'SNG'!D3:D139""),0))"),1557)</f>
        <v>1557</v>
      </c>
      <c r="AA42" s="1"/>
      <c r="AB42" s="1"/>
      <c r="AC42" s="1"/>
    </row>
    <row r="43" spans="1:29">
      <c r="A43" s="7" t="s">
        <v>119</v>
      </c>
      <c r="B43" s="7" t="s">
        <v>136</v>
      </c>
      <c r="C43" s="1" t="s">
        <v>30</v>
      </c>
      <c r="D43" s="7" t="s">
        <v>137</v>
      </c>
      <c r="E43" s="9" t="s">
        <v>38</v>
      </c>
      <c r="F43" s="2" t="s">
        <v>138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13"/>
      <c r="S43" s="13"/>
      <c r="T43" s="13"/>
      <c r="U43" s="13"/>
      <c r="V43" s="13"/>
      <c r="W43" s="13"/>
      <c r="X43" s="12">
        <v>2</v>
      </c>
      <c r="Y43" s="12">
        <f ca="1">IFERROR(__xludf.DUMMYFUNCTION("INDEX(IMPORTRANGE(""1y0FWgjbB0gVlqn-q5LMJbGIsqOrzru4yowQz67dz2yc"", ""'SNG'!BH3:BH139""),MATCH(D43,IMPORTRANGE(""1y0FWgjbB0gVlqn-q5LMJbGIsqOrzru4yowQz67dz2yc"", ""'SNG'!D3:D139""),0))"),3)</f>
        <v>3</v>
      </c>
      <c r="Z43" s="12">
        <f ca="1">IFERROR(__xludf.DUMMYFUNCTION("INDEX(IMPORTRANGE(""1y0FWgjbB0gVlqn-q5LMJbGIsqOrzru4yowQz67dz2yc"", ""'SNG'!BI3:BI139""),MATCH(D43,IMPORTRANGE(""1y0FWgjbB0gVlqn-q5LMJbGIsqOrzru4yowQz67dz2yc"", ""'SNG'!D3:D139""),0))"),3)</f>
        <v>3</v>
      </c>
      <c r="AA43" s="1"/>
      <c r="AB43" s="1"/>
      <c r="AC43" s="1"/>
    </row>
    <row r="44" spans="1:29">
      <c r="A44" s="7" t="s">
        <v>119</v>
      </c>
      <c r="B44" s="7" t="s">
        <v>136</v>
      </c>
      <c r="C44" s="1" t="s">
        <v>30</v>
      </c>
      <c r="D44" s="7" t="s">
        <v>139</v>
      </c>
      <c r="E44" s="9" t="s">
        <v>38</v>
      </c>
      <c r="F44" s="2" t="s">
        <v>140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/>
      <c r="Q44" s="12"/>
      <c r="R44" s="13"/>
      <c r="S44" s="13"/>
      <c r="T44" s="13"/>
      <c r="U44" s="13"/>
      <c r="V44" s="13"/>
      <c r="W44" s="13"/>
      <c r="X44" s="12"/>
      <c r="Y44" s="12">
        <f ca="1">IFERROR(__xludf.DUMMYFUNCTION("INDEX(IMPORTRANGE(""1y0FWgjbB0gVlqn-q5LMJbGIsqOrzru4yowQz67dz2yc"", ""'SNG'!BH3:BH139""),MATCH(D44,IMPORTRANGE(""1y0FWgjbB0gVlqn-q5LMJbGIsqOrzru4yowQz67dz2yc"", ""'SNG'!D3:D139""),0))"),0)</f>
        <v>0</v>
      </c>
      <c r="Z44" s="12">
        <f ca="1">IFERROR(__xludf.DUMMYFUNCTION("INDEX(IMPORTRANGE(""1y0FWgjbB0gVlqn-q5LMJbGIsqOrzru4yowQz67dz2yc"", ""'SNG'!BI3:BI139""),MATCH(D44,IMPORTRANGE(""1y0FWgjbB0gVlqn-q5LMJbGIsqOrzru4yowQz67dz2yc"", ""'SNG'!D3:D139""),0))"),0)</f>
        <v>0</v>
      </c>
      <c r="AA44" s="1"/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141</v>
      </c>
      <c r="E45" s="9" t="s">
        <v>38</v>
      </c>
      <c r="F45" s="2" t="s">
        <v>142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19</v>
      </c>
      <c r="Q45" s="12">
        <v>33</v>
      </c>
      <c r="R45" s="13"/>
      <c r="S45" s="13"/>
      <c r="T45" s="13"/>
      <c r="U45" s="13"/>
      <c r="V45" s="13"/>
      <c r="W45" s="13"/>
      <c r="X45" s="12">
        <v>15</v>
      </c>
      <c r="Y45" s="12">
        <f ca="1">IFERROR(__xludf.DUMMYFUNCTION("INDEX(IMPORTRANGE(""1y0FWgjbB0gVlqn-q5LMJbGIsqOrzru4yowQz67dz2yc"", ""'SNG'!BH3:BH139""),MATCH(D45,IMPORTRANGE(""1y0FWgjbB0gVlqn-q5LMJbGIsqOrzru4yowQz67dz2yc"", ""'SNG'!D3:D139""),0))"),25)</f>
        <v>25</v>
      </c>
      <c r="Z45" s="12">
        <f ca="1">IFERROR(__xludf.DUMMYFUNCTION("INDEX(IMPORTRANGE(""1y0FWgjbB0gVlqn-q5LMJbGIsqOrzru4yowQz67dz2yc"", ""'SNG'!BI3:BI139""),MATCH(D45,IMPORTRANGE(""1y0FWgjbB0gVlqn-q5LMJbGIsqOrzru4yowQz67dz2yc"", ""'SNG'!D3:D139""),0))"),48)</f>
        <v>48</v>
      </c>
      <c r="AA45" s="1"/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143</v>
      </c>
      <c r="E46" s="9" t="s">
        <v>38</v>
      </c>
      <c r="F46" s="2" t="s">
        <v>144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3"/>
      <c r="S46" s="13"/>
      <c r="T46" s="13"/>
      <c r="U46" s="13"/>
      <c r="V46" s="13"/>
      <c r="W46" s="13"/>
      <c r="X46" s="12"/>
      <c r="Y46" s="12">
        <f ca="1">IFERROR(__xludf.DUMMYFUNCTION("INDEX(IMPORTRANGE(""1y0FWgjbB0gVlqn-q5LMJbGIsqOrzru4yowQz67dz2yc"", ""'SNG'!BH3:BH139""),MATCH(D46,IMPORTRANGE(""1y0FWgjbB0gVlqn-q5LMJbGIsqOrzru4yowQz67dz2yc"", ""'SNG'!D3:D139""),0))"),2)</f>
        <v>2</v>
      </c>
      <c r="Z46" s="12">
        <f ca="1">IFERROR(__xludf.DUMMYFUNCTION("INDEX(IMPORTRANGE(""1y0FWgjbB0gVlqn-q5LMJbGIsqOrzru4yowQz67dz2yc"", ""'SNG'!BI3:BI139""),MATCH(D46,IMPORTRANGE(""1y0FWgjbB0gVlqn-q5LMJbGIsqOrzru4yowQz67dz2yc"", ""'SNG'!D3:D139""),0))"),3)</f>
        <v>3</v>
      </c>
      <c r="AA46" s="1"/>
      <c r="AB46" s="1"/>
      <c r="AC46" s="1"/>
    </row>
    <row r="47" spans="1:29">
      <c r="A47" s="7" t="s">
        <v>119</v>
      </c>
      <c r="B47" s="7" t="s">
        <v>136</v>
      </c>
      <c r="C47" s="1" t="s">
        <v>36</v>
      </c>
      <c r="D47" s="7" t="s">
        <v>145</v>
      </c>
      <c r="E47" s="9" t="s">
        <v>38</v>
      </c>
      <c r="F47" s="2" t="s">
        <v>146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f t="shared" ref="P47:Q47" si="10">SUM(P43:P45)</f>
        <v>19</v>
      </c>
      <c r="Q47" s="12">
        <f t="shared" si="10"/>
        <v>33</v>
      </c>
      <c r="R47" s="2">
        <v>30</v>
      </c>
      <c r="S47" s="2">
        <f t="shared" ref="S47:V47" si="11">15+R47</f>
        <v>45</v>
      </c>
      <c r="T47" s="2">
        <f t="shared" si="11"/>
        <v>60</v>
      </c>
      <c r="U47" s="2">
        <f t="shared" si="11"/>
        <v>75</v>
      </c>
      <c r="V47" s="2">
        <f t="shared" si="11"/>
        <v>90</v>
      </c>
      <c r="W47" s="2">
        <f>V47</f>
        <v>90</v>
      </c>
      <c r="X47" s="12">
        <f>SUM(X43:X45)</f>
        <v>17</v>
      </c>
      <c r="Y47" s="12">
        <f ca="1">IFERROR(__xludf.DUMMYFUNCTION("INDEX(IMPORTRANGE(""1y0FWgjbB0gVlqn-q5LMJbGIsqOrzru4yowQz67dz2yc"", ""'SNG'!BH3:BH139""),MATCH(D47,IMPORTRANGE(""1y0FWgjbB0gVlqn-q5LMJbGIsqOrzru4yowQz67dz2yc"", ""'SNG'!D3:D139""),0))"),30)</f>
        <v>30</v>
      </c>
      <c r="Z47" s="12">
        <f ca="1">IFERROR(__xludf.DUMMYFUNCTION("INDEX(IMPORTRANGE(""1y0FWgjbB0gVlqn-q5LMJbGIsqOrzru4yowQz67dz2yc"", ""'SNG'!BI3:BI139""),MATCH(D47,IMPORTRANGE(""1y0FWgjbB0gVlqn-q5LMJbGIsqOrzru4yowQz67dz2yc"", ""'SNG'!D3:D139""),0))"),54)</f>
        <v>54</v>
      </c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30</v>
      </c>
      <c r="D48" s="7" t="s">
        <v>149</v>
      </c>
      <c r="E48" s="9" t="s">
        <v>38</v>
      </c>
      <c r="F48" s="9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150</v>
      </c>
      <c r="Q48" s="2" t="s">
        <v>150</v>
      </c>
      <c r="R48" s="1" t="s">
        <v>151</v>
      </c>
      <c r="S48" s="1" t="s">
        <v>151</v>
      </c>
      <c r="T48" s="1" t="s">
        <v>151</v>
      </c>
      <c r="U48" s="1" t="s">
        <v>151</v>
      </c>
      <c r="V48" s="1" t="s">
        <v>151</v>
      </c>
      <c r="W48" s="1" t="s">
        <v>151</v>
      </c>
      <c r="X48" s="2" t="s">
        <v>150</v>
      </c>
      <c r="Y48" s="2" t="str">
        <f ca="1">IFERROR(__xludf.DUMMYFUNCTION("INDEX(IMPORTRANGE(""1y0FWgjbB0gVlqn-q5LMJbGIsqOrzru4yowQz67dz2yc"", ""'SNG'!BH3:BH139""),MATCH(D48,IMPORTRANGE(""1y0FWgjbB0gVlqn-q5LMJbGIsqOrzru4yowQz67dz2yc"", ""'SNG'!D3:D139""),0))"),"No")</f>
        <v>No</v>
      </c>
      <c r="Z48" s="2" t="str">
        <f ca="1">IFERROR(__xludf.DUMMYFUNCTION("INDEX(IMPORTRANGE(""1y0FWgjbB0gVlqn-q5LMJbGIsqOrzru4yowQz67dz2yc"", ""'SNG'!BI3:BI139""),MATCH(D48,IMPORTRANGE(""1y0FWgjbB0gVlqn-q5LMJbGIsqOrzru4yowQz67dz2yc"", ""'SNG'!D3:D139""),0))"),"Sí")</f>
        <v>Sí</v>
      </c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30</v>
      </c>
      <c r="D49" s="7" t="s">
        <v>152</v>
      </c>
      <c r="E49" s="9" t="s">
        <v>38</v>
      </c>
      <c r="F49" s="9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150</v>
      </c>
      <c r="Q49" s="2" t="s">
        <v>150</v>
      </c>
      <c r="R49" s="1" t="s">
        <v>151</v>
      </c>
      <c r="S49" s="1" t="s">
        <v>151</v>
      </c>
      <c r="T49" s="1" t="s">
        <v>151</v>
      </c>
      <c r="U49" s="1" t="s">
        <v>151</v>
      </c>
      <c r="V49" s="1" t="s">
        <v>151</v>
      </c>
      <c r="W49" s="1" t="s">
        <v>151</v>
      </c>
      <c r="X49" s="2" t="s">
        <v>150</v>
      </c>
      <c r="Y49" s="2" t="str">
        <f ca="1">IFERROR(__xludf.DUMMYFUNCTION("INDEX(IMPORTRANGE(""1y0FWgjbB0gVlqn-q5LMJbGIsqOrzru4yowQz67dz2yc"", ""'SNG'!BH3:BH139""),MATCH(D49,IMPORTRANGE(""1y0FWgjbB0gVlqn-q5LMJbGIsqOrzru4yowQz67dz2yc"", ""'SNG'!D3:D139""),0))"),"No")</f>
        <v>No</v>
      </c>
      <c r="Z49" s="2" t="str">
        <f ca="1">IFERROR(__xludf.DUMMYFUNCTION("INDEX(IMPORTRANGE(""1y0FWgjbB0gVlqn-q5LMJbGIsqOrzru4yowQz67dz2yc"", ""'SNG'!BI3:BI139""),MATCH(D49,IMPORTRANGE(""1y0FWgjbB0gVlqn-q5LMJbGIsqOrzru4yowQz67dz2yc"", ""'SNG'!D3:D139""),0))"),"No")</f>
        <v>No</v>
      </c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154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153</v>
      </c>
      <c r="Q50" s="2" t="s">
        <v>153</v>
      </c>
      <c r="R50" s="2" t="s">
        <v>155</v>
      </c>
      <c r="S50" s="1" t="s">
        <v>155</v>
      </c>
      <c r="T50" s="1" t="s">
        <v>155</v>
      </c>
      <c r="U50" s="1" t="s">
        <v>155</v>
      </c>
      <c r="V50" s="1" t="s">
        <v>155</v>
      </c>
      <c r="W50" s="2" t="s">
        <v>155</v>
      </c>
      <c r="X50" s="2" t="s">
        <v>153</v>
      </c>
      <c r="Y50" s="2" t="str">
        <f ca="1">IFERROR(__xludf.DUMMYFUNCTION("INDEX(IMPORTRANGE(""1y0FWgjbB0gVlqn-q5LMJbGIsqOrzru4yowQz67dz2yc"", ""'SNG'!BH3:BH139""),MATCH(D50,IMPORTRANGE(""1y0FWgjbB0gVlqn-q5LMJbGIsqOrzru4yowQz67dz2yc"", ""'SNG'!D3:D139""),0))"),"Sí")</f>
        <v>Sí</v>
      </c>
      <c r="Z50" s="2" t="str">
        <f ca="1">IFERROR(__xludf.DUMMYFUNCTION("INDEX(IMPORTRANGE(""1y0FWgjbB0gVlqn-q5LMJbGIsqOrzru4yowQz67dz2yc"", ""'SNG'!BI3:BI139""),MATCH(D50,IMPORTRANGE(""1y0FWgjbB0gVlqn-q5LMJbGIsqOrzru4yowQz67dz2yc"", ""'SNG'!D3:D139""),0))"),"Sí ")</f>
        <v xml:space="preserve">Sí </v>
      </c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36</v>
      </c>
      <c r="D51" s="7" t="s">
        <v>156</v>
      </c>
      <c r="E51" s="9" t="s">
        <v>38</v>
      </c>
      <c r="F51" s="9"/>
      <c r="G51" s="11">
        <v>44469</v>
      </c>
      <c r="H51" s="49" t="s">
        <v>57</v>
      </c>
      <c r="I51" s="49" t="s">
        <v>58</v>
      </c>
      <c r="J51" s="49" t="s">
        <v>59</v>
      </c>
      <c r="K51" s="49" t="s">
        <v>335</v>
      </c>
      <c r="L51" s="49" t="s">
        <v>336</v>
      </c>
      <c r="M51" s="49" t="s">
        <v>337</v>
      </c>
      <c r="N51" s="12" t="s">
        <v>132</v>
      </c>
      <c r="O51" s="12" t="s">
        <v>132</v>
      </c>
      <c r="P51" s="23">
        <f t="shared" ref="P51:Q51" si="12">COUNTIF(P48:P50,"Sí")*(1/3)</f>
        <v>0.33333333333333331</v>
      </c>
      <c r="Q51" s="23">
        <f t="shared" si="12"/>
        <v>0.33333333333333331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23">
        <f>COUNTIF(X48:X50,"Sí")*(1/3)</f>
        <v>0.33333333333333331</v>
      </c>
      <c r="Y51" s="23">
        <f ca="1">IFERROR(__xludf.DUMMYFUNCTION("INDEX(IMPORTRANGE(""1y0FWgjbB0gVlqn-q5LMJbGIsqOrzru4yowQz67dz2yc"", ""'SNG'!BH3:BH139""),MATCH(D51,IMPORTRANGE(""1y0FWgjbB0gVlqn-q5LMJbGIsqOrzru4yowQz67dz2yc"", ""'SNG'!D3:D139""),0))"),0.333333333333333)</f>
        <v>0.33333333333333298</v>
      </c>
      <c r="Z51" s="23">
        <f ca="1">IFERROR(__xludf.DUMMYFUNCTION("INDEX(IMPORTRANGE(""1y0FWgjbB0gVlqn-q5LMJbGIsqOrzru4yowQz67dz2yc"", ""'SNG'!BI3:BI139""),MATCH(D51,IMPORTRANGE(""1y0FWgjbB0gVlqn-q5LMJbGIsqOrzru4yowQz67dz2yc"", ""'SNG'!D3:D139""),0))"),0.333333333333333)</f>
        <v>0.33333333333333298</v>
      </c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158</v>
      </c>
      <c r="E52" s="9" t="s">
        <v>38</v>
      </c>
      <c r="F52" s="9"/>
      <c r="G52" s="11">
        <v>44469</v>
      </c>
      <c r="H52" s="49" t="s">
        <v>57</v>
      </c>
      <c r="I52" s="49" t="s">
        <v>58</v>
      </c>
      <c r="J52" s="49" t="s">
        <v>59</v>
      </c>
      <c r="K52" s="49" t="s">
        <v>335</v>
      </c>
      <c r="L52" s="49" t="s">
        <v>336</v>
      </c>
      <c r="M52" s="49" t="s">
        <v>337</v>
      </c>
      <c r="N52" s="12" t="s">
        <v>132</v>
      </c>
      <c r="O52" s="12" t="s">
        <v>132</v>
      </c>
      <c r="P52" s="30" t="s">
        <v>150</v>
      </c>
      <c r="Q52" s="2" t="s">
        <v>150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2" t="s">
        <v>150</v>
      </c>
      <c r="Y52" s="2">
        <f ca="1">IFERROR(__xludf.DUMMYFUNCTION("INDEX(IMPORTRANGE(""1y0FWgjbB0gVlqn-q5LMJbGIsqOrzru4yowQz67dz2yc"", ""'SNG'!BH3:BH139""),MATCH(D52,IMPORTRANGE(""1y0FWgjbB0gVlqn-q5LMJbGIsqOrzru4yowQz67dz2yc"", ""'SNG'!D3:D139""),0))"),0.5)</f>
        <v>0.5</v>
      </c>
      <c r="Z52" s="24">
        <f ca="1">IFERROR(__xludf.DUMMYFUNCTION("INDEX(IMPORTRANGE(""1y0FWgjbB0gVlqn-q5LMJbGIsqOrzru4yowQz67dz2yc"", ""'SNG'!BI3:BI139""),MATCH(D52,IMPORTRANGE(""1y0FWgjbB0gVlqn-q5LMJbGIsqOrzru4yowQz67dz2yc"", ""'SNG'!D3:D139""),0))"),0.5)</f>
        <v>0.5</v>
      </c>
      <c r="AA52" s="1"/>
      <c r="AB52" s="1"/>
      <c r="AC52" s="1"/>
    </row>
    <row r="53" spans="1:29">
      <c r="A53" s="7" t="s">
        <v>147</v>
      </c>
      <c r="B53" s="7" t="s">
        <v>148</v>
      </c>
      <c r="C53" s="1" t="s">
        <v>30</v>
      </c>
      <c r="D53" s="7" t="s">
        <v>162</v>
      </c>
      <c r="E53" s="9" t="s">
        <v>38</v>
      </c>
      <c r="F53" s="9" t="s">
        <v>163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1</v>
      </c>
      <c r="Q53" s="12">
        <v>1</v>
      </c>
      <c r="R53" s="13"/>
      <c r="S53" s="13"/>
      <c r="T53" s="13"/>
      <c r="U53" s="13"/>
      <c r="V53" s="13"/>
      <c r="W53" s="13"/>
      <c r="X53" s="12">
        <v>1</v>
      </c>
      <c r="Y53" s="12">
        <f ca="1">IFERROR(__xludf.DUMMYFUNCTION("INDEX(IMPORTRANGE(""1y0FWgjbB0gVlqn-q5LMJbGIsqOrzru4yowQz67dz2yc"", ""'SNG'!BH3:BH139""),MATCH(D53,IMPORTRANGE(""1y0FWgjbB0gVlqn-q5LMJbGIsqOrzru4yowQz67dz2yc"", ""'SNG'!D3:D139""),0))"),1)</f>
        <v>1</v>
      </c>
      <c r="Z53" s="12">
        <f ca="1">IFERROR(__xludf.DUMMYFUNCTION("INDEX(IMPORTRANGE(""1y0FWgjbB0gVlqn-q5LMJbGIsqOrzru4yowQz67dz2yc"", ""'SNG'!BI3:BI139""),MATCH(D53,IMPORTRANGE(""1y0FWgjbB0gVlqn-q5LMJbGIsqOrzru4yowQz67dz2yc"", ""'SNG'!D3:D139""),0))"),1)</f>
        <v>1</v>
      </c>
      <c r="AA53" s="1"/>
      <c r="AB53" s="1"/>
      <c r="AC53" s="1"/>
    </row>
    <row r="54" spans="1:29">
      <c r="A54" s="7" t="s">
        <v>147</v>
      </c>
      <c r="B54" s="7" t="s">
        <v>148</v>
      </c>
      <c r="C54" s="1" t="s">
        <v>30</v>
      </c>
      <c r="D54" s="7" t="s">
        <v>164</v>
      </c>
      <c r="E54" s="9" t="s">
        <v>38</v>
      </c>
      <c r="F54" s="9" t="s">
        <v>165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13"/>
      <c r="S54" s="13"/>
      <c r="T54" s="13"/>
      <c r="U54" s="13"/>
      <c r="V54" s="13"/>
      <c r="W54" s="13"/>
      <c r="X54" s="12">
        <v>0</v>
      </c>
      <c r="Y54" s="12">
        <f ca="1">IFERROR(__xludf.DUMMYFUNCTION("INDEX(IMPORTRANGE(""1y0FWgjbB0gVlqn-q5LMJbGIsqOrzru4yowQz67dz2yc"", ""'SNG'!BH3:BH139""),MATCH(D54,IMPORTRANGE(""1y0FWgjbB0gVlqn-q5LMJbGIsqOrzru4yowQz67dz2yc"", ""'SNG'!D3:D139""),0))"),0)</f>
        <v>0</v>
      </c>
      <c r="Z54" s="12">
        <f ca="1">IFERROR(__xludf.DUMMYFUNCTION("INDEX(IMPORTRANGE(""1y0FWgjbB0gVlqn-q5LMJbGIsqOrzru4yowQz67dz2yc"", ""'SNG'!BI3:BI139""),MATCH(D54,IMPORTRANGE(""1y0FWgjbB0gVlqn-q5LMJbGIsqOrzru4yowQz67dz2yc"", ""'SNG'!D3:D139""),0))"),0)</f>
        <v>0</v>
      </c>
      <c r="AA54" s="1"/>
      <c r="AB54" s="1"/>
      <c r="AC54" s="1"/>
    </row>
    <row r="55" spans="1:29">
      <c r="A55" s="7" t="s">
        <v>147</v>
      </c>
      <c r="B55" s="7" t="s">
        <v>148</v>
      </c>
      <c r="C55" s="1" t="s">
        <v>36</v>
      </c>
      <c r="D55" s="7" t="s">
        <v>166</v>
      </c>
      <c r="E55" s="9" t="s">
        <v>38</v>
      </c>
      <c r="F55" s="9" t="s">
        <v>167</v>
      </c>
      <c r="G55" s="11">
        <v>44469</v>
      </c>
      <c r="H55" s="49" t="s">
        <v>57</v>
      </c>
      <c r="I55" s="49" t="s">
        <v>58</v>
      </c>
      <c r="J55" s="49" t="s">
        <v>59</v>
      </c>
      <c r="K55" s="49" t="s">
        <v>335</v>
      </c>
      <c r="L55" s="49" t="s">
        <v>336</v>
      </c>
      <c r="M55" s="49" t="s">
        <v>337</v>
      </c>
      <c r="N55" s="12" t="s">
        <v>132</v>
      </c>
      <c r="O55" s="12" t="s">
        <v>132</v>
      </c>
      <c r="P55" s="15">
        <f t="shared" ref="P55:Q55" si="13">P54/P53</f>
        <v>0</v>
      </c>
      <c r="Q55" s="15">
        <f t="shared" si="13"/>
        <v>0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5">
        <f>X54/X53</f>
        <v>0</v>
      </c>
      <c r="Y55" s="15">
        <f ca="1">IFERROR(__xludf.DUMMYFUNCTION("INDEX(IMPORTRANGE(""1y0FWgjbB0gVlqn-q5LMJbGIsqOrzru4yowQz67dz2yc"", ""'SNG'!BH3:BH139""),MATCH(D55,IMPORTRANGE(""1y0FWgjbB0gVlqn-q5LMJbGIsqOrzru4yowQz67dz2yc"", ""'SNG'!D3:D139""),0))"),0)</f>
        <v>0</v>
      </c>
      <c r="Z55" s="15">
        <f ca="1">IFERROR(__xludf.DUMMYFUNCTION("INDEX(IMPORTRANGE(""1y0FWgjbB0gVlqn-q5LMJbGIsqOrzru4yowQz67dz2yc"", ""'SNG'!BI3:BI139""),MATCH(D55,IMPORTRANGE(""1y0FWgjbB0gVlqn-q5LMJbGIsqOrzru4yowQz67dz2yc"", ""'SNG'!D3:D139""),0))"),0)</f>
        <v>0</v>
      </c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169</v>
      </c>
      <c r="E56" s="9" t="s">
        <v>38</v>
      </c>
      <c r="F56" s="9" t="s">
        <v>170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35610</v>
      </c>
      <c r="Q56" s="12">
        <v>35610</v>
      </c>
      <c r="R56" s="13"/>
      <c r="S56" s="13"/>
      <c r="T56" s="13"/>
      <c r="U56" s="13"/>
      <c r="V56" s="13"/>
      <c r="W56" s="13"/>
      <c r="X56" s="12">
        <v>35610</v>
      </c>
      <c r="Y56" s="12">
        <f ca="1">IFERROR(__xludf.DUMMYFUNCTION("INDEX(IMPORTRANGE(""1y0FWgjbB0gVlqn-q5LMJbGIsqOrzru4yowQz67dz2yc"", ""'SNG'!BH3:BH139""),MATCH(D56,IMPORTRANGE(""1y0FWgjbB0gVlqn-q5LMJbGIsqOrzru4yowQz67dz2yc"", ""'SNG'!D3:D139""),0))"),35715)</f>
        <v>35715</v>
      </c>
      <c r="Z56" s="12">
        <f ca="1">IFERROR(__xludf.DUMMYFUNCTION("INDEX(IMPORTRANGE(""1y0FWgjbB0gVlqn-q5LMJbGIsqOrzru4yowQz67dz2yc"", ""'SNG'!BI3:BI139""),MATCH(D56,IMPORTRANGE(""1y0FWgjbB0gVlqn-q5LMJbGIsqOrzru4yowQz67dz2yc"", ""'SNG'!D3:D139""),0))"),35760)</f>
        <v>35760</v>
      </c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30</v>
      </c>
      <c r="D57" s="7" t="s">
        <v>171</v>
      </c>
      <c r="E57" s="9" t="s">
        <v>38</v>
      </c>
      <c r="F57" s="9" t="s">
        <v>172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35610</v>
      </c>
      <c r="Q57" s="12">
        <v>35610</v>
      </c>
      <c r="R57" s="13"/>
      <c r="S57" s="13"/>
      <c r="T57" s="13"/>
      <c r="U57" s="13"/>
      <c r="V57" s="13"/>
      <c r="W57" s="13"/>
      <c r="X57" s="12">
        <v>35610</v>
      </c>
      <c r="Y57" s="12">
        <f ca="1">IFERROR(__xludf.DUMMYFUNCTION("INDEX(IMPORTRANGE(""1y0FWgjbB0gVlqn-q5LMJbGIsqOrzru4yowQz67dz2yc"", ""'SNG'!BH3:BH139""),MATCH(D57,IMPORTRANGE(""1y0FWgjbB0gVlqn-q5LMJbGIsqOrzru4yowQz67dz2yc"", ""'SNG'!D3:D139""),0))"),35715)</f>
        <v>35715</v>
      </c>
      <c r="Z57" s="12">
        <f ca="1">IFERROR(__xludf.DUMMYFUNCTION("INDEX(IMPORTRANGE(""1y0FWgjbB0gVlqn-q5LMJbGIsqOrzru4yowQz67dz2yc"", ""'SNG'!BI3:BI139""),MATCH(D57,IMPORTRANGE(""1y0FWgjbB0gVlqn-q5LMJbGIsqOrzru4yowQz67dz2yc"", ""'SNG'!D3:D139""),0))"),35760)</f>
        <v>35760</v>
      </c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36</v>
      </c>
      <c r="D58" s="7" t="s">
        <v>173</v>
      </c>
      <c r="E58" s="9" t="s">
        <v>38</v>
      </c>
      <c r="F58" s="9" t="s">
        <v>174</v>
      </c>
      <c r="G58" s="11">
        <v>44469</v>
      </c>
      <c r="H58" s="49" t="s">
        <v>57</v>
      </c>
      <c r="I58" s="49" t="s">
        <v>58</v>
      </c>
      <c r="J58" s="49" t="s">
        <v>59</v>
      </c>
      <c r="K58" s="49" t="s">
        <v>335</v>
      </c>
      <c r="L58" s="49" t="s">
        <v>336</v>
      </c>
      <c r="M58" s="49" t="s">
        <v>337</v>
      </c>
      <c r="N58" s="12" t="s">
        <v>132</v>
      </c>
      <c r="O58" s="12" t="s">
        <v>132</v>
      </c>
      <c r="P58" s="14">
        <f t="shared" ref="P58:Q58" si="14">P56/P57</f>
        <v>1</v>
      </c>
      <c r="Q58" s="14">
        <f t="shared" si="14"/>
        <v>1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4">
        <f>X56/X57</f>
        <v>1</v>
      </c>
      <c r="Y58" s="14">
        <f ca="1">IFERROR(__xludf.DUMMYFUNCTION("INDEX(IMPORTRANGE(""1y0FWgjbB0gVlqn-q5LMJbGIsqOrzru4yowQz67dz2yc"", ""'SNG'!BH3:BH139""),MATCH(D58,IMPORTRANGE(""1y0FWgjbB0gVlqn-q5LMJbGIsqOrzru4yowQz67dz2yc"", ""'SNG'!D3:D139""),0))"),1)</f>
        <v>1</v>
      </c>
      <c r="Z58" s="14">
        <f ca="1">IFERROR(__xludf.DUMMYFUNCTION("INDEX(IMPORTRANGE(""1y0FWgjbB0gVlqn-q5LMJbGIsqOrzru4yowQz67dz2yc"", ""'SNG'!BI3:BI139""),MATCH(D58,IMPORTRANGE(""1y0FWgjbB0gVlqn-q5LMJbGIsqOrzru4yowQz67dz2yc"", ""'SNG'!D3:D139""),0))"),1)</f>
        <v>1</v>
      </c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175</v>
      </c>
      <c r="E59" s="9" t="s">
        <v>38</v>
      </c>
      <c r="F59" s="9" t="s">
        <v>176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126480</v>
      </c>
      <c r="Q59" s="12">
        <v>126480</v>
      </c>
      <c r="R59" s="13"/>
      <c r="S59" s="13"/>
      <c r="T59" s="13"/>
      <c r="U59" s="13"/>
      <c r="V59" s="13"/>
      <c r="W59" s="13"/>
      <c r="X59" s="12">
        <v>126480</v>
      </c>
      <c r="Y59" s="12">
        <f ca="1">IFERROR(__xludf.DUMMYFUNCTION("INDEX(IMPORTRANGE(""1y0FWgjbB0gVlqn-q5LMJbGIsqOrzru4yowQz67dz2yc"", ""'SNG'!BH3:BH139""),MATCH(D59,IMPORTRANGE(""1y0FWgjbB0gVlqn-q5LMJbGIsqOrzru4yowQz67dz2yc"", ""'SNG'!D3:D139""),0))"),126078)</f>
        <v>126078</v>
      </c>
      <c r="Z59" s="12">
        <f ca="1">IFERROR(__xludf.DUMMYFUNCTION("INDEX(IMPORTRANGE(""1y0FWgjbB0gVlqn-q5LMJbGIsqOrzru4yowQz67dz2yc"", ""'SNG'!BI3:BI139""),MATCH(D59,IMPORTRANGE(""1y0FWgjbB0gVlqn-q5LMJbGIsqOrzru4yowQz67dz2yc"", ""'SNG'!D3:D139""),0))"),127275)</f>
        <v>127275</v>
      </c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1" t="s">
        <v>177</v>
      </c>
      <c r="E60" s="9" t="s">
        <v>38</v>
      </c>
      <c r="F60" s="2" t="s">
        <v>178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5">P59/P35</f>
        <v>1</v>
      </c>
      <c r="Q60" s="15">
        <f t="shared" si="15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X59/X35</f>
        <v>1</v>
      </c>
      <c r="Y60" s="420">
        <f ca="1">IFERROR(__xludf.DUMMYFUNCTION("INDEX(IMPORTRANGE(""1y0FWgjbB0gVlqn-q5LMJbGIsqOrzru4yowQz67dz2yc"", ""'SNG'!BH3:BH139""),MATCH(D60,IMPORTRANGE(""1y0FWgjbB0gVlqn-q5LMJbGIsqOrzru4yowQz67dz2yc"", ""'SNG'!D3:D139""),0))"),1.00078584525992)</f>
        <v>1.0007858452599201</v>
      </c>
      <c r="Z60" s="15">
        <f ca="1">IFERROR(__xludf.DUMMYFUNCTION("INDEX(IMPORTRANGE(""1y0FWgjbB0gVlqn-q5LMJbGIsqOrzru4yowQz67dz2yc"", ""'SNG'!BI3:BI139""),MATCH(D60,IMPORTRANGE(""1y0FWgjbB0gVlqn-q5LMJbGIsqOrzru4yowQz67dz2yc"", ""'SNG'!D3:D139""),0))"),1)</f>
        <v>1</v>
      </c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179</v>
      </c>
      <c r="E61" s="9" t="s">
        <v>38</v>
      </c>
      <c r="F61" s="9" t="s">
        <v>180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14999166</v>
      </c>
      <c r="Q61" s="12">
        <v>14999166</v>
      </c>
      <c r="R61" s="13"/>
      <c r="S61" s="13"/>
      <c r="T61" s="13"/>
      <c r="U61" s="13"/>
      <c r="V61" s="13"/>
      <c r="W61" s="13"/>
      <c r="X61" s="12">
        <v>14999166</v>
      </c>
      <c r="Y61" s="12">
        <f ca="1">IFERROR(__xludf.DUMMYFUNCTION("INDEX(IMPORTRANGE(""1y0FWgjbB0gVlqn-q5LMJbGIsqOrzru4yowQz67dz2yc"", ""'SNG'!BH3:BH139""),MATCH(D61,IMPORTRANGE(""1y0FWgjbB0gVlqn-q5LMJbGIsqOrzru4yowQz67dz2yc"", ""'SNG'!D3:D139""),0))"),15118730.39)</f>
        <v>15118730.390000001</v>
      </c>
      <c r="Z61" s="12">
        <f ca="1">IFERROR(__xludf.DUMMYFUNCTION("INDEX(IMPORTRANGE(""1y0FWgjbB0gVlqn-q5LMJbGIsqOrzru4yowQz67dz2yc"", ""'SNG'!BI3:BI139""),MATCH(D61,IMPORTRANGE(""1y0FWgjbB0gVlqn-q5LMJbGIsqOrzru4yowQz67dz2yc"", ""'SNG'!D3:D139""),0))"),15118730.39)</f>
        <v>15118730.390000001</v>
      </c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181</v>
      </c>
      <c r="E62" s="9" t="s">
        <v>38</v>
      </c>
      <c r="F62" s="9" t="s">
        <v>182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14999166</v>
      </c>
      <c r="Q62" s="12">
        <v>14999166</v>
      </c>
      <c r="R62" s="13"/>
      <c r="S62" s="13"/>
      <c r="T62" s="13"/>
      <c r="U62" s="13"/>
      <c r="V62" s="13"/>
      <c r="W62" s="13"/>
      <c r="X62" s="12">
        <v>14999166</v>
      </c>
      <c r="Y62" s="12">
        <f ca="1">IFERROR(__xludf.DUMMYFUNCTION("INDEX(IMPORTRANGE(""1y0FWgjbB0gVlqn-q5LMJbGIsqOrzru4yowQz67dz2yc"", ""'SNG'!BH3:BH139""),MATCH(D62,IMPORTRANGE(""1y0FWgjbB0gVlqn-q5LMJbGIsqOrzru4yowQz67dz2yc"", ""'SNG'!D3:D139""),0))"),15118730.39)</f>
        <v>15118730.390000001</v>
      </c>
      <c r="Z62" s="12">
        <f ca="1">IFERROR(__xludf.DUMMYFUNCTION("INDEX(IMPORTRANGE(""1y0FWgjbB0gVlqn-q5LMJbGIsqOrzru4yowQz67dz2yc"", ""'SNG'!BI3:BI139""),MATCH(D62,IMPORTRANGE(""1y0FWgjbB0gVlqn-q5LMJbGIsqOrzru4yowQz67dz2yc"", ""'SNG'!D3:D139""),0))"),15118730.39)</f>
        <v>15118730.390000001</v>
      </c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183</v>
      </c>
      <c r="E63" s="9" t="s">
        <v>38</v>
      </c>
      <c r="F63" s="9" t="s">
        <v>184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4">
        <f t="shared" ref="P63:Q63" si="16">P61/P62</f>
        <v>1</v>
      </c>
      <c r="Q63" s="14">
        <f t="shared" si="16"/>
        <v>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4">
        <f>X61/X62</f>
        <v>1</v>
      </c>
      <c r="Y63" s="14">
        <f ca="1">IFERROR(__xludf.DUMMYFUNCTION("INDEX(IMPORTRANGE(""1y0FWgjbB0gVlqn-q5LMJbGIsqOrzru4yowQz67dz2yc"", ""'SNG'!BH3:BH139""),MATCH(D63,IMPORTRANGE(""1y0FWgjbB0gVlqn-q5LMJbGIsqOrzru4yowQz67dz2yc"", ""'SNG'!D3:D139""),0))"),1)</f>
        <v>1</v>
      </c>
      <c r="Z63" s="14">
        <f ca="1">IFERROR(__xludf.DUMMYFUNCTION("INDEX(IMPORTRANGE(""1y0FWgjbB0gVlqn-q5LMJbGIsqOrzru4yowQz67dz2yc"", ""'SNG'!BI3:BI139""),MATCH(D63,IMPORTRANGE(""1y0FWgjbB0gVlqn-q5LMJbGIsqOrzru4yowQz67dz2yc"", ""'SNG'!D3:D139""),0))"),1)</f>
        <v>1</v>
      </c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185</v>
      </c>
      <c r="E64" s="9" t="s">
        <v>38</v>
      </c>
      <c r="F64" s="9" t="s">
        <v>186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23">
        <v>82160.14</v>
      </c>
      <c r="Q64" s="23">
        <v>82160.14</v>
      </c>
      <c r="R64" s="13"/>
      <c r="S64" s="13"/>
      <c r="T64" s="13"/>
      <c r="U64" s="13"/>
      <c r="V64" s="13"/>
      <c r="W64" s="13"/>
      <c r="X64" s="23">
        <v>82160.14</v>
      </c>
      <c r="Y64" s="23">
        <f ca="1">IFERROR(__xludf.DUMMYFUNCTION("INDEX(IMPORTRANGE(""1y0FWgjbB0gVlqn-q5LMJbGIsqOrzru4yowQz67dz2yc"", ""'SNG'!BH3:BH139""),MATCH(D64,IMPORTRANGE(""1y0FWgjbB0gVlqn-q5LMJbGIsqOrzru4yowQz67dz2yc"", ""'SNG'!D3:D139""),0))"),82819.04)</f>
        <v>82819.039999999994</v>
      </c>
      <c r="Z64" s="23">
        <f ca="1">IFERROR(__xludf.DUMMYFUNCTION("INDEX(IMPORTRANGE(""1y0FWgjbB0gVlqn-q5LMJbGIsqOrzru4yowQz67dz2yc"", ""'SNG'!BI3:BI139""),MATCH(D64,IMPORTRANGE(""1y0FWgjbB0gVlqn-q5LMJbGIsqOrzru4yowQz67dz2yc"", ""'SNG'!D3:D139""),0))"),83583.64)</f>
        <v>83583.64</v>
      </c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187</v>
      </c>
      <c r="E65" s="9" t="s">
        <v>38</v>
      </c>
      <c r="F65" s="9" t="s">
        <v>188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23">
        <v>136818.97</v>
      </c>
      <c r="Q65" s="23">
        <v>136818.97</v>
      </c>
      <c r="R65" s="13"/>
      <c r="S65" s="13"/>
      <c r="T65" s="13"/>
      <c r="U65" s="13"/>
      <c r="V65" s="13"/>
      <c r="W65" s="13"/>
      <c r="X65" s="23">
        <v>136818.97</v>
      </c>
      <c r="Y65" s="23">
        <f ca="1">IFERROR(__xludf.DUMMYFUNCTION("INDEX(IMPORTRANGE(""1y0FWgjbB0gVlqn-q5LMJbGIsqOrzru4yowQz67dz2yc"", ""'SNG'!BH3:BH139""),MATCH(D65,IMPORTRANGE(""1y0FWgjbB0gVlqn-q5LMJbGIsqOrzru4yowQz67dz2yc"", ""'SNG'!D3:D139""),0))"),136030)</f>
        <v>136030</v>
      </c>
      <c r="Z65" s="23">
        <f ca="1">IFERROR(__xludf.DUMMYFUNCTION("INDEX(IMPORTRANGE(""1y0FWgjbB0gVlqn-q5LMJbGIsqOrzru4yowQz67dz2yc"", ""'SNG'!BI3:BI139""),MATCH(D65,IMPORTRANGE(""1y0FWgjbB0gVlqn-q5LMJbGIsqOrzru4yowQz67dz2yc"", ""'SNG'!D3:D139""),0))"),136794.6)</f>
        <v>136794.6</v>
      </c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36</v>
      </c>
      <c r="D66" s="7" t="s">
        <v>189</v>
      </c>
      <c r="E66" s="9" t="s">
        <v>38</v>
      </c>
      <c r="F66" s="9" t="s">
        <v>190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7">P64/P65</f>
        <v>0.60050254727103991</v>
      </c>
      <c r="Q66" s="15">
        <f t="shared" si="17"/>
        <v>0.60050254727103991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0.60050254727103991</v>
      </c>
      <c r="Y66" s="15">
        <f ca="1">IFERROR(__xludf.DUMMYFUNCTION("INDEX(IMPORTRANGE(""1y0FWgjbB0gVlqn-q5LMJbGIsqOrzru4yowQz67dz2yc"", ""'SNG'!BH3:BH139""),MATCH(D66,IMPORTRANGE(""1y0FWgjbB0gVlqn-q5LMJbGIsqOrzru4yowQz67dz2yc"", ""'SNG'!D3:D139""),0))"),0.608829228846577)</f>
        <v>0.60882922884657698</v>
      </c>
      <c r="Z66" s="15">
        <f ca="1">IFERROR(__xludf.DUMMYFUNCTION("INDEX(IMPORTRANGE(""1y0FWgjbB0gVlqn-q5LMJbGIsqOrzru4yowQz67dz2yc"", ""'SNG'!BI3:BI139""),MATCH(D66,IMPORTRANGE(""1y0FWgjbB0gVlqn-q5LMJbGIsqOrzru4yowQz67dz2yc"", ""'SNG'!D3:D139""),0))"),0.611015639506237)</f>
        <v>0.61101563950623705</v>
      </c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191</v>
      </c>
      <c r="E67" s="9" t="s">
        <v>38</v>
      </c>
      <c r="F67" s="9" t="s">
        <v>192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v>129.41</v>
      </c>
      <c r="Q67" s="23">
        <v>258.02999999999997</v>
      </c>
      <c r="R67" s="1"/>
      <c r="S67" s="1"/>
      <c r="T67" s="1"/>
      <c r="U67" s="1"/>
      <c r="V67" s="1"/>
      <c r="W67" s="1"/>
      <c r="X67" s="23">
        <v>77.84</v>
      </c>
      <c r="Y67" s="23">
        <f ca="1">IFERROR(__xludf.DUMMYFUNCTION("INDEX(IMPORTRANGE(""1y0FWgjbB0gVlqn-q5LMJbGIsqOrzru4yowQz67dz2yc"", ""'SNG'!BH3:BH139""),MATCH(D67,IMPORTRANGE(""1y0FWgjbB0gVlqn-q5LMJbGIsqOrzru4yowQz67dz2yc"", ""'SNG'!D3:D139""),0))"),191.519999999999)</f>
        <v>191.51999999999899</v>
      </c>
      <c r="Z67" s="23">
        <f ca="1">IFERROR(__xludf.DUMMYFUNCTION("INDEX(IMPORTRANGE(""1y0FWgjbB0gVlqn-q5LMJbGIsqOrzru4yowQz67dz2yc"", ""'SNG'!BI3:BI139""),MATCH(D67,IMPORTRANGE(""1y0FWgjbB0gVlqn-q5LMJbGIsqOrzru4yowQz67dz2yc"", ""'SNG'!D3:D139""),0))"),181.764)</f>
        <v>181.76400000000001</v>
      </c>
      <c r="AA67" s="1"/>
      <c r="AB67" s="1"/>
      <c r="AC67" s="1"/>
    </row>
    <row r="68" spans="1:29">
      <c r="A68" s="7" t="s">
        <v>147</v>
      </c>
      <c r="B68" s="7" t="s">
        <v>168</v>
      </c>
      <c r="C68" s="1" t="s">
        <v>30</v>
      </c>
      <c r="D68" s="7" t="s">
        <v>193</v>
      </c>
      <c r="E68" s="9" t="s">
        <v>38</v>
      </c>
      <c r="F68" s="9" t="s">
        <v>194</v>
      </c>
      <c r="G68" s="2" t="s">
        <v>56</v>
      </c>
      <c r="H68" s="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23">
        <v>0</v>
      </c>
      <c r="Q68" s="23">
        <v>0</v>
      </c>
      <c r="R68" s="1"/>
      <c r="S68" s="1"/>
      <c r="T68" s="1"/>
      <c r="U68" s="1"/>
      <c r="V68" s="1"/>
      <c r="W68" s="1"/>
      <c r="X68" s="23">
        <v>0</v>
      </c>
      <c r="Y68" s="23">
        <f ca="1">IFERROR(__xludf.DUMMYFUNCTION("INDEX(IMPORTRANGE(""1y0FWgjbB0gVlqn-q5LMJbGIsqOrzru4yowQz67dz2yc"", ""'SNG'!BH3:BH139""),MATCH(D68,IMPORTRANGE(""1y0FWgjbB0gVlqn-q5LMJbGIsqOrzru4yowQz67dz2yc"", ""'SNG'!D3:D139""),0))"),21)</f>
        <v>21</v>
      </c>
      <c r="Z68" s="23">
        <f ca="1">IFERROR(__xludf.DUMMYFUNCTION("INDEX(IMPORTRANGE(""1y0FWgjbB0gVlqn-q5LMJbGIsqOrzru4yowQz67dz2yc"", ""'SNG'!BI3:BI139""),MATCH(D68,IMPORTRANGE(""1y0FWgjbB0gVlqn-q5LMJbGIsqOrzru4yowQz67dz2yc"", ""'SNG'!D3:D139""),0))"),1.4375)</f>
        <v>1.4375</v>
      </c>
      <c r="AA68" s="1"/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195</v>
      </c>
      <c r="E69" s="9" t="s">
        <v>38</v>
      </c>
      <c r="F69" s="9" t="s">
        <v>196</v>
      </c>
      <c r="G69" s="11">
        <v>44469</v>
      </c>
      <c r="H69" s="11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12">
        <v>0</v>
      </c>
      <c r="Q69" s="12">
        <v>0</v>
      </c>
      <c r="R69" s="13"/>
      <c r="S69" s="13"/>
      <c r="T69" s="13"/>
      <c r="U69" s="13"/>
      <c r="V69" s="13"/>
      <c r="W69" s="13"/>
      <c r="X69" s="12">
        <v>0</v>
      </c>
      <c r="Y69" s="12" t="str">
        <f ca="1">IFERROR(__xludf.DUMMYFUNCTION("INDEX(IMPORTRANGE(""1y0FWgjbB0gVlqn-q5LMJbGIsqOrzru4yowQz67dz2yc"", ""'SNG'!BH3:BH139""),MATCH(D69,IMPORTRANGE(""1y0FWgjbB0gVlqn-q5LMJbGIsqOrzru4yowQz67dz2yc"", ""'SNG'!D3:D139""),0))"),"")</f>
        <v/>
      </c>
      <c r="Z69" s="12" t="str">
        <f ca="1">IFERROR(__xludf.DUMMYFUNCTION("INDEX(IMPORTRANGE(""1y0FWgjbB0gVlqn-q5LMJbGIsqOrzru4yowQz67dz2yc"", ""'SNG'!BI3:BI139""),MATCH(D69,IMPORTRANGE(""1y0FWgjbB0gVlqn-q5LMJbGIsqOrzru4yowQz67dz2yc"", ""'SNG'!D3:D139""),0))"),"")</f>
        <v/>
      </c>
      <c r="AA69" s="1"/>
      <c r="AB69" s="1"/>
      <c r="AC69" s="1"/>
    </row>
    <row r="70" spans="1:29">
      <c r="A70" s="7" t="s">
        <v>147</v>
      </c>
      <c r="B70" s="7" t="s">
        <v>168</v>
      </c>
      <c r="C70" s="1" t="s">
        <v>36</v>
      </c>
      <c r="D70" s="7" t="s">
        <v>197</v>
      </c>
      <c r="E70" s="9" t="s">
        <v>38</v>
      </c>
      <c r="F70" s="9" t="s">
        <v>198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f t="shared" ref="P70:Q70" si="18">P67+P68</f>
        <v>129.41</v>
      </c>
      <c r="Q70" s="23">
        <f t="shared" si="18"/>
        <v>258.02999999999997</v>
      </c>
      <c r="R70" s="4">
        <v>285.7</v>
      </c>
      <c r="S70" s="4">
        <v>142.80000000000001</v>
      </c>
      <c r="T70" s="4">
        <v>285.7</v>
      </c>
      <c r="U70" s="4">
        <v>142.80000000000001</v>
      </c>
      <c r="V70" s="4">
        <v>285.7</v>
      </c>
      <c r="W70" s="4">
        <v>857.08</v>
      </c>
      <c r="X70" s="23">
        <f>X67+X68</f>
        <v>77.84</v>
      </c>
      <c r="Y70" s="24">
        <f ca="1">IFERROR(__xludf.DUMMYFUNCTION("INDEX(IMPORTRANGE(""1y0FWgjbB0gVlqn-q5LMJbGIsqOrzru4yowQz67dz2yc"", ""'SNG'!BH3:BH139""),MATCH(D70,IMPORTRANGE(""1y0FWgjbB0gVlqn-q5LMJbGIsqOrzru4yowQz67dz2yc"", ""'SNG'!D3:D139""),0))"),212.519999999999)</f>
        <v>212.51999999999899</v>
      </c>
      <c r="Z70" s="24">
        <f ca="1">IFERROR(__xludf.DUMMYFUNCTION("INDEX(IMPORTRANGE(""1y0FWgjbB0gVlqn-q5LMJbGIsqOrzru4yowQz67dz2yc"", ""'SNG'!BI3:BI139""),MATCH(D70,IMPORTRANGE(""1y0FWgjbB0gVlqn-q5LMJbGIsqOrzru4yowQz67dz2yc"", ""'SNG'!D3:D139""),0))"),183.2015)</f>
        <v>183.20150000000001</v>
      </c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36</v>
      </c>
      <c r="D71" s="7" t="s">
        <v>201</v>
      </c>
      <c r="E71" s="9" t="s">
        <v>38</v>
      </c>
      <c r="F71" s="9" t="s">
        <v>202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3">
        <v>3.2</v>
      </c>
      <c r="Q71" s="23">
        <v>3.2</v>
      </c>
      <c r="R71" s="2">
        <v>7.9</v>
      </c>
      <c r="S71" s="22">
        <v>3.2</v>
      </c>
      <c r="T71" s="22">
        <v>3.2</v>
      </c>
      <c r="U71" s="22">
        <v>13.5</v>
      </c>
      <c r="V71" s="22">
        <v>25.5</v>
      </c>
      <c r="W71" s="22">
        <v>25.5</v>
      </c>
      <c r="X71" s="23">
        <v>3.2</v>
      </c>
      <c r="Y71" s="23">
        <f ca="1">IFERROR(__xludf.DUMMYFUNCTION("INDEX(IMPORTRANGE(""1y0FWgjbB0gVlqn-q5LMJbGIsqOrzru4yowQz67dz2yc"", ""'SNG'!BH3:BH139""),MATCH(D71,IMPORTRANGE(""1y0FWgjbB0gVlqn-q5LMJbGIsqOrzru4yowQz67dz2yc"", ""'SNG'!D3:D139""),0))"),23.9)</f>
        <v>23.9</v>
      </c>
      <c r="Z71" s="24">
        <f ca="1">IFERROR(__xludf.DUMMYFUNCTION("INDEX(IMPORTRANGE(""1y0FWgjbB0gVlqn-q5LMJbGIsqOrzru4yowQz67dz2yc"", ""'SNG'!BI3:BI139""),MATCH(D71,IMPORTRANGE(""1y0FWgjbB0gVlqn-q5LMJbGIsqOrzru4yowQz67dz2yc"", ""'SNG'!D3:D139""),0))"),1.4)</f>
        <v>1.4</v>
      </c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30</v>
      </c>
      <c r="D72" s="7" t="s">
        <v>203</v>
      </c>
      <c r="E72" s="9" t="s">
        <v>38</v>
      </c>
      <c r="F72" s="9" t="s">
        <v>204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"/>
      <c r="S72" s="1"/>
      <c r="T72" s="1"/>
      <c r="U72" s="1"/>
      <c r="V72" s="1"/>
      <c r="W72" s="1"/>
      <c r="X72" s="12">
        <v>0</v>
      </c>
      <c r="Y72" s="12">
        <f ca="1">IFERROR(__xludf.DUMMYFUNCTION("INDEX(IMPORTRANGE(""1y0FWgjbB0gVlqn-q5LMJbGIsqOrzru4yowQz67dz2yc"", ""'SNG'!BH3:BH139""),MATCH(D72,IMPORTRANGE(""1y0FWgjbB0gVlqn-q5LMJbGIsqOrzru4yowQz67dz2yc"", ""'SNG'!D3:D139""),0))"),0)</f>
        <v>0</v>
      </c>
      <c r="Z72" s="12">
        <f ca="1">IFERROR(__xludf.DUMMYFUNCTION("INDEX(IMPORTRANGE(""1y0FWgjbB0gVlqn-q5LMJbGIsqOrzru4yowQz67dz2yc"", ""'SNG'!BI3:BI139""),MATCH(D72,IMPORTRANGE(""1y0FWgjbB0gVlqn-q5LMJbGIsqOrzru4yowQz67dz2yc"", ""'SNG'!D3:D139""),0))"),0)</f>
        <v>0</v>
      </c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7" t="s">
        <v>205</v>
      </c>
      <c r="E73" s="9" t="s">
        <v>38</v>
      </c>
      <c r="F73" s="9" t="s">
        <v>206</v>
      </c>
      <c r="G73" s="2" t="s">
        <v>56</v>
      </c>
      <c r="H73" s="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1"/>
      <c r="S73" s="1"/>
      <c r="T73" s="1"/>
      <c r="U73" s="1"/>
      <c r="V73" s="1"/>
      <c r="W73" s="1"/>
      <c r="X73" s="12">
        <v>12800</v>
      </c>
      <c r="Y73" s="12">
        <f ca="1">IFERROR(__xludf.DUMMYFUNCTION("INDEX(IMPORTRANGE(""1y0FWgjbB0gVlqn-q5LMJbGIsqOrzru4yowQz67dz2yc"", ""'SNG'!BH3:BH139""),MATCH(D73,IMPORTRANGE(""1y0FWgjbB0gVlqn-q5LMJbGIsqOrzru4yowQz67dz2yc"", ""'SNG'!D3:D139""),0))"),12800)</f>
        <v>12800</v>
      </c>
      <c r="Z73" s="12">
        <f ca="1">IFERROR(__xludf.DUMMYFUNCTION("INDEX(IMPORTRANGE(""1y0FWgjbB0gVlqn-q5LMJbGIsqOrzru4yowQz67dz2yc"", ""'SNG'!BI3:BI139""),MATCH(D73,IMPORTRANGE(""1y0FWgjbB0gVlqn-q5LMJbGIsqOrzru4yowQz67dz2yc"", ""'SNG'!D3:D139""),0))"),13000)</f>
        <v>13000</v>
      </c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207</v>
      </c>
      <c r="E74" s="9" t="s">
        <v>38</v>
      </c>
      <c r="F74" s="9" t="s">
        <v>208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1"/>
      <c r="X74" s="12">
        <v>0</v>
      </c>
      <c r="Y74" s="12">
        <f ca="1">IFERROR(__xludf.DUMMYFUNCTION("INDEX(IMPORTRANGE(""1y0FWgjbB0gVlqn-q5LMJbGIsqOrzru4yowQz67dz2yc"", ""'SNG'!BH3:BH139""),MATCH(D74,IMPORTRANGE(""1y0FWgjbB0gVlqn-q5LMJbGIsqOrzru4yowQz67dz2yc"", ""'SNG'!D3:D139""),0))"),0)</f>
        <v>0</v>
      </c>
      <c r="Z74" s="12">
        <f ca="1">IFERROR(__xludf.DUMMYFUNCTION("INDEX(IMPORTRANGE(""1y0FWgjbB0gVlqn-q5LMJbGIsqOrzru4yowQz67dz2yc"", ""'SNG'!BI3:BI139""),MATCH(D74,IMPORTRANGE(""1y0FWgjbB0gVlqn-q5LMJbGIsqOrzru4yowQz67dz2yc"", ""'SNG'!D3:D139""),0))"),0)</f>
        <v>0</v>
      </c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209</v>
      </c>
      <c r="E75" s="9" t="s">
        <v>38</v>
      </c>
      <c r="F75" s="9" t="s">
        <v>210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4">
        <v>9479</v>
      </c>
      <c r="S75" s="4">
        <v>4739.5</v>
      </c>
      <c r="T75" s="4">
        <v>9479</v>
      </c>
      <c r="U75" s="4">
        <v>4739.5</v>
      </c>
      <c r="V75" s="4">
        <v>9479</v>
      </c>
      <c r="W75" s="4">
        <v>28437</v>
      </c>
      <c r="X75" s="12">
        <f>SUM(X72:X74)</f>
        <v>12800</v>
      </c>
      <c r="Y75" s="12">
        <f ca="1">IFERROR(__xludf.DUMMYFUNCTION("INDEX(IMPORTRANGE(""1y0FWgjbB0gVlqn-q5LMJbGIsqOrzru4yowQz67dz2yc"", ""'SNG'!BH3:BH139""),MATCH(D75,IMPORTRANGE(""1y0FWgjbB0gVlqn-q5LMJbGIsqOrzru4yowQz67dz2yc"", ""'SNG'!D3:D139""),0))"),12800)</f>
        <v>12800</v>
      </c>
      <c r="Z75" s="12">
        <f ca="1">IFERROR(__xludf.DUMMYFUNCTION("INDEX(IMPORTRANGE(""1y0FWgjbB0gVlqn-q5LMJbGIsqOrzru4yowQz67dz2yc"", ""'SNG'!BI3:BI139""),MATCH(D75,IMPORTRANGE(""1y0FWgjbB0gVlqn-q5LMJbGIsqOrzru4yowQz67dz2yc"", ""'SNG'!D3:D139""),0))"),13000)</f>
        <v>13000</v>
      </c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211</v>
      </c>
      <c r="E76" s="9" t="s">
        <v>38</v>
      </c>
      <c r="F76" s="9" t="s">
        <v>212</v>
      </c>
      <c r="G76" s="7" t="s">
        <v>213</v>
      </c>
      <c r="H76" s="1" t="s">
        <v>214</v>
      </c>
      <c r="I76" s="7" t="s">
        <v>215</v>
      </c>
      <c r="J76" s="13"/>
      <c r="K76" s="7" t="s">
        <v>216</v>
      </c>
      <c r="L76" s="13"/>
      <c r="M76" s="7" t="s">
        <v>217</v>
      </c>
      <c r="N76" s="1" t="s">
        <v>218</v>
      </c>
      <c r="O76" s="1" t="s">
        <v>218</v>
      </c>
      <c r="P76" s="50">
        <v>39651110.659999996</v>
      </c>
      <c r="Q76" s="50">
        <v>39651110.659999996</v>
      </c>
      <c r="R76" s="13"/>
      <c r="S76" s="13"/>
      <c r="T76" s="13"/>
      <c r="U76" s="13"/>
      <c r="V76" s="13"/>
      <c r="W76" s="13"/>
      <c r="X76" s="50">
        <v>39651110.659999996</v>
      </c>
      <c r="Y76" s="301" t="str">
        <f ca="1">IFERROR(__xludf.DUMMYFUNCTION("INDEX(IMPORTRANGE(""1y0FWgjbB0gVlqn-q5LMJbGIsqOrzru4yowQz67dz2yc"", ""'SNG'!BH3:BH139""),MATCH(D76,IMPORTRANGE(""1y0FWgjbB0gVlqn-q5LMJbGIsqOrzru4yowQz67dz2yc"", ""'SNG'!D3:D139""),0))"),"")</f>
        <v/>
      </c>
      <c r="Z76" s="50">
        <f ca="1">IFERROR(__xludf.DUMMYFUNCTION("INDEX(IMPORTRANGE(""1y0FWgjbB0gVlqn-q5LMJbGIsqOrzru4yowQz67dz2yc"", ""'SNG'!BI3:BI139""),MATCH(D76,IMPORTRANGE(""1y0FWgjbB0gVlqn-q5LMJbGIsqOrzru4yowQz67dz2yc"", ""'SNG'!D3:D139""),0))"),254296770.83)</f>
        <v>254296770.83000001</v>
      </c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7" t="s">
        <v>219</v>
      </c>
      <c r="E77" s="9" t="s">
        <v>38</v>
      </c>
      <c r="F77" s="9" t="s">
        <v>220</v>
      </c>
      <c r="G77" s="7" t="s">
        <v>213</v>
      </c>
      <c r="H77" s="1" t="s">
        <v>214</v>
      </c>
      <c r="I77" s="7" t="s">
        <v>215</v>
      </c>
      <c r="J77" s="13"/>
      <c r="K77" s="7" t="s">
        <v>216</v>
      </c>
      <c r="L77" s="13"/>
      <c r="M77" s="7" t="s">
        <v>217</v>
      </c>
      <c r="N77" s="1" t="s">
        <v>218</v>
      </c>
      <c r="O77" s="1" t="s">
        <v>218</v>
      </c>
      <c r="P77" s="50">
        <v>29387580.710000001</v>
      </c>
      <c r="Q77" s="50">
        <v>29387580.710000001</v>
      </c>
      <c r="R77" s="13"/>
      <c r="S77" s="13"/>
      <c r="T77" s="13"/>
      <c r="U77" s="13"/>
      <c r="V77" s="13"/>
      <c r="W77" s="13"/>
      <c r="X77" s="50">
        <v>29387580.710000001</v>
      </c>
      <c r="Y77" s="301" t="str">
        <f ca="1">IFERROR(__xludf.DUMMYFUNCTION("INDEX(IMPORTRANGE(""1y0FWgjbB0gVlqn-q5LMJbGIsqOrzru4yowQz67dz2yc"", ""'SNG'!BH3:BH139""),MATCH(D77,IMPORTRANGE(""1y0FWgjbB0gVlqn-q5LMJbGIsqOrzru4yowQz67dz2yc"", ""'SNG'!D3:D139""),0))"),"")</f>
        <v/>
      </c>
      <c r="Z77" s="50">
        <f ca="1">IFERROR(__xludf.DUMMYFUNCTION("INDEX(IMPORTRANGE(""1y0FWgjbB0gVlqn-q5LMJbGIsqOrzru4yowQz67dz2yc"", ""'SNG'!BI3:BI139""),MATCH(D77,IMPORTRANGE(""1y0FWgjbB0gVlqn-q5LMJbGIsqOrzru4yowQz67dz2yc"", ""'SNG'!D3:D139""),0))"),120862174.45)</f>
        <v>120862174.45</v>
      </c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7" t="s">
        <v>221</v>
      </c>
      <c r="E78" s="9" t="s">
        <v>38</v>
      </c>
      <c r="F78" s="9" t="s">
        <v>222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15">
        <f t="shared" ref="P78:Q78" si="19">P77/P76</f>
        <v>0.74115403631420007</v>
      </c>
      <c r="Q78" s="15">
        <f t="shared" si="19"/>
        <v>0.74115403631420007</v>
      </c>
      <c r="R78" s="2"/>
      <c r="S78" s="14">
        <v>0.45</v>
      </c>
      <c r="T78" s="2"/>
      <c r="U78" s="15">
        <v>0.45500000000000002</v>
      </c>
      <c r="V78" s="15">
        <v>0.46</v>
      </c>
      <c r="W78" s="15">
        <v>0.46</v>
      </c>
      <c r="X78" s="15">
        <f>X77/X76</f>
        <v>0.74115403631420007</v>
      </c>
      <c r="Y78" s="482" t="str">
        <f ca="1">IFERROR(__xludf.DUMMYFUNCTION("INDEX(IMPORTRANGE(""1y0FWgjbB0gVlqn-q5LMJbGIsqOrzru4yowQz67dz2yc"", ""'SNG'!BH3:BH139""),MATCH(D78,IMPORTRANGE(""1y0FWgjbB0gVlqn-q5LMJbGIsqOrzru4yowQz67dz2yc"", ""'SNG'!D3:D139""),0))"),"")</f>
        <v/>
      </c>
      <c r="Z78" s="15">
        <f ca="1">IFERROR(__xludf.DUMMYFUNCTION("INDEX(IMPORTRANGE(""1y0FWgjbB0gVlqn-q5LMJbGIsqOrzru4yowQz67dz2yc"", ""'SNG'!BI3:BI139""),MATCH(D78,IMPORTRANGE(""1y0FWgjbB0gVlqn-q5LMJbGIsqOrzru4yowQz67dz2yc"", ""'SNG'!D3:D139""),0))"),0.475280020487549)</f>
        <v>0.47528002048754903</v>
      </c>
      <c r="AA78" s="1"/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223</v>
      </c>
      <c r="E79" s="9" t="s">
        <v>38</v>
      </c>
      <c r="F79" s="9" t="s">
        <v>224</v>
      </c>
      <c r="G79" s="2" t="s">
        <v>56</v>
      </c>
      <c r="H79" s="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4</v>
      </c>
      <c r="Q79" s="12">
        <v>4</v>
      </c>
      <c r="R79" s="1"/>
      <c r="S79" s="1"/>
      <c r="T79" s="1"/>
      <c r="U79" s="1"/>
      <c r="V79" s="1"/>
      <c r="W79" s="1"/>
      <c r="X79" s="12">
        <v>0</v>
      </c>
      <c r="Y79" s="12">
        <f ca="1">IFERROR(__xludf.DUMMYFUNCTION("INDEX(IMPORTRANGE(""1y0FWgjbB0gVlqn-q5LMJbGIsqOrzru4yowQz67dz2yc"", ""'SNG'!BH3:BH139""),MATCH(D79,IMPORTRANGE(""1y0FWgjbB0gVlqn-q5LMJbGIsqOrzru4yowQz67dz2yc"", ""'SNG'!D3:D139""),0))"),0)</f>
        <v>0</v>
      </c>
      <c r="Z79" s="12">
        <f ca="1">IFERROR(__xludf.DUMMYFUNCTION("INDEX(IMPORTRANGE(""1y0FWgjbB0gVlqn-q5LMJbGIsqOrzru4yowQz67dz2yc"", ""'SNG'!BI3:BI139""),MATCH(D79,IMPORTRANGE(""1y0FWgjbB0gVlqn-q5LMJbGIsqOrzru4yowQz67dz2yc"", ""'SNG'!D3:D139""),0))"),2)</f>
        <v>2</v>
      </c>
      <c r="AA79" s="1"/>
      <c r="AB79" s="1"/>
      <c r="AC79" s="1"/>
    </row>
    <row r="80" spans="1:29">
      <c r="A80" s="7" t="s">
        <v>199</v>
      </c>
      <c r="B80" s="7" t="s">
        <v>200</v>
      </c>
      <c r="C80" s="1" t="s">
        <v>30</v>
      </c>
      <c r="D80" s="7" t="s">
        <v>225</v>
      </c>
      <c r="E80" s="9" t="s">
        <v>38</v>
      </c>
      <c r="F80" s="9" t="s">
        <v>182</v>
      </c>
      <c r="G80" s="2" t="s">
        <v>56</v>
      </c>
      <c r="H80" s="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1</v>
      </c>
      <c r="Q80" s="12">
        <v>6</v>
      </c>
      <c r="R80" s="1"/>
      <c r="S80" s="1"/>
      <c r="T80" s="1"/>
      <c r="U80" s="1"/>
      <c r="V80" s="1"/>
      <c r="W80" s="1"/>
      <c r="X80" s="12">
        <v>0</v>
      </c>
      <c r="Y80" s="12">
        <f ca="1">IFERROR(__xludf.DUMMYFUNCTION("INDEX(IMPORTRANGE(""1y0FWgjbB0gVlqn-q5LMJbGIsqOrzru4yowQz67dz2yc"", ""'SNG'!BH3:BH139""),MATCH(D80,IMPORTRANGE(""1y0FWgjbB0gVlqn-q5LMJbGIsqOrzru4yowQz67dz2yc"", ""'SNG'!D3:D139""),0))"),10)</f>
        <v>10</v>
      </c>
      <c r="Z80" s="12">
        <f ca="1">IFERROR(__xludf.DUMMYFUNCTION("INDEX(IMPORTRANGE(""1y0FWgjbB0gVlqn-q5LMJbGIsqOrzru4yowQz67dz2yc"", ""'SNG'!BI3:BI139""),MATCH(D80,IMPORTRANGE(""1y0FWgjbB0gVlqn-q5LMJbGIsqOrzru4yowQz67dz2yc"", ""'SNG'!D3:D139""),0))"),2)</f>
        <v>2</v>
      </c>
      <c r="AA80" s="1"/>
      <c r="AB80" s="1"/>
      <c r="AC80" s="1"/>
    </row>
    <row r="81" spans="1:29">
      <c r="A81" s="7" t="s">
        <v>199</v>
      </c>
      <c r="B81" s="7" t="s">
        <v>200</v>
      </c>
      <c r="C81" s="1" t="s">
        <v>36</v>
      </c>
      <c r="D81" s="7" t="s">
        <v>226</v>
      </c>
      <c r="E81" s="9" t="s">
        <v>38</v>
      </c>
      <c r="F81" s="9" t="s">
        <v>227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f t="shared" ref="P81:Q81" si="20">P79+P80</f>
        <v>5</v>
      </c>
      <c r="Q81" s="12">
        <f t="shared" si="20"/>
        <v>10</v>
      </c>
      <c r="R81" s="4">
        <v>7</v>
      </c>
      <c r="S81" s="4">
        <v>3.5</v>
      </c>
      <c r="T81" s="4">
        <v>7</v>
      </c>
      <c r="U81" s="4">
        <v>3</v>
      </c>
      <c r="V81" s="4">
        <v>6</v>
      </c>
      <c r="W81" s="4">
        <v>20</v>
      </c>
      <c r="X81" s="12">
        <f>X79+X80</f>
        <v>0</v>
      </c>
      <c r="Y81" s="12">
        <f ca="1">IFERROR(__xludf.DUMMYFUNCTION("INDEX(IMPORTRANGE(""1y0FWgjbB0gVlqn-q5LMJbGIsqOrzru4yowQz67dz2yc"", ""'SNG'!BH3:BH139""),MATCH(D81,IMPORTRANGE(""1y0FWgjbB0gVlqn-q5LMJbGIsqOrzru4yowQz67dz2yc"", ""'SNG'!D3:D139""),0))"),10)</f>
        <v>10</v>
      </c>
      <c r="Z81" s="12">
        <f ca="1">IFERROR(__xludf.DUMMYFUNCTION("INDEX(IMPORTRANGE(""1y0FWgjbB0gVlqn-q5LMJbGIsqOrzru4yowQz67dz2yc"", ""'SNG'!BI3:BI139""),MATCH(D81,IMPORTRANGE(""1y0FWgjbB0gVlqn-q5LMJbGIsqOrzru4yowQz67dz2yc"", ""'SNG'!D3:D139""),0))"),4)</f>
        <v>4</v>
      </c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229</v>
      </c>
      <c r="E82" s="9" t="s">
        <v>38</v>
      </c>
      <c r="F82" s="9" t="s">
        <v>230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70</v>
      </c>
      <c r="Q82" s="12">
        <v>123</v>
      </c>
      <c r="R82" s="13"/>
      <c r="S82" s="13"/>
      <c r="T82" s="13"/>
      <c r="U82" s="13"/>
      <c r="V82" s="13"/>
      <c r="W82" s="13"/>
      <c r="X82" s="12">
        <v>37</v>
      </c>
      <c r="Y82" s="12">
        <f ca="1">IFERROR(__xludf.DUMMYFUNCTION("INDEX(IMPORTRANGE(""1y0FWgjbB0gVlqn-q5LMJbGIsqOrzru4yowQz67dz2yc"", ""'SNG'!BH3:BH139""),MATCH(D82,IMPORTRANGE(""1y0FWgjbB0gVlqn-q5LMJbGIsqOrzru4yowQz67dz2yc"", ""'SNG'!D3:D139""),0))"),62)</f>
        <v>62</v>
      </c>
      <c r="Z82" s="12">
        <f ca="1">IFERROR(__xludf.DUMMYFUNCTION("INDEX(IMPORTRANGE(""1y0FWgjbB0gVlqn-q5LMJbGIsqOrzru4yowQz67dz2yc"", ""'SNG'!BI3:BI139""),MATCH(D82,IMPORTRANGE(""1y0FWgjbB0gVlqn-q5LMJbGIsqOrzru4yowQz67dz2yc"", ""'SNG'!D3:D139""),0))"),89)</f>
        <v>89</v>
      </c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233</v>
      </c>
      <c r="E83" s="9" t="s">
        <v>38</v>
      </c>
      <c r="F83" s="9" t="s">
        <v>234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16</v>
      </c>
      <c r="Q83" s="12">
        <v>30</v>
      </c>
      <c r="R83" s="13"/>
      <c r="S83" s="13"/>
      <c r="T83" s="13"/>
      <c r="U83" s="13"/>
      <c r="V83" s="13"/>
      <c r="W83" s="13"/>
      <c r="X83" s="12">
        <v>4</v>
      </c>
      <c r="Y83" s="12">
        <f ca="1">IFERROR(__xludf.DUMMYFUNCTION("INDEX(IMPORTRANGE(""1y0FWgjbB0gVlqn-q5LMJbGIsqOrzru4yowQz67dz2yc"", ""'SNG'!BH3:BH139""),MATCH(D83,IMPORTRANGE(""1y0FWgjbB0gVlqn-q5LMJbGIsqOrzru4yowQz67dz2yc"", ""'SNG'!D3:D139""),0))"),20)</f>
        <v>20</v>
      </c>
      <c r="Z83" s="12">
        <f ca="1">IFERROR(__xludf.DUMMYFUNCTION("INDEX(IMPORTRANGE(""1y0FWgjbB0gVlqn-q5LMJbGIsqOrzru4yowQz67dz2yc"", ""'SNG'!BI3:BI139""),MATCH(D83,IMPORTRANGE(""1y0FWgjbB0gVlqn-q5LMJbGIsqOrzru4yowQz67dz2yc"", ""'SNG'!D3:D139""),0))"),24)</f>
        <v>24</v>
      </c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235</v>
      </c>
      <c r="E84" s="9" t="s">
        <v>38</v>
      </c>
      <c r="F84" s="9" t="s">
        <v>236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4771</v>
      </c>
      <c r="Q84" s="12">
        <v>8906</v>
      </c>
      <c r="R84" s="13"/>
      <c r="S84" s="13"/>
      <c r="T84" s="13"/>
      <c r="U84" s="13"/>
      <c r="V84" s="13"/>
      <c r="W84" s="13"/>
      <c r="X84" s="12">
        <v>4295</v>
      </c>
      <c r="Y84" s="12">
        <f ca="1">IFERROR(__xludf.DUMMYFUNCTION("INDEX(IMPORTRANGE(""1y0FWgjbB0gVlqn-q5LMJbGIsqOrzru4yowQz67dz2yc"", ""'SNG'!BH3:BH139""),MATCH(D84,IMPORTRANGE(""1y0FWgjbB0gVlqn-q5LMJbGIsqOrzru4yowQz67dz2yc"", ""'SNG'!D3:D139""),0))"),9950)</f>
        <v>9950</v>
      </c>
      <c r="Z84" s="12">
        <f ca="1">IFERROR(__xludf.DUMMYFUNCTION("INDEX(IMPORTRANGE(""1y0FWgjbB0gVlqn-q5LMJbGIsqOrzru4yowQz67dz2yc"", ""'SNG'!BI3:BI139""),MATCH(D84,IMPORTRANGE(""1y0FWgjbB0gVlqn-q5LMJbGIsqOrzru4yowQz67dz2yc"", ""'SNG'!D3:D139""),0))"),5045)</f>
        <v>5045</v>
      </c>
      <c r="AA84" s="1"/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237</v>
      </c>
      <c r="E85" s="9" t="s">
        <v>38</v>
      </c>
      <c r="F85" s="9" t="s">
        <v>238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179</v>
      </c>
      <c r="Q85" s="12">
        <v>368</v>
      </c>
      <c r="R85" s="13"/>
      <c r="S85" s="13"/>
      <c r="T85" s="13"/>
      <c r="U85" s="13"/>
      <c r="V85" s="13"/>
      <c r="W85" s="13"/>
      <c r="X85" s="12">
        <v>237</v>
      </c>
      <c r="Y85" s="12">
        <f ca="1">IFERROR(__xludf.DUMMYFUNCTION("INDEX(IMPORTRANGE(""1y0FWgjbB0gVlqn-q5LMJbGIsqOrzru4yowQz67dz2yc"", ""'SNG'!BH3:BH139""),MATCH(D85,IMPORTRANGE(""1y0FWgjbB0gVlqn-q5LMJbGIsqOrzru4yowQz67dz2yc"", ""'SNG'!D3:D139""),0))"),555)</f>
        <v>555</v>
      </c>
      <c r="Z85" s="12">
        <f ca="1">IFERROR(__xludf.DUMMYFUNCTION("INDEX(IMPORTRANGE(""1y0FWgjbB0gVlqn-q5LMJbGIsqOrzru4yowQz67dz2yc"", ""'SNG'!BI3:BI139""),MATCH(D85,IMPORTRANGE(""1y0FWgjbB0gVlqn-q5LMJbGIsqOrzru4yowQz67dz2yc"", ""'SNG'!D3:D139""),0))"),238)</f>
        <v>238</v>
      </c>
      <c r="AA85" s="1"/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239</v>
      </c>
      <c r="E86" s="9" t="s">
        <v>38</v>
      </c>
      <c r="F86" s="9" t="s">
        <v>240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717</v>
      </c>
      <c r="Q86" s="12">
        <v>1408</v>
      </c>
      <c r="R86" s="13"/>
      <c r="S86" s="13"/>
      <c r="T86" s="13"/>
      <c r="U86" s="13"/>
      <c r="V86" s="13"/>
      <c r="W86" s="13"/>
      <c r="X86" s="12">
        <v>593</v>
      </c>
      <c r="Y86" s="12">
        <f ca="1">IFERROR(__xludf.DUMMYFUNCTION("INDEX(IMPORTRANGE(""1y0FWgjbB0gVlqn-q5LMJbGIsqOrzru4yowQz67dz2yc"", ""'SNG'!BH3:BH139""),MATCH(D86,IMPORTRANGE(""1y0FWgjbB0gVlqn-q5LMJbGIsqOrzru4yowQz67dz2yc"", ""'SNG'!D3:D139""),0))"),599)</f>
        <v>599</v>
      </c>
      <c r="Z86" s="12">
        <f ca="1">IFERROR(__xludf.DUMMYFUNCTION("INDEX(IMPORTRANGE(""1y0FWgjbB0gVlqn-q5LMJbGIsqOrzru4yowQz67dz2yc"", ""'SNG'!BI3:BI139""),MATCH(D86,IMPORTRANGE(""1y0FWgjbB0gVlqn-q5LMJbGIsqOrzru4yowQz67dz2yc"", ""'SNG'!D3:D139""),0))"),29)</f>
        <v>29</v>
      </c>
      <c r="AA86" s="1"/>
      <c r="AB86" s="1"/>
      <c r="AC86" s="1"/>
    </row>
    <row r="87" spans="1:29">
      <c r="A87" s="7" t="s">
        <v>199</v>
      </c>
      <c r="B87" s="7" t="s">
        <v>228</v>
      </c>
      <c r="C87" s="1" t="s">
        <v>36</v>
      </c>
      <c r="D87" s="7" t="s">
        <v>241</v>
      </c>
      <c r="E87" s="9" t="s">
        <v>38</v>
      </c>
      <c r="F87" s="2" t="s">
        <v>242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f t="shared" ref="P87:Q87" si="21">SUM(P82:P86)</f>
        <v>5753</v>
      </c>
      <c r="Q87" s="12">
        <f t="shared" si="21"/>
        <v>10835</v>
      </c>
      <c r="R87" s="2">
        <v>10654</v>
      </c>
      <c r="S87" s="2">
        <v>5561</v>
      </c>
      <c r="T87" s="2">
        <v>10474</v>
      </c>
      <c r="U87" s="2">
        <v>5465</v>
      </c>
      <c r="V87" s="2">
        <v>10293</v>
      </c>
      <c r="W87" s="2">
        <v>10293</v>
      </c>
      <c r="X87" s="12">
        <f>SUM(X82:X86)</f>
        <v>5166</v>
      </c>
      <c r="Y87" s="12">
        <f ca="1">IFERROR(__xludf.DUMMYFUNCTION("INDEX(IMPORTRANGE(""1y0FWgjbB0gVlqn-q5LMJbGIsqOrzru4yowQz67dz2yc"", ""'SNG'!BH3:BH139""),MATCH(D87,IMPORTRANGE(""1y0FWgjbB0gVlqn-q5LMJbGIsqOrzru4yowQz67dz2yc"", ""'SNG'!D3:D139""),0))"),11186)</f>
        <v>11186</v>
      </c>
      <c r="Z87" s="12">
        <f ca="1">IFERROR(__xludf.DUMMYFUNCTION("INDEX(IMPORTRANGE(""1y0FWgjbB0gVlqn-q5LMJbGIsqOrzru4yowQz67dz2yc"", ""'SNG'!BI3:BI139""),MATCH(D87,IMPORTRANGE(""1y0FWgjbB0gVlqn-q5LMJbGIsqOrzru4yowQz67dz2yc"", ""'SNG'!D3:D139""),0))"),5425)</f>
        <v>5425</v>
      </c>
      <c r="AA87" s="1"/>
      <c r="AB87" s="1"/>
      <c r="AC87" s="1"/>
    </row>
    <row r="88" spans="1:29">
      <c r="A88" s="7" t="s">
        <v>243</v>
      </c>
      <c r="B88" s="7" t="s">
        <v>244</v>
      </c>
      <c r="C88" s="1" t="s">
        <v>36</v>
      </c>
      <c r="D88" s="7" t="s">
        <v>338</v>
      </c>
      <c r="E88" s="9" t="s">
        <v>38</v>
      </c>
      <c r="F88" s="9" t="s">
        <v>246</v>
      </c>
      <c r="G88" s="2" t="s">
        <v>56</v>
      </c>
      <c r="H88" s="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0</v>
      </c>
      <c r="Q88" s="2">
        <v>0</v>
      </c>
      <c r="R88" s="2">
        <v>115</v>
      </c>
      <c r="S88" s="2">
        <v>58</v>
      </c>
      <c r="T88" s="2">
        <v>115</v>
      </c>
      <c r="U88" s="2">
        <v>58</v>
      </c>
      <c r="V88" s="2">
        <v>115</v>
      </c>
      <c r="W88" s="2">
        <v>346</v>
      </c>
      <c r="X88" s="2">
        <v>22</v>
      </c>
      <c r="Y88" s="2">
        <f ca="1">IFERROR(__xludf.DUMMYFUNCTION("INDEX(IMPORTRANGE(""1y0FWgjbB0gVlqn-q5LMJbGIsqOrzru4yowQz67dz2yc"", ""'SNG'!BH3:BH139""),MATCH(D88,IMPORTRANGE(""1y0FWgjbB0gVlqn-q5LMJbGIsqOrzru4yowQz67dz2yc"", ""'SNG'!D3:D139""),0))"),66)</f>
        <v>66</v>
      </c>
      <c r="Z88" s="2">
        <f ca="1">IFERROR(__xludf.DUMMYFUNCTION("INDEX(IMPORTRANGE(""1y0FWgjbB0gVlqn-q5LMJbGIsqOrzru4yowQz67dz2yc"", ""'SNG'!BI3:BI139""),MATCH(D88,IMPORTRANGE(""1y0FWgjbB0gVlqn-q5LMJbGIsqOrzru4yowQz67dz2yc"", ""'SNG'!D3:D139""),0))"),88)</f>
        <v>88</v>
      </c>
      <c r="AA88" s="1"/>
      <c r="AB88" s="1"/>
      <c r="AC88" s="1"/>
    </row>
    <row r="89" spans="1:29">
      <c r="A89" s="7" t="s">
        <v>243</v>
      </c>
      <c r="B89" s="7" t="s">
        <v>247</v>
      </c>
      <c r="C89" s="1" t="s">
        <v>36</v>
      </c>
      <c r="D89" s="7" t="s">
        <v>248</v>
      </c>
      <c r="E89" s="9" t="s">
        <v>38</v>
      </c>
      <c r="F89" s="9" t="s">
        <v>249</v>
      </c>
      <c r="G89" s="11">
        <v>44469</v>
      </c>
      <c r="H89" s="11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12">
        <v>2</v>
      </c>
      <c r="Q89" s="12">
        <v>2</v>
      </c>
      <c r="R89" s="2">
        <v>10</v>
      </c>
      <c r="S89" s="2">
        <v>30</v>
      </c>
      <c r="T89" s="2">
        <v>50</v>
      </c>
      <c r="U89" s="2">
        <v>70</v>
      </c>
      <c r="V89" s="2">
        <v>80</v>
      </c>
      <c r="W89" s="2">
        <v>80</v>
      </c>
      <c r="X89" s="2">
        <v>2</v>
      </c>
      <c r="Y89" s="2">
        <f ca="1">IFERROR(__xludf.DUMMYFUNCTION("INDEX(IMPORTRANGE(""1y0FWgjbB0gVlqn-q5LMJbGIsqOrzru4yowQz67dz2yc"", ""'SNG'!BH3:BH139""),MATCH(D89,IMPORTRANGE(""1y0FWgjbB0gVlqn-q5LMJbGIsqOrzru4yowQz67dz2yc"", ""'SNG'!D3:D139""),0))"),10)</f>
        <v>10</v>
      </c>
      <c r="Z89" s="2">
        <f ca="1">IFERROR(__xludf.DUMMYFUNCTION("INDEX(IMPORTRANGE(""1y0FWgjbB0gVlqn-q5LMJbGIsqOrzru4yowQz67dz2yc"", ""'SNG'!BI3:BI139""),MATCH(D89,IMPORTRANGE(""1y0FWgjbB0gVlqn-q5LMJbGIsqOrzru4yowQz67dz2yc"", ""'SNG'!D3:D139""),0))"),30)</f>
        <v>30</v>
      </c>
      <c r="AA89" s="1"/>
      <c r="AB89" s="1"/>
      <c r="AC89" s="1"/>
    </row>
    <row r="90" spans="1:29">
      <c r="A90" s="7" t="s">
        <v>243</v>
      </c>
      <c r="B90" s="7" t="s">
        <v>250</v>
      </c>
      <c r="C90" s="1" t="s">
        <v>36</v>
      </c>
      <c r="D90" s="7" t="s">
        <v>251</v>
      </c>
      <c r="E90" s="9" t="s">
        <v>252</v>
      </c>
      <c r="F90" s="9" t="s">
        <v>253</v>
      </c>
      <c r="G90" s="11">
        <v>44469</v>
      </c>
      <c r="H90" s="11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23">
        <v>95.55</v>
      </c>
      <c r="Q90" s="23">
        <v>95.55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23">
        <v>95.27</v>
      </c>
      <c r="Y90" s="23">
        <f ca="1">IFERROR(__xludf.DUMMYFUNCTION("INDEX(IMPORTRANGE(""1y0FWgjbB0gVlqn-q5LMJbGIsqOrzru4yowQz67dz2yc"", ""'SNG'!BH3:BH139""),MATCH(D90,IMPORTRANGE(""1y0FWgjbB0gVlqn-q5LMJbGIsqOrzru4yowQz67dz2yc"", ""'SNG'!D3:D139""),0))"),90.61)</f>
        <v>90.61</v>
      </c>
      <c r="Z90" s="23">
        <f ca="1">IFERROR(__xludf.DUMMYFUNCTION("INDEX(IMPORTRANGE(""1y0FWgjbB0gVlqn-q5LMJbGIsqOrzru4yowQz67dz2yc"", ""'SNG'!BI3:BI139""),MATCH(D90,IMPORTRANGE(""1y0FWgjbB0gVlqn-q5LMJbGIsqOrzru4yowQz67dz2yc"", ""'SNG'!D3:D139""),0))"),95.79)</f>
        <v>95.79</v>
      </c>
      <c r="AA90" s="1"/>
      <c r="AB90" s="1"/>
      <c r="AC90" s="1"/>
    </row>
    <row r="91" spans="1:29">
      <c r="A91" s="7" t="s">
        <v>243</v>
      </c>
      <c r="B91" s="7" t="s">
        <v>257</v>
      </c>
      <c r="C91" s="1" t="s">
        <v>36</v>
      </c>
      <c r="D91" s="7" t="s">
        <v>258</v>
      </c>
      <c r="E91" s="9" t="s">
        <v>38</v>
      </c>
      <c r="F91" s="9" t="s">
        <v>259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1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12">
        <v>0</v>
      </c>
      <c r="Y91" s="23">
        <f ca="1">IFERROR(__xludf.DUMMYFUNCTION("INDEX(IMPORTRANGE(""1y0FWgjbB0gVlqn-q5LMJbGIsqOrzru4yowQz67dz2yc"", ""'SNG'!BH3:BH139""),MATCH(D91,IMPORTRANGE(""1y0FWgjbB0gVlqn-q5LMJbGIsqOrzru4yowQz67dz2yc"", ""'SNG'!D3:D139""),0))"),1.57142857142857)</f>
        <v>1.5714285714285701</v>
      </c>
      <c r="Z91" s="23">
        <f ca="1">IFERROR(__xludf.DUMMYFUNCTION("INDEX(IMPORTRANGE(""1y0FWgjbB0gVlqn-q5LMJbGIsqOrzru4yowQz67dz2yc"", ""'SNG'!BI3:BI139""),MATCH(D91,IMPORTRANGE(""1y0FWgjbB0gVlqn-q5LMJbGIsqOrzru4yowQz67dz2yc"", ""'SNG'!D3:D139""),0))"),3.83974358974358)</f>
        <v>3.8397435897435801</v>
      </c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261</v>
      </c>
      <c r="E92" s="9" t="s">
        <v>38</v>
      </c>
      <c r="F92" s="9" t="s">
        <v>262</v>
      </c>
      <c r="G92" s="11">
        <v>44469</v>
      </c>
      <c r="H92" s="180"/>
      <c r="I92" s="11">
        <v>44651</v>
      </c>
      <c r="J92" s="13"/>
      <c r="K92" s="11">
        <v>45016</v>
      </c>
      <c r="L92" s="13"/>
      <c r="M92" s="11">
        <v>45382</v>
      </c>
      <c r="N92" s="13"/>
      <c r="O92" s="11">
        <v>45565</v>
      </c>
      <c r="P92" s="254"/>
      <c r="Q92" s="254"/>
      <c r="R92" s="13"/>
      <c r="S92" s="13"/>
      <c r="T92" s="13"/>
      <c r="U92" s="13"/>
      <c r="V92" s="13"/>
      <c r="W92" s="13"/>
      <c r="X92" s="12">
        <v>1</v>
      </c>
      <c r="Y92" s="12">
        <f ca="1">IFERROR(__xludf.DUMMYFUNCTION("INDEX(IMPORTRANGE(""1y0FWgjbB0gVlqn-q5LMJbGIsqOrzru4yowQz67dz2yc"", ""'SNG'!BH3:BH139""),MATCH(D92,IMPORTRANGE(""1y0FWgjbB0gVlqn-q5LMJbGIsqOrzru4yowQz67dz2yc"", ""'SNG'!D3:D139""),0))"),1)</f>
        <v>1</v>
      </c>
      <c r="Z92" s="12">
        <f ca="1">IFERROR(__xludf.DUMMYFUNCTION("INDEX(IMPORTRANGE(""1y0FWgjbB0gVlqn-q5LMJbGIsqOrzru4yowQz67dz2yc"", ""'SNG'!BI3:BI139""),MATCH(D92,IMPORTRANGE(""1y0FWgjbB0gVlqn-q5LMJbGIsqOrzru4yowQz67dz2yc"", ""'SNG'!D3:D139""),0))"),3)</f>
        <v>3</v>
      </c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263</v>
      </c>
      <c r="E93" s="9" t="s">
        <v>38</v>
      </c>
      <c r="F93" s="9" t="s">
        <v>264</v>
      </c>
      <c r="G93" s="11">
        <v>44469</v>
      </c>
      <c r="H93" s="181"/>
      <c r="I93" s="11">
        <v>44651</v>
      </c>
      <c r="J93" s="13"/>
      <c r="K93" s="11">
        <v>45016</v>
      </c>
      <c r="L93" s="13"/>
      <c r="M93" s="11">
        <v>45382</v>
      </c>
      <c r="N93" s="13"/>
      <c r="O93" s="11">
        <v>45565</v>
      </c>
      <c r="P93" s="254"/>
      <c r="Q93" s="254"/>
      <c r="R93" s="13"/>
      <c r="S93" s="13"/>
      <c r="T93" s="13"/>
      <c r="U93" s="13"/>
      <c r="V93" s="13"/>
      <c r="W93" s="13"/>
      <c r="X93" s="12">
        <v>10</v>
      </c>
      <c r="Y93" s="12">
        <f ca="1">IFERROR(__xludf.DUMMYFUNCTION("INDEX(IMPORTRANGE(""1y0FWgjbB0gVlqn-q5LMJbGIsqOrzru4yowQz67dz2yc"", ""'SNG'!BH3:BH139""),MATCH(D93,IMPORTRANGE(""1y0FWgjbB0gVlqn-q5LMJbGIsqOrzru4yowQz67dz2yc"", ""'SNG'!D3:D139""),0))"),11)</f>
        <v>11</v>
      </c>
      <c r="Z93" s="12">
        <f ca="1">IFERROR(__xludf.DUMMYFUNCTION("INDEX(IMPORTRANGE(""1y0FWgjbB0gVlqn-q5LMJbGIsqOrzru4yowQz67dz2yc"", ""'SNG'!BI3:BI139""),MATCH(D93,IMPORTRANGE(""1y0FWgjbB0gVlqn-q5LMJbGIsqOrzru4yowQz67dz2yc"", ""'SNG'!D3:D139""),0))"),12)</f>
        <v>12</v>
      </c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265</v>
      </c>
      <c r="E94" s="9" t="s">
        <v>38</v>
      </c>
      <c r="F94" s="9" t="s">
        <v>266</v>
      </c>
      <c r="G94" s="11">
        <v>44469</v>
      </c>
      <c r="H94" s="181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12">
        <v>1</v>
      </c>
      <c r="Y94" s="12">
        <f ca="1">IFERROR(__xludf.DUMMYFUNCTION("INDEX(IMPORTRANGE(""1y0FWgjbB0gVlqn-q5LMJbGIsqOrzru4yowQz67dz2yc"", ""'SNG'!BH3:BH139""),MATCH(D94,IMPORTRANGE(""1y0FWgjbB0gVlqn-q5LMJbGIsqOrzru4yowQz67dz2yc"", ""'SNG'!D3:D139""),0))"),1)</f>
        <v>1</v>
      </c>
      <c r="Z94" s="12">
        <f ca="1">IFERROR(__xludf.DUMMYFUNCTION("INDEX(IMPORTRANGE(""1y0FWgjbB0gVlqn-q5LMJbGIsqOrzru4yowQz67dz2yc"", ""'SNG'!BI3:BI139""),MATCH(D94,IMPORTRANGE(""1y0FWgjbB0gVlqn-q5LMJbGIsqOrzru4yowQz67dz2yc"", ""'SNG'!D3:D139""),0))"),1)</f>
        <v>1</v>
      </c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267</v>
      </c>
      <c r="E95" s="9" t="s">
        <v>38</v>
      </c>
      <c r="F95" s="9" t="s">
        <v>268</v>
      </c>
      <c r="G95" s="11">
        <v>44469</v>
      </c>
      <c r="H95" s="181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13"/>
      <c r="T95" s="13"/>
      <c r="U95" s="13"/>
      <c r="V95" s="13"/>
      <c r="W95" s="13"/>
      <c r="X95" s="12">
        <v>2</v>
      </c>
      <c r="Y95" s="12">
        <f ca="1">IFERROR(__xludf.DUMMYFUNCTION("INDEX(IMPORTRANGE(""1y0FWgjbB0gVlqn-q5LMJbGIsqOrzru4yowQz67dz2yc"", ""'SNG'!BH3:BH139""),MATCH(D95,IMPORTRANGE(""1y0FWgjbB0gVlqn-q5LMJbGIsqOrzru4yowQz67dz2yc"", ""'SNG'!D3:D139""),0))"),2)</f>
        <v>2</v>
      </c>
      <c r="Z95" s="12">
        <f ca="1">IFERROR(__xludf.DUMMYFUNCTION("INDEX(IMPORTRANGE(""1y0FWgjbB0gVlqn-q5LMJbGIsqOrzru4yowQz67dz2yc"", ""'SNG'!BI3:BI139""),MATCH(D95,IMPORTRANGE(""1y0FWgjbB0gVlqn-q5LMJbGIsqOrzru4yowQz67dz2yc"", ""'SNG'!D3:D139""),0))"),2)</f>
        <v>2</v>
      </c>
      <c r="AA95" s="1"/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269</v>
      </c>
      <c r="E96" s="9" t="s">
        <v>38</v>
      </c>
      <c r="F96" s="9" t="s">
        <v>270</v>
      </c>
      <c r="G96" s="11">
        <v>44469</v>
      </c>
      <c r="H96" s="181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13"/>
      <c r="S96" s="13"/>
      <c r="T96" s="13"/>
      <c r="U96" s="13"/>
      <c r="V96" s="13"/>
      <c r="W96" s="13"/>
      <c r="X96" s="12">
        <v>16</v>
      </c>
      <c r="Y96" s="12">
        <f ca="1">IFERROR(__xludf.DUMMYFUNCTION("INDEX(IMPORTRANGE(""1y0FWgjbB0gVlqn-q5LMJbGIsqOrzru4yowQz67dz2yc"", ""'SNG'!BH3:BH139""),MATCH(D96,IMPORTRANGE(""1y0FWgjbB0gVlqn-q5LMJbGIsqOrzru4yowQz67dz2yc"", ""'SNG'!D3:D139""),0))"),23)</f>
        <v>23</v>
      </c>
      <c r="Z96" s="12">
        <f ca="1">IFERROR(__xludf.DUMMYFUNCTION("INDEX(IMPORTRANGE(""1y0FWgjbB0gVlqn-q5LMJbGIsqOrzru4yowQz67dz2yc"", ""'SNG'!BI3:BI139""),MATCH(D96,IMPORTRANGE(""1y0FWgjbB0gVlqn-q5LMJbGIsqOrzru4yowQz67dz2yc"", ""'SNG'!D3:D139""),0))"),23)</f>
        <v>23</v>
      </c>
      <c r="AA96" s="1"/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271</v>
      </c>
      <c r="E97" s="9" t="s">
        <v>38</v>
      </c>
      <c r="F97" s="9" t="s">
        <v>272</v>
      </c>
      <c r="G97" s="11">
        <v>44469</v>
      </c>
      <c r="H97" s="181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13"/>
      <c r="S97" s="13"/>
      <c r="T97" s="13"/>
      <c r="U97" s="13"/>
      <c r="V97" s="13"/>
      <c r="W97" s="13"/>
      <c r="X97" s="12">
        <v>53</v>
      </c>
      <c r="Y97" s="12">
        <f ca="1">IFERROR(__xludf.DUMMYFUNCTION("INDEX(IMPORTRANGE(""1y0FWgjbB0gVlqn-q5LMJbGIsqOrzru4yowQz67dz2yc"", ""'SNG'!BH3:BH139""),MATCH(D97,IMPORTRANGE(""1y0FWgjbB0gVlqn-q5LMJbGIsqOrzru4yowQz67dz2yc"", ""'SNG'!D3:D139""),0))"),62)</f>
        <v>62</v>
      </c>
      <c r="Z97" s="12">
        <f ca="1">IFERROR(__xludf.DUMMYFUNCTION("INDEX(IMPORTRANGE(""1y0FWgjbB0gVlqn-q5LMJbGIsqOrzru4yowQz67dz2yc"", ""'SNG'!BI3:BI139""),MATCH(D97,IMPORTRANGE(""1y0FWgjbB0gVlqn-q5LMJbGIsqOrzru4yowQz67dz2yc"", ""'SNG'!D3:D139""),0))"),61)</f>
        <v>61</v>
      </c>
      <c r="AA97" s="1"/>
      <c r="AB97" s="1"/>
      <c r="AC97" s="1"/>
    </row>
    <row r="98" spans="1:29">
      <c r="A98" s="7" t="s">
        <v>243</v>
      </c>
      <c r="B98" s="7" t="s">
        <v>260</v>
      </c>
      <c r="C98" s="1" t="s">
        <v>36</v>
      </c>
      <c r="D98" s="7" t="s">
        <v>273</v>
      </c>
      <c r="E98" s="9" t="s">
        <v>38</v>
      </c>
      <c r="F98" s="9" t="s">
        <v>274</v>
      </c>
      <c r="G98" s="11">
        <v>44469</v>
      </c>
      <c r="H98" s="181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60">
        <v>0.5</v>
      </c>
      <c r="S98" s="60">
        <v>0.5</v>
      </c>
      <c r="T98" s="60">
        <v>0.5</v>
      </c>
      <c r="U98" s="60">
        <v>0.5</v>
      </c>
      <c r="V98" s="60">
        <v>0.5</v>
      </c>
      <c r="W98" s="60">
        <v>0.5</v>
      </c>
      <c r="X98" s="15">
        <f>SUM(X92,X94,X96)/SUM(X93,X95,X97)</f>
        <v>0.27692307692307694</v>
      </c>
      <c r="Y98" s="15">
        <f ca="1">IFERROR(__xludf.DUMMYFUNCTION("INDEX(IMPORTRANGE(""1y0FWgjbB0gVlqn-q5LMJbGIsqOrzru4yowQz67dz2yc"", ""'SNG'!BH3:BH139""),MATCH(D98,IMPORTRANGE(""1y0FWgjbB0gVlqn-q5LMJbGIsqOrzru4yowQz67dz2yc"", ""'SNG'!D3:D139""),0))"),0.333333333333333)</f>
        <v>0.33333333333333298</v>
      </c>
      <c r="Z98" s="15">
        <f ca="1">IFERROR(__xludf.DUMMYFUNCTION("INDEX(IMPORTRANGE(""1y0FWgjbB0gVlqn-q5LMJbGIsqOrzru4yowQz67dz2yc"", ""'SNG'!BI3:BI139""),MATCH(D98,IMPORTRANGE(""1y0FWgjbB0gVlqn-q5LMJbGIsqOrzru4yowQz67dz2yc"", ""'SNG'!D3:D139""),0))"),0.36)</f>
        <v>0.36</v>
      </c>
      <c r="AA98" s="1"/>
      <c r="AB98" s="1"/>
      <c r="AC98" s="1"/>
    </row>
    <row r="99" spans="1:29">
      <c r="A99" s="7" t="s">
        <v>275</v>
      </c>
      <c r="B99" s="7" t="s">
        <v>276</v>
      </c>
      <c r="C99" s="1" t="s">
        <v>30</v>
      </c>
      <c r="D99" s="7" t="s">
        <v>277</v>
      </c>
      <c r="E99" s="9" t="s">
        <v>278</v>
      </c>
      <c r="F99" s="9" t="s">
        <v>279</v>
      </c>
      <c r="G99" s="183" t="s">
        <v>213</v>
      </c>
      <c r="H99" s="1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36">
        <v>641679794</v>
      </c>
      <c r="Q99" s="36">
        <v>641679794</v>
      </c>
      <c r="R99" s="13"/>
      <c r="S99" s="13"/>
      <c r="T99" s="13"/>
      <c r="U99" s="13"/>
      <c r="V99" s="13"/>
      <c r="W99" s="13"/>
      <c r="X99" s="36">
        <v>641679794</v>
      </c>
      <c r="Y99" s="336" t="str">
        <f ca="1">IFERROR(__xludf.DUMMYFUNCTION("INDEX(IMPORTRANGE(""1y0FWgjbB0gVlqn-q5LMJbGIsqOrzru4yowQz67dz2yc"", ""'SNG'!BH3:BH139""),MATCH(D99,IMPORTRANGE(""1y0FWgjbB0gVlqn-q5LMJbGIsqOrzru4yowQz67dz2yc"", ""'SNG'!D3:D139""),0))"),"")</f>
        <v/>
      </c>
      <c r="Z99" s="36">
        <f ca="1">IFERROR(__xludf.DUMMYFUNCTION("INDEX(IMPORTRANGE(""1y0FWgjbB0gVlqn-q5LMJbGIsqOrzru4yowQz67dz2yc"", ""'SNG'!BI3:BI139""),MATCH(D99,IMPORTRANGE(""1y0FWgjbB0gVlqn-q5LMJbGIsqOrzru4yowQz67dz2yc"", ""'SNG'!D3:D139""),0))"),740071741)</f>
        <v>740071741</v>
      </c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30</v>
      </c>
      <c r="D100" s="7" t="s">
        <v>280</v>
      </c>
      <c r="E100" s="9" t="s">
        <v>278</v>
      </c>
      <c r="F100" s="9" t="s">
        <v>281</v>
      </c>
      <c r="G100" s="7" t="s">
        <v>213</v>
      </c>
      <c r="H100" s="1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36">
        <v>2323752062</v>
      </c>
      <c r="Q100" s="36">
        <v>2323752062</v>
      </c>
      <c r="R100" s="13"/>
      <c r="S100" s="13"/>
      <c r="T100" s="13"/>
      <c r="U100" s="13"/>
      <c r="V100" s="13"/>
      <c r="W100" s="13"/>
      <c r="X100" s="36">
        <v>2323752062</v>
      </c>
      <c r="Y100" s="336" t="str">
        <f ca="1">IFERROR(__xludf.DUMMYFUNCTION("INDEX(IMPORTRANGE(""1y0FWgjbB0gVlqn-q5LMJbGIsqOrzru4yowQz67dz2yc"", ""'SNG'!BH3:BH139""),MATCH(D100,IMPORTRANGE(""1y0FWgjbB0gVlqn-q5LMJbGIsqOrzru4yowQz67dz2yc"", ""'SNG'!D3:D139""),0))"),"")</f>
        <v/>
      </c>
      <c r="Z100" s="36">
        <f ca="1">IFERROR(__xludf.DUMMYFUNCTION("INDEX(IMPORTRANGE(""1y0FWgjbB0gVlqn-q5LMJbGIsqOrzru4yowQz67dz2yc"", ""'SNG'!BI3:BI139""),MATCH(D100,IMPORTRANGE(""1y0FWgjbB0gVlqn-q5LMJbGIsqOrzru4yowQz67dz2yc"", ""'SNG'!D3:D139""),0))"),2652469823)</f>
        <v>2652469823</v>
      </c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36</v>
      </c>
      <c r="D101" s="7" t="s">
        <v>282</v>
      </c>
      <c r="E101" s="9" t="s">
        <v>278</v>
      </c>
      <c r="F101" s="9" t="s">
        <v>283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15">
        <f t="shared" ref="P101:Q101" si="22">P99/P100</f>
        <v>0.27613952645521095</v>
      </c>
      <c r="Q101" s="15">
        <f t="shared" si="22"/>
        <v>0.27613952645521095</v>
      </c>
      <c r="R101" s="2"/>
      <c r="S101" s="15">
        <v>0.27800000000000002</v>
      </c>
      <c r="T101" s="2"/>
      <c r="U101" s="15">
        <v>0.28000000000000003</v>
      </c>
      <c r="V101" s="15">
        <v>0.28199999999999997</v>
      </c>
      <c r="W101" s="15">
        <v>0.28000000000000003</v>
      </c>
      <c r="X101" s="15">
        <f>X99/X100</f>
        <v>0.27613952645521095</v>
      </c>
      <c r="Y101" s="482" t="str">
        <f ca="1">IFERROR(__xludf.DUMMYFUNCTION("INDEX(IMPORTRANGE(""1y0FWgjbB0gVlqn-q5LMJbGIsqOrzru4yowQz67dz2yc"", ""'SNG'!BH3:BH139""),MATCH(D101,IMPORTRANGE(""1y0FWgjbB0gVlqn-q5LMJbGIsqOrzru4yowQz67dz2yc"", ""'SNG'!D3:D139""),0))"),"")</f>
        <v/>
      </c>
      <c r="Z101" s="15">
        <f ca="1">IFERROR(__xludf.DUMMYFUNCTION("INDEX(IMPORTRANGE(""1y0FWgjbB0gVlqn-q5LMJbGIsqOrzru4yowQz67dz2yc"", ""'SNG'!BI3:BI139""),MATCH(D101,IMPORTRANGE(""1y0FWgjbB0gVlqn-q5LMJbGIsqOrzru4yowQz67dz2yc"", ""'SNG'!D3:D139""),0))"),0.279012313196823)</f>
        <v>0.27901231319682301</v>
      </c>
      <c r="AA101" s="1"/>
      <c r="AB101" s="1"/>
      <c r="AC101" s="1"/>
    </row>
    <row r="102" spans="1:29">
      <c r="A102" s="7" t="s">
        <v>275</v>
      </c>
      <c r="B102" s="7" t="s">
        <v>284</v>
      </c>
      <c r="C102" s="1" t="s">
        <v>30</v>
      </c>
      <c r="D102" s="7" t="s">
        <v>285</v>
      </c>
      <c r="E102" s="9" t="s">
        <v>278</v>
      </c>
      <c r="F102" s="9" t="s">
        <v>286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50">
        <v>1770850112.28</v>
      </c>
      <c r="Q102" s="50">
        <v>1770850112.28</v>
      </c>
      <c r="R102" s="330"/>
      <c r="S102" s="13"/>
      <c r="T102" s="13"/>
      <c r="U102" s="13"/>
      <c r="V102" s="13"/>
      <c r="W102" s="13"/>
      <c r="X102" s="12">
        <v>1770850112.28</v>
      </c>
      <c r="Y102" s="249" t="str">
        <f ca="1">IFERROR(__xludf.DUMMYFUNCTION("INDEX(IMPORTRANGE(""1y0FWgjbB0gVlqn-q5LMJbGIsqOrzru4yowQz67dz2yc"", ""'SNG'!BH3:BH139""),MATCH(D102,IMPORTRANGE(""1y0FWgjbB0gVlqn-q5LMJbGIsqOrzru4yowQz67dz2yc"", ""'SNG'!D3:D139""),0))"),"")</f>
        <v/>
      </c>
      <c r="Z102" s="12">
        <f ca="1">IFERROR(__xludf.DUMMYFUNCTION("INDEX(IMPORTRANGE(""1y0FWgjbB0gVlqn-q5LMJbGIsqOrzru4yowQz67dz2yc"", ""'SNG'!BI3:BI139""),MATCH(D102,IMPORTRANGE(""1y0FWgjbB0gVlqn-q5LMJbGIsqOrzru4yowQz67dz2yc"", ""'SNG'!D3:D139""),0))"),1990938655.47)</f>
        <v>1990938655.47</v>
      </c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287</v>
      </c>
      <c r="E103" s="9" t="s">
        <v>278</v>
      </c>
      <c r="F103" s="9" t="s">
        <v>288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3">P99/P102</f>
        <v>0.3623569208654403</v>
      </c>
      <c r="Q103" s="15">
        <f t="shared" si="23"/>
        <v>0.3623569208654403</v>
      </c>
      <c r="R103" s="2"/>
      <c r="S103" s="15">
        <v>0.36399999999999999</v>
      </c>
      <c r="T103" s="2"/>
      <c r="U103" s="15">
        <v>0.36599999999999999</v>
      </c>
      <c r="V103" s="15">
        <v>0.36799999999999999</v>
      </c>
      <c r="W103" s="15">
        <v>0.37</v>
      </c>
      <c r="X103" s="15">
        <f>X99/X102</f>
        <v>0.3623569208654403</v>
      </c>
      <c r="Y103" s="482" t="str">
        <f ca="1">IFERROR(__xludf.DUMMYFUNCTION("INDEX(IMPORTRANGE(""1y0FWgjbB0gVlqn-q5LMJbGIsqOrzru4yowQz67dz2yc"", ""'SNG'!BH3:BH139""),MATCH(D103,IMPORTRANGE(""1y0FWgjbB0gVlqn-q5LMJbGIsqOrzru4yowQz67dz2yc"", ""'SNG'!D3:D139""),0))"),"")</f>
        <v/>
      </c>
      <c r="Z103" s="15">
        <f ca="1">IFERROR(__xludf.DUMMYFUNCTION("INDEX(IMPORTRANGE(""1y0FWgjbB0gVlqn-q5LMJbGIsqOrzru4yowQz67dz2yc"", ""'SNG'!BI3:BI139""),MATCH(D103,IMPORTRANGE(""1y0FWgjbB0gVlqn-q5LMJbGIsqOrzru4yowQz67dz2yc"", ""'SNG'!D3:D139""),0))"),0.371720012048935)</f>
        <v>0.37172001204893501</v>
      </c>
      <c r="AA103" s="1"/>
      <c r="AB103" s="1"/>
      <c r="AC103" s="1"/>
    </row>
    <row r="104" spans="1:29">
      <c r="A104" s="7" t="s">
        <v>275</v>
      </c>
      <c r="B104" s="7" t="s">
        <v>276</v>
      </c>
      <c r="C104" s="1" t="s">
        <v>30</v>
      </c>
      <c r="D104" s="7" t="s">
        <v>289</v>
      </c>
      <c r="E104" s="9" t="s">
        <v>38</v>
      </c>
      <c r="F104" s="9" t="s">
        <v>112</v>
      </c>
      <c r="G104" s="7" t="s">
        <v>254</v>
      </c>
      <c r="H104" s="7" t="s">
        <v>254</v>
      </c>
      <c r="I104" s="7" t="s">
        <v>254</v>
      </c>
      <c r="J104" s="13"/>
      <c r="K104" s="7" t="s">
        <v>255</v>
      </c>
      <c r="L104" s="13"/>
      <c r="M104" s="7" t="s">
        <v>256</v>
      </c>
      <c r="N104" s="260">
        <v>45536</v>
      </c>
      <c r="O104" s="1" t="s">
        <v>218</v>
      </c>
      <c r="P104" s="12">
        <v>147356</v>
      </c>
      <c r="Q104" s="12">
        <v>147356</v>
      </c>
      <c r="R104" s="13"/>
      <c r="S104" s="13"/>
      <c r="T104" s="13"/>
      <c r="U104" s="13"/>
      <c r="V104" s="13"/>
      <c r="W104" s="13"/>
      <c r="X104" s="12">
        <v>147356</v>
      </c>
      <c r="Y104" s="249" t="str">
        <f ca="1">IFERROR(__xludf.DUMMYFUNCTION("INDEX(IMPORTRANGE(""1y0FWgjbB0gVlqn-q5LMJbGIsqOrzru4yowQz67dz2yc"", ""'SNG'!BH3:BH139""),MATCH(D104,IMPORTRANGE(""1y0FWgjbB0gVlqn-q5LMJbGIsqOrzru4yowQz67dz2yc"", ""'SNG'!D3:D139""),0))"),"")</f>
        <v/>
      </c>
      <c r="Z104" s="12">
        <f ca="1">IFERROR(__xludf.DUMMYFUNCTION("INDEX(IMPORTRANGE(""1y0FWgjbB0gVlqn-q5LMJbGIsqOrzru4yowQz67dz2yc"", ""'SNG'!BI3:BI139""),MATCH(D104,IMPORTRANGE(""1y0FWgjbB0gVlqn-q5LMJbGIsqOrzru4yowQz67dz2yc"", ""'SNG'!D3:D139""),0))"),137188)</f>
        <v>137188</v>
      </c>
      <c r="AA104" s="1"/>
      <c r="AB104" s="1"/>
      <c r="AC104" s="1"/>
    </row>
    <row r="105" spans="1:29">
      <c r="A105" s="7" t="s">
        <v>275</v>
      </c>
      <c r="B105" s="7" t="s">
        <v>276</v>
      </c>
      <c r="C105" s="1" t="s">
        <v>30</v>
      </c>
      <c r="D105" s="7" t="s">
        <v>290</v>
      </c>
      <c r="E105" s="9" t="s">
        <v>38</v>
      </c>
      <c r="F105" s="9" t="s">
        <v>291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2">
        <v>99460</v>
      </c>
      <c r="Q105" s="12">
        <v>99460</v>
      </c>
      <c r="R105" s="1"/>
      <c r="S105" s="1"/>
      <c r="T105" s="1"/>
      <c r="U105" s="1"/>
      <c r="V105" s="1"/>
      <c r="W105" s="1"/>
      <c r="X105" s="12">
        <v>99460</v>
      </c>
      <c r="Y105" s="249" t="str">
        <f ca="1">IFERROR(__xludf.DUMMYFUNCTION("INDEX(IMPORTRANGE(""1y0FWgjbB0gVlqn-q5LMJbGIsqOrzru4yowQz67dz2yc"", ""'SNG'!BH3:BH139""),MATCH(D105,IMPORTRANGE(""1y0FWgjbB0gVlqn-q5LMJbGIsqOrzru4yowQz67dz2yc"", ""'SNG'!D3:D139""),0))"),"")</f>
        <v/>
      </c>
      <c r="Z105" s="12">
        <f ca="1">IFERROR(__xludf.DUMMYFUNCTION("INDEX(IMPORTRANGE(""1y0FWgjbB0gVlqn-q5LMJbGIsqOrzru4yowQz67dz2yc"", ""'SNG'!BI3:BI139""),MATCH(D105,IMPORTRANGE(""1y0FWgjbB0gVlqn-q5LMJbGIsqOrzru4yowQz67dz2yc"", ""'SNG'!D3:D139""),0))"),97941)</f>
        <v>97941</v>
      </c>
      <c r="AA105" s="1"/>
      <c r="AB105" s="1"/>
      <c r="AC105" s="1"/>
    </row>
    <row r="106" spans="1:29">
      <c r="A106" s="7" t="s">
        <v>275</v>
      </c>
      <c r="B106" s="7" t="s">
        <v>276</v>
      </c>
      <c r="C106" s="1" t="s">
        <v>36</v>
      </c>
      <c r="D106" s="7" t="s">
        <v>292</v>
      </c>
      <c r="E106" s="9" t="s">
        <v>38</v>
      </c>
      <c r="F106" s="9" t="s">
        <v>293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5">
        <f t="shared" ref="P106:Q106" si="24">P105/P104</f>
        <v>0.67496403268275473</v>
      </c>
      <c r="Q106" s="15">
        <f t="shared" si="24"/>
        <v>0.67496403268275473</v>
      </c>
      <c r="R106" s="2"/>
      <c r="S106" s="14">
        <v>0.68</v>
      </c>
      <c r="T106" s="2"/>
      <c r="U106" s="15">
        <v>0.68500000000000005</v>
      </c>
      <c r="V106" s="15">
        <v>0.69</v>
      </c>
      <c r="W106" s="15">
        <v>0.69</v>
      </c>
      <c r="X106" s="15">
        <f>X105/X104</f>
        <v>0.67496403268275473</v>
      </c>
      <c r="Y106" s="482" t="str">
        <f ca="1">IFERROR(__xludf.DUMMYFUNCTION("INDEX(IMPORTRANGE(""1y0FWgjbB0gVlqn-q5LMJbGIsqOrzru4yowQz67dz2yc"", ""'SNG'!BH3:BH139""),MATCH(D106,IMPORTRANGE(""1y0FWgjbB0gVlqn-q5LMJbGIsqOrzru4yowQz67dz2yc"", ""'SNG'!D3:D139""),0))"),"")</f>
        <v/>
      </c>
      <c r="Z106" s="15">
        <f ca="1">IFERROR(__xludf.DUMMYFUNCTION("INDEX(IMPORTRANGE(""1y0FWgjbB0gVlqn-q5LMJbGIsqOrzru4yowQz67dz2yc"", ""'SNG'!BI3:BI139""),MATCH(D106,IMPORTRANGE(""1y0FWgjbB0gVlqn-q5LMJbGIsqOrzru4yowQz67dz2yc"", ""'SNG'!D3:D139""),0))"),0.713918126949879)</f>
        <v>0.713918126949879</v>
      </c>
      <c r="AA106" s="1"/>
      <c r="AB106" s="1"/>
      <c r="AC106" s="1"/>
    </row>
    <row r="107" spans="1:29">
      <c r="A107" s="7" t="s">
        <v>275</v>
      </c>
      <c r="B107" s="7" t="s">
        <v>276</v>
      </c>
      <c r="C107" s="7" t="s">
        <v>30</v>
      </c>
      <c r="D107" s="7" t="s">
        <v>294</v>
      </c>
      <c r="E107" s="9" t="s">
        <v>38</v>
      </c>
      <c r="F107" s="9" t="s">
        <v>295</v>
      </c>
      <c r="G107" s="7" t="s">
        <v>213</v>
      </c>
      <c r="H107" s="1" t="s">
        <v>214</v>
      </c>
      <c r="I107" s="7" t="s">
        <v>215</v>
      </c>
      <c r="J107" s="181"/>
      <c r="K107" s="7" t="s">
        <v>216</v>
      </c>
      <c r="L107" s="181"/>
      <c r="M107" s="7" t="s">
        <v>217</v>
      </c>
      <c r="N107" s="1" t="s">
        <v>218</v>
      </c>
      <c r="O107" s="1" t="s">
        <v>218</v>
      </c>
      <c r="P107" s="50"/>
      <c r="Q107" s="50"/>
      <c r="R107" s="1"/>
      <c r="S107" s="1"/>
      <c r="T107" s="1"/>
      <c r="U107" s="1"/>
      <c r="V107" s="1"/>
      <c r="W107" s="1"/>
      <c r="X107" s="36"/>
      <c r="Y107" s="336" t="str">
        <f ca="1">IFERROR(__xludf.DUMMYFUNCTION("INDEX(IMPORTRANGE(""1y0FWgjbB0gVlqn-q5LMJbGIsqOrzru4yowQz67dz2yc"", ""'SNG'!BH3:BH139""),MATCH(D107,IMPORTRANGE(""1y0FWgjbB0gVlqn-q5LMJbGIsqOrzru4yowQz67dz2yc"", ""'SNG'!D3:D139""),0))"),"")</f>
        <v/>
      </c>
      <c r="Z107" s="36">
        <f ca="1">IFERROR(__xludf.DUMMYFUNCTION("INDEX(IMPORTRANGE(""1y0FWgjbB0gVlqn-q5LMJbGIsqOrzru4yowQz67dz2yc"", ""'SNG'!BI3:BI139""),MATCH(D107,IMPORTRANGE(""1y0FWgjbB0gVlqn-q5LMJbGIsqOrzru4yowQz67dz2yc"", ""'SNG'!D3:D139""),0))"),369148531.289999)</f>
        <v>369148531.28999901</v>
      </c>
      <c r="AA107" s="1"/>
      <c r="AB107" s="1"/>
      <c r="AC107" s="1"/>
    </row>
    <row r="108" spans="1:29">
      <c r="A108" s="7" t="s">
        <v>275</v>
      </c>
      <c r="B108" s="7" t="s">
        <v>276</v>
      </c>
      <c r="C108" s="7" t="s">
        <v>36</v>
      </c>
      <c r="D108" s="7" t="s">
        <v>296</v>
      </c>
      <c r="E108" s="9" t="s">
        <v>38</v>
      </c>
      <c r="F108" s="9" t="s">
        <v>297</v>
      </c>
      <c r="G108" s="7" t="s">
        <v>213</v>
      </c>
      <c r="H108" s="1" t="s">
        <v>214</v>
      </c>
      <c r="I108" s="7" t="s">
        <v>215</v>
      </c>
      <c r="J108" s="181"/>
      <c r="K108" s="7" t="s">
        <v>216</v>
      </c>
      <c r="L108" s="181"/>
      <c r="M108" s="7" t="s">
        <v>217</v>
      </c>
      <c r="N108" s="1" t="s">
        <v>218</v>
      </c>
      <c r="O108" s="1" t="s">
        <v>218</v>
      </c>
      <c r="P108" s="50">
        <v>363858395.08999997</v>
      </c>
      <c r="Q108" s="50">
        <v>363858395.08999997</v>
      </c>
      <c r="R108" s="2"/>
      <c r="S108" s="36">
        <v>374500000</v>
      </c>
      <c r="T108" s="2"/>
      <c r="U108" s="36">
        <v>388611356.37</v>
      </c>
      <c r="V108" s="36">
        <v>400987837</v>
      </c>
      <c r="W108" s="349">
        <v>400987837</v>
      </c>
      <c r="X108" s="36">
        <v>363858395.08999997</v>
      </c>
      <c r="Y108" s="483" t="str">
        <f ca="1">IFERROR(__xludf.DUMMYFUNCTION("INDEX(IMPORTRANGE(""1y0FWgjbB0gVlqn-q5LMJbGIsqOrzru4yowQz67dz2yc"", ""'SNG'!BH3:BH139""),MATCH(D108,IMPORTRANGE(""1y0FWgjbB0gVlqn-q5LMJbGIsqOrzru4yowQz67dz2yc"", ""'SNG'!D3:D139""),0))"),"")</f>
        <v/>
      </c>
      <c r="Z108" s="36">
        <f ca="1">IFERROR(__xludf.DUMMYFUNCTION("INDEX(IMPORTRANGE(""1y0FWgjbB0gVlqn-q5LMJbGIsqOrzru4yowQz67dz2yc"", ""'SNG'!BI3:BI139""),MATCH(D108,IMPORTRANGE(""1y0FWgjbB0gVlqn-q5LMJbGIsqOrzru4yowQz67dz2yc"", ""'SNG'!D3:D139""),0))"),400400429.249999)</f>
        <v>400400429.24999899</v>
      </c>
      <c r="AA108" s="1"/>
      <c r="AB108" s="1"/>
      <c r="AC108" s="1"/>
    </row>
    <row r="109" spans="1:29">
      <c r="A109" s="7" t="s">
        <v>275</v>
      </c>
      <c r="B109" s="7" t="s">
        <v>298</v>
      </c>
      <c r="C109" s="1" t="s">
        <v>30</v>
      </c>
      <c r="D109" s="7" t="s">
        <v>299</v>
      </c>
      <c r="E109" s="9" t="s">
        <v>278</v>
      </c>
      <c r="F109" s="9" t="s">
        <v>300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>
        <v>2494247239.0900002</v>
      </c>
      <c r="Q109" s="36">
        <v>2494247239.0900002</v>
      </c>
      <c r="R109" s="13"/>
      <c r="S109" s="13"/>
      <c r="T109" s="13"/>
      <c r="U109" s="13"/>
      <c r="V109" s="13"/>
      <c r="W109" s="13"/>
      <c r="X109" s="36">
        <v>2494247239.0900002</v>
      </c>
      <c r="Y109" s="336" t="str">
        <f ca="1">IFERROR(__xludf.DUMMYFUNCTION("INDEX(IMPORTRANGE(""1y0FWgjbB0gVlqn-q5LMJbGIsqOrzru4yowQz67dz2yc"", ""'SNG'!BH3:BH139""),MATCH(D109,IMPORTRANGE(""1y0FWgjbB0gVlqn-q5LMJbGIsqOrzru4yowQz67dz2yc"", ""'SNG'!D3:D139""),0))"),"")</f>
        <v/>
      </c>
      <c r="Z109" s="36">
        <f ca="1">IFERROR(__xludf.DUMMYFUNCTION("INDEX(IMPORTRANGE(""1y0FWgjbB0gVlqn-q5LMJbGIsqOrzru4yowQz67dz2yc"", ""'SNG'!BI3:BI139""),MATCH(D109,IMPORTRANGE(""1y0FWgjbB0gVlqn-q5LMJbGIsqOrzru4yowQz67dz2yc"", ""'SNG'!D3:D139""),0))"),2563033083.81)</f>
        <v>2563033083.8099999</v>
      </c>
      <c r="AA109" s="1"/>
      <c r="AB109" s="1"/>
      <c r="AC109" s="1"/>
    </row>
    <row r="110" spans="1:29">
      <c r="A110" s="7" t="s">
        <v>275</v>
      </c>
      <c r="B110" s="7" t="s">
        <v>298</v>
      </c>
      <c r="C110" s="1" t="s">
        <v>36</v>
      </c>
      <c r="D110" s="7" t="s">
        <v>301</v>
      </c>
      <c r="E110" s="9" t="s">
        <v>278</v>
      </c>
      <c r="F110" s="9" t="s">
        <v>302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15">
        <f t="shared" ref="P110:Q110" si="25">P102/P109</f>
        <v>0.70997376864936457</v>
      </c>
      <c r="Q110" s="15">
        <f t="shared" si="25"/>
        <v>0.70997376864936457</v>
      </c>
      <c r="R110" s="2"/>
      <c r="S110" s="15">
        <v>0.7</v>
      </c>
      <c r="T110" s="2"/>
      <c r="U110" s="15">
        <v>0.7</v>
      </c>
      <c r="V110" s="15">
        <v>0.7</v>
      </c>
      <c r="W110" s="15">
        <v>0.7</v>
      </c>
      <c r="X110" s="15">
        <v>0.7</v>
      </c>
      <c r="Y110" s="482" t="str">
        <f ca="1">IFERROR(__xludf.DUMMYFUNCTION("INDEX(IMPORTRANGE(""1y0FWgjbB0gVlqn-q5LMJbGIsqOrzru4yowQz67dz2yc"", ""'SNG'!BH3:BH139""),MATCH(D110,IMPORTRANGE(""1y0FWgjbB0gVlqn-q5LMJbGIsqOrzru4yowQz67dz2yc"", ""'SNG'!D3:D139""),0))"),"")</f>
        <v/>
      </c>
      <c r="Z110" s="15">
        <f ca="1">IFERROR(__xludf.DUMMYFUNCTION("INDEX(IMPORTRANGE(""1y0FWgjbB0gVlqn-q5LMJbGIsqOrzru4yowQz67dz2yc"", ""'SNG'!BI3:BI139""),MATCH(D110,IMPORTRANGE(""1y0FWgjbB0gVlqn-q5LMJbGIsqOrzru4yowQz67dz2yc"", ""'SNG'!D3:D139""),0))"),0.776790072686237)</f>
        <v>0.77679007268623701</v>
      </c>
      <c r="AA110" s="1"/>
      <c r="AB110" s="1"/>
      <c r="AC110" s="1"/>
    </row>
    <row r="111" spans="1:29">
      <c r="A111" s="7" t="s">
        <v>275</v>
      </c>
      <c r="B111" s="7" t="s">
        <v>303</v>
      </c>
      <c r="C111" s="1" t="s">
        <v>36</v>
      </c>
      <c r="D111" s="7" t="s">
        <v>304</v>
      </c>
      <c r="E111" s="9" t="s">
        <v>305</v>
      </c>
      <c r="F111" s="9" t="s">
        <v>306</v>
      </c>
      <c r="G111" s="11" t="s">
        <v>307</v>
      </c>
      <c r="H111" s="181"/>
      <c r="I111" s="1" t="s">
        <v>254</v>
      </c>
      <c r="J111" s="13"/>
      <c r="K111" s="1" t="s">
        <v>255</v>
      </c>
      <c r="L111" s="13"/>
      <c r="M111" s="1" t="s">
        <v>256</v>
      </c>
      <c r="N111" s="49">
        <v>45473</v>
      </c>
      <c r="O111" s="1"/>
      <c r="P111" s="30" t="s">
        <v>308</v>
      </c>
      <c r="Q111" s="30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30" t="s">
        <v>308</v>
      </c>
      <c r="Y111" s="484" t="str">
        <f ca="1">IFERROR(__xludf.DUMMYFUNCTION("INDEX(IMPORTRANGE(""1y0FWgjbB0gVlqn-q5LMJbGIsqOrzru4yowQz67dz2yc"", ""'SNG'!BH3:BH139""),MATCH(D111,IMPORTRANGE(""1y0FWgjbB0gVlqn-q5LMJbGIsqOrzru4yowQz67dz2yc"", ""'SNG'!D3:D139""),0))"),"")</f>
        <v/>
      </c>
      <c r="Z111" s="30" t="str">
        <f ca="1">IFERROR(__xludf.DUMMYFUNCTION("INDEX(IMPORTRANGE(""1y0FWgjbB0gVlqn-q5LMJbGIsqOrzru4yowQz67dz2yc"", ""'SNG'!BI3:BI139""),MATCH(D111,IMPORTRANGE(""1y0FWgjbB0gVlqn-q5LMJbGIsqOrzru4yowQz67dz2yc"", ""'SNG'!D3:D139""),0))"),"Verde")</f>
        <v>Verde</v>
      </c>
      <c r="AA111" s="1"/>
      <c r="AB111" s="1"/>
      <c r="AC111" s="1"/>
    </row>
    <row r="112" spans="1:29">
      <c r="A112" s="1"/>
      <c r="B112" s="1"/>
      <c r="C112" s="1"/>
      <c r="D112" s="1"/>
      <c r="E112" s="2"/>
      <c r="F112" s="1"/>
      <c r="G112" s="11" t="s">
        <v>307</v>
      </c>
      <c r="H112" s="181"/>
      <c r="I112" s="1"/>
      <c r="J112" s="1"/>
      <c r="K112" s="1"/>
      <c r="L112" s="1"/>
      <c r="M112" s="1"/>
      <c r="N112" s="1"/>
      <c r="O112" s="1"/>
      <c r="P112" s="2"/>
      <c r="Q112" s="2"/>
      <c r="R112" s="1"/>
      <c r="S112" s="1"/>
      <c r="T112" s="1"/>
      <c r="U112" s="1"/>
      <c r="V112" s="1"/>
      <c r="W112" s="1"/>
      <c r="X112" s="2"/>
      <c r="Y112" s="1"/>
      <c r="Z112" s="2"/>
      <c r="AA112" s="1"/>
      <c r="AB112" s="1"/>
      <c r="AC112" s="1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4C936-9345-1F48-B29E-A2575269BAB0}">
  <dimension ref="A1:M39"/>
  <sheetViews>
    <sheetView workbookViewId="0">
      <selection activeCell="G4" sqref="G4"/>
    </sheetView>
  </sheetViews>
  <sheetFormatPr baseColWidth="10" defaultRowHeight="16"/>
  <cols>
    <col min="1" max="1" width="10.83203125" style="118"/>
    <col min="3" max="3" width="19.5" customWidth="1"/>
    <col min="4" max="4" width="12" customWidth="1"/>
    <col min="5" max="5" width="13.1640625" customWidth="1"/>
    <col min="7" max="7" width="12.6640625" customWidth="1"/>
    <col min="8" max="8" width="13.3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17" t="s">
        <v>34</v>
      </c>
      <c r="B2" s="92" t="s">
        <v>35</v>
      </c>
      <c r="C2" s="71" t="s">
        <v>37</v>
      </c>
      <c r="D2" s="75">
        <f>VLOOKUP(C2,'BD EVA 2 SNG'!$D$3:$Y$114,4,0)</f>
        <v>44469</v>
      </c>
      <c r="E2" s="485">
        <v>462</v>
      </c>
      <c r="F2" s="75">
        <f>VLOOKUP(C2,'BD EVA 2 SNG'!$D$3:$Y$114,8,0)</f>
        <v>45016</v>
      </c>
      <c r="G2" s="203">
        <f ca="1">VLOOKUP(C2,'BD EVA 2 SNG'!$D$3:$AC$114,23,0)</f>
        <v>447</v>
      </c>
      <c r="H2" s="203">
        <f>VLOOKUP(C2,'BD EVA 2 SNG'!$D$3:$AC$114,16,0)</f>
        <v>497</v>
      </c>
      <c r="I2" s="94">
        <f ca="1">IF(G2&gt;=E2,G2/H2,0)</f>
        <v>0</v>
      </c>
      <c r="J2" s="72" t="s">
        <v>316</v>
      </c>
      <c r="K2" s="95">
        <v>2.7</v>
      </c>
      <c r="L2" s="95">
        <f t="shared" ref="L2:L39" ca="1" si="0">IF(I2&lt;0,0,IF(I2&gt;1,K2,I2*K2))</f>
        <v>0</v>
      </c>
      <c r="M2" s="114">
        <f ca="1">SUM(L2:L4)</f>
        <v>7.3</v>
      </c>
    </row>
    <row r="3" spans="1:13" ht="52">
      <c r="A3" s="117" t="s">
        <v>34</v>
      </c>
      <c r="B3" s="92" t="s">
        <v>40</v>
      </c>
      <c r="C3" s="71" t="s">
        <v>43</v>
      </c>
      <c r="D3" s="75">
        <f>VLOOKUP(C3,'BD EVA 2 SNG'!$D$3:$Y$114,4,0)</f>
        <v>44469</v>
      </c>
      <c r="E3" s="197">
        <f>VLOOKUP(C3,'BD EVA 2 SNG'!$D$3:$Q$114,13,0)</f>
        <v>0.71299638989169678</v>
      </c>
      <c r="F3" s="75">
        <f>VLOOKUP(C3,'BD EVA 2 SNG'!$D$3:$Y$114,8,0)</f>
        <v>45016</v>
      </c>
      <c r="G3" s="197">
        <f ca="1">VLOOKUP(C3,'BD EVA 2 SNG'!$D$3:$AC$114,23,0)</f>
        <v>1</v>
      </c>
      <c r="H3" s="197" t="str">
        <f>VLOOKUP(C3,'BD EVA 2 SNG'!$D$3:$AC$114,16,0)</f>
        <v>&gt;=97%</v>
      </c>
      <c r="I3" s="94">
        <f ca="1">IF(G3&gt;=97%,1,G3/97%)</f>
        <v>1</v>
      </c>
      <c r="J3" s="75" t="s">
        <v>318</v>
      </c>
      <c r="K3" s="95">
        <v>3.8</v>
      </c>
      <c r="L3" s="95">
        <f t="shared" ca="1" si="0"/>
        <v>3.8</v>
      </c>
      <c r="M3" s="115"/>
    </row>
    <row r="4" spans="1:13" ht="143">
      <c r="A4" s="117" t="s">
        <v>34</v>
      </c>
      <c r="B4" s="92" t="s">
        <v>45</v>
      </c>
      <c r="C4" s="71" t="s">
        <v>50</v>
      </c>
      <c r="D4" s="75">
        <f>VLOOKUP(C4,'BD EVA 2 SNG'!$D$3:$Y$114,4,0)</f>
        <v>44469</v>
      </c>
      <c r="E4" s="197">
        <f>VLOOKUP(C4,'BD EVA 2 SNG'!$D$3:$Q$114,13,0)</f>
        <v>0</v>
      </c>
      <c r="F4" s="75">
        <f>VLOOKUP(C4,'BD EVA 2 SNG'!$D$3:$Y$114,8,0)</f>
        <v>45016</v>
      </c>
      <c r="G4" s="197">
        <f ca="1">VLOOKUP(C4,'BD EVA 2 SNG'!$D$3:$AC$114,23,0)</f>
        <v>4.25055928411633E-2</v>
      </c>
      <c r="H4" s="197">
        <f>VLOOKUP(C4,'BD EVA 2 SNG'!$D$3:$AC$114,16,0)</f>
        <v>3.9E-2</v>
      </c>
      <c r="I4" s="99">
        <f t="shared" ref="I4:I5" ca="1" si="1">G4/H4</f>
        <v>1.0898869959272641</v>
      </c>
      <c r="J4" s="75" t="s">
        <v>318</v>
      </c>
      <c r="K4" s="95">
        <v>3.5</v>
      </c>
      <c r="L4" s="95">
        <f t="shared" ca="1" si="0"/>
        <v>3.5</v>
      </c>
      <c r="M4" s="115"/>
    </row>
    <row r="5" spans="1:13" ht="143">
      <c r="A5" s="117" t="s">
        <v>52</v>
      </c>
      <c r="B5" s="92" t="s">
        <v>53</v>
      </c>
      <c r="C5" s="72" t="s">
        <v>66</v>
      </c>
      <c r="D5" s="72" t="str">
        <f>VLOOKUP(C5,'BD EVA 2 SNG'!$D$3:$Y$114,4,0)</f>
        <v>octubre 20 - mar 21</v>
      </c>
      <c r="E5" s="197">
        <f>VLOOKUP(C5,'BD EVA 2 SNG'!$D$3:$Q$114,13,0)</f>
        <v>0</v>
      </c>
      <c r="F5" s="72" t="str">
        <f>VLOOKUP(C5,'BD EVA 2 SNG'!$D$3:$Y$114,8,0)</f>
        <v>octubre 22- mar 23</v>
      </c>
      <c r="G5" s="197">
        <f ca="1">VLOOKUP(C5,'BD EVA 2 SNG'!$D$3:$AC$114,23,0)</f>
        <v>0.291582491582491</v>
      </c>
      <c r="H5" s="197">
        <f>VLOOKUP(C5,'BD EVA 2 SNG'!$D$3:$AC$114,16,0)</f>
        <v>0.3</v>
      </c>
      <c r="I5" s="99">
        <f t="shared" ca="1" si="1"/>
        <v>0.9719416386083034</v>
      </c>
      <c r="J5" s="75" t="s">
        <v>318</v>
      </c>
      <c r="K5" s="199">
        <v>1.6</v>
      </c>
      <c r="L5" s="199">
        <f t="shared" ca="1" si="0"/>
        <v>1.5551066217732856</v>
      </c>
      <c r="M5" s="116">
        <f ca="1">SUM(L5:L10)</f>
        <v>6.187495436280412</v>
      </c>
    </row>
    <row r="6" spans="1:13" ht="65">
      <c r="A6" s="117" t="s">
        <v>52</v>
      </c>
      <c r="B6" s="92" t="s">
        <v>68</v>
      </c>
      <c r="C6" s="72" t="s">
        <v>72</v>
      </c>
      <c r="D6" s="72" t="str">
        <f>VLOOKUP(C6,'BD EVA 2 SNG'!$D$3:$Y$114,4,0)</f>
        <v>octubre 20 - mar 21</v>
      </c>
      <c r="E6" s="202">
        <f>VLOOKUP(C6,'BD EVA 2 SNG'!$D$3:$Q$114,13,0)</f>
        <v>4.4112920674465554</v>
      </c>
      <c r="F6" s="72" t="str">
        <f>VLOOKUP(C6,'BD EVA 2 SNG'!$D$3:$Y$114,8,0)</f>
        <v>octubre 22- mar 23</v>
      </c>
      <c r="G6" s="202">
        <f ca="1">VLOOKUP(C6,'BD EVA 2 SNG'!$D$3:$AC$114,23,0)</f>
        <v>3.3109225264822002</v>
      </c>
      <c r="H6" s="202">
        <f>VLOOKUP(C6,'BD EVA 2 SNG'!$D$3:$AC$114,16,0)</f>
        <v>2</v>
      </c>
      <c r="I6" s="94">
        <f t="shared" ref="I6:I10" ca="1" si="2">(G6-E6)/(H6-E6)</f>
        <v>0.45634021519823381</v>
      </c>
      <c r="J6" s="71" t="s">
        <v>319</v>
      </c>
      <c r="K6" s="199">
        <v>1.7</v>
      </c>
      <c r="L6" s="199">
        <f t="shared" ca="1" si="0"/>
        <v>0.77577836583699744</v>
      </c>
      <c r="M6" s="115"/>
    </row>
    <row r="7" spans="1:13" ht="91">
      <c r="A7" s="117" t="s">
        <v>52</v>
      </c>
      <c r="B7" s="92" t="s">
        <v>68</v>
      </c>
      <c r="C7" s="72" t="s">
        <v>84</v>
      </c>
      <c r="D7" s="72" t="str">
        <f>VLOOKUP(C7,'BD EVA 2 SNG'!$D$3:$Y$114,4,0)</f>
        <v>octubre 20 - mar 21</v>
      </c>
      <c r="E7" s="198">
        <f>VLOOKUP(C7,'BD EVA 2 SNG'!$D$3:$Q$114,13,0)</f>
        <v>107.55150183488745</v>
      </c>
      <c r="F7" s="72" t="str">
        <f>VLOOKUP(C7,'BD EVA 2 SNG'!$D$3:$Y$114,8,0)</f>
        <v>octubre 22- mar 23</v>
      </c>
      <c r="G7" s="198">
        <f ca="1">VLOOKUP(C7,'BD EVA 2 SNG'!$D$3:$AC$114,23,0)</f>
        <v>80.703736583003703</v>
      </c>
      <c r="H7" s="95">
        <f>VLOOKUP(C7,'BD EVA 2 SNG'!$D$3:$AC$114,16,0)</f>
        <v>107</v>
      </c>
      <c r="I7" s="94">
        <f t="shared" ca="1" si="2"/>
        <v>48.681189351551282</v>
      </c>
      <c r="J7" s="71" t="s">
        <v>319</v>
      </c>
      <c r="K7" s="199">
        <v>1.6</v>
      </c>
      <c r="L7" s="199">
        <f t="shared" ca="1" si="0"/>
        <v>1.6</v>
      </c>
      <c r="M7" s="115"/>
    </row>
    <row r="8" spans="1:13" ht="104">
      <c r="A8" s="117" t="s">
        <v>52</v>
      </c>
      <c r="B8" s="92" t="s">
        <v>86</v>
      </c>
      <c r="C8" s="72" t="s">
        <v>89</v>
      </c>
      <c r="D8" s="72" t="str">
        <f>VLOOKUP(C8,'BD EVA 2 SNG'!$D$3:$Y$114,4,0)</f>
        <v>octubre 20 - mar 21</v>
      </c>
      <c r="E8" s="198">
        <f>VLOOKUP(C8,'BD EVA 2 SNG'!$D$3:$Q$114,13,0)</f>
        <v>189.68555890020187</v>
      </c>
      <c r="F8" s="72" t="str">
        <f>VLOOKUP(C8,'BD EVA 2 SNG'!$D$3:$Y$114,8,0)</f>
        <v>octubre 22- mar 23</v>
      </c>
      <c r="G8" s="198">
        <f ca="1">VLOOKUP(C8,'BD EVA 2 SNG'!$D$3:$AC$114,23,0)</f>
        <v>187.68792071996</v>
      </c>
      <c r="H8" s="198">
        <f>VLOOKUP(C8,'BD EVA 2 SNG'!$D$3:$AC$114,16,0)</f>
        <v>157.80000000000001</v>
      </c>
      <c r="I8" s="94">
        <f t="shared" ca="1" si="2"/>
        <v>6.2650248236019404E-2</v>
      </c>
      <c r="J8" s="71" t="s">
        <v>319</v>
      </c>
      <c r="K8" s="199">
        <v>1.7</v>
      </c>
      <c r="L8" s="199">
        <f t="shared" ca="1" si="0"/>
        <v>0.10650542200123299</v>
      </c>
      <c r="M8" s="115"/>
    </row>
    <row r="9" spans="1:13" ht="104">
      <c r="A9" s="117" t="s">
        <v>52</v>
      </c>
      <c r="B9" s="92" t="s">
        <v>86</v>
      </c>
      <c r="C9" s="72" t="s">
        <v>93</v>
      </c>
      <c r="D9" s="72" t="str">
        <f>VLOOKUP(C9,'BD EVA 2 SNG'!$D$3:$Y$114,4,0)</f>
        <v>octubre 20 - mar 21</v>
      </c>
      <c r="E9" s="198">
        <f>VLOOKUP(C9,'BD EVA 2 SNG'!$D$3:$Q$114,13,0)</f>
        <v>36.760767228721292</v>
      </c>
      <c r="F9" s="72" t="str">
        <f>VLOOKUP(C9,'BD EVA 2 SNG'!$D$3:$Y$114,8,0)</f>
        <v>octubre 22- mar 23</v>
      </c>
      <c r="G9" s="198">
        <f ca="1">VLOOKUP(C9,'BD EVA 2 SNG'!$D$3:$AC$114,23,0)</f>
        <v>35.592417159683698</v>
      </c>
      <c r="H9" s="198">
        <f>VLOOKUP(C9,'BD EVA 2 SNG'!$D$3:$AC$114,16,0)</f>
        <v>36.4</v>
      </c>
      <c r="I9" s="94">
        <f t="shared" ca="1" si="2"/>
        <v>3.2385149648395273</v>
      </c>
      <c r="J9" s="71" t="s">
        <v>319</v>
      </c>
      <c r="K9" s="199">
        <v>1.7</v>
      </c>
      <c r="L9" s="199">
        <f t="shared" ca="1" si="0"/>
        <v>1.7</v>
      </c>
      <c r="M9" s="115"/>
    </row>
    <row r="10" spans="1:13" ht="156">
      <c r="A10" s="117" t="s">
        <v>52</v>
      </c>
      <c r="B10" s="92" t="s">
        <v>86</v>
      </c>
      <c r="C10" s="72" t="s">
        <v>117</v>
      </c>
      <c r="D10" s="72" t="str">
        <f>VLOOKUP(C10,'BD EVA 2 SNG'!$D$3:$Y$114,4,0)</f>
        <v>octubre 20 - mar 21</v>
      </c>
      <c r="E10" s="198">
        <f>VLOOKUP(C10,'BD EVA 2 SNG'!$D$3:$Q$114,13,0)</f>
        <v>4.4112920674465554</v>
      </c>
      <c r="F10" s="72" t="str">
        <f>VLOOKUP(C10,'BD EVA 2 SNG'!$D$3:$Y$114,8,0)</f>
        <v>octubre 22- mar 23</v>
      </c>
      <c r="G10" s="198">
        <f ca="1">VLOOKUP(C10,'BD EVA 2 SNG'!$D$3:$AC$114,23,0)</f>
        <v>3.9317205001976201</v>
      </c>
      <c r="H10" s="198">
        <f>VLOOKUP(C10,'BD EVA 2 SNG'!$D$3:$AC$114,16,0)</f>
        <v>2.6</v>
      </c>
      <c r="I10" s="94">
        <f t="shared" ca="1" si="2"/>
        <v>0.26476766274640895</v>
      </c>
      <c r="J10" s="71" t="s">
        <v>319</v>
      </c>
      <c r="K10" s="199">
        <v>1.7</v>
      </c>
      <c r="L10" s="199">
        <f t="shared" ca="1" si="0"/>
        <v>0.45010502666889518</v>
      </c>
      <c r="M10" s="115"/>
    </row>
    <row r="11" spans="1:13" ht="91">
      <c r="A11" s="117" t="s">
        <v>119</v>
      </c>
      <c r="B11" s="92" t="s">
        <v>120</v>
      </c>
      <c r="C11" s="72" t="s">
        <v>125</v>
      </c>
      <c r="D11" s="75">
        <f>VLOOKUP(C11,'BD EVA 2 SNG'!$D$3:$Y$114,4,0)</f>
        <v>44469</v>
      </c>
      <c r="E11" s="94">
        <f>VLOOKUP(C11,'BD EVA 2 SNG'!$D$3:$Q$114,13,0)</f>
        <v>0</v>
      </c>
      <c r="F11" s="89">
        <f>VLOOKUP(C11,'BD EVA 2 SNG'!$D$3:$Y$114,8,0)</f>
        <v>45016</v>
      </c>
      <c r="G11" s="94">
        <f ca="1">VLOOKUP(C11,'BD EVA 2 SNG'!$D$3:$AC$114,23,0)</f>
        <v>0</v>
      </c>
      <c r="H11" s="334">
        <f>VLOOKUP(C11,'BD EVA 2 SNG'!$D$3:$AC$114,16,0)</f>
        <v>0</v>
      </c>
      <c r="I11" s="99">
        <v>0</v>
      </c>
      <c r="J11" s="89" t="s">
        <v>318</v>
      </c>
      <c r="K11" s="104">
        <v>1.1000000000000001</v>
      </c>
      <c r="L11" s="199">
        <f t="shared" si="0"/>
        <v>0</v>
      </c>
      <c r="M11" s="116">
        <f ca="1">SUM(L11:L15)</f>
        <v>8.9</v>
      </c>
    </row>
    <row r="12" spans="1:13" ht="91">
      <c r="A12" s="117" t="s">
        <v>119</v>
      </c>
      <c r="B12" s="92" t="s">
        <v>120</v>
      </c>
      <c r="C12" s="72" t="s">
        <v>333</v>
      </c>
      <c r="D12" s="104" t="str">
        <f>VLOOKUP(C12,'BD EVA 2 SNG'!$D$3:$Y$114,4,0)</f>
        <v>octubre 20 - mar 21</v>
      </c>
      <c r="E12" s="203">
        <f>VLOOKUP(C12,'BD EVA 2 SNG'!$D$3:$Q$114,13,0)</f>
        <v>0</v>
      </c>
      <c r="F12" s="104" t="str">
        <f>VLOOKUP(C12,'BD EVA 2 SNG'!$D$3:$Y$114,8,0)</f>
        <v>octubre 22- mar 23</v>
      </c>
      <c r="G12" s="201">
        <f ca="1">VLOOKUP(C12,'BD EVA 2 SNG'!$D$3:$AC$114,23,0)</f>
        <v>5.4576246928893398E-4</v>
      </c>
      <c r="H12" s="201">
        <f>VLOOKUP(C12,'BD EVA 2 SNG'!$D$3:$AC$114,16,0)</f>
        <v>5.0000000000000001E-4</v>
      </c>
      <c r="I12" s="94">
        <f t="shared" ref="I12:I15" ca="1" si="3">G12/H12</f>
        <v>1.091524938577868</v>
      </c>
      <c r="J12" s="75" t="s">
        <v>318</v>
      </c>
      <c r="K12" s="104">
        <v>1.1000000000000001</v>
      </c>
      <c r="L12" s="199">
        <f t="shared" ca="1" si="0"/>
        <v>1.1000000000000001</v>
      </c>
      <c r="M12" s="115"/>
    </row>
    <row r="13" spans="1:13" ht="91">
      <c r="A13" s="117" t="s">
        <v>119</v>
      </c>
      <c r="B13" s="92" t="s">
        <v>127</v>
      </c>
      <c r="C13" s="72" t="s">
        <v>128</v>
      </c>
      <c r="D13" s="104" t="str">
        <f>VLOOKUP(C13,'BD EVA 2 SNG'!$D$3:$Y$114,4,0)</f>
        <v>octubre 20 - mar 21</v>
      </c>
      <c r="E13" s="203">
        <f>VLOOKUP(C13,'BD EVA 2 SNG'!$D$3:$Q$114,13,0)</f>
        <v>0</v>
      </c>
      <c r="F13" s="104" t="str">
        <f>VLOOKUP(C13,'BD EVA 2 SNG'!$D$3:$Y$114,8,0)</f>
        <v>octubre 21 - mar 23</v>
      </c>
      <c r="G13" s="203">
        <f ca="1">VLOOKUP(C13,'BD EVA 2 SNG'!$D$3:$AC$114,23,0)</f>
        <v>3</v>
      </c>
      <c r="H13" s="203">
        <f>VLOOKUP(C13,'BD EVA 2 SNG'!$D$3:$AC$114,16,0)</f>
        <v>1</v>
      </c>
      <c r="I13" s="94">
        <f t="shared" ca="1" si="3"/>
        <v>3</v>
      </c>
      <c r="J13" s="75" t="s">
        <v>318</v>
      </c>
      <c r="K13" s="109">
        <v>2.35</v>
      </c>
      <c r="L13" s="199">
        <f t="shared" ca="1" si="0"/>
        <v>2.35</v>
      </c>
      <c r="M13" s="115"/>
    </row>
    <row r="14" spans="1:13" ht="78">
      <c r="A14" s="117" t="s">
        <v>119</v>
      </c>
      <c r="B14" s="92" t="s">
        <v>133</v>
      </c>
      <c r="C14" s="72" t="s">
        <v>134</v>
      </c>
      <c r="D14" s="104" t="str">
        <f>VLOOKUP(C14,'BD EVA 2 SNG'!$D$3:$Y$114,4,0)</f>
        <v>octubre 20 - mar 21</v>
      </c>
      <c r="E14" s="203">
        <f>VLOOKUP(C14,'BD EVA 2 SNG'!$D$3:$Q$114,13,0)</f>
        <v>744</v>
      </c>
      <c r="F14" s="104" t="str">
        <f>VLOOKUP(C14,'BD EVA 2 SNG'!$D$3:$Y$114,8,0)</f>
        <v>octubre 21 - mar 23</v>
      </c>
      <c r="G14" s="203">
        <f ca="1">VLOOKUP(C14,'BD EVA 2 SNG'!$D$3:$AC$114,23,0)</f>
        <v>1557</v>
      </c>
      <c r="H14" s="203">
        <f>VLOOKUP(C14,'BD EVA 2 SNG'!$D$3:$AC$114,16,0)</f>
        <v>525</v>
      </c>
      <c r="I14" s="94">
        <f t="shared" ca="1" si="3"/>
        <v>2.9657142857142857</v>
      </c>
      <c r="J14" s="75" t="s">
        <v>318</v>
      </c>
      <c r="K14" s="109">
        <v>2.35</v>
      </c>
      <c r="L14" s="199">
        <f t="shared" ca="1" si="0"/>
        <v>2.35</v>
      </c>
      <c r="M14" s="115"/>
    </row>
    <row r="15" spans="1:13" ht="78">
      <c r="A15" s="117" t="s">
        <v>119</v>
      </c>
      <c r="B15" s="92" t="s">
        <v>136</v>
      </c>
      <c r="C15" s="72" t="s">
        <v>145</v>
      </c>
      <c r="D15" s="89" t="str">
        <f>VLOOKUP(C15,'BD EVA 2 SNG'!$D$3:$Y$114,4,0)</f>
        <v>octubre 20 - mar 21</v>
      </c>
      <c r="E15" s="203">
        <f>VLOOKUP(C15,'BD EVA 2 SNG'!$D$3:$Q$114,13,0)</f>
        <v>19</v>
      </c>
      <c r="F15" s="89" t="str">
        <f>VLOOKUP(C15,'BD EVA 2 SNG'!$D$3:$Y$114,8,0)</f>
        <v>octubre 21 - mar 23</v>
      </c>
      <c r="G15" s="203">
        <f ca="1">VLOOKUP(C15,'BD EVA 2 SNG'!$D$3:$AC$114,23,0)</f>
        <v>54</v>
      </c>
      <c r="H15" s="203">
        <f>VLOOKUP(C15,'BD EVA 2 SNG'!$D$3:$AC$114,16,0)</f>
        <v>45</v>
      </c>
      <c r="I15" s="94">
        <f t="shared" ca="1" si="3"/>
        <v>1.2</v>
      </c>
      <c r="J15" s="75" t="s">
        <v>318</v>
      </c>
      <c r="K15" s="104">
        <v>3.1</v>
      </c>
      <c r="L15" s="199">
        <f t="shared" ca="1" si="0"/>
        <v>3.1</v>
      </c>
      <c r="M15" s="115"/>
    </row>
    <row r="16" spans="1:13" ht="234">
      <c r="A16" s="117" t="s">
        <v>147</v>
      </c>
      <c r="B16" s="92" t="s">
        <v>148</v>
      </c>
      <c r="C16" s="72" t="s">
        <v>156</v>
      </c>
      <c r="D16" s="75">
        <f>VLOOKUP(C16,'BD EVA 2 SNG'!$D$3:$Y$114,4,0)</f>
        <v>44469</v>
      </c>
      <c r="E16" s="204">
        <f>VLOOKUP(C16,'BD EVA 2 SNG'!$D$3:$Q$114,13,0)</f>
        <v>0.33333333333333331</v>
      </c>
      <c r="F16" s="75" t="str">
        <f>VLOOKUP(C16,'BD EVA 2 SNG'!$D$3:$Y$114,8,0)</f>
        <v>octubre 21 - mar 23</v>
      </c>
      <c r="G16" s="204">
        <f ca="1">VLOOKUP(C16,'BD EVA 2 SNG'!$D$3:$AC$114,23,0)</f>
        <v>0.33333333333333298</v>
      </c>
      <c r="H16" s="204" t="str">
        <f>VLOOKUP(C16,'BD EVA 2 SNG'!$D$3:$AC$114,16,0)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99">
        <f t="shared" ref="I16:I17" ca="1" si="4">G16/1</f>
        <v>0.33333333333333298</v>
      </c>
      <c r="J16" s="75" t="s">
        <v>318</v>
      </c>
      <c r="K16" s="104">
        <v>1.5</v>
      </c>
      <c r="L16" s="199">
        <f t="shared" ca="1" si="0"/>
        <v>0.49999999999999944</v>
      </c>
      <c r="M16" s="116">
        <f ca="1">SUM(L16:L23)</f>
        <v>7.3665234592593558</v>
      </c>
    </row>
    <row r="17" spans="1:13" ht="52">
      <c r="A17" s="117" t="s">
        <v>147</v>
      </c>
      <c r="B17" s="92" t="s">
        <v>148</v>
      </c>
      <c r="C17" s="72" t="s">
        <v>158</v>
      </c>
      <c r="D17" s="75">
        <f>VLOOKUP(C17,'BD EVA 2 SNG'!$D$3:$Y$114,4,0)</f>
        <v>44469</v>
      </c>
      <c r="E17" s="203" t="str">
        <f>VLOOKUP(C17,'BD EVA 2 SNG'!$D$3:$Q$114,13,0)</f>
        <v>No</v>
      </c>
      <c r="F17" s="75" t="str">
        <f>VLOOKUP(C17,'BD EVA 2 SNG'!$D$3:$Y$114,8,0)</f>
        <v>octubre 21 - mar 23</v>
      </c>
      <c r="G17" s="198">
        <f ca="1">VLOOKUP(C17,'BD EVA 2 SNG'!$D$3:$AC$114,23,0)</f>
        <v>0.5</v>
      </c>
      <c r="H17" s="203" t="str">
        <f>VLOOKUP(C17,'BD EVA 2 SNG'!$D$3:$AC$114,16,0)</f>
        <v>Actualizado al 2018</v>
      </c>
      <c r="I17" s="205">
        <f t="shared" ca="1" si="4"/>
        <v>0.5</v>
      </c>
      <c r="J17" s="75" t="s">
        <v>318</v>
      </c>
      <c r="K17" s="104">
        <v>1.5</v>
      </c>
      <c r="L17" s="199">
        <f t="shared" ca="1" si="0"/>
        <v>0.75</v>
      </c>
      <c r="M17" s="115"/>
    </row>
    <row r="18" spans="1:13" ht="104">
      <c r="A18" s="117" t="s">
        <v>147</v>
      </c>
      <c r="B18" s="92" t="s">
        <v>148</v>
      </c>
      <c r="C18" s="72" t="s">
        <v>166</v>
      </c>
      <c r="D18" s="75">
        <f>VLOOKUP(C18,'BD EVA 2 SNG'!$D$3:$Y$114,4,0)</f>
        <v>44469</v>
      </c>
      <c r="E18" s="197">
        <f>VLOOKUP(C18,'BD EVA 2 SNG'!$D$3:$Q$114,13,0)</f>
        <v>0</v>
      </c>
      <c r="F18" s="75" t="str">
        <f>VLOOKUP(C18,'BD EVA 2 SNG'!$D$3:$Y$114,8,0)</f>
        <v>octubre 21 - mar 23</v>
      </c>
      <c r="G18" s="197">
        <f ca="1">VLOOKUP(C18,'BD EVA 2 SNG'!$D$3:$AC$114,23,0)</f>
        <v>0</v>
      </c>
      <c r="H18" s="197">
        <f>VLOOKUP(C18,'BD EVA 2 SNG'!$D$3:$AC$114,16,0)</f>
        <v>1</v>
      </c>
      <c r="I18" s="205">
        <f t="shared" ref="I18:I27" ca="1" si="5">G18/H18</f>
        <v>0</v>
      </c>
      <c r="J18" s="75" t="s">
        <v>318</v>
      </c>
      <c r="K18" s="104">
        <v>0.3</v>
      </c>
      <c r="L18" s="199">
        <f t="shared" ca="1" si="0"/>
        <v>0</v>
      </c>
      <c r="M18" s="115"/>
    </row>
    <row r="19" spans="1:13" ht="91">
      <c r="A19" s="117" t="s">
        <v>147</v>
      </c>
      <c r="B19" s="92" t="s">
        <v>168</v>
      </c>
      <c r="C19" s="72" t="s">
        <v>173</v>
      </c>
      <c r="D19" s="75">
        <f>VLOOKUP(C19,'BD EVA 2 SNG'!$D$3:$Y$114,4,0)</f>
        <v>44469</v>
      </c>
      <c r="E19" s="197">
        <f>VLOOKUP(C19,'BD EVA 2 SNG'!$D$3:$Q$114,13,0)</f>
        <v>1</v>
      </c>
      <c r="F19" s="75" t="str">
        <f>VLOOKUP(C19,'BD EVA 2 SNG'!$D$3:$Y$114,8,0)</f>
        <v>octubre 21 - mar 23</v>
      </c>
      <c r="G19" s="197">
        <f ca="1">VLOOKUP(C19,'BD EVA 2 SNG'!$D$3:$AC$114,23,0)</f>
        <v>1</v>
      </c>
      <c r="H19" s="197">
        <f>VLOOKUP(C19,'BD EVA 2 SNG'!$D$3:$AC$114,16,0)</f>
        <v>1</v>
      </c>
      <c r="I19" s="205">
        <f t="shared" ca="1" si="5"/>
        <v>1</v>
      </c>
      <c r="J19" s="75" t="s">
        <v>318</v>
      </c>
      <c r="K19" s="104">
        <v>1.5</v>
      </c>
      <c r="L19" s="199">
        <f t="shared" ca="1" si="0"/>
        <v>1.5</v>
      </c>
      <c r="M19" s="115"/>
    </row>
    <row r="20" spans="1:13" ht="117">
      <c r="A20" s="117" t="s">
        <v>147</v>
      </c>
      <c r="B20" s="92" t="s">
        <v>168</v>
      </c>
      <c r="C20" s="71" t="s">
        <v>177</v>
      </c>
      <c r="D20" s="75">
        <f>VLOOKUP(C20,'BD EVA 2 SNG'!$D$3:$Y$114,4,0)</f>
        <v>44469</v>
      </c>
      <c r="E20" s="205">
        <f>VLOOKUP(C20,'BD EVA 2 SNG'!$D$3:$Q$114,13,0)</f>
        <v>1</v>
      </c>
      <c r="F20" s="75">
        <f>VLOOKUP(C20,'BD EVA 2 SNG'!$D$3:$Y$114,8,0)</f>
        <v>45016</v>
      </c>
      <c r="G20" s="205">
        <f ca="1">VLOOKUP(C20,'BD EVA 2 SNG'!$D$3:$AC$114,23,0)</f>
        <v>1</v>
      </c>
      <c r="H20" s="205">
        <f>VLOOKUP(C20,'BD EVA 2 SNG'!$D$3:$AC$114,16,0)</f>
        <v>1</v>
      </c>
      <c r="I20" s="205">
        <f t="shared" ca="1" si="5"/>
        <v>1</v>
      </c>
      <c r="J20" s="75" t="s">
        <v>318</v>
      </c>
      <c r="K20" s="104">
        <v>1.5</v>
      </c>
      <c r="L20" s="199">
        <f t="shared" ca="1" si="0"/>
        <v>1.5</v>
      </c>
      <c r="M20" s="115"/>
    </row>
    <row r="21" spans="1:13" ht="117">
      <c r="A21" s="117" t="s">
        <v>147</v>
      </c>
      <c r="B21" s="92" t="s">
        <v>168</v>
      </c>
      <c r="C21" s="72" t="s">
        <v>183</v>
      </c>
      <c r="D21" s="75">
        <f>VLOOKUP(C21,'BD EVA 2 SNG'!$D$3:$Y$114,4,0)</f>
        <v>44469</v>
      </c>
      <c r="E21" s="197">
        <f>VLOOKUP(C21,'BD EVA 2 SNG'!$D$3:$Q$114,13,0)</f>
        <v>1</v>
      </c>
      <c r="F21" s="75">
        <f>VLOOKUP(C21,'BD EVA 2 SNG'!$D$3:$Y$114,8,0)</f>
        <v>45016</v>
      </c>
      <c r="G21" s="197">
        <f ca="1">VLOOKUP(C21,'BD EVA 2 SNG'!$D$3:$AC$114,23,0)</f>
        <v>1</v>
      </c>
      <c r="H21" s="197">
        <f>VLOOKUP(C21,'BD EVA 2 SNG'!$D$3:$AC$114,16,0)</f>
        <v>1</v>
      </c>
      <c r="I21" s="205">
        <f t="shared" ca="1" si="5"/>
        <v>1</v>
      </c>
      <c r="J21" s="75" t="s">
        <v>318</v>
      </c>
      <c r="K21" s="104">
        <v>0.9</v>
      </c>
      <c r="L21" s="199">
        <f t="shared" ca="1" si="0"/>
        <v>0.9</v>
      </c>
      <c r="M21" s="115"/>
    </row>
    <row r="22" spans="1:13" ht="78">
      <c r="A22" s="117" t="s">
        <v>147</v>
      </c>
      <c r="B22" s="92" t="s">
        <v>168</v>
      </c>
      <c r="C22" s="72" t="s">
        <v>189</v>
      </c>
      <c r="D22" s="75">
        <f>VLOOKUP(C22,'BD EVA 2 SNG'!$D$3:$Y$114,4,0)</f>
        <v>44469</v>
      </c>
      <c r="E22" s="197">
        <f>VLOOKUP(C22,'BD EVA 2 SNG'!$D$3:$Q$114,13,0)</f>
        <v>0.60050254727103991</v>
      </c>
      <c r="F22" s="75">
        <f>VLOOKUP(C22,'BD EVA 2 SNG'!$D$3:$Y$114,8,0)</f>
        <v>45016</v>
      </c>
      <c r="G22" s="197">
        <f ca="1">VLOOKUP(C22,'BD EVA 2 SNG'!$D$3:$AC$114,23,0)</f>
        <v>0.61101563950623705</v>
      </c>
      <c r="H22" s="197">
        <f>VLOOKUP(C22,'BD EVA 2 SNG'!$D$3:$AC$114,16,0)</f>
        <v>1</v>
      </c>
      <c r="I22" s="205">
        <f t="shared" ca="1" si="5"/>
        <v>0.61101563950623705</v>
      </c>
      <c r="J22" s="75" t="s">
        <v>318</v>
      </c>
      <c r="K22" s="104">
        <v>1.5</v>
      </c>
      <c r="L22" s="199">
        <f t="shared" ca="1" si="0"/>
        <v>0.91652345925935563</v>
      </c>
      <c r="M22" s="115"/>
    </row>
    <row r="23" spans="1:13" ht="195">
      <c r="A23" s="117" t="s">
        <v>147</v>
      </c>
      <c r="B23" s="92" t="s">
        <v>168</v>
      </c>
      <c r="C23" s="72" t="s">
        <v>197</v>
      </c>
      <c r="D23" s="89" t="str">
        <f>VLOOKUP(C23,'BD EVA 2 SNG'!$D$3:$Y$114,4,0)</f>
        <v>octubre 20 - mar 21</v>
      </c>
      <c r="E23" s="198">
        <f>VLOOKUP(C23,'BD EVA 2 SNG'!$D$3:$Q$114,13,0)</f>
        <v>129.41</v>
      </c>
      <c r="F23" s="89" t="str">
        <f>VLOOKUP(C23,'BD EVA 2 SNG'!$D$3:$Y$114,8,0)</f>
        <v>octubre 22 - mar 23</v>
      </c>
      <c r="G23" s="198">
        <f ca="1">VLOOKUP(C23,'BD EVA 2 SNG'!$D$3:$AC$114,23,0)</f>
        <v>183.20150000000001</v>
      </c>
      <c r="H23" s="198">
        <f>VLOOKUP(C23,'BD EVA 2 SNG'!$D$3:$AC$114,16,0)</f>
        <v>142.80000000000001</v>
      </c>
      <c r="I23" s="205">
        <f t="shared" ca="1" si="5"/>
        <v>1.282923669467787</v>
      </c>
      <c r="J23" s="75" t="s">
        <v>318</v>
      </c>
      <c r="K23" s="109">
        <v>1.3</v>
      </c>
      <c r="L23" s="199">
        <f t="shared" ca="1" si="0"/>
        <v>1.3</v>
      </c>
      <c r="M23" s="115"/>
    </row>
    <row r="24" spans="1:13" ht="156">
      <c r="A24" s="117" t="s">
        <v>199</v>
      </c>
      <c r="B24" s="72" t="s">
        <v>200</v>
      </c>
      <c r="C24" s="72" t="s">
        <v>201</v>
      </c>
      <c r="D24" s="75">
        <f>VLOOKUP(C24,'BD EVA 2 SNG'!$D$3:$Y$114,4,0)</f>
        <v>44469</v>
      </c>
      <c r="E24" s="161">
        <f>VLOOKUP(C24,'BD EVA 2 SNG'!$D$3:$Q$114,13,0)</f>
        <v>3.2</v>
      </c>
      <c r="F24" s="75">
        <f>VLOOKUP(C24,'BD EVA 2 SNG'!$D$3:$Y$114,8,0)</f>
        <v>45016</v>
      </c>
      <c r="G24" s="161">
        <f ca="1">VLOOKUP(C24,'BD EVA 2 SNG'!$D$3:$AC$114,23,0)</f>
        <v>1.4</v>
      </c>
      <c r="H24" s="161">
        <f>VLOOKUP(C24,'BD EVA 2 SNG'!$D$3:$AC$114,16,0)</f>
        <v>3.2</v>
      </c>
      <c r="I24" s="205">
        <f t="shared" ca="1" si="5"/>
        <v>0.43749999999999994</v>
      </c>
      <c r="J24" s="75" t="s">
        <v>318</v>
      </c>
      <c r="K24" s="109">
        <v>1.9</v>
      </c>
      <c r="L24" s="199">
        <f t="shared" ca="1" si="0"/>
        <v>0.83124999999999982</v>
      </c>
      <c r="M24" s="116">
        <f ca="1">SUM(L24:L28)</f>
        <v>8.8312500000000007</v>
      </c>
    </row>
    <row r="25" spans="1:13" ht="130">
      <c r="A25" s="117" t="s">
        <v>199</v>
      </c>
      <c r="B25" s="72" t="s">
        <v>200</v>
      </c>
      <c r="C25" s="72" t="s">
        <v>209</v>
      </c>
      <c r="D25" s="104" t="str">
        <f>VLOOKUP(C25,'BD EVA 2 SNG'!$D$3:$Y$114,4,0)</f>
        <v>octubre 20 - mar 21</v>
      </c>
      <c r="E25" s="203">
        <f>VLOOKUP(C25,'BD EVA 2 SNG'!$D$3:$Q$114,13,0)</f>
        <v>0</v>
      </c>
      <c r="F25" s="104" t="str">
        <f>VLOOKUP(C25,'BD EVA 2 SNG'!$D$3:$Y$114,8,0)</f>
        <v>octubre 22 - mar 23</v>
      </c>
      <c r="G25" s="203">
        <f ca="1">VLOOKUP(C25,'BD EVA 2 SNG'!$D$3:$AC$114,23,0)</f>
        <v>13000</v>
      </c>
      <c r="H25" s="203">
        <f>VLOOKUP(C25,'BD EVA 2 SNG'!$D$3:$AC$114,16,0)</f>
        <v>4739.5</v>
      </c>
      <c r="I25" s="205">
        <f t="shared" ca="1" si="5"/>
        <v>2.7429053697647432</v>
      </c>
      <c r="J25" s="75" t="s">
        <v>318</v>
      </c>
      <c r="K25" s="109">
        <v>1.6</v>
      </c>
      <c r="L25" s="199">
        <f t="shared" ca="1" si="0"/>
        <v>1.6</v>
      </c>
      <c r="M25" s="115"/>
    </row>
    <row r="26" spans="1:13" ht="117">
      <c r="A26" s="117" t="s">
        <v>199</v>
      </c>
      <c r="B26" s="72" t="s">
        <v>200</v>
      </c>
      <c r="C26" s="72" t="s">
        <v>221</v>
      </c>
      <c r="D26" s="104" t="str">
        <f>VLOOKUP(C26,'BD EVA 2 SNG'!$D$3:$Y$114,4,0)</f>
        <v>enero - diciembre 2021</v>
      </c>
      <c r="E26" s="203">
        <f>VLOOKUP(C26,'BD EVA 2 SNG'!$D$3:$Q$114,13,0)</f>
        <v>0.74115403631420007</v>
      </c>
      <c r="F26" s="104" t="str">
        <f>VLOOKUP(C26,'BD EVA 2 SNG'!$D$3:$Y$114,8,0)</f>
        <v>enero- diciembre 2022</v>
      </c>
      <c r="G26" s="201">
        <f ca="1">VLOOKUP(C26,'BD EVA 2 SNG'!$D$3:$AC$114,23,0)</f>
        <v>0.47528002048754903</v>
      </c>
      <c r="H26" s="201">
        <f>VLOOKUP(C26,'BD EVA 2 SNG'!$D$3:$AC$114,16,0)</f>
        <v>0.45</v>
      </c>
      <c r="I26" s="205">
        <f t="shared" ca="1" si="5"/>
        <v>1.0561778233056645</v>
      </c>
      <c r="J26" s="75" t="s">
        <v>318</v>
      </c>
      <c r="K26" s="109">
        <v>2.1</v>
      </c>
      <c r="L26" s="199">
        <f t="shared" ca="1" si="0"/>
        <v>2.1</v>
      </c>
      <c r="M26" s="115"/>
    </row>
    <row r="27" spans="1:13" ht="104">
      <c r="A27" s="117" t="s">
        <v>199</v>
      </c>
      <c r="B27" s="72" t="s">
        <v>200</v>
      </c>
      <c r="C27" s="72" t="s">
        <v>226</v>
      </c>
      <c r="D27" s="104" t="str">
        <f>VLOOKUP(C27,'BD EVA 2 SNG'!$D$3:$Y$114,4,0)</f>
        <v>octubre 20 - mar 21</v>
      </c>
      <c r="E27" s="203">
        <f>VLOOKUP(C27,'BD EVA 2 SNG'!$D$3:$Q$114,13,0)</f>
        <v>5</v>
      </c>
      <c r="F27" s="104" t="str">
        <f>VLOOKUP(C27,'BD EVA 2 SNG'!$D$3:$Y$114,8,0)</f>
        <v>octubre 22 - mar 23</v>
      </c>
      <c r="G27" s="203">
        <f ca="1">VLOOKUP(C27,'BD EVA 2 SNG'!$D$3:$AC$114,23,0)</f>
        <v>4</v>
      </c>
      <c r="H27" s="203">
        <f>VLOOKUP(C27,'BD EVA 2 SNG'!$D$3:$AC$114,16,0)</f>
        <v>3.5</v>
      </c>
      <c r="I27" s="205">
        <f t="shared" ca="1" si="5"/>
        <v>1.1428571428571428</v>
      </c>
      <c r="J27" s="75" t="s">
        <v>318</v>
      </c>
      <c r="K27" s="109">
        <v>2.1</v>
      </c>
      <c r="L27" s="199">
        <f t="shared" ca="1" si="0"/>
        <v>2.1</v>
      </c>
      <c r="M27" s="115"/>
    </row>
    <row r="28" spans="1:13" ht="52">
      <c r="A28" s="117" t="s">
        <v>199</v>
      </c>
      <c r="B28" s="72" t="s">
        <v>228</v>
      </c>
      <c r="C28" s="72" t="s">
        <v>241</v>
      </c>
      <c r="D28" s="89" t="str">
        <f>VLOOKUP(C28,'BD EVA 2 SNG'!$D$3:$Y$114,4,0)</f>
        <v>octubre 2018 - marzo 2019</v>
      </c>
      <c r="E28" s="203">
        <f>VLOOKUP(C28,'BD EVA 2 SNG'!$D$3:$Q$114,13,0)</f>
        <v>5753</v>
      </c>
      <c r="F28" s="89" t="str">
        <f>VLOOKUP(C28,'BD EVA 2 SNG'!$D$3:$Y$114,8,0)</f>
        <v>octubre 22 - mar 23</v>
      </c>
      <c r="G28" s="203">
        <f ca="1">VLOOKUP(C28,'BD EVA 2 SNG'!$D$3:$AC$114,23,0)</f>
        <v>5425</v>
      </c>
      <c r="H28" s="203">
        <f>VLOOKUP(C28,'BD EVA 2 SNG'!$D$3:$AC$114,16,0)</f>
        <v>5561</v>
      </c>
      <c r="I28" s="94">
        <f ca="1">(G28-E28)/(H28-E28)</f>
        <v>1.7083333333333333</v>
      </c>
      <c r="J28" s="89" t="s">
        <v>319</v>
      </c>
      <c r="K28" s="109">
        <v>2.2000000000000002</v>
      </c>
      <c r="L28" s="199">
        <f t="shared" ca="1" si="0"/>
        <v>2.2000000000000002</v>
      </c>
      <c r="M28" s="115"/>
    </row>
    <row r="29" spans="1:13" ht="26">
      <c r="A29" s="117" t="s">
        <v>243</v>
      </c>
      <c r="B29" s="92" t="s">
        <v>244</v>
      </c>
      <c r="C29" s="92" t="s">
        <v>338</v>
      </c>
      <c r="D29" s="89" t="str">
        <f>VLOOKUP(C29,'BD EVA 2 SNG'!$D$3:$Y$114,4,0)</f>
        <v>octubre 20 - mar 21</v>
      </c>
      <c r="E29" s="203">
        <f>VLOOKUP(C29,'BD EVA 2 SNG'!$D$3:$Q$114,13,0)</f>
        <v>0</v>
      </c>
      <c r="F29" s="89" t="str">
        <f>VLOOKUP(C29,'BD EVA 2 SNG'!$D$3:$Y$114,8,0)</f>
        <v>octubre 22 - mar 23</v>
      </c>
      <c r="G29" s="203">
        <f ca="1">VLOOKUP(C29,'BD EVA 2 SNG'!$D$3:$AC$114,23,0)</f>
        <v>88</v>
      </c>
      <c r="H29" s="203">
        <f>VLOOKUP(C29,'BD EVA 2 SNG'!$D$3:$AC$114,16,0)</f>
        <v>58</v>
      </c>
      <c r="I29" s="110">
        <f t="shared" ref="I29:I33" ca="1" si="6">G29/H29</f>
        <v>1.5172413793103448</v>
      </c>
      <c r="J29" s="75" t="s">
        <v>318</v>
      </c>
      <c r="K29" s="104">
        <v>2</v>
      </c>
      <c r="L29" s="199">
        <f t="shared" ca="1" si="0"/>
        <v>2</v>
      </c>
      <c r="M29" s="116">
        <f ca="1">SUM(L29:L33)</f>
        <v>9.2756717948717906</v>
      </c>
    </row>
    <row r="30" spans="1:13" ht="65">
      <c r="A30" s="117" t="s">
        <v>243</v>
      </c>
      <c r="B30" s="92" t="s">
        <v>247</v>
      </c>
      <c r="C30" s="72" t="s">
        <v>248</v>
      </c>
      <c r="D30" s="75">
        <f>VLOOKUP(C30,'BD EVA 2 SNG'!$D$3:$Y$114,4,0)</f>
        <v>44469</v>
      </c>
      <c r="E30" s="203">
        <f>VLOOKUP(C30,'BD EVA 2 SNG'!$D$3:$Q$114,13,0)</f>
        <v>2</v>
      </c>
      <c r="F30" s="75">
        <f>VLOOKUP(C30,'BD EVA 2 SNG'!$D$3:$Y$114,8,0)</f>
        <v>45016</v>
      </c>
      <c r="G30" s="203">
        <f ca="1">VLOOKUP(C30,'BD EVA 2 SNG'!$D$3:$AC$114,23,0)</f>
        <v>30</v>
      </c>
      <c r="H30" s="203">
        <f>VLOOKUP(C30,'BD EVA 2 SNG'!$D$3:$AC$114,16,0)</f>
        <v>30</v>
      </c>
      <c r="I30" s="110">
        <f t="shared" ca="1" si="6"/>
        <v>1</v>
      </c>
      <c r="J30" s="75" t="s">
        <v>318</v>
      </c>
      <c r="K30" s="104">
        <v>2</v>
      </c>
      <c r="L30" s="199">
        <f t="shared" ca="1" si="0"/>
        <v>2</v>
      </c>
      <c r="M30" s="115"/>
    </row>
    <row r="31" spans="1:13" ht="91">
      <c r="A31" s="117" t="s">
        <v>243</v>
      </c>
      <c r="B31" s="92" t="s">
        <v>250</v>
      </c>
      <c r="C31" s="72" t="s">
        <v>251</v>
      </c>
      <c r="D31" s="75">
        <f>VLOOKUP(C31,'BD EVA 2 SNG'!$D$3:$Y$114,4,0)</f>
        <v>44469</v>
      </c>
      <c r="E31" s="203">
        <f>VLOOKUP(C31,'BD EVA 2 SNG'!$D$3:$Q$114,13,0)</f>
        <v>95.55</v>
      </c>
      <c r="F31" s="75" t="str">
        <f>VLOOKUP(C31,'BD EVA 2 SNG'!$D$3:$Y$114,8,0)</f>
        <v>Dic 2022</v>
      </c>
      <c r="G31" s="203">
        <f ca="1">VLOOKUP(C31,'BD EVA 2 SNG'!$D$3:$AC$114,23,0)</f>
        <v>95.79</v>
      </c>
      <c r="H31" s="203">
        <f>VLOOKUP(C31,'BD EVA 2 SNG'!$D$3:$AC$114,16,0)</f>
        <v>100</v>
      </c>
      <c r="I31" s="110">
        <f t="shared" ca="1" si="6"/>
        <v>0.95790000000000008</v>
      </c>
      <c r="J31" s="75" t="s">
        <v>318</v>
      </c>
      <c r="K31" s="104">
        <v>2</v>
      </c>
      <c r="L31" s="199">
        <f t="shared" ca="1" si="0"/>
        <v>1.9158000000000002</v>
      </c>
      <c r="M31" s="115"/>
    </row>
    <row r="32" spans="1:13" ht="260">
      <c r="A32" s="117" t="s">
        <v>243</v>
      </c>
      <c r="B32" s="92" t="s">
        <v>257</v>
      </c>
      <c r="C32" s="72" t="s">
        <v>258</v>
      </c>
      <c r="D32" s="75">
        <f>VLOOKUP(C32,'BD EVA 2 SNG'!$D$3:$Y$114,4,0)</f>
        <v>44469</v>
      </c>
      <c r="E32" s="199">
        <f>VLOOKUP(C32,'BD EVA 2 SNG'!$D$3:$Q$114,13,0)</f>
        <v>0</v>
      </c>
      <c r="F32" s="75">
        <f>VLOOKUP(C32,'BD EVA 2 SNG'!$D$3:$Y$114,8,0)</f>
        <v>45016</v>
      </c>
      <c r="G32" s="199">
        <f ca="1">VLOOKUP(C32,'BD EVA 2 SNG'!$D$3:$AC$114,23,0)</f>
        <v>3.8397435897435801</v>
      </c>
      <c r="H32" s="199">
        <f>VLOOKUP(C32,'BD EVA 2 SNG'!$D$3:$AC$114,16,0)</f>
        <v>4</v>
      </c>
      <c r="I32" s="110">
        <f t="shared" ca="1" si="6"/>
        <v>0.95993589743589502</v>
      </c>
      <c r="J32" s="75" t="s">
        <v>318</v>
      </c>
      <c r="K32" s="104">
        <v>2</v>
      </c>
      <c r="L32" s="199">
        <f t="shared" ca="1" si="0"/>
        <v>1.91987179487179</v>
      </c>
      <c r="M32" s="115"/>
    </row>
    <row r="33" spans="1:13" ht="91">
      <c r="A33" s="117" t="s">
        <v>243</v>
      </c>
      <c r="B33" s="72" t="s">
        <v>260</v>
      </c>
      <c r="C33" s="72" t="s">
        <v>273</v>
      </c>
      <c r="D33" s="75">
        <f>VLOOKUP(C33,'BD EVA 2 SNG'!$D$3:$Y$114,4,0)</f>
        <v>44469</v>
      </c>
      <c r="E33" s="199">
        <f>VLOOKUP(C33,'BD EVA 2 SNG'!$D$3:$Q$114,13,0)</f>
        <v>0</v>
      </c>
      <c r="F33" s="75">
        <f>VLOOKUP(C33,'BD EVA 2 SNG'!$D$3:$Y$114,8,0)</f>
        <v>45016</v>
      </c>
      <c r="G33" s="197">
        <f ca="1">VLOOKUP(C33,'BD EVA 2 SNG'!$D$3:$AC$114,23,0)</f>
        <v>0.36</v>
      </c>
      <c r="H33" s="197">
        <f>VLOOKUP(C33,'BD EVA 2 SNG'!$D$3:$AC$114,16,0)</f>
        <v>0.5</v>
      </c>
      <c r="I33" s="110">
        <f t="shared" ca="1" si="6"/>
        <v>0.72</v>
      </c>
      <c r="J33" s="75" t="s">
        <v>318</v>
      </c>
      <c r="K33" s="104">
        <v>2</v>
      </c>
      <c r="L33" s="199">
        <f t="shared" ca="1" si="0"/>
        <v>1.44</v>
      </c>
      <c r="M33" s="115"/>
    </row>
    <row r="34" spans="1:13" ht="91">
      <c r="A34" s="117" t="s">
        <v>275</v>
      </c>
      <c r="B34" s="92" t="s">
        <v>276</v>
      </c>
      <c r="C34" s="72" t="s">
        <v>282</v>
      </c>
      <c r="D34" s="71" t="str">
        <f>VLOOKUP(C34,'BD EVA 2 SNG'!$D$3:$Y$114,4,0)</f>
        <v>enero - diciembre 2021</v>
      </c>
      <c r="E34" s="78">
        <f>VLOOKUP(C34,'BD EVA 2 SNG'!$D$3:$Q$114,13,0)</f>
        <v>0.27613952645521095</v>
      </c>
      <c r="F34" s="71" t="str">
        <f>VLOOKUP(C34,'BD EVA 2 SNG'!$D$3:$Y$114,8,0)</f>
        <v>enero- diciembre 2022</v>
      </c>
      <c r="G34" s="78">
        <f ca="1">VLOOKUP(C34,'BD EVA 2 SNG'!$D$3:$AC$114,23,0)</f>
        <v>0.27901231319682301</v>
      </c>
      <c r="H34" s="78">
        <f>VLOOKUP(C34,'BD EVA 2 SNG'!$D$3:$AC$114,16,0)</f>
        <v>0.27800000000000002</v>
      </c>
      <c r="I34" s="83">
        <f ca="1">(G34/H34)</f>
        <v>1.0036414143770611</v>
      </c>
      <c r="J34" s="75" t="s">
        <v>318</v>
      </c>
      <c r="K34" s="109">
        <v>2.2000000000000002</v>
      </c>
      <c r="L34" s="199">
        <f t="shared" ca="1" si="0"/>
        <v>2.2000000000000002</v>
      </c>
      <c r="M34" s="116">
        <f ca="1">SUM(L34:L39)</f>
        <v>9.9418309906135907</v>
      </c>
    </row>
    <row r="35" spans="1:13" ht="117">
      <c r="A35" s="117" t="s">
        <v>275</v>
      </c>
      <c r="B35" s="92" t="s">
        <v>276</v>
      </c>
      <c r="C35" s="72" t="s">
        <v>287</v>
      </c>
      <c r="D35" s="75" t="str">
        <f>VLOOKUP(C35,'BD EVA 2 SNG'!$D$3:$Y$114,4,0)</f>
        <v>enero - diciembre 2021</v>
      </c>
      <c r="E35" s="94">
        <f>VLOOKUP(C35,'BD EVA 2 SNG'!$D$3:$Q$114,13,0)</f>
        <v>0.3623569208654403</v>
      </c>
      <c r="F35" s="104" t="str">
        <f>VLOOKUP(C35,'BD EVA 2 SNG'!$D$3:$Y$114,8,0)</f>
        <v>enero- diciembre 2022</v>
      </c>
      <c r="G35" s="94">
        <f ca="1">VLOOKUP(C35,'BD EVA 2 SNG'!$D$3:$AC$114,23,0)</f>
        <v>0.37172001204893501</v>
      </c>
      <c r="H35" s="94">
        <f>VLOOKUP(C35,'BD EVA 2 SNG'!$D$3:$AC$114,16,0)</f>
        <v>0.36399999999999999</v>
      </c>
      <c r="I35" s="186">
        <f ca="1">G35/H35</f>
        <v>1.0212088243102611</v>
      </c>
      <c r="J35" s="75" t="s">
        <v>318</v>
      </c>
      <c r="K35" s="109">
        <v>1.4</v>
      </c>
      <c r="L35" s="199">
        <f t="shared" ca="1" si="0"/>
        <v>1.4</v>
      </c>
      <c r="M35" s="115"/>
    </row>
    <row r="36" spans="1:13" ht="117">
      <c r="A36" s="117" t="s">
        <v>275</v>
      </c>
      <c r="B36" s="92" t="s">
        <v>276</v>
      </c>
      <c r="C36" s="72" t="s">
        <v>292</v>
      </c>
      <c r="D36" s="75" t="str">
        <f>VLOOKUP(C36,'BD EVA 2 SNG'!$D$3:$Y$114,4,0)</f>
        <v>enero - diciembre 2021</v>
      </c>
      <c r="E36" s="94">
        <f>VLOOKUP(C36,'BD EVA 2 SNG'!$D$3:$Q$114,13,0)</f>
        <v>0.67496403268275473</v>
      </c>
      <c r="F36" s="104" t="str">
        <f>VLOOKUP(C36,'BD EVA 2 SNG'!$D$3:$Y$114,8,0)</f>
        <v>enero- diciembre 2022</v>
      </c>
      <c r="G36" s="94">
        <f ca="1">VLOOKUP(C36,'BD EVA 2 SNG'!$D$3:$AC$114,23,0)</f>
        <v>0.713918126949879</v>
      </c>
      <c r="H36" s="94">
        <f>VLOOKUP(C36,'BD EVA 2 SNG'!$D$3:$AC$114,16,0)</f>
        <v>0.68</v>
      </c>
      <c r="I36" s="94">
        <f ca="1">IF(G36&lt;E36,0,G36/H36)</f>
        <v>1.0498795984557043</v>
      </c>
      <c r="J36" s="72" t="s">
        <v>316</v>
      </c>
      <c r="K36" s="109">
        <v>2.2000000000000002</v>
      </c>
      <c r="L36" s="199">
        <f t="shared" ca="1" si="0"/>
        <v>2.2000000000000002</v>
      </c>
      <c r="M36" s="115"/>
    </row>
    <row r="37" spans="1:13" ht="78">
      <c r="A37" s="117" t="s">
        <v>275</v>
      </c>
      <c r="B37" s="92" t="s">
        <v>276</v>
      </c>
      <c r="C37" s="72" t="s">
        <v>296</v>
      </c>
      <c r="D37" s="75" t="str">
        <f>VLOOKUP(C37,'BD EVA 2 SNG'!$D$3:$Y$114,4,0)</f>
        <v>enero - diciembre 2021</v>
      </c>
      <c r="E37" s="163">
        <f>VLOOKUP(C37,'BD EVA 2 SNG'!$D$3:$Q$114,13,0)</f>
        <v>363858395.08999997</v>
      </c>
      <c r="F37" s="165" t="str">
        <f>VLOOKUP(C37,'BD EVA 2 SNG'!$D$3:$Y$114,8,0)</f>
        <v>enero- diciembre 2022</v>
      </c>
      <c r="G37" s="163">
        <f ca="1">VLOOKUP(C37,'BD EVA 2 SNG'!$D$3:$AC$114,23,0)</f>
        <v>400400429.24999899</v>
      </c>
      <c r="H37" s="163">
        <f>VLOOKUP(C37,'BD EVA 2 SNG'!$D$3:$AC$114,16,0)</f>
        <v>374500000</v>
      </c>
      <c r="I37" s="94">
        <f ca="1">G37/H37</f>
        <v>1.0691600246995967</v>
      </c>
      <c r="J37" s="75" t="s">
        <v>318</v>
      </c>
      <c r="K37" s="109">
        <v>1.1000000000000001</v>
      </c>
      <c r="L37" s="199">
        <f t="shared" ca="1" si="0"/>
        <v>1.1000000000000001</v>
      </c>
      <c r="M37" s="115"/>
    </row>
    <row r="38" spans="1:13" ht="78">
      <c r="A38" s="117" t="s">
        <v>275</v>
      </c>
      <c r="B38" s="92" t="s">
        <v>298</v>
      </c>
      <c r="C38" s="72" t="s">
        <v>301</v>
      </c>
      <c r="D38" s="75" t="str">
        <f>VLOOKUP(C38,'BD EVA 2 SNG'!$D$3:$Y$114,4,0)</f>
        <v>enero - diciembre 2021</v>
      </c>
      <c r="E38" s="94">
        <f>VLOOKUP(C38,'BD EVA 2 SNG'!$D$3:$Q$114,13,0)</f>
        <v>0.70997376864936457</v>
      </c>
      <c r="F38" s="165" t="str">
        <f>VLOOKUP(C38,'BD EVA 2 SNG'!$D$3:$Y$114,8,0)</f>
        <v>enero- diciembre 2022</v>
      </c>
      <c r="G38" s="94">
        <f ca="1">VLOOKUP(C38,'BD EVA 2 SNG'!$D$3:$AC$114,23,0)</f>
        <v>0.77679007268623701</v>
      </c>
      <c r="H38" s="94">
        <f>VLOOKUP(C38,'BD EVA 2 SNG'!$D$3:$AC$114,16,0)</f>
        <v>0.7</v>
      </c>
      <c r="I38" s="186">
        <f ca="1">(H38/G38)</f>
        <v>0.90114436913349394</v>
      </c>
      <c r="J38" s="172" t="s">
        <v>341</v>
      </c>
      <c r="K38" s="109">
        <v>1.6</v>
      </c>
      <c r="L38" s="199">
        <f t="shared" ca="1" si="0"/>
        <v>1.4418309906135904</v>
      </c>
      <c r="M38" s="115"/>
    </row>
    <row r="39" spans="1:13" ht="78">
      <c r="A39" s="117" t="s">
        <v>275</v>
      </c>
      <c r="B39" s="92" t="s">
        <v>303</v>
      </c>
      <c r="C39" s="72" t="s">
        <v>304</v>
      </c>
      <c r="D39" s="89" t="str">
        <f>VLOOKUP(C39,'BD EVA 2 SNG'!$D$3:$Y$114,4,0)</f>
        <v>Dic 2020</v>
      </c>
      <c r="E39" s="164" t="str">
        <f>VLOOKUP(C39,'BD EVA 2 SNG'!$D$3:$Q$114,13,0)</f>
        <v>Verde</v>
      </c>
      <c r="F39" s="89" t="str">
        <f>VLOOKUP(C39,'BD EVA 2 SNG'!$D$3:$Y$114,8,0)</f>
        <v>Dic 2022</v>
      </c>
      <c r="G39" s="164" t="str">
        <f ca="1">VLOOKUP(C39,'BD EVA 2 SNG'!$D$3:$AC$114,23,0)</f>
        <v>Verde</v>
      </c>
      <c r="H39" s="164" t="str">
        <f>VLOOKUP(C39,'BD EVA 2 SNG'!$D$3:$AC$114,16,0)</f>
        <v>Verde</v>
      </c>
      <c r="I39" s="206">
        <f ca="1">IF(G39="Verde",1,0)</f>
        <v>1</v>
      </c>
      <c r="J39" s="75" t="s">
        <v>318</v>
      </c>
      <c r="K39" s="109">
        <v>1.6</v>
      </c>
      <c r="L39" s="199">
        <f t="shared" ca="1" si="0"/>
        <v>1.6</v>
      </c>
      <c r="M39" s="115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A1CF9-49E4-DF4D-A965-77F1C03E6DFB}">
  <dimension ref="A1:AC114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476051</v>
      </c>
      <c r="Q2" s="12">
        <v>476051</v>
      </c>
      <c r="R2" s="13"/>
      <c r="S2" s="316"/>
      <c r="T2" s="316"/>
      <c r="U2" s="316"/>
      <c r="V2" s="316"/>
      <c r="W2" s="316"/>
      <c r="X2" s="12">
        <v>479050</v>
      </c>
      <c r="Y2" s="12">
        <v>479050</v>
      </c>
      <c r="Z2" s="12">
        <v>483249</v>
      </c>
      <c r="AA2" s="12">
        <v>483249</v>
      </c>
      <c r="AB2" s="12">
        <v>488759</v>
      </c>
      <c r="AC2" s="12">
        <v>488759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554</v>
      </c>
      <c r="Q3" s="2">
        <v>554</v>
      </c>
      <c r="R3" s="4">
        <v>479</v>
      </c>
      <c r="S3" s="4">
        <v>497</v>
      </c>
      <c r="T3" s="4">
        <v>514</v>
      </c>
      <c r="U3" s="4">
        <v>532</v>
      </c>
      <c r="V3" s="4">
        <v>550</v>
      </c>
      <c r="W3" s="4">
        <v>550</v>
      </c>
      <c r="X3" s="480">
        <v>449</v>
      </c>
      <c r="Y3" s="2">
        <f ca="1">IFERROR(__xludf.DUMMYFUNCTION("INDEX(IMPORTRANGE(""1y0FWgjbB0gVlqn-q5LMJbGIsqOrzru4yowQz67dz2yc"", ""'SNG'!BG3:BG139""),MATCH($D3,IMPORTRANGE(""1y0FWgjbB0gVlqn-q5LMJbGIsqOrzru4yowQz67dz2yc"", ""'SNG'!D3:D139""),0))"),462)</f>
        <v>462</v>
      </c>
      <c r="Z3" s="2">
        <f ca="1">IFERROR(__xludf.DUMMYFUNCTION("INDEX(IMPORTRANGE(""1y0FWgjbB0gVlqn-q5LMJbGIsqOrzru4yowQz67dz2yc"", ""'SNG'!BH3:BH139""),MATCH($D3,IMPORTRANGE(""1y0FWgjbB0gVlqn-q5LMJbGIsqOrzru4yowQz67dz2yc"", ""'SNG'!D3:D139""),0))"),447)</f>
        <v>447</v>
      </c>
      <c r="AA3" s="2">
        <f ca="1">IFERROR(__xludf.DUMMYFUNCTION("INDEX(IMPORTRANGE(""1y0FWgjbB0gVlqn-q5LMJbGIsqOrzru4yowQz67dz2yc"", ""'SNG'!BI3:BI139""),MATCH($D3,IMPORTRANGE(""1y0FWgjbB0gVlqn-q5LMJbGIsqOrzru4yowQz67dz2yc"", ""'SNG'!D3:D139""),0))"),446)</f>
        <v>446</v>
      </c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395</v>
      </c>
      <c r="Q4" s="2">
        <v>395</v>
      </c>
      <c r="R4" s="13"/>
      <c r="S4" s="13"/>
      <c r="T4" s="13"/>
      <c r="U4" s="13"/>
      <c r="V4" s="13"/>
      <c r="W4" s="13"/>
      <c r="X4" s="2">
        <v>447</v>
      </c>
      <c r="Y4" s="2">
        <f ca="1">IFERROR(__xludf.DUMMYFUNCTION("INDEX(IMPORTRANGE(""1y0FWgjbB0gVlqn-q5LMJbGIsqOrzru4yowQz67dz2yc"", ""'SNG'!BG3:BG139""),MATCH($D4,IMPORTRANGE(""1y0FWgjbB0gVlqn-q5LMJbGIsqOrzru4yowQz67dz2yc"", ""'SNG'!D3:D139""),0))"),462)</f>
        <v>462</v>
      </c>
      <c r="Z4" s="2">
        <f ca="1">IFERROR(__xludf.DUMMYFUNCTION("INDEX(IMPORTRANGE(""1y0FWgjbB0gVlqn-q5LMJbGIsqOrzru4yowQz67dz2yc"", ""'SNG'!BH3:BH139""),MATCH($D4,IMPORTRANGE(""1y0FWgjbB0gVlqn-q5LMJbGIsqOrzru4yowQz67dz2yc"", ""'SNG'!D3:D139""),0))"),447)</f>
        <v>447</v>
      </c>
      <c r="AA4" s="2">
        <f ca="1">IFERROR(__xludf.DUMMYFUNCTION("INDEX(IMPORTRANGE(""1y0FWgjbB0gVlqn-q5LMJbGIsqOrzru4yowQz67dz2yc"", ""'SNG'!BI3:BI139""),MATCH($D4,IMPORTRANGE(""1y0FWgjbB0gVlqn-q5LMJbGIsqOrzru4yowQz67dz2yc"", ""'SNG'!D3:D139""),0))"),446)</f>
        <v>446</v>
      </c>
      <c r="AB4" s="1"/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0.71299638989169678</v>
      </c>
      <c r="Q5" s="15">
        <f t="shared" si="0"/>
        <v>0.71299638989169678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0.99554565701559017</v>
      </c>
      <c r="Y5" s="15">
        <f ca="1">IFERROR(__xludf.DUMMYFUNCTION("INDEX(IMPORTRANGE(""1y0FWgjbB0gVlqn-q5LMJbGIsqOrzru4yowQz67dz2yc"", ""'SNG'!BG3:BG139""),MATCH($D5,IMPORTRANGE(""1y0FWgjbB0gVlqn-q5LMJbGIsqOrzru4yowQz67dz2yc"", ""'SNG'!D3:D139""),0))"),1)</f>
        <v>1</v>
      </c>
      <c r="Z5" s="15">
        <f ca="1">IFERROR(__xludf.DUMMYFUNCTION("INDEX(IMPORTRANGE(""1y0FWgjbB0gVlqn-q5LMJbGIsqOrzru4yowQz67dz2yc"", ""'SNG'!BH3:BH139""),MATCH($D5,IMPORTRANGE(""1y0FWgjbB0gVlqn-q5LMJbGIsqOrzru4yowQz67dz2yc"", ""'SNG'!D3:D139""),0))"),1)</f>
        <v>1</v>
      </c>
      <c r="AA5" s="15">
        <f ca="1">IFERROR(__xludf.DUMMYFUNCTION("INDEX(IMPORTRANGE(""1y0FWgjbB0gVlqn-q5LMJbGIsqOrzru4yowQz67dz2yc"", ""'SNG'!BI3:BI139""),MATCH($D5,IMPORTRANGE(""1y0FWgjbB0gVlqn-q5LMJbGIsqOrzru4yowQz67dz2yc"", ""'SNG'!D3:D139""),0))"),1)</f>
        <v>1</v>
      </c>
      <c r="AB5" s="1"/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430"/>
      <c r="Q6" s="418"/>
      <c r="R6" s="1"/>
      <c r="S6" s="1"/>
      <c r="T6" s="1"/>
      <c r="U6" s="1"/>
      <c r="V6" s="1"/>
      <c r="W6" s="1"/>
      <c r="X6" s="418"/>
      <c r="Y6" s="2">
        <f ca="1">IFERROR(__xludf.DUMMYFUNCTION("INDEX(IMPORTRANGE(""1y0FWgjbB0gVlqn-q5LMJbGIsqOrzru4yowQz67dz2yc"", ""'SNG'!BG3:BG139""),MATCH($D6,IMPORTRANGE(""1y0FWgjbB0gVlqn-q5LMJbGIsqOrzru4yowQz67dz2yc"", ""'SNG'!D3:D139""),0))"),16)</f>
        <v>16</v>
      </c>
      <c r="Z6" s="2">
        <f ca="1">IFERROR(__xludf.DUMMYFUNCTION("INDEX(IMPORTRANGE(""1y0FWgjbB0gVlqn-q5LMJbGIsqOrzru4yowQz67dz2yc"", ""'SNG'!BH3:BH139""),MATCH($D6,IMPORTRANGE(""1y0FWgjbB0gVlqn-q5LMJbGIsqOrzru4yowQz67dz2yc"", ""'SNG'!D3:D139""),0))"),19)</f>
        <v>19</v>
      </c>
      <c r="AA6" s="2">
        <f ca="1">IFERROR(__xludf.DUMMYFUNCTION("INDEX(IMPORTRANGE(""1y0FWgjbB0gVlqn-q5LMJbGIsqOrzru4yowQz67dz2yc"", ""'SNG'!BI3:BI139""),MATCH($D6,IMPORTRANGE(""1y0FWgjbB0gVlqn-q5LMJbGIsqOrzru4yowQz67dz2yc"", ""'SNG'!D3:D139""),0))"),22)</f>
        <v>22</v>
      </c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430"/>
      <c r="Q7" s="418"/>
      <c r="R7" s="1"/>
      <c r="S7" s="1"/>
      <c r="T7" s="1"/>
      <c r="U7" s="1"/>
      <c r="V7" s="1"/>
      <c r="W7" s="1"/>
      <c r="X7" s="418"/>
      <c r="Y7" s="2">
        <f ca="1">IFERROR(__xludf.DUMMYFUNCTION("INDEX(IMPORTRANGE(""1y0FWgjbB0gVlqn-q5LMJbGIsqOrzru4yowQz67dz2yc"", ""'SNG'!BG3:BG139""),MATCH($D7,IMPORTRANGE(""1y0FWgjbB0gVlqn-q5LMJbGIsqOrzru4yowQz67dz2yc"", ""'SNG'!D3:D139""),0))"),0)</f>
        <v>0</v>
      </c>
      <c r="Z7" s="2">
        <f ca="1">IFERROR(__xludf.DUMMYFUNCTION("INDEX(IMPORTRANGE(""1y0FWgjbB0gVlqn-q5LMJbGIsqOrzru4yowQz67dz2yc"", ""'SNG'!BH3:BH139""),MATCH($D7,IMPORTRANGE(""1y0FWgjbB0gVlqn-q5LMJbGIsqOrzru4yowQz67dz2yc"", ""'SNG'!D3:D139""),0))"),0)</f>
        <v>0</v>
      </c>
      <c r="AA7" s="2">
        <f ca="1">IFERROR(__xludf.DUMMYFUNCTION("INDEX(IMPORTRANGE(""1y0FWgjbB0gVlqn-q5LMJbGIsqOrzru4yowQz67dz2yc"", ""'SNG'!BI3:BI139""),MATCH($D7,IMPORTRANGE(""1y0FWgjbB0gVlqn-q5LMJbGIsqOrzru4yowQz67dz2yc"", ""'SNG'!D3:D139""),0))"),5)</f>
        <v>5</v>
      </c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420">
        <f t="shared" ref="P8:Q8" si="1">P6/P3</f>
        <v>0</v>
      </c>
      <c r="Q8" s="420">
        <f t="shared" si="1"/>
        <v>0</v>
      </c>
      <c r="R8" s="15">
        <v>3.6999999999999998E-2</v>
      </c>
      <c r="S8" s="15">
        <v>3.9E-2</v>
      </c>
      <c r="T8" s="15">
        <v>4.1000000000000002E-2</v>
      </c>
      <c r="U8" s="15">
        <v>4.2999999999999997E-2</v>
      </c>
      <c r="V8" s="15">
        <v>4.4999999999999998E-2</v>
      </c>
      <c r="W8" s="15">
        <v>4.4999999999999998E-2</v>
      </c>
      <c r="X8" s="420">
        <f>X6/X3</f>
        <v>0</v>
      </c>
      <c r="Y8" s="15">
        <f ca="1">IFERROR(__xludf.DUMMYFUNCTION("INDEX(IMPORTRANGE(""1y0FWgjbB0gVlqn-q5LMJbGIsqOrzru4yowQz67dz2yc"", ""'SNG'!BG3:BG139""),MATCH($D8,IMPORTRANGE(""1y0FWgjbB0gVlqn-q5LMJbGIsqOrzru4yowQz67dz2yc"", ""'SNG'!D3:D139""),0))"),0.0346320346320346)</f>
        <v>3.4632034632034597E-2</v>
      </c>
      <c r="Z8" s="15">
        <f ca="1">IFERROR(__xludf.DUMMYFUNCTION("INDEX(IMPORTRANGE(""1y0FWgjbB0gVlqn-q5LMJbGIsqOrzru4yowQz67dz2yc"", ""'SNG'!BH3:BH139""),MATCH($D8,IMPORTRANGE(""1y0FWgjbB0gVlqn-q5LMJbGIsqOrzru4yowQz67dz2yc"", ""'SNG'!D3:D139""),0))"),0.0425055928411633)</f>
        <v>4.25055928411633E-2</v>
      </c>
      <c r="AA8" s="15">
        <f ca="1">IFERROR(__xludf.DUMMYFUNCTION("INDEX(IMPORTRANGE(""1y0FWgjbB0gVlqn-q5LMJbGIsqOrzru4yowQz67dz2yc"", ""'SNG'!BI3:BI139""),MATCH($D8,IMPORTRANGE(""1y0FWgjbB0gVlqn-q5LMJbGIsqOrzru4yowQz67dz2yc"", ""'SNG'!D3:D139""),0))"),0.0605381165919282)</f>
        <v>6.0538116591928197E-2</v>
      </c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65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12">
        <f ca="1">IFERROR(__xludf.DUMMYFUNCTION("INDEX(IMPORTRANGE(""1y0FWgjbB0gVlqn-q5LMJbGIsqOrzru4yowQz67dz2yc"", ""'SNG'!BG3:BG139""),MATCH($D9,IMPORTRANGE(""1y0FWgjbB0gVlqn-q5LMJbGIsqOrzru4yowQz67dz2yc"", ""'SNG'!D3:D139""),0))"),337)</f>
        <v>337</v>
      </c>
      <c r="Z9" s="12">
        <f ca="1">IFERROR(__xludf.DUMMYFUNCTION("INDEX(IMPORTRANGE(""1y0FWgjbB0gVlqn-q5LMJbGIsqOrzru4yowQz67dz2yc"", ""'SNG'!BH3:BH139""),MATCH($D9,IMPORTRANGE(""1y0FWgjbB0gVlqn-q5LMJbGIsqOrzru4yowQz67dz2yc"", ""'SNG'!D3:D139""),0))"),433)</f>
        <v>433</v>
      </c>
      <c r="AA9" s="12">
        <f ca="1">IFERROR(__xludf.DUMMYFUNCTION("INDEX(IMPORTRANGE(""1y0FWgjbB0gVlqn-q5LMJbGIsqOrzru4yowQz67dz2yc"", ""'SNG'!BI3:BI139""),MATCH($D9,IMPORTRANGE(""1y0FWgjbB0gVlqn-q5LMJbGIsqOrzru4yowQz67dz2yc"", ""'SNG'!D3:D139""),0))"),1281)</f>
        <v>1281</v>
      </c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55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418</v>
      </c>
      <c r="Q10" s="12">
        <v>590</v>
      </c>
      <c r="R10" s="13"/>
      <c r="S10" s="13"/>
      <c r="T10" s="13"/>
      <c r="U10" s="13"/>
      <c r="V10" s="13"/>
      <c r="W10" s="13"/>
      <c r="X10" s="12">
        <v>112</v>
      </c>
      <c r="Y10" s="12">
        <f ca="1">IFERROR(__xludf.DUMMYFUNCTION("INDEX(IMPORTRANGE(""1y0FWgjbB0gVlqn-q5LMJbGIsqOrzru4yowQz67dz2yc"", ""'SNG'!BG3:BG139""),MATCH($D10,IMPORTRANGE(""1y0FWgjbB0gVlqn-q5LMJbGIsqOrzru4yowQz67dz2yc"", ""'SNG'!D3:D139""),0))"),2182)</f>
        <v>2182</v>
      </c>
      <c r="Z10" s="12">
        <f ca="1">IFERROR(__xludf.DUMMYFUNCTION("INDEX(IMPORTRANGE(""1y0FWgjbB0gVlqn-q5LMJbGIsqOrzru4yowQz67dz2yc"", ""'SNG'!BH3:BH139""),MATCH($D10,IMPORTRANGE(""1y0FWgjbB0gVlqn-q5LMJbGIsqOrzru4yowQz67dz2yc"", ""'SNG'!D3:D139""),0))"),1485)</f>
        <v>1485</v>
      </c>
      <c r="AA10" s="12">
        <f ca="1">IFERROR(__xludf.DUMMYFUNCTION("INDEX(IMPORTRANGE(""1y0FWgjbB0gVlqn-q5LMJbGIsqOrzru4yowQz67dz2yc"", ""'SNG'!BI3:BI139""),MATCH($D10,IMPORTRANGE(""1y0FWgjbB0gVlqn-q5LMJbGIsqOrzru4yowQz67dz2yc"", ""'SNG'!D3:D139""),0))"),3302)</f>
        <v>3302</v>
      </c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4">
        <v>0.15</v>
      </c>
      <c r="S11" s="14">
        <v>0.3</v>
      </c>
      <c r="T11" s="14">
        <v>0.45</v>
      </c>
      <c r="U11" s="14">
        <v>0.6</v>
      </c>
      <c r="V11" s="14">
        <v>0.75</v>
      </c>
      <c r="W11" s="14">
        <f>V11</f>
        <v>0.75</v>
      </c>
      <c r="X11" s="15">
        <f>X9/X10</f>
        <v>0</v>
      </c>
      <c r="Y11" s="15">
        <f ca="1">IFERROR(__xludf.DUMMYFUNCTION("INDEX(IMPORTRANGE(""1y0FWgjbB0gVlqn-q5LMJbGIsqOrzru4yowQz67dz2yc"", ""'SNG'!BG3:BG139""),MATCH($D11,IMPORTRANGE(""1y0FWgjbB0gVlqn-q5LMJbGIsqOrzru4yowQz67dz2yc"", ""'SNG'!D3:D139""),0))"),0.154445462878093)</f>
        <v>0.15444546287809299</v>
      </c>
      <c r="Z11" s="15">
        <f ca="1">IFERROR(__xludf.DUMMYFUNCTION("INDEX(IMPORTRANGE(""1y0FWgjbB0gVlqn-q5LMJbGIsqOrzru4yowQz67dz2yc"", ""'SNG'!BH3:BH139""),MATCH($D11,IMPORTRANGE(""1y0FWgjbB0gVlqn-q5LMJbGIsqOrzru4yowQz67dz2yc"", ""'SNG'!D3:D139""),0))"),0.291582491582491)</f>
        <v>0.291582491582491</v>
      </c>
      <c r="AA11" s="15">
        <f ca="1">IFERROR(__xludf.DUMMYFUNCTION("INDEX(IMPORTRANGE(""1y0FWgjbB0gVlqn-q5LMJbGIsqOrzru4yowQz67dz2yc"", ""'SNG'!BI3:BI139""),MATCH($D11,IMPORTRANGE(""1y0FWgjbB0gVlqn-q5LMJbGIsqOrzru4yowQz67dz2yc"", ""'SNG'!D3:D139""),0))"),0.387946698970321)</f>
        <v>0.38794669897032102</v>
      </c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21</v>
      </c>
      <c r="Q12" s="12">
        <v>52</v>
      </c>
      <c r="R12" s="13"/>
      <c r="S12" s="13"/>
      <c r="T12" s="13"/>
      <c r="U12" s="13"/>
      <c r="V12" s="13"/>
      <c r="W12" s="13"/>
      <c r="X12" s="12">
        <v>11</v>
      </c>
      <c r="Y12" s="12">
        <f ca="1">IFERROR(__xludf.DUMMYFUNCTION("INDEX(IMPORTRANGE(""1y0FWgjbB0gVlqn-q5LMJbGIsqOrzru4yowQz67dz2yc"", ""'SNG'!BG3:BG139""),MATCH($D12,IMPORTRANGE(""1y0FWgjbB0gVlqn-q5LMJbGIsqOrzru4yowQz67dz2yc"", ""'SNG'!D3:D139""),0))"),44)</f>
        <v>44</v>
      </c>
      <c r="Z12" s="12">
        <f ca="1">IFERROR(__xludf.DUMMYFUNCTION("INDEX(IMPORTRANGE(""1y0FWgjbB0gVlqn-q5LMJbGIsqOrzru4yowQz67dz2yc"", ""'SNG'!BH3:BH139""),MATCH($D12,IMPORTRANGE(""1y0FWgjbB0gVlqn-q5LMJbGIsqOrzru4yowQz67dz2yc"", ""'SNG'!D3:D139""),0))"),16)</f>
        <v>16</v>
      </c>
      <c r="AA12" s="12">
        <f ca="1">IFERROR(__xludf.DUMMYFUNCTION("INDEX(IMPORTRANGE(""1y0FWgjbB0gVlqn-q5LMJbGIsqOrzru4yowQz67dz2yc"", ""'SNG'!BI3:BI139""),MATCH($D12,IMPORTRANGE(""1y0FWgjbB0gVlqn-q5LMJbGIsqOrzru4yowQz67dz2yc"", ""'SNG'!D3:D139""),0))"),49)</f>
        <v>49</v>
      </c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4.4112920674465554</v>
      </c>
      <c r="Q13" s="23">
        <f t="shared" si="3"/>
        <v>10.923199405105755</v>
      </c>
      <c r="R13" s="2">
        <v>7.9</v>
      </c>
      <c r="S13" s="2">
        <v>2</v>
      </c>
      <c r="T13" s="2">
        <v>4.9000000000000004</v>
      </c>
      <c r="U13" s="2">
        <v>0.8</v>
      </c>
      <c r="V13" s="2">
        <v>1.92</v>
      </c>
      <c r="W13" s="2">
        <f>V13</f>
        <v>1.92</v>
      </c>
      <c r="X13" s="23">
        <f>(X12/X$2)*100000</f>
        <v>2.2962112514351318</v>
      </c>
      <c r="Y13" s="23">
        <f ca="1">IFERROR(__xludf.DUMMYFUNCTION("INDEX(IMPORTRANGE(""1y0FWgjbB0gVlqn-q5LMJbGIsqOrzru4yowQz67dz2yc"", ""'SNG'!BG3:BG139""),MATCH($D13,IMPORTRANGE(""1y0FWgjbB0gVlqn-q5LMJbGIsqOrzru4yowQz67dz2yc"", ""'SNG'!D3:D139""),0))"),9.18484500574052)</f>
        <v>9.1848450057405202</v>
      </c>
      <c r="Z13" s="23">
        <f ca="1">IFERROR(__xludf.DUMMYFUNCTION("INDEX(IMPORTRANGE(""1y0FWgjbB0gVlqn-q5LMJbGIsqOrzru4yowQz67dz2yc"", ""'SNG'!BH3:BH139""),MATCH($D13,IMPORTRANGE(""1y0FWgjbB0gVlqn-q5LMJbGIsqOrzru4yowQz67dz2yc"", ""'SNG'!D3:D139""),0))"),3.3109225264822)</f>
        <v>3.3109225264822002</v>
      </c>
      <c r="AA13" s="23">
        <f ca="1">IFERROR(__xludf.DUMMYFUNCTION("INDEX(IMPORTRANGE(""1y0FWgjbB0gVlqn-q5LMJbGIsqOrzru4yowQz67dz2yc"", ""'SNG'!BI3:BI139""),MATCH($D13,IMPORTRANGE(""1y0FWgjbB0gVlqn-q5LMJbGIsqOrzru4yowQz67dz2yc"", ""'SNG'!D3:D139""),0))"),10.1397002373517)</f>
        <v>10.1397002373517</v>
      </c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138</v>
      </c>
      <c r="Q14" s="12">
        <v>250</v>
      </c>
      <c r="R14" s="13"/>
      <c r="S14" s="13"/>
      <c r="T14" s="13"/>
      <c r="U14" s="13"/>
      <c r="V14" s="13"/>
      <c r="W14" s="13"/>
      <c r="X14" s="12">
        <v>133</v>
      </c>
      <c r="Y14" s="12">
        <f ca="1">IFERROR(__xludf.DUMMYFUNCTION("INDEX(IMPORTRANGE(""1y0FWgjbB0gVlqn-q5LMJbGIsqOrzru4yowQz67dz2yc"", ""'SNG'!BG3:BG139""),MATCH($D14,IMPORTRANGE(""1y0FWgjbB0gVlqn-q5LMJbGIsqOrzru4yowQz67dz2yc"", ""'SNG'!D3:D139""),0))"),260)</f>
        <v>260</v>
      </c>
      <c r="Z14" s="12">
        <f ca="1">IFERROR(__xludf.DUMMYFUNCTION("INDEX(IMPORTRANGE(""1y0FWgjbB0gVlqn-q5LMJbGIsqOrzru4yowQz67dz2yc"", ""'SNG'!BH3:BH139""),MATCH($D14,IMPORTRANGE(""1y0FWgjbB0gVlqn-q5LMJbGIsqOrzru4yowQz67dz2yc"", ""'SNG'!D3:D139""),0))"),91)</f>
        <v>91</v>
      </c>
      <c r="AA14" s="12">
        <f ca="1">IFERROR(__xludf.DUMMYFUNCTION("INDEX(IMPORTRANGE(""1y0FWgjbB0gVlqn-q5LMJbGIsqOrzru4yowQz67dz2yc"", ""'SNG'!BI3:BI139""),MATCH($D14,IMPORTRANGE(""1y0FWgjbB0gVlqn-q5LMJbGIsqOrzru4yowQz67dz2yc"", ""'SNG'!D3:D139""),0))"),203)</f>
        <v>203</v>
      </c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177</v>
      </c>
      <c r="Q15" s="12">
        <v>364</v>
      </c>
      <c r="R15" s="13"/>
      <c r="S15" s="13"/>
      <c r="T15" s="13"/>
      <c r="U15" s="13"/>
      <c r="V15" s="13"/>
      <c r="W15" s="13"/>
      <c r="X15" s="12">
        <v>204</v>
      </c>
      <c r="Y15" s="12">
        <f ca="1">IFERROR(__xludf.DUMMYFUNCTION("INDEX(IMPORTRANGE(""1y0FWgjbB0gVlqn-q5LMJbGIsqOrzru4yowQz67dz2yc"", ""'SNG'!BG3:BG139""),MATCH($D15,IMPORTRANGE(""1y0FWgjbB0gVlqn-q5LMJbGIsqOrzru4yowQz67dz2yc"", ""'SNG'!D3:D139""),0))"),432)</f>
        <v>432</v>
      </c>
      <c r="Z15" s="12">
        <f ca="1">IFERROR(__xludf.DUMMYFUNCTION("INDEX(IMPORTRANGE(""1y0FWgjbB0gVlqn-q5LMJbGIsqOrzru4yowQz67dz2yc"", ""'SNG'!BH3:BH139""),MATCH($D15,IMPORTRANGE(""1y0FWgjbB0gVlqn-q5LMJbGIsqOrzru4yowQz67dz2yc"", ""'SNG'!D3:D139""),0))"),177)</f>
        <v>177</v>
      </c>
      <c r="AA15" s="12">
        <f ca="1">IFERROR(__xludf.DUMMYFUNCTION("INDEX(IMPORTRANGE(""1y0FWgjbB0gVlqn-q5LMJbGIsqOrzru4yowQz67dz2yc"", ""'SNG'!BI3:BI139""),MATCH($D15,IMPORTRANGE(""1y0FWgjbB0gVlqn-q5LMJbGIsqOrzru4yowQz67dz2yc"", ""'SNG'!D3:D139""),0))"),379)</f>
        <v>379</v>
      </c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129</v>
      </c>
      <c r="Q16" s="12">
        <v>250</v>
      </c>
      <c r="R16" s="13"/>
      <c r="S16" s="13"/>
      <c r="T16" s="13"/>
      <c r="U16" s="13"/>
      <c r="V16" s="13"/>
      <c r="W16" s="13"/>
      <c r="X16" s="12">
        <v>133</v>
      </c>
      <c r="Y16" s="12">
        <f ca="1">IFERROR(__xludf.DUMMYFUNCTION("INDEX(IMPORTRANGE(""1y0FWgjbB0gVlqn-q5LMJbGIsqOrzru4yowQz67dz2yc"", ""'SNG'!BG3:BG139""),MATCH($D16,IMPORTRANGE(""1y0FWgjbB0gVlqn-q5LMJbGIsqOrzru4yowQz67dz2yc"", ""'SNG'!D3:D139""),0))"),259)</f>
        <v>259</v>
      </c>
      <c r="Z16" s="12">
        <f ca="1">IFERROR(__xludf.DUMMYFUNCTION("INDEX(IMPORTRANGE(""1y0FWgjbB0gVlqn-q5LMJbGIsqOrzru4yowQz67dz2yc"", ""'SNG'!BH3:BH139""),MATCH($D16,IMPORTRANGE(""1y0FWgjbB0gVlqn-q5LMJbGIsqOrzru4yowQz67dz2yc"", ""'SNG'!D3:D139""),0))"),83)</f>
        <v>83</v>
      </c>
      <c r="AA16" s="12">
        <f ca="1">IFERROR(__xludf.DUMMYFUNCTION("INDEX(IMPORTRANGE(""1y0FWgjbB0gVlqn-q5LMJbGIsqOrzru4yowQz67dz2yc"", ""'SNG'!BI3:BI139""),MATCH($D16,IMPORTRANGE(""1y0FWgjbB0gVlqn-q5LMJbGIsqOrzru4yowQz67dz2yc"", ""'SNG'!D3:D139""),0))"),167)</f>
        <v>167</v>
      </c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135</v>
      </c>
      <c r="R17" s="13"/>
      <c r="S17" s="13"/>
      <c r="T17" s="13"/>
      <c r="U17" s="13"/>
      <c r="V17" s="13"/>
      <c r="W17" s="13"/>
      <c r="X17" s="12">
        <v>68</v>
      </c>
      <c r="Y17" s="12">
        <f ca="1">IFERROR(__xludf.DUMMYFUNCTION("INDEX(IMPORTRANGE(""1y0FWgjbB0gVlqn-q5LMJbGIsqOrzru4yowQz67dz2yc"", ""'SNG'!BG3:BG139""),MATCH($D17,IMPORTRANGE(""1y0FWgjbB0gVlqn-q5LMJbGIsqOrzru4yowQz67dz2yc"", ""'SNG'!D3:D139""),0))"),119)</f>
        <v>119</v>
      </c>
      <c r="Z17" s="12">
        <f ca="1">IFERROR(__xludf.DUMMYFUNCTION("INDEX(IMPORTRANGE(""1y0FWgjbB0gVlqn-q5LMJbGIsqOrzru4yowQz67dz2yc"", ""'SNG'!BH3:BH139""),MATCH($D17,IMPORTRANGE(""1y0FWgjbB0gVlqn-q5LMJbGIsqOrzru4yowQz67dz2yc"", ""'SNG'!D3:D139""),0))"),39)</f>
        <v>39</v>
      </c>
      <c r="AA17" s="12">
        <f ca="1">IFERROR(__xludf.DUMMYFUNCTION("INDEX(IMPORTRANGE(""1y0FWgjbB0gVlqn-q5LMJbGIsqOrzru4yowQz67dz2yc"", ""'SNG'!BI3:BI139""),MATCH($D17,IMPORTRANGE(""1y0FWgjbB0gVlqn-q5LMJbGIsqOrzru4yowQz67dz2yc"", ""'SNG'!D3:D139""),0))"),82)</f>
        <v>82</v>
      </c>
      <c r="AB17" s="1"/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512</v>
      </c>
      <c r="Q18" s="262">
        <f t="shared" si="4"/>
        <v>999</v>
      </c>
      <c r="R18" s="486"/>
      <c r="S18" s="486"/>
      <c r="T18" s="486"/>
      <c r="U18" s="486"/>
      <c r="V18" s="486"/>
      <c r="W18" s="486"/>
      <c r="X18" s="262">
        <f t="shared" ref="X18:AA18" si="5">SUM(X14:X17)</f>
        <v>538</v>
      </c>
      <c r="Y18" s="262">
        <f t="shared" ca="1" si="5"/>
        <v>1070</v>
      </c>
      <c r="Z18" s="262">
        <f t="shared" ca="1" si="5"/>
        <v>390</v>
      </c>
      <c r="AA18" s="262">
        <f t="shared" ca="1" si="5"/>
        <v>831</v>
      </c>
      <c r="AB18" s="295"/>
      <c r="AC18" s="295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107.55150183488745</v>
      </c>
      <c r="Q19" s="23">
        <f t="shared" si="6"/>
        <v>209.85146549424323</v>
      </c>
      <c r="R19" s="2"/>
      <c r="S19" s="2">
        <v>107</v>
      </c>
      <c r="T19" s="2">
        <v>203</v>
      </c>
      <c r="U19" s="2">
        <v>107</v>
      </c>
      <c r="V19" s="2">
        <v>195</v>
      </c>
      <c r="W19" s="2">
        <f>V19</f>
        <v>195</v>
      </c>
      <c r="X19" s="23">
        <f>(SUM(X14:X17)/X2)*100000</f>
        <v>112.30560484291829</v>
      </c>
      <c r="Y19" s="23">
        <f ca="1">IFERROR(__xludf.DUMMYFUNCTION("INDEX(IMPORTRANGE(""1y0FWgjbB0gVlqn-q5LMJbGIsqOrzru4yowQz67dz2yc"", ""'SNG'!BG3:BG139""),MATCH($D19,IMPORTRANGE(""1y0FWgjbB0gVlqn-q5LMJbGIsqOrzru4yowQz67dz2yc"", ""'SNG'!D3:D139""),0))"),223.358730821417)</f>
        <v>223.358730821417</v>
      </c>
      <c r="Z19" s="23">
        <f ca="1">IFERROR(__xludf.DUMMYFUNCTION("INDEX(IMPORTRANGE(""1y0FWgjbB0gVlqn-q5LMJbGIsqOrzru4yowQz67dz2yc"", ""'SNG'!BH3:BH139""),MATCH($D19,IMPORTRANGE(""1y0FWgjbB0gVlqn-q5LMJbGIsqOrzru4yowQz67dz2yc"", ""'SNG'!D3:D139""),0))"),80.7037365830037)</f>
        <v>80.703736583003703</v>
      </c>
      <c r="AA19" s="23">
        <f ca="1">IFERROR(__xludf.DUMMYFUNCTION("INDEX(IMPORTRANGE(""1y0FWgjbB0gVlqn-q5LMJbGIsqOrzru4yowQz67dz2yc"", ""'SNG'!BI3:BI139""),MATCH($D19,IMPORTRANGE(""1y0FWgjbB0gVlqn-q5LMJbGIsqOrzru4yowQz67dz2yc"", ""'SNG'!D3:D139""),0))"),171.961038719169)</f>
        <v>171.96103871916901</v>
      </c>
      <c r="AB19" s="1"/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903</v>
      </c>
      <c r="Q20" s="12">
        <v>2078</v>
      </c>
      <c r="R20" s="13"/>
      <c r="S20" s="13"/>
      <c r="T20" s="13"/>
      <c r="U20" s="13"/>
      <c r="V20" s="13"/>
      <c r="W20" s="13"/>
      <c r="X20" s="12">
        <v>1049</v>
      </c>
      <c r="Y20" s="12">
        <f ca="1">IFERROR(__xludf.DUMMYFUNCTION("INDEX(IMPORTRANGE(""1y0FWgjbB0gVlqn-q5LMJbGIsqOrzru4yowQz67dz2yc"", ""'SNG'!BG3:BG139""),MATCH($D20,IMPORTRANGE(""1y0FWgjbB0gVlqn-q5LMJbGIsqOrzru4yowQz67dz2yc"", ""'SNG'!D3:D139""),0))"),2163)</f>
        <v>2163</v>
      </c>
      <c r="Z20" s="12">
        <f ca="1">IFERROR(__xludf.DUMMYFUNCTION("INDEX(IMPORTRANGE(""1y0FWgjbB0gVlqn-q5LMJbGIsqOrzru4yowQz67dz2yc"", ""'SNG'!BH3:BH139""),MATCH($D20,IMPORTRANGE(""1y0FWgjbB0gVlqn-q5LMJbGIsqOrzru4yowQz67dz2yc"", ""'SNG'!D3:D139""),0))"),907)</f>
        <v>907</v>
      </c>
      <c r="AA20" s="12">
        <f ca="1">IFERROR(__xludf.DUMMYFUNCTION("INDEX(IMPORTRANGE(""1y0FWgjbB0gVlqn-q5LMJbGIsqOrzru4yowQz67dz2yc"", ""'SNG'!BI3:BI139""),MATCH($D20,IMPORTRANGE(""1y0FWgjbB0gVlqn-q5LMJbGIsqOrzru4yowQz67dz2yc"", ""'SNG'!D3:D139""),0))"),1907)</f>
        <v>1907</v>
      </c>
      <c r="AB20" s="1"/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189.68555890020187</v>
      </c>
      <c r="Q21" s="23">
        <f t="shared" si="7"/>
        <v>436.50785315018771</v>
      </c>
      <c r="R21" s="2">
        <v>399.8</v>
      </c>
      <c r="S21" s="2">
        <v>157.80000000000001</v>
      </c>
      <c r="T21" s="2">
        <v>363.2</v>
      </c>
      <c r="U21" s="2">
        <v>141.9</v>
      </c>
      <c r="V21" s="2">
        <v>326.5</v>
      </c>
      <c r="W21" s="2">
        <v>326.5</v>
      </c>
      <c r="X21" s="23">
        <f>(X20/X$2)*100000</f>
        <v>218.97505479595031</v>
      </c>
      <c r="Y21" s="23">
        <f ca="1">IFERROR(__xludf.DUMMYFUNCTION("INDEX(IMPORTRANGE(""1y0FWgjbB0gVlqn-q5LMJbGIsqOrzru4yowQz67dz2yc"", ""'SNG'!BG3:BG139""),MATCH($D21,IMPORTRANGE(""1y0FWgjbB0gVlqn-q5LMJbGIsqOrzru4yowQz67dz2yc"", ""'SNG'!D3:D139""),0))"),451.518630623108)</f>
        <v>451.51863062310798</v>
      </c>
      <c r="Z21" s="23">
        <f ca="1">IFERROR(__xludf.DUMMYFUNCTION("INDEX(IMPORTRANGE(""1y0FWgjbB0gVlqn-q5LMJbGIsqOrzru4yowQz67dz2yc"", ""'SNG'!BH3:BH139""),MATCH($D21,IMPORTRANGE(""1y0FWgjbB0gVlqn-q5LMJbGIsqOrzru4yowQz67dz2yc"", ""'SNG'!D3:D139""),0))"),187.68792071996)</f>
        <v>187.68792071996</v>
      </c>
      <c r="AA21" s="23">
        <f ca="1">IFERROR(__xludf.DUMMYFUNCTION("INDEX(IMPORTRANGE(""1y0FWgjbB0gVlqn-q5LMJbGIsqOrzru4yowQz67dz2yc"", ""'SNG'!BI3:BI139""),MATCH($D21,IMPORTRANGE(""1y0FWgjbB0gVlqn-q5LMJbGIsqOrzru4yowQz67dz2yc"", ""'SNG'!D3:D139""),0))"),394.620578625098)</f>
        <v>394.62057862509801</v>
      </c>
      <c r="AB21" s="1"/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175</v>
      </c>
      <c r="Q22" s="2">
        <v>387</v>
      </c>
      <c r="R22" s="13"/>
      <c r="S22" s="13"/>
      <c r="T22" s="13"/>
      <c r="U22" s="13"/>
      <c r="V22" s="13"/>
      <c r="W22" s="13"/>
      <c r="X22" s="2">
        <v>184</v>
      </c>
      <c r="Y22" s="2">
        <f ca="1">IFERROR(__xludf.DUMMYFUNCTION("INDEX(IMPORTRANGE(""1y0FWgjbB0gVlqn-q5LMJbGIsqOrzru4yowQz67dz2yc"", ""'SNG'!BG3:BG139""),MATCH($D22,IMPORTRANGE(""1y0FWgjbB0gVlqn-q5LMJbGIsqOrzru4yowQz67dz2yc"", ""'SNG'!D3:D139""),0))"),408)</f>
        <v>408</v>
      </c>
      <c r="Z22" s="2">
        <f ca="1">IFERROR(__xludf.DUMMYFUNCTION("INDEX(IMPORTRANGE(""1y0FWgjbB0gVlqn-q5LMJbGIsqOrzru4yowQz67dz2yc"", ""'SNG'!BH3:BH139""),MATCH($D22,IMPORTRANGE(""1y0FWgjbB0gVlqn-q5LMJbGIsqOrzru4yowQz67dz2yc"", ""'SNG'!D3:D139""),0))"),172)</f>
        <v>172</v>
      </c>
      <c r="AA22" s="2">
        <f ca="1">IFERROR(__xludf.DUMMYFUNCTION("INDEX(IMPORTRANGE(""1y0FWgjbB0gVlqn-q5LMJbGIsqOrzru4yowQz67dz2yc"", ""'SNG'!BI3:BI139""),MATCH($D22,IMPORTRANGE(""1y0FWgjbB0gVlqn-q5LMJbGIsqOrzru4yowQz67dz2yc"", ""'SNG'!D3:D139""),0))"),314)</f>
        <v>314</v>
      </c>
      <c r="AB22" s="1"/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36.760767228721292</v>
      </c>
      <c r="Q23" s="23">
        <f t="shared" si="8"/>
        <v>81.293810957229383</v>
      </c>
      <c r="R23" s="2">
        <v>80.900000000000006</v>
      </c>
      <c r="S23" s="2">
        <v>36.4</v>
      </c>
      <c r="T23" s="2">
        <v>80.599999999999994</v>
      </c>
      <c r="U23" s="2">
        <v>36.299999999999997</v>
      </c>
      <c r="V23" s="2">
        <v>80.25</v>
      </c>
      <c r="W23" s="2">
        <v>80.25</v>
      </c>
      <c r="X23" s="23">
        <f>(X22/X$2)*100000</f>
        <v>38.409351842187661</v>
      </c>
      <c r="Y23" s="23">
        <f ca="1">IFERROR(__xludf.DUMMYFUNCTION("INDEX(IMPORTRANGE(""1y0FWgjbB0gVlqn-q5LMJbGIsqOrzru4yowQz67dz2yc"", ""'SNG'!BG3:BG139""),MATCH($D23,IMPORTRANGE(""1y0FWgjbB0gVlqn-q5LMJbGIsqOrzru4yowQz67dz2yc"", ""'SNG'!D3:D139""),0))"),85.168562780503)</f>
        <v>85.168562780502995</v>
      </c>
      <c r="Z23" s="23">
        <f ca="1">IFERROR(__xludf.DUMMYFUNCTION("INDEX(IMPORTRANGE(""1y0FWgjbB0gVlqn-q5LMJbGIsqOrzru4yowQz67dz2yc"", ""'SNG'!BH3:BH139""),MATCH($D23,IMPORTRANGE(""1y0FWgjbB0gVlqn-q5LMJbGIsqOrzru4yowQz67dz2yc"", ""'SNG'!D3:D139""),0))"),35.5924171596837)</f>
        <v>35.592417159683698</v>
      </c>
      <c r="AA23" s="23">
        <f ca="1">IFERROR(__xludf.DUMMYFUNCTION("INDEX(IMPORTRANGE(""1y0FWgjbB0gVlqn-q5LMJbGIsqOrzru4yowQz67dz2yc"", ""'SNG'!BI3:BI139""),MATCH($D23,IMPORTRANGE(""1y0FWgjbB0gVlqn-q5LMJbGIsqOrzru4yowQz67dz2yc"", ""'SNG'!D3:D139""),0))"),64.9768545822133)</f>
        <v>64.976854582213306</v>
      </c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4</v>
      </c>
      <c r="Q24" s="12">
        <v>12</v>
      </c>
      <c r="R24" s="13"/>
      <c r="S24" s="13"/>
      <c r="T24" s="13"/>
      <c r="U24" s="13"/>
      <c r="V24" s="13"/>
      <c r="W24" s="13"/>
      <c r="X24" s="12">
        <v>9</v>
      </c>
      <c r="Y24" s="12">
        <f ca="1">IFERROR(__xludf.DUMMYFUNCTION("INDEX(IMPORTRANGE(""1y0FWgjbB0gVlqn-q5LMJbGIsqOrzru4yowQz67dz2yc"", ""'SNG'!BG3:BG139""),MATCH($D24,IMPORTRANGE(""1y0FWgjbB0gVlqn-q5LMJbGIsqOrzru4yowQz67dz2yc"", ""'SNG'!D3:D139""),0))"),18)</f>
        <v>18</v>
      </c>
      <c r="Z24" s="12">
        <f ca="1">IFERROR(__xludf.DUMMYFUNCTION("INDEX(IMPORTRANGE(""1y0FWgjbB0gVlqn-q5LMJbGIsqOrzru4yowQz67dz2yc"", ""'SNG'!BH3:BH139""),MATCH($D24,IMPORTRANGE(""1y0FWgjbB0gVlqn-q5LMJbGIsqOrzru4yowQz67dz2yc"", ""'SNG'!D3:D139""),0))"),9)</f>
        <v>9</v>
      </c>
      <c r="AA24" s="12">
        <f ca="1">IFERROR(__xludf.DUMMYFUNCTION("INDEX(IMPORTRANGE(""1y0FWgjbB0gVlqn-q5LMJbGIsqOrzru4yowQz67dz2yc"", ""'SNG'!BI3:BI139""),MATCH($D24,IMPORTRANGE(""1y0FWgjbB0gVlqn-q5LMJbGIsqOrzru4yowQz67dz2yc"", ""'SNG'!D3:D139""),0))"),26)</f>
        <v>26</v>
      </c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5</v>
      </c>
      <c r="Q25" s="12">
        <v>8</v>
      </c>
      <c r="R25" s="13"/>
      <c r="S25" s="13"/>
      <c r="T25" s="13"/>
      <c r="U25" s="13"/>
      <c r="V25" s="13"/>
      <c r="W25" s="13"/>
      <c r="X25" s="12">
        <v>6</v>
      </c>
      <c r="Y25" s="12">
        <f ca="1">IFERROR(__xludf.DUMMYFUNCTION("INDEX(IMPORTRANGE(""1y0FWgjbB0gVlqn-q5LMJbGIsqOrzru4yowQz67dz2yc"", ""'SNG'!BG3:BG139""),MATCH($D25,IMPORTRANGE(""1y0FWgjbB0gVlqn-q5LMJbGIsqOrzru4yowQz67dz2yc"", ""'SNG'!D3:D139""),0))"),18)</f>
        <v>18</v>
      </c>
      <c r="Z25" s="12">
        <f ca="1">IFERROR(__xludf.DUMMYFUNCTION("INDEX(IMPORTRANGE(""1y0FWgjbB0gVlqn-q5LMJbGIsqOrzru4yowQz67dz2yc"", ""'SNG'!BH3:BH139""),MATCH($D25,IMPORTRANGE(""1y0FWgjbB0gVlqn-q5LMJbGIsqOrzru4yowQz67dz2yc"", ""'SNG'!D3:D139""),0))"),5)</f>
        <v>5</v>
      </c>
      <c r="AA25" s="12">
        <f ca="1">IFERROR(__xludf.DUMMYFUNCTION("INDEX(IMPORTRANGE(""1y0FWgjbB0gVlqn-q5LMJbGIsqOrzru4yowQz67dz2yc"", ""'SNG'!BI3:BI139""),MATCH($D25,IMPORTRANGE(""1y0FWgjbB0gVlqn-q5LMJbGIsqOrzru4yowQz67dz2yc"", ""'SNG'!D3:D139""),0))"),9)</f>
        <v>9</v>
      </c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3</v>
      </c>
      <c r="Q26" s="12">
        <v>7</v>
      </c>
      <c r="R26" s="13"/>
      <c r="S26" s="13"/>
      <c r="T26" s="13"/>
      <c r="U26" s="13"/>
      <c r="V26" s="13"/>
      <c r="W26" s="13"/>
      <c r="X26" s="12">
        <v>2</v>
      </c>
      <c r="Y26" s="12">
        <f ca="1">IFERROR(__xludf.DUMMYFUNCTION("INDEX(IMPORTRANGE(""1y0FWgjbB0gVlqn-q5LMJbGIsqOrzru4yowQz67dz2yc"", ""'SNG'!BG3:BG139""),MATCH($D26,IMPORTRANGE(""1y0FWgjbB0gVlqn-q5LMJbGIsqOrzru4yowQz67dz2yc"", ""'SNG'!D3:D139""),0))"),3)</f>
        <v>3</v>
      </c>
      <c r="Z26" s="12">
        <f ca="1">IFERROR(__xludf.DUMMYFUNCTION("INDEX(IMPORTRANGE(""1y0FWgjbB0gVlqn-q5LMJbGIsqOrzru4yowQz67dz2yc"", ""'SNG'!BH3:BH139""),MATCH($D26,IMPORTRANGE(""1y0FWgjbB0gVlqn-q5LMJbGIsqOrzru4yowQz67dz2yc"", ""'SNG'!D3:D139""),0))"),1)</f>
        <v>1</v>
      </c>
      <c r="AA26" s="12">
        <f ca="1">IFERROR(__xludf.DUMMYFUNCTION("INDEX(IMPORTRANGE(""1y0FWgjbB0gVlqn-q5LMJbGIsqOrzru4yowQz67dz2yc"", ""'SNG'!BI3:BI139""),MATCH($D26,IMPORTRANGE(""1y0FWgjbB0gVlqn-q5LMJbGIsqOrzru4yowQz67dz2yc"", ""'SNG'!D3:D139""),0))"),4)</f>
        <v>4</v>
      </c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0</v>
      </c>
      <c r="R27" s="13"/>
      <c r="S27" s="13"/>
      <c r="T27" s="13"/>
      <c r="U27" s="13"/>
      <c r="V27" s="13"/>
      <c r="W27" s="13"/>
      <c r="X27" s="12">
        <v>0</v>
      </c>
      <c r="Y27" s="12">
        <f ca="1">IFERROR(__xludf.DUMMYFUNCTION("INDEX(IMPORTRANGE(""1y0FWgjbB0gVlqn-q5LMJbGIsqOrzru4yowQz67dz2yc"", ""'SNG'!BG3:BG139""),MATCH($D27,IMPORTRANGE(""1y0FWgjbB0gVlqn-q5LMJbGIsqOrzru4yowQz67dz2yc"", ""'SNG'!D3:D139""),0))"),0)</f>
        <v>0</v>
      </c>
      <c r="Z27" s="12">
        <f ca="1">IFERROR(__xludf.DUMMYFUNCTION("INDEX(IMPORTRANGE(""1y0FWgjbB0gVlqn-q5LMJbGIsqOrzru4yowQz67dz2yc"", ""'SNG'!BH3:BH139""),MATCH($D27,IMPORTRANGE(""1y0FWgjbB0gVlqn-q5LMJbGIsqOrzru4yowQz67dz2yc"", ""'SNG'!D3:D139""),0))"),0)</f>
        <v>0</v>
      </c>
      <c r="AA27" s="12">
        <f ca="1">IFERROR(__xludf.DUMMYFUNCTION("INDEX(IMPORTRANGE(""1y0FWgjbB0gVlqn-q5LMJbGIsqOrzru4yowQz67dz2yc"", ""'SNG'!BI3:BI139""),MATCH($D27,IMPORTRANGE(""1y0FWgjbB0gVlqn-q5LMJbGIsqOrzru4yowQz67dz2yc"", ""'SNG'!D3:D139""),0))"),0)</f>
        <v>0</v>
      </c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5</v>
      </c>
      <c r="Q28" s="12">
        <v>6</v>
      </c>
      <c r="R28" s="13"/>
      <c r="S28" s="13"/>
      <c r="T28" s="13"/>
      <c r="U28" s="13"/>
      <c r="V28" s="13"/>
      <c r="W28" s="13"/>
      <c r="X28" s="12">
        <v>4</v>
      </c>
      <c r="Y28" s="12">
        <f ca="1">IFERROR(__xludf.DUMMYFUNCTION("INDEX(IMPORTRANGE(""1y0FWgjbB0gVlqn-q5LMJbGIsqOrzru4yowQz67dz2yc"", ""'SNG'!BG3:BG139""),MATCH($D28,IMPORTRANGE(""1y0FWgjbB0gVlqn-q5LMJbGIsqOrzru4yowQz67dz2yc"", ""'SNG'!D3:D139""),0))"),6)</f>
        <v>6</v>
      </c>
      <c r="Z28" s="12">
        <f ca="1">IFERROR(__xludf.DUMMYFUNCTION("INDEX(IMPORTRANGE(""1y0FWgjbB0gVlqn-q5LMJbGIsqOrzru4yowQz67dz2yc"", ""'SNG'!BH3:BH139""),MATCH($D28,IMPORTRANGE(""1y0FWgjbB0gVlqn-q5LMJbGIsqOrzru4yowQz67dz2yc"", ""'SNG'!D3:D139""),0))"),1)</f>
        <v>1</v>
      </c>
      <c r="AA28" s="12">
        <f ca="1">IFERROR(__xludf.DUMMYFUNCTION("INDEX(IMPORTRANGE(""1y0FWgjbB0gVlqn-q5LMJbGIsqOrzru4yowQz67dz2yc"", ""'SNG'!BI3:BI139""),MATCH($D28,IMPORTRANGE(""1y0FWgjbB0gVlqn-q5LMJbGIsqOrzru4yowQz67dz2yc"", ""'SNG'!D3:D139""),0))"),2)</f>
        <v>2</v>
      </c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13"/>
      <c r="X29" s="12">
        <v>0</v>
      </c>
      <c r="Y29" s="12">
        <f ca="1">IFERROR(__xludf.DUMMYFUNCTION("INDEX(IMPORTRANGE(""1y0FWgjbB0gVlqn-q5LMJbGIsqOrzru4yowQz67dz2yc"", ""'SNG'!BG3:BG139""),MATCH($D29,IMPORTRANGE(""1y0FWgjbB0gVlqn-q5LMJbGIsqOrzru4yowQz67dz2yc"", ""'SNG'!D3:D139""),0))"),0)</f>
        <v>0</v>
      </c>
      <c r="Z29" s="12">
        <f ca="1">IFERROR(__xludf.DUMMYFUNCTION("INDEX(IMPORTRANGE(""1y0FWgjbB0gVlqn-q5LMJbGIsqOrzru4yowQz67dz2yc"", ""'SNG'!BH3:BH139""),MATCH($D29,IMPORTRANGE(""1y0FWgjbB0gVlqn-q5LMJbGIsqOrzru4yowQz67dz2yc"", ""'SNG'!D3:D139""),0))"),0)</f>
        <v>0</v>
      </c>
      <c r="AA29" s="12">
        <f ca="1">IFERROR(__xludf.DUMMYFUNCTION("INDEX(IMPORTRANGE(""1y0FWgjbB0gVlqn-q5LMJbGIsqOrzru4yowQz67dz2yc"", ""'SNG'!BI3:BI139""),MATCH($D29,IMPORTRANGE(""1y0FWgjbB0gVlqn-q5LMJbGIsqOrzru4yowQz67dz2yc"", ""'SNG'!D3:D139""),0))"),0)</f>
        <v>0</v>
      </c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12">
        <v>5</v>
      </c>
      <c r="R30" s="13"/>
      <c r="S30" s="13"/>
      <c r="T30" s="13"/>
      <c r="U30" s="13"/>
      <c r="V30" s="13"/>
      <c r="W30" s="13"/>
      <c r="X30" s="12">
        <v>2</v>
      </c>
      <c r="Y30" s="12">
        <f ca="1">IFERROR(__xludf.DUMMYFUNCTION("INDEX(IMPORTRANGE(""1y0FWgjbB0gVlqn-q5LMJbGIsqOrzru4yowQz67dz2yc"", ""'SNG'!BG3:BG139""),MATCH($D30,IMPORTRANGE(""1y0FWgjbB0gVlqn-q5LMJbGIsqOrzru4yowQz67dz2yc"", ""'SNG'!D3:D139""),0))"),4)</f>
        <v>4</v>
      </c>
      <c r="Z30" s="12">
        <f ca="1">IFERROR(__xludf.DUMMYFUNCTION("INDEX(IMPORTRANGE(""1y0FWgjbB0gVlqn-q5LMJbGIsqOrzru4yowQz67dz2yc"", ""'SNG'!BH3:BH139""),MATCH($D30,IMPORTRANGE(""1y0FWgjbB0gVlqn-q5LMJbGIsqOrzru4yowQz67dz2yc"", ""'SNG'!D3:D139""),0))"),2)</f>
        <v>2</v>
      </c>
      <c r="AA30" s="12">
        <f ca="1">IFERROR(__xludf.DUMMYFUNCTION("INDEX(IMPORTRANGE(""1y0FWgjbB0gVlqn-q5LMJbGIsqOrzru4yowQz67dz2yc"", ""'SNG'!BI3:BI139""),MATCH($D30,IMPORTRANGE(""1y0FWgjbB0gVlqn-q5LMJbGIsqOrzru4yowQz67dz2yc"", ""'SNG'!D3:D139""),0))"),8)</f>
        <v>8</v>
      </c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1</v>
      </c>
      <c r="Q31" s="12">
        <v>2</v>
      </c>
      <c r="R31" s="13"/>
      <c r="S31" s="13"/>
      <c r="T31" s="13"/>
      <c r="U31" s="13"/>
      <c r="V31" s="13"/>
      <c r="W31" s="13"/>
      <c r="X31" s="12">
        <v>2</v>
      </c>
      <c r="Y31" s="12">
        <f ca="1">IFERROR(__xludf.DUMMYFUNCTION("INDEX(IMPORTRANGE(""1y0FWgjbB0gVlqn-q5LMJbGIsqOrzru4yowQz67dz2yc"", ""'SNG'!BG3:BG139""),MATCH($D31,IMPORTRANGE(""1y0FWgjbB0gVlqn-q5LMJbGIsqOrzru4yowQz67dz2yc"", ""'SNG'!D3:D139""),0))"),2)</f>
        <v>2</v>
      </c>
      <c r="Z31" s="12">
        <f ca="1">IFERROR(__xludf.DUMMYFUNCTION("INDEX(IMPORTRANGE(""1y0FWgjbB0gVlqn-q5LMJbGIsqOrzru4yowQz67dz2yc"", ""'SNG'!BH3:BH139""),MATCH($D31,IMPORTRANGE(""1y0FWgjbB0gVlqn-q5LMJbGIsqOrzru4yowQz67dz2yc"", ""'SNG'!D3:D139""),0))"),0)</f>
        <v>0</v>
      </c>
      <c r="AA31" s="12">
        <f ca="1">IFERROR(__xludf.DUMMYFUNCTION("INDEX(IMPORTRANGE(""1y0FWgjbB0gVlqn-q5LMJbGIsqOrzru4yowQz67dz2yc"", ""'SNG'!BI3:BI139""),MATCH($D31,IMPORTRANGE(""1y0FWgjbB0gVlqn-q5LMJbGIsqOrzru4yowQz67dz2yc"", ""'SNG'!D3:D139""),0))"),0)</f>
        <v>0</v>
      </c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0</v>
      </c>
      <c r="Y32" s="12">
        <f ca="1">IFERROR(__xludf.DUMMYFUNCTION("INDEX(IMPORTRANGE(""1y0FWgjbB0gVlqn-q5LMJbGIsqOrzru4yowQz67dz2yc"", ""'SNG'!BG3:BG139""),MATCH($D32,IMPORTRANGE(""1y0FWgjbB0gVlqn-q5LMJbGIsqOrzru4yowQz67dz2yc"", ""'SNG'!D3:D139""),0))"),0)</f>
        <v>0</v>
      </c>
      <c r="Z32" s="12">
        <f ca="1">IFERROR(__xludf.DUMMYFUNCTION("INDEX(IMPORTRANGE(""1y0FWgjbB0gVlqn-q5LMJbGIsqOrzru4yowQz67dz2yc"", ""'SNG'!BH3:BH139""),MATCH($D32,IMPORTRANGE(""1y0FWgjbB0gVlqn-q5LMJbGIsqOrzru4yowQz67dz2yc"", ""'SNG'!D3:D139""),0))"),0)</f>
        <v>0</v>
      </c>
      <c r="AA32" s="12">
        <f ca="1">IFERROR(__xludf.DUMMYFUNCTION("INDEX(IMPORTRANGE(""1y0FWgjbB0gVlqn-q5LMJbGIsqOrzru4yowQz67dz2yc"", ""'SNG'!BI3:BI139""),MATCH($D32,IMPORTRANGE(""1y0FWgjbB0gVlqn-q5LMJbGIsqOrzru4yowQz67dz2yc"", ""'SNG'!D3:D139""),0))"),0)</f>
        <v>0</v>
      </c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1</v>
      </c>
      <c r="R33" s="13"/>
      <c r="S33" s="13"/>
      <c r="T33" s="13"/>
      <c r="U33" s="13"/>
      <c r="V33" s="13"/>
      <c r="W33" s="13"/>
      <c r="X33" s="12">
        <v>0</v>
      </c>
      <c r="Y33" s="12">
        <f ca="1">IFERROR(__xludf.DUMMYFUNCTION("INDEX(IMPORTRANGE(""1y0FWgjbB0gVlqn-q5LMJbGIsqOrzru4yowQz67dz2yc"", ""'SNG'!BG3:BG139""),MATCH($D33,IMPORTRANGE(""1y0FWgjbB0gVlqn-q5LMJbGIsqOrzru4yowQz67dz2yc"", ""'SNG'!D3:D139""),0))"),0)</f>
        <v>0</v>
      </c>
      <c r="Z33" s="12">
        <f ca="1">IFERROR(__xludf.DUMMYFUNCTION("INDEX(IMPORTRANGE(""1y0FWgjbB0gVlqn-q5LMJbGIsqOrzru4yowQz67dz2yc"", ""'SNG'!BH3:BH139""),MATCH($D33,IMPORTRANGE(""1y0FWgjbB0gVlqn-q5LMJbGIsqOrzru4yowQz67dz2yc"", ""'SNG'!D3:D139""),0))"),0)</f>
        <v>0</v>
      </c>
      <c r="AA33" s="12">
        <f ca="1">IFERROR(__xludf.DUMMYFUNCTION("INDEX(IMPORTRANGE(""1y0FWgjbB0gVlqn-q5LMJbGIsqOrzru4yowQz67dz2yc"", ""'SNG'!BI3:BI139""),MATCH($D33,IMPORTRANGE(""1y0FWgjbB0gVlqn-q5LMJbGIsqOrzru4yowQz67dz2yc"", ""'SNG'!D3:D139""),0))"),1)</f>
        <v>1</v>
      </c>
      <c r="AB33" s="1"/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13"/>
      <c r="S34" s="13"/>
      <c r="T34" s="13"/>
      <c r="U34" s="13"/>
      <c r="V34" s="13"/>
      <c r="W34" s="13"/>
      <c r="X34" s="12">
        <v>0</v>
      </c>
      <c r="Y34" s="12">
        <f ca="1">IFERROR(__xludf.DUMMYFUNCTION("INDEX(IMPORTRANGE(""1y0FWgjbB0gVlqn-q5LMJbGIsqOrzru4yowQz67dz2yc"", ""'SNG'!BG3:BG139""),MATCH($D34,IMPORTRANGE(""1y0FWgjbB0gVlqn-q5LMJbGIsqOrzru4yowQz67dz2yc"", ""'SNG'!D3:D139""),0))"),3)</f>
        <v>3</v>
      </c>
      <c r="Z34" s="12">
        <f ca="1">IFERROR(__xludf.DUMMYFUNCTION("INDEX(IMPORTRANGE(""1y0FWgjbB0gVlqn-q5LMJbGIsqOrzru4yowQz67dz2yc"", ""'SNG'!BH3:BH139""),MATCH($D34,IMPORTRANGE(""1y0FWgjbB0gVlqn-q5LMJbGIsqOrzru4yowQz67dz2yc"", ""'SNG'!D3:D139""),0))"),1)</f>
        <v>1</v>
      </c>
      <c r="AA34" s="12">
        <f ca="1">IFERROR(__xludf.DUMMYFUNCTION("INDEX(IMPORTRANGE(""1y0FWgjbB0gVlqn-q5LMJbGIsqOrzru4yowQz67dz2yc"", ""'SNG'!BI3:BI139""),MATCH($D34,IMPORTRANGE(""1y0FWgjbB0gVlqn-q5LMJbGIsqOrzru4yowQz67dz2yc"", ""'SNG'!D3:D139""),0))"),1)</f>
        <v>1</v>
      </c>
      <c r="AB34" s="1"/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21</v>
      </c>
      <c r="Q35" s="262">
        <f t="shared" si="9"/>
        <v>41</v>
      </c>
      <c r="R35" s="486"/>
      <c r="S35" s="486"/>
      <c r="T35" s="486"/>
      <c r="U35" s="486"/>
      <c r="V35" s="486"/>
      <c r="W35" s="486"/>
      <c r="X35" s="262">
        <f t="shared" ref="X35:AA35" si="10">SUM(X24:X34)</f>
        <v>25</v>
      </c>
      <c r="Y35" s="262">
        <f t="shared" ca="1" si="10"/>
        <v>54</v>
      </c>
      <c r="Z35" s="262">
        <f t="shared" ca="1" si="10"/>
        <v>19</v>
      </c>
      <c r="AA35" s="262">
        <f t="shared" ca="1" si="10"/>
        <v>51</v>
      </c>
      <c r="AB35" s="296"/>
      <c r="AC35" s="29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4.4112920674465554</v>
      </c>
      <c r="Q36" s="23">
        <f t="shared" si="11"/>
        <v>8.6125226078718455</v>
      </c>
      <c r="R36" s="2">
        <v>6.8</v>
      </c>
      <c r="S36" s="2">
        <v>2.6</v>
      </c>
      <c r="T36" s="2">
        <v>5</v>
      </c>
      <c r="U36" s="2">
        <v>1.7</v>
      </c>
      <c r="V36" s="2">
        <v>3.25</v>
      </c>
      <c r="W36" s="2">
        <v>3.25</v>
      </c>
      <c r="X36" s="23">
        <f>(SUM(X24:X34)/X$2)*100000</f>
        <v>5.2186619350798455</v>
      </c>
      <c r="Y36" s="23">
        <f ca="1">IFERROR(__xludf.DUMMYFUNCTION("INDEX(IMPORTRANGE(""1y0FWgjbB0gVlqn-q5LMJbGIsqOrzru4yowQz67dz2yc"", ""'SNG'!BG3:BG139""),MATCH($D36,IMPORTRANGE(""1y0FWgjbB0gVlqn-q5LMJbGIsqOrzru4yowQz67dz2yc"", ""'SNG'!D3:D139""),0))"),11.2723097797724)</f>
        <v>11.272309779772399</v>
      </c>
      <c r="Z36" s="23">
        <f ca="1">IFERROR(__xludf.DUMMYFUNCTION("INDEX(IMPORTRANGE(""1y0FWgjbB0gVlqn-q5LMJbGIsqOrzru4yowQz67dz2yc"", ""'SNG'!BH3:BH139""),MATCH($D36,IMPORTRANGE(""1y0FWgjbB0gVlqn-q5LMJbGIsqOrzru4yowQz67dz2yc"", ""'SNG'!D3:D139""),0))"),3.93172050019762)</f>
        <v>3.9317205001976201</v>
      </c>
      <c r="AA36" s="23">
        <f ca="1">IFERROR(__xludf.DUMMYFUNCTION("INDEX(IMPORTRANGE(""1y0FWgjbB0gVlqn-q5LMJbGIsqOrzru4yowQz67dz2yc"", ""'SNG'!BI3:BI139""),MATCH($D36,IMPORTRANGE(""1y0FWgjbB0gVlqn-q5LMJbGIsqOrzru4yowQz67dz2yc"", ""'SNG'!D3:D139""),0))"),10.553565553162)</f>
        <v>10.553565553162001</v>
      </c>
      <c r="AB36" s="1"/>
      <c r="AC36" s="1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30">
        <v>126480</v>
      </c>
      <c r="Q37" s="12">
        <v>126480</v>
      </c>
      <c r="R37" s="13"/>
      <c r="S37" s="13"/>
      <c r="T37" s="13"/>
      <c r="U37" s="13"/>
      <c r="V37" s="13"/>
      <c r="W37" s="13"/>
      <c r="X37" s="12">
        <v>126480</v>
      </c>
      <c r="Y37" s="12">
        <f ca="1">IFERROR(__xludf.DUMMYFUNCTION("INDEX(IMPORTRANGE(""1y0FWgjbB0gVlqn-q5LMJbGIsqOrzru4yowQz67dz2yc"", ""'SNG'!BG3:BG139""),MATCH($D37,IMPORTRANGE(""1y0FWgjbB0gVlqn-q5LMJbGIsqOrzru4yowQz67dz2yc"", ""'SNG'!D3:D139""),0))"),125979)</f>
        <v>125979</v>
      </c>
      <c r="Z37" s="12">
        <f ca="1">IFERROR(__xludf.DUMMYFUNCTION("INDEX(IMPORTRANGE(""1y0FWgjbB0gVlqn-q5LMJbGIsqOrzru4yowQz67dz2yc"", ""'SNG'!BH3:BH139""),MATCH($D37,IMPORTRANGE(""1y0FWgjbB0gVlqn-q5LMJbGIsqOrzru4yowQz67dz2yc"", ""'SNG'!D3:D139""),0))"),127275)</f>
        <v>127275</v>
      </c>
      <c r="AA37" s="12">
        <f ca="1">IFERROR(__xludf.DUMMYFUNCTION("INDEX(IMPORTRANGE(""1y0FWgjbB0gVlqn-q5LMJbGIsqOrzru4yowQz67dz2yc"", ""'SNG'!BI3:BI139""),MATCH($D37,IMPORTRANGE(""1y0FWgjbB0gVlqn-q5LMJbGIsqOrzru4yowQz67dz2yc"", ""'SNG'!D3:D139""),0))"),127275)</f>
        <v>127275</v>
      </c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23">
        <v>0</v>
      </c>
      <c r="Q38" s="23">
        <v>0</v>
      </c>
      <c r="R38" s="1"/>
      <c r="S38" s="1"/>
      <c r="T38" s="1"/>
      <c r="U38" s="1"/>
      <c r="V38" s="1"/>
      <c r="W38" s="1"/>
      <c r="X38" s="23">
        <v>0</v>
      </c>
      <c r="Y38" s="23">
        <f ca="1">IFERROR(__xludf.DUMMYFUNCTION("INDEX(IMPORTRANGE(""1y0FWgjbB0gVlqn-q5LMJbGIsqOrzru4yowQz67dz2yc"", ""'SNG'!BG3:BG139""),MATCH($D38,IMPORTRANGE(""1y0FWgjbB0gVlqn-q5LMJbGIsqOrzru4yowQz67dz2yc"", ""'SNG'!D3:D139""),0))"),0)</f>
        <v>0</v>
      </c>
      <c r="Z38" s="23">
        <f ca="1">IFERROR(__xludf.DUMMYFUNCTION("INDEX(IMPORTRANGE(""1y0FWgjbB0gVlqn-q5LMJbGIsqOrzru4yowQz67dz2yc"", ""'SNG'!BH3:BH139""),MATCH($D38,IMPORTRANGE(""1y0FWgjbB0gVlqn-q5LMJbGIsqOrzru4yowQz67dz2yc"", ""'SNG'!D3:D139""),0))"),0)</f>
        <v>0</v>
      </c>
      <c r="AA38" s="23">
        <f ca="1">IFERROR(__xludf.DUMMYFUNCTION("INDEX(IMPORTRANGE(""1y0FWgjbB0gVlqn-q5LMJbGIsqOrzru4yowQz67dz2yc"", ""'SNG'!BI3:BI139""),MATCH($D38,IMPORTRANGE(""1y0FWgjbB0gVlqn-q5LMJbGIsqOrzru4yowQz67dz2yc"", ""'SNG'!D3:D139""),0))"),0)</f>
        <v>0</v>
      </c>
      <c r="AB38" s="1"/>
      <c r="AC38" s="1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5">
        <f t="shared" ref="P39:Q39" si="12">P38/P37</f>
        <v>0</v>
      </c>
      <c r="Q39" s="15">
        <f t="shared" si="12"/>
        <v>0</v>
      </c>
      <c r="R39" s="2" t="s">
        <v>419</v>
      </c>
      <c r="S39" s="2" t="s">
        <v>419</v>
      </c>
      <c r="T39" s="2" t="s">
        <v>419</v>
      </c>
      <c r="U39" s="2" t="s">
        <v>419</v>
      </c>
      <c r="V39" s="2" t="s">
        <v>419</v>
      </c>
      <c r="W39" s="2" t="s">
        <v>419</v>
      </c>
      <c r="X39" s="15">
        <f>X38/X37</f>
        <v>0</v>
      </c>
      <c r="Y39" s="15">
        <f ca="1">IFERROR(__xludf.DUMMYFUNCTION("INDEX(IMPORTRANGE(""1y0FWgjbB0gVlqn-q5LMJbGIsqOrzru4yowQz67dz2yc"", ""'SNG'!BG3:BG139""),MATCH($D39,IMPORTRANGE(""1y0FWgjbB0gVlqn-q5LMJbGIsqOrzru4yowQz67dz2yc"", ""'SNG'!D3:D139""),0))"),0)</f>
        <v>0</v>
      </c>
      <c r="Z39" s="15">
        <f ca="1">IFERROR(__xludf.DUMMYFUNCTION("INDEX(IMPORTRANGE(""1y0FWgjbB0gVlqn-q5LMJbGIsqOrzru4yowQz67dz2yc"", ""'SNG'!BH3:BH139""),MATCH($D39,IMPORTRANGE(""1y0FWgjbB0gVlqn-q5LMJbGIsqOrzru4yowQz67dz2yc"", ""'SNG'!D3:D139""),0))"),0)</f>
        <v>0</v>
      </c>
      <c r="AA39" s="15">
        <f ca="1">IFERROR(__xludf.DUMMYFUNCTION("INDEX(IMPORTRANGE(""1y0FWgjbB0gVlqn-q5LMJbGIsqOrzru4yowQz67dz2yc"", ""'SNG'!BI3:BI139""),MATCH($D39,IMPORTRANGE(""1y0FWgjbB0gVlqn-q5LMJbGIsqOrzru4yowQz67dz2yc"", ""'SNG'!D3:D139""),0))"),0)</f>
        <v>0</v>
      </c>
      <c r="AB39" s="1"/>
      <c r="AC39" s="1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1"/>
      <c r="S40" s="1"/>
      <c r="T40" s="1"/>
      <c r="U40" s="1"/>
      <c r="V40" s="1"/>
      <c r="W40" s="1"/>
      <c r="X40" s="12"/>
      <c r="Y40" s="299" t="str">
        <f ca="1">IFERROR(__xludf.DUMMYFUNCTION("INDEX(IMPORTRANGE(""1y0FWgjbB0gVlqn-q5LMJbGIsqOrzru4yowQz67dz2yc"", ""'SNG'!BG3:BG139""),MATCH($D40,IMPORTRANGE(""1y0FWgjbB0gVlqn-q5LMJbGIsqOrzru4yowQz67dz2yc"", ""'SNG'!D3:D139""),0))"),"")</f>
        <v/>
      </c>
      <c r="Z40" s="12">
        <f ca="1">IFERROR(__xludf.DUMMYFUNCTION("INDEX(IMPORTRANGE(""1y0FWgjbB0gVlqn-q5LMJbGIsqOrzru4yowQz67dz2yc"", ""'SNG'!BH3:BH139""),MATCH($D40,IMPORTRANGE(""1y0FWgjbB0gVlqn-q5LMJbGIsqOrzru4yowQz67dz2yc"", ""'SNG'!D3:D139""),0))"),34.32)</f>
        <v>34.32</v>
      </c>
      <c r="AA40" s="12">
        <f ca="1">IFERROR(__xludf.DUMMYFUNCTION("INDEX(IMPORTRANGE(""1y0FWgjbB0gVlqn-q5LMJbGIsqOrzru4yowQz67dz2yc"", ""'SNG'!BI3:BI139""),MATCH($D40,IMPORTRANGE(""1y0FWgjbB0gVlqn-q5LMJbGIsqOrzru4yowQz67dz2yc"", ""'SNG'!D3:D139""),0))"),129.0477)</f>
        <v>129.04769999999999</v>
      </c>
      <c r="AB40" s="1"/>
      <c r="AC40" s="1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1"/>
      <c r="S41" s="1"/>
      <c r="T41" s="1"/>
      <c r="U41" s="1"/>
      <c r="V41" s="1"/>
      <c r="W41" s="1"/>
      <c r="X41" s="12"/>
      <c r="Y41" s="299" t="str">
        <f ca="1">IFERROR(__xludf.DUMMYFUNCTION("INDEX(IMPORTRANGE(""1y0FWgjbB0gVlqn-q5LMJbGIsqOrzru4yowQz67dz2yc"", ""'SNG'!BG3:BG139""),MATCH($D41,IMPORTRANGE(""1y0FWgjbB0gVlqn-q5LMJbGIsqOrzru4yowQz67dz2yc"", ""'SNG'!D3:D139""),0))"),"")</f>
        <v/>
      </c>
      <c r="Z41" s="12">
        <f ca="1">IFERROR(__xludf.DUMMYFUNCTION("INDEX(IMPORTRANGE(""1y0FWgjbB0gVlqn-q5LMJbGIsqOrzru4yowQz67dz2yc"", ""'SNG'!BH3:BH139""),MATCH($D41,IMPORTRANGE(""1y0FWgjbB0gVlqn-q5LMJbGIsqOrzru4yowQz67dz2yc"", ""'SNG'!D3:D139""),0))"),62884.5)</f>
        <v>62884.5</v>
      </c>
      <c r="AA41" s="12">
        <f ca="1">IFERROR(__xludf.DUMMYFUNCTION("INDEX(IMPORTRANGE(""1y0FWgjbB0gVlqn-q5LMJbGIsqOrzru4yowQz67dz2yc"", ""'SNG'!BI3:BI139""),MATCH($D41,IMPORTRANGE(""1y0FWgjbB0gVlqn-q5LMJbGIsqOrzru4yowQz67dz2yc"", ""'SNG'!D3:D139""),0))"),126849.302)</f>
        <v>126849.302</v>
      </c>
      <c r="AB41" s="1"/>
      <c r="AC41" s="1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5.0000000000000001E-4</v>
      </c>
      <c r="T42" s="26">
        <v>5.0000000000000001E-4</v>
      </c>
      <c r="U42" s="26">
        <v>1.5E-3</v>
      </c>
      <c r="V42" s="26">
        <v>1.5E-3</v>
      </c>
      <c r="W42" s="26">
        <f>V42</f>
        <v>1.5E-3</v>
      </c>
      <c r="X42" s="12"/>
      <c r="Y42" s="299" t="str">
        <f ca="1">IFERROR(__xludf.DUMMYFUNCTION("INDEX(IMPORTRANGE(""1y0FWgjbB0gVlqn-q5LMJbGIsqOrzru4yowQz67dz2yc"", ""'SNG'!BG3:BG139""),MATCH($D42,IMPORTRANGE(""1y0FWgjbB0gVlqn-q5LMJbGIsqOrzru4yowQz67dz2yc"", ""'SNG'!D3:D139""),0))"),"")</f>
        <v/>
      </c>
      <c r="Z42" s="12">
        <f ca="1">IFERROR(__xludf.DUMMYFUNCTION("INDEX(IMPORTRANGE(""1y0FWgjbB0gVlqn-q5LMJbGIsqOrzru4yowQz67dz2yc"", ""'SNG'!BH3:BH139""),MATCH($D42,IMPORTRANGE(""1y0FWgjbB0gVlqn-q5LMJbGIsqOrzru4yowQz67dz2yc"", ""'SNG'!D3:D139""),0))"),0.000545762469288934)</f>
        <v>5.4576246928893398E-4</v>
      </c>
      <c r="AA42" s="12">
        <f ca="1">IFERROR(__xludf.DUMMYFUNCTION("INDEX(IMPORTRANGE(""1y0FWgjbB0gVlqn-q5LMJbGIsqOrzru4yowQz67dz2yc"", ""'SNG'!BI3:BI139""),MATCH($D42,IMPORTRANGE(""1y0FWgjbB0gVlqn-q5LMJbGIsqOrzru4yowQz67dz2yc"", ""'SNG'!D3:D139""),0))"),0.00101733078515481)</f>
        <v>1.01733078515481E-3</v>
      </c>
      <c r="AB42" s="1"/>
      <c r="AC42" s="1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1</v>
      </c>
      <c r="S43" s="2">
        <v>1</v>
      </c>
      <c r="T43" s="2">
        <v>2</v>
      </c>
      <c r="U43" s="2">
        <v>2</v>
      </c>
      <c r="V43" s="2">
        <v>3</v>
      </c>
      <c r="W43" s="2">
        <v>3</v>
      </c>
      <c r="X43" s="12">
        <v>1</v>
      </c>
      <c r="Y43" s="12">
        <f ca="1">IFERROR(__xludf.DUMMYFUNCTION("INDEX(IMPORTRANGE(""1y0FWgjbB0gVlqn-q5LMJbGIsqOrzru4yowQz67dz2yc"", ""'SNG'!BG3:BG139""),MATCH($D43,IMPORTRANGE(""1y0FWgjbB0gVlqn-q5LMJbGIsqOrzru4yowQz67dz2yc"", ""'SNG'!D3:D139""),0))"),2)</f>
        <v>2</v>
      </c>
      <c r="Z43" s="12">
        <f ca="1">IFERROR(__xludf.DUMMYFUNCTION("INDEX(IMPORTRANGE(""1y0FWgjbB0gVlqn-q5LMJbGIsqOrzru4yowQz67dz2yc"", ""'SNG'!BH3:BH139""),MATCH($D43,IMPORTRANGE(""1y0FWgjbB0gVlqn-q5LMJbGIsqOrzru4yowQz67dz2yc"", ""'SNG'!D3:D139""),0))"),3)</f>
        <v>3</v>
      </c>
      <c r="AA43" s="12">
        <f ca="1">IFERROR(__xludf.DUMMYFUNCTION("INDEX(IMPORTRANGE(""1y0FWgjbB0gVlqn-q5LMJbGIsqOrzru4yowQz67dz2yc"", ""'SNG'!BI3:BI139""),MATCH($D43,IMPORTRANGE(""1y0FWgjbB0gVlqn-q5LMJbGIsqOrzru4yowQz67dz2yc"", ""'SNG'!D3:D139""),0))"),3)</f>
        <v>3</v>
      </c>
      <c r="AB43" s="1"/>
      <c r="AC43" s="1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744</v>
      </c>
      <c r="Q44" s="12">
        <v>792</v>
      </c>
      <c r="R44" s="2">
        <v>350</v>
      </c>
      <c r="S44" s="2">
        <f t="shared" ref="S44:V44" si="13">175+R44</f>
        <v>525</v>
      </c>
      <c r="T44" s="2">
        <f t="shared" si="13"/>
        <v>700</v>
      </c>
      <c r="U44" s="2">
        <f t="shared" si="13"/>
        <v>875</v>
      </c>
      <c r="V44" s="2">
        <f t="shared" si="13"/>
        <v>1050</v>
      </c>
      <c r="W44" s="2">
        <f>V44</f>
        <v>1050</v>
      </c>
      <c r="X44" s="12">
        <v>9</v>
      </c>
      <c r="Y44" s="12">
        <f ca="1">IFERROR(__xludf.DUMMYFUNCTION("INDEX(IMPORTRANGE(""1y0FWgjbB0gVlqn-q5LMJbGIsqOrzru4yowQz67dz2yc"", ""'SNG'!BG3:BG139""),MATCH($D44,IMPORTRANGE(""1y0FWgjbB0gVlqn-q5LMJbGIsqOrzru4yowQz67dz2yc"", ""'SNG'!D3:D139""),0))"),175)</f>
        <v>175</v>
      </c>
      <c r="Z44" s="12">
        <f ca="1">IFERROR(__xludf.DUMMYFUNCTION("INDEX(IMPORTRANGE(""1y0FWgjbB0gVlqn-q5LMJbGIsqOrzru4yowQz67dz2yc"", ""'SNG'!BH3:BH139""),MATCH($D44,IMPORTRANGE(""1y0FWgjbB0gVlqn-q5LMJbGIsqOrzru4yowQz67dz2yc"", ""'SNG'!D3:D139""),0))"),1557)</f>
        <v>1557</v>
      </c>
      <c r="AA44" s="12">
        <f ca="1">IFERROR(__xludf.DUMMYFUNCTION("INDEX(IMPORTRANGE(""1y0FWgjbB0gVlqn-q5LMJbGIsqOrzru4yowQz67dz2yc"", ""'SNG'!BI3:BI139""),MATCH($D44,IMPORTRANGE(""1y0FWgjbB0gVlqn-q5LMJbGIsqOrzru4yowQz67dz2yc"", ""'SNG'!D3:D139""),0))"),1732)</f>
        <v>1732</v>
      </c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0</v>
      </c>
      <c r="R45" s="13"/>
      <c r="S45" s="13"/>
      <c r="T45" s="13"/>
      <c r="U45" s="13"/>
      <c r="V45" s="13"/>
      <c r="W45" s="13"/>
      <c r="X45" s="12">
        <v>2</v>
      </c>
      <c r="Y45" s="12">
        <f ca="1">IFERROR(__xludf.DUMMYFUNCTION("INDEX(IMPORTRANGE(""1y0FWgjbB0gVlqn-q5LMJbGIsqOrzru4yowQz67dz2yc"", ""'SNG'!BG3:BG139""),MATCH($D45,IMPORTRANGE(""1y0FWgjbB0gVlqn-q5LMJbGIsqOrzru4yowQz67dz2yc"", ""'SNG'!D3:D139""),0))"),3)</f>
        <v>3</v>
      </c>
      <c r="Z45" s="12">
        <f ca="1">IFERROR(__xludf.DUMMYFUNCTION("INDEX(IMPORTRANGE(""1y0FWgjbB0gVlqn-q5LMJbGIsqOrzru4yowQz67dz2yc"", ""'SNG'!BH3:BH139""),MATCH($D45,IMPORTRANGE(""1y0FWgjbB0gVlqn-q5LMJbGIsqOrzru4yowQz67dz2yc"", ""'SNG'!D3:D139""),0))"),3)</f>
        <v>3</v>
      </c>
      <c r="AA45" s="12">
        <f ca="1">IFERROR(__xludf.DUMMYFUNCTION("INDEX(IMPORTRANGE(""1y0FWgjbB0gVlqn-q5LMJbGIsqOrzru4yowQz67dz2yc"", ""'SNG'!BI3:BI139""),MATCH($D45,IMPORTRANGE(""1y0FWgjbB0gVlqn-q5LMJbGIsqOrzru4yowQz67dz2yc"", ""'SNG'!D3:D139""),0))"),3)</f>
        <v>3</v>
      </c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3"/>
      <c r="S46" s="13"/>
      <c r="T46" s="13"/>
      <c r="U46" s="13"/>
      <c r="V46" s="13"/>
      <c r="W46" s="13"/>
      <c r="X46" s="12"/>
      <c r="Y46" s="12">
        <f ca="1">IFERROR(__xludf.DUMMYFUNCTION("INDEX(IMPORTRANGE(""1y0FWgjbB0gVlqn-q5LMJbGIsqOrzru4yowQz67dz2yc"", ""'SNG'!BG3:BG139""),MATCH($D46,IMPORTRANGE(""1y0FWgjbB0gVlqn-q5LMJbGIsqOrzru4yowQz67dz2yc"", ""'SNG'!D3:D139""),0))"),0)</f>
        <v>0</v>
      </c>
      <c r="Z46" s="12">
        <f ca="1">IFERROR(__xludf.DUMMYFUNCTION("INDEX(IMPORTRANGE(""1y0FWgjbB0gVlqn-q5LMJbGIsqOrzru4yowQz67dz2yc"", ""'SNG'!BH3:BH139""),MATCH($D46,IMPORTRANGE(""1y0FWgjbB0gVlqn-q5LMJbGIsqOrzru4yowQz67dz2yc"", ""'SNG'!D3:D139""),0))"),0)</f>
        <v>0</v>
      </c>
      <c r="AA46" s="12">
        <f ca="1">IFERROR(__xludf.DUMMYFUNCTION("INDEX(IMPORTRANGE(""1y0FWgjbB0gVlqn-q5LMJbGIsqOrzru4yowQz67dz2yc"", ""'SNG'!BI3:BI139""),MATCH($D46,IMPORTRANGE(""1y0FWgjbB0gVlqn-q5LMJbGIsqOrzru4yowQz67dz2yc"", ""'SNG'!D3:D139""),0))"),0)</f>
        <v>0</v>
      </c>
      <c r="AB46" s="1"/>
      <c r="AC46" s="1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19</v>
      </c>
      <c r="Q47" s="12">
        <v>33</v>
      </c>
      <c r="R47" s="13"/>
      <c r="S47" s="13"/>
      <c r="T47" s="13"/>
      <c r="U47" s="13"/>
      <c r="V47" s="13"/>
      <c r="W47" s="13"/>
      <c r="X47" s="12">
        <v>15</v>
      </c>
      <c r="Y47" s="12">
        <f ca="1">IFERROR(__xludf.DUMMYFUNCTION("INDEX(IMPORTRANGE(""1y0FWgjbB0gVlqn-q5LMJbGIsqOrzru4yowQz67dz2yc"", ""'SNG'!BG3:BG139""),MATCH($D47,IMPORTRANGE(""1y0FWgjbB0gVlqn-q5LMJbGIsqOrzru4yowQz67dz2yc"", ""'SNG'!D3:D139""),0))"),25)</f>
        <v>25</v>
      </c>
      <c r="Z47" s="12">
        <f ca="1">IFERROR(__xludf.DUMMYFUNCTION("INDEX(IMPORTRANGE(""1y0FWgjbB0gVlqn-q5LMJbGIsqOrzru4yowQz67dz2yc"", ""'SNG'!BH3:BH139""),MATCH($D47,IMPORTRANGE(""1y0FWgjbB0gVlqn-q5LMJbGIsqOrzru4yowQz67dz2yc"", ""'SNG'!D3:D139""),0))"),48)</f>
        <v>48</v>
      </c>
      <c r="AA47" s="12">
        <f ca="1">IFERROR(__xludf.DUMMYFUNCTION("INDEX(IMPORTRANGE(""1y0FWgjbB0gVlqn-q5LMJbGIsqOrzru4yowQz67dz2yc"", ""'SNG'!BI3:BI139""),MATCH($D47,IMPORTRANGE(""1y0FWgjbB0gVlqn-q5LMJbGIsqOrzru4yowQz67dz2yc"", ""'SNG'!D3:D139""),0))"),68)</f>
        <v>68</v>
      </c>
      <c r="AB47" s="1"/>
      <c r="AC47" s="1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3"/>
      <c r="S48" s="13"/>
      <c r="T48" s="13"/>
      <c r="U48" s="13"/>
      <c r="V48" s="13"/>
      <c r="W48" s="13"/>
      <c r="X48" s="12"/>
      <c r="Y48" s="12">
        <f ca="1">IFERROR(__xludf.DUMMYFUNCTION("INDEX(IMPORTRANGE(""1y0FWgjbB0gVlqn-q5LMJbGIsqOrzru4yowQz67dz2yc"", ""'SNG'!BG3:BG139""),MATCH($D48,IMPORTRANGE(""1y0FWgjbB0gVlqn-q5LMJbGIsqOrzru4yowQz67dz2yc"", ""'SNG'!D3:D139""),0))"),2)</f>
        <v>2</v>
      </c>
      <c r="Z48" s="12">
        <f ca="1">IFERROR(__xludf.DUMMYFUNCTION("INDEX(IMPORTRANGE(""1y0FWgjbB0gVlqn-q5LMJbGIsqOrzru4yowQz67dz2yc"", ""'SNG'!BH3:BH139""),MATCH($D48,IMPORTRANGE(""1y0FWgjbB0gVlqn-q5LMJbGIsqOrzru4yowQz67dz2yc"", ""'SNG'!D3:D139""),0))"),3)</f>
        <v>3</v>
      </c>
      <c r="AA48" s="12">
        <f ca="1">IFERROR(__xludf.DUMMYFUNCTION("INDEX(IMPORTRANGE(""1y0FWgjbB0gVlqn-q5LMJbGIsqOrzru4yowQz67dz2yc"", ""'SNG'!BI3:BI139""),MATCH($D48,IMPORTRANGE(""1y0FWgjbB0gVlqn-q5LMJbGIsqOrzru4yowQz67dz2yc"", ""'SNG'!D3:D139""),0))"),5)</f>
        <v>5</v>
      </c>
      <c r="AB48" s="1"/>
      <c r="AC48" s="1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4">SUM(P45:P47)</f>
        <v>19</v>
      </c>
      <c r="Q49" s="12">
        <f t="shared" si="14"/>
        <v>33</v>
      </c>
      <c r="R49" s="2">
        <v>30</v>
      </c>
      <c r="S49" s="2">
        <f t="shared" ref="S49:V49" si="15">15+R49</f>
        <v>45</v>
      </c>
      <c r="T49" s="2">
        <f t="shared" si="15"/>
        <v>60</v>
      </c>
      <c r="U49" s="2">
        <f t="shared" si="15"/>
        <v>75</v>
      </c>
      <c r="V49" s="2">
        <f t="shared" si="15"/>
        <v>90</v>
      </c>
      <c r="W49" s="2">
        <f>V49</f>
        <v>90</v>
      </c>
      <c r="X49" s="12">
        <f>SUM(X45:X47)</f>
        <v>17</v>
      </c>
      <c r="Y49" s="12">
        <f ca="1">IFERROR(__xludf.DUMMYFUNCTION("INDEX(IMPORTRANGE(""1y0FWgjbB0gVlqn-q5LMJbGIsqOrzru4yowQz67dz2yc"", ""'SNG'!BG3:BG139""),MATCH($D49,IMPORTRANGE(""1y0FWgjbB0gVlqn-q5LMJbGIsqOrzru4yowQz67dz2yc"", ""'SNG'!D3:D139""),0))"),30)</f>
        <v>30</v>
      </c>
      <c r="Z49" s="12">
        <f ca="1">IFERROR(__xludf.DUMMYFUNCTION("INDEX(IMPORTRANGE(""1y0FWgjbB0gVlqn-q5LMJbGIsqOrzru4yowQz67dz2yc"", ""'SNG'!BH3:BH139""),MATCH($D49,IMPORTRANGE(""1y0FWgjbB0gVlqn-q5LMJbGIsqOrzru4yowQz67dz2yc"", ""'SNG'!D3:D139""),0))"),54)</f>
        <v>54</v>
      </c>
      <c r="AA49" s="12">
        <f ca="1">IFERROR(__xludf.DUMMYFUNCTION("INDEX(IMPORTRANGE(""1y0FWgjbB0gVlqn-q5LMJbGIsqOrzru4yowQz67dz2yc"", ""'SNG'!BI3:BI139""),MATCH($D49,IMPORTRANGE(""1y0FWgjbB0gVlqn-q5LMJbGIsqOrzru4yowQz67dz2yc"", ""'SNG'!D3:D139""),0))"),76)</f>
        <v>76</v>
      </c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2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""'SNG'!BG3:BG139""),MATCH($D50,IMPORTRANGE(""1y0FWgjbB0gVlqn-q5LMJbGIsqOrzru4yowQz67dz2yc"", ""'SNG'!D3:D139""),0))"),"No")</f>
        <v>No</v>
      </c>
      <c r="Z50" s="2" t="str">
        <f ca="1">IFERROR(__xludf.DUMMYFUNCTION("INDEX(IMPORTRANGE(""1y0FWgjbB0gVlqn-q5LMJbGIsqOrzru4yowQz67dz2yc"", ""'SNG'!BH3:BH139""),MATCH($D50,IMPORTRANGE(""1y0FWgjbB0gVlqn-q5LMJbGIsqOrzru4yowQz67dz2yc"", ""'SNG'!D3:D139""),0))"),"Sí")</f>
        <v>Sí</v>
      </c>
      <c r="AA50" s="2" t="str">
        <f ca="1">IFERROR(__xludf.DUMMYFUNCTION("INDEX(IMPORTRANGE(""1y0FWgjbB0gVlqn-q5LMJbGIsqOrzru4yowQz67dz2yc"", ""'SNG'!BI3:BI139""),MATCH($D50,IMPORTRANGE(""1y0FWgjbB0gVlqn-q5LMJbGIsqOrzru4yowQz67dz2yc"", ""'SNG'!D3:D139""),0))"),"Sí ")</f>
        <v xml:space="preserve">Sí </v>
      </c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2" t="s">
        <v>150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150</v>
      </c>
      <c r="Y51" s="2" t="str">
        <f ca="1">IFERROR(__xludf.DUMMYFUNCTION("INDEX(IMPORTRANGE(""1y0FWgjbB0gVlqn-q5LMJbGIsqOrzru4yowQz67dz2yc"", ""'SNG'!BG3:BG139""),MATCH($D51,IMPORTRANGE(""1y0FWgjbB0gVlqn-q5LMJbGIsqOrzru4yowQz67dz2yc"", ""'SNG'!D3:D139""),0))"),"No")</f>
        <v>No</v>
      </c>
      <c r="Z51" s="2" t="str">
        <f ca="1">IFERROR(__xludf.DUMMYFUNCTION("INDEX(IMPORTRANGE(""1y0FWgjbB0gVlqn-q5LMJbGIsqOrzru4yowQz67dz2yc"", ""'SNG'!BH3:BH139""),MATCH($D51,IMPORTRANGE(""1y0FWgjbB0gVlqn-q5LMJbGIsqOrzru4yowQz67dz2yc"", ""'SNG'!D3:D139""),0))"),"No")</f>
        <v>No</v>
      </c>
      <c r="AA51" s="2" t="str">
        <f ca="1">IFERROR(__xludf.DUMMYFUNCTION("INDEX(IMPORTRANGE(""1y0FWgjbB0gVlqn-q5LMJbGIsqOrzru4yowQz67dz2yc"", ""'SNG'!BI3:BI139""),MATCH($D51,IMPORTRANGE(""1y0FWgjbB0gVlqn-q5LMJbGIsqOrzru4yowQz67dz2yc"", ""'SNG'!D3:D139""),0))"),"No")</f>
        <v>No</v>
      </c>
      <c r="AB51" s="1"/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2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153</v>
      </c>
      <c r="Y52" s="2" t="str">
        <f ca="1">IFERROR(__xludf.DUMMYFUNCTION("INDEX(IMPORTRANGE(""1y0FWgjbB0gVlqn-q5LMJbGIsqOrzru4yowQz67dz2yc"", ""'SNG'!BG3:BG139""),MATCH($D52,IMPORTRANGE(""1y0FWgjbB0gVlqn-q5LMJbGIsqOrzru4yowQz67dz2yc"", ""'SNG'!D3:D139""),0))"),"Sí")</f>
        <v>Sí</v>
      </c>
      <c r="Z52" s="2" t="str">
        <f ca="1">IFERROR(__xludf.DUMMYFUNCTION("INDEX(IMPORTRANGE(""1y0FWgjbB0gVlqn-q5LMJbGIsqOrzru4yowQz67dz2yc"", ""'SNG'!BH3:BH139""),MATCH($D52,IMPORTRANGE(""1y0FWgjbB0gVlqn-q5LMJbGIsqOrzru4yowQz67dz2yc"", ""'SNG'!D3:D139""),0))"),"Sí ")</f>
        <v xml:space="preserve">Sí </v>
      </c>
      <c r="AA52" s="2" t="str">
        <f ca="1">IFERROR(__xludf.DUMMYFUNCTION("INDEX(IMPORTRANGE(""1y0FWgjbB0gVlqn-q5LMJbGIsqOrzru4yowQz67dz2yc"", ""'SNG'!BI3:BI139""),MATCH($D52,IMPORTRANGE(""1y0FWgjbB0gVlqn-q5LMJbGIsqOrzru4yowQz67dz2yc"", ""'SNG'!D3:D139""),0))"),"Sí")</f>
        <v>Sí</v>
      </c>
      <c r="AB52" s="1"/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49" t="s">
        <v>57</v>
      </c>
      <c r="I53" s="49" t="s">
        <v>58</v>
      </c>
      <c r="J53" s="49" t="s">
        <v>59</v>
      </c>
      <c r="K53" s="49" t="s">
        <v>335</v>
      </c>
      <c r="L53" s="49" t="s">
        <v>336</v>
      </c>
      <c r="M53" s="49" t="s">
        <v>337</v>
      </c>
      <c r="N53" s="12" t="s">
        <v>132</v>
      </c>
      <c r="O53" s="12" t="s">
        <v>132</v>
      </c>
      <c r="P53" s="23">
        <f t="shared" ref="P53:Q53" si="16">COUNTIF(P50:P52,"Sí")*(1/3)</f>
        <v>0.33333333333333331</v>
      </c>
      <c r="Q53" s="23">
        <f t="shared" si="16"/>
        <v>0.33333333333333331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23">
        <f>COUNTIF(X50:X52,"Sí")*(1/3)</f>
        <v>0.33333333333333331</v>
      </c>
      <c r="Y53" s="23">
        <f ca="1">IFERROR(__xludf.DUMMYFUNCTION("INDEX(IMPORTRANGE(""1y0FWgjbB0gVlqn-q5LMJbGIsqOrzru4yowQz67dz2yc"", ""'SNG'!BG3:BG139""),MATCH($D53,IMPORTRANGE(""1y0FWgjbB0gVlqn-q5LMJbGIsqOrzru4yowQz67dz2yc"", ""'SNG'!D3:D139""),0))"),0.333333333333333)</f>
        <v>0.33333333333333298</v>
      </c>
      <c r="Z53" s="23">
        <f ca="1">IFERROR(__xludf.DUMMYFUNCTION("INDEX(IMPORTRANGE(""1y0FWgjbB0gVlqn-q5LMJbGIsqOrzru4yowQz67dz2yc"", ""'SNG'!BH3:BH139""),MATCH($D53,IMPORTRANGE(""1y0FWgjbB0gVlqn-q5LMJbGIsqOrzru4yowQz67dz2yc"", ""'SNG'!D3:D139""),0))"),0.333333333333333)</f>
        <v>0.33333333333333298</v>
      </c>
      <c r="AA53" s="23">
        <f ca="1">IFERROR(__xludf.DUMMYFUNCTION("INDEX(IMPORTRANGE(""1y0FWgjbB0gVlqn-q5LMJbGIsqOrzru4yowQz67dz2yc"", ""'SNG'!BI3:BI139""),MATCH($D53,IMPORTRANGE(""1y0FWgjbB0gVlqn-q5LMJbGIsqOrzru4yowQz67dz2yc"", ""'SNG'!D3:D139""),0))"),0.333333333333333)</f>
        <v>0.33333333333333298</v>
      </c>
      <c r="AB53" s="1"/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49" t="s">
        <v>57</v>
      </c>
      <c r="I54" s="49" t="s">
        <v>58</v>
      </c>
      <c r="J54" s="49" t="s">
        <v>59</v>
      </c>
      <c r="K54" s="49" t="s">
        <v>335</v>
      </c>
      <c r="L54" s="49" t="s">
        <v>336</v>
      </c>
      <c r="M54" s="49" t="s">
        <v>337</v>
      </c>
      <c r="N54" s="12" t="s">
        <v>132</v>
      </c>
      <c r="O54" s="12" t="s">
        <v>132</v>
      </c>
      <c r="P54" s="30">
        <v>0</v>
      </c>
      <c r="Q54" s="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0</v>
      </c>
      <c r="Y54" s="2">
        <f ca="1">IFERROR(__xludf.DUMMYFUNCTION("INDEX(IMPORTRANGE(""1y0FWgjbB0gVlqn-q5LMJbGIsqOrzru4yowQz67dz2yc"", ""'SNG'!BG3:BG139""),MATCH($D54,IMPORTRANGE(""1y0FWgjbB0gVlqn-q5LMJbGIsqOrzru4yowQz67dz2yc"", ""'SNG'!D3:D139""),0))"),0.5)</f>
        <v>0.5</v>
      </c>
      <c r="Z54" s="24">
        <f ca="1">IFERROR(__xludf.DUMMYFUNCTION("INDEX(IMPORTRANGE(""1y0FWgjbB0gVlqn-q5LMJbGIsqOrzru4yowQz67dz2yc"", ""'SNG'!BH3:BH139""),MATCH($D54,IMPORTRANGE(""1y0FWgjbB0gVlqn-q5LMJbGIsqOrzru4yowQz67dz2yc"", ""'SNG'!D3:D139""),0))"),0.5)</f>
        <v>0.5</v>
      </c>
      <c r="AA54" s="2">
        <f ca="1">IFERROR(__xludf.DUMMYFUNCTION("INDEX(IMPORTRANGE(""1y0FWgjbB0gVlqn-q5LMJbGIsqOrzru4yowQz67dz2yc"", ""'SNG'!BI3:BI139""),MATCH($D54,IMPORTRANGE(""1y0FWgjbB0gVlqn-q5LMJbGIsqOrzru4yowQz67dz2yc"", ""'SNG'!D3:D139""),0))"),0.5)</f>
        <v>0.5</v>
      </c>
      <c r="AB54" s="1"/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</v>
      </c>
      <c r="Q55" s="12">
        <v>1</v>
      </c>
      <c r="R55" s="13"/>
      <c r="S55" s="13"/>
      <c r="T55" s="13"/>
      <c r="U55" s="13"/>
      <c r="V55" s="13"/>
      <c r="W55" s="13"/>
      <c r="X55" s="12">
        <v>1</v>
      </c>
      <c r="Y55" s="12">
        <f ca="1">IFERROR(__xludf.DUMMYFUNCTION("INDEX(IMPORTRANGE(""1y0FWgjbB0gVlqn-q5LMJbGIsqOrzru4yowQz67dz2yc"", ""'SNG'!BG3:BG139""),MATCH($D55,IMPORTRANGE(""1y0FWgjbB0gVlqn-q5LMJbGIsqOrzru4yowQz67dz2yc"", ""'SNG'!D3:D139""),0))"),1)</f>
        <v>1</v>
      </c>
      <c r="Z55" s="12">
        <f ca="1">IFERROR(__xludf.DUMMYFUNCTION("INDEX(IMPORTRANGE(""1y0FWgjbB0gVlqn-q5LMJbGIsqOrzru4yowQz67dz2yc"", ""'SNG'!BH3:BH139""),MATCH($D55,IMPORTRANGE(""1y0FWgjbB0gVlqn-q5LMJbGIsqOrzru4yowQz67dz2yc"", ""'SNG'!D3:D139""),0))"),1)</f>
        <v>1</v>
      </c>
      <c r="AA55" s="12">
        <f ca="1">IFERROR(__xludf.DUMMYFUNCTION("INDEX(IMPORTRANGE(""1y0FWgjbB0gVlqn-q5LMJbGIsqOrzru4yowQz67dz2yc"", ""'SNG'!BI3:BI139""),MATCH($D55,IMPORTRANGE(""1y0FWgjbB0gVlqn-q5LMJbGIsqOrzru4yowQz67dz2yc"", ""'SNG'!D3:D139""),0))"),1)</f>
        <v>1</v>
      </c>
      <c r="AB55" s="1"/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13"/>
      <c r="X56" s="12">
        <v>0</v>
      </c>
      <c r="Y56" s="12">
        <f ca="1">IFERROR(__xludf.DUMMYFUNCTION("INDEX(IMPORTRANGE(""1y0FWgjbB0gVlqn-q5LMJbGIsqOrzru4yowQz67dz2yc"", ""'SNG'!BG3:BG139""),MATCH($D56,IMPORTRANGE(""1y0FWgjbB0gVlqn-q5LMJbGIsqOrzru4yowQz67dz2yc"", ""'SNG'!D3:D139""),0))"),0)</f>
        <v>0</v>
      </c>
      <c r="Z56" s="12">
        <f ca="1">IFERROR(__xludf.DUMMYFUNCTION("INDEX(IMPORTRANGE(""1y0FWgjbB0gVlqn-q5LMJbGIsqOrzru4yowQz67dz2yc"", ""'SNG'!BH3:BH139""),MATCH($D56,IMPORTRANGE(""1y0FWgjbB0gVlqn-q5LMJbGIsqOrzru4yowQz67dz2yc"", ""'SNG'!D3:D139""),0))"),0)</f>
        <v>0</v>
      </c>
      <c r="AA56" s="12">
        <f ca="1">IFERROR(__xludf.DUMMYFUNCTION("INDEX(IMPORTRANGE(""1y0FWgjbB0gVlqn-q5LMJbGIsqOrzru4yowQz67dz2yc"", ""'SNG'!BI3:BI139""),MATCH($D56,IMPORTRANGE(""1y0FWgjbB0gVlqn-q5LMJbGIsqOrzru4yowQz67dz2yc"", ""'SNG'!D3:D139""),0))"),0)</f>
        <v>0</v>
      </c>
      <c r="AB56" s="1"/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49" t="s">
        <v>57</v>
      </c>
      <c r="I57" s="49" t="s">
        <v>58</v>
      </c>
      <c r="J57" s="49" t="s">
        <v>59</v>
      </c>
      <c r="K57" s="49" t="s">
        <v>335</v>
      </c>
      <c r="L57" s="49" t="s">
        <v>336</v>
      </c>
      <c r="M57" s="49" t="s">
        <v>337</v>
      </c>
      <c r="N57" s="12" t="s">
        <v>132</v>
      </c>
      <c r="O57" s="12" t="s">
        <v>132</v>
      </c>
      <c r="P57" s="15">
        <f t="shared" ref="P57:Q57" si="17">P56/P55</f>
        <v>0</v>
      </c>
      <c r="Q57" s="15">
        <f t="shared" si="17"/>
        <v>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</v>
      </c>
      <c r="Y57" s="15">
        <f ca="1">IFERROR(__xludf.DUMMYFUNCTION("INDEX(IMPORTRANGE(""1y0FWgjbB0gVlqn-q5LMJbGIsqOrzru4yowQz67dz2yc"", ""'SNG'!BG3:BG139""),MATCH($D57,IMPORTRANGE(""1y0FWgjbB0gVlqn-q5LMJbGIsqOrzru4yowQz67dz2yc"", ""'SNG'!D3:D139""),0))"),0)</f>
        <v>0</v>
      </c>
      <c r="Z57" s="15">
        <f ca="1">IFERROR(__xludf.DUMMYFUNCTION("INDEX(IMPORTRANGE(""1y0FWgjbB0gVlqn-q5LMJbGIsqOrzru4yowQz67dz2yc"", ""'SNG'!BH3:BH139""),MATCH($D57,IMPORTRANGE(""1y0FWgjbB0gVlqn-q5LMJbGIsqOrzru4yowQz67dz2yc"", ""'SNG'!D3:D139""),0))"),0)</f>
        <v>0</v>
      </c>
      <c r="AA57" s="15">
        <f ca="1">IFERROR(__xludf.DUMMYFUNCTION("INDEX(IMPORTRANGE(""1y0FWgjbB0gVlqn-q5LMJbGIsqOrzru4yowQz67dz2yc"", ""'SNG'!BI3:BI139""),MATCH($D57,IMPORTRANGE(""1y0FWgjbB0gVlqn-q5LMJbGIsqOrzru4yowQz67dz2yc"", ""'SNG'!D3:D139""),0))"),0)</f>
        <v>0</v>
      </c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35610</v>
      </c>
      <c r="Q58" s="12">
        <v>35610</v>
      </c>
      <c r="R58" s="13"/>
      <c r="S58" s="13"/>
      <c r="T58" s="13"/>
      <c r="U58" s="13"/>
      <c r="V58" s="13"/>
      <c r="W58" s="13"/>
      <c r="X58" s="12">
        <v>35610</v>
      </c>
      <c r="Y58" s="12">
        <f ca="1">IFERROR(__xludf.DUMMYFUNCTION("INDEX(IMPORTRANGE(""1y0FWgjbB0gVlqn-q5LMJbGIsqOrzru4yowQz67dz2yc"", ""'SNG'!BG3:BG139""),MATCH($D58,IMPORTRANGE(""1y0FWgjbB0gVlqn-q5LMJbGIsqOrzru4yowQz67dz2yc"", ""'SNG'!D3:D139""),0))"),35715)</f>
        <v>35715</v>
      </c>
      <c r="Z58" s="12">
        <f ca="1">IFERROR(__xludf.DUMMYFUNCTION("INDEX(IMPORTRANGE(""1y0FWgjbB0gVlqn-q5LMJbGIsqOrzru4yowQz67dz2yc"", ""'SNG'!BH3:BH139""),MATCH($D58,IMPORTRANGE(""1y0FWgjbB0gVlqn-q5LMJbGIsqOrzru4yowQz67dz2yc"", ""'SNG'!D3:D139""),0))"),35760)</f>
        <v>35760</v>
      </c>
      <c r="AA58" s="12">
        <f ca="1">IFERROR(__xludf.DUMMYFUNCTION("INDEX(IMPORTRANGE(""1y0FWgjbB0gVlqn-q5LMJbGIsqOrzru4yowQz67dz2yc"", ""'SNG'!BI3:BI139""),MATCH($D58,IMPORTRANGE(""1y0FWgjbB0gVlqn-q5LMJbGIsqOrzru4yowQz67dz2yc"", ""'SNG'!D3:D139""),0))"),35826)</f>
        <v>35826</v>
      </c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35610</v>
      </c>
      <c r="Q59" s="12">
        <v>35610</v>
      </c>
      <c r="R59" s="13"/>
      <c r="S59" s="13"/>
      <c r="T59" s="13"/>
      <c r="U59" s="13"/>
      <c r="V59" s="13"/>
      <c r="W59" s="13"/>
      <c r="X59" s="12">
        <v>35610</v>
      </c>
      <c r="Y59" s="12">
        <f ca="1">IFERROR(__xludf.DUMMYFUNCTION("INDEX(IMPORTRANGE(""1y0FWgjbB0gVlqn-q5LMJbGIsqOrzru4yowQz67dz2yc"", ""'SNG'!BG3:BG139""),MATCH($D59,IMPORTRANGE(""1y0FWgjbB0gVlqn-q5LMJbGIsqOrzru4yowQz67dz2yc"", ""'SNG'!D3:D139""),0))"),35715)</f>
        <v>35715</v>
      </c>
      <c r="Z59" s="12">
        <f ca="1">IFERROR(__xludf.DUMMYFUNCTION("INDEX(IMPORTRANGE(""1y0FWgjbB0gVlqn-q5LMJbGIsqOrzru4yowQz67dz2yc"", ""'SNG'!BH3:BH139""),MATCH($D59,IMPORTRANGE(""1y0FWgjbB0gVlqn-q5LMJbGIsqOrzru4yowQz67dz2yc"", ""'SNG'!D3:D139""),0))"),35760)</f>
        <v>35760</v>
      </c>
      <c r="AA59" s="12">
        <f ca="1">IFERROR(__xludf.DUMMYFUNCTION("INDEX(IMPORTRANGE(""1y0FWgjbB0gVlqn-q5LMJbGIsqOrzru4yowQz67dz2yc"", ""'SNG'!BI3:BI139""),MATCH($D59,IMPORTRANGE(""1y0FWgjbB0gVlqn-q5LMJbGIsqOrzru4yowQz67dz2yc"", ""'SNG'!D3:D139""),0))"),35826)</f>
        <v>35826</v>
      </c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49" t="s">
        <v>57</v>
      </c>
      <c r="I60" s="49" t="s">
        <v>58</v>
      </c>
      <c r="J60" s="49" t="s">
        <v>59</v>
      </c>
      <c r="K60" s="49" t="s">
        <v>335</v>
      </c>
      <c r="L60" s="49" t="s">
        <v>336</v>
      </c>
      <c r="M60" s="49" t="s">
        <v>337</v>
      </c>
      <c r="N60" s="12" t="s">
        <v>132</v>
      </c>
      <c r="O60" s="12" t="s">
        <v>132</v>
      </c>
      <c r="P60" s="14">
        <f t="shared" ref="P60:Q60" si="18">P58/P59</f>
        <v>1</v>
      </c>
      <c r="Q60" s="14">
        <f t="shared" si="18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4">
        <f>X58/X59</f>
        <v>1</v>
      </c>
      <c r="Y60" s="14">
        <f ca="1">IFERROR(__xludf.DUMMYFUNCTION("INDEX(IMPORTRANGE(""1y0FWgjbB0gVlqn-q5LMJbGIsqOrzru4yowQz67dz2yc"", ""'SNG'!BG3:BG139""),MATCH($D60,IMPORTRANGE(""1y0FWgjbB0gVlqn-q5LMJbGIsqOrzru4yowQz67dz2yc"", ""'SNG'!D3:D139""),0))"),1)</f>
        <v>1</v>
      </c>
      <c r="Z60" s="15">
        <f ca="1">IFERROR(__xludf.DUMMYFUNCTION("INDEX(IMPORTRANGE(""1y0FWgjbB0gVlqn-q5LMJbGIsqOrzru4yowQz67dz2yc"", ""'SNG'!BH3:BH139""),MATCH($D60,IMPORTRANGE(""1y0FWgjbB0gVlqn-q5LMJbGIsqOrzru4yowQz67dz2yc"", ""'SNG'!D3:D139""),0))"),1)</f>
        <v>1</v>
      </c>
      <c r="AA60" s="14">
        <f ca="1">IFERROR(__xludf.DUMMYFUNCTION("INDEX(IMPORTRANGE(""1y0FWgjbB0gVlqn-q5LMJbGIsqOrzru4yowQz67dz2yc"", ""'SNG'!BI3:BI139""),MATCH($D60,IMPORTRANGE(""1y0FWgjbB0gVlqn-q5LMJbGIsqOrzru4yowQz67dz2yc"", ""'SNG'!D3:D139""),0))"),1)</f>
        <v>1</v>
      </c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126480</v>
      </c>
      <c r="Q61" s="12">
        <v>126480</v>
      </c>
      <c r="R61" s="13"/>
      <c r="S61" s="13"/>
      <c r="T61" s="13"/>
      <c r="U61" s="13"/>
      <c r="V61" s="13"/>
      <c r="W61" s="13"/>
      <c r="X61" s="12">
        <v>126480</v>
      </c>
      <c r="Y61" s="12">
        <f ca="1">IFERROR(__xludf.DUMMYFUNCTION("INDEX(IMPORTRANGE(""1y0FWgjbB0gVlqn-q5LMJbGIsqOrzru4yowQz67dz2yc"", ""'SNG'!BG3:BG139""),MATCH($D61,IMPORTRANGE(""1y0FWgjbB0gVlqn-q5LMJbGIsqOrzru4yowQz67dz2yc"", ""'SNG'!D3:D139""),0))"),126078)</f>
        <v>126078</v>
      </c>
      <c r="Z61" s="12">
        <f ca="1">IFERROR(__xludf.DUMMYFUNCTION("INDEX(IMPORTRANGE(""1y0FWgjbB0gVlqn-q5LMJbGIsqOrzru4yowQz67dz2yc"", ""'SNG'!BH3:BH139""),MATCH($D61,IMPORTRANGE(""1y0FWgjbB0gVlqn-q5LMJbGIsqOrzru4yowQz67dz2yc"", ""'SNG'!D3:D139""),0))"),127275)</f>
        <v>127275</v>
      </c>
      <c r="AA61" s="12">
        <f ca="1">IFERROR(__xludf.DUMMYFUNCTION("INDEX(IMPORTRANGE(""1y0FWgjbB0gVlqn-q5LMJbGIsqOrzru4yowQz67dz2yc"", ""'SNG'!BI3:BI139""),MATCH($D61,IMPORTRANGE(""1y0FWgjbB0gVlqn-q5LMJbGIsqOrzru4yowQz67dz2yc"", ""'SNG'!D3:D139""),0))"),127275)</f>
        <v>127275</v>
      </c>
      <c r="AB61" s="1"/>
      <c r="AC61" s="1"/>
    </row>
    <row r="62" spans="1:29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9">P61/P37</f>
        <v>1</v>
      </c>
      <c r="Q62" s="15">
        <f t="shared" si="19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420">
        <f ca="1">IFERROR(__xludf.DUMMYFUNCTION("INDEX(IMPORTRANGE(""1y0FWgjbB0gVlqn-q5LMJbGIsqOrzru4yowQz67dz2yc"", ""'SNG'!BG3:BG139""),MATCH($D62,IMPORTRANGE(""1y0FWgjbB0gVlqn-q5LMJbGIsqOrzru4yowQz67dz2yc"", ""'SNG'!D3:D139""),0))"),1.00078584525992)</f>
        <v>1.0007858452599201</v>
      </c>
      <c r="Z62" s="15">
        <f ca="1">IFERROR(__xludf.DUMMYFUNCTION("INDEX(IMPORTRANGE(""1y0FWgjbB0gVlqn-q5LMJbGIsqOrzru4yowQz67dz2yc"", ""'SNG'!BH3:BH139""),MATCH($D62,IMPORTRANGE(""1y0FWgjbB0gVlqn-q5LMJbGIsqOrzru4yowQz67dz2yc"", ""'SNG'!D3:D139""),0))"),1)</f>
        <v>1</v>
      </c>
      <c r="AA62" s="15">
        <f ca="1">IFERROR(__xludf.DUMMYFUNCTION("INDEX(IMPORTRANGE(""1y0FWgjbB0gVlqn-q5LMJbGIsqOrzru4yowQz67dz2yc"", ""'SNG'!BI3:BI139""),MATCH($D62,IMPORTRANGE(""1y0FWgjbB0gVlqn-q5LMJbGIsqOrzru4yowQz67dz2yc"", ""'SNG'!D3:D139""),0))"),1)</f>
        <v>1</v>
      </c>
      <c r="AB62" s="1"/>
      <c r="AC62" s="1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14999166</v>
      </c>
      <c r="Q63" s="12">
        <v>14999166</v>
      </c>
      <c r="R63" s="13"/>
      <c r="S63" s="13"/>
      <c r="T63" s="13"/>
      <c r="U63" s="13"/>
      <c r="V63" s="13"/>
      <c r="W63" s="13"/>
      <c r="X63" s="12">
        <v>14999166</v>
      </c>
      <c r="Y63" s="12">
        <f ca="1">IFERROR(__xludf.DUMMYFUNCTION("INDEX(IMPORTRANGE(""1y0FWgjbB0gVlqn-q5LMJbGIsqOrzru4yowQz67dz2yc"", ""'SNG'!BG3:BG139""),MATCH($D63,IMPORTRANGE(""1y0FWgjbB0gVlqn-q5LMJbGIsqOrzru4yowQz67dz2yc"", ""'SNG'!D3:D139""),0))"),15118730.39)</f>
        <v>15118730.390000001</v>
      </c>
      <c r="Z63" s="12">
        <f ca="1">IFERROR(__xludf.DUMMYFUNCTION("INDEX(IMPORTRANGE(""1y0FWgjbB0gVlqn-q5LMJbGIsqOrzru4yowQz67dz2yc"", ""'SNG'!BH3:BH139""),MATCH($D63,IMPORTRANGE(""1y0FWgjbB0gVlqn-q5LMJbGIsqOrzru4yowQz67dz2yc"", ""'SNG'!D3:D139""),0))"),15118730.39)</f>
        <v>15118730.390000001</v>
      </c>
      <c r="AA63" s="12">
        <f ca="1">IFERROR(__xludf.DUMMYFUNCTION("INDEX(IMPORTRANGE(""1y0FWgjbB0gVlqn-q5LMJbGIsqOrzru4yowQz67dz2yc"", ""'SNG'!BI3:BI139""),MATCH($D63,IMPORTRANGE(""1y0FWgjbB0gVlqn-q5LMJbGIsqOrzru4yowQz67dz2yc"", ""'SNG'!D3:D139""),0))"),15118730.39)</f>
        <v>15118730.390000001</v>
      </c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14999166</v>
      </c>
      <c r="Q64" s="12">
        <v>14999166</v>
      </c>
      <c r="R64" s="13"/>
      <c r="S64" s="13"/>
      <c r="T64" s="13"/>
      <c r="U64" s="13"/>
      <c r="V64" s="13"/>
      <c r="W64" s="13"/>
      <c r="X64" s="12">
        <v>14999166</v>
      </c>
      <c r="Y64" s="12">
        <f ca="1">IFERROR(__xludf.DUMMYFUNCTION("INDEX(IMPORTRANGE(""1y0FWgjbB0gVlqn-q5LMJbGIsqOrzru4yowQz67dz2yc"", ""'SNG'!BG3:BG139""),MATCH($D64,IMPORTRANGE(""1y0FWgjbB0gVlqn-q5LMJbGIsqOrzru4yowQz67dz2yc"", ""'SNG'!D3:D139""),0))"),15118730.39)</f>
        <v>15118730.390000001</v>
      </c>
      <c r="Z64" s="12">
        <f ca="1">IFERROR(__xludf.DUMMYFUNCTION("INDEX(IMPORTRANGE(""1y0FWgjbB0gVlqn-q5LMJbGIsqOrzru4yowQz67dz2yc"", ""'SNG'!BH3:BH139""),MATCH($D64,IMPORTRANGE(""1y0FWgjbB0gVlqn-q5LMJbGIsqOrzru4yowQz67dz2yc"", ""'SNG'!D3:D139""),0))"),15118730.39)</f>
        <v>15118730.390000001</v>
      </c>
      <c r="AA64" s="12">
        <f ca="1">IFERROR(__xludf.DUMMYFUNCTION("INDEX(IMPORTRANGE(""1y0FWgjbB0gVlqn-q5LMJbGIsqOrzru4yowQz67dz2yc"", ""'SNG'!BI3:BI139""),MATCH($D64,IMPORTRANGE(""1y0FWgjbB0gVlqn-q5LMJbGIsqOrzru4yowQz67dz2yc"", ""'SNG'!D3:D139""),0))"),15118730.39)</f>
        <v>15118730.390000001</v>
      </c>
      <c r="AB64" s="1"/>
      <c r="AC64" s="1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4">
        <f t="shared" ref="P65:Q65" si="20">P63/P64</f>
        <v>1</v>
      </c>
      <c r="Q65" s="14">
        <f t="shared" si="20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4">
        <f>X63/X64</f>
        <v>1</v>
      </c>
      <c r="Y65" s="14">
        <f ca="1">IFERROR(__xludf.DUMMYFUNCTION("INDEX(IMPORTRANGE(""1y0FWgjbB0gVlqn-q5LMJbGIsqOrzru4yowQz67dz2yc"", ""'SNG'!BG3:BG139""),MATCH($D65,IMPORTRANGE(""1y0FWgjbB0gVlqn-q5LMJbGIsqOrzru4yowQz67dz2yc"", ""'SNG'!D3:D139""),0))"),1)</f>
        <v>1</v>
      </c>
      <c r="Z65" s="14">
        <f ca="1">IFERROR(__xludf.DUMMYFUNCTION("INDEX(IMPORTRANGE(""1y0FWgjbB0gVlqn-q5LMJbGIsqOrzru4yowQz67dz2yc"", ""'SNG'!BH3:BH139""),MATCH($D65,IMPORTRANGE(""1y0FWgjbB0gVlqn-q5LMJbGIsqOrzru4yowQz67dz2yc"", ""'SNG'!D3:D139""),0))"),1)</f>
        <v>1</v>
      </c>
      <c r="AA65" s="14">
        <f ca="1">IFERROR(__xludf.DUMMYFUNCTION("INDEX(IMPORTRANGE(""1y0FWgjbB0gVlqn-q5LMJbGIsqOrzru4yowQz67dz2yc"", ""'SNG'!BI3:BI139""),MATCH($D65,IMPORTRANGE(""1y0FWgjbB0gVlqn-q5LMJbGIsqOrzru4yowQz67dz2yc"", ""'SNG'!D3:D139""),0))"),1)</f>
        <v>1</v>
      </c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23">
        <v>82160.14</v>
      </c>
      <c r="Q66" s="23">
        <v>82160.14</v>
      </c>
      <c r="R66" s="13"/>
      <c r="S66" s="13"/>
      <c r="T66" s="13"/>
      <c r="U66" s="13"/>
      <c r="V66" s="13"/>
      <c r="W66" s="13"/>
      <c r="X66" s="23">
        <v>82160.14</v>
      </c>
      <c r="Y66" s="23">
        <f ca="1">IFERROR(__xludf.DUMMYFUNCTION("INDEX(IMPORTRANGE(""1y0FWgjbB0gVlqn-q5LMJbGIsqOrzru4yowQz67dz2yc"", ""'SNG'!BG3:BG139""),MATCH($D66,IMPORTRANGE(""1y0FWgjbB0gVlqn-q5LMJbGIsqOrzru4yowQz67dz2yc"", ""'SNG'!D3:D139""),0))"),82819.04)</f>
        <v>82819.039999999994</v>
      </c>
      <c r="Z66" s="23">
        <f ca="1">IFERROR(__xludf.DUMMYFUNCTION("INDEX(IMPORTRANGE(""1y0FWgjbB0gVlqn-q5LMJbGIsqOrzru4yowQz67dz2yc"", ""'SNG'!BH3:BH139""),MATCH($D66,IMPORTRANGE(""1y0FWgjbB0gVlqn-q5LMJbGIsqOrzru4yowQz67dz2yc"", ""'SNG'!D3:D139""),0))"),83583.64)</f>
        <v>83583.64</v>
      </c>
      <c r="AA66" s="23">
        <f ca="1">IFERROR(__xludf.DUMMYFUNCTION("INDEX(IMPORTRANGE(""1y0FWgjbB0gVlqn-q5LMJbGIsqOrzru4yowQz67dz2yc"", ""'SNG'!BI3:BI139""),MATCH($D66,IMPORTRANGE(""1y0FWgjbB0gVlqn-q5LMJbGIsqOrzru4yowQz67dz2yc"", ""'SNG'!D3:D139""),0))"),61196.36)</f>
        <v>61196.36</v>
      </c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23">
        <v>136818.97</v>
      </c>
      <c r="Q67" s="23">
        <v>136818.97</v>
      </c>
      <c r="R67" s="13"/>
      <c r="S67" s="13"/>
      <c r="T67" s="13"/>
      <c r="U67" s="13"/>
      <c r="V67" s="13"/>
      <c r="W67" s="13"/>
      <c r="X67" s="23">
        <v>136818.97</v>
      </c>
      <c r="Y67" s="23">
        <f ca="1">IFERROR(__xludf.DUMMYFUNCTION("INDEX(IMPORTRANGE(""1y0FWgjbB0gVlqn-q5LMJbGIsqOrzru4yowQz67dz2yc"", ""'SNG'!BG3:BG139""),MATCH($D67,IMPORTRANGE(""1y0FWgjbB0gVlqn-q5LMJbGIsqOrzru4yowQz67dz2yc"", ""'SNG'!D3:D139""),0))"),136030)</f>
        <v>136030</v>
      </c>
      <c r="Z67" s="23">
        <f ca="1">IFERROR(__xludf.DUMMYFUNCTION("INDEX(IMPORTRANGE(""1y0FWgjbB0gVlqn-q5LMJbGIsqOrzru4yowQz67dz2yc"", ""'SNG'!BH3:BH139""),MATCH($D67,IMPORTRANGE(""1y0FWgjbB0gVlqn-q5LMJbGIsqOrzru4yowQz67dz2yc"", ""'SNG'!D3:D139""),0))"),136794.6)</f>
        <v>136794.6</v>
      </c>
      <c r="AA67" s="23">
        <f ca="1">IFERROR(__xludf.DUMMYFUNCTION("INDEX(IMPORTRANGE(""1y0FWgjbB0gVlqn-q5LMJbGIsqOrzru4yowQz67dz2yc"", ""'SNG'!BI3:BI139""),MATCH($D67,IMPORTRANGE(""1y0FWgjbB0gVlqn-q5LMJbGIsqOrzru4yowQz67dz2yc"", ""'SNG'!D3:D139""),0))"),82428.64)</f>
        <v>82428.639999999999</v>
      </c>
      <c r="AB67" s="1"/>
      <c r="AC67" s="1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21">P66/P67</f>
        <v>0.60050254727103991</v>
      </c>
      <c r="Q68" s="15">
        <f t="shared" si="21"/>
        <v>0.60050254727103991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0.60050254727103991</v>
      </c>
      <c r="Y68" s="15">
        <f ca="1">IFERROR(__xludf.DUMMYFUNCTION("INDEX(IMPORTRANGE(""1y0FWgjbB0gVlqn-q5LMJbGIsqOrzru4yowQz67dz2yc"", ""'SNG'!BG3:BG139""),MATCH($D68,IMPORTRANGE(""1y0FWgjbB0gVlqn-q5LMJbGIsqOrzru4yowQz67dz2yc"", ""'SNG'!D3:D139""),0))"),0.608829228846577)</f>
        <v>0.60882922884657698</v>
      </c>
      <c r="Z68" s="15">
        <f ca="1">IFERROR(__xludf.DUMMYFUNCTION("INDEX(IMPORTRANGE(""1y0FWgjbB0gVlqn-q5LMJbGIsqOrzru4yowQz67dz2yc"", ""'SNG'!BH3:BH139""),MATCH($D68,IMPORTRANGE(""1y0FWgjbB0gVlqn-q5LMJbGIsqOrzru4yowQz67dz2yc"", ""'SNG'!D3:D139""),0))"),0.611015639506237)</f>
        <v>0.61101563950623705</v>
      </c>
      <c r="AA68" s="15">
        <f ca="1">IFERROR(__xludf.DUMMYFUNCTION("INDEX(IMPORTRANGE(""1y0FWgjbB0gVlqn-q5LMJbGIsqOrzru4yowQz67dz2yc"", ""'SNG'!BI3:BI139""),MATCH($D68,IMPORTRANGE(""1y0FWgjbB0gVlqn-q5LMJbGIsqOrzru4yowQz67dz2yc"", ""'SNG'!D3:D139""),0))"),0.742416228145945)</f>
        <v>0.74241622814594499</v>
      </c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129.41</v>
      </c>
      <c r="Q69" s="23">
        <v>258.02999999999997</v>
      </c>
      <c r="R69" s="1"/>
      <c r="S69" s="1"/>
      <c r="T69" s="1"/>
      <c r="U69" s="1"/>
      <c r="V69" s="1"/>
      <c r="W69" s="1"/>
      <c r="X69" s="23">
        <v>77.84</v>
      </c>
      <c r="Y69" s="23">
        <f ca="1">IFERROR(__xludf.DUMMYFUNCTION("INDEX(IMPORTRANGE(""1y0FWgjbB0gVlqn-q5LMJbGIsqOrzru4yowQz67dz2yc"", ""'SNG'!BG3:BG139""),MATCH($D69,IMPORTRANGE(""1y0FWgjbB0gVlqn-q5LMJbGIsqOrzru4yowQz67dz2yc"", ""'SNG'!D3:D139""),0))"),191.519999999999)</f>
        <v>191.51999999999899</v>
      </c>
      <c r="Z69" s="23">
        <f ca="1">IFERROR(__xludf.DUMMYFUNCTION("INDEX(IMPORTRANGE(""1y0FWgjbB0gVlqn-q5LMJbGIsqOrzru4yowQz67dz2yc"", ""'SNG'!BH3:BH139""),MATCH($D69,IMPORTRANGE(""1y0FWgjbB0gVlqn-q5LMJbGIsqOrzru4yowQz67dz2yc"", ""'SNG'!D3:D139""),0))"),181.764)</f>
        <v>181.76400000000001</v>
      </c>
      <c r="AA69" s="23">
        <f ca="1">IFERROR(__xludf.DUMMYFUNCTION("INDEX(IMPORTRANGE(""1y0FWgjbB0gVlqn-q5LMJbGIsqOrzru4yowQz67dz2yc"", ""'SNG'!BI3:BI139""),MATCH($D69,IMPORTRANGE(""1y0FWgjbB0gVlqn-q5LMJbGIsqOrzru4yowQz67dz2yc"", ""'SNG'!D3:D139""),0))"),456.389)</f>
        <v>456.38900000000001</v>
      </c>
      <c r="AB69" s="1"/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0</v>
      </c>
      <c r="R70" s="1"/>
      <c r="S70" s="1"/>
      <c r="T70" s="1"/>
      <c r="U70" s="1"/>
      <c r="V70" s="1"/>
      <c r="W70" s="1"/>
      <c r="X70" s="23">
        <v>0</v>
      </c>
      <c r="Y70" s="23">
        <f ca="1">IFERROR(__xludf.DUMMYFUNCTION("INDEX(IMPORTRANGE(""1y0FWgjbB0gVlqn-q5LMJbGIsqOrzru4yowQz67dz2yc"", ""'SNG'!BG3:BG139""),MATCH($D70,IMPORTRANGE(""1y0FWgjbB0gVlqn-q5LMJbGIsqOrzru4yowQz67dz2yc"", ""'SNG'!D3:D139""),0))"),21)</f>
        <v>21</v>
      </c>
      <c r="Z70" s="23">
        <f ca="1">IFERROR(__xludf.DUMMYFUNCTION("INDEX(IMPORTRANGE(""1y0FWgjbB0gVlqn-q5LMJbGIsqOrzru4yowQz67dz2yc"", ""'SNG'!BH3:BH139""),MATCH($D70,IMPORTRANGE(""1y0FWgjbB0gVlqn-q5LMJbGIsqOrzru4yowQz67dz2yc"", ""'SNG'!D3:D139""),0))"),1.4375)</f>
        <v>1.4375</v>
      </c>
      <c r="AA70" s="23">
        <f ca="1">IFERROR(__xludf.DUMMYFUNCTION("INDEX(IMPORTRANGE(""1y0FWgjbB0gVlqn-q5LMJbGIsqOrzru4yowQz67dz2yc"", ""'SNG'!BI3:BI139""),MATCH($D70,IMPORTRANGE(""1y0FWgjbB0gVlqn-q5LMJbGIsqOrzru4yowQz67dz2yc"", ""'SNG'!D3:D139""),0))"),1.5625)</f>
        <v>1.5625</v>
      </c>
      <c r="AB70" s="1"/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13"/>
      <c r="S71" s="13"/>
      <c r="T71" s="13"/>
      <c r="U71" s="13"/>
      <c r="V71" s="13"/>
      <c r="W71" s="13"/>
      <c r="X71" s="12">
        <v>0</v>
      </c>
      <c r="Y71" s="299" t="str">
        <f ca="1">IFERROR(__xludf.DUMMYFUNCTION("INDEX(IMPORTRANGE(""1y0FWgjbB0gVlqn-q5LMJbGIsqOrzru4yowQz67dz2yc"", ""'SNG'!BG3:BG139""),MATCH($D71,IMPORTRANGE(""1y0FWgjbB0gVlqn-q5LMJbGIsqOrzru4yowQz67dz2yc"", ""'SNG'!D3:D139""),0))"),"")</f>
        <v/>
      </c>
      <c r="Z71" s="299" t="str">
        <f ca="1">IFERROR(__xludf.DUMMYFUNCTION("INDEX(IMPORTRANGE(""1y0FWgjbB0gVlqn-q5LMJbGIsqOrzru4yowQz67dz2yc"", ""'SNG'!BH3:BH139""),MATCH($D71,IMPORTRANGE(""1y0FWgjbB0gVlqn-q5LMJbGIsqOrzru4yowQz67dz2yc"", ""'SNG'!D3:D139""),0))"),"")</f>
        <v/>
      </c>
      <c r="AA71" s="299" t="str">
        <f ca="1">IFERROR(__xludf.DUMMYFUNCTION("INDEX(IMPORTRANGE(""1y0FWgjbB0gVlqn-q5LMJbGIsqOrzru4yowQz67dz2yc"", ""'SNG'!BI3:BI139""),MATCH($D71,IMPORTRANGE(""1y0FWgjbB0gVlqn-q5LMJbGIsqOrzru4yowQz67dz2yc"", ""'SNG'!D3:D139""),0))"),"")</f>
        <v/>
      </c>
      <c r="AB71" s="1"/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22">P69+P70</f>
        <v>129.41</v>
      </c>
      <c r="Q72" s="23">
        <f t="shared" si="22"/>
        <v>258.02999999999997</v>
      </c>
      <c r="R72" s="4">
        <v>285.7</v>
      </c>
      <c r="S72" s="4">
        <v>142.80000000000001</v>
      </c>
      <c r="T72" s="4">
        <v>285.7</v>
      </c>
      <c r="U72" s="4">
        <v>142.80000000000001</v>
      </c>
      <c r="V72" s="4">
        <v>285.7</v>
      </c>
      <c r="W72" s="4">
        <v>857.08</v>
      </c>
      <c r="X72" s="23">
        <f>X69+X70</f>
        <v>77.84</v>
      </c>
      <c r="Y72" s="24">
        <f ca="1">IFERROR(__xludf.DUMMYFUNCTION("INDEX(IMPORTRANGE(""1y0FWgjbB0gVlqn-q5LMJbGIsqOrzru4yowQz67dz2yc"", ""'SNG'!BG3:BG139""),MATCH($D72,IMPORTRANGE(""1y0FWgjbB0gVlqn-q5LMJbGIsqOrzru4yowQz67dz2yc"", ""'SNG'!D3:D139""),0))"),212.519999999999)</f>
        <v>212.51999999999899</v>
      </c>
      <c r="Z72" s="24">
        <f ca="1">IFERROR(__xludf.DUMMYFUNCTION("INDEX(IMPORTRANGE(""1y0FWgjbB0gVlqn-q5LMJbGIsqOrzru4yowQz67dz2yc"", ""'SNG'!BH3:BH139""),MATCH($D72,IMPORTRANGE(""1y0FWgjbB0gVlqn-q5LMJbGIsqOrzru4yowQz67dz2yc"", ""'SNG'!D3:D139""),0))"),183.2015)</f>
        <v>183.20150000000001</v>
      </c>
      <c r="AA72" s="24">
        <f ca="1">IFERROR(__xludf.DUMMYFUNCTION("INDEX(IMPORTRANGE(""1y0FWgjbB0gVlqn-q5LMJbGIsqOrzru4yowQz67dz2yc"", ""'SNG'!BI3:BI139""),MATCH($D72,IMPORTRANGE(""1y0FWgjbB0gVlqn-q5LMJbGIsqOrzru4yowQz67dz2yc"", ""'SNG'!D3:D139""),0))"),457.9515)</f>
        <v>457.95150000000001</v>
      </c>
      <c r="AB72" s="1"/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3.2</v>
      </c>
      <c r="Q73" s="23">
        <v>3.2</v>
      </c>
      <c r="R73" s="2">
        <v>7.9</v>
      </c>
      <c r="S73" s="2">
        <v>3.2</v>
      </c>
      <c r="T73" s="2">
        <v>3.2</v>
      </c>
      <c r="U73" s="2">
        <v>13.5</v>
      </c>
      <c r="V73" s="2">
        <v>25.5</v>
      </c>
      <c r="W73" s="2">
        <v>25.5</v>
      </c>
      <c r="X73" s="23">
        <v>3.2</v>
      </c>
      <c r="Y73" s="23">
        <f ca="1">IFERROR(__xludf.DUMMYFUNCTION("INDEX(IMPORTRANGE(""1y0FWgjbB0gVlqn-q5LMJbGIsqOrzru4yowQz67dz2yc"", ""'SNG'!BG3:BG139""),MATCH($D73,IMPORTRANGE(""1y0FWgjbB0gVlqn-q5LMJbGIsqOrzru4yowQz67dz2yc"", ""'SNG'!D3:D139""),0))"),23.9)</f>
        <v>23.9</v>
      </c>
      <c r="Z73" s="23">
        <f ca="1">IFERROR(__xludf.DUMMYFUNCTION("INDEX(IMPORTRANGE(""1y0FWgjbB0gVlqn-q5LMJbGIsqOrzru4yowQz67dz2yc"", ""'SNG'!BH3:BH139""),MATCH($D73,IMPORTRANGE(""1y0FWgjbB0gVlqn-q5LMJbGIsqOrzru4yowQz67dz2yc"", ""'SNG'!D3:D139""),0))"),1.4)</f>
        <v>1.4</v>
      </c>
      <c r="AA73" s="23">
        <f ca="1">IFERROR(__xludf.DUMMYFUNCTION("INDEX(IMPORTRANGE(""1y0FWgjbB0gVlqn-q5LMJbGIsqOrzru4yowQz67dz2yc"", ""'SNG'!BI3:BI139""),MATCH($D73,IMPORTRANGE(""1y0FWgjbB0gVlqn-q5LMJbGIsqOrzru4yowQz67dz2yc"", ""'SNG'!D3:D139""),0))"),0)</f>
        <v>0</v>
      </c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1"/>
      <c r="X74" s="12">
        <v>0</v>
      </c>
      <c r="Y74" s="12">
        <f ca="1">IFERROR(__xludf.DUMMYFUNCTION("INDEX(IMPORTRANGE(""1y0FWgjbB0gVlqn-q5LMJbGIsqOrzru4yowQz67dz2yc"", ""'SNG'!BG3:BG139""),MATCH($D74,IMPORTRANGE(""1y0FWgjbB0gVlqn-q5LMJbGIsqOrzru4yowQz67dz2yc"", ""'SNG'!D3:D139""),0))"),0)</f>
        <v>0</v>
      </c>
      <c r="Z74" s="12">
        <f ca="1">IFERROR(__xludf.DUMMYFUNCTION("INDEX(IMPORTRANGE(""1y0FWgjbB0gVlqn-q5LMJbGIsqOrzru4yowQz67dz2yc"", ""'SNG'!BH3:BH139""),MATCH($D74,IMPORTRANGE(""1y0FWgjbB0gVlqn-q5LMJbGIsqOrzru4yowQz67dz2yc"", ""'SNG'!D3:D139""),0))"),0)</f>
        <v>0</v>
      </c>
      <c r="AA74" s="12">
        <f ca="1">IFERROR(__xludf.DUMMYFUNCTION("INDEX(IMPORTRANGE(""1y0FWgjbB0gVlqn-q5LMJbGIsqOrzru4yowQz67dz2yc"", ""'SNG'!BI3:BI139""),MATCH($D74,IMPORTRANGE(""1y0FWgjbB0gVlqn-q5LMJbGIsqOrzru4yowQz67dz2yc"", ""'SNG'!D3:D139""),0))"),0)</f>
        <v>0</v>
      </c>
      <c r="AB74" s="1"/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"/>
      <c r="S75" s="1"/>
      <c r="T75" s="1"/>
      <c r="U75" s="1"/>
      <c r="V75" s="1"/>
      <c r="W75" s="1"/>
      <c r="X75" s="12">
        <v>12800</v>
      </c>
      <c r="Y75" s="12">
        <f ca="1">IFERROR(__xludf.DUMMYFUNCTION("INDEX(IMPORTRANGE(""1y0FWgjbB0gVlqn-q5LMJbGIsqOrzru4yowQz67dz2yc"", ""'SNG'!BG3:BG139""),MATCH($D75,IMPORTRANGE(""1y0FWgjbB0gVlqn-q5LMJbGIsqOrzru4yowQz67dz2yc"", ""'SNG'!D3:D139""),0))"),12800)</f>
        <v>12800</v>
      </c>
      <c r="Z75" s="12">
        <f ca="1">IFERROR(__xludf.DUMMYFUNCTION("INDEX(IMPORTRANGE(""1y0FWgjbB0gVlqn-q5LMJbGIsqOrzru4yowQz67dz2yc"", ""'SNG'!BH3:BH139""),MATCH($D75,IMPORTRANGE(""1y0FWgjbB0gVlqn-q5LMJbGIsqOrzru4yowQz67dz2yc"", ""'SNG'!D3:D139""),0))"),13000)</f>
        <v>13000</v>
      </c>
      <c r="AA75" s="12">
        <f ca="1">IFERROR(__xludf.DUMMYFUNCTION("INDEX(IMPORTRANGE(""1y0FWgjbB0gVlqn-q5LMJbGIsqOrzru4yowQz67dz2yc"", ""'SNG'!BI3:BI139""),MATCH($D75,IMPORTRANGE(""1y0FWgjbB0gVlqn-q5LMJbGIsqOrzru4yowQz67dz2yc"", ""'SNG'!D3:D139""),0))"),23096)</f>
        <v>23096</v>
      </c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"/>
      <c r="S76" s="1"/>
      <c r="T76" s="1"/>
      <c r="U76" s="1"/>
      <c r="V76" s="1"/>
      <c r="W76" s="1"/>
      <c r="X76" s="12">
        <v>0</v>
      </c>
      <c r="Y76" s="12">
        <f ca="1">IFERROR(__xludf.DUMMYFUNCTION("INDEX(IMPORTRANGE(""1y0FWgjbB0gVlqn-q5LMJbGIsqOrzru4yowQz67dz2yc"", ""'SNG'!BG3:BG139""),MATCH($D76,IMPORTRANGE(""1y0FWgjbB0gVlqn-q5LMJbGIsqOrzru4yowQz67dz2yc"", ""'SNG'!D3:D139""),0))"),0)</f>
        <v>0</v>
      </c>
      <c r="Z76" s="12">
        <f ca="1">IFERROR(__xludf.DUMMYFUNCTION("INDEX(IMPORTRANGE(""1y0FWgjbB0gVlqn-q5LMJbGIsqOrzru4yowQz67dz2yc"", ""'SNG'!BH3:BH139""),MATCH($D76,IMPORTRANGE(""1y0FWgjbB0gVlqn-q5LMJbGIsqOrzru4yowQz67dz2yc"", ""'SNG'!D3:D139""),0))"),0)</f>
        <v>0</v>
      </c>
      <c r="AA76" s="12">
        <f ca="1">IFERROR(__xludf.DUMMYFUNCTION("INDEX(IMPORTRANGE(""1y0FWgjbB0gVlqn-q5LMJbGIsqOrzru4yowQz67dz2yc"", ""'SNG'!BI3:BI139""),MATCH($D76,IMPORTRANGE(""1y0FWgjbB0gVlqn-q5LMJbGIsqOrzru4yowQz67dz2yc"", ""'SNG'!D3:D139""),0))"),0)</f>
        <v>0</v>
      </c>
      <c r="AB76" s="1"/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9479</v>
      </c>
      <c r="S77" s="4">
        <v>4739.5</v>
      </c>
      <c r="T77" s="4">
        <v>9479</v>
      </c>
      <c r="U77" s="4">
        <v>4739.5</v>
      </c>
      <c r="V77" s="4">
        <v>9479</v>
      </c>
      <c r="W77" s="4">
        <v>28437</v>
      </c>
      <c r="X77" s="12">
        <f>SUM(X74:X76)</f>
        <v>12800</v>
      </c>
      <c r="Y77" s="12">
        <f ca="1">IFERROR(__xludf.DUMMYFUNCTION("INDEX(IMPORTRANGE(""1y0FWgjbB0gVlqn-q5LMJbGIsqOrzru4yowQz67dz2yc"", ""'SNG'!BG3:BG139""),MATCH($D77,IMPORTRANGE(""1y0FWgjbB0gVlqn-q5LMJbGIsqOrzru4yowQz67dz2yc"", ""'SNG'!D3:D139""),0))"),12800)</f>
        <v>12800</v>
      </c>
      <c r="Z77" s="12">
        <f ca="1">IFERROR(__xludf.DUMMYFUNCTION("INDEX(IMPORTRANGE(""1y0FWgjbB0gVlqn-q5LMJbGIsqOrzru4yowQz67dz2yc"", ""'SNG'!BH3:BH139""),MATCH($D77,IMPORTRANGE(""1y0FWgjbB0gVlqn-q5LMJbGIsqOrzru4yowQz67dz2yc"", ""'SNG'!D3:D139""),0))"),13000)</f>
        <v>13000</v>
      </c>
      <c r="AA77" s="12">
        <f ca="1">IFERROR(__xludf.DUMMYFUNCTION("INDEX(IMPORTRANGE(""1y0FWgjbB0gVlqn-q5LMJbGIsqOrzru4yowQz67dz2yc"", ""'SNG'!BI3:BI139""),MATCH($D77,IMPORTRANGE(""1y0FWgjbB0gVlqn-q5LMJbGIsqOrzru4yowQz67dz2yc"", ""'SNG'!D3:D139""),0))"),23096)</f>
        <v>23096</v>
      </c>
      <c r="AB77" s="1"/>
      <c r="AC77" s="1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50">
        <v>39651110.659999996</v>
      </c>
      <c r="Q78" s="50">
        <v>39651110.659999996</v>
      </c>
      <c r="R78" s="13"/>
      <c r="S78" s="13"/>
      <c r="T78" s="13"/>
      <c r="U78" s="13"/>
      <c r="V78" s="13"/>
      <c r="W78" s="13"/>
      <c r="X78" s="50">
        <v>39651110.659999996</v>
      </c>
      <c r="Y78" s="301" t="str">
        <f ca="1">IFERROR(__xludf.DUMMYFUNCTION("INDEX(IMPORTRANGE(""1y0FWgjbB0gVlqn-q5LMJbGIsqOrzru4yowQz67dz2yc"", ""'SNG'!BG3:BG139""),MATCH($D78,IMPORTRANGE(""1y0FWgjbB0gVlqn-q5LMJbGIsqOrzru4yowQz67dz2yc"", ""'SNG'!D3:D139""),0))"),"")</f>
        <v/>
      </c>
      <c r="Z78" s="50">
        <f ca="1">IFERROR(__xludf.DUMMYFUNCTION("INDEX(IMPORTRANGE(""1y0FWgjbB0gVlqn-q5LMJbGIsqOrzru4yowQz67dz2yc"", ""'SNG'!BH3:BH139""),MATCH($D78,IMPORTRANGE(""1y0FWgjbB0gVlqn-q5LMJbGIsqOrzru4yowQz67dz2yc"", ""'SNG'!D3:D139""),0))"),254296770.83)</f>
        <v>254296770.83000001</v>
      </c>
      <c r="AA78" s="301" t="str">
        <f ca="1">IFERROR(__xludf.DUMMYFUNCTION("INDEX(IMPORTRANGE(""1y0FWgjbB0gVlqn-q5LMJbGIsqOrzru4yowQz67dz2yc"", ""'SNG'!BI3:BI139""),MATCH($D78,IMPORTRANGE(""1y0FWgjbB0gVlqn-q5LMJbGIsqOrzru4yowQz67dz2yc"", ""'SNG'!D3:D139""),0))"),"")</f>
        <v/>
      </c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50">
        <v>29387580.710000001</v>
      </c>
      <c r="Q79" s="50">
        <v>29387580.710000001</v>
      </c>
      <c r="R79" s="13"/>
      <c r="S79" s="13"/>
      <c r="T79" s="13"/>
      <c r="U79" s="13"/>
      <c r="V79" s="13"/>
      <c r="W79" s="13"/>
      <c r="X79" s="50">
        <v>29387580.710000001</v>
      </c>
      <c r="Y79" s="301" t="str">
        <f ca="1">IFERROR(__xludf.DUMMYFUNCTION("INDEX(IMPORTRANGE(""1y0FWgjbB0gVlqn-q5LMJbGIsqOrzru4yowQz67dz2yc"", ""'SNG'!BG3:BG139""),MATCH($D79,IMPORTRANGE(""1y0FWgjbB0gVlqn-q5LMJbGIsqOrzru4yowQz67dz2yc"", ""'SNG'!D3:D139""),0))"),"")</f>
        <v/>
      </c>
      <c r="Z79" s="50">
        <f ca="1">IFERROR(__xludf.DUMMYFUNCTION("INDEX(IMPORTRANGE(""1y0FWgjbB0gVlqn-q5LMJbGIsqOrzru4yowQz67dz2yc"", ""'SNG'!BH3:BH139""),MATCH($D79,IMPORTRANGE(""1y0FWgjbB0gVlqn-q5LMJbGIsqOrzru4yowQz67dz2yc"", ""'SNG'!D3:D139""),0))"),120862174.45)</f>
        <v>120862174.45</v>
      </c>
      <c r="AA79" s="301" t="str">
        <f ca="1">IFERROR(__xludf.DUMMYFUNCTION("INDEX(IMPORTRANGE(""1y0FWgjbB0gVlqn-q5LMJbGIsqOrzru4yowQz67dz2yc"", ""'SNG'!BI3:BI139""),MATCH($D79,IMPORTRANGE(""1y0FWgjbB0gVlqn-q5LMJbGIsqOrzru4yowQz67dz2yc"", ""'SNG'!D3:D139""),0))"),"")</f>
        <v/>
      </c>
      <c r="AB79" s="1"/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15">
        <f t="shared" ref="P80:Q80" si="23">P79/P78</f>
        <v>0.74115403631420007</v>
      </c>
      <c r="Q80" s="15">
        <f t="shared" si="23"/>
        <v>0.74115403631420007</v>
      </c>
      <c r="R80" s="2"/>
      <c r="S80" s="14">
        <v>0.45</v>
      </c>
      <c r="T80" s="2"/>
      <c r="U80" s="15">
        <v>0.45500000000000002</v>
      </c>
      <c r="V80" s="15">
        <v>0.46</v>
      </c>
      <c r="W80" s="15">
        <v>0.46</v>
      </c>
      <c r="X80" s="15">
        <f>X79/X78</f>
        <v>0.74115403631420007</v>
      </c>
      <c r="Y80" s="450" t="str">
        <f ca="1">IFERROR(__xludf.DUMMYFUNCTION("INDEX(IMPORTRANGE(""1y0FWgjbB0gVlqn-q5LMJbGIsqOrzru4yowQz67dz2yc"", ""'SNG'!BG3:BG139""),MATCH($D80,IMPORTRANGE(""1y0FWgjbB0gVlqn-q5LMJbGIsqOrzru4yowQz67dz2yc"", ""'SNG'!D3:D139""),0))"),"")</f>
        <v/>
      </c>
      <c r="Z80" s="15">
        <f ca="1">IFERROR(__xludf.DUMMYFUNCTION("INDEX(IMPORTRANGE(""1y0FWgjbB0gVlqn-q5LMJbGIsqOrzru4yowQz67dz2yc"", ""'SNG'!BH3:BH139""),MATCH($D80,IMPORTRANGE(""1y0FWgjbB0gVlqn-q5LMJbGIsqOrzru4yowQz67dz2yc"", ""'SNG'!D3:D139""),0))"),0.475280020487549)</f>
        <v>0.47528002048754903</v>
      </c>
      <c r="AA80" s="450" t="str">
        <f ca="1">IFERROR(__xludf.DUMMYFUNCTION("INDEX(IMPORTRANGE(""1y0FWgjbB0gVlqn-q5LMJbGIsqOrzru4yowQz67dz2yc"", ""'SNG'!BI3:BI139""),MATCH($D80,IMPORTRANGE(""1y0FWgjbB0gVlqn-q5LMJbGIsqOrzru4yowQz67dz2yc"", ""'SNG'!D3:D139""),0))"),"")</f>
        <v/>
      </c>
      <c r="AB80" s="1"/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4</v>
      </c>
      <c r="Q81" s="12">
        <v>4</v>
      </c>
      <c r="R81" s="1"/>
      <c r="S81" s="1"/>
      <c r="T81" s="1"/>
      <c r="U81" s="1"/>
      <c r="V81" s="1"/>
      <c r="W81" s="1"/>
      <c r="X81" s="12">
        <v>0</v>
      </c>
      <c r="Y81" s="12">
        <f ca="1">IFERROR(__xludf.DUMMYFUNCTION("INDEX(IMPORTRANGE(""1y0FWgjbB0gVlqn-q5LMJbGIsqOrzru4yowQz67dz2yc"", ""'SNG'!BG3:BG139""),MATCH($D81,IMPORTRANGE(""1y0FWgjbB0gVlqn-q5LMJbGIsqOrzru4yowQz67dz2yc"", ""'SNG'!D3:D139""),0))"),0)</f>
        <v>0</v>
      </c>
      <c r="Z81" s="12">
        <f ca="1">IFERROR(__xludf.DUMMYFUNCTION("INDEX(IMPORTRANGE(""1y0FWgjbB0gVlqn-q5LMJbGIsqOrzru4yowQz67dz2yc"", ""'SNG'!BH3:BH139""),MATCH($D81,IMPORTRANGE(""1y0FWgjbB0gVlqn-q5LMJbGIsqOrzru4yowQz67dz2yc"", ""'SNG'!D3:D139""),0))"),2)</f>
        <v>2</v>
      </c>
      <c r="AA81" s="12">
        <f ca="1">IFERROR(__xludf.DUMMYFUNCTION("INDEX(IMPORTRANGE(""1y0FWgjbB0gVlqn-q5LMJbGIsqOrzru4yowQz67dz2yc"", ""'SNG'!BI3:BI139""),MATCH($D81,IMPORTRANGE(""1y0FWgjbB0gVlqn-q5LMJbGIsqOrzru4yowQz67dz2yc"", ""'SNG'!D3:D139""),0))"),4)</f>
        <v>4</v>
      </c>
      <c r="AB81" s="1"/>
      <c r="AC81" s="1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1</v>
      </c>
      <c r="Q82" s="12">
        <v>6</v>
      </c>
      <c r="R82" s="1"/>
      <c r="S82" s="1"/>
      <c r="T82" s="1"/>
      <c r="U82" s="1"/>
      <c r="V82" s="1"/>
      <c r="W82" s="1"/>
      <c r="X82" s="12">
        <v>0</v>
      </c>
      <c r="Y82" s="12">
        <f ca="1">IFERROR(__xludf.DUMMYFUNCTION("INDEX(IMPORTRANGE(""1y0FWgjbB0gVlqn-q5LMJbGIsqOrzru4yowQz67dz2yc"", ""'SNG'!BG3:BG139""),MATCH($D82,IMPORTRANGE(""1y0FWgjbB0gVlqn-q5LMJbGIsqOrzru4yowQz67dz2yc"", ""'SNG'!D3:D139""),0))"),10)</f>
        <v>10</v>
      </c>
      <c r="Z82" s="12">
        <f ca="1">IFERROR(__xludf.DUMMYFUNCTION("INDEX(IMPORTRANGE(""1y0FWgjbB0gVlqn-q5LMJbGIsqOrzru4yowQz67dz2yc"", ""'SNG'!BH3:BH139""),MATCH($D82,IMPORTRANGE(""1y0FWgjbB0gVlqn-q5LMJbGIsqOrzru4yowQz67dz2yc"", ""'SNG'!D3:D139""),0))"),2)</f>
        <v>2</v>
      </c>
      <c r="AA82" s="12">
        <f ca="1">IFERROR(__xludf.DUMMYFUNCTION("INDEX(IMPORTRANGE(""1y0FWgjbB0gVlqn-q5LMJbGIsqOrzru4yowQz67dz2yc"", ""'SNG'!BI3:BI139""),MATCH($D82,IMPORTRANGE(""1y0FWgjbB0gVlqn-q5LMJbGIsqOrzru4yowQz67dz2yc"", ""'SNG'!D3:D139""),0))"),10)</f>
        <v>10</v>
      </c>
      <c r="AB82" s="1"/>
      <c r="AC82" s="1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4">P81+P82</f>
        <v>5</v>
      </c>
      <c r="Q83" s="12">
        <f t="shared" si="24"/>
        <v>10</v>
      </c>
      <c r="R83" s="4">
        <v>7</v>
      </c>
      <c r="S83" s="4">
        <v>3.5</v>
      </c>
      <c r="T83" s="4">
        <v>7</v>
      </c>
      <c r="U83" s="4">
        <v>3</v>
      </c>
      <c r="V83" s="4">
        <v>6</v>
      </c>
      <c r="W83" s="4">
        <v>20</v>
      </c>
      <c r="X83" s="12">
        <f>X81+X82</f>
        <v>0</v>
      </c>
      <c r="Y83" s="12">
        <f ca="1">IFERROR(__xludf.DUMMYFUNCTION("INDEX(IMPORTRANGE(""1y0FWgjbB0gVlqn-q5LMJbGIsqOrzru4yowQz67dz2yc"", ""'SNG'!BG3:BG139""),MATCH($D83,IMPORTRANGE(""1y0FWgjbB0gVlqn-q5LMJbGIsqOrzru4yowQz67dz2yc"", ""'SNG'!D3:D139""),0))"),10)</f>
        <v>10</v>
      </c>
      <c r="Z83" s="12">
        <f ca="1">IFERROR(__xludf.DUMMYFUNCTION("INDEX(IMPORTRANGE(""1y0FWgjbB0gVlqn-q5LMJbGIsqOrzru4yowQz67dz2yc"", ""'SNG'!BH3:BH139""),MATCH($D83,IMPORTRANGE(""1y0FWgjbB0gVlqn-q5LMJbGIsqOrzru4yowQz67dz2yc"", ""'SNG'!D3:D139""),0))"),4)</f>
        <v>4</v>
      </c>
      <c r="AA83" s="12">
        <f ca="1">IFERROR(__xludf.DUMMYFUNCTION("INDEX(IMPORTRANGE(""1y0FWgjbB0gVlqn-q5LMJbGIsqOrzru4yowQz67dz2yc"", ""'SNG'!BI3:BI139""),MATCH($D83,IMPORTRANGE(""1y0FWgjbB0gVlqn-q5LMJbGIsqOrzru4yowQz67dz2yc"", ""'SNG'!D3:D139""),0))"),14)</f>
        <v>14</v>
      </c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70</v>
      </c>
      <c r="Q84" s="12">
        <v>123</v>
      </c>
      <c r="R84" s="13"/>
      <c r="S84" s="13"/>
      <c r="T84" s="13"/>
      <c r="U84" s="13"/>
      <c r="V84" s="13"/>
      <c r="W84" s="13"/>
      <c r="X84" s="12">
        <v>37</v>
      </c>
      <c r="Y84" s="12">
        <f ca="1">IFERROR(__xludf.DUMMYFUNCTION("INDEX(IMPORTRANGE(""1y0FWgjbB0gVlqn-q5LMJbGIsqOrzru4yowQz67dz2yc"", ""'SNG'!BG3:BG139""),MATCH($D84,IMPORTRANGE(""1y0FWgjbB0gVlqn-q5LMJbGIsqOrzru4yowQz67dz2yc"", ""'SNG'!D3:D139""),0))"),62)</f>
        <v>62</v>
      </c>
      <c r="Z84" s="12">
        <f ca="1">IFERROR(__xludf.DUMMYFUNCTION("INDEX(IMPORTRANGE(""1y0FWgjbB0gVlqn-q5LMJbGIsqOrzru4yowQz67dz2yc"", ""'SNG'!BH3:BH139""),MATCH($D84,IMPORTRANGE(""1y0FWgjbB0gVlqn-q5LMJbGIsqOrzru4yowQz67dz2yc"", ""'SNG'!D3:D139""),0))"),89)</f>
        <v>89</v>
      </c>
      <c r="AA84" s="12">
        <f ca="1">IFERROR(__xludf.DUMMYFUNCTION("INDEX(IMPORTRANGE(""1y0FWgjbB0gVlqn-q5LMJbGIsqOrzru4yowQz67dz2yc"", ""'SNG'!BI3:BI139""),MATCH($D84,IMPORTRANGE(""1y0FWgjbB0gVlqn-q5LMJbGIsqOrzru4yowQz67dz2yc"", ""'SNG'!D3:D139""),0))"),181)</f>
        <v>181</v>
      </c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16</v>
      </c>
      <c r="Q85" s="12">
        <v>30</v>
      </c>
      <c r="R85" s="13"/>
      <c r="S85" s="13"/>
      <c r="T85" s="13"/>
      <c r="U85" s="13"/>
      <c r="V85" s="13"/>
      <c r="W85" s="13"/>
      <c r="X85" s="12">
        <v>4</v>
      </c>
      <c r="Y85" s="12">
        <f ca="1">IFERROR(__xludf.DUMMYFUNCTION("INDEX(IMPORTRANGE(""1y0FWgjbB0gVlqn-q5LMJbGIsqOrzru4yowQz67dz2yc"", ""'SNG'!BG3:BG139""),MATCH($D85,IMPORTRANGE(""1y0FWgjbB0gVlqn-q5LMJbGIsqOrzru4yowQz67dz2yc"", ""'SNG'!D3:D139""),0))"),20)</f>
        <v>20</v>
      </c>
      <c r="Z85" s="12">
        <f ca="1">IFERROR(__xludf.DUMMYFUNCTION("INDEX(IMPORTRANGE(""1y0FWgjbB0gVlqn-q5LMJbGIsqOrzru4yowQz67dz2yc"", ""'SNG'!BH3:BH139""),MATCH($D85,IMPORTRANGE(""1y0FWgjbB0gVlqn-q5LMJbGIsqOrzru4yowQz67dz2yc"", ""'SNG'!D3:D139""),0))"),24)</f>
        <v>24</v>
      </c>
      <c r="AA85" s="12">
        <f ca="1">IFERROR(__xludf.DUMMYFUNCTION("INDEX(IMPORTRANGE(""1y0FWgjbB0gVlqn-q5LMJbGIsqOrzru4yowQz67dz2yc"", ""'SNG'!BI3:BI139""),MATCH($D85,IMPORTRANGE(""1y0FWgjbB0gVlqn-q5LMJbGIsqOrzru4yowQz67dz2yc"", ""'SNG'!D3:D139""),0))"),47)</f>
        <v>47</v>
      </c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4771</v>
      </c>
      <c r="Q86" s="12">
        <v>8906</v>
      </c>
      <c r="R86" s="13"/>
      <c r="S86" s="13"/>
      <c r="T86" s="13"/>
      <c r="U86" s="13"/>
      <c r="V86" s="13"/>
      <c r="W86" s="13"/>
      <c r="X86" s="12">
        <v>4295</v>
      </c>
      <c r="Y86" s="12">
        <f ca="1">IFERROR(__xludf.DUMMYFUNCTION("INDEX(IMPORTRANGE(""1y0FWgjbB0gVlqn-q5LMJbGIsqOrzru4yowQz67dz2yc"", ""'SNG'!BG3:BG139""),MATCH($D86,IMPORTRANGE(""1y0FWgjbB0gVlqn-q5LMJbGIsqOrzru4yowQz67dz2yc"", ""'SNG'!D3:D139""),0))"),9950)</f>
        <v>9950</v>
      </c>
      <c r="Z86" s="12">
        <f ca="1">IFERROR(__xludf.DUMMYFUNCTION("INDEX(IMPORTRANGE(""1y0FWgjbB0gVlqn-q5LMJbGIsqOrzru4yowQz67dz2yc"", ""'SNG'!BH3:BH139""),MATCH($D86,IMPORTRANGE(""1y0FWgjbB0gVlqn-q5LMJbGIsqOrzru4yowQz67dz2yc"", ""'SNG'!D3:D139""),0))"),5045)</f>
        <v>5045</v>
      </c>
      <c r="AA86" s="12">
        <f ca="1">IFERROR(__xludf.DUMMYFUNCTION("INDEX(IMPORTRANGE(""1y0FWgjbB0gVlqn-q5LMJbGIsqOrzru4yowQz67dz2yc"", ""'SNG'!BI3:BI139""),MATCH($D86,IMPORTRANGE(""1y0FWgjbB0gVlqn-q5LMJbGIsqOrzru4yowQz67dz2yc"", ""'SNG'!D3:D139""),0))"),10691)</f>
        <v>10691</v>
      </c>
      <c r="AB86" s="1"/>
      <c r="AC86" s="1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179</v>
      </c>
      <c r="Q87" s="12">
        <v>368</v>
      </c>
      <c r="R87" s="13"/>
      <c r="S87" s="13"/>
      <c r="T87" s="13"/>
      <c r="U87" s="13"/>
      <c r="V87" s="13"/>
      <c r="W87" s="13"/>
      <c r="X87" s="12">
        <v>237</v>
      </c>
      <c r="Y87" s="12">
        <f ca="1">IFERROR(__xludf.DUMMYFUNCTION("INDEX(IMPORTRANGE(""1y0FWgjbB0gVlqn-q5LMJbGIsqOrzru4yowQz67dz2yc"", ""'SNG'!BG3:BG139""),MATCH($D87,IMPORTRANGE(""1y0FWgjbB0gVlqn-q5LMJbGIsqOrzru4yowQz67dz2yc"", ""'SNG'!D3:D139""),0))"),555)</f>
        <v>555</v>
      </c>
      <c r="Z87" s="12">
        <f ca="1">IFERROR(__xludf.DUMMYFUNCTION("INDEX(IMPORTRANGE(""1y0FWgjbB0gVlqn-q5LMJbGIsqOrzru4yowQz67dz2yc"", ""'SNG'!BH3:BH139""),MATCH($D87,IMPORTRANGE(""1y0FWgjbB0gVlqn-q5LMJbGIsqOrzru4yowQz67dz2yc"", ""'SNG'!D3:D139""),0))"),238)</f>
        <v>238</v>
      </c>
      <c r="AA87" s="12">
        <f ca="1">IFERROR(__xludf.DUMMYFUNCTION("INDEX(IMPORTRANGE(""1y0FWgjbB0gVlqn-q5LMJbGIsqOrzru4yowQz67dz2yc"", ""'SNG'!BI3:BI139""),MATCH($D87,IMPORTRANGE(""1y0FWgjbB0gVlqn-q5LMJbGIsqOrzru4yowQz67dz2yc"", ""'SNG'!D3:D139""),0))"),481)</f>
        <v>481</v>
      </c>
      <c r="AB87" s="1"/>
      <c r="AC87" s="1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717</v>
      </c>
      <c r="Q88" s="12">
        <v>1408</v>
      </c>
      <c r="R88" s="13"/>
      <c r="S88" s="13"/>
      <c r="T88" s="13"/>
      <c r="U88" s="13"/>
      <c r="V88" s="13"/>
      <c r="W88" s="13"/>
      <c r="X88" s="12">
        <v>593</v>
      </c>
      <c r="Y88" s="12">
        <f ca="1">IFERROR(__xludf.DUMMYFUNCTION("INDEX(IMPORTRANGE(""1y0FWgjbB0gVlqn-q5LMJbGIsqOrzru4yowQz67dz2yc"", ""'SNG'!BG3:BG139""),MATCH($D88,IMPORTRANGE(""1y0FWgjbB0gVlqn-q5LMJbGIsqOrzru4yowQz67dz2yc"", ""'SNG'!D3:D139""),0))"),599)</f>
        <v>599</v>
      </c>
      <c r="Z88" s="12">
        <f ca="1">IFERROR(__xludf.DUMMYFUNCTION("INDEX(IMPORTRANGE(""1y0FWgjbB0gVlqn-q5LMJbGIsqOrzru4yowQz67dz2yc"", ""'SNG'!BH3:BH139""),MATCH($D88,IMPORTRANGE(""1y0FWgjbB0gVlqn-q5LMJbGIsqOrzru4yowQz67dz2yc"", ""'SNG'!D3:D139""),0))"),29)</f>
        <v>29</v>
      </c>
      <c r="AA88" s="12">
        <f ca="1">IFERROR(__xludf.DUMMYFUNCTION("INDEX(IMPORTRANGE(""1y0FWgjbB0gVlqn-q5LMJbGIsqOrzru4yowQz67dz2yc"", ""'SNG'!BI3:BI139""),MATCH($D88,IMPORTRANGE(""1y0FWgjbB0gVlqn-q5LMJbGIsqOrzru4yowQz67dz2yc"", ""'SNG'!D3:D139""),0))"),87)</f>
        <v>87</v>
      </c>
      <c r="AB88" s="1"/>
      <c r="AC88" s="1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5">SUM(P84:P88)</f>
        <v>5753</v>
      </c>
      <c r="Q89" s="12">
        <f t="shared" si="25"/>
        <v>10835</v>
      </c>
      <c r="R89" s="2">
        <v>10654</v>
      </c>
      <c r="S89" s="2">
        <v>5561</v>
      </c>
      <c r="T89" s="2">
        <v>10474</v>
      </c>
      <c r="U89" s="2">
        <v>5465</v>
      </c>
      <c r="V89" s="2">
        <v>10293</v>
      </c>
      <c r="W89" s="2">
        <v>10293</v>
      </c>
      <c r="X89" s="12">
        <f>SUM(X84:X88)</f>
        <v>5166</v>
      </c>
      <c r="Y89" s="12">
        <f ca="1">IFERROR(__xludf.DUMMYFUNCTION("INDEX(IMPORTRANGE(""1y0FWgjbB0gVlqn-q5LMJbGIsqOrzru4yowQz67dz2yc"", ""'SNG'!BG3:BG139""),MATCH($D89,IMPORTRANGE(""1y0FWgjbB0gVlqn-q5LMJbGIsqOrzru4yowQz67dz2yc"", ""'SNG'!D3:D139""),0))"),11186)</f>
        <v>11186</v>
      </c>
      <c r="Z89" s="12">
        <f ca="1">IFERROR(__xludf.DUMMYFUNCTION("INDEX(IMPORTRANGE(""1y0FWgjbB0gVlqn-q5LMJbGIsqOrzru4yowQz67dz2yc"", ""'SNG'!BH3:BH139""),MATCH($D89,IMPORTRANGE(""1y0FWgjbB0gVlqn-q5LMJbGIsqOrzru4yowQz67dz2yc"", ""'SNG'!D3:D139""),0))"),5425)</f>
        <v>5425</v>
      </c>
      <c r="AA89" s="12">
        <f ca="1">IFERROR(__xludf.DUMMYFUNCTION("INDEX(IMPORTRANGE(""1y0FWgjbB0gVlqn-q5LMJbGIsqOrzru4yowQz67dz2yc"", ""'SNG'!BI3:BI139""),MATCH($D89,IMPORTRANGE(""1y0FWgjbB0gVlqn-q5LMJbGIsqOrzru4yowQz67dz2yc"", ""'SNG'!D3:D139""),0))"),11487)</f>
        <v>11487</v>
      </c>
      <c r="AB89" s="1"/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0</v>
      </c>
      <c r="Q90" s="2">
        <v>0</v>
      </c>
      <c r="R90" s="2">
        <v>115</v>
      </c>
      <c r="S90" s="2">
        <v>58</v>
      </c>
      <c r="T90" s="2">
        <v>115</v>
      </c>
      <c r="U90" s="2">
        <v>58</v>
      </c>
      <c r="V90" s="2">
        <v>115</v>
      </c>
      <c r="W90" s="2">
        <v>346</v>
      </c>
      <c r="X90" s="2">
        <v>22</v>
      </c>
      <c r="Y90" s="2">
        <f ca="1">IFERROR(__xludf.DUMMYFUNCTION("INDEX(IMPORTRANGE(""1y0FWgjbB0gVlqn-q5LMJbGIsqOrzru4yowQz67dz2yc"", ""'SNG'!BG3:BG139""),MATCH($D90,IMPORTRANGE(""1y0FWgjbB0gVlqn-q5LMJbGIsqOrzru4yowQz67dz2yc"", ""'SNG'!D3:D139""),0))"),66)</f>
        <v>66</v>
      </c>
      <c r="Z90" s="2">
        <f ca="1">IFERROR(__xludf.DUMMYFUNCTION("INDEX(IMPORTRANGE(""1y0FWgjbB0gVlqn-q5LMJbGIsqOrzru4yowQz67dz2yc"", ""'SNG'!BH3:BH139""),MATCH($D90,IMPORTRANGE(""1y0FWgjbB0gVlqn-q5LMJbGIsqOrzru4yowQz67dz2yc"", ""'SNG'!D3:D139""),0))"),88)</f>
        <v>88</v>
      </c>
      <c r="AA90" s="2">
        <f ca="1">IFERROR(__xludf.DUMMYFUNCTION("INDEX(IMPORTRANGE(""1y0FWgjbB0gVlqn-q5LMJbGIsqOrzru4yowQz67dz2yc"", ""'SNG'!BI3:BI139""),MATCH($D90,IMPORTRANGE(""1y0FWgjbB0gVlqn-q5LMJbGIsqOrzru4yowQz67dz2yc"", ""'SNG'!D3:D139""),0))"),337)</f>
        <v>337</v>
      </c>
      <c r="AB90" s="1"/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2</v>
      </c>
      <c r="Q91" s="12">
        <v>2</v>
      </c>
      <c r="R91" s="2">
        <v>10</v>
      </c>
      <c r="S91" s="2">
        <v>30</v>
      </c>
      <c r="T91" s="2">
        <v>50</v>
      </c>
      <c r="U91" s="2">
        <v>70</v>
      </c>
      <c r="V91" s="2">
        <v>80</v>
      </c>
      <c r="W91" s="2">
        <v>80</v>
      </c>
      <c r="X91" s="2">
        <v>2</v>
      </c>
      <c r="Y91" s="2">
        <f ca="1">IFERROR(__xludf.DUMMYFUNCTION("INDEX(IMPORTRANGE(""1y0FWgjbB0gVlqn-q5LMJbGIsqOrzru4yowQz67dz2yc"", ""'SNG'!BG3:BG139""),MATCH($D91,IMPORTRANGE(""1y0FWgjbB0gVlqn-q5LMJbGIsqOrzru4yowQz67dz2yc"", ""'SNG'!D3:D139""),0))"),10)</f>
        <v>10</v>
      </c>
      <c r="Z91" s="2">
        <f ca="1">IFERROR(__xludf.DUMMYFUNCTION("INDEX(IMPORTRANGE(""1y0FWgjbB0gVlqn-q5LMJbGIsqOrzru4yowQz67dz2yc"", ""'SNG'!BH3:BH139""),MATCH($D91,IMPORTRANGE(""1y0FWgjbB0gVlqn-q5LMJbGIsqOrzru4yowQz67dz2yc"", ""'SNG'!D3:D139""),0))"),30)</f>
        <v>30</v>
      </c>
      <c r="AA91" s="2">
        <f ca="1">IFERROR(__xludf.DUMMYFUNCTION("INDEX(IMPORTRANGE(""1y0FWgjbB0gVlqn-q5LMJbGIsqOrzru4yowQz67dz2yc"", ""'SNG'!BI3:BI139""),MATCH($D91,IMPORTRANGE(""1y0FWgjbB0gVlqn-q5LMJbGIsqOrzru4yowQz67dz2yc"", ""'SNG'!D3:D139""),0))"),36)</f>
        <v>36</v>
      </c>
      <c r="AB91" s="1"/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23">
        <v>95.55</v>
      </c>
      <c r="Q92" s="23">
        <v>95.55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3">
        <v>95.27</v>
      </c>
      <c r="Y92" s="23">
        <f ca="1">IFERROR(__xludf.DUMMYFUNCTION("INDEX(IMPORTRANGE(""1y0FWgjbB0gVlqn-q5LMJbGIsqOrzru4yowQz67dz2yc"", ""'SNG'!BG3:BG139""),MATCH($D92,IMPORTRANGE(""1y0FWgjbB0gVlqn-q5LMJbGIsqOrzru4yowQz67dz2yc"", ""'SNG'!D3:D139""),0))"),90.61)</f>
        <v>90.61</v>
      </c>
      <c r="Z92" s="23">
        <f ca="1">IFERROR(__xludf.DUMMYFUNCTION("INDEX(IMPORTRANGE(""1y0FWgjbB0gVlqn-q5LMJbGIsqOrzru4yowQz67dz2yc"", ""'SNG'!BH3:BH139""),MATCH($D92,IMPORTRANGE(""1y0FWgjbB0gVlqn-q5LMJbGIsqOrzru4yowQz67dz2yc"", ""'SNG'!D3:D139""),0))"),95.79)</f>
        <v>95.79</v>
      </c>
      <c r="AA92" s="23">
        <f ca="1">IFERROR(__xludf.DUMMYFUNCTION("INDEX(IMPORTRANGE(""1y0FWgjbB0gVlqn-q5LMJbGIsqOrzru4yowQz67dz2yc"", ""'SNG'!BI3:BI139""),MATCH($D92,IMPORTRANGE(""1y0FWgjbB0gVlqn-q5LMJbGIsqOrzru4yowQz67dz2yc"", ""'SNG'!D3:D139""),0))"),97.7)</f>
        <v>97.7</v>
      </c>
      <c r="AB92" s="1"/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3">
        <f ca="1">IFERROR(__xludf.DUMMYFUNCTION("INDEX(IMPORTRANGE(""1y0FWgjbB0gVlqn-q5LMJbGIsqOrzru4yowQz67dz2yc"", ""'SNG'!BG3:BG139""),MATCH($D93,IMPORTRANGE(""1y0FWgjbB0gVlqn-q5LMJbGIsqOrzru4yowQz67dz2yc"", ""'SNG'!D3:D139""),0))"),1.57142857142857)</f>
        <v>1.5714285714285701</v>
      </c>
      <c r="Z93" s="23">
        <f ca="1">IFERROR(__xludf.DUMMYFUNCTION("INDEX(IMPORTRANGE(""1y0FWgjbB0gVlqn-q5LMJbGIsqOrzru4yowQz67dz2yc"", ""'SNG'!BH3:BH139""),MATCH($D93,IMPORTRANGE(""1y0FWgjbB0gVlqn-q5LMJbGIsqOrzru4yowQz67dz2yc"", ""'SNG'!D3:D139""),0))"),3.83974358974358)</f>
        <v>3.8397435897435801</v>
      </c>
      <c r="AA93" s="23">
        <f ca="1">IFERROR(__xludf.DUMMYFUNCTION("INDEX(IMPORTRANGE(""1y0FWgjbB0gVlqn-q5LMJbGIsqOrzru4yowQz67dz2yc"", ""'SNG'!BI3:BI139""),MATCH($D93,IMPORTRANGE(""1y0FWgjbB0gVlqn-q5LMJbGIsqOrzru4yowQz67dz2yc"", ""'SNG'!D3:D139""),0))"),3.63759769642122)</f>
        <v>3.6375976964212202</v>
      </c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12">
        <v>1</v>
      </c>
      <c r="Y94" s="12">
        <f ca="1">IFERROR(__xludf.DUMMYFUNCTION("INDEX(IMPORTRANGE(""1y0FWgjbB0gVlqn-q5LMJbGIsqOrzru4yowQz67dz2yc"", ""'SNG'!BG3:BG139""),MATCH($D94,IMPORTRANGE(""1y0FWgjbB0gVlqn-q5LMJbGIsqOrzru4yowQz67dz2yc"", ""'SNG'!D3:D139""),0))"),1)</f>
        <v>1</v>
      </c>
      <c r="Z94" s="12">
        <f ca="1">IFERROR(__xludf.DUMMYFUNCTION("INDEX(IMPORTRANGE(""1y0FWgjbB0gVlqn-q5LMJbGIsqOrzru4yowQz67dz2yc"", ""'SNG'!BH3:BH139""),MATCH($D94,IMPORTRANGE(""1y0FWgjbB0gVlqn-q5LMJbGIsqOrzru4yowQz67dz2yc"", ""'SNG'!D3:D139""),0))"),3)</f>
        <v>3</v>
      </c>
      <c r="AA94" s="12" t="str">
        <f ca="1">IFERROR(__xludf.DUMMYFUNCTION("INDEX(IMPORTRANGE(""1y0FWgjbB0gVlqn-q5LMJbGIsqOrzru4yowQz67dz2yc"", ""'SNG'!BI3:BI139""),MATCH($D94,IMPORTRANGE(""1y0FWgjbB0gVlqn-q5LMJbGIsqOrzru4yowQz67dz2yc"", ""'SNG'!D3:D139""),0))"),"")</f>
        <v/>
      </c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13"/>
      <c r="T95" s="13"/>
      <c r="U95" s="13"/>
      <c r="V95" s="13"/>
      <c r="W95" s="13"/>
      <c r="X95" s="12">
        <v>10</v>
      </c>
      <c r="Y95" s="12">
        <f ca="1">IFERROR(__xludf.DUMMYFUNCTION("INDEX(IMPORTRANGE(""1y0FWgjbB0gVlqn-q5LMJbGIsqOrzru4yowQz67dz2yc"", ""'SNG'!BG3:BG139""),MATCH($D95,IMPORTRANGE(""1y0FWgjbB0gVlqn-q5LMJbGIsqOrzru4yowQz67dz2yc"", ""'SNG'!D3:D139""),0))"),11)</f>
        <v>11</v>
      </c>
      <c r="Z95" s="12">
        <f ca="1">IFERROR(__xludf.DUMMYFUNCTION("INDEX(IMPORTRANGE(""1y0FWgjbB0gVlqn-q5LMJbGIsqOrzru4yowQz67dz2yc"", ""'SNG'!BH3:BH139""),MATCH($D95,IMPORTRANGE(""1y0FWgjbB0gVlqn-q5LMJbGIsqOrzru4yowQz67dz2yc"", ""'SNG'!D3:D139""),0))"),12)</f>
        <v>12</v>
      </c>
      <c r="AA95" s="12">
        <f ca="1">IFERROR(__xludf.DUMMYFUNCTION("INDEX(IMPORTRANGE(""1y0FWgjbB0gVlqn-q5LMJbGIsqOrzru4yowQz67dz2yc"", ""'SNG'!BI3:BI139""),MATCH($D95,IMPORTRANGE(""1y0FWgjbB0gVlqn-q5LMJbGIsqOrzru4yowQz67dz2yc"", ""'SNG'!D3:D139""),0))"),0)</f>
        <v>0</v>
      </c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13"/>
      <c r="S96" s="13"/>
      <c r="T96" s="13"/>
      <c r="U96" s="13"/>
      <c r="V96" s="13"/>
      <c r="W96" s="13"/>
      <c r="X96" s="12">
        <v>1</v>
      </c>
      <c r="Y96" s="12">
        <f ca="1">IFERROR(__xludf.DUMMYFUNCTION("INDEX(IMPORTRANGE(""1y0FWgjbB0gVlqn-q5LMJbGIsqOrzru4yowQz67dz2yc"", ""'SNG'!BG3:BG139""),MATCH($D96,IMPORTRANGE(""1y0FWgjbB0gVlqn-q5LMJbGIsqOrzru4yowQz67dz2yc"", ""'SNG'!D3:D139""),0))"),1)</f>
        <v>1</v>
      </c>
      <c r="Z96" s="12">
        <f ca="1">IFERROR(__xludf.DUMMYFUNCTION("INDEX(IMPORTRANGE(""1y0FWgjbB0gVlqn-q5LMJbGIsqOrzru4yowQz67dz2yc"", ""'SNG'!BH3:BH139""),MATCH($D96,IMPORTRANGE(""1y0FWgjbB0gVlqn-q5LMJbGIsqOrzru4yowQz67dz2yc"", ""'SNG'!D3:D139""),0))"),1)</f>
        <v>1</v>
      </c>
      <c r="AA96" s="12" t="str">
        <f ca="1">IFERROR(__xludf.DUMMYFUNCTION("INDEX(IMPORTRANGE(""1y0FWgjbB0gVlqn-q5LMJbGIsqOrzru4yowQz67dz2yc"", ""'SNG'!BI3:BI139""),MATCH($D96,IMPORTRANGE(""1y0FWgjbB0gVlqn-q5LMJbGIsqOrzru4yowQz67dz2yc"", ""'SNG'!D3:D139""),0))"),"")</f>
        <v/>
      </c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13"/>
      <c r="S97" s="13"/>
      <c r="T97" s="13"/>
      <c r="U97" s="13"/>
      <c r="V97" s="13"/>
      <c r="W97" s="13"/>
      <c r="X97" s="12">
        <v>2</v>
      </c>
      <c r="Y97" s="12">
        <f ca="1">IFERROR(__xludf.DUMMYFUNCTION("INDEX(IMPORTRANGE(""1y0FWgjbB0gVlqn-q5LMJbGIsqOrzru4yowQz67dz2yc"", ""'SNG'!BG3:BG139""),MATCH($D97,IMPORTRANGE(""1y0FWgjbB0gVlqn-q5LMJbGIsqOrzru4yowQz67dz2yc"", ""'SNG'!D3:D139""),0))"),2)</f>
        <v>2</v>
      </c>
      <c r="Z97" s="12">
        <f ca="1">IFERROR(__xludf.DUMMYFUNCTION("INDEX(IMPORTRANGE(""1y0FWgjbB0gVlqn-q5LMJbGIsqOrzru4yowQz67dz2yc"", ""'SNG'!BH3:BH139""),MATCH($D97,IMPORTRANGE(""1y0FWgjbB0gVlqn-q5LMJbGIsqOrzru4yowQz67dz2yc"", ""'SNG'!D3:D139""),0))"),2)</f>
        <v>2</v>
      </c>
      <c r="AA97" s="12">
        <f ca="1">IFERROR(__xludf.DUMMYFUNCTION("INDEX(IMPORTRANGE(""1y0FWgjbB0gVlqn-q5LMJbGIsqOrzru4yowQz67dz2yc"", ""'SNG'!BI3:BI139""),MATCH($D97,IMPORTRANGE(""1y0FWgjbB0gVlqn-q5LMJbGIsqOrzru4yowQz67dz2yc"", ""'SNG'!D3:D139""),0))"),0)</f>
        <v>0</v>
      </c>
      <c r="AB97" s="1"/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13"/>
      <c r="S98" s="13"/>
      <c r="T98" s="13"/>
      <c r="U98" s="13"/>
      <c r="V98" s="13"/>
      <c r="W98" s="13"/>
      <c r="X98" s="12">
        <v>16</v>
      </c>
      <c r="Y98" s="12">
        <f ca="1">IFERROR(__xludf.DUMMYFUNCTION("INDEX(IMPORTRANGE(""1y0FWgjbB0gVlqn-q5LMJbGIsqOrzru4yowQz67dz2yc"", ""'SNG'!BG3:BG139""),MATCH($D98,IMPORTRANGE(""1y0FWgjbB0gVlqn-q5LMJbGIsqOrzru4yowQz67dz2yc"", ""'SNG'!D3:D139""),0))"),23)</f>
        <v>23</v>
      </c>
      <c r="Z98" s="12">
        <f ca="1">IFERROR(__xludf.DUMMYFUNCTION("INDEX(IMPORTRANGE(""1y0FWgjbB0gVlqn-q5LMJbGIsqOrzru4yowQz67dz2yc"", ""'SNG'!BH3:BH139""),MATCH($D98,IMPORTRANGE(""1y0FWgjbB0gVlqn-q5LMJbGIsqOrzru4yowQz67dz2yc"", ""'SNG'!D3:D139""),0))"),23)</f>
        <v>23</v>
      </c>
      <c r="AA98" s="12" t="str">
        <f ca="1">IFERROR(__xludf.DUMMYFUNCTION("INDEX(IMPORTRANGE(""1y0FWgjbB0gVlqn-q5LMJbGIsqOrzru4yowQz67dz2yc"", ""'SNG'!BI3:BI139""),MATCH($D98,IMPORTRANGE(""1y0FWgjbB0gVlqn-q5LMJbGIsqOrzru4yowQz67dz2yc"", ""'SNG'!D3:D139""),0))"),"")</f>
        <v/>
      </c>
      <c r="AB98" s="1"/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254"/>
      <c r="Q99" s="254"/>
      <c r="R99" s="13"/>
      <c r="S99" s="13"/>
      <c r="T99" s="13"/>
      <c r="U99" s="13"/>
      <c r="V99" s="13"/>
      <c r="W99" s="13"/>
      <c r="X99" s="12">
        <v>53</v>
      </c>
      <c r="Y99" s="12">
        <f ca="1">IFERROR(__xludf.DUMMYFUNCTION("INDEX(IMPORTRANGE(""1y0FWgjbB0gVlqn-q5LMJbGIsqOrzru4yowQz67dz2yc"", ""'SNG'!BG3:BG139""),MATCH($D99,IMPORTRANGE(""1y0FWgjbB0gVlqn-q5LMJbGIsqOrzru4yowQz67dz2yc"", ""'SNG'!D3:D139""),0))"),62)</f>
        <v>62</v>
      </c>
      <c r="Z99" s="12">
        <f ca="1">IFERROR(__xludf.DUMMYFUNCTION("INDEX(IMPORTRANGE(""1y0FWgjbB0gVlqn-q5LMJbGIsqOrzru4yowQz67dz2yc"", ""'SNG'!BH3:BH139""),MATCH($D99,IMPORTRANGE(""1y0FWgjbB0gVlqn-q5LMJbGIsqOrzru4yowQz67dz2yc"", ""'SNG'!D3:D139""),0))"),61)</f>
        <v>61</v>
      </c>
      <c r="AA99" s="12">
        <f ca="1">IFERROR(__xludf.DUMMYFUNCTION("INDEX(IMPORTRANGE(""1y0FWgjbB0gVlqn-q5LMJbGIsqOrzru4yowQz67dz2yc"", ""'SNG'!BI3:BI139""),MATCH($D99,IMPORTRANGE(""1y0FWgjbB0gVlqn-q5LMJbGIsqOrzru4yowQz67dz2yc"", ""'SNG'!D3:D139""),0))"),0)</f>
        <v>0</v>
      </c>
      <c r="AB99" s="1"/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11">
        <v>44651</v>
      </c>
      <c r="J100" s="13"/>
      <c r="K100" s="11">
        <v>45016</v>
      </c>
      <c r="L100" s="13"/>
      <c r="M100" s="11">
        <v>45382</v>
      </c>
      <c r="N100" s="13"/>
      <c r="O100" s="11">
        <v>45565</v>
      </c>
      <c r="P100" s="254"/>
      <c r="Q100" s="25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0.27692307692307694</v>
      </c>
      <c r="Y100" s="15">
        <f ca="1">IFERROR(__xludf.DUMMYFUNCTION("INDEX(IMPORTRANGE(""1y0FWgjbB0gVlqn-q5LMJbGIsqOrzru4yowQz67dz2yc"", ""'SNG'!BG3:BG139""),MATCH($D100,IMPORTRANGE(""1y0FWgjbB0gVlqn-q5LMJbGIsqOrzru4yowQz67dz2yc"", ""'SNG'!D3:D139""),0))"),0.333333333333333)</f>
        <v>0.33333333333333298</v>
      </c>
      <c r="Z100" s="15">
        <f ca="1">IFERROR(__xludf.DUMMYFUNCTION("INDEX(IMPORTRANGE(""1y0FWgjbB0gVlqn-q5LMJbGIsqOrzru4yowQz67dz2yc"", ""'SNG'!BH3:BH139""),MATCH($D100,IMPORTRANGE(""1y0FWgjbB0gVlqn-q5LMJbGIsqOrzru4yowQz67dz2yc"", ""'SNG'!D3:D139""),0))"),0.36)</f>
        <v>0.36</v>
      </c>
      <c r="AA100" s="15" t="str">
        <f ca="1">IFERROR(__xludf.DUMMYFUNCTION("INDEX(IMPORTRANGE(""1y0FWgjbB0gVlqn-q5LMJbGIsqOrzru4yowQz67dz2yc"", ""'SNG'!BI3:BI139""),MATCH($D100,IMPORTRANGE(""1y0FWgjbB0gVlqn-q5LMJbGIsqOrzru4yowQz67dz2yc"", ""'SNG'!D3:D139""),0))"),"")</f>
        <v/>
      </c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6">
        <v>641679794</v>
      </c>
      <c r="Q101" s="36">
        <v>641679794</v>
      </c>
      <c r="R101" s="13"/>
      <c r="S101" s="13"/>
      <c r="T101" s="13"/>
      <c r="U101" s="13"/>
      <c r="V101" s="13"/>
      <c r="W101" s="13"/>
      <c r="X101" s="36">
        <v>641679794</v>
      </c>
      <c r="Y101" s="336" t="str">
        <f ca="1">IFERROR(__xludf.DUMMYFUNCTION("INDEX(IMPORTRANGE(""1y0FWgjbB0gVlqn-q5LMJbGIsqOrzru4yowQz67dz2yc"", ""'SNG'!BG3:BG139""),MATCH($D101,IMPORTRANGE(""1y0FWgjbB0gVlqn-q5LMJbGIsqOrzru4yowQz67dz2yc"", ""'SNG'!D3:D139""),0))"),"")</f>
        <v/>
      </c>
      <c r="Z101" s="50">
        <f ca="1">IFERROR(__xludf.DUMMYFUNCTION("INDEX(IMPORTRANGE(""1y0FWgjbB0gVlqn-q5LMJbGIsqOrzru4yowQz67dz2yc"", ""'SNG'!BH3:BH139""),MATCH($D101,IMPORTRANGE(""1y0FWgjbB0gVlqn-q5LMJbGIsqOrzru4yowQz67dz2yc"", ""'SNG'!D3:D139""),0))"),740071741)</f>
        <v>740071741</v>
      </c>
      <c r="AA101" s="336" t="str">
        <f ca="1">IFERROR(__xludf.DUMMYFUNCTION("INDEX(IMPORTRANGE(""1y0FWgjbB0gVlqn-q5LMJbGIsqOrzru4yowQz67dz2yc"", ""'SNG'!BI3:BI139""),MATCH($D101,IMPORTRANGE(""1y0FWgjbB0gVlqn-q5LMJbGIsqOrzru4yowQz67dz2yc"", ""'SNG'!D3:D139""),0))"),"")</f>
        <v/>
      </c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2323752062</v>
      </c>
      <c r="Q102" s="36">
        <v>2323752062</v>
      </c>
      <c r="R102" s="13"/>
      <c r="S102" s="13"/>
      <c r="T102" s="13"/>
      <c r="U102" s="13"/>
      <c r="V102" s="13"/>
      <c r="W102" s="13"/>
      <c r="X102" s="36">
        <v>2323752062</v>
      </c>
      <c r="Y102" s="336" t="str">
        <f ca="1">IFERROR(__xludf.DUMMYFUNCTION("INDEX(IMPORTRANGE(""1y0FWgjbB0gVlqn-q5LMJbGIsqOrzru4yowQz67dz2yc"", ""'SNG'!BG3:BG139""),MATCH($D102,IMPORTRANGE(""1y0FWgjbB0gVlqn-q5LMJbGIsqOrzru4yowQz67dz2yc"", ""'SNG'!D3:D139""),0))"),"")</f>
        <v/>
      </c>
      <c r="Z102" s="50">
        <f ca="1">IFERROR(__xludf.DUMMYFUNCTION("INDEX(IMPORTRANGE(""1y0FWgjbB0gVlqn-q5LMJbGIsqOrzru4yowQz67dz2yc"", ""'SNG'!BH3:BH139""),MATCH($D102,IMPORTRANGE(""1y0FWgjbB0gVlqn-q5LMJbGIsqOrzru4yowQz67dz2yc"", ""'SNG'!D3:D139""),0))"),2652469823)</f>
        <v>2652469823</v>
      </c>
      <c r="AA102" s="336" t="str">
        <f ca="1">IFERROR(__xludf.DUMMYFUNCTION("INDEX(IMPORTRANGE(""1y0FWgjbB0gVlqn-q5LMJbGIsqOrzru4yowQz67dz2yc"", ""'SNG'!BI3:BI139""),MATCH($D102,IMPORTRANGE(""1y0FWgjbB0gVlqn-q5LMJbGIsqOrzru4yowQz67dz2yc"", ""'SNG'!D3:D139""),0))"),"")</f>
        <v/>
      </c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6">P101/P102</f>
        <v>0.27613952645521095</v>
      </c>
      <c r="Q103" s="15">
        <f t="shared" si="26"/>
        <v>0.27613952645521095</v>
      </c>
      <c r="R103" s="2"/>
      <c r="S103" s="15">
        <v>0.27800000000000002</v>
      </c>
      <c r="T103" s="2"/>
      <c r="U103" s="15">
        <v>0.28000000000000003</v>
      </c>
      <c r="V103" s="15">
        <v>0.28199999999999997</v>
      </c>
      <c r="W103" s="15">
        <v>0.28000000000000003</v>
      </c>
      <c r="X103" s="15">
        <f>X101/X102</f>
        <v>0.27613952645521095</v>
      </c>
      <c r="Y103" s="450" t="str">
        <f ca="1">IFERROR(__xludf.DUMMYFUNCTION("INDEX(IMPORTRANGE(""1y0FWgjbB0gVlqn-q5LMJbGIsqOrzru4yowQz67dz2yc"", ""'SNG'!BG3:BG139""),MATCH($D103,IMPORTRANGE(""1y0FWgjbB0gVlqn-q5LMJbGIsqOrzru4yowQz67dz2yc"", ""'SNG'!D3:D139""),0))"),"")</f>
        <v/>
      </c>
      <c r="Z103" s="15">
        <f ca="1">IFERROR(__xludf.DUMMYFUNCTION("INDEX(IMPORTRANGE(""1y0FWgjbB0gVlqn-q5LMJbGIsqOrzru4yowQz67dz2yc"", ""'SNG'!BH3:BH139""),MATCH($D103,IMPORTRANGE(""1y0FWgjbB0gVlqn-q5LMJbGIsqOrzru4yowQz67dz2yc"", ""'SNG'!D3:D139""),0))"),0.279012313196823)</f>
        <v>0.27901231319682301</v>
      </c>
      <c r="AA103" s="450" t="str">
        <f ca="1">IFERROR(__xludf.DUMMYFUNCTION("INDEX(IMPORTRANGE(""1y0FWgjbB0gVlqn-q5LMJbGIsqOrzru4yowQz67dz2yc"", ""'SNG'!BI3:BI139""),MATCH($D103,IMPORTRANGE(""1y0FWgjbB0gVlqn-q5LMJbGIsqOrzru4yowQz67dz2yc"", ""'SNG'!D3:D139""),0))"),"")</f>
        <v/>
      </c>
      <c r="AB103" s="1"/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50">
        <v>1770850112.28</v>
      </c>
      <c r="Q104" s="50">
        <v>1770850112.28</v>
      </c>
      <c r="R104" s="330"/>
      <c r="S104" s="13"/>
      <c r="T104" s="13"/>
      <c r="U104" s="13"/>
      <c r="V104" s="13"/>
      <c r="W104" s="13"/>
      <c r="X104" s="36">
        <v>1770850112.28</v>
      </c>
      <c r="Y104" s="249" t="str">
        <f ca="1">IFERROR(__xludf.DUMMYFUNCTION("INDEX(IMPORTRANGE(""1y0FWgjbB0gVlqn-q5LMJbGIsqOrzru4yowQz67dz2yc"", ""'SNG'!BG3:BG139""),MATCH($D104,IMPORTRANGE(""1y0FWgjbB0gVlqn-q5LMJbGIsqOrzru4yowQz67dz2yc"", ""'SNG'!D3:D139""),0))"),"")</f>
        <v/>
      </c>
      <c r="Z104" s="36">
        <f ca="1">IFERROR(__xludf.DUMMYFUNCTION("INDEX(IMPORTRANGE(""1y0FWgjbB0gVlqn-q5LMJbGIsqOrzru4yowQz67dz2yc"", ""'SNG'!BH3:BH139""),MATCH($D104,IMPORTRANGE(""1y0FWgjbB0gVlqn-q5LMJbGIsqOrzru4yowQz67dz2yc"", ""'SNG'!D3:D139""),0))"),1990938655.47)</f>
        <v>1990938655.47</v>
      </c>
      <c r="AA104" s="249" t="str">
        <f ca="1">IFERROR(__xludf.DUMMYFUNCTION("INDEX(IMPORTRANGE(""1y0FWgjbB0gVlqn-q5LMJbGIsqOrzru4yowQz67dz2yc"", ""'SNG'!BI3:BI139""),MATCH($D104,IMPORTRANGE(""1y0FWgjbB0gVlqn-q5LMJbGIsqOrzru4yowQz67dz2yc"", ""'SNG'!D3:D139""),0))"),"")</f>
        <v/>
      </c>
      <c r="AB104" s="1"/>
      <c r="AC104" s="1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5">
        <f t="shared" ref="P105:Q105" si="27">P101/P104</f>
        <v>0.3623569208654403</v>
      </c>
      <c r="Q105" s="15">
        <f t="shared" si="27"/>
        <v>0.3623569208654403</v>
      </c>
      <c r="R105" s="2"/>
      <c r="S105" s="15">
        <v>0.36399999999999999</v>
      </c>
      <c r="T105" s="2"/>
      <c r="U105" s="15">
        <v>0.36599999999999999</v>
      </c>
      <c r="V105" s="15">
        <v>0.36799999999999999</v>
      </c>
      <c r="W105" s="15">
        <v>0.37</v>
      </c>
      <c r="X105" s="15">
        <f>X101/X104</f>
        <v>0.3623569208654403</v>
      </c>
      <c r="Y105" s="450" t="str">
        <f ca="1">IFERROR(__xludf.DUMMYFUNCTION("INDEX(IMPORTRANGE(""1y0FWgjbB0gVlqn-q5LMJbGIsqOrzru4yowQz67dz2yc"", ""'SNG'!BG3:BG139""),MATCH($D105,IMPORTRANGE(""1y0FWgjbB0gVlqn-q5LMJbGIsqOrzru4yowQz67dz2yc"", ""'SNG'!D3:D139""),0))"),"")</f>
        <v/>
      </c>
      <c r="Z105" s="12">
        <f ca="1">IFERROR(__xludf.DUMMYFUNCTION("INDEX(IMPORTRANGE(""1y0FWgjbB0gVlqn-q5LMJbGIsqOrzru4yowQz67dz2yc"", ""'SNG'!BH3:BH139""),MATCH($D105,IMPORTRANGE(""1y0FWgjbB0gVlqn-q5LMJbGIsqOrzru4yowQz67dz2yc"", ""'SNG'!D3:D139""),0))"),0.371720012048935)</f>
        <v>0.37172001204893501</v>
      </c>
      <c r="AA105" s="450" t="str">
        <f ca="1">IFERROR(__xludf.DUMMYFUNCTION("INDEX(IMPORTRANGE(""1y0FWgjbB0gVlqn-q5LMJbGIsqOrzru4yowQz67dz2yc"", ""'SNG'!BI3:BI139""),MATCH($D105,IMPORTRANGE(""1y0FWgjbB0gVlqn-q5LMJbGIsqOrzru4yowQz67dz2yc"", ""'SNG'!D3:D139""),0))"),"")</f>
        <v/>
      </c>
      <c r="AB105" s="1"/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12">
        <v>147356</v>
      </c>
      <c r="Q106" s="12">
        <v>147356</v>
      </c>
      <c r="R106" s="13"/>
      <c r="S106" s="13"/>
      <c r="T106" s="13"/>
      <c r="U106" s="13"/>
      <c r="V106" s="13"/>
      <c r="W106" s="13"/>
      <c r="X106" s="12">
        <v>147356</v>
      </c>
      <c r="Y106" s="249" t="str">
        <f ca="1">IFERROR(__xludf.DUMMYFUNCTION("INDEX(IMPORTRANGE(""1y0FWgjbB0gVlqn-q5LMJbGIsqOrzru4yowQz67dz2yc"", ""'SNG'!BG3:BG139""),MATCH($D106,IMPORTRANGE(""1y0FWgjbB0gVlqn-q5LMJbGIsqOrzru4yowQz67dz2yc"", ""'SNG'!D3:D139""),0))"),"")</f>
        <v/>
      </c>
      <c r="Z106" s="12">
        <f ca="1">IFERROR(__xludf.DUMMYFUNCTION("INDEX(IMPORTRANGE(""1y0FWgjbB0gVlqn-q5LMJbGIsqOrzru4yowQz67dz2yc"", ""'SNG'!BH3:BH139""),MATCH($D106,IMPORTRANGE(""1y0FWgjbB0gVlqn-q5LMJbGIsqOrzru4yowQz67dz2yc"", ""'SNG'!D3:D139""),0))"),137188)</f>
        <v>137188</v>
      </c>
      <c r="AA106" s="249" t="str">
        <f ca="1">IFERROR(__xludf.DUMMYFUNCTION("INDEX(IMPORTRANGE(""1y0FWgjbB0gVlqn-q5LMJbGIsqOrzru4yowQz67dz2yc"", ""'SNG'!BI3:BI139""),MATCH($D106,IMPORTRANGE(""1y0FWgjbB0gVlqn-q5LMJbGIsqOrzru4yowQz67dz2yc"", ""'SNG'!D3:D139""),0))"),"")</f>
        <v/>
      </c>
      <c r="AB106" s="1"/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99460</v>
      </c>
      <c r="Q107" s="12">
        <v>99460</v>
      </c>
      <c r="R107" s="1"/>
      <c r="S107" s="1"/>
      <c r="T107" s="1"/>
      <c r="U107" s="1"/>
      <c r="V107" s="1"/>
      <c r="W107" s="1"/>
      <c r="X107" s="12">
        <v>99460</v>
      </c>
      <c r="Y107" s="249" t="str">
        <f ca="1">IFERROR(__xludf.DUMMYFUNCTION("INDEX(IMPORTRANGE(""1y0FWgjbB0gVlqn-q5LMJbGIsqOrzru4yowQz67dz2yc"", ""'SNG'!BG3:BG139""),MATCH($D107,IMPORTRANGE(""1y0FWgjbB0gVlqn-q5LMJbGIsqOrzru4yowQz67dz2yc"", ""'SNG'!D3:D139""),0))"),"")</f>
        <v/>
      </c>
      <c r="Z107" s="12">
        <f ca="1">IFERROR(__xludf.DUMMYFUNCTION("INDEX(IMPORTRANGE(""1y0FWgjbB0gVlqn-q5LMJbGIsqOrzru4yowQz67dz2yc"", ""'SNG'!BH3:BH139""),MATCH($D107,IMPORTRANGE(""1y0FWgjbB0gVlqn-q5LMJbGIsqOrzru4yowQz67dz2yc"", ""'SNG'!D3:D139""),0))"),97941)</f>
        <v>97941</v>
      </c>
      <c r="AA107" s="249" t="str">
        <f ca="1">IFERROR(__xludf.DUMMYFUNCTION("INDEX(IMPORTRANGE(""1y0FWgjbB0gVlqn-q5LMJbGIsqOrzru4yowQz67dz2yc"", ""'SNG'!BI3:BI139""),MATCH($D107,IMPORTRANGE(""1y0FWgjbB0gVlqn-q5LMJbGIsqOrzru4yowQz67dz2yc"", ""'SNG'!D3:D139""),0))"),"")</f>
        <v/>
      </c>
      <c r="AB107" s="1"/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8">P107/P106</f>
        <v>0.67496403268275473</v>
      </c>
      <c r="Q108" s="15">
        <f t="shared" si="28"/>
        <v>0.67496403268275473</v>
      </c>
      <c r="R108" s="2"/>
      <c r="S108" s="14">
        <v>0.68</v>
      </c>
      <c r="T108" s="2"/>
      <c r="U108" s="15">
        <v>0.68500000000000005</v>
      </c>
      <c r="V108" s="15">
        <v>0.69</v>
      </c>
      <c r="W108" s="15">
        <v>0.69</v>
      </c>
      <c r="X108" s="15">
        <f>X107/X106</f>
        <v>0.67496403268275473</v>
      </c>
      <c r="Y108" s="450" t="str">
        <f ca="1">IFERROR(__xludf.DUMMYFUNCTION("INDEX(IMPORTRANGE(""1y0FWgjbB0gVlqn-q5LMJbGIsqOrzru4yowQz67dz2yc"", ""'SNG'!BG3:BG139""),MATCH($D108,IMPORTRANGE(""1y0FWgjbB0gVlqn-q5LMJbGIsqOrzru4yowQz67dz2yc"", ""'SNG'!D3:D139""),0))"),"")</f>
        <v/>
      </c>
      <c r="Z108" s="15">
        <f ca="1">IFERROR(__xludf.DUMMYFUNCTION("INDEX(IMPORTRANGE(""1y0FWgjbB0gVlqn-q5LMJbGIsqOrzru4yowQz67dz2yc"", ""'SNG'!BH3:BH139""),MATCH($D108,IMPORTRANGE(""1y0FWgjbB0gVlqn-q5LMJbGIsqOrzru4yowQz67dz2yc"", ""'SNG'!D3:D139""),0))"),0.713918126949879)</f>
        <v>0.713918126949879</v>
      </c>
      <c r="AA108" s="450" t="str">
        <f ca="1">IFERROR(__xludf.DUMMYFUNCTION("INDEX(IMPORTRANGE(""1y0FWgjbB0gVlqn-q5LMJbGIsqOrzru4yowQz67dz2yc"", ""'SNG'!BI3:BI139""),MATCH($D108,IMPORTRANGE(""1y0FWgjbB0gVlqn-q5LMJbGIsqOrzru4yowQz67dz2yc"", ""'SNG'!D3:D139""),0))"),"")</f>
        <v/>
      </c>
      <c r="AB108" s="1"/>
      <c r="AC108" s="1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81"/>
      <c r="K109" s="7" t="s">
        <v>216</v>
      </c>
      <c r="L109" s="181"/>
      <c r="M109" s="7" t="s">
        <v>217</v>
      </c>
      <c r="N109" s="1" t="s">
        <v>218</v>
      </c>
      <c r="O109" s="1" t="s">
        <v>218</v>
      </c>
      <c r="P109" s="50"/>
      <c r="Q109" s="50"/>
      <c r="R109" s="1"/>
      <c r="S109" s="1"/>
      <c r="T109" s="1"/>
      <c r="U109" s="1"/>
      <c r="V109" s="1"/>
      <c r="W109" s="1"/>
      <c r="X109" s="36"/>
      <c r="Y109" s="336" t="str">
        <f ca="1">IFERROR(__xludf.DUMMYFUNCTION("INDEX(IMPORTRANGE(""1y0FWgjbB0gVlqn-q5LMJbGIsqOrzru4yowQz67dz2yc"", ""'SNG'!BG3:BG139""),MATCH($D109,IMPORTRANGE(""1y0FWgjbB0gVlqn-q5LMJbGIsqOrzru4yowQz67dz2yc"", ""'SNG'!D3:D139""),0))"),"")</f>
        <v/>
      </c>
      <c r="Z109" s="36">
        <f ca="1">IFERROR(__xludf.DUMMYFUNCTION("INDEX(IMPORTRANGE(""1y0FWgjbB0gVlqn-q5LMJbGIsqOrzru4yowQz67dz2yc"", ""'SNG'!BH3:BH139""),MATCH($D109,IMPORTRANGE(""1y0FWgjbB0gVlqn-q5LMJbGIsqOrzru4yowQz67dz2yc"", ""'SNG'!D3:D139""),0))"),369148531.289999)</f>
        <v>369148531.28999901</v>
      </c>
      <c r="AA109" s="336" t="str">
        <f ca="1">IFERROR(__xludf.DUMMYFUNCTION("INDEX(IMPORTRANGE(""1y0FWgjbB0gVlqn-q5LMJbGIsqOrzru4yowQz67dz2yc"", ""'SNG'!BI3:BI139""),MATCH($D109,IMPORTRANGE(""1y0FWgjbB0gVlqn-q5LMJbGIsqOrzru4yowQz67dz2yc"", ""'SNG'!D3:D139""),0))"),"")</f>
        <v/>
      </c>
      <c r="AB109" s="1"/>
      <c r="AC109" s="1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81"/>
      <c r="K110" s="7" t="s">
        <v>216</v>
      </c>
      <c r="L110" s="181"/>
      <c r="M110" s="7" t="s">
        <v>217</v>
      </c>
      <c r="N110" s="1" t="s">
        <v>218</v>
      </c>
      <c r="O110" s="1" t="s">
        <v>218</v>
      </c>
      <c r="P110" s="50">
        <v>363858395.08999997</v>
      </c>
      <c r="Q110" s="50">
        <v>363858395.08999997</v>
      </c>
      <c r="R110" s="2"/>
      <c r="S110" s="36">
        <v>374500000</v>
      </c>
      <c r="T110" s="2"/>
      <c r="U110" s="36">
        <v>388611356.37</v>
      </c>
      <c r="V110" s="36">
        <v>400987837</v>
      </c>
      <c r="W110" s="349">
        <v>400987837</v>
      </c>
      <c r="X110" s="36">
        <v>363858395.08999997</v>
      </c>
      <c r="Y110" s="336" t="str">
        <f ca="1">IFERROR(__xludf.DUMMYFUNCTION("INDEX(IMPORTRANGE(""1y0FWgjbB0gVlqn-q5LMJbGIsqOrzru4yowQz67dz2yc"", ""'SNG'!BG3:BG139""),MATCH($D110,IMPORTRANGE(""1y0FWgjbB0gVlqn-q5LMJbGIsqOrzru4yowQz67dz2yc"", ""'SNG'!D3:D139""),0))"),"")</f>
        <v/>
      </c>
      <c r="Z110" s="36">
        <f ca="1">IFERROR(__xludf.DUMMYFUNCTION("INDEX(IMPORTRANGE(""1y0FWgjbB0gVlqn-q5LMJbGIsqOrzru4yowQz67dz2yc"", ""'SNG'!BH3:BH139""),MATCH($D110,IMPORTRANGE(""1y0FWgjbB0gVlqn-q5LMJbGIsqOrzru4yowQz67dz2yc"", ""'SNG'!D3:D139""),0))"),400400429.249999)</f>
        <v>400400429.24999899</v>
      </c>
      <c r="AA110" s="336" t="str">
        <f ca="1">IFERROR(__xludf.DUMMYFUNCTION("INDEX(IMPORTRANGE(""1y0FWgjbB0gVlqn-q5LMJbGIsqOrzru4yowQz67dz2yc"", ""'SNG'!BI3:BI139""),MATCH($D110,IMPORTRANGE(""1y0FWgjbB0gVlqn-q5LMJbGIsqOrzru4yowQz67dz2yc"", ""'SNG'!D3:D139""),0))"),"")</f>
        <v/>
      </c>
      <c r="AB110" s="1"/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2494247239.0900002</v>
      </c>
      <c r="Q111" s="36">
        <v>2494247239.0900002</v>
      </c>
      <c r="R111" s="13"/>
      <c r="S111" s="13"/>
      <c r="T111" s="13"/>
      <c r="U111" s="13"/>
      <c r="V111" s="13"/>
      <c r="W111" s="13"/>
      <c r="X111" s="36">
        <v>2494247239.0900002</v>
      </c>
      <c r="Y111" s="336" t="str">
        <f ca="1">IFERROR(__xludf.DUMMYFUNCTION("INDEX(IMPORTRANGE(""1y0FWgjbB0gVlqn-q5LMJbGIsqOrzru4yowQz67dz2yc"", ""'SNG'!BG3:BG139""),MATCH($D111,IMPORTRANGE(""1y0FWgjbB0gVlqn-q5LMJbGIsqOrzru4yowQz67dz2yc"", ""'SNG'!D3:D139""),0))"),"")</f>
        <v/>
      </c>
      <c r="Z111" s="36">
        <f ca="1">IFERROR(__xludf.DUMMYFUNCTION("INDEX(IMPORTRANGE(""1y0FWgjbB0gVlqn-q5LMJbGIsqOrzru4yowQz67dz2yc"", ""'SNG'!BH3:BH139""),MATCH($D111,IMPORTRANGE(""1y0FWgjbB0gVlqn-q5LMJbGIsqOrzru4yowQz67dz2yc"", ""'SNG'!D3:D139""),0))"),2563033083.81)</f>
        <v>2563033083.8099999</v>
      </c>
      <c r="AA111" s="336" t="str">
        <f ca="1">IFERROR(__xludf.DUMMYFUNCTION("INDEX(IMPORTRANGE(""1y0FWgjbB0gVlqn-q5LMJbGIsqOrzru4yowQz67dz2yc"", ""'SNG'!BI3:BI139""),MATCH($D111,IMPORTRANGE(""1y0FWgjbB0gVlqn-q5LMJbGIsqOrzru4yowQz67dz2yc"", ""'SNG'!D3:D139""),0))"),"")</f>
        <v/>
      </c>
      <c r="AB111" s="1"/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7" t="s">
        <v>215</v>
      </c>
      <c r="J112" s="13"/>
      <c r="K112" s="7" t="s">
        <v>216</v>
      </c>
      <c r="L112" s="13"/>
      <c r="M112" s="7" t="s">
        <v>217</v>
      </c>
      <c r="N112" s="1" t="s">
        <v>218</v>
      </c>
      <c r="O112" s="1" t="s">
        <v>218</v>
      </c>
      <c r="P112" s="15">
        <f t="shared" ref="P112:Q112" si="29">P104/P111</f>
        <v>0.70997376864936457</v>
      </c>
      <c r="Q112" s="15">
        <f t="shared" si="29"/>
        <v>0.70997376864936457</v>
      </c>
      <c r="R112" s="2"/>
      <c r="S112" s="15">
        <v>0.7</v>
      </c>
      <c r="T112" s="2"/>
      <c r="U112" s="15">
        <v>0.7</v>
      </c>
      <c r="V112" s="15">
        <v>0.7</v>
      </c>
      <c r="W112" s="15">
        <v>0.7</v>
      </c>
      <c r="X112" s="15">
        <v>0.7</v>
      </c>
      <c r="Y112" s="450" t="str">
        <f ca="1">IFERROR(__xludf.DUMMYFUNCTION("INDEX(IMPORTRANGE(""1y0FWgjbB0gVlqn-q5LMJbGIsqOrzru4yowQz67dz2yc"", ""'SNG'!BG3:BG139""),MATCH($D112,IMPORTRANGE(""1y0FWgjbB0gVlqn-q5LMJbGIsqOrzru4yowQz67dz2yc"", ""'SNG'!D3:D139""),0))"),"")</f>
        <v/>
      </c>
      <c r="Z112" s="15">
        <f ca="1">IFERROR(__xludf.DUMMYFUNCTION("INDEX(IMPORTRANGE(""1y0FWgjbB0gVlqn-q5LMJbGIsqOrzru4yowQz67dz2yc"", ""'SNG'!BH3:BH139""),MATCH($D112,IMPORTRANGE(""1y0FWgjbB0gVlqn-q5LMJbGIsqOrzru4yowQz67dz2yc"", ""'SNG'!D3:D139""),0))"),0.776790072686237)</f>
        <v>0.77679007268623701</v>
      </c>
      <c r="AA112" s="450" t="str">
        <f ca="1">IFERROR(__xludf.DUMMYFUNCTION("INDEX(IMPORTRANGE(""1y0FWgjbB0gVlqn-q5LMJbGIsqOrzru4yowQz67dz2yc"", ""'SNG'!BI3:BI139""),MATCH($D112,IMPORTRANGE(""1y0FWgjbB0gVlqn-q5LMJbGIsqOrzru4yowQz67dz2yc"", ""'SNG'!D3:D139""),0))"),"")</f>
        <v/>
      </c>
      <c r="AB112" s="1"/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81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30" t="s">
        <v>308</v>
      </c>
      <c r="Q113" s="30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30" t="s">
        <v>308</v>
      </c>
      <c r="Y113" s="487" t="str">
        <f ca="1">IFERROR(__xludf.DUMMYFUNCTION("INDEX(IMPORTRANGE(""1y0FWgjbB0gVlqn-q5LMJbGIsqOrzru4yowQz67dz2yc"", ""'SNG'!BG3:BG139""),MATCH($D113,IMPORTRANGE(""1y0FWgjbB0gVlqn-q5LMJbGIsqOrzru4yowQz67dz2yc"", ""'SNG'!D3:D139""),0))"),"")</f>
        <v/>
      </c>
      <c r="Z113" s="30" t="str">
        <f ca="1">IFERROR(__xludf.DUMMYFUNCTION("INDEX(IMPORTRANGE(""1y0FWgjbB0gVlqn-q5LMJbGIsqOrzru4yowQz67dz2yc"", ""'SNG'!BH3:BH139""),MATCH($D113,IMPORTRANGE(""1y0FWgjbB0gVlqn-q5LMJbGIsqOrzru4yowQz67dz2yc"", ""'SNG'!D3:D139""),0))"),"Verde")</f>
        <v>Verde</v>
      </c>
      <c r="AA113" s="487" t="str">
        <f ca="1">IFERROR(__xludf.DUMMYFUNCTION("INDEX(IMPORTRANGE(""1y0FWgjbB0gVlqn-q5LMJbGIsqOrzru4yowQz67dz2yc"", ""'SNG'!BI3:BI139""),MATCH($D113,IMPORTRANGE(""1y0FWgjbB0gVlqn-q5LMJbGIsqOrzru4yowQz67dz2yc"", ""'SNG'!D3:D139""),0))"),"")</f>
        <v/>
      </c>
      <c r="AB113" s="1"/>
      <c r="AC113" s="1"/>
    </row>
    <row r="114" spans="1:29">
      <c r="A114" s="1"/>
      <c r="B114" s="1"/>
      <c r="C114" s="1"/>
      <c r="D114" s="1"/>
      <c r="E114" s="2"/>
      <c r="F114" s="1"/>
      <c r="G114" s="11" t="s">
        <v>307</v>
      </c>
      <c r="H114" s="181"/>
      <c r="I114" s="1"/>
      <c r="J114" s="1"/>
      <c r="K114" s="1"/>
      <c r="L114" s="1"/>
      <c r="M114" s="1"/>
      <c r="N114" s="1"/>
      <c r="O114" s="1"/>
      <c r="P114" s="2"/>
      <c r="Q114" s="2"/>
      <c r="R114" s="1"/>
      <c r="S114" s="1"/>
      <c r="T114" s="1"/>
      <c r="U114" s="1"/>
      <c r="V114" s="1"/>
      <c r="W114" s="1"/>
      <c r="X114" s="2"/>
      <c r="Y114" s="1"/>
      <c r="Z114" s="2"/>
      <c r="AA114" s="1"/>
      <c r="AB114" s="1"/>
      <c r="AC114" s="1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73CE-8EB0-9A4C-B413-B65DFBA293B6}">
  <dimension ref="A1:M31"/>
  <sheetViews>
    <sheetView workbookViewId="0"/>
  </sheetViews>
  <sheetFormatPr baseColWidth="10" defaultRowHeight="16"/>
  <cols>
    <col min="1" max="1" width="10.83203125" style="118"/>
    <col min="3" max="3" width="21" customWidth="1"/>
    <col min="4" max="4" width="11.83203125" customWidth="1"/>
    <col min="5" max="5" width="12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SNG'!$D$3:$Y$113,4,0)</f>
        <v>44469</v>
      </c>
      <c r="E2" s="488">
        <v>462</v>
      </c>
      <c r="F2" s="75">
        <f>VLOOKUP(C2,'BD EVA 3 SNG'!$D$3:$AC$113,9,0)</f>
        <v>45199</v>
      </c>
      <c r="G2" s="76">
        <f ca="1">VLOOKUP(C2,'BD EVA 3 SNG'!$D$3:$AC$113,24,0)</f>
        <v>446</v>
      </c>
      <c r="H2" s="76">
        <f>VLOOKUP(C2,'BD EVA 3 SNG'!$D$3:$AC$113,17,0)</f>
        <v>514</v>
      </c>
      <c r="I2" s="78">
        <f ca="1">IF(G2&gt;=E2,G2/H2,0)</f>
        <v>0</v>
      </c>
      <c r="J2" s="72" t="s">
        <v>316</v>
      </c>
      <c r="K2" s="81">
        <v>2.7</v>
      </c>
      <c r="L2" s="81">
        <f t="shared" ref="L2:L31" ca="1" si="0">IF(I2&lt;0,0,IF(I2&gt;1,K2,I2*K2))</f>
        <v>0</v>
      </c>
      <c r="M2" s="124">
        <f ca="1">SUM(L2:L4)</f>
        <v>7.3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SNG'!$D$3:$Y$113,4,0)</f>
        <v>44469</v>
      </c>
      <c r="E3" s="207">
        <f>VLOOKUP(C3,'BD EVA 3 SNG'!$D$3:$Q$110,14,0)</f>
        <v>0.71299638989169678</v>
      </c>
      <c r="F3" s="75">
        <f>VLOOKUP(C3,'BD EVA 3 SNG'!$D$3:$AC$113,9,0)</f>
        <v>45199</v>
      </c>
      <c r="G3" s="207">
        <f ca="1">VLOOKUP(C3,'BD EVA 3 SNG'!$D$3:$AC$113,24,0)</f>
        <v>1</v>
      </c>
      <c r="H3" s="207" t="str">
        <f>VLOOKUP(C3,'BD EVA 3 SNG'!$D$3:$AC$113,17,0)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449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SNG'!$D$3:$Y$113,4,0)</f>
        <v>44469</v>
      </c>
      <c r="E4" s="207">
        <f>VLOOKUP(C4,'BD EVA 3 SNG'!$D$3:$Q$110,14,0)</f>
        <v>0</v>
      </c>
      <c r="F4" s="75">
        <f>VLOOKUP(C4,'BD EVA 3 SNG'!$D$3:$AC$113,9,0)</f>
        <v>45199</v>
      </c>
      <c r="G4" s="207">
        <f ca="1">VLOOKUP(C4,'BD EVA 3 SNG'!$D$3:$AC$113,24,0)</f>
        <v>6.0538116591928197E-2</v>
      </c>
      <c r="H4" s="207">
        <f>VLOOKUP(C4,'BD EVA 3 SNG'!$D$3:$AC$113,17,0)</f>
        <v>4.1000000000000002E-2</v>
      </c>
      <c r="I4" s="77">
        <f t="shared" ref="I4:I5" ca="1" si="1">G4/H4</f>
        <v>1.4765394290714193</v>
      </c>
      <c r="J4" s="75" t="s">
        <v>318</v>
      </c>
      <c r="K4" s="81">
        <v>3.5</v>
      </c>
      <c r="L4" s="81">
        <f t="shared" ca="1" si="0"/>
        <v>3.5</v>
      </c>
      <c r="M4" s="449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SNG'!$D$3:$Y$113,4,0)</f>
        <v>octubre 20 - mar 21</v>
      </c>
      <c r="E5" s="207">
        <f>VLOOKUP(C5,'BD EVA 3 SNG'!$D$3:$Q$110,14,0)</f>
        <v>0</v>
      </c>
      <c r="F5" s="75" t="str">
        <f>VLOOKUP(C5,'BD EVA 3 SNG'!$D$3:$AC$113,9,0)</f>
        <v>octubre 22 - septiembre 23</v>
      </c>
      <c r="G5" s="207">
        <f ca="1">VLOOKUP(C5,'BD EVA 3 SNG'!$D$3:$AC$113,24,0)</f>
        <v>0.38794669897032102</v>
      </c>
      <c r="H5" s="207">
        <f>VLOOKUP(C5,'BD EVA 3 SNG'!$D$3:$AC$113,17,0)</f>
        <v>0.45</v>
      </c>
      <c r="I5" s="77">
        <f t="shared" ca="1" si="1"/>
        <v>0.86210377548960226</v>
      </c>
      <c r="J5" s="75" t="s">
        <v>318</v>
      </c>
      <c r="K5" s="209">
        <v>1.6</v>
      </c>
      <c r="L5" s="209">
        <f t="shared" ca="1" si="0"/>
        <v>1.3793660407833637</v>
      </c>
      <c r="M5" s="130">
        <f ca="1">SUM(L5:L10)</f>
        <v>5.8718631211413275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SNG'!$D$3:$Y$113,4,0)</f>
        <v>octubre 20 - mar 21</v>
      </c>
      <c r="E6" s="213">
        <f>VLOOKUP(C6,'BD EVA 3 SNG'!$D$3:$Q$110,14,0)</f>
        <v>10.923199405105755</v>
      </c>
      <c r="F6" s="75" t="str">
        <f>VLOOKUP(C6,'BD EVA 3 SNG'!$D$3:$AC$113,9,0)</f>
        <v>octubre 22 - septiembre 23</v>
      </c>
      <c r="G6" s="213">
        <f ca="1">VLOOKUP(C6,'BD EVA 3 SNG'!$D$3:$AC$113,24,0)</f>
        <v>10.1397002373517</v>
      </c>
      <c r="H6" s="213">
        <f>VLOOKUP(C6,'BD EVA 3 SNG'!$D$3:$AC$113,17,0)</f>
        <v>4.9000000000000004</v>
      </c>
      <c r="I6" s="78">
        <f t="shared" ref="I6:I10" ca="1" si="2">(G6-E6)/(H6-E6)</f>
        <v>0.13008023063123184</v>
      </c>
      <c r="J6" s="71" t="s">
        <v>319</v>
      </c>
      <c r="K6" s="209">
        <v>1.7</v>
      </c>
      <c r="L6" s="209">
        <f t="shared" ca="1" si="0"/>
        <v>0.2211363920730941</v>
      </c>
      <c r="M6" s="449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SNG'!$D$3:$Y$113,4,0)</f>
        <v>octubre 20 - mar 21</v>
      </c>
      <c r="E7" s="213">
        <f>VLOOKUP(C7,'BD EVA 3 SNG'!$D$3:$Q$110,14,0)</f>
        <v>209.85146549424323</v>
      </c>
      <c r="F7" s="75" t="str">
        <f>VLOOKUP(C7,'BD EVA 3 SNG'!$D$3:$AC$113,9,0)</f>
        <v>octubre 22 - septiembre 23</v>
      </c>
      <c r="G7" s="213">
        <f ca="1">VLOOKUP(C7,'BD EVA 3 SNG'!$D$3:$AC$113,24,0)</f>
        <v>171.96103871916901</v>
      </c>
      <c r="H7" s="213">
        <f>VLOOKUP(C7,'BD EVA 3 SNG'!$D$3:$AC$113,17,0)</f>
        <v>203</v>
      </c>
      <c r="I7" s="78">
        <f t="shared" ca="1" si="2"/>
        <v>5.5302660149001257</v>
      </c>
      <c r="J7" s="71" t="s">
        <v>319</v>
      </c>
      <c r="K7" s="209">
        <v>1.6</v>
      </c>
      <c r="L7" s="209">
        <f t="shared" ca="1" si="0"/>
        <v>1.6</v>
      </c>
      <c r="M7" s="449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SNG'!$D$3:$Y$113,4,0)</f>
        <v>octubre 20 - mar 21</v>
      </c>
      <c r="E8" s="213">
        <f>VLOOKUP(C8,'BD EVA 3 SNG'!$D$3:$Q$110,14,0)</f>
        <v>436.50785315018771</v>
      </c>
      <c r="F8" s="75" t="str">
        <f>VLOOKUP(C8,'BD EVA 3 SNG'!$D$3:$AC$113,9,0)</f>
        <v>octubre 22 - septiembre 23</v>
      </c>
      <c r="G8" s="213">
        <f ca="1">VLOOKUP(C8,'BD EVA 3 SNG'!$D$3:$AC$113,24,0)</f>
        <v>394.62057862509801</v>
      </c>
      <c r="H8" s="213">
        <f>VLOOKUP(C8,'BD EVA 3 SNG'!$D$3:$AC$113,17,0)</f>
        <v>363.2</v>
      </c>
      <c r="I8" s="78">
        <f t="shared" ca="1" si="2"/>
        <v>0.57138864016757041</v>
      </c>
      <c r="J8" s="71" t="s">
        <v>319</v>
      </c>
      <c r="K8" s="209">
        <v>1.7</v>
      </c>
      <c r="L8" s="209">
        <f t="shared" ca="1" si="0"/>
        <v>0.97136068828486966</v>
      </c>
      <c r="M8" s="449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SNG'!$D$3:$Y$113,4,0)</f>
        <v>octubre 20 - mar 21</v>
      </c>
      <c r="E9" s="213">
        <f>VLOOKUP(C9,'BD EVA 3 SNG'!$D$3:$Q$110,14,0)</f>
        <v>81.293810957229383</v>
      </c>
      <c r="F9" s="75" t="str">
        <f>VLOOKUP(C9,'BD EVA 3 SNG'!$D$3:$AC$113,9,0)</f>
        <v>octubre 22 - septiembre 23</v>
      </c>
      <c r="G9" s="213">
        <f ca="1">VLOOKUP(C9,'BD EVA 3 SNG'!$D$3:$AC$113,24,0)</f>
        <v>64.976854582213306</v>
      </c>
      <c r="H9" s="213">
        <f>VLOOKUP(C9,'BD EVA 3 SNG'!$D$3:$AC$113,17,0)</f>
        <v>80.599999999999994</v>
      </c>
      <c r="I9" s="78">
        <f t="shared" ca="1" si="2"/>
        <v>23.517870689409353</v>
      </c>
      <c r="J9" s="71" t="s">
        <v>319</v>
      </c>
      <c r="K9" s="209">
        <v>1.7</v>
      </c>
      <c r="L9" s="209">
        <f t="shared" ca="1" si="0"/>
        <v>1.7</v>
      </c>
      <c r="M9" s="449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SNG'!$D$3:$Y$113,4,0)</f>
        <v>octubre 20 - mar 21</v>
      </c>
      <c r="E10" s="213">
        <f>VLOOKUP(C10,'BD EVA 3 SNG'!$D$3:$Q$110,14,0)</f>
        <v>8.6125226078718455</v>
      </c>
      <c r="F10" s="75" t="str">
        <f>VLOOKUP(C10,'BD EVA 3 SNG'!$D$3:$AC$113,9,0)</f>
        <v>octubre 22 - septiembre 23</v>
      </c>
      <c r="G10" s="213">
        <f ca="1">VLOOKUP(C10,'BD EVA 3 SNG'!$D$3:$AC$113,24,0)</f>
        <v>10.553565553162001</v>
      </c>
      <c r="H10" s="213">
        <f>VLOOKUP(C10,'BD EVA 3 SNG'!$D$3:$AC$113,17,0)</f>
        <v>5</v>
      </c>
      <c r="I10" s="78">
        <f t="shared" ca="1" si="2"/>
        <v>-0.53730956342267233</v>
      </c>
      <c r="J10" s="71" t="s">
        <v>319</v>
      </c>
      <c r="K10" s="209">
        <v>1.7</v>
      </c>
      <c r="L10" s="209">
        <f t="shared" ca="1" si="0"/>
        <v>0</v>
      </c>
      <c r="M10" s="449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SNG'!$D$3:$Y$113,4,0)</f>
        <v>44469</v>
      </c>
      <c r="E11" s="78">
        <f>VLOOKUP(C11,'BD EVA 3 SNG'!$D$3:$Q$110,14,0)</f>
        <v>0</v>
      </c>
      <c r="F11" s="75">
        <f>VLOOKUP(C11,'BD EVA 3 SNG'!$D$3:$AC$113,9,0)</f>
        <v>45199</v>
      </c>
      <c r="G11" s="78">
        <f ca="1">VLOOKUP(C11,'BD EVA 3 SNG'!$D$3:$AC$113,24,0)</f>
        <v>0</v>
      </c>
      <c r="H11" s="78" t="str">
        <f>VLOOKUP(C11,'BD EVA 3 SNG'!$D$3:$AC$116,16,0)</f>
        <v>Sin meta</v>
      </c>
      <c r="I11" s="77">
        <f t="shared" ref="I11:I12" si="3">IF(H11="Sin meta",0,G11/H11)</f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8.9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3 SNG'!$D$3:$Y$113,4,0)</f>
        <v>octubre 20 - mar 21</v>
      </c>
      <c r="E12" s="210">
        <f>VLOOKUP(C12,'BD EVA 3 SNG'!$D$3:$Q$110,14,0)</f>
        <v>0</v>
      </c>
      <c r="F12" s="75" t="str">
        <f>VLOOKUP(C12,'BD EVA 3 SNG'!$D$3:$AC$113,9,0)</f>
        <v>octubre 22 - septiembre 23</v>
      </c>
      <c r="G12" s="210">
        <f ca="1">VLOOKUP(C12,'BD EVA 3 SNG'!$D$3:$AC$113,24,0)</f>
        <v>1.01733078515481E-3</v>
      </c>
      <c r="H12" s="78">
        <f>VLOOKUP(C12,'BD EVA 3 SNG'!$D$3:$AC$116,16,0)</f>
        <v>5.0000000000000001E-4</v>
      </c>
      <c r="I12" s="77">
        <f t="shared" ca="1" si="3"/>
        <v>2.0346615703096198</v>
      </c>
      <c r="J12" s="75" t="s">
        <v>318</v>
      </c>
      <c r="K12" s="71">
        <v>1.1000000000000001</v>
      </c>
      <c r="L12" s="211">
        <f t="shared" ca="1" si="0"/>
        <v>1.1000000000000001</v>
      </c>
      <c r="M12" s="449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SNG'!$D$3:$Y$113,4,0)</f>
        <v>octubre 20 - mar 21</v>
      </c>
      <c r="E13" s="212">
        <f>VLOOKUP(C13,'BD EVA 3 SNG'!$D$3:$Q$110,14,0)</f>
        <v>0</v>
      </c>
      <c r="F13" s="75" t="str">
        <f>VLOOKUP(C13,'BD EVA 3 SNG'!$D$3:$AC$113,9,0)</f>
        <v>octubre 21 - septiembre 23</v>
      </c>
      <c r="G13" s="212">
        <f ca="1">VLOOKUP(C13,'BD EVA 3 SNG'!$D$3:$AC$113,24,0)</f>
        <v>3</v>
      </c>
      <c r="H13" s="212">
        <f>VLOOKUP(C13,'BD EVA 3 SNG'!$D$3:$AC$113,17,0)</f>
        <v>2</v>
      </c>
      <c r="I13" s="78">
        <f t="shared" ref="I13:I15" ca="1" si="4">G13/H13</f>
        <v>1.5</v>
      </c>
      <c r="J13" s="75" t="s">
        <v>318</v>
      </c>
      <c r="K13" s="82">
        <v>2.35</v>
      </c>
      <c r="L13" s="211">
        <f t="shared" ca="1" si="0"/>
        <v>2.35</v>
      </c>
      <c r="M13" s="449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SNG'!$D$3:$Y$113,4,0)</f>
        <v>octubre 20 - mar 21</v>
      </c>
      <c r="E14" s="212">
        <f>VLOOKUP(C14,'BD EVA 3 SNG'!$D$3:$Q$110,14,0)</f>
        <v>792</v>
      </c>
      <c r="F14" s="75" t="str">
        <f>VLOOKUP(C14,'BD EVA 3 SNG'!$D$3:$AC$113,9,0)</f>
        <v>octubre 21 - septiembre 23</v>
      </c>
      <c r="G14" s="212">
        <f ca="1">VLOOKUP(C14,'BD EVA 3 SNG'!$D$3:$AC$113,24,0)</f>
        <v>1732</v>
      </c>
      <c r="H14" s="212">
        <f>VLOOKUP(C14,'BD EVA 3 SNG'!$D$3:$AC$113,17,0)</f>
        <v>700</v>
      </c>
      <c r="I14" s="78">
        <f t="shared" ca="1" si="4"/>
        <v>2.4742857142857142</v>
      </c>
      <c r="J14" s="75" t="s">
        <v>318</v>
      </c>
      <c r="K14" s="82">
        <v>2.35</v>
      </c>
      <c r="L14" s="211">
        <f t="shared" ca="1" si="0"/>
        <v>2.35</v>
      </c>
      <c r="M14" s="449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SNG'!$D$3:$Y$113,4,0)</f>
        <v>octubre 20 - mar 21</v>
      </c>
      <c r="E15" s="212">
        <f>VLOOKUP(C15,'BD EVA 3 SNG'!$D$3:$Q$110,14,0)</f>
        <v>33</v>
      </c>
      <c r="F15" s="75" t="str">
        <f>VLOOKUP(C15,'BD EVA 3 SNG'!$D$3:$AC$113,9,0)</f>
        <v>octubre 21 - septiembre 23</v>
      </c>
      <c r="G15" s="212">
        <f ca="1">VLOOKUP(C15,'BD EVA 3 SNG'!$D$3:$AC$113,24,0)</f>
        <v>76</v>
      </c>
      <c r="H15" s="212">
        <f>VLOOKUP(C15,'BD EVA 3 SNG'!$D$3:$AC$113,17,0)</f>
        <v>60</v>
      </c>
      <c r="I15" s="78">
        <f t="shared" ca="1" si="4"/>
        <v>1.2666666666666666</v>
      </c>
      <c r="J15" s="75" t="s">
        <v>318</v>
      </c>
      <c r="K15" s="71">
        <v>3.1</v>
      </c>
      <c r="L15" s="211">
        <f t="shared" ca="1" si="0"/>
        <v>3.1</v>
      </c>
      <c r="M15" s="449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SNG'!$D$3:$Y$113,4,0)</f>
        <v>44469</v>
      </c>
      <c r="E16" s="207">
        <f>VLOOKUP(C16,'BD EVA 3 SNG'!$D$3:$Q$110,14,0)</f>
        <v>0.33333333333333331</v>
      </c>
      <c r="F16" s="75" t="str">
        <f>VLOOKUP(C16,'BD EVA 3 SNG'!$D$3:$AC$113,9,0)</f>
        <v>octubre 21 - septiembre 23</v>
      </c>
      <c r="G16" s="207">
        <f ca="1">VLOOKUP(C16,'BD EVA 3 SNG'!$D$3:$AC$113,24,0)</f>
        <v>0.33333333333333298</v>
      </c>
      <c r="H16" s="213" t="str">
        <f>VLOOKUP(C16,'BD EVA 3 SNG'!$D$3:$AC$113,17,0)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0.33333333333333298</v>
      </c>
      <c r="J16" s="75" t="s">
        <v>318</v>
      </c>
      <c r="K16" s="71">
        <v>1.5</v>
      </c>
      <c r="L16" s="209">
        <f t="shared" ca="1" si="0"/>
        <v>0.49999999999999944</v>
      </c>
      <c r="M16" s="130">
        <f ca="1">SUM(L16:L23)</f>
        <v>7.563624342218918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SNG'!$D$3:$Y$113,4,0)</f>
        <v>44469</v>
      </c>
      <c r="E17" s="212">
        <f>VLOOKUP(C17,'BD EVA 3 SNG'!$D$3:$Q$110,14,0)</f>
        <v>0</v>
      </c>
      <c r="F17" s="75" t="str">
        <f>VLOOKUP(C17,'BD EVA 3 SNG'!$D$3:$AC$113,9,0)</f>
        <v>octubre 21 - septiembre 23</v>
      </c>
      <c r="G17" s="207">
        <f ca="1">VLOOKUP(C17,'BD EVA 3 SNG'!$D$3:$AC$113,24,0)</f>
        <v>0.5</v>
      </c>
      <c r="H17" s="212" t="str">
        <f>VLOOKUP(C17,'BD EVA 3 SNG'!$D$3:$AC$113,17,0)</f>
        <v>Actualizado al 2018</v>
      </c>
      <c r="I17" s="214">
        <f t="shared" ca="1" si="5"/>
        <v>0.5</v>
      </c>
      <c r="J17" s="75" t="s">
        <v>318</v>
      </c>
      <c r="K17" s="71">
        <v>1.5</v>
      </c>
      <c r="L17" s="209">
        <f t="shared" ca="1" si="0"/>
        <v>0.75</v>
      </c>
      <c r="M17" s="449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SNG'!$D$3:$Y$113,4,0)</f>
        <v>44469</v>
      </c>
      <c r="E18" s="207">
        <f>VLOOKUP(C18,'BD EVA 3 SNG'!$D$3:$Q$110,14,0)</f>
        <v>0</v>
      </c>
      <c r="F18" s="75" t="str">
        <f>VLOOKUP(C18,'BD EVA 3 SNG'!$D$3:$AC$113,9,0)</f>
        <v>octubre 21 - septiembre 23</v>
      </c>
      <c r="G18" s="207">
        <f ca="1">VLOOKUP(C18,'BD EVA 3 SNG'!$D$3:$AC$113,24,0)</f>
        <v>0</v>
      </c>
      <c r="H18" s="207">
        <f>VLOOKUP(C18,'BD EVA 3 SNG'!$D$3:$AC$113,17,0)</f>
        <v>1</v>
      </c>
      <c r="I18" s="214">
        <f ca="1">IF(G18="NA",1,G18/H18)</f>
        <v>0</v>
      </c>
      <c r="J18" s="75" t="s">
        <v>318</v>
      </c>
      <c r="K18" s="71">
        <v>0.3</v>
      </c>
      <c r="L18" s="209">
        <f t="shared" ca="1" si="0"/>
        <v>0</v>
      </c>
      <c r="M18" s="449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SNG'!$D$3:$Y$113,4,0)</f>
        <v>44469</v>
      </c>
      <c r="E19" s="207">
        <f>VLOOKUP(C19,'BD EVA 3 SNG'!$D$3:$Q$110,14,0)</f>
        <v>1</v>
      </c>
      <c r="F19" s="75" t="str">
        <f>VLOOKUP(C19,'BD EVA 3 SNG'!$D$3:$AC$113,9,0)</f>
        <v>octubre 21 - septiembre 23</v>
      </c>
      <c r="G19" s="207">
        <f ca="1">VLOOKUP(C19,'BD EVA 3 SNG'!$D$3:$AC$113,24,0)</f>
        <v>1</v>
      </c>
      <c r="H19" s="207">
        <f>VLOOKUP(C19,'BD EVA 3 SNG'!$D$3:$AC$113,17,0)</f>
        <v>1</v>
      </c>
      <c r="I19" s="214">
        <f t="shared" ref="I19:I23" ca="1" si="6">G19/H19</f>
        <v>1</v>
      </c>
      <c r="J19" s="75" t="s">
        <v>318</v>
      </c>
      <c r="K19" s="71">
        <v>1.5</v>
      </c>
      <c r="L19" s="209">
        <f t="shared" ca="1" si="0"/>
        <v>1.5</v>
      </c>
      <c r="M19" s="449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SNG'!$D$3:$Y$113,4,0)</f>
        <v>44469</v>
      </c>
      <c r="E20" s="214">
        <f>VLOOKUP(C20,'BD EVA 3 SNG'!$D$3:$Q$110,14,0)</f>
        <v>1</v>
      </c>
      <c r="F20" s="75">
        <f>VLOOKUP(C20,'BD EVA 3 SNG'!$D$3:$AC$113,9,0)</f>
        <v>45199</v>
      </c>
      <c r="G20" s="214">
        <f ca="1">VLOOKUP(C20,'BD EVA 3 SNG'!$D$3:$AC$113,24,0)</f>
        <v>1</v>
      </c>
      <c r="H20" s="214">
        <f>VLOOKUP(C20,'BD EVA 3 SNG'!$D$3:$AC$113,17,0)</f>
        <v>1</v>
      </c>
      <c r="I20" s="214">
        <f t="shared" ca="1" si="6"/>
        <v>1</v>
      </c>
      <c r="J20" s="75" t="s">
        <v>318</v>
      </c>
      <c r="K20" s="71">
        <v>1.5</v>
      </c>
      <c r="L20" s="209">
        <f t="shared" ca="1" si="0"/>
        <v>1.5</v>
      </c>
      <c r="M20" s="449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SNG'!$D$3:$Y$113,4,0)</f>
        <v>44469</v>
      </c>
      <c r="E21" s="207">
        <f>VLOOKUP(C21,'BD EVA 3 SNG'!$D$3:$Q$110,14,0)</f>
        <v>1</v>
      </c>
      <c r="F21" s="75">
        <f>VLOOKUP(C21,'BD EVA 3 SNG'!$D$3:$AC$113,9,0)</f>
        <v>45199</v>
      </c>
      <c r="G21" s="207">
        <f ca="1">VLOOKUP(C21,'BD EVA 3 SNG'!$D$3:$AC$113,24,0)</f>
        <v>1</v>
      </c>
      <c r="H21" s="207">
        <f>VLOOKUP(C21,'BD EVA 3 SNG'!$D$3:$AC$113,17,0)</f>
        <v>1</v>
      </c>
      <c r="I21" s="214">
        <f t="shared" ca="1" si="6"/>
        <v>1</v>
      </c>
      <c r="J21" s="75" t="s">
        <v>318</v>
      </c>
      <c r="K21" s="71">
        <v>0.9</v>
      </c>
      <c r="L21" s="209">
        <f t="shared" ca="1" si="0"/>
        <v>0.9</v>
      </c>
      <c r="M21" s="449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SNG'!$D$3:$Y$113,4,0)</f>
        <v>44469</v>
      </c>
      <c r="E22" s="207">
        <f>VLOOKUP(C22,'BD EVA 3 SNG'!$D$3:$Q$110,14,0)</f>
        <v>0.60050254727103991</v>
      </c>
      <c r="F22" s="75">
        <f>VLOOKUP(C22,'BD EVA 3 SNG'!$D$3:$AC$113,9,0)</f>
        <v>45199</v>
      </c>
      <c r="G22" s="207">
        <f ca="1">VLOOKUP(C22,'BD EVA 3 SNG'!$D$3:$AC$113,24,0)</f>
        <v>0.74241622814594499</v>
      </c>
      <c r="H22" s="207">
        <f>VLOOKUP(C22,'BD EVA 3 SNG'!$D$3:$AC$113,17,0)</f>
        <v>1</v>
      </c>
      <c r="I22" s="214">
        <f t="shared" ca="1" si="6"/>
        <v>0.74241622814594499</v>
      </c>
      <c r="J22" s="75" t="s">
        <v>318</v>
      </c>
      <c r="K22" s="71">
        <v>1.5</v>
      </c>
      <c r="L22" s="209">
        <f t="shared" ca="1" si="0"/>
        <v>1.1136243422189174</v>
      </c>
      <c r="M22" s="449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SNG'!$D$3:$Y$113,4,0)</f>
        <v>octubre 20 - mar 21</v>
      </c>
      <c r="E23" s="208">
        <f>VLOOKUP(C23,'BD EVA 3 SNG'!$D$3:$Q$110,14,0)</f>
        <v>258.02999999999997</v>
      </c>
      <c r="F23" s="89" t="str">
        <f>VLOOKUP(C23,'BD EVA 3 SNG'!$D$3:$AC$113,9,0)</f>
        <v>octubre 22 - septiembre 23</v>
      </c>
      <c r="G23" s="85">
        <f ca="1">VLOOKUP(C23,'BD EVA 3 SNG'!$D$3:$AC$113,24,0)</f>
        <v>457.95150000000001</v>
      </c>
      <c r="H23" s="208">
        <f>VLOOKUP(C23,'BD EVA 3 SNG'!$D$3:$AC$113,17,0)</f>
        <v>285.7</v>
      </c>
      <c r="I23" s="214">
        <f t="shared" ca="1" si="6"/>
        <v>1.6029103955197761</v>
      </c>
      <c r="J23" s="75" t="s">
        <v>318</v>
      </c>
      <c r="K23" s="82">
        <v>1.3</v>
      </c>
      <c r="L23" s="211">
        <f t="shared" ca="1" si="0"/>
        <v>1.3</v>
      </c>
      <c r="M23" s="449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SNG'!$D$3:$Y$113,4,0)</f>
        <v>44469</v>
      </c>
      <c r="E24" s="171">
        <f>VLOOKUP(C24,'BD EVA 3 SNG'!$D$3:$Q$110,14,0)</f>
        <v>3.2</v>
      </c>
      <c r="F24" s="75">
        <f>VLOOKUP(C24,'BD EVA 3 SNG'!$D$3:$AC$113,9,0)</f>
        <v>45199</v>
      </c>
      <c r="G24" s="171">
        <f ca="1">VLOOKUP(C24,'BD EVA 3 SNG'!$D$3:$AC$113,24,0)</f>
        <v>0</v>
      </c>
      <c r="H24" s="171">
        <f>VLOOKUP(C24,'BD EVA 3 SNG'!$D$3:$AC$113,17,0)</f>
        <v>3.2</v>
      </c>
      <c r="I24" s="214">
        <f ca="1">IF(H24="Sin meta",0,G24/H24)</f>
        <v>0</v>
      </c>
      <c r="J24" s="75" t="s">
        <v>318</v>
      </c>
      <c r="K24" s="82">
        <v>2.65</v>
      </c>
      <c r="L24" s="209">
        <f t="shared" ca="1" si="0"/>
        <v>0</v>
      </c>
      <c r="M24" s="130">
        <f ca="1">SUM(L24:L27)</f>
        <v>5.13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SNG'!$D$3:$Y$113,4,0)</f>
        <v>octubre 20 - mar 21</v>
      </c>
      <c r="E25" s="292">
        <f>VLOOKUP(C25,'BD EVA 3 SNG'!$D$3:$Q$110,14,0)</f>
        <v>0</v>
      </c>
      <c r="F25" s="71" t="str">
        <f>VLOOKUP(C25,'BD EVA 3 SNG'!$D$3:$AC$113,9,0)</f>
        <v>octubre 22 - septiembre 23</v>
      </c>
      <c r="G25" s="212">
        <f ca="1">VLOOKUP(C25,'BD EVA 3 SNG'!$D$3:$AC$113,24,0)</f>
        <v>23096</v>
      </c>
      <c r="H25" s="212">
        <f>VLOOKUP(C25,'BD EVA 3 SNG'!$D$3:$AC$113,17,0)</f>
        <v>9479</v>
      </c>
      <c r="I25" s="214">
        <f t="shared" ref="I25:I26" ca="1" si="7">G25/H25</f>
        <v>2.4365439392340966</v>
      </c>
      <c r="J25" s="75" t="s">
        <v>318</v>
      </c>
      <c r="K25" s="82">
        <v>2.33</v>
      </c>
      <c r="L25" s="209">
        <f t="shared" ca="1" si="0"/>
        <v>2.33</v>
      </c>
      <c r="M25" s="449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SNG'!$D$3:$Y$113,4,0)</f>
        <v>octubre 20 - mar 21</v>
      </c>
      <c r="E26" s="212">
        <f>VLOOKUP(C26,'BD EVA 3 SNG'!$D$3:$Q$110,14,0)</f>
        <v>10</v>
      </c>
      <c r="F26" s="71" t="str">
        <f>VLOOKUP(C26,'BD EVA 3 SNG'!$D$3:$AC$113,9,0)</f>
        <v>octubre 22 - septiembre 23</v>
      </c>
      <c r="G26" s="212">
        <f ca="1">VLOOKUP(C26,'BD EVA 3 SNG'!$D$3:$AC$113,24,0)</f>
        <v>14</v>
      </c>
      <c r="H26" s="212">
        <f>VLOOKUP(C26,'BD EVA 3 SNG'!$D$3:$AC$113,17,0)</f>
        <v>7</v>
      </c>
      <c r="I26" s="214">
        <f t="shared" ca="1" si="7"/>
        <v>2</v>
      </c>
      <c r="J26" s="75" t="s">
        <v>318</v>
      </c>
      <c r="K26" s="82">
        <v>2.8</v>
      </c>
      <c r="L26" s="209">
        <f t="shared" ca="1" si="0"/>
        <v>2.8</v>
      </c>
      <c r="M26" s="449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SNG'!$D$3:$Y$113,4,0)</f>
        <v>octubre 2018 - marzo 2019</v>
      </c>
      <c r="E27" s="212">
        <f>VLOOKUP(C27,'BD EVA 3 SNG'!$D$3:$Q$110,14,0)</f>
        <v>10835</v>
      </c>
      <c r="F27" s="71" t="str">
        <f>VLOOKUP(C27,'BD EVA 3 SNG'!$D$3:$AC$113,9,0)</f>
        <v>octubre 22 - septiembre 23</v>
      </c>
      <c r="G27" s="212">
        <f ca="1">VLOOKUP(C27,'BD EVA 3 SNG'!$D$3:$AC$113,24,0)</f>
        <v>11487</v>
      </c>
      <c r="H27" s="212">
        <f>VLOOKUP(C27,'BD EVA 3 SNG'!$D$3:$AC$113,17,0)</f>
        <v>10474</v>
      </c>
      <c r="I27" s="214">
        <f ca="1">(G27-E27)/(H27-E27)</f>
        <v>-1.8060941828254848</v>
      </c>
      <c r="J27" s="75" t="s">
        <v>319</v>
      </c>
      <c r="K27" s="82">
        <v>2.2200000000000002</v>
      </c>
      <c r="L27" s="209">
        <f t="shared" ca="1" si="0"/>
        <v>0</v>
      </c>
      <c r="M27" s="449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SNG'!$D$3:$Y$113,4,0)</f>
        <v>octubre 20 - mar 21</v>
      </c>
      <c r="E28" s="212">
        <f>VLOOKUP(C28,'BD EVA 3 SNG'!$D$3:$Q$110,14,0)</f>
        <v>0</v>
      </c>
      <c r="F28" s="89" t="str">
        <f>VLOOKUP(C28,'BD EVA 3 SNG'!$D$3:$AC$113,9,0)</f>
        <v>octubre 22 - septiembre 23</v>
      </c>
      <c r="G28" s="212">
        <f ca="1">VLOOKUP(C28,'BD EVA 3 SNG'!$D$3:$AC$113,24,0)</f>
        <v>337</v>
      </c>
      <c r="H28" s="212">
        <f>VLOOKUP(C28,'BD EVA 3 SNG'!$D$3:$AC$113,17,0)</f>
        <v>115</v>
      </c>
      <c r="I28" s="78">
        <f t="shared" ref="I28:I31" ca="1" si="8">G28/H28</f>
        <v>2.9304347826086956</v>
      </c>
      <c r="J28" s="89" t="s">
        <v>318</v>
      </c>
      <c r="K28" s="82">
        <v>2.5</v>
      </c>
      <c r="L28" s="209">
        <f t="shared" ca="1" si="0"/>
        <v>2.5</v>
      </c>
      <c r="M28" s="130">
        <f ca="1">SUM(L28:L31)</f>
        <v>9.0159985602632631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SNG'!$D$3:$Y$113,4,0)</f>
        <v>44469</v>
      </c>
      <c r="E29" s="212">
        <f>VLOOKUP(C29,'BD EVA 3 SNG'!$D$3:$Q$110,14,0)</f>
        <v>2</v>
      </c>
      <c r="F29" s="89">
        <f>VLOOKUP(C29,'BD EVA 3 SNG'!$D$3:$AC$113,9,0)</f>
        <v>45199</v>
      </c>
      <c r="G29" s="212">
        <f ca="1">VLOOKUP(C29,'BD EVA 3 SNG'!$D$3:$AC$113,24,0)</f>
        <v>36</v>
      </c>
      <c r="H29" s="212">
        <f>VLOOKUP(C29,'BD EVA 3 SNG'!$D$3:$AC$113,17,0)</f>
        <v>50</v>
      </c>
      <c r="I29" s="80">
        <f t="shared" ca="1" si="8"/>
        <v>0.72</v>
      </c>
      <c r="J29" s="75" t="s">
        <v>318</v>
      </c>
      <c r="K29" s="71">
        <v>2.5</v>
      </c>
      <c r="L29" s="209">
        <f t="shared" ca="1" si="0"/>
        <v>1.7999999999999998</v>
      </c>
      <c r="M29" s="449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SNG'!$D$3:$Y$113,4,0)</f>
        <v>44469</v>
      </c>
      <c r="E30" s="212">
        <f>VLOOKUP(C30,'BD EVA 3 SNG'!$D$3:$Q$110,14,0)</f>
        <v>95.55</v>
      </c>
      <c r="F30" s="75">
        <f>VLOOKUP(C30,'BD EVA 3 SNG'!$D$3:$AC$113,9,0)</f>
        <v>45078</v>
      </c>
      <c r="G30" s="212">
        <f ca="1">VLOOKUP(C30,'BD EVA 3 SNG'!$D$3:$AC$113,24,0)</f>
        <v>97.7</v>
      </c>
      <c r="H30" s="212">
        <f>VLOOKUP(C30,'BD EVA 3 SNG'!$D$3:$AC$113,17,0)</f>
        <v>100</v>
      </c>
      <c r="I30" s="80">
        <f t="shared" ca="1" si="8"/>
        <v>0.97699999999999998</v>
      </c>
      <c r="J30" s="75" t="s">
        <v>318</v>
      </c>
      <c r="K30" s="71">
        <v>2.5</v>
      </c>
      <c r="L30" s="209">
        <f t="shared" ca="1" si="0"/>
        <v>2.4424999999999999</v>
      </c>
      <c r="M30" s="449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SNG'!$D$3:$Y$113,4,0)</f>
        <v>44469</v>
      </c>
      <c r="E31" s="212">
        <f>VLOOKUP(C31,'BD EVA 3 SNG'!$D$3:$Q$110,14,0)</f>
        <v>0</v>
      </c>
      <c r="F31" s="75">
        <f>VLOOKUP(C31,'BD EVA 3 SNG'!$D$3:$AC$113,9,0)</f>
        <v>45199</v>
      </c>
      <c r="G31" s="212">
        <f ca="1">VLOOKUP(C31,'BD EVA 3 SNG'!$D$3:$AC$113,24,0)</f>
        <v>3.6375976964212202</v>
      </c>
      <c r="H31" s="212">
        <f>VLOOKUP(C31,'BD EVA 3 SNG'!$D$3:$AC$113,17,0)</f>
        <v>4</v>
      </c>
      <c r="I31" s="80">
        <f t="shared" ca="1" si="8"/>
        <v>0.90939942410530505</v>
      </c>
      <c r="J31" s="75" t="s">
        <v>318</v>
      </c>
      <c r="K31" s="71">
        <v>2.5</v>
      </c>
      <c r="L31" s="209">
        <f t="shared" ca="1" si="0"/>
        <v>2.2734985602632625</v>
      </c>
      <c r="M31" s="449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8AFA-6544-3443-A788-CBFFD018D370}">
  <dimension ref="A1:AC114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476051</v>
      </c>
      <c r="Q2" s="12">
        <v>476051</v>
      </c>
      <c r="R2" s="13"/>
      <c r="S2" s="316"/>
      <c r="T2" s="316"/>
      <c r="U2" s="316"/>
      <c r="V2" s="316"/>
      <c r="W2" s="316"/>
      <c r="X2" s="12">
        <v>479050</v>
      </c>
      <c r="Y2" s="12">
        <v>479050</v>
      </c>
      <c r="Z2" s="12">
        <v>483249</v>
      </c>
      <c r="AA2" s="12">
        <v>483249</v>
      </c>
      <c r="AB2" s="12">
        <v>488759</v>
      </c>
      <c r="AC2" s="12">
        <v>488759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554</v>
      </c>
      <c r="Q3" s="2">
        <v>554</v>
      </c>
      <c r="R3" s="4">
        <v>479</v>
      </c>
      <c r="S3" s="4">
        <v>497</v>
      </c>
      <c r="T3" s="4">
        <v>514</v>
      </c>
      <c r="U3" s="4">
        <v>532</v>
      </c>
      <c r="V3" s="4">
        <v>550</v>
      </c>
      <c r="W3" s="4">
        <v>550</v>
      </c>
      <c r="X3" s="480">
        <v>449</v>
      </c>
      <c r="Y3" s="2">
        <f ca="1">IFERROR(__xludf.DUMMYFUNCTION("INDEX(IMPORTRANGE(""1y0FWgjbB0gVlqn-q5LMJbGIsqOrzru4yowQz67dz2yc"", ""'SNG'!BG3:BG139""),MATCH($D3,IMPORTRANGE(""1y0FWgjbB0gVlqn-q5LMJbGIsqOrzru4yowQz67dz2yc"", ""'SNG'!D3:D139""),0))"),462)</f>
        <v>462</v>
      </c>
      <c r="Z3" s="2">
        <f ca="1">IFERROR(__xludf.DUMMYFUNCTION("INDEX(IMPORTRANGE(""1y0FWgjbB0gVlqn-q5LMJbGIsqOrzru4yowQz67dz2yc"", ""'SNG'!BH3:BH139""),MATCH($D3,IMPORTRANGE(""1y0FWgjbB0gVlqn-q5LMJbGIsqOrzru4yowQz67dz2yc"", ""'SNG'!D3:D139""),0))"),447)</f>
        <v>447</v>
      </c>
      <c r="AA3" s="2">
        <f ca="1">IFERROR(__xludf.DUMMYFUNCTION("INDEX(IMPORTRANGE(""1y0FWgjbB0gVlqn-q5LMJbGIsqOrzru4yowQz67dz2yc"", ""'SNG'!BI3:BI139""),MATCH($D3,IMPORTRANGE(""1y0FWgjbB0gVlqn-q5LMJbGIsqOrzru4yowQz67dz2yc"", ""'SNG'!D3:D139""),0))"),446)</f>
        <v>446</v>
      </c>
      <c r="AB3" s="2">
        <f ca="1">IFERROR(__xludf.DUMMYFUNCTION("INDEX(IMPORTRANGE(""1y0FWgjbB0gVlqn-q5LMJbGIsqOrzru4yowQz67dz2yc"", ""'SNG'!BJ3:BJ139""),MATCH($D3,IMPORTRANGE(""1y0FWgjbB0gVlqn-q5LMJbGIsqOrzru4yowQz67dz2yc"", ""'SNG'!D3:D139""),0))"),433)</f>
        <v>433</v>
      </c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395</v>
      </c>
      <c r="Q4" s="2">
        <v>395</v>
      </c>
      <c r="R4" s="13"/>
      <c r="S4" s="13"/>
      <c r="T4" s="13"/>
      <c r="U4" s="13"/>
      <c r="V4" s="13"/>
      <c r="W4" s="13"/>
      <c r="X4" s="2">
        <v>447</v>
      </c>
      <c r="Y4" s="2">
        <f ca="1">IFERROR(__xludf.DUMMYFUNCTION("INDEX(IMPORTRANGE(""1y0FWgjbB0gVlqn-q5LMJbGIsqOrzru4yowQz67dz2yc"", ""'SNG'!BG3:BG139""),MATCH($D4,IMPORTRANGE(""1y0FWgjbB0gVlqn-q5LMJbGIsqOrzru4yowQz67dz2yc"", ""'SNG'!D3:D139""),0))"),462)</f>
        <v>462</v>
      </c>
      <c r="Z4" s="2">
        <f ca="1">IFERROR(__xludf.DUMMYFUNCTION("INDEX(IMPORTRANGE(""1y0FWgjbB0gVlqn-q5LMJbGIsqOrzru4yowQz67dz2yc"", ""'SNG'!BH3:BH139""),MATCH($D4,IMPORTRANGE(""1y0FWgjbB0gVlqn-q5LMJbGIsqOrzru4yowQz67dz2yc"", ""'SNG'!D3:D139""),0))"),447)</f>
        <v>447</v>
      </c>
      <c r="AA4" s="2">
        <f ca="1">IFERROR(__xludf.DUMMYFUNCTION("INDEX(IMPORTRANGE(""1y0FWgjbB0gVlqn-q5LMJbGIsqOrzru4yowQz67dz2yc"", ""'SNG'!BI3:BI139""),MATCH($D4,IMPORTRANGE(""1y0FWgjbB0gVlqn-q5LMJbGIsqOrzru4yowQz67dz2yc"", ""'SNG'!D3:D139""),0))"),446)</f>
        <v>446</v>
      </c>
      <c r="AB4" s="2">
        <f ca="1">IFERROR(__xludf.DUMMYFUNCTION("INDEX(IMPORTRANGE(""1y0FWgjbB0gVlqn-q5LMJbGIsqOrzru4yowQz67dz2yc"", ""'SNG'!BJ3:BJ139""),MATCH($D4,IMPORTRANGE(""1y0FWgjbB0gVlqn-q5LMJbGIsqOrzru4yowQz67dz2yc"", ""'SNG'!D3:D139""),0))"),423)</f>
        <v>423</v>
      </c>
      <c r="AC4" s="1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0.71299638989169678</v>
      </c>
      <c r="Q5" s="15">
        <f t="shared" si="0"/>
        <v>0.71299638989169678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0.99554565701559017</v>
      </c>
      <c r="Y5" s="15">
        <f ca="1">IFERROR(__xludf.DUMMYFUNCTION("INDEX(IMPORTRANGE(""1y0FWgjbB0gVlqn-q5LMJbGIsqOrzru4yowQz67dz2yc"", ""'SNG'!BG3:BG139""),MATCH($D5,IMPORTRANGE(""1y0FWgjbB0gVlqn-q5LMJbGIsqOrzru4yowQz67dz2yc"", ""'SNG'!D3:D139""),0))"),1)</f>
        <v>1</v>
      </c>
      <c r="Z5" s="15">
        <f ca="1">IFERROR(__xludf.DUMMYFUNCTION("INDEX(IMPORTRANGE(""1y0FWgjbB0gVlqn-q5LMJbGIsqOrzru4yowQz67dz2yc"", ""'SNG'!BH3:BH139""),MATCH($D5,IMPORTRANGE(""1y0FWgjbB0gVlqn-q5LMJbGIsqOrzru4yowQz67dz2yc"", ""'SNG'!D3:D139""),0))"),1)</f>
        <v>1</v>
      </c>
      <c r="AA5" s="15">
        <f ca="1">IFERROR(__xludf.DUMMYFUNCTION("INDEX(IMPORTRANGE(""1y0FWgjbB0gVlqn-q5LMJbGIsqOrzru4yowQz67dz2yc"", ""'SNG'!BI3:BI139""),MATCH($D5,IMPORTRANGE(""1y0FWgjbB0gVlqn-q5LMJbGIsqOrzru4yowQz67dz2yc"", ""'SNG'!D3:D139""),0))"),1)</f>
        <v>1</v>
      </c>
      <c r="AB5" s="15">
        <f ca="1">IFERROR(__xludf.DUMMYFUNCTION("INDEX(IMPORTRANGE(""1y0FWgjbB0gVlqn-q5LMJbGIsqOrzru4yowQz67dz2yc"", ""'SNG'!BJ3:BJ139""),MATCH($D5,IMPORTRANGE(""1y0FWgjbB0gVlqn-q5LMJbGIsqOrzru4yowQz67dz2yc"", ""'SNG'!D3:D139""),0))"),0.976905311778291)</f>
        <v>0.97690531177829099</v>
      </c>
      <c r="AC5" s="1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430"/>
      <c r="Q6" s="418"/>
      <c r="R6" s="1"/>
      <c r="S6" s="1"/>
      <c r="T6" s="1"/>
      <c r="U6" s="1"/>
      <c r="V6" s="1"/>
      <c r="W6" s="1"/>
      <c r="X6" s="418"/>
      <c r="Y6" s="2">
        <f ca="1">IFERROR(__xludf.DUMMYFUNCTION("INDEX(IMPORTRANGE(""1y0FWgjbB0gVlqn-q5LMJbGIsqOrzru4yowQz67dz2yc"", ""'SNG'!BG3:BG139""),MATCH($D6,IMPORTRANGE(""1y0FWgjbB0gVlqn-q5LMJbGIsqOrzru4yowQz67dz2yc"", ""'SNG'!D3:D139""),0))"),16)</f>
        <v>16</v>
      </c>
      <c r="Z6" s="2">
        <f ca="1">IFERROR(__xludf.DUMMYFUNCTION("INDEX(IMPORTRANGE(""1y0FWgjbB0gVlqn-q5LMJbGIsqOrzru4yowQz67dz2yc"", ""'SNG'!BH3:BH139""),MATCH($D6,IMPORTRANGE(""1y0FWgjbB0gVlqn-q5LMJbGIsqOrzru4yowQz67dz2yc"", ""'SNG'!D3:D139""),0))"),19)</f>
        <v>19</v>
      </c>
      <c r="AA6" s="2">
        <f ca="1">IFERROR(__xludf.DUMMYFUNCTION("INDEX(IMPORTRANGE(""1y0FWgjbB0gVlqn-q5LMJbGIsqOrzru4yowQz67dz2yc"", ""'SNG'!BI3:BI139""),MATCH($D6,IMPORTRANGE(""1y0FWgjbB0gVlqn-q5LMJbGIsqOrzru4yowQz67dz2yc"", ""'SNG'!D3:D139""),0))"),22)</f>
        <v>22</v>
      </c>
      <c r="AB6" s="2">
        <f ca="1">IFERROR(__xludf.DUMMYFUNCTION("INDEX(IMPORTRANGE(""1y0FWgjbB0gVlqn-q5LMJbGIsqOrzru4yowQz67dz2yc"", ""'SNG'!BJ3:BJ139""),MATCH($D6,IMPORTRANGE(""1y0FWgjbB0gVlqn-q5LMJbGIsqOrzru4yowQz67dz2yc"", ""'SNG'!D3:D139""),0))"),24)</f>
        <v>24</v>
      </c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430"/>
      <c r="Q7" s="418"/>
      <c r="R7" s="1"/>
      <c r="S7" s="1"/>
      <c r="T7" s="1"/>
      <c r="U7" s="1"/>
      <c r="V7" s="1"/>
      <c r="W7" s="1"/>
      <c r="X7" s="418"/>
      <c r="Y7" s="2">
        <f ca="1">IFERROR(__xludf.DUMMYFUNCTION("INDEX(IMPORTRANGE(""1y0FWgjbB0gVlqn-q5LMJbGIsqOrzru4yowQz67dz2yc"", ""'SNG'!BG3:BG139""),MATCH($D7,IMPORTRANGE(""1y0FWgjbB0gVlqn-q5LMJbGIsqOrzru4yowQz67dz2yc"", ""'SNG'!D3:D139""),0))"),0)</f>
        <v>0</v>
      </c>
      <c r="Z7" s="2">
        <f ca="1">IFERROR(__xludf.DUMMYFUNCTION("INDEX(IMPORTRANGE(""1y0FWgjbB0gVlqn-q5LMJbGIsqOrzru4yowQz67dz2yc"", ""'SNG'!BH3:BH139""),MATCH($D7,IMPORTRANGE(""1y0FWgjbB0gVlqn-q5LMJbGIsqOrzru4yowQz67dz2yc"", ""'SNG'!D3:D139""),0))"),0)</f>
        <v>0</v>
      </c>
      <c r="AA7" s="2">
        <f ca="1">IFERROR(__xludf.DUMMYFUNCTION("INDEX(IMPORTRANGE(""1y0FWgjbB0gVlqn-q5LMJbGIsqOrzru4yowQz67dz2yc"", ""'SNG'!BI3:BI139""),MATCH($D7,IMPORTRANGE(""1y0FWgjbB0gVlqn-q5LMJbGIsqOrzru4yowQz67dz2yc"", ""'SNG'!D3:D139""),0))"),5)</f>
        <v>5</v>
      </c>
      <c r="AB7" s="2">
        <f ca="1">IFERROR(__xludf.DUMMYFUNCTION("INDEX(IMPORTRANGE(""1y0FWgjbB0gVlqn-q5LMJbGIsqOrzru4yowQz67dz2yc"", ""'SNG'!BJ3:BJ139""),MATCH($D7,IMPORTRANGE(""1y0FWgjbB0gVlqn-q5LMJbGIsqOrzru4yowQz67dz2yc"", ""'SNG'!D3:D139""),0))"),0)</f>
        <v>0</v>
      </c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420">
        <f t="shared" ref="P8:Q8" si="1">P6/P3</f>
        <v>0</v>
      </c>
      <c r="Q8" s="420">
        <f t="shared" si="1"/>
        <v>0</v>
      </c>
      <c r="R8" s="15">
        <v>3.6999999999999998E-2</v>
      </c>
      <c r="S8" s="15">
        <v>3.9E-2</v>
      </c>
      <c r="T8" s="15">
        <v>4.1000000000000002E-2</v>
      </c>
      <c r="U8" s="15">
        <v>4.2999999999999997E-2</v>
      </c>
      <c r="V8" s="15">
        <v>4.4999999999999998E-2</v>
      </c>
      <c r="W8" s="15">
        <v>4.4999999999999998E-2</v>
      </c>
      <c r="X8" s="420">
        <f>X6/X3</f>
        <v>0</v>
      </c>
      <c r="Y8" s="15">
        <f ca="1">IFERROR(__xludf.DUMMYFUNCTION("INDEX(IMPORTRANGE(""1y0FWgjbB0gVlqn-q5LMJbGIsqOrzru4yowQz67dz2yc"", ""'SNG'!BG3:BG139""),MATCH($D8,IMPORTRANGE(""1y0FWgjbB0gVlqn-q5LMJbGIsqOrzru4yowQz67dz2yc"", ""'SNG'!D3:D139""),0))"),0.0346320346320346)</f>
        <v>3.4632034632034597E-2</v>
      </c>
      <c r="Z8" s="15">
        <f ca="1">IFERROR(__xludf.DUMMYFUNCTION("INDEX(IMPORTRANGE(""1y0FWgjbB0gVlqn-q5LMJbGIsqOrzru4yowQz67dz2yc"", ""'SNG'!BH3:BH139""),MATCH($D8,IMPORTRANGE(""1y0FWgjbB0gVlqn-q5LMJbGIsqOrzru4yowQz67dz2yc"", ""'SNG'!D3:D139""),0))"),0.0425055928411633)</f>
        <v>4.25055928411633E-2</v>
      </c>
      <c r="AA8" s="15">
        <f ca="1">IFERROR(__xludf.DUMMYFUNCTION("INDEX(IMPORTRANGE(""1y0FWgjbB0gVlqn-q5LMJbGIsqOrzru4yowQz67dz2yc"", ""'SNG'!BI3:BI139""),MATCH($D8,IMPORTRANGE(""1y0FWgjbB0gVlqn-q5LMJbGIsqOrzru4yowQz67dz2yc"", ""'SNG'!D3:D139""),0))"),0.0605381165919282)</f>
        <v>6.0538116591928197E-2</v>
      </c>
      <c r="AB8" s="15">
        <f ca="1">IFERROR(__xludf.DUMMYFUNCTION("INDEX(IMPORTRANGE(""1y0FWgjbB0gVlqn-q5LMJbGIsqOrzru4yowQz67dz2yc"", ""'SNG'!BJ3:BJ139""),MATCH($D8,IMPORTRANGE(""1y0FWgjbB0gVlqn-q5LMJbGIsqOrzru4yowQz67dz2yc"", ""'SNG'!D3:D139""),0))"),0.0554272517321016)</f>
        <v>5.5427251732101598E-2</v>
      </c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65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12">
        <f ca="1">IFERROR(__xludf.DUMMYFUNCTION("INDEX(IMPORTRANGE(""1y0FWgjbB0gVlqn-q5LMJbGIsqOrzru4yowQz67dz2yc"", ""'SNG'!BG3:BG139""),MATCH($D9,IMPORTRANGE(""1y0FWgjbB0gVlqn-q5LMJbGIsqOrzru4yowQz67dz2yc"", ""'SNG'!D3:D139""),0))"),337)</f>
        <v>337</v>
      </c>
      <c r="Z9" s="12">
        <f ca="1">IFERROR(__xludf.DUMMYFUNCTION("INDEX(IMPORTRANGE(""1y0FWgjbB0gVlqn-q5LMJbGIsqOrzru4yowQz67dz2yc"", ""'SNG'!BH3:BH139""),MATCH($D9,IMPORTRANGE(""1y0FWgjbB0gVlqn-q5LMJbGIsqOrzru4yowQz67dz2yc"", ""'SNG'!D3:D139""),0))"),433)</f>
        <v>433</v>
      </c>
      <c r="AA9" s="12">
        <f ca="1">IFERROR(__xludf.DUMMYFUNCTION("INDEX(IMPORTRANGE(""1y0FWgjbB0gVlqn-q5LMJbGIsqOrzru4yowQz67dz2yc"", ""'SNG'!BI3:BI139""),MATCH($D9,IMPORTRANGE(""1y0FWgjbB0gVlqn-q5LMJbGIsqOrzru4yowQz67dz2yc"", ""'SNG'!D3:D139""),0))"),1281)</f>
        <v>1281</v>
      </c>
      <c r="AB9" s="12">
        <f ca="1">IFERROR(__xludf.DUMMYFUNCTION("INDEX(IMPORTRANGE(""1y0FWgjbB0gVlqn-q5LMJbGIsqOrzru4yowQz67dz2yc"", ""'SNG'!BJ3:BJ139""),MATCH($D9,IMPORTRANGE(""1y0FWgjbB0gVlqn-q5LMJbGIsqOrzru4yowQz67dz2yc"", ""'SNG'!D3:D139""),0))"),1151)</f>
        <v>1151</v>
      </c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55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418</v>
      </c>
      <c r="Q10" s="12">
        <v>590</v>
      </c>
      <c r="R10" s="13"/>
      <c r="S10" s="13"/>
      <c r="T10" s="13"/>
      <c r="U10" s="13"/>
      <c r="V10" s="13"/>
      <c r="W10" s="13"/>
      <c r="X10" s="12">
        <v>112</v>
      </c>
      <c r="Y10" s="12">
        <f ca="1">IFERROR(__xludf.DUMMYFUNCTION("INDEX(IMPORTRANGE(""1y0FWgjbB0gVlqn-q5LMJbGIsqOrzru4yowQz67dz2yc"", ""'SNG'!BG3:BG139""),MATCH($D10,IMPORTRANGE(""1y0FWgjbB0gVlqn-q5LMJbGIsqOrzru4yowQz67dz2yc"", ""'SNG'!D3:D139""),0))"),2182)</f>
        <v>2182</v>
      </c>
      <c r="Z10" s="12">
        <f ca="1">IFERROR(__xludf.DUMMYFUNCTION("INDEX(IMPORTRANGE(""1y0FWgjbB0gVlqn-q5LMJbGIsqOrzru4yowQz67dz2yc"", ""'SNG'!BH3:BH139""),MATCH($D10,IMPORTRANGE(""1y0FWgjbB0gVlqn-q5LMJbGIsqOrzru4yowQz67dz2yc"", ""'SNG'!D3:D139""),0))"),1485)</f>
        <v>1485</v>
      </c>
      <c r="AA10" s="12">
        <f ca="1">IFERROR(__xludf.DUMMYFUNCTION("INDEX(IMPORTRANGE(""1y0FWgjbB0gVlqn-q5LMJbGIsqOrzru4yowQz67dz2yc"", ""'SNG'!BI3:BI139""),MATCH($D10,IMPORTRANGE(""1y0FWgjbB0gVlqn-q5LMJbGIsqOrzru4yowQz67dz2yc"", ""'SNG'!D3:D139""),0))"),3302)</f>
        <v>3302</v>
      </c>
      <c r="AB10" s="12">
        <f ca="1">IFERROR(__xludf.DUMMYFUNCTION("INDEX(IMPORTRANGE(""1y0FWgjbB0gVlqn-q5LMJbGIsqOrzru4yowQz67dz2yc"", ""'SNG'!BJ3:BJ139""),MATCH($D10,IMPORTRANGE(""1y0FWgjbB0gVlqn-q5LMJbGIsqOrzru4yowQz67dz2yc"", ""'SNG'!D3:D139""),0))"),1729)</f>
        <v>1729</v>
      </c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4">
        <v>0.15</v>
      </c>
      <c r="S11" s="14">
        <v>0.3</v>
      </c>
      <c r="T11" s="14">
        <v>0.45</v>
      </c>
      <c r="U11" s="14">
        <v>0.6</v>
      </c>
      <c r="V11" s="14">
        <v>0.75</v>
      </c>
      <c r="W11" s="14">
        <f>V11</f>
        <v>0.75</v>
      </c>
      <c r="X11" s="15">
        <f>X9/X10</f>
        <v>0</v>
      </c>
      <c r="Y11" s="15">
        <f ca="1">IFERROR(__xludf.DUMMYFUNCTION("INDEX(IMPORTRANGE(""1y0FWgjbB0gVlqn-q5LMJbGIsqOrzru4yowQz67dz2yc"", ""'SNG'!BG3:BG139""),MATCH($D11,IMPORTRANGE(""1y0FWgjbB0gVlqn-q5LMJbGIsqOrzru4yowQz67dz2yc"", ""'SNG'!D3:D139""),0))"),0.154445462878093)</f>
        <v>0.15444546287809299</v>
      </c>
      <c r="Z11" s="15">
        <f ca="1">IFERROR(__xludf.DUMMYFUNCTION("INDEX(IMPORTRANGE(""1y0FWgjbB0gVlqn-q5LMJbGIsqOrzru4yowQz67dz2yc"", ""'SNG'!BH3:BH139""),MATCH($D11,IMPORTRANGE(""1y0FWgjbB0gVlqn-q5LMJbGIsqOrzru4yowQz67dz2yc"", ""'SNG'!D3:D139""),0))"),0.291582491582491)</f>
        <v>0.291582491582491</v>
      </c>
      <c r="AA11" s="15">
        <f ca="1">IFERROR(__xludf.DUMMYFUNCTION("INDEX(IMPORTRANGE(""1y0FWgjbB0gVlqn-q5LMJbGIsqOrzru4yowQz67dz2yc"", ""'SNG'!BI3:BI139""),MATCH($D11,IMPORTRANGE(""1y0FWgjbB0gVlqn-q5LMJbGIsqOrzru4yowQz67dz2yc"", ""'SNG'!D3:D139""),0))"),0.387946698970321)</f>
        <v>0.38794669897032102</v>
      </c>
      <c r="AB11" s="15">
        <f ca="1">IFERROR(__xludf.DUMMYFUNCTION("INDEX(IMPORTRANGE(""1y0FWgjbB0gVlqn-q5LMJbGIsqOrzru4yowQz67dz2yc"", ""'SNG'!BJ3:BJ139""),MATCH($D11,IMPORTRANGE(""1y0FWgjbB0gVlqn-q5LMJbGIsqOrzru4yowQz67dz2yc"", ""'SNG'!D3:D139""),0))"),0.665702718334297)</f>
        <v>0.66570271833429695</v>
      </c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21</v>
      </c>
      <c r="Q12" s="12">
        <v>52</v>
      </c>
      <c r="R12" s="13"/>
      <c r="S12" s="13"/>
      <c r="T12" s="13"/>
      <c r="U12" s="13"/>
      <c r="V12" s="13"/>
      <c r="W12" s="13"/>
      <c r="X12" s="12">
        <v>11</v>
      </c>
      <c r="Y12" s="12">
        <f ca="1">IFERROR(__xludf.DUMMYFUNCTION("INDEX(IMPORTRANGE(""1y0FWgjbB0gVlqn-q5LMJbGIsqOrzru4yowQz67dz2yc"", ""'SNG'!BG3:BG139""),MATCH($D12,IMPORTRANGE(""1y0FWgjbB0gVlqn-q5LMJbGIsqOrzru4yowQz67dz2yc"", ""'SNG'!D3:D139""),0))"),44)</f>
        <v>44</v>
      </c>
      <c r="Z12" s="12">
        <f ca="1">IFERROR(__xludf.DUMMYFUNCTION("INDEX(IMPORTRANGE(""1y0FWgjbB0gVlqn-q5LMJbGIsqOrzru4yowQz67dz2yc"", ""'SNG'!BH3:BH139""),MATCH($D12,IMPORTRANGE(""1y0FWgjbB0gVlqn-q5LMJbGIsqOrzru4yowQz67dz2yc"", ""'SNG'!D3:D139""),0))"),16)</f>
        <v>16</v>
      </c>
      <c r="AA12" s="12">
        <f ca="1">IFERROR(__xludf.DUMMYFUNCTION("INDEX(IMPORTRANGE(""1y0FWgjbB0gVlqn-q5LMJbGIsqOrzru4yowQz67dz2yc"", ""'SNG'!BI3:BI139""),MATCH($D12,IMPORTRANGE(""1y0FWgjbB0gVlqn-q5LMJbGIsqOrzru4yowQz67dz2yc"", ""'SNG'!D3:D139""),0))"),49)</f>
        <v>49</v>
      </c>
      <c r="AB12" s="12">
        <f ca="1">IFERROR(__xludf.DUMMYFUNCTION("INDEX(IMPORTRANGE(""1y0FWgjbB0gVlqn-q5LMJbGIsqOrzru4yowQz67dz2yc"", ""'SNG'!BJ3:BJ139""),MATCH($D12,IMPORTRANGE(""1y0FWgjbB0gVlqn-q5LMJbGIsqOrzru4yowQz67dz2yc"", ""'SNG'!D3:D139""),0))"),23)</f>
        <v>23</v>
      </c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4.4112920674465554</v>
      </c>
      <c r="Q13" s="23">
        <f t="shared" si="3"/>
        <v>10.923199405105755</v>
      </c>
      <c r="R13" s="2">
        <v>7.9</v>
      </c>
      <c r="S13" s="2">
        <v>2</v>
      </c>
      <c r="T13" s="2">
        <v>4.9000000000000004</v>
      </c>
      <c r="U13" s="24">
        <v>3.8</v>
      </c>
      <c r="V13" s="2">
        <v>9.4</v>
      </c>
      <c r="W13" s="2">
        <f>V13</f>
        <v>9.4</v>
      </c>
      <c r="X13" s="23">
        <f>(X12/X$2)*100000</f>
        <v>2.2962112514351318</v>
      </c>
      <c r="Y13" s="23">
        <f ca="1">IFERROR(__xludf.DUMMYFUNCTION("INDEX(IMPORTRANGE(""1y0FWgjbB0gVlqn-q5LMJbGIsqOrzru4yowQz67dz2yc"", ""'SNG'!BG3:BG139""),MATCH($D13,IMPORTRANGE(""1y0FWgjbB0gVlqn-q5LMJbGIsqOrzru4yowQz67dz2yc"", ""'SNG'!D3:D139""),0))"),9.18484500574052)</f>
        <v>9.1848450057405202</v>
      </c>
      <c r="Z13" s="23">
        <f ca="1">IFERROR(__xludf.DUMMYFUNCTION("INDEX(IMPORTRANGE(""1y0FWgjbB0gVlqn-q5LMJbGIsqOrzru4yowQz67dz2yc"", ""'SNG'!BH3:BH139""),MATCH($D13,IMPORTRANGE(""1y0FWgjbB0gVlqn-q5LMJbGIsqOrzru4yowQz67dz2yc"", ""'SNG'!D3:D139""),0))"),3.3109225264822)</f>
        <v>3.3109225264822002</v>
      </c>
      <c r="AA13" s="23">
        <f ca="1">IFERROR(__xludf.DUMMYFUNCTION("INDEX(IMPORTRANGE(""1y0FWgjbB0gVlqn-q5LMJbGIsqOrzru4yowQz67dz2yc"", ""'SNG'!BI3:BI139""),MATCH($D13,IMPORTRANGE(""1y0FWgjbB0gVlqn-q5LMJbGIsqOrzru4yowQz67dz2yc"", ""'SNG'!D3:D139""),0))"),10.1397002373517)</f>
        <v>10.1397002373517</v>
      </c>
      <c r="AB13" s="23">
        <f ca="1">IFERROR(__xludf.DUMMYFUNCTION("INDEX(IMPORTRANGE(""1y0FWgjbB0gVlqn-q5LMJbGIsqOrzru4yowQz67dz2yc"", ""'SNG'!BJ3:BJ139""),MATCH($D13,IMPORTRANGE(""1y0FWgjbB0gVlqn-q5LMJbGIsqOrzru4yowQz67dz2yc"", ""'SNG'!D3:D139""),0))"),4.70579569890273)</f>
        <v>4.7057956989027296</v>
      </c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138</v>
      </c>
      <c r="Q14" s="12">
        <v>250</v>
      </c>
      <c r="R14" s="13"/>
      <c r="S14" s="13"/>
      <c r="T14" s="13"/>
      <c r="U14" s="13"/>
      <c r="V14" s="13"/>
      <c r="W14" s="13"/>
      <c r="X14" s="12">
        <v>133</v>
      </c>
      <c r="Y14" s="12">
        <f ca="1">IFERROR(__xludf.DUMMYFUNCTION("INDEX(IMPORTRANGE(""1y0FWgjbB0gVlqn-q5LMJbGIsqOrzru4yowQz67dz2yc"", ""'SNG'!BG3:BG139""),MATCH($D14,IMPORTRANGE(""1y0FWgjbB0gVlqn-q5LMJbGIsqOrzru4yowQz67dz2yc"", ""'SNG'!D3:D139""),0))"),260)</f>
        <v>260</v>
      </c>
      <c r="Z14" s="12">
        <f ca="1">IFERROR(__xludf.DUMMYFUNCTION("INDEX(IMPORTRANGE(""1y0FWgjbB0gVlqn-q5LMJbGIsqOrzru4yowQz67dz2yc"", ""'SNG'!BH3:BH139""),MATCH($D14,IMPORTRANGE(""1y0FWgjbB0gVlqn-q5LMJbGIsqOrzru4yowQz67dz2yc"", ""'SNG'!D3:D139""),0))"),91)</f>
        <v>91</v>
      </c>
      <c r="AA14" s="12">
        <f ca="1">IFERROR(__xludf.DUMMYFUNCTION("INDEX(IMPORTRANGE(""1y0FWgjbB0gVlqn-q5LMJbGIsqOrzru4yowQz67dz2yc"", ""'SNG'!BI3:BI139""),MATCH($D14,IMPORTRANGE(""1y0FWgjbB0gVlqn-q5LMJbGIsqOrzru4yowQz67dz2yc"", ""'SNG'!D3:D139""),0))"),203)</f>
        <v>203</v>
      </c>
      <c r="AB14" s="12">
        <f ca="1">IFERROR(__xludf.DUMMYFUNCTION("INDEX(IMPORTRANGE(""1y0FWgjbB0gVlqn-q5LMJbGIsqOrzru4yowQz67dz2yc"", ""'SNG'!BJ3:BJ139""),MATCH($D14,IMPORTRANGE(""1y0FWgjbB0gVlqn-q5LMJbGIsqOrzru4yowQz67dz2yc"", ""'SNG'!D3:D139""),0))"),96)</f>
        <v>96</v>
      </c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177</v>
      </c>
      <c r="Q15" s="12">
        <v>364</v>
      </c>
      <c r="R15" s="13"/>
      <c r="S15" s="13"/>
      <c r="T15" s="13"/>
      <c r="U15" s="13"/>
      <c r="V15" s="13"/>
      <c r="W15" s="13"/>
      <c r="X15" s="12">
        <v>204</v>
      </c>
      <c r="Y15" s="12">
        <f ca="1">IFERROR(__xludf.DUMMYFUNCTION("INDEX(IMPORTRANGE(""1y0FWgjbB0gVlqn-q5LMJbGIsqOrzru4yowQz67dz2yc"", ""'SNG'!BG3:BG139""),MATCH($D15,IMPORTRANGE(""1y0FWgjbB0gVlqn-q5LMJbGIsqOrzru4yowQz67dz2yc"", ""'SNG'!D3:D139""),0))"),432)</f>
        <v>432</v>
      </c>
      <c r="Z15" s="12">
        <f ca="1">IFERROR(__xludf.DUMMYFUNCTION("INDEX(IMPORTRANGE(""1y0FWgjbB0gVlqn-q5LMJbGIsqOrzru4yowQz67dz2yc"", ""'SNG'!BH3:BH139""),MATCH($D15,IMPORTRANGE(""1y0FWgjbB0gVlqn-q5LMJbGIsqOrzru4yowQz67dz2yc"", ""'SNG'!D3:D139""),0))"),177)</f>
        <v>177</v>
      </c>
      <c r="AA15" s="12">
        <f ca="1">IFERROR(__xludf.DUMMYFUNCTION("INDEX(IMPORTRANGE(""1y0FWgjbB0gVlqn-q5LMJbGIsqOrzru4yowQz67dz2yc"", ""'SNG'!BI3:BI139""),MATCH($D15,IMPORTRANGE(""1y0FWgjbB0gVlqn-q5LMJbGIsqOrzru4yowQz67dz2yc"", ""'SNG'!D3:D139""),0))"),379)</f>
        <v>379</v>
      </c>
      <c r="AB15" s="12">
        <f ca="1">IFERROR(__xludf.DUMMYFUNCTION("INDEX(IMPORTRANGE(""1y0FWgjbB0gVlqn-q5LMJbGIsqOrzru4yowQz67dz2yc"", ""'SNG'!BJ3:BJ139""),MATCH($D15,IMPORTRANGE(""1y0FWgjbB0gVlqn-q5LMJbGIsqOrzru4yowQz67dz2yc"", ""'SNG'!D3:D139""),0))"),206)</f>
        <v>206</v>
      </c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129</v>
      </c>
      <c r="Q16" s="12">
        <v>250</v>
      </c>
      <c r="R16" s="13"/>
      <c r="S16" s="13"/>
      <c r="T16" s="13"/>
      <c r="U16" s="13"/>
      <c r="V16" s="13"/>
      <c r="W16" s="13"/>
      <c r="X16" s="12">
        <v>133</v>
      </c>
      <c r="Y16" s="12">
        <f ca="1">IFERROR(__xludf.DUMMYFUNCTION("INDEX(IMPORTRANGE(""1y0FWgjbB0gVlqn-q5LMJbGIsqOrzru4yowQz67dz2yc"", ""'SNG'!BG3:BG139""),MATCH($D16,IMPORTRANGE(""1y0FWgjbB0gVlqn-q5LMJbGIsqOrzru4yowQz67dz2yc"", ""'SNG'!D3:D139""),0))"),259)</f>
        <v>259</v>
      </c>
      <c r="Z16" s="12">
        <f ca="1">IFERROR(__xludf.DUMMYFUNCTION("INDEX(IMPORTRANGE(""1y0FWgjbB0gVlqn-q5LMJbGIsqOrzru4yowQz67dz2yc"", ""'SNG'!BH3:BH139""),MATCH($D16,IMPORTRANGE(""1y0FWgjbB0gVlqn-q5LMJbGIsqOrzru4yowQz67dz2yc"", ""'SNG'!D3:D139""),0))"),83)</f>
        <v>83</v>
      </c>
      <c r="AA16" s="12">
        <f ca="1">IFERROR(__xludf.DUMMYFUNCTION("INDEX(IMPORTRANGE(""1y0FWgjbB0gVlqn-q5LMJbGIsqOrzru4yowQz67dz2yc"", ""'SNG'!BI3:BI139""),MATCH($D16,IMPORTRANGE(""1y0FWgjbB0gVlqn-q5LMJbGIsqOrzru4yowQz67dz2yc"", ""'SNG'!D3:D139""),0))"),167)</f>
        <v>167</v>
      </c>
      <c r="AB16" s="12">
        <f ca="1">IFERROR(__xludf.DUMMYFUNCTION("INDEX(IMPORTRANGE(""1y0FWgjbB0gVlqn-q5LMJbGIsqOrzru4yowQz67dz2yc"", ""'SNG'!BJ3:BJ139""),MATCH($D16,IMPORTRANGE(""1y0FWgjbB0gVlqn-q5LMJbGIsqOrzru4yowQz67dz2yc"", ""'SNG'!D3:D139""),0))"),75)</f>
        <v>75</v>
      </c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68</v>
      </c>
      <c r="Q17" s="12">
        <v>135</v>
      </c>
      <c r="R17" s="13"/>
      <c r="S17" s="13"/>
      <c r="T17" s="13"/>
      <c r="U17" s="13"/>
      <c r="V17" s="13"/>
      <c r="W17" s="13"/>
      <c r="X17" s="12">
        <v>68</v>
      </c>
      <c r="Y17" s="12">
        <f ca="1">IFERROR(__xludf.DUMMYFUNCTION("INDEX(IMPORTRANGE(""1y0FWgjbB0gVlqn-q5LMJbGIsqOrzru4yowQz67dz2yc"", ""'SNG'!BG3:BG139""),MATCH($D17,IMPORTRANGE(""1y0FWgjbB0gVlqn-q5LMJbGIsqOrzru4yowQz67dz2yc"", ""'SNG'!D3:D139""),0))"),119)</f>
        <v>119</v>
      </c>
      <c r="Z17" s="12">
        <f ca="1">IFERROR(__xludf.DUMMYFUNCTION("INDEX(IMPORTRANGE(""1y0FWgjbB0gVlqn-q5LMJbGIsqOrzru4yowQz67dz2yc"", ""'SNG'!BH3:BH139""),MATCH($D17,IMPORTRANGE(""1y0FWgjbB0gVlqn-q5LMJbGIsqOrzru4yowQz67dz2yc"", ""'SNG'!D3:D139""),0))"),39)</f>
        <v>39</v>
      </c>
      <c r="AA17" s="12">
        <f ca="1">IFERROR(__xludf.DUMMYFUNCTION("INDEX(IMPORTRANGE(""1y0FWgjbB0gVlqn-q5LMJbGIsqOrzru4yowQz67dz2yc"", ""'SNG'!BI3:BI139""),MATCH($D17,IMPORTRANGE(""1y0FWgjbB0gVlqn-q5LMJbGIsqOrzru4yowQz67dz2yc"", ""'SNG'!D3:D139""),0))"),82)</f>
        <v>82</v>
      </c>
      <c r="AB17" s="12">
        <f ca="1">IFERROR(__xludf.DUMMYFUNCTION("INDEX(IMPORTRANGE(""1y0FWgjbB0gVlqn-q5LMJbGIsqOrzru4yowQz67dz2yc"", ""'SNG'!BJ3:BJ139""),MATCH($D17,IMPORTRANGE(""1y0FWgjbB0gVlqn-q5LMJbGIsqOrzru4yowQz67dz2yc"", ""'SNG'!D3:D139""),0))"),48)</f>
        <v>48</v>
      </c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512</v>
      </c>
      <c r="Q18" s="262">
        <f t="shared" si="4"/>
        <v>999</v>
      </c>
      <c r="R18" s="486"/>
      <c r="S18" s="486"/>
      <c r="T18" s="486"/>
      <c r="U18" s="486"/>
      <c r="V18" s="486"/>
      <c r="W18" s="486"/>
      <c r="X18" s="262">
        <f t="shared" ref="X18:AA18" si="5">SUM(X14:X17)</f>
        <v>538</v>
      </c>
      <c r="Y18" s="262">
        <f t="shared" ca="1" si="5"/>
        <v>1070</v>
      </c>
      <c r="Z18" s="262">
        <f t="shared" ca="1" si="5"/>
        <v>390</v>
      </c>
      <c r="AA18" s="262">
        <f t="shared" ca="1" si="5"/>
        <v>831</v>
      </c>
      <c r="AB18" s="262">
        <f ca="1">IFERROR(__xludf.DUMMYFUNCTION("INDEX(IMPORTRANGE(""1y0FWgjbB0gVlqn-q5LMJbGIsqOrzru4yowQz67dz2yc"", ""'SNG'!BJ3:BJ139""),MATCH($D18,IMPORTRANGE(""1y0FWgjbB0gVlqn-q5LMJbGIsqOrzru4yowQz67dz2yc"", ""'SNG'!D3:D139""),0))"),425)</f>
        <v>425</v>
      </c>
      <c r="AC18" s="295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107.55150183488745</v>
      </c>
      <c r="Q19" s="23">
        <f t="shared" si="6"/>
        <v>209.85146549424323</v>
      </c>
      <c r="R19" s="2"/>
      <c r="S19" s="2">
        <v>107</v>
      </c>
      <c r="T19" s="2">
        <v>203</v>
      </c>
      <c r="U19" s="2">
        <v>107</v>
      </c>
      <c r="V19" s="2">
        <v>195</v>
      </c>
      <c r="W19" s="2">
        <f>V19</f>
        <v>195</v>
      </c>
      <c r="X19" s="23">
        <f>(SUM(X14:X17)/X2)*100000</f>
        <v>112.30560484291829</v>
      </c>
      <c r="Y19" s="23">
        <f ca="1">IFERROR(__xludf.DUMMYFUNCTION("INDEX(IMPORTRANGE(""1y0FWgjbB0gVlqn-q5LMJbGIsqOrzru4yowQz67dz2yc"", ""'SNG'!BG3:BG139""),MATCH($D19,IMPORTRANGE(""1y0FWgjbB0gVlqn-q5LMJbGIsqOrzru4yowQz67dz2yc"", ""'SNG'!D3:D139""),0))"),223.358730821417)</f>
        <v>223.358730821417</v>
      </c>
      <c r="Z19" s="23">
        <f ca="1">IFERROR(__xludf.DUMMYFUNCTION("INDEX(IMPORTRANGE(""1y0FWgjbB0gVlqn-q5LMJbGIsqOrzru4yowQz67dz2yc"", ""'SNG'!BH3:BH139""),MATCH($D19,IMPORTRANGE(""1y0FWgjbB0gVlqn-q5LMJbGIsqOrzru4yowQz67dz2yc"", ""'SNG'!D3:D139""),0))"),80.7037365830037)</f>
        <v>80.703736583003703</v>
      </c>
      <c r="AA19" s="23">
        <f ca="1">IFERROR(__xludf.DUMMYFUNCTION("INDEX(IMPORTRANGE(""1y0FWgjbB0gVlqn-q5LMJbGIsqOrzru4yowQz67dz2yc"", ""'SNG'!BI3:BI139""),MATCH($D19,IMPORTRANGE(""1y0FWgjbB0gVlqn-q5LMJbGIsqOrzru4yowQz67dz2yc"", ""'SNG'!D3:D139""),0))"),171.961038719169)</f>
        <v>171.96103871916901</v>
      </c>
      <c r="AB19" s="23">
        <f ca="1">IFERROR(__xludf.DUMMYFUNCTION("INDEX(IMPORTRANGE(""1y0FWgjbB0gVlqn-q5LMJbGIsqOrzru4yowQz67dz2yc"", ""'SNG'!BJ3:BJ139""),MATCH($D19,IMPORTRANGE(""1y0FWgjbB0gVlqn-q5LMJbGIsqOrzru4yowQz67dz2yc"", ""'SNG'!D3:D139""),0))"),86.9549205232026)</f>
        <v>86.954920523202603</v>
      </c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903</v>
      </c>
      <c r="Q20" s="12">
        <v>2078</v>
      </c>
      <c r="R20" s="13"/>
      <c r="S20" s="13"/>
      <c r="T20" s="13"/>
      <c r="U20" s="13"/>
      <c r="V20" s="13"/>
      <c r="W20" s="13"/>
      <c r="X20" s="12">
        <v>1049</v>
      </c>
      <c r="Y20" s="12">
        <f ca="1">IFERROR(__xludf.DUMMYFUNCTION("INDEX(IMPORTRANGE(""1y0FWgjbB0gVlqn-q5LMJbGIsqOrzru4yowQz67dz2yc"", ""'SNG'!BG3:BG139""),MATCH($D20,IMPORTRANGE(""1y0FWgjbB0gVlqn-q5LMJbGIsqOrzru4yowQz67dz2yc"", ""'SNG'!D3:D139""),0))"),2163)</f>
        <v>2163</v>
      </c>
      <c r="Z20" s="12">
        <f ca="1">IFERROR(__xludf.DUMMYFUNCTION("INDEX(IMPORTRANGE(""1y0FWgjbB0gVlqn-q5LMJbGIsqOrzru4yowQz67dz2yc"", ""'SNG'!BH3:BH139""),MATCH($D20,IMPORTRANGE(""1y0FWgjbB0gVlqn-q5LMJbGIsqOrzru4yowQz67dz2yc"", ""'SNG'!D3:D139""),0))"),907)</f>
        <v>907</v>
      </c>
      <c r="AA20" s="12">
        <f ca="1">IFERROR(__xludf.DUMMYFUNCTION("INDEX(IMPORTRANGE(""1y0FWgjbB0gVlqn-q5LMJbGIsqOrzru4yowQz67dz2yc"", ""'SNG'!BI3:BI139""),MATCH($D20,IMPORTRANGE(""1y0FWgjbB0gVlqn-q5LMJbGIsqOrzru4yowQz67dz2yc"", ""'SNG'!D3:D139""),0))"),1907)</f>
        <v>1907</v>
      </c>
      <c r="AB20" s="12">
        <f ca="1">IFERROR(__xludf.DUMMYFUNCTION("INDEX(IMPORTRANGE(""1y0FWgjbB0gVlqn-q5LMJbGIsqOrzru4yowQz67dz2yc"", ""'SNG'!BJ3:BJ139""),MATCH($D20,IMPORTRANGE(""1y0FWgjbB0gVlqn-q5LMJbGIsqOrzru4yowQz67dz2yc"", ""'SNG'!D3:D139""),0))"),762)</f>
        <v>762</v>
      </c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189.68555890020187</v>
      </c>
      <c r="Q21" s="23">
        <f t="shared" si="7"/>
        <v>436.50785315018771</v>
      </c>
      <c r="R21" s="2">
        <v>399.8</v>
      </c>
      <c r="S21" s="2">
        <v>157.80000000000001</v>
      </c>
      <c r="T21" s="2">
        <v>363.2</v>
      </c>
      <c r="U21" s="2">
        <v>159.69999999999999</v>
      </c>
      <c r="V21" s="2">
        <v>366.7</v>
      </c>
      <c r="W21" s="2">
        <f>V21</f>
        <v>366.7</v>
      </c>
      <c r="X21" s="23">
        <f>(X20/X$2)*100000</f>
        <v>218.97505479595031</v>
      </c>
      <c r="Y21" s="23">
        <f ca="1">IFERROR(__xludf.DUMMYFUNCTION("INDEX(IMPORTRANGE(""1y0FWgjbB0gVlqn-q5LMJbGIsqOrzru4yowQz67dz2yc"", ""'SNG'!BG3:BG139""),MATCH($D21,IMPORTRANGE(""1y0FWgjbB0gVlqn-q5LMJbGIsqOrzru4yowQz67dz2yc"", ""'SNG'!D3:D139""),0))"),451.518630623108)</f>
        <v>451.51863062310798</v>
      </c>
      <c r="Z21" s="23">
        <f ca="1">IFERROR(__xludf.DUMMYFUNCTION("INDEX(IMPORTRANGE(""1y0FWgjbB0gVlqn-q5LMJbGIsqOrzru4yowQz67dz2yc"", ""'SNG'!BH3:BH139""),MATCH($D21,IMPORTRANGE(""1y0FWgjbB0gVlqn-q5LMJbGIsqOrzru4yowQz67dz2yc"", ""'SNG'!D3:D139""),0))"),187.68792071996)</f>
        <v>187.68792071996</v>
      </c>
      <c r="AA21" s="23">
        <f ca="1">IFERROR(__xludf.DUMMYFUNCTION("INDEX(IMPORTRANGE(""1y0FWgjbB0gVlqn-q5LMJbGIsqOrzru4yowQz67dz2yc"", ""'SNG'!BI3:BI139""),MATCH($D21,IMPORTRANGE(""1y0FWgjbB0gVlqn-q5LMJbGIsqOrzru4yowQz67dz2yc"", ""'SNG'!D3:D139""),0))"),394.620578625098)</f>
        <v>394.62057862509801</v>
      </c>
      <c r="AB21" s="23">
        <f ca="1">IFERROR(__xludf.DUMMYFUNCTION("INDEX(IMPORTRANGE(""1y0FWgjbB0gVlqn-q5LMJbGIsqOrzru4yowQz67dz2yc"", ""'SNG'!BJ3:BJ139""),MATCH($D21,IMPORTRANGE(""1y0FWgjbB0gVlqn-q5LMJbGIsqOrzru4yowQz67dz2yc"", ""'SNG'!D3:D139""),0))"),155.905057502777)</f>
        <v>155.905057502777</v>
      </c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175</v>
      </c>
      <c r="Q22" s="2">
        <v>387</v>
      </c>
      <c r="R22" s="13"/>
      <c r="S22" s="13"/>
      <c r="T22" s="13"/>
      <c r="U22" s="13"/>
      <c r="V22" s="13"/>
      <c r="W22" s="13"/>
      <c r="X22" s="2">
        <v>184</v>
      </c>
      <c r="Y22" s="2">
        <f ca="1">IFERROR(__xludf.DUMMYFUNCTION("INDEX(IMPORTRANGE(""1y0FWgjbB0gVlqn-q5LMJbGIsqOrzru4yowQz67dz2yc"", ""'SNG'!BG3:BG139""),MATCH($D22,IMPORTRANGE(""1y0FWgjbB0gVlqn-q5LMJbGIsqOrzru4yowQz67dz2yc"", ""'SNG'!D3:D139""),0))"),408)</f>
        <v>408</v>
      </c>
      <c r="Z22" s="2">
        <f ca="1">IFERROR(__xludf.DUMMYFUNCTION("INDEX(IMPORTRANGE(""1y0FWgjbB0gVlqn-q5LMJbGIsqOrzru4yowQz67dz2yc"", ""'SNG'!BH3:BH139""),MATCH($D22,IMPORTRANGE(""1y0FWgjbB0gVlqn-q5LMJbGIsqOrzru4yowQz67dz2yc"", ""'SNG'!D3:D139""),0))"),172)</f>
        <v>172</v>
      </c>
      <c r="AA22" s="2">
        <f ca="1">IFERROR(__xludf.DUMMYFUNCTION("INDEX(IMPORTRANGE(""1y0FWgjbB0gVlqn-q5LMJbGIsqOrzru4yowQz67dz2yc"", ""'SNG'!BI3:BI139""),MATCH($D22,IMPORTRANGE(""1y0FWgjbB0gVlqn-q5LMJbGIsqOrzru4yowQz67dz2yc"", ""'SNG'!D3:D139""),0))"),314)</f>
        <v>314</v>
      </c>
      <c r="AB22" s="2">
        <f ca="1">IFERROR(__xludf.DUMMYFUNCTION("INDEX(IMPORTRANGE(""1y0FWgjbB0gVlqn-q5LMJbGIsqOrzru4yowQz67dz2yc"", ""'SNG'!BJ3:BJ139""),MATCH($D22,IMPORTRANGE(""1y0FWgjbB0gVlqn-q5LMJbGIsqOrzru4yowQz67dz2yc"", ""'SNG'!D3:D139""),0))"),122)</f>
        <v>122</v>
      </c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36.760767228721292</v>
      </c>
      <c r="Q23" s="23">
        <f t="shared" si="8"/>
        <v>81.293810957229383</v>
      </c>
      <c r="R23" s="2">
        <v>80.900000000000006</v>
      </c>
      <c r="S23" s="2">
        <v>36.4</v>
      </c>
      <c r="T23" s="2">
        <v>80.599999999999994</v>
      </c>
      <c r="U23" s="2">
        <v>36.299999999999997</v>
      </c>
      <c r="V23" s="2">
        <v>80.25</v>
      </c>
      <c r="W23" s="2">
        <v>80.25</v>
      </c>
      <c r="X23" s="23">
        <f>(X22/X$2)*100000</f>
        <v>38.409351842187661</v>
      </c>
      <c r="Y23" s="23">
        <f ca="1">IFERROR(__xludf.DUMMYFUNCTION("INDEX(IMPORTRANGE(""1y0FWgjbB0gVlqn-q5LMJbGIsqOrzru4yowQz67dz2yc"", ""'SNG'!BG3:BG139""),MATCH($D23,IMPORTRANGE(""1y0FWgjbB0gVlqn-q5LMJbGIsqOrzru4yowQz67dz2yc"", ""'SNG'!D3:D139""),0))"),85.168562780503)</f>
        <v>85.168562780502995</v>
      </c>
      <c r="Z23" s="23">
        <f ca="1">IFERROR(__xludf.DUMMYFUNCTION("INDEX(IMPORTRANGE(""1y0FWgjbB0gVlqn-q5LMJbGIsqOrzru4yowQz67dz2yc"", ""'SNG'!BH3:BH139""),MATCH($D23,IMPORTRANGE(""1y0FWgjbB0gVlqn-q5LMJbGIsqOrzru4yowQz67dz2yc"", ""'SNG'!D3:D139""),0))"),35.5924171596837)</f>
        <v>35.592417159683698</v>
      </c>
      <c r="AA23" s="23">
        <f ca="1">IFERROR(__xludf.DUMMYFUNCTION("INDEX(IMPORTRANGE(""1y0FWgjbB0gVlqn-q5LMJbGIsqOrzru4yowQz67dz2yc"", ""'SNG'!BI3:BI139""),MATCH($D23,IMPORTRANGE(""1y0FWgjbB0gVlqn-q5LMJbGIsqOrzru4yowQz67dz2yc"", ""'SNG'!D3:D139""),0))"),64.9768545822133)</f>
        <v>64.976854582213306</v>
      </c>
      <c r="AB23" s="23">
        <f ca="1">IFERROR(__xludf.DUMMYFUNCTION("INDEX(IMPORTRANGE(""1y0FWgjbB0gVlqn-q5LMJbGIsqOrzru4yowQz67dz2yc"", ""'SNG'!BJ3:BJ139""),MATCH($D23,IMPORTRANGE(""1y0FWgjbB0gVlqn-q5LMJbGIsqOrzru4yowQz67dz2yc"", ""'SNG'!D3:D139""),0))"),24.961177185484)</f>
        <v>24.961177185484001</v>
      </c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4</v>
      </c>
      <c r="Q24" s="12">
        <v>12</v>
      </c>
      <c r="R24" s="13"/>
      <c r="S24" s="13"/>
      <c r="T24" s="13"/>
      <c r="U24" s="13"/>
      <c r="V24" s="13"/>
      <c r="W24" s="13"/>
      <c r="X24" s="12">
        <v>9</v>
      </c>
      <c r="Y24" s="12">
        <f ca="1">IFERROR(__xludf.DUMMYFUNCTION("INDEX(IMPORTRANGE(""1y0FWgjbB0gVlqn-q5LMJbGIsqOrzru4yowQz67dz2yc"", ""'SNG'!BG3:BG139""),MATCH($D24,IMPORTRANGE(""1y0FWgjbB0gVlqn-q5LMJbGIsqOrzru4yowQz67dz2yc"", ""'SNG'!D3:D139""),0))"),18)</f>
        <v>18</v>
      </c>
      <c r="Z24" s="12">
        <f ca="1">IFERROR(__xludf.DUMMYFUNCTION("INDEX(IMPORTRANGE(""1y0FWgjbB0gVlqn-q5LMJbGIsqOrzru4yowQz67dz2yc"", ""'SNG'!BH3:BH139""),MATCH($D24,IMPORTRANGE(""1y0FWgjbB0gVlqn-q5LMJbGIsqOrzru4yowQz67dz2yc"", ""'SNG'!D3:D139""),0))"),9)</f>
        <v>9</v>
      </c>
      <c r="AA24" s="12">
        <f ca="1">IFERROR(__xludf.DUMMYFUNCTION("INDEX(IMPORTRANGE(""1y0FWgjbB0gVlqn-q5LMJbGIsqOrzru4yowQz67dz2yc"", ""'SNG'!BI3:BI139""),MATCH($D24,IMPORTRANGE(""1y0FWgjbB0gVlqn-q5LMJbGIsqOrzru4yowQz67dz2yc"", ""'SNG'!D3:D139""),0))"),26)</f>
        <v>26</v>
      </c>
      <c r="AB24" s="12">
        <f ca="1">IFERROR(__xludf.DUMMYFUNCTION("INDEX(IMPORTRANGE(""1y0FWgjbB0gVlqn-q5LMJbGIsqOrzru4yowQz67dz2yc"", ""'SNG'!BJ3:BJ139""),MATCH($D24,IMPORTRANGE(""1y0FWgjbB0gVlqn-q5LMJbGIsqOrzru4yowQz67dz2yc"", ""'SNG'!D3:D139""),0))"),20)</f>
        <v>20</v>
      </c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5</v>
      </c>
      <c r="Q25" s="12">
        <v>8</v>
      </c>
      <c r="R25" s="13"/>
      <c r="S25" s="13"/>
      <c r="T25" s="13"/>
      <c r="U25" s="13"/>
      <c r="V25" s="13"/>
      <c r="W25" s="13"/>
      <c r="X25" s="12">
        <v>6</v>
      </c>
      <c r="Y25" s="12">
        <f ca="1">IFERROR(__xludf.DUMMYFUNCTION("INDEX(IMPORTRANGE(""1y0FWgjbB0gVlqn-q5LMJbGIsqOrzru4yowQz67dz2yc"", ""'SNG'!BG3:BG139""),MATCH($D25,IMPORTRANGE(""1y0FWgjbB0gVlqn-q5LMJbGIsqOrzru4yowQz67dz2yc"", ""'SNG'!D3:D139""),0))"),18)</f>
        <v>18</v>
      </c>
      <c r="Z25" s="12">
        <f ca="1">IFERROR(__xludf.DUMMYFUNCTION("INDEX(IMPORTRANGE(""1y0FWgjbB0gVlqn-q5LMJbGIsqOrzru4yowQz67dz2yc"", ""'SNG'!BH3:BH139""),MATCH($D25,IMPORTRANGE(""1y0FWgjbB0gVlqn-q5LMJbGIsqOrzru4yowQz67dz2yc"", ""'SNG'!D3:D139""),0))"),5)</f>
        <v>5</v>
      </c>
      <c r="AA25" s="12">
        <f ca="1">IFERROR(__xludf.DUMMYFUNCTION("INDEX(IMPORTRANGE(""1y0FWgjbB0gVlqn-q5LMJbGIsqOrzru4yowQz67dz2yc"", ""'SNG'!BI3:BI139""),MATCH($D25,IMPORTRANGE(""1y0FWgjbB0gVlqn-q5LMJbGIsqOrzru4yowQz67dz2yc"", ""'SNG'!D3:D139""),0))"),9)</f>
        <v>9</v>
      </c>
      <c r="AB25" s="12">
        <f ca="1">IFERROR(__xludf.DUMMYFUNCTION("INDEX(IMPORTRANGE(""1y0FWgjbB0gVlqn-q5LMJbGIsqOrzru4yowQz67dz2yc"", ""'SNG'!BJ3:BJ139""),MATCH($D25,IMPORTRANGE(""1y0FWgjbB0gVlqn-q5LMJbGIsqOrzru4yowQz67dz2yc"", ""'SNG'!D3:D139""),0))"),5)</f>
        <v>5</v>
      </c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3</v>
      </c>
      <c r="Q26" s="12">
        <v>7</v>
      </c>
      <c r="R26" s="13"/>
      <c r="S26" s="13"/>
      <c r="T26" s="13"/>
      <c r="U26" s="13"/>
      <c r="V26" s="13"/>
      <c r="W26" s="13"/>
      <c r="X26" s="12">
        <v>2</v>
      </c>
      <c r="Y26" s="12">
        <f ca="1">IFERROR(__xludf.DUMMYFUNCTION("INDEX(IMPORTRANGE(""1y0FWgjbB0gVlqn-q5LMJbGIsqOrzru4yowQz67dz2yc"", ""'SNG'!BG3:BG139""),MATCH($D26,IMPORTRANGE(""1y0FWgjbB0gVlqn-q5LMJbGIsqOrzru4yowQz67dz2yc"", ""'SNG'!D3:D139""),0))"),3)</f>
        <v>3</v>
      </c>
      <c r="Z26" s="12">
        <f ca="1">IFERROR(__xludf.DUMMYFUNCTION("INDEX(IMPORTRANGE(""1y0FWgjbB0gVlqn-q5LMJbGIsqOrzru4yowQz67dz2yc"", ""'SNG'!BH3:BH139""),MATCH($D26,IMPORTRANGE(""1y0FWgjbB0gVlqn-q5LMJbGIsqOrzru4yowQz67dz2yc"", ""'SNG'!D3:D139""),0))"),1)</f>
        <v>1</v>
      </c>
      <c r="AA26" s="12">
        <f ca="1">IFERROR(__xludf.DUMMYFUNCTION("INDEX(IMPORTRANGE(""1y0FWgjbB0gVlqn-q5LMJbGIsqOrzru4yowQz67dz2yc"", ""'SNG'!BI3:BI139""),MATCH($D26,IMPORTRANGE(""1y0FWgjbB0gVlqn-q5LMJbGIsqOrzru4yowQz67dz2yc"", ""'SNG'!D3:D139""),0))"),4)</f>
        <v>4</v>
      </c>
      <c r="AB26" s="12">
        <f ca="1">IFERROR(__xludf.DUMMYFUNCTION("INDEX(IMPORTRANGE(""1y0FWgjbB0gVlqn-q5LMJbGIsqOrzru4yowQz67dz2yc"", ""'SNG'!BJ3:BJ139""),MATCH($D26,IMPORTRANGE(""1y0FWgjbB0gVlqn-q5LMJbGIsqOrzru4yowQz67dz2yc"", ""'SNG'!D3:D139""),0))"),2)</f>
        <v>2</v>
      </c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0</v>
      </c>
      <c r="R27" s="13"/>
      <c r="S27" s="13"/>
      <c r="T27" s="13"/>
      <c r="U27" s="13"/>
      <c r="V27" s="13"/>
      <c r="W27" s="13"/>
      <c r="X27" s="12">
        <v>0</v>
      </c>
      <c r="Y27" s="12">
        <f ca="1">IFERROR(__xludf.DUMMYFUNCTION("INDEX(IMPORTRANGE(""1y0FWgjbB0gVlqn-q5LMJbGIsqOrzru4yowQz67dz2yc"", ""'SNG'!BG3:BG139""),MATCH($D27,IMPORTRANGE(""1y0FWgjbB0gVlqn-q5LMJbGIsqOrzru4yowQz67dz2yc"", ""'SNG'!D3:D139""),0))"),0)</f>
        <v>0</v>
      </c>
      <c r="Z27" s="12">
        <f ca="1">IFERROR(__xludf.DUMMYFUNCTION("INDEX(IMPORTRANGE(""1y0FWgjbB0gVlqn-q5LMJbGIsqOrzru4yowQz67dz2yc"", ""'SNG'!BH3:BH139""),MATCH($D27,IMPORTRANGE(""1y0FWgjbB0gVlqn-q5LMJbGIsqOrzru4yowQz67dz2yc"", ""'SNG'!D3:D139""),0))"),0)</f>
        <v>0</v>
      </c>
      <c r="AA27" s="12">
        <f ca="1">IFERROR(__xludf.DUMMYFUNCTION("INDEX(IMPORTRANGE(""1y0FWgjbB0gVlqn-q5LMJbGIsqOrzru4yowQz67dz2yc"", ""'SNG'!BI3:BI139""),MATCH($D27,IMPORTRANGE(""1y0FWgjbB0gVlqn-q5LMJbGIsqOrzru4yowQz67dz2yc"", ""'SNG'!D3:D139""),0))"),0)</f>
        <v>0</v>
      </c>
      <c r="AB27" s="12">
        <f ca="1">IFERROR(__xludf.DUMMYFUNCTION("INDEX(IMPORTRANGE(""1y0FWgjbB0gVlqn-q5LMJbGIsqOrzru4yowQz67dz2yc"", ""'SNG'!BJ3:BJ139""),MATCH($D27,IMPORTRANGE(""1y0FWgjbB0gVlqn-q5LMJbGIsqOrzru4yowQz67dz2yc"", ""'SNG'!D3:D139""),0))"),0)</f>
        <v>0</v>
      </c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5</v>
      </c>
      <c r="Q28" s="12">
        <v>6</v>
      </c>
      <c r="R28" s="13"/>
      <c r="S28" s="13"/>
      <c r="T28" s="13"/>
      <c r="U28" s="13"/>
      <c r="V28" s="13"/>
      <c r="W28" s="13"/>
      <c r="X28" s="12">
        <v>4</v>
      </c>
      <c r="Y28" s="12">
        <f ca="1">IFERROR(__xludf.DUMMYFUNCTION("INDEX(IMPORTRANGE(""1y0FWgjbB0gVlqn-q5LMJbGIsqOrzru4yowQz67dz2yc"", ""'SNG'!BG3:BG139""),MATCH($D28,IMPORTRANGE(""1y0FWgjbB0gVlqn-q5LMJbGIsqOrzru4yowQz67dz2yc"", ""'SNG'!D3:D139""),0))"),6)</f>
        <v>6</v>
      </c>
      <c r="Z28" s="12">
        <f ca="1">IFERROR(__xludf.DUMMYFUNCTION("INDEX(IMPORTRANGE(""1y0FWgjbB0gVlqn-q5LMJbGIsqOrzru4yowQz67dz2yc"", ""'SNG'!BH3:BH139""),MATCH($D28,IMPORTRANGE(""1y0FWgjbB0gVlqn-q5LMJbGIsqOrzru4yowQz67dz2yc"", ""'SNG'!D3:D139""),0))"),1)</f>
        <v>1</v>
      </c>
      <c r="AA28" s="12">
        <f ca="1">IFERROR(__xludf.DUMMYFUNCTION("INDEX(IMPORTRANGE(""1y0FWgjbB0gVlqn-q5LMJbGIsqOrzru4yowQz67dz2yc"", ""'SNG'!BI3:BI139""),MATCH($D28,IMPORTRANGE(""1y0FWgjbB0gVlqn-q5LMJbGIsqOrzru4yowQz67dz2yc"", ""'SNG'!D3:D139""),0))"),2)</f>
        <v>2</v>
      </c>
      <c r="AB28" s="12">
        <f ca="1">IFERROR(__xludf.DUMMYFUNCTION("INDEX(IMPORTRANGE(""1y0FWgjbB0gVlqn-q5LMJbGIsqOrzru4yowQz67dz2yc"", ""'SNG'!BJ3:BJ139""),MATCH($D28,IMPORTRANGE(""1y0FWgjbB0gVlqn-q5LMJbGIsqOrzru4yowQz67dz2yc"", ""'SNG'!D3:D139""),0))"),2)</f>
        <v>2</v>
      </c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13"/>
      <c r="X29" s="12">
        <v>0</v>
      </c>
      <c r="Y29" s="12">
        <f ca="1">IFERROR(__xludf.DUMMYFUNCTION("INDEX(IMPORTRANGE(""1y0FWgjbB0gVlqn-q5LMJbGIsqOrzru4yowQz67dz2yc"", ""'SNG'!BG3:BG139""),MATCH($D29,IMPORTRANGE(""1y0FWgjbB0gVlqn-q5LMJbGIsqOrzru4yowQz67dz2yc"", ""'SNG'!D3:D139""),0))"),0)</f>
        <v>0</v>
      </c>
      <c r="Z29" s="12">
        <f ca="1">IFERROR(__xludf.DUMMYFUNCTION("INDEX(IMPORTRANGE(""1y0FWgjbB0gVlqn-q5LMJbGIsqOrzru4yowQz67dz2yc"", ""'SNG'!BH3:BH139""),MATCH($D29,IMPORTRANGE(""1y0FWgjbB0gVlqn-q5LMJbGIsqOrzru4yowQz67dz2yc"", ""'SNG'!D3:D139""),0))"),0)</f>
        <v>0</v>
      </c>
      <c r="AA29" s="12">
        <f ca="1">IFERROR(__xludf.DUMMYFUNCTION("INDEX(IMPORTRANGE(""1y0FWgjbB0gVlqn-q5LMJbGIsqOrzru4yowQz67dz2yc"", ""'SNG'!BI3:BI139""),MATCH($D29,IMPORTRANGE(""1y0FWgjbB0gVlqn-q5LMJbGIsqOrzru4yowQz67dz2yc"", ""'SNG'!D3:D139""),0))"),0)</f>
        <v>0</v>
      </c>
      <c r="AB29" s="12">
        <f ca="1">IFERROR(__xludf.DUMMYFUNCTION("INDEX(IMPORTRANGE(""1y0FWgjbB0gVlqn-q5LMJbGIsqOrzru4yowQz67dz2yc"", ""'SNG'!BJ3:BJ139""),MATCH($D29,IMPORTRANGE(""1y0FWgjbB0gVlqn-q5LMJbGIsqOrzru4yowQz67dz2yc"", ""'SNG'!D3:D139""),0))"),0)</f>
        <v>0</v>
      </c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12">
        <v>5</v>
      </c>
      <c r="R30" s="13"/>
      <c r="S30" s="13"/>
      <c r="T30" s="13"/>
      <c r="U30" s="13"/>
      <c r="V30" s="13"/>
      <c r="W30" s="13"/>
      <c r="X30" s="12">
        <v>2</v>
      </c>
      <c r="Y30" s="12">
        <f ca="1">IFERROR(__xludf.DUMMYFUNCTION("INDEX(IMPORTRANGE(""1y0FWgjbB0gVlqn-q5LMJbGIsqOrzru4yowQz67dz2yc"", ""'SNG'!BG3:BG139""),MATCH($D30,IMPORTRANGE(""1y0FWgjbB0gVlqn-q5LMJbGIsqOrzru4yowQz67dz2yc"", ""'SNG'!D3:D139""),0))"),4)</f>
        <v>4</v>
      </c>
      <c r="Z30" s="12">
        <f ca="1">IFERROR(__xludf.DUMMYFUNCTION("INDEX(IMPORTRANGE(""1y0FWgjbB0gVlqn-q5LMJbGIsqOrzru4yowQz67dz2yc"", ""'SNG'!BH3:BH139""),MATCH($D30,IMPORTRANGE(""1y0FWgjbB0gVlqn-q5LMJbGIsqOrzru4yowQz67dz2yc"", ""'SNG'!D3:D139""),0))"),2)</f>
        <v>2</v>
      </c>
      <c r="AA30" s="12">
        <f ca="1">IFERROR(__xludf.DUMMYFUNCTION("INDEX(IMPORTRANGE(""1y0FWgjbB0gVlqn-q5LMJbGIsqOrzru4yowQz67dz2yc"", ""'SNG'!BI3:BI139""),MATCH($D30,IMPORTRANGE(""1y0FWgjbB0gVlqn-q5LMJbGIsqOrzru4yowQz67dz2yc"", ""'SNG'!D3:D139""),0))"),8)</f>
        <v>8</v>
      </c>
      <c r="AB30" s="12">
        <f ca="1">IFERROR(__xludf.DUMMYFUNCTION("INDEX(IMPORTRANGE(""1y0FWgjbB0gVlqn-q5LMJbGIsqOrzru4yowQz67dz2yc"", ""'SNG'!BJ3:BJ139""),MATCH($D30,IMPORTRANGE(""1y0FWgjbB0gVlqn-q5LMJbGIsqOrzru4yowQz67dz2yc"", ""'SNG'!D3:D139""),0))"),2)</f>
        <v>2</v>
      </c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1</v>
      </c>
      <c r="Q31" s="12">
        <v>2</v>
      </c>
      <c r="R31" s="13"/>
      <c r="S31" s="13"/>
      <c r="T31" s="13"/>
      <c r="U31" s="13"/>
      <c r="V31" s="13"/>
      <c r="W31" s="13"/>
      <c r="X31" s="12">
        <v>2</v>
      </c>
      <c r="Y31" s="12">
        <f ca="1">IFERROR(__xludf.DUMMYFUNCTION("INDEX(IMPORTRANGE(""1y0FWgjbB0gVlqn-q5LMJbGIsqOrzru4yowQz67dz2yc"", ""'SNG'!BG3:BG139""),MATCH($D31,IMPORTRANGE(""1y0FWgjbB0gVlqn-q5LMJbGIsqOrzru4yowQz67dz2yc"", ""'SNG'!D3:D139""),0))"),2)</f>
        <v>2</v>
      </c>
      <c r="Z31" s="12">
        <f ca="1">IFERROR(__xludf.DUMMYFUNCTION("INDEX(IMPORTRANGE(""1y0FWgjbB0gVlqn-q5LMJbGIsqOrzru4yowQz67dz2yc"", ""'SNG'!BH3:BH139""),MATCH($D31,IMPORTRANGE(""1y0FWgjbB0gVlqn-q5LMJbGIsqOrzru4yowQz67dz2yc"", ""'SNG'!D3:D139""),0))"),0)</f>
        <v>0</v>
      </c>
      <c r="AA31" s="12">
        <f ca="1">IFERROR(__xludf.DUMMYFUNCTION("INDEX(IMPORTRANGE(""1y0FWgjbB0gVlqn-q5LMJbGIsqOrzru4yowQz67dz2yc"", ""'SNG'!BI3:BI139""),MATCH($D31,IMPORTRANGE(""1y0FWgjbB0gVlqn-q5LMJbGIsqOrzru4yowQz67dz2yc"", ""'SNG'!D3:D139""),0))"),0)</f>
        <v>0</v>
      </c>
      <c r="AB31" s="12">
        <f ca="1">IFERROR(__xludf.DUMMYFUNCTION("INDEX(IMPORTRANGE(""1y0FWgjbB0gVlqn-q5LMJbGIsqOrzru4yowQz67dz2yc"", ""'SNG'!BJ3:BJ139""),MATCH($D31,IMPORTRANGE(""1y0FWgjbB0gVlqn-q5LMJbGIsqOrzru4yowQz67dz2yc"", ""'SNG'!D3:D139""),0))"),0)</f>
        <v>0</v>
      </c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0</v>
      </c>
      <c r="Y32" s="12">
        <f ca="1">IFERROR(__xludf.DUMMYFUNCTION("INDEX(IMPORTRANGE(""1y0FWgjbB0gVlqn-q5LMJbGIsqOrzru4yowQz67dz2yc"", ""'SNG'!BG3:BG139""),MATCH($D32,IMPORTRANGE(""1y0FWgjbB0gVlqn-q5LMJbGIsqOrzru4yowQz67dz2yc"", ""'SNG'!D3:D139""),0))"),0)</f>
        <v>0</v>
      </c>
      <c r="Z32" s="12">
        <f ca="1">IFERROR(__xludf.DUMMYFUNCTION("INDEX(IMPORTRANGE(""1y0FWgjbB0gVlqn-q5LMJbGIsqOrzru4yowQz67dz2yc"", ""'SNG'!BH3:BH139""),MATCH($D32,IMPORTRANGE(""1y0FWgjbB0gVlqn-q5LMJbGIsqOrzru4yowQz67dz2yc"", ""'SNG'!D3:D139""),0))"),0)</f>
        <v>0</v>
      </c>
      <c r="AA32" s="12">
        <f ca="1">IFERROR(__xludf.DUMMYFUNCTION("INDEX(IMPORTRANGE(""1y0FWgjbB0gVlqn-q5LMJbGIsqOrzru4yowQz67dz2yc"", ""'SNG'!BI3:BI139""),MATCH($D32,IMPORTRANGE(""1y0FWgjbB0gVlqn-q5LMJbGIsqOrzru4yowQz67dz2yc"", ""'SNG'!D3:D139""),0))"),0)</f>
        <v>0</v>
      </c>
      <c r="AB32" s="12">
        <f ca="1">IFERROR(__xludf.DUMMYFUNCTION("INDEX(IMPORTRANGE(""1y0FWgjbB0gVlqn-q5LMJbGIsqOrzru4yowQz67dz2yc"", ""'SNG'!BJ3:BJ139""),MATCH($D32,IMPORTRANGE(""1y0FWgjbB0gVlqn-q5LMJbGIsqOrzru4yowQz67dz2yc"", ""'SNG'!D3:D139""),0))"),0)</f>
        <v>0</v>
      </c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1</v>
      </c>
      <c r="R33" s="13"/>
      <c r="S33" s="13"/>
      <c r="T33" s="13"/>
      <c r="U33" s="13"/>
      <c r="V33" s="13"/>
      <c r="W33" s="13"/>
      <c r="X33" s="12">
        <v>0</v>
      </c>
      <c r="Y33" s="12">
        <f ca="1">IFERROR(__xludf.DUMMYFUNCTION("INDEX(IMPORTRANGE(""1y0FWgjbB0gVlqn-q5LMJbGIsqOrzru4yowQz67dz2yc"", ""'SNG'!BG3:BG139""),MATCH($D33,IMPORTRANGE(""1y0FWgjbB0gVlqn-q5LMJbGIsqOrzru4yowQz67dz2yc"", ""'SNG'!D3:D139""),0))"),0)</f>
        <v>0</v>
      </c>
      <c r="Z33" s="12">
        <f ca="1">IFERROR(__xludf.DUMMYFUNCTION("INDEX(IMPORTRANGE(""1y0FWgjbB0gVlqn-q5LMJbGIsqOrzru4yowQz67dz2yc"", ""'SNG'!BH3:BH139""),MATCH($D33,IMPORTRANGE(""1y0FWgjbB0gVlqn-q5LMJbGIsqOrzru4yowQz67dz2yc"", ""'SNG'!D3:D139""),0))"),0)</f>
        <v>0</v>
      </c>
      <c r="AA33" s="12">
        <f ca="1">IFERROR(__xludf.DUMMYFUNCTION("INDEX(IMPORTRANGE(""1y0FWgjbB0gVlqn-q5LMJbGIsqOrzru4yowQz67dz2yc"", ""'SNG'!BI3:BI139""),MATCH($D33,IMPORTRANGE(""1y0FWgjbB0gVlqn-q5LMJbGIsqOrzru4yowQz67dz2yc"", ""'SNG'!D3:D139""),0))"),1)</f>
        <v>1</v>
      </c>
      <c r="AB33" s="12">
        <f ca="1">IFERROR(__xludf.DUMMYFUNCTION("INDEX(IMPORTRANGE(""1y0FWgjbB0gVlqn-q5LMJbGIsqOrzru4yowQz67dz2yc"", ""'SNG'!BJ3:BJ139""),MATCH($D33,IMPORTRANGE(""1y0FWgjbB0gVlqn-q5LMJbGIsqOrzru4yowQz67dz2yc"", ""'SNG'!D3:D139""),0))"),0)</f>
        <v>0</v>
      </c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13"/>
      <c r="S34" s="13"/>
      <c r="T34" s="13"/>
      <c r="U34" s="13"/>
      <c r="V34" s="13"/>
      <c r="W34" s="13"/>
      <c r="X34" s="12">
        <v>0</v>
      </c>
      <c r="Y34" s="12">
        <f ca="1">IFERROR(__xludf.DUMMYFUNCTION("INDEX(IMPORTRANGE(""1y0FWgjbB0gVlqn-q5LMJbGIsqOrzru4yowQz67dz2yc"", ""'SNG'!BG3:BG139""),MATCH($D34,IMPORTRANGE(""1y0FWgjbB0gVlqn-q5LMJbGIsqOrzru4yowQz67dz2yc"", ""'SNG'!D3:D139""),0))"),3)</f>
        <v>3</v>
      </c>
      <c r="Z34" s="12">
        <f ca="1">IFERROR(__xludf.DUMMYFUNCTION("INDEX(IMPORTRANGE(""1y0FWgjbB0gVlqn-q5LMJbGIsqOrzru4yowQz67dz2yc"", ""'SNG'!BH3:BH139""),MATCH($D34,IMPORTRANGE(""1y0FWgjbB0gVlqn-q5LMJbGIsqOrzru4yowQz67dz2yc"", ""'SNG'!D3:D139""),0))"),1)</f>
        <v>1</v>
      </c>
      <c r="AA34" s="12">
        <f ca="1">IFERROR(__xludf.DUMMYFUNCTION("INDEX(IMPORTRANGE(""1y0FWgjbB0gVlqn-q5LMJbGIsqOrzru4yowQz67dz2yc"", ""'SNG'!BI3:BI139""),MATCH($D34,IMPORTRANGE(""1y0FWgjbB0gVlqn-q5LMJbGIsqOrzru4yowQz67dz2yc"", ""'SNG'!D3:D139""),0))"),1)</f>
        <v>1</v>
      </c>
      <c r="AB34" s="12">
        <f ca="1">IFERROR(__xludf.DUMMYFUNCTION("INDEX(IMPORTRANGE(""1y0FWgjbB0gVlqn-q5LMJbGIsqOrzru4yowQz67dz2yc"", ""'SNG'!BJ3:BJ139""),MATCH($D34,IMPORTRANGE(""1y0FWgjbB0gVlqn-q5LMJbGIsqOrzru4yowQz67dz2yc"", ""'SNG'!D3:D139""),0))"),1)</f>
        <v>1</v>
      </c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21</v>
      </c>
      <c r="Q35" s="262">
        <f t="shared" si="9"/>
        <v>41</v>
      </c>
      <c r="R35" s="486"/>
      <c r="S35" s="486"/>
      <c r="T35" s="486"/>
      <c r="U35" s="486"/>
      <c r="V35" s="486"/>
      <c r="W35" s="486"/>
      <c r="X35" s="262">
        <f t="shared" ref="X35:AA35" si="10">SUM(X24:X34)</f>
        <v>25</v>
      </c>
      <c r="Y35" s="262">
        <f t="shared" ca="1" si="10"/>
        <v>54</v>
      </c>
      <c r="Z35" s="262">
        <f t="shared" ca="1" si="10"/>
        <v>19</v>
      </c>
      <c r="AA35" s="262">
        <f t="shared" ca="1" si="10"/>
        <v>51</v>
      </c>
      <c r="AB35" s="262">
        <f ca="1">IFERROR(__xludf.DUMMYFUNCTION("INDEX(IMPORTRANGE(""1y0FWgjbB0gVlqn-q5LMJbGIsqOrzru4yowQz67dz2yc"", ""'SNG'!BJ3:BJ139""),MATCH($D35,IMPORTRANGE(""1y0FWgjbB0gVlqn-q5LMJbGIsqOrzru4yowQz67dz2yc"", ""'SNG'!D3:D139""),0))"),32)</f>
        <v>32</v>
      </c>
      <c r="AC35" s="29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4.4112920674465554</v>
      </c>
      <c r="Q36" s="23">
        <f t="shared" si="11"/>
        <v>8.6125226078718455</v>
      </c>
      <c r="R36" s="2">
        <v>6.8</v>
      </c>
      <c r="S36" s="2">
        <v>2.6</v>
      </c>
      <c r="T36" s="2">
        <v>5</v>
      </c>
      <c r="U36" s="2">
        <v>3.9</v>
      </c>
      <c r="V36" s="2">
        <v>7.6</v>
      </c>
      <c r="W36" s="2">
        <f>V36</f>
        <v>7.6</v>
      </c>
      <c r="X36" s="23">
        <f>(SUM(X24:X34)/X$2)*100000</f>
        <v>5.2186619350798455</v>
      </c>
      <c r="Y36" s="23">
        <f ca="1">IFERROR(__xludf.DUMMYFUNCTION("INDEX(IMPORTRANGE(""1y0FWgjbB0gVlqn-q5LMJbGIsqOrzru4yowQz67dz2yc"", ""'SNG'!BG3:BG139""),MATCH($D36,IMPORTRANGE(""1y0FWgjbB0gVlqn-q5LMJbGIsqOrzru4yowQz67dz2yc"", ""'SNG'!D3:D139""),0))"),11.2723097797724)</f>
        <v>11.272309779772399</v>
      </c>
      <c r="Z36" s="23">
        <f ca="1">IFERROR(__xludf.DUMMYFUNCTION("INDEX(IMPORTRANGE(""1y0FWgjbB0gVlqn-q5LMJbGIsqOrzru4yowQz67dz2yc"", ""'SNG'!BH3:BH139""),MATCH($D36,IMPORTRANGE(""1y0FWgjbB0gVlqn-q5LMJbGIsqOrzru4yowQz67dz2yc"", ""'SNG'!D3:D139""),0))"),3.93172050019762)</f>
        <v>3.9317205001976201</v>
      </c>
      <c r="AA36" s="23">
        <f ca="1">IFERROR(__xludf.DUMMYFUNCTION("INDEX(IMPORTRANGE(""1y0FWgjbB0gVlqn-q5LMJbGIsqOrzru4yowQz67dz2yc"", ""'SNG'!BI3:BI139""),MATCH($D36,IMPORTRANGE(""1y0FWgjbB0gVlqn-q5LMJbGIsqOrzru4yowQz67dz2yc"", ""'SNG'!D3:D139""),0))"),10.553565553162)</f>
        <v>10.553565553162001</v>
      </c>
      <c r="AB36" s="23">
        <f ca="1">IFERROR(__xludf.DUMMYFUNCTION("INDEX(IMPORTRANGE(""1y0FWgjbB0gVlqn-q5LMJbGIsqOrzru4yowQz67dz2yc"", ""'SNG'!BJ3:BJ139""),MATCH($D36,IMPORTRANGE(""1y0FWgjbB0gVlqn-q5LMJbGIsqOrzru4yowQz67dz2yc"", ""'SNG'!D3:D139""),0))"),6.54719401586466)</f>
        <v>6.54719401586466</v>
      </c>
      <c r="AC36" s="1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30">
        <v>126480</v>
      </c>
      <c r="Q37" s="12">
        <v>126480</v>
      </c>
      <c r="R37" s="13"/>
      <c r="S37" s="13"/>
      <c r="T37" s="13"/>
      <c r="U37" s="13"/>
      <c r="V37" s="13"/>
      <c r="W37" s="13"/>
      <c r="X37" s="12">
        <v>126480</v>
      </c>
      <c r="Y37" s="12">
        <f ca="1">IFERROR(__xludf.DUMMYFUNCTION("INDEX(IMPORTRANGE(""1y0FWgjbB0gVlqn-q5LMJbGIsqOrzru4yowQz67dz2yc"", ""'SNG'!BG3:BG139""),MATCH($D37,IMPORTRANGE(""1y0FWgjbB0gVlqn-q5LMJbGIsqOrzru4yowQz67dz2yc"", ""'SNG'!D3:D139""),0))"),125979)</f>
        <v>125979</v>
      </c>
      <c r="Z37" s="12">
        <f ca="1">IFERROR(__xludf.DUMMYFUNCTION("INDEX(IMPORTRANGE(""1y0FWgjbB0gVlqn-q5LMJbGIsqOrzru4yowQz67dz2yc"", ""'SNG'!BH3:BH139""),MATCH($D37,IMPORTRANGE(""1y0FWgjbB0gVlqn-q5LMJbGIsqOrzru4yowQz67dz2yc"", ""'SNG'!D3:D139""),0))"),127275)</f>
        <v>127275</v>
      </c>
      <c r="AA37" s="12">
        <f ca="1">IFERROR(__xludf.DUMMYFUNCTION("INDEX(IMPORTRANGE(""1y0FWgjbB0gVlqn-q5LMJbGIsqOrzru4yowQz67dz2yc"", ""'SNG'!BI3:BI139""),MATCH($D37,IMPORTRANGE(""1y0FWgjbB0gVlqn-q5LMJbGIsqOrzru4yowQz67dz2yc"", ""'SNG'!D3:D139""),0))"),127275)</f>
        <v>127275</v>
      </c>
      <c r="AB37" s="12">
        <f ca="1">IFERROR(__xludf.DUMMYFUNCTION("INDEX(IMPORTRANGE(""1y0FWgjbB0gVlqn-q5LMJbGIsqOrzru4yowQz67dz2yc"", ""'SNG'!BJ3:BJ139""),MATCH($D37,IMPORTRANGE(""1y0FWgjbB0gVlqn-q5LMJbGIsqOrzru4yowQz67dz2yc"", ""'SNG'!D3:D139""),0))"),127275)</f>
        <v>127275</v>
      </c>
      <c r="AC37" s="1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23">
        <v>0</v>
      </c>
      <c r="Q38" s="23">
        <v>0</v>
      </c>
      <c r="R38" s="1"/>
      <c r="S38" s="1"/>
      <c r="T38" s="1"/>
      <c r="U38" s="1"/>
      <c r="V38" s="1"/>
      <c r="W38" s="1"/>
      <c r="X38" s="23">
        <v>0</v>
      </c>
      <c r="Y38" s="23">
        <f ca="1">IFERROR(__xludf.DUMMYFUNCTION("INDEX(IMPORTRANGE(""1y0FWgjbB0gVlqn-q5LMJbGIsqOrzru4yowQz67dz2yc"", ""'SNG'!BG3:BG139""),MATCH($D38,IMPORTRANGE(""1y0FWgjbB0gVlqn-q5LMJbGIsqOrzru4yowQz67dz2yc"", ""'SNG'!D3:D139""),0))"),0)</f>
        <v>0</v>
      </c>
      <c r="Z38" s="23">
        <f ca="1">IFERROR(__xludf.DUMMYFUNCTION("INDEX(IMPORTRANGE(""1y0FWgjbB0gVlqn-q5LMJbGIsqOrzru4yowQz67dz2yc"", ""'SNG'!BH3:BH139""),MATCH($D38,IMPORTRANGE(""1y0FWgjbB0gVlqn-q5LMJbGIsqOrzru4yowQz67dz2yc"", ""'SNG'!D3:D139""),0))"),0)</f>
        <v>0</v>
      </c>
      <c r="AA38" s="23">
        <f ca="1">IFERROR(__xludf.DUMMYFUNCTION("INDEX(IMPORTRANGE(""1y0FWgjbB0gVlqn-q5LMJbGIsqOrzru4yowQz67dz2yc"", ""'SNG'!BI3:BI139""),MATCH($D38,IMPORTRANGE(""1y0FWgjbB0gVlqn-q5LMJbGIsqOrzru4yowQz67dz2yc"", ""'SNG'!D3:D139""),0))"),0)</f>
        <v>0</v>
      </c>
      <c r="AB38" s="23">
        <f ca="1">IFERROR(__xludf.DUMMYFUNCTION("INDEX(IMPORTRANGE(""1y0FWgjbB0gVlqn-q5LMJbGIsqOrzru4yowQz67dz2yc"", ""'SNG'!BJ3:BJ139""),MATCH($D38,IMPORTRANGE(""1y0FWgjbB0gVlqn-q5LMJbGIsqOrzru4yowQz67dz2yc"", ""'SNG'!D3:D139""),0))"),0)</f>
        <v>0</v>
      </c>
      <c r="AC38" s="1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5">
        <f t="shared" ref="P39:Q39" si="12">P38/P37</f>
        <v>0</v>
      </c>
      <c r="Q39" s="15">
        <f t="shared" si="12"/>
        <v>0</v>
      </c>
      <c r="R39" s="2" t="s">
        <v>419</v>
      </c>
      <c r="S39" s="2" t="s">
        <v>419</v>
      </c>
      <c r="T39" s="2" t="s">
        <v>419</v>
      </c>
      <c r="U39" s="2" t="s">
        <v>419</v>
      </c>
      <c r="V39" s="2" t="s">
        <v>419</v>
      </c>
      <c r="W39" s="2" t="s">
        <v>419</v>
      </c>
      <c r="X39" s="15">
        <f>X38/X37</f>
        <v>0</v>
      </c>
      <c r="Y39" s="15">
        <f ca="1">IFERROR(__xludf.DUMMYFUNCTION("INDEX(IMPORTRANGE(""1y0FWgjbB0gVlqn-q5LMJbGIsqOrzru4yowQz67dz2yc"", ""'SNG'!BG3:BG139""),MATCH($D39,IMPORTRANGE(""1y0FWgjbB0gVlqn-q5LMJbGIsqOrzru4yowQz67dz2yc"", ""'SNG'!D3:D139""),0))"),0)</f>
        <v>0</v>
      </c>
      <c r="Z39" s="15">
        <f ca="1">IFERROR(__xludf.DUMMYFUNCTION("INDEX(IMPORTRANGE(""1y0FWgjbB0gVlqn-q5LMJbGIsqOrzru4yowQz67dz2yc"", ""'SNG'!BH3:BH139""),MATCH($D39,IMPORTRANGE(""1y0FWgjbB0gVlqn-q5LMJbGIsqOrzru4yowQz67dz2yc"", ""'SNG'!D3:D139""),0))"),0)</f>
        <v>0</v>
      </c>
      <c r="AA39" s="15">
        <f ca="1">IFERROR(__xludf.DUMMYFUNCTION("INDEX(IMPORTRANGE(""1y0FWgjbB0gVlqn-q5LMJbGIsqOrzru4yowQz67dz2yc"", ""'SNG'!BI3:BI139""),MATCH($D39,IMPORTRANGE(""1y0FWgjbB0gVlqn-q5LMJbGIsqOrzru4yowQz67dz2yc"", ""'SNG'!D3:D139""),0))"),0)</f>
        <v>0</v>
      </c>
      <c r="AB39" s="15">
        <f ca="1">IFERROR(__xludf.DUMMYFUNCTION("INDEX(IMPORTRANGE(""1y0FWgjbB0gVlqn-q5LMJbGIsqOrzru4yowQz67dz2yc"", ""'SNG'!BJ3:BJ139""),MATCH($D39,IMPORTRANGE(""1y0FWgjbB0gVlqn-q5LMJbGIsqOrzru4yowQz67dz2yc"", ""'SNG'!D3:D139""),0))"),0)</f>
        <v>0</v>
      </c>
      <c r="AC39" s="1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1"/>
      <c r="S40" s="1"/>
      <c r="T40" s="1"/>
      <c r="U40" s="1"/>
      <c r="V40" s="1"/>
      <c r="W40" s="1"/>
      <c r="X40" s="12"/>
      <c r="Y40" s="299" t="str">
        <f ca="1">IFERROR(__xludf.DUMMYFUNCTION("INDEX(IMPORTRANGE(""1y0FWgjbB0gVlqn-q5LMJbGIsqOrzru4yowQz67dz2yc"", ""'SNG'!BG3:BG139""),MATCH($D40,IMPORTRANGE(""1y0FWgjbB0gVlqn-q5LMJbGIsqOrzru4yowQz67dz2yc"", ""'SNG'!D3:D139""),0))"),"")</f>
        <v/>
      </c>
      <c r="Z40" s="12">
        <f ca="1">IFERROR(__xludf.DUMMYFUNCTION("INDEX(IMPORTRANGE(""1y0FWgjbB0gVlqn-q5LMJbGIsqOrzru4yowQz67dz2yc"", ""'SNG'!BH3:BH139""),MATCH($D40,IMPORTRANGE(""1y0FWgjbB0gVlqn-q5LMJbGIsqOrzru4yowQz67dz2yc"", ""'SNG'!D3:D139""),0))"),34.32)</f>
        <v>34.32</v>
      </c>
      <c r="AA40" s="12">
        <f ca="1">IFERROR(__xludf.DUMMYFUNCTION("INDEX(IMPORTRANGE(""1y0FWgjbB0gVlqn-q5LMJbGIsqOrzru4yowQz67dz2yc"", ""'SNG'!BI3:BI139""),MATCH($D40,IMPORTRANGE(""1y0FWgjbB0gVlqn-q5LMJbGIsqOrzru4yowQz67dz2yc"", ""'SNG'!D3:D139""),0))"),129.0477)</f>
        <v>129.04769999999999</v>
      </c>
      <c r="AB40" s="12">
        <f ca="1">IFERROR(__xludf.DUMMYFUNCTION("INDEX(IMPORTRANGE(""1y0FWgjbB0gVlqn-q5LMJbGIsqOrzru4yowQz67dz2yc"", ""'SNG'!BJ3:BJ139""),MATCH($D40,IMPORTRANGE(""1y0FWgjbB0gVlqn-q5LMJbGIsqOrzru4yowQz67dz2yc"", ""'SNG'!D3:D139""),0))"),142.370999999999)</f>
        <v>142.37099999999899</v>
      </c>
      <c r="AC40" s="1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1"/>
      <c r="S41" s="1"/>
      <c r="T41" s="1"/>
      <c r="U41" s="1"/>
      <c r="V41" s="1"/>
      <c r="W41" s="1"/>
      <c r="X41" s="12"/>
      <c r="Y41" s="299" t="str">
        <f ca="1">IFERROR(__xludf.DUMMYFUNCTION("INDEX(IMPORTRANGE(""1y0FWgjbB0gVlqn-q5LMJbGIsqOrzru4yowQz67dz2yc"", ""'SNG'!BG3:BG139""),MATCH($D41,IMPORTRANGE(""1y0FWgjbB0gVlqn-q5LMJbGIsqOrzru4yowQz67dz2yc"", ""'SNG'!D3:D139""),0))"),"")</f>
        <v/>
      </c>
      <c r="Z41" s="12">
        <f ca="1">IFERROR(__xludf.DUMMYFUNCTION("INDEX(IMPORTRANGE(""1y0FWgjbB0gVlqn-q5LMJbGIsqOrzru4yowQz67dz2yc"", ""'SNG'!BH3:BH139""),MATCH($D41,IMPORTRANGE(""1y0FWgjbB0gVlqn-q5LMJbGIsqOrzru4yowQz67dz2yc"", ""'SNG'!D3:D139""),0))"),62884.5)</f>
        <v>62884.5</v>
      </c>
      <c r="AA41" s="12">
        <f ca="1">IFERROR(__xludf.DUMMYFUNCTION("INDEX(IMPORTRANGE(""1y0FWgjbB0gVlqn-q5LMJbGIsqOrzru4yowQz67dz2yc"", ""'SNG'!BI3:BI139""),MATCH($D41,IMPORTRANGE(""1y0FWgjbB0gVlqn-q5LMJbGIsqOrzru4yowQz67dz2yc"", ""'SNG'!D3:D139""),0))"),126849.302)</f>
        <v>126849.302</v>
      </c>
      <c r="AB41" s="12">
        <f ca="1">IFERROR(__xludf.DUMMYFUNCTION("INDEX(IMPORTRANGE(""1y0FWgjbB0gVlqn-q5LMJbGIsqOrzru4yowQz67dz2yc"", ""'SNG'!BJ3:BJ139""),MATCH($D41,IMPORTRANGE(""1y0FWgjbB0gVlqn-q5LMJbGIsqOrzru4yowQz67dz2yc"", ""'SNG'!D3:D139""),0))"),67400.14)</f>
        <v>67400.14</v>
      </c>
      <c r="AC41" s="1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5.0000000000000001E-4</v>
      </c>
      <c r="T42" s="26">
        <v>5.0000000000000001E-4</v>
      </c>
      <c r="U42" s="26">
        <v>1.5E-3</v>
      </c>
      <c r="V42" s="26">
        <v>1.5E-3</v>
      </c>
      <c r="W42" s="26">
        <f>V42</f>
        <v>1.5E-3</v>
      </c>
      <c r="X42" s="12"/>
      <c r="Y42" s="299" t="str">
        <f ca="1">IFERROR(__xludf.DUMMYFUNCTION("INDEX(IMPORTRANGE(""1y0FWgjbB0gVlqn-q5LMJbGIsqOrzru4yowQz67dz2yc"", ""'SNG'!BG3:BG139""),MATCH($D42,IMPORTRANGE(""1y0FWgjbB0gVlqn-q5LMJbGIsqOrzru4yowQz67dz2yc"", ""'SNG'!D3:D139""),0))"),"")</f>
        <v/>
      </c>
      <c r="Z42" s="12">
        <f ca="1">IFERROR(__xludf.DUMMYFUNCTION("INDEX(IMPORTRANGE(""1y0FWgjbB0gVlqn-q5LMJbGIsqOrzru4yowQz67dz2yc"", ""'SNG'!BH3:BH139""),MATCH($D42,IMPORTRANGE(""1y0FWgjbB0gVlqn-q5LMJbGIsqOrzru4yowQz67dz2yc"", ""'SNG'!D3:D139""),0))"),0.000545762469288934)</f>
        <v>5.4576246928893398E-4</v>
      </c>
      <c r="AA42" s="12">
        <f ca="1">IFERROR(__xludf.DUMMYFUNCTION("INDEX(IMPORTRANGE(""1y0FWgjbB0gVlqn-q5LMJbGIsqOrzru4yowQz67dz2yc"", ""'SNG'!BI3:BI139""),MATCH($D42,IMPORTRANGE(""1y0FWgjbB0gVlqn-q5LMJbGIsqOrzru4yowQz67dz2yc"", ""'SNG'!D3:D139""),0))"),0.00101733078515481)</f>
        <v>1.01733078515481E-3</v>
      </c>
      <c r="AB42" s="12">
        <f ca="1">IFERROR(__xludf.DUMMYFUNCTION("INDEX(IMPORTRANGE(""1y0FWgjbB0gVlqn-q5LMJbGIsqOrzru4yowQz67dz2yc"", ""'SNG'!BJ3:BJ139""),MATCH($D42,IMPORTRANGE(""1y0FWgjbB0gVlqn-q5LMJbGIsqOrzru4yowQz67dz2yc"", ""'SNG'!D3:D139""),0))"),0.00211232498923592)</f>
        <v>2.1123249892359198E-3</v>
      </c>
      <c r="AC42" s="1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1</v>
      </c>
      <c r="S43" s="2">
        <v>1</v>
      </c>
      <c r="T43" s="2">
        <v>2</v>
      </c>
      <c r="U43" s="2">
        <v>2</v>
      </c>
      <c r="V43" s="2">
        <v>3</v>
      </c>
      <c r="W43" s="2">
        <v>3</v>
      </c>
      <c r="X43" s="12">
        <v>1</v>
      </c>
      <c r="Y43" s="12">
        <f ca="1">IFERROR(__xludf.DUMMYFUNCTION("INDEX(IMPORTRANGE(""1y0FWgjbB0gVlqn-q5LMJbGIsqOrzru4yowQz67dz2yc"", ""'SNG'!BG3:BG139""),MATCH($D43,IMPORTRANGE(""1y0FWgjbB0gVlqn-q5LMJbGIsqOrzru4yowQz67dz2yc"", ""'SNG'!D3:D139""),0))"),2)</f>
        <v>2</v>
      </c>
      <c r="Z43" s="12">
        <f ca="1">IFERROR(__xludf.DUMMYFUNCTION("INDEX(IMPORTRANGE(""1y0FWgjbB0gVlqn-q5LMJbGIsqOrzru4yowQz67dz2yc"", ""'SNG'!BH3:BH139""),MATCH($D43,IMPORTRANGE(""1y0FWgjbB0gVlqn-q5LMJbGIsqOrzru4yowQz67dz2yc"", ""'SNG'!D3:D139""),0))"),3)</f>
        <v>3</v>
      </c>
      <c r="AA43" s="12">
        <f ca="1">IFERROR(__xludf.DUMMYFUNCTION("INDEX(IMPORTRANGE(""1y0FWgjbB0gVlqn-q5LMJbGIsqOrzru4yowQz67dz2yc"", ""'SNG'!BI3:BI139""),MATCH($D43,IMPORTRANGE(""1y0FWgjbB0gVlqn-q5LMJbGIsqOrzru4yowQz67dz2yc"", ""'SNG'!D3:D139""),0))"),3)</f>
        <v>3</v>
      </c>
      <c r="AB43" s="12">
        <f ca="1">IFERROR(__xludf.DUMMYFUNCTION("INDEX(IMPORTRANGE(""1y0FWgjbB0gVlqn-q5LMJbGIsqOrzru4yowQz67dz2yc"", ""'SNG'!BJ3:BJ139""),MATCH($D43,IMPORTRANGE(""1y0FWgjbB0gVlqn-q5LMJbGIsqOrzru4yowQz67dz2yc"", ""'SNG'!D3:D139""),0))"),3)</f>
        <v>3</v>
      </c>
      <c r="AC43" s="1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744</v>
      </c>
      <c r="Q44" s="12">
        <v>792</v>
      </c>
      <c r="R44" s="2">
        <v>350</v>
      </c>
      <c r="S44" s="2">
        <f t="shared" ref="S44:V44" si="13">175+R44</f>
        <v>525</v>
      </c>
      <c r="T44" s="2">
        <f t="shared" si="13"/>
        <v>700</v>
      </c>
      <c r="U44" s="2">
        <f t="shared" si="13"/>
        <v>875</v>
      </c>
      <c r="V44" s="2">
        <f t="shared" si="13"/>
        <v>1050</v>
      </c>
      <c r="W44" s="2">
        <f>V44</f>
        <v>1050</v>
      </c>
      <c r="X44" s="12">
        <v>9</v>
      </c>
      <c r="Y44" s="12">
        <f ca="1">IFERROR(__xludf.DUMMYFUNCTION("INDEX(IMPORTRANGE(""1y0FWgjbB0gVlqn-q5LMJbGIsqOrzru4yowQz67dz2yc"", ""'SNG'!BG3:BG139""),MATCH($D44,IMPORTRANGE(""1y0FWgjbB0gVlqn-q5LMJbGIsqOrzru4yowQz67dz2yc"", ""'SNG'!D3:D139""),0))"),175)</f>
        <v>175</v>
      </c>
      <c r="Z44" s="12">
        <f ca="1">IFERROR(__xludf.DUMMYFUNCTION("INDEX(IMPORTRANGE(""1y0FWgjbB0gVlqn-q5LMJbGIsqOrzru4yowQz67dz2yc"", ""'SNG'!BH3:BH139""),MATCH($D44,IMPORTRANGE(""1y0FWgjbB0gVlqn-q5LMJbGIsqOrzru4yowQz67dz2yc"", ""'SNG'!D3:D139""),0))"),1557)</f>
        <v>1557</v>
      </c>
      <c r="AA44" s="12">
        <f ca="1">IFERROR(__xludf.DUMMYFUNCTION("INDEX(IMPORTRANGE(""1y0FWgjbB0gVlqn-q5LMJbGIsqOrzru4yowQz67dz2yc"", ""'SNG'!BI3:BI139""),MATCH($D44,IMPORTRANGE(""1y0FWgjbB0gVlqn-q5LMJbGIsqOrzru4yowQz67dz2yc"", ""'SNG'!D3:D139""),0))"),1732)</f>
        <v>1732</v>
      </c>
      <c r="AB44" s="12">
        <f ca="1">IFERROR(__xludf.DUMMYFUNCTION("INDEX(IMPORTRANGE(""1y0FWgjbB0gVlqn-q5LMJbGIsqOrzru4yowQz67dz2yc"", ""'SNG'!BJ3:BJ139""),MATCH($D44,IMPORTRANGE(""1y0FWgjbB0gVlqn-q5LMJbGIsqOrzru4yowQz67dz2yc"", ""'SNG'!D3:D139""),0))"),2517)</f>
        <v>2517</v>
      </c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0</v>
      </c>
      <c r="R45" s="13"/>
      <c r="S45" s="13"/>
      <c r="T45" s="13"/>
      <c r="U45" s="13"/>
      <c r="V45" s="13"/>
      <c r="W45" s="13"/>
      <c r="X45" s="12">
        <v>2</v>
      </c>
      <c r="Y45" s="12">
        <f ca="1">IFERROR(__xludf.DUMMYFUNCTION("INDEX(IMPORTRANGE(""1y0FWgjbB0gVlqn-q5LMJbGIsqOrzru4yowQz67dz2yc"", ""'SNG'!BG3:BG139""),MATCH($D45,IMPORTRANGE(""1y0FWgjbB0gVlqn-q5LMJbGIsqOrzru4yowQz67dz2yc"", ""'SNG'!D3:D139""),0))"),3)</f>
        <v>3</v>
      </c>
      <c r="Z45" s="12">
        <f ca="1">IFERROR(__xludf.DUMMYFUNCTION("INDEX(IMPORTRANGE(""1y0FWgjbB0gVlqn-q5LMJbGIsqOrzru4yowQz67dz2yc"", ""'SNG'!BH3:BH139""),MATCH($D45,IMPORTRANGE(""1y0FWgjbB0gVlqn-q5LMJbGIsqOrzru4yowQz67dz2yc"", ""'SNG'!D3:D139""),0))"),3)</f>
        <v>3</v>
      </c>
      <c r="AA45" s="12">
        <f ca="1">IFERROR(__xludf.DUMMYFUNCTION("INDEX(IMPORTRANGE(""1y0FWgjbB0gVlqn-q5LMJbGIsqOrzru4yowQz67dz2yc"", ""'SNG'!BI3:BI139""),MATCH($D45,IMPORTRANGE(""1y0FWgjbB0gVlqn-q5LMJbGIsqOrzru4yowQz67dz2yc"", ""'SNG'!D3:D139""),0))"),3)</f>
        <v>3</v>
      </c>
      <c r="AB45" s="12">
        <f ca="1">IFERROR(__xludf.DUMMYFUNCTION("INDEX(IMPORTRANGE(""1y0FWgjbB0gVlqn-q5LMJbGIsqOrzru4yowQz67dz2yc"", ""'SNG'!BJ3:BJ139""),MATCH($D45,IMPORTRANGE(""1y0FWgjbB0gVlqn-q5LMJbGIsqOrzru4yowQz67dz2yc"", ""'SNG'!D3:D139""),0))"),3)</f>
        <v>3</v>
      </c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3"/>
      <c r="S46" s="13"/>
      <c r="T46" s="13"/>
      <c r="U46" s="13"/>
      <c r="V46" s="13"/>
      <c r="W46" s="13"/>
      <c r="X46" s="12"/>
      <c r="Y46" s="12">
        <f ca="1">IFERROR(__xludf.DUMMYFUNCTION("INDEX(IMPORTRANGE(""1y0FWgjbB0gVlqn-q5LMJbGIsqOrzru4yowQz67dz2yc"", ""'SNG'!BG3:BG139""),MATCH($D46,IMPORTRANGE(""1y0FWgjbB0gVlqn-q5LMJbGIsqOrzru4yowQz67dz2yc"", ""'SNG'!D3:D139""),0))"),0)</f>
        <v>0</v>
      </c>
      <c r="Z46" s="12">
        <f ca="1">IFERROR(__xludf.DUMMYFUNCTION("INDEX(IMPORTRANGE(""1y0FWgjbB0gVlqn-q5LMJbGIsqOrzru4yowQz67dz2yc"", ""'SNG'!BH3:BH139""),MATCH($D46,IMPORTRANGE(""1y0FWgjbB0gVlqn-q5LMJbGIsqOrzru4yowQz67dz2yc"", ""'SNG'!D3:D139""),0))"),0)</f>
        <v>0</v>
      </c>
      <c r="AA46" s="12">
        <f ca="1">IFERROR(__xludf.DUMMYFUNCTION("INDEX(IMPORTRANGE(""1y0FWgjbB0gVlqn-q5LMJbGIsqOrzru4yowQz67dz2yc"", ""'SNG'!BI3:BI139""),MATCH($D46,IMPORTRANGE(""1y0FWgjbB0gVlqn-q5LMJbGIsqOrzru4yowQz67dz2yc"", ""'SNG'!D3:D139""),0))"),0)</f>
        <v>0</v>
      </c>
      <c r="AB46" s="12">
        <f ca="1">IFERROR(__xludf.DUMMYFUNCTION("INDEX(IMPORTRANGE(""1y0FWgjbB0gVlqn-q5LMJbGIsqOrzru4yowQz67dz2yc"", ""'SNG'!BJ3:BJ139""),MATCH($D46,IMPORTRANGE(""1y0FWgjbB0gVlqn-q5LMJbGIsqOrzru4yowQz67dz2yc"", ""'SNG'!D3:D139""),0))"),0)</f>
        <v>0</v>
      </c>
      <c r="AC46" s="1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19</v>
      </c>
      <c r="Q47" s="12">
        <v>33</v>
      </c>
      <c r="R47" s="13"/>
      <c r="S47" s="13"/>
      <c r="T47" s="13"/>
      <c r="U47" s="13"/>
      <c r="V47" s="13"/>
      <c r="W47" s="13"/>
      <c r="X47" s="12">
        <v>15</v>
      </c>
      <c r="Y47" s="12">
        <f ca="1">IFERROR(__xludf.DUMMYFUNCTION("INDEX(IMPORTRANGE(""1y0FWgjbB0gVlqn-q5LMJbGIsqOrzru4yowQz67dz2yc"", ""'SNG'!BG3:BG139""),MATCH($D47,IMPORTRANGE(""1y0FWgjbB0gVlqn-q5LMJbGIsqOrzru4yowQz67dz2yc"", ""'SNG'!D3:D139""),0))"),25)</f>
        <v>25</v>
      </c>
      <c r="Z47" s="12">
        <f ca="1">IFERROR(__xludf.DUMMYFUNCTION("INDEX(IMPORTRANGE(""1y0FWgjbB0gVlqn-q5LMJbGIsqOrzru4yowQz67dz2yc"", ""'SNG'!BH3:BH139""),MATCH($D47,IMPORTRANGE(""1y0FWgjbB0gVlqn-q5LMJbGIsqOrzru4yowQz67dz2yc"", ""'SNG'!D3:D139""),0))"),48)</f>
        <v>48</v>
      </c>
      <c r="AA47" s="12">
        <f ca="1">IFERROR(__xludf.DUMMYFUNCTION("INDEX(IMPORTRANGE(""1y0FWgjbB0gVlqn-q5LMJbGIsqOrzru4yowQz67dz2yc"", ""'SNG'!BI3:BI139""),MATCH($D47,IMPORTRANGE(""1y0FWgjbB0gVlqn-q5LMJbGIsqOrzru4yowQz67dz2yc"", ""'SNG'!D3:D139""),0))"),68)</f>
        <v>68</v>
      </c>
      <c r="AB47" s="12">
        <f ca="1">IFERROR(__xludf.DUMMYFUNCTION("INDEX(IMPORTRANGE(""1y0FWgjbB0gVlqn-q5LMJbGIsqOrzru4yowQz67dz2yc"", ""'SNG'!BJ3:BJ139""),MATCH($D47,IMPORTRANGE(""1y0FWgjbB0gVlqn-q5LMJbGIsqOrzru4yowQz67dz2yc"", ""'SNG'!D3:D139""),0))"),77)</f>
        <v>77</v>
      </c>
      <c r="AC47" s="1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3"/>
      <c r="S48" s="13"/>
      <c r="T48" s="13"/>
      <c r="U48" s="13"/>
      <c r="V48" s="13"/>
      <c r="W48" s="13"/>
      <c r="X48" s="12"/>
      <c r="Y48" s="12">
        <f ca="1">IFERROR(__xludf.DUMMYFUNCTION("INDEX(IMPORTRANGE(""1y0FWgjbB0gVlqn-q5LMJbGIsqOrzru4yowQz67dz2yc"", ""'SNG'!BG3:BG139""),MATCH($D48,IMPORTRANGE(""1y0FWgjbB0gVlqn-q5LMJbGIsqOrzru4yowQz67dz2yc"", ""'SNG'!D3:D139""),0))"),2)</f>
        <v>2</v>
      </c>
      <c r="Z48" s="12">
        <f ca="1">IFERROR(__xludf.DUMMYFUNCTION("INDEX(IMPORTRANGE(""1y0FWgjbB0gVlqn-q5LMJbGIsqOrzru4yowQz67dz2yc"", ""'SNG'!BH3:BH139""),MATCH($D48,IMPORTRANGE(""1y0FWgjbB0gVlqn-q5LMJbGIsqOrzru4yowQz67dz2yc"", ""'SNG'!D3:D139""),0))"),3)</f>
        <v>3</v>
      </c>
      <c r="AA48" s="12">
        <f ca="1">IFERROR(__xludf.DUMMYFUNCTION("INDEX(IMPORTRANGE(""1y0FWgjbB0gVlqn-q5LMJbGIsqOrzru4yowQz67dz2yc"", ""'SNG'!BI3:BI139""),MATCH($D48,IMPORTRANGE(""1y0FWgjbB0gVlqn-q5LMJbGIsqOrzru4yowQz67dz2yc"", ""'SNG'!D3:D139""),0))"),5)</f>
        <v>5</v>
      </c>
      <c r="AB48" s="12">
        <f ca="1">IFERROR(__xludf.DUMMYFUNCTION("INDEX(IMPORTRANGE(""1y0FWgjbB0gVlqn-q5LMJbGIsqOrzru4yowQz67dz2yc"", ""'SNG'!BJ3:BJ139""),MATCH($D48,IMPORTRANGE(""1y0FWgjbB0gVlqn-q5LMJbGIsqOrzru4yowQz67dz2yc"", ""'SNG'!D3:D139""),0))"),5)</f>
        <v>5</v>
      </c>
      <c r="AC48" s="1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4">SUM(P45:P47)</f>
        <v>19</v>
      </c>
      <c r="Q49" s="12">
        <f t="shared" si="14"/>
        <v>33</v>
      </c>
      <c r="R49" s="2">
        <v>30</v>
      </c>
      <c r="S49" s="2">
        <f t="shared" ref="S49:V49" si="15">15+R49</f>
        <v>45</v>
      </c>
      <c r="T49" s="2">
        <f t="shared" si="15"/>
        <v>60</v>
      </c>
      <c r="U49" s="2">
        <f t="shared" si="15"/>
        <v>75</v>
      </c>
      <c r="V49" s="2">
        <f t="shared" si="15"/>
        <v>90</v>
      </c>
      <c r="W49" s="2">
        <f>V49</f>
        <v>90</v>
      </c>
      <c r="X49" s="12">
        <f>SUM(X45:X47)</f>
        <v>17</v>
      </c>
      <c r="Y49" s="12">
        <f ca="1">IFERROR(__xludf.DUMMYFUNCTION("INDEX(IMPORTRANGE(""1y0FWgjbB0gVlqn-q5LMJbGIsqOrzru4yowQz67dz2yc"", ""'SNG'!BG3:BG139""),MATCH($D49,IMPORTRANGE(""1y0FWgjbB0gVlqn-q5LMJbGIsqOrzru4yowQz67dz2yc"", ""'SNG'!D3:D139""),0))"),30)</f>
        <v>30</v>
      </c>
      <c r="Z49" s="12">
        <f ca="1">IFERROR(__xludf.DUMMYFUNCTION("INDEX(IMPORTRANGE(""1y0FWgjbB0gVlqn-q5LMJbGIsqOrzru4yowQz67dz2yc"", ""'SNG'!BH3:BH139""),MATCH($D49,IMPORTRANGE(""1y0FWgjbB0gVlqn-q5LMJbGIsqOrzru4yowQz67dz2yc"", ""'SNG'!D3:D139""),0))"),54)</f>
        <v>54</v>
      </c>
      <c r="AA49" s="12">
        <f ca="1">IFERROR(__xludf.DUMMYFUNCTION("INDEX(IMPORTRANGE(""1y0FWgjbB0gVlqn-q5LMJbGIsqOrzru4yowQz67dz2yc"", ""'SNG'!BI3:BI139""),MATCH($D49,IMPORTRANGE(""1y0FWgjbB0gVlqn-q5LMJbGIsqOrzru4yowQz67dz2yc"", ""'SNG'!D3:D139""),0))"),76)</f>
        <v>76</v>
      </c>
      <c r="AB49" s="12">
        <f ca="1">IFERROR(__xludf.DUMMYFUNCTION("INDEX(IMPORTRANGE(""1y0FWgjbB0gVlqn-q5LMJbGIsqOrzru4yowQz67dz2yc"", ""'SNG'!BJ3:BJ139""),MATCH($D49,IMPORTRANGE(""1y0FWgjbB0gVlqn-q5LMJbGIsqOrzru4yowQz67dz2yc"", ""'SNG'!D3:D139""),0))"),85)</f>
        <v>85</v>
      </c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2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""'SNG'!BG3:BG139""),MATCH($D50,IMPORTRANGE(""1y0FWgjbB0gVlqn-q5LMJbGIsqOrzru4yowQz67dz2yc"", ""'SNG'!D3:D139""),0))"),"No")</f>
        <v>No</v>
      </c>
      <c r="Z50" s="2" t="str">
        <f ca="1">IFERROR(__xludf.DUMMYFUNCTION("INDEX(IMPORTRANGE(""1y0FWgjbB0gVlqn-q5LMJbGIsqOrzru4yowQz67dz2yc"", ""'SNG'!BH3:BH139""),MATCH($D50,IMPORTRANGE(""1y0FWgjbB0gVlqn-q5LMJbGIsqOrzru4yowQz67dz2yc"", ""'SNG'!D3:D139""),0))"),"Sí")</f>
        <v>Sí</v>
      </c>
      <c r="AA50" s="2" t="str">
        <f ca="1">IFERROR(__xludf.DUMMYFUNCTION("INDEX(IMPORTRANGE(""1y0FWgjbB0gVlqn-q5LMJbGIsqOrzru4yowQz67dz2yc"", ""'SNG'!BI3:BI139""),MATCH($D50,IMPORTRANGE(""1y0FWgjbB0gVlqn-q5LMJbGIsqOrzru4yowQz67dz2yc"", ""'SNG'!D3:D139""),0))"),"Sí ")</f>
        <v xml:space="preserve">Sí </v>
      </c>
      <c r="AB50" s="2" t="str">
        <f ca="1">IFERROR(__xludf.DUMMYFUNCTION("INDEX(IMPORTRANGE(""1y0FWgjbB0gVlqn-q5LMJbGIsqOrzru4yowQz67dz2yc"", ""'SNG'!BJ3:BJ139""),MATCH($D50,IMPORTRANGE(""1y0FWgjbB0gVlqn-q5LMJbGIsqOrzru4yowQz67dz2yc"", ""'SNG'!D3:D139""),0))"),"Sí ")</f>
        <v xml:space="preserve">Sí </v>
      </c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2" t="s">
        <v>150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150</v>
      </c>
      <c r="Y51" s="2" t="str">
        <f ca="1">IFERROR(__xludf.DUMMYFUNCTION("INDEX(IMPORTRANGE(""1y0FWgjbB0gVlqn-q5LMJbGIsqOrzru4yowQz67dz2yc"", ""'SNG'!BG3:BG139""),MATCH($D51,IMPORTRANGE(""1y0FWgjbB0gVlqn-q5LMJbGIsqOrzru4yowQz67dz2yc"", ""'SNG'!D3:D139""),0))"),"No")</f>
        <v>No</v>
      </c>
      <c r="Z51" s="2" t="str">
        <f ca="1">IFERROR(__xludf.DUMMYFUNCTION("INDEX(IMPORTRANGE(""1y0FWgjbB0gVlqn-q5LMJbGIsqOrzru4yowQz67dz2yc"", ""'SNG'!BH3:BH139""),MATCH($D51,IMPORTRANGE(""1y0FWgjbB0gVlqn-q5LMJbGIsqOrzru4yowQz67dz2yc"", ""'SNG'!D3:D139""),0))"),"No")</f>
        <v>No</v>
      </c>
      <c r="AA51" s="2" t="str">
        <f ca="1">IFERROR(__xludf.DUMMYFUNCTION("INDEX(IMPORTRANGE(""1y0FWgjbB0gVlqn-q5LMJbGIsqOrzru4yowQz67dz2yc"", ""'SNG'!BI3:BI139""),MATCH($D51,IMPORTRANGE(""1y0FWgjbB0gVlqn-q5LMJbGIsqOrzru4yowQz67dz2yc"", ""'SNG'!D3:D139""),0))"),"No")</f>
        <v>No</v>
      </c>
      <c r="AB51" s="2" t="str">
        <f ca="1">IFERROR(__xludf.DUMMYFUNCTION("INDEX(IMPORTRANGE(""1y0FWgjbB0gVlqn-q5LMJbGIsqOrzru4yowQz67dz2yc"", ""'SNG'!BJ3:BJ139""),MATCH($D51,IMPORTRANGE(""1y0FWgjbB0gVlqn-q5LMJbGIsqOrzru4yowQz67dz2yc"", ""'SNG'!D3:D139""),0))"),"No")</f>
        <v>No</v>
      </c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2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153</v>
      </c>
      <c r="Y52" s="2" t="str">
        <f ca="1">IFERROR(__xludf.DUMMYFUNCTION("INDEX(IMPORTRANGE(""1y0FWgjbB0gVlqn-q5LMJbGIsqOrzru4yowQz67dz2yc"", ""'SNG'!BG3:BG139""),MATCH($D52,IMPORTRANGE(""1y0FWgjbB0gVlqn-q5LMJbGIsqOrzru4yowQz67dz2yc"", ""'SNG'!D3:D139""),0))"),"Sí")</f>
        <v>Sí</v>
      </c>
      <c r="Z52" s="2" t="str">
        <f ca="1">IFERROR(__xludf.DUMMYFUNCTION("INDEX(IMPORTRANGE(""1y0FWgjbB0gVlqn-q5LMJbGIsqOrzru4yowQz67dz2yc"", ""'SNG'!BH3:BH139""),MATCH($D52,IMPORTRANGE(""1y0FWgjbB0gVlqn-q5LMJbGIsqOrzru4yowQz67dz2yc"", ""'SNG'!D3:D139""),0))"),"Sí ")</f>
        <v xml:space="preserve">Sí </v>
      </c>
      <c r="AA52" s="2" t="str">
        <f ca="1">IFERROR(__xludf.DUMMYFUNCTION("INDEX(IMPORTRANGE(""1y0FWgjbB0gVlqn-q5LMJbGIsqOrzru4yowQz67dz2yc"", ""'SNG'!BI3:BI139""),MATCH($D52,IMPORTRANGE(""1y0FWgjbB0gVlqn-q5LMJbGIsqOrzru4yowQz67dz2yc"", ""'SNG'!D3:D139""),0))"),"Sí")</f>
        <v>Sí</v>
      </c>
      <c r="AB52" s="2" t="str">
        <f ca="1">IFERROR(__xludf.DUMMYFUNCTION("INDEX(IMPORTRANGE(""1y0FWgjbB0gVlqn-q5LMJbGIsqOrzru4yowQz67dz2yc"", ""'SNG'!BJ3:BJ139""),MATCH($D52,IMPORTRANGE(""1y0FWgjbB0gVlqn-q5LMJbGIsqOrzru4yowQz67dz2yc"", ""'SNG'!D3:D139""),0))"),"Sí")</f>
        <v>Sí</v>
      </c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49" t="s">
        <v>57</v>
      </c>
      <c r="I53" s="49" t="s">
        <v>58</v>
      </c>
      <c r="J53" s="49" t="s">
        <v>59</v>
      </c>
      <c r="K53" s="49" t="s">
        <v>335</v>
      </c>
      <c r="L53" s="49" t="s">
        <v>336</v>
      </c>
      <c r="M53" s="49" t="s">
        <v>337</v>
      </c>
      <c r="N53" s="12" t="s">
        <v>132</v>
      </c>
      <c r="O53" s="12" t="s">
        <v>132</v>
      </c>
      <c r="P53" s="23">
        <f t="shared" ref="P53:Q53" si="16">COUNTIF(P50:P52,"Sí")*(1/3)</f>
        <v>0.33333333333333331</v>
      </c>
      <c r="Q53" s="23">
        <f t="shared" si="16"/>
        <v>0.33333333333333331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23">
        <f>COUNTIF(X50:X52,"Sí")*(1/3)</f>
        <v>0.33333333333333331</v>
      </c>
      <c r="Y53" s="23">
        <f ca="1">IFERROR(__xludf.DUMMYFUNCTION("INDEX(IMPORTRANGE(""1y0FWgjbB0gVlqn-q5LMJbGIsqOrzru4yowQz67dz2yc"", ""'SNG'!BG3:BG139""),MATCH($D53,IMPORTRANGE(""1y0FWgjbB0gVlqn-q5LMJbGIsqOrzru4yowQz67dz2yc"", ""'SNG'!D3:D139""),0))"),0.333333333333333)</f>
        <v>0.33333333333333298</v>
      </c>
      <c r="Z53" s="23">
        <f ca="1">IFERROR(__xludf.DUMMYFUNCTION("INDEX(IMPORTRANGE(""1y0FWgjbB0gVlqn-q5LMJbGIsqOrzru4yowQz67dz2yc"", ""'SNG'!BH3:BH139""),MATCH($D53,IMPORTRANGE(""1y0FWgjbB0gVlqn-q5LMJbGIsqOrzru4yowQz67dz2yc"", ""'SNG'!D3:D139""),0))"),0.333333333333333)</f>
        <v>0.33333333333333298</v>
      </c>
      <c r="AA53" s="23">
        <f ca="1">IFERROR(__xludf.DUMMYFUNCTION("INDEX(IMPORTRANGE(""1y0FWgjbB0gVlqn-q5LMJbGIsqOrzru4yowQz67dz2yc"", ""'SNG'!BI3:BI139""),MATCH($D53,IMPORTRANGE(""1y0FWgjbB0gVlqn-q5LMJbGIsqOrzru4yowQz67dz2yc"", ""'SNG'!D3:D139""),0))"),0.333333333333333)</f>
        <v>0.33333333333333298</v>
      </c>
      <c r="AB53" s="23">
        <f ca="1">IFERROR(__xludf.DUMMYFUNCTION("INDEX(IMPORTRANGE(""1y0FWgjbB0gVlqn-q5LMJbGIsqOrzru4yowQz67dz2yc"", ""'SNG'!BJ3:BJ139""),MATCH($D53,IMPORTRANGE(""1y0FWgjbB0gVlqn-q5LMJbGIsqOrzru4yowQz67dz2yc"", ""'SNG'!D3:D139""),0))"),0.333333333333333)</f>
        <v>0.33333333333333298</v>
      </c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49" t="s">
        <v>57</v>
      </c>
      <c r="I54" s="49" t="s">
        <v>58</v>
      </c>
      <c r="J54" s="49" t="s">
        <v>59</v>
      </c>
      <c r="K54" s="49" t="s">
        <v>335</v>
      </c>
      <c r="L54" s="49" t="s">
        <v>336</v>
      </c>
      <c r="M54" s="49" t="s">
        <v>337</v>
      </c>
      <c r="N54" s="12" t="s">
        <v>132</v>
      </c>
      <c r="O54" s="12" t="s">
        <v>132</v>
      </c>
      <c r="P54" s="30">
        <v>0</v>
      </c>
      <c r="Q54" s="2">
        <v>0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0</v>
      </c>
      <c r="Y54" s="2">
        <f ca="1">IFERROR(__xludf.DUMMYFUNCTION("INDEX(IMPORTRANGE(""1y0FWgjbB0gVlqn-q5LMJbGIsqOrzru4yowQz67dz2yc"", ""'SNG'!BG3:BG139""),MATCH($D54,IMPORTRANGE(""1y0FWgjbB0gVlqn-q5LMJbGIsqOrzru4yowQz67dz2yc"", ""'SNG'!D3:D139""),0))"),0.5)</f>
        <v>0.5</v>
      </c>
      <c r="Z54" s="24">
        <f ca="1">IFERROR(__xludf.DUMMYFUNCTION("INDEX(IMPORTRANGE(""1y0FWgjbB0gVlqn-q5LMJbGIsqOrzru4yowQz67dz2yc"", ""'SNG'!BH3:BH139""),MATCH($D54,IMPORTRANGE(""1y0FWgjbB0gVlqn-q5LMJbGIsqOrzru4yowQz67dz2yc"", ""'SNG'!D3:D139""),0))"),0.5)</f>
        <v>0.5</v>
      </c>
      <c r="AA54" s="2">
        <f ca="1">IFERROR(__xludf.DUMMYFUNCTION("INDEX(IMPORTRANGE(""1y0FWgjbB0gVlqn-q5LMJbGIsqOrzru4yowQz67dz2yc"", ""'SNG'!BI3:BI139""),MATCH($D54,IMPORTRANGE(""1y0FWgjbB0gVlqn-q5LMJbGIsqOrzru4yowQz67dz2yc"", ""'SNG'!D3:D139""),0))"),0.5)</f>
        <v>0.5</v>
      </c>
      <c r="AB54" s="24">
        <f ca="1">IFERROR(__xludf.DUMMYFUNCTION("INDEX(IMPORTRANGE(""1y0FWgjbB0gVlqn-q5LMJbGIsqOrzru4yowQz67dz2yc"", ""'SNG'!BJ3:BJ139""),MATCH($D54,IMPORTRANGE(""1y0FWgjbB0gVlqn-q5LMJbGIsqOrzru4yowQz67dz2yc"", ""'SNG'!D3:D139""),0))"),0.5)</f>
        <v>0.5</v>
      </c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</v>
      </c>
      <c r="Q55" s="12">
        <v>1</v>
      </c>
      <c r="R55" s="13"/>
      <c r="S55" s="13"/>
      <c r="T55" s="13"/>
      <c r="U55" s="13"/>
      <c r="V55" s="13"/>
      <c r="W55" s="13"/>
      <c r="X55" s="12">
        <v>1</v>
      </c>
      <c r="Y55" s="12">
        <f ca="1">IFERROR(__xludf.DUMMYFUNCTION("INDEX(IMPORTRANGE(""1y0FWgjbB0gVlqn-q5LMJbGIsqOrzru4yowQz67dz2yc"", ""'SNG'!BG3:BG139""),MATCH($D55,IMPORTRANGE(""1y0FWgjbB0gVlqn-q5LMJbGIsqOrzru4yowQz67dz2yc"", ""'SNG'!D3:D139""),0))"),1)</f>
        <v>1</v>
      </c>
      <c r="Z55" s="12">
        <f ca="1">IFERROR(__xludf.DUMMYFUNCTION("INDEX(IMPORTRANGE(""1y0FWgjbB0gVlqn-q5LMJbGIsqOrzru4yowQz67dz2yc"", ""'SNG'!BH3:BH139""),MATCH($D55,IMPORTRANGE(""1y0FWgjbB0gVlqn-q5LMJbGIsqOrzru4yowQz67dz2yc"", ""'SNG'!D3:D139""),0))"),1)</f>
        <v>1</v>
      </c>
      <c r="AA55" s="12">
        <f ca="1">IFERROR(__xludf.DUMMYFUNCTION("INDEX(IMPORTRANGE(""1y0FWgjbB0gVlqn-q5LMJbGIsqOrzru4yowQz67dz2yc"", ""'SNG'!BI3:BI139""),MATCH($D55,IMPORTRANGE(""1y0FWgjbB0gVlqn-q5LMJbGIsqOrzru4yowQz67dz2yc"", ""'SNG'!D3:D139""),0))"),1)</f>
        <v>1</v>
      </c>
      <c r="AB55" s="12">
        <f ca="1">IFERROR(__xludf.DUMMYFUNCTION("INDEX(IMPORTRANGE(""1y0FWgjbB0gVlqn-q5LMJbGIsqOrzru4yowQz67dz2yc"", ""'SNG'!BJ3:BJ139""),MATCH($D55,IMPORTRANGE(""1y0FWgjbB0gVlqn-q5LMJbGIsqOrzru4yowQz67dz2yc"", ""'SNG'!D3:D139""),0))"),1)</f>
        <v>1</v>
      </c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13"/>
      <c r="X56" s="12">
        <v>0</v>
      </c>
      <c r="Y56" s="12">
        <f ca="1">IFERROR(__xludf.DUMMYFUNCTION("INDEX(IMPORTRANGE(""1y0FWgjbB0gVlqn-q5LMJbGIsqOrzru4yowQz67dz2yc"", ""'SNG'!BG3:BG139""),MATCH($D56,IMPORTRANGE(""1y0FWgjbB0gVlqn-q5LMJbGIsqOrzru4yowQz67dz2yc"", ""'SNG'!D3:D139""),0))"),0)</f>
        <v>0</v>
      </c>
      <c r="Z56" s="12">
        <f ca="1">IFERROR(__xludf.DUMMYFUNCTION("INDEX(IMPORTRANGE(""1y0FWgjbB0gVlqn-q5LMJbGIsqOrzru4yowQz67dz2yc"", ""'SNG'!BH3:BH139""),MATCH($D56,IMPORTRANGE(""1y0FWgjbB0gVlqn-q5LMJbGIsqOrzru4yowQz67dz2yc"", ""'SNG'!D3:D139""),0))"),0)</f>
        <v>0</v>
      </c>
      <c r="AA56" s="12">
        <f ca="1">IFERROR(__xludf.DUMMYFUNCTION("INDEX(IMPORTRANGE(""1y0FWgjbB0gVlqn-q5LMJbGIsqOrzru4yowQz67dz2yc"", ""'SNG'!BI3:BI139""),MATCH($D56,IMPORTRANGE(""1y0FWgjbB0gVlqn-q5LMJbGIsqOrzru4yowQz67dz2yc"", ""'SNG'!D3:D139""),0))"),0)</f>
        <v>0</v>
      </c>
      <c r="AB56" s="12">
        <f ca="1">IFERROR(__xludf.DUMMYFUNCTION("INDEX(IMPORTRANGE(""1y0FWgjbB0gVlqn-q5LMJbGIsqOrzru4yowQz67dz2yc"", ""'SNG'!BJ3:BJ139""),MATCH($D56,IMPORTRANGE(""1y0FWgjbB0gVlqn-q5LMJbGIsqOrzru4yowQz67dz2yc"", ""'SNG'!D3:D139""),0))"),0)</f>
        <v>0</v>
      </c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49" t="s">
        <v>57</v>
      </c>
      <c r="I57" s="49" t="s">
        <v>58</v>
      </c>
      <c r="J57" s="49" t="s">
        <v>59</v>
      </c>
      <c r="K57" s="49" t="s">
        <v>335</v>
      </c>
      <c r="L57" s="49" t="s">
        <v>336</v>
      </c>
      <c r="M57" s="49" t="s">
        <v>337</v>
      </c>
      <c r="N57" s="12" t="s">
        <v>132</v>
      </c>
      <c r="O57" s="12" t="s">
        <v>132</v>
      </c>
      <c r="P57" s="15">
        <f t="shared" ref="P57:Q57" si="17">P56/P55</f>
        <v>0</v>
      </c>
      <c r="Q57" s="15">
        <f t="shared" si="17"/>
        <v>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</v>
      </c>
      <c r="Y57" s="15">
        <f ca="1">IFERROR(__xludf.DUMMYFUNCTION("INDEX(IMPORTRANGE(""1y0FWgjbB0gVlqn-q5LMJbGIsqOrzru4yowQz67dz2yc"", ""'SNG'!BG3:BG139""),MATCH($D57,IMPORTRANGE(""1y0FWgjbB0gVlqn-q5LMJbGIsqOrzru4yowQz67dz2yc"", ""'SNG'!D3:D139""),0))"),0)</f>
        <v>0</v>
      </c>
      <c r="Z57" s="15">
        <f ca="1">IFERROR(__xludf.DUMMYFUNCTION("INDEX(IMPORTRANGE(""1y0FWgjbB0gVlqn-q5LMJbGIsqOrzru4yowQz67dz2yc"", ""'SNG'!BH3:BH139""),MATCH($D57,IMPORTRANGE(""1y0FWgjbB0gVlqn-q5LMJbGIsqOrzru4yowQz67dz2yc"", ""'SNG'!D3:D139""),0))"),0)</f>
        <v>0</v>
      </c>
      <c r="AA57" s="15">
        <f ca="1">IFERROR(__xludf.DUMMYFUNCTION("INDEX(IMPORTRANGE(""1y0FWgjbB0gVlqn-q5LMJbGIsqOrzru4yowQz67dz2yc"", ""'SNG'!BI3:BI139""),MATCH($D57,IMPORTRANGE(""1y0FWgjbB0gVlqn-q5LMJbGIsqOrzru4yowQz67dz2yc"", ""'SNG'!D3:D139""),0))"),0)</f>
        <v>0</v>
      </c>
      <c r="AB57" s="15">
        <f ca="1">IFERROR(__xludf.DUMMYFUNCTION("INDEX(IMPORTRANGE(""1y0FWgjbB0gVlqn-q5LMJbGIsqOrzru4yowQz67dz2yc"", ""'SNG'!BJ3:BJ139""),MATCH($D57,IMPORTRANGE(""1y0FWgjbB0gVlqn-q5LMJbGIsqOrzru4yowQz67dz2yc"", ""'SNG'!D3:D139""),0))"),0)</f>
        <v>0</v>
      </c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35610</v>
      </c>
      <c r="Q58" s="12">
        <v>35610</v>
      </c>
      <c r="R58" s="13"/>
      <c r="S58" s="13"/>
      <c r="T58" s="13"/>
      <c r="U58" s="13"/>
      <c r="V58" s="13"/>
      <c r="W58" s="13"/>
      <c r="X58" s="12">
        <v>35610</v>
      </c>
      <c r="Y58" s="12">
        <f ca="1">IFERROR(__xludf.DUMMYFUNCTION("INDEX(IMPORTRANGE(""1y0FWgjbB0gVlqn-q5LMJbGIsqOrzru4yowQz67dz2yc"", ""'SNG'!BG3:BG139""),MATCH($D58,IMPORTRANGE(""1y0FWgjbB0gVlqn-q5LMJbGIsqOrzru4yowQz67dz2yc"", ""'SNG'!D3:D139""),0))"),35715)</f>
        <v>35715</v>
      </c>
      <c r="Z58" s="12">
        <f ca="1">IFERROR(__xludf.DUMMYFUNCTION("INDEX(IMPORTRANGE(""1y0FWgjbB0gVlqn-q5LMJbGIsqOrzru4yowQz67dz2yc"", ""'SNG'!BH3:BH139""),MATCH($D58,IMPORTRANGE(""1y0FWgjbB0gVlqn-q5LMJbGIsqOrzru4yowQz67dz2yc"", ""'SNG'!D3:D139""),0))"),35760)</f>
        <v>35760</v>
      </c>
      <c r="AA58" s="12">
        <f ca="1">IFERROR(__xludf.DUMMYFUNCTION("INDEX(IMPORTRANGE(""1y0FWgjbB0gVlqn-q5LMJbGIsqOrzru4yowQz67dz2yc"", ""'SNG'!BI3:BI139""),MATCH($D58,IMPORTRANGE(""1y0FWgjbB0gVlqn-q5LMJbGIsqOrzru4yowQz67dz2yc"", ""'SNG'!D3:D139""),0))"),35826)</f>
        <v>35826</v>
      </c>
      <c r="AB58" s="12">
        <f ca="1">IFERROR(__xludf.DUMMYFUNCTION("INDEX(IMPORTRANGE(""1y0FWgjbB0gVlqn-q5LMJbGIsqOrzru4yowQz67dz2yc"", ""'SNG'!BJ3:BJ139""),MATCH($D58,IMPORTRANGE(""1y0FWgjbB0gVlqn-q5LMJbGIsqOrzru4yowQz67dz2yc"", ""'SNG'!D3:D139""),0))"),35856)</f>
        <v>35856</v>
      </c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35610</v>
      </c>
      <c r="Q59" s="12">
        <v>35610</v>
      </c>
      <c r="R59" s="13"/>
      <c r="S59" s="13"/>
      <c r="T59" s="13"/>
      <c r="U59" s="13"/>
      <c r="V59" s="13"/>
      <c r="W59" s="13"/>
      <c r="X59" s="12">
        <v>35610</v>
      </c>
      <c r="Y59" s="12">
        <f ca="1">IFERROR(__xludf.DUMMYFUNCTION("INDEX(IMPORTRANGE(""1y0FWgjbB0gVlqn-q5LMJbGIsqOrzru4yowQz67dz2yc"", ""'SNG'!BG3:BG139""),MATCH($D59,IMPORTRANGE(""1y0FWgjbB0gVlqn-q5LMJbGIsqOrzru4yowQz67dz2yc"", ""'SNG'!D3:D139""),0))"),35715)</f>
        <v>35715</v>
      </c>
      <c r="Z59" s="12">
        <f ca="1">IFERROR(__xludf.DUMMYFUNCTION("INDEX(IMPORTRANGE(""1y0FWgjbB0gVlqn-q5LMJbGIsqOrzru4yowQz67dz2yc"", ""'SNG'!BH3:BH139""),MATCH($D59,IMPORTRANGE(""1y0FWgjbB0gVlqn-q5LMJbGIsqOrzru4yowQz67dz2yc"", ""'SNG'!D3:D139""),0))"),35760)</f>
        <v>35760</v>
      </c>
      <c r="AA59" s="12">
        <f ca="1">IFERROR(__xludf.DUMMYFUNCTION("INDEX(IMPORTRANGE(""1y0FWgjbB0gVlqn-q5LMJbGIsqOrzru4yowQz67dz2yc"", ""'SNG'!BI3:BI139""),MATCH($D59,IMPORTRANGE(""1y0FWgjbB0gVlqn-q5LMJbGIsqOrzru4yowQz67dz2yc"", ""'SNG'!D3:D139""),0))"),35826)</f>
        <v>35826</v>
      </c>
      <c r="AB59" s="12">
        <f ca="1">IFERROR(__xludf.DUMMYFUNCTION("INDEX(IMPORTRANGE(""1y0FWgjbB0gVlqn-q5LMJbGIsqOrzru4yowQz67dz2yc"", ""'SNG'!BJ3:BJ139""),MATCH($D59,IMPORTRANGE(""1y0FWgjbB0gVlqn-q5LMJbGIsqOrzru4yowQz67dz2yc"", ""'SNG'!D3:D139""),0))"),35856)</f>
        <v>35856</v>
      </c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49" t="s">
        <v>57</v>
      </c>
      <c r="I60" s="49" t="s">
        <v>58</v>
      </c>
      <c r="J60" s="49" t="s">
        <v>59</v>
      </c>
      <c r="K60" s="49" t="s">
        <v>335</v>
      </c>
      <c r="L60" s="49" t="s">
        <v>336</v>
      </c>
      <c r="M60" s="49" t="s">
        <v>337</v>
      </c>
      <c r="N60" s="12" t="s">
        <v>132</v>
      </c>
      <c r="O60" s="12" t="s">
        <v>132</v>
      </c>
      <c r="P60" s="14">
        <f t="shared" ref="P60:Q60" si="18">P58/P59</f>
        <v>1</v>
      </c>
      <c r="Q60" s="14">
        <f t="shared" si="18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4">
        <f>X58/X59</f>
        <v>1</v>
      </c>
      <c r="Y60" s="14">
        <f ca="1">IFERROR(__xludf.DUMMYFUNCTION("INDEX(IMPORTRANGE(""1y0FWgjbB0gVlqn-q5LMJbGIsqOrzru4yowQz67dz2yc"", ""'SNG'!BG3:BG139""),MATCH($D60,IMPORTRANGE(""1y0FWgjbB0gVlqn-q5LMJbGIsqOrzru4yowQz67dz2yc"", ""'SNG'!D3:D139""),0))"),1)</f>
        <v>1</v>
      </c>
      <c r="Z60" s="15">
        <f ca="1">IFERROR(__xludf.DUMMYFUNCTION("INDEX(IMPORTRANGE(""1y0FWgjbB0gVlqn-q5LMJbGIsqOrzru4yowQz67dz2yc"", ""'SNG'!BH3:BH139""),MATCH($D60,IMPORTRANGE(""1y0FWgjbB0gVlqn-q5LMJbGIsqOrzru4yowQz67dz2yc"", ""'SNG'!D3:D139""),0))"),1)</f>
        <v>1</v>
      </c>
      <c r="AA60" s="14">
        <f ca="1">IFERROR(__xludf.DUMMYFUNCTION("INDEX(IMPORTRANGE(""1y0FWgjbB0gVlqn-q5LMJbGIsqOrzru4yowQz67dz2yc"", ""'SNG'!BI3:BI139""),MATCH($D60,IMPORTRANGE(""1y0FWgjbB0gVlqn-q5LMJbGIsqOrzru4yowQz67dz2yc"", ""'SNG'!D3:D139""),0))"),1)</f>
        <v>1</v>
      </c>
      <c r="AB60" s="15">
        <f ca="1">IFERROR(__xludf.DUMMYFUNCTION("INDEX(IMPORTRANGE(""1y0FWgjbB0gVlqn-q5LMJbGIsqOrzru4yowQz67dz2yc"", ""'SNG'!BJ3:BJ139""),MATCH($D60,IMPORTRANGE(""1y0FWgjbB0gVlqn-q5LMJbGIsqOrzru4yowQz67dz2yc"", ""'SNG'!D3:D139""),0))"),1)</f>
        <v>1</v>
      </c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126480</v>
      </c>
      <c r="Q61" s="12">
        <v>126480</v>
      </c>
      <c r="R61" s="13"/>
      <c r="S61" s="13"/>
      <c r="T61" s="13"/>
      <c r="U61" s="13"/>
      <c r="V61" s="13"/>
      <c r="W61" s="13"/>
      <c r="X61" s="12">
        <v>126480</v>
      </c>
      <c r="Y61" s="12">
        <f ca="1">IFERROR(__xludf.DUMMYFUNCTION("INDEX(IMPORTRANGE(""1y0FWgjbB0gVlqn-q5LMJbGIsqOrzru4yowQz67dz2yc"", ""'SNG'!BG3:BG139""),MATCH($D61,IMPORTRANGE(""1y0FWgjbB0gVlqn-q5LMJbGIsqOrzru4yowQz67dz2yc"", ""'SNG'!D3:D139""),0))"),126078)</f>
        <v>126078</v>
      </c>
      <c r="Z61" s="12">
        <f ca="1">IFERROR(__xludf.DUMMYFUNCTION("INDEX(IMPORTRANGE(""1y0FWgjbB0gVlqn-q5LMJbGIsqOrzru4yowQz67dz2yc"", ""'SNG'!BH3:BH139""),MATCH($D61,IMPORTRANGE(""1y0FWgjbB0gVlqn-q5LMJbGIsqOrzru4yowQz67dz2yc"", ""'SNG'!D3:D139""),0))"),127275)</f>
        <v>127275</v>
      </c>
      <c r="AA61" s="12">
        <f ca="1">IFERROR(__xludf.DUMMYFUNCTION("INDEX(IMPORTRANGE(""1y0FWgjbB0gVlqn-q5LMJbGIsqOrzru4yowQz67dz2yc"", ""'SNG'!BI3:BI139""),MATCH($D61,IMPORTRANGE(""1y0FWgjbB0gVlqn-q5LMJbGIsqOrzru4yowQz67dz2yc"", ""'SNG'!D3:D139""),0))"),127275)</f>
        <v>127275</v>
      </c>
      <c r="AB61" s="12">
        <f ca="1">IFERROR(__xludf.DUMMYFUNCTION("INDEX(IMPORTRANGE(""1y0FWgjbB0gVlqn-q5LMJbGIsqOrzru4yowQz67dz2yc"", ""'SNG'!BJ3:BJ139""),MATCH($D61,IMPORTRANGE(""1y0FWgjbB0gVlqn-q5LMJbGIsqOrzru4yowQz67dz2yc"", ""'SNG'!D3:D139""),0))"),127275)</f>
        <v>127275</v>
      </c>
      <c r="AC61" s="1"/>
    </row>
    <row r="62" spans="1:29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9">P61/P37</f>
        <v>1</v>
      </c>
      <c r="Q62" s="15">
        <f t="shared" si="19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420">
        <f ca="1">IFERROR(__xludf.DUMMYFUNCTION("INDEX(IMPORTRANGE(""1y0FWgjbB0gVlqn-q5LMJbGIsqOrzru4yowQz67dz2yc"", ""'SNG'!BG3:BG139""),MATCH($D62,IMPORTRANGE(""1y0FWgjbB0gVlqn-q5LMJbGIsqOrzru4yowQz67dz2yc"", ""'SNG'!D3:D139""),0))"),1.00078584525992)</f>
        <v>1.0007858452599201</v>
      </c>
      <c r="Z62" s="15">
        <f ca="1">IFERROR(__xludf.DUMMYFUNCTION("INDEX(IMPORTRANGE(""1y0FWgjbB0gVlqn-q5LMJbGIsqOrzru4yowQz67dz2yc"", ""'SNG'!BH3:BH139""),MATCH($D62,IMPORTRANGE(""1y0FWgjbB0gVlqn-q5LMJbGIsqOrzru4yowQz67dz2yc"", ""'SNG'!D3:D139""),0))"),1)</f>
        <v>1</v>
      </c>
      <c r="AA62" s="15">
        <f ca="1">IFERROR(__xludf.DUMMYFUNCTION("INDEX(IMPORTRANGE(""1y0FWgjbB0gVlqn-q5LMJbGIsqOrzru4yowQz67dz2yc"", ""'SNG'!BI3:BI139""),MATCH($D62,IMPORTRANGE(""1y0FWgjbB0gVlqn-q5LMJbGIsqOrzru4yowQz67dz2yc"", ""'SNG'!D3:D139""),0))"),1)</f>
        <v>1</v>
      </c>
      <c r="AB62" s="15">
        <f ca="1">IFERROR(__xludf.DUMMYFUNCTION("INDEX(IMPORTRANGE(""1y0FWgjbB0gVlqn-q5LMJbGIsqOrzru4yowQz67dz2yc"", ""'SNG'!BJ3:BJ139""),MATCH($D62,IMPORTRANGE(""1y0FWgjbB0gVlqn-q5LMJbGIsqOrzru4yowQz67dz2yc"", ""'SNG'!D3:D139""),0))"),1)</f>
        <v>1</v>
      </c>
      <c r="AC62" s="1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14999166</v>
      </c>
      <c r="Q63" s="12">
        <v>14999166</v>
      </c>
      <c r="R63" s="13"/>
      <c r="S63" s="13"/>
      <c r="T63" s="13"/>
      <c r="U63" s="13"/>
      <c r="V63" s="13"/>
      <c r="W63" s="13"/>
      <c r="X63" s="12">
        <v>14999166</v>
      </c>
      <c r="Y63" s="12">
        <f ca="1">IFERROR(__xludf.DUMMYFUNCTION("INDEX(IMPORTRANGE(""1y0FWgjbB0gVlqn-q5LMJbGIsqOrzru4yowQz67dz2yc"", ""'SNG'!BG3:BG139""),MATCH($D63,IMPORTRANGE(""1y0FWgjbB0gVlqn-q5LMJbGIsqOrzru4yowQz67dz2yc"", ""'SNG'!D3:D139""),0))"),15118730.39)</f>
        <v>15118730.390000001</v>
      </c>
      <c r="Z63" s="12">
        <f ca="1">IFERROR(__xludf.DUMMYFUNCTION("INDEX(IMPORTRANGE(""1y0FWgjbB0gVlqn-q5LMJbGIsqOrzru4yowQz67dz2yc"", ""'SNG'!BH3:BH139""),MATCH($D63,IMPORTRANGE(""1y0FWgjbB0gVlqn-q5LMJbGIsqOrzru4yowQz67dz2yc"", ""'SNG'!D3:D139""),0))"),15118730.39)</f>
        <v>15118730.390000001</v>
      </c>
      <c r="AA63" s="12">
        <f ca="1">IFERROR(__xludf.DUMMYFUNCTION("INDEX(IMPORTRANGE(""1y0FWgjbB0gVlqn-q5LMJbGIsqOrzru4yowQz67dz2yc"", ""'SNG'!BI3:BI139""),MATCH($D63,IMPORTRANGE(""1y0FWgjbB0gVlqn-q5LMJbGIsqOrzru4yowQz67dz2yc"", ""'SNG'!D3:D139""),0))"),15118730.39)</f>
        <v>15118730.390000001</v>
      </c>
      <c r="AB63" s="12">
        <f ca="1">IFERROR(__xludf.DUMMYFUNCTION("INDEX(IMPORTRANGE(""1y0FWgjbB0gVlqn-q5LMJbGIsqOrzru4yowQz67dz2yc"", ""'SNG'!BJ3:BJ139""),MATCH($D63,IMPORTRANGE(""1y0FWgjbB0gVlqn-q5LMJbGIsqOrzru4yowQz67dz2yc"", ""'SNG'!D3:D139""),0))"),15118730.39)</f>
        <v>15118730.390000001</v>
      </c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14999166</v>
      </c>
      <c r="Q64" s="12">
        <v>14999166</v>
      </c>
      <c r="R64" s="13"/>
      <c r="S64" s="13"/>
      <c r="T64" s="13"/>
      <c r="U64" s="13"/>
      <c r="V64" s="13"/>
      <c r="W64" s="13"/>
      <c r="X64" s="12">
        <v>14999166</v>
      </c>
      <c r="Y64" s="12">
        <f ca="1">IFERROR(__xludf.DUMMYFUNCTION("INDEX(IMPORTRANGE(""1y0FWgjbB0gVlqn-q5LMJbGIsqOrzru4yowQz67dz2yc"", ""'SNG'!BG3:BG139""),MATCH($D64,IMPORTRANGE(""1y0FWgjbB0gVlqn-q5LMJbGIsqOrzru4yowQz67dz2yc"", ""'SNG'!D3:D139""),0))"),15118730.39)</f>
        <v>15118730.390000001</v>
      </c>
      <c r="Z64" s="12">
        <f ca="1">IFERROR(__xludf.DUMMYFUNCTION("INDEX(IMPORTRANGE(""1y0FWgjbB0gVlqn-q5LMJbGIsqOrzru4yowQz67dz2yc"", ""'SNG'!BH3:BH139""),MATCH($D64,IMPORTRANGE(""1y0FWgjbB0gVlqn-q5LMJbGIsqOrzru4yowQz67dz2yc"", ""'SNG'!D3:D139""),0))"),15118730.39)</f>
        <v>15118730.390000001</v>
      </c>
      <c r="AA64" s="12">
        <f ca="1">IFERROR(__xludf.DUMMYFUNCTION("INDEX(IMPORTRANGE(""1y0FWgjbB0gVlqn-q5LMJbGIsqOrzru4yowQz67dz2yc"", ""'SNG'!BI3:BI139""),MATCH($D64,IMPORTRANGE(""1y0FWgjbB0gVlqn-q5LMJbGIsqOrzru4yowQz67dz2yc"", ""'SNG'!D3:D139""),0))"),15118730.39)</f>
        <v>15118730.390000001</v>
      </c>
      <c r="AB64" s="12">
        <f ca="1">IFERROR(__xludf.DUMMYFUNCTION("INDEX(IMPORTRANGE(""1y0FWgjbB0gVlqn-q5LMJbGIsqOrzru4yowQz67dz2yc"", ""'SNG'!BJ3:BJ139""),MATCH($D64,IMPORTRANGE(""1y0FWgjbB0gVlqn-q5LMJbGIsqOrzru4yowQz67dz2yc"", ""'SNG'!D3:D139""),0))"),15118730.39)</f>
        <v>15118730.390000001</v>
      </c>
      <c r="AC64" s="1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4">
        <f t="shared" ref="P65:Q65" si="20">P63/P64</f>
        <v>1</v>
      </c>
      <c r="Q65" s="14">
        <f t="shared" si="20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4">
        <f>X63/X64</f>
        <v>1</v>
      </c>
      <c r="Y65" s="14">
        <f ca="1">IFERROR(__xludf.DUMMYFUNCTION("INDEX(IMPORTRANGE(""1y0FWgjbB0gVlqn-q5LMJbGIsqOrzru4yowQz67dz2yc"", ""'SNG'!BG3:BG139""),MATCH($D65,IMPORTRANGE(""1y0FWgjbB0gVlqn-q5LMJbGIsqOrzru4yowQz67dz2yc"", ""'SNG'!D3:D139""),0))"),1)</f>
        <v>1</v>
      </c>
      <c r="Z65" s="14">
        <f ca="1">IFERROR(__xludf.DUMMYFUNCTION("INDEX(IMPORTRANGE(""1y0FWgjbB0gVlqn-q5LMJbGIsqOrzru4yowQz67dz2yc"", ""'SNG'!BH3:BH139""),MATCH($D65,IMPORTRANGE(""1y0FWgjbB0gVlqn-q5LMJbGIsqOrzru4yowQz67dz2yc"", ""'SNG'!D3:D139""),0))"),1)</f>
        <v>1</v>
      </c>
      <c r="AA65" s="14">
        <f ca="1">IFERROR(__xludf.DUMMYFUNCTION("INDEX(IMPORTRANGE(""1y0FWgjbB0gVlqn-q5LMJbGIsqOrzru4yowQz67dz2yc"", ""'SNG'!BI3:BI139""),MATCH($D65,IMPORTRANGE(""1y0FWgjbB0gVlqn-q5LMJbGIsqOrzru4yowQz67dz2yc"", ""'SNG'!D3:D139""),0))"),1)</f>
        <v>1</v>
      </c>
      <c r="AB65" s="14">
        <f ca="1">IFERROR(__xludf.DUMMYFUNCTION("INDEX(IMPORTRANGE(""1y0FWgjbB0gVlqn-q5LMJbGIsqOrzru4yowQz67dz2yc"", ""'SNG'!BJ3:BJ139""),MATCH($D65,IMPORTRANGE(""1y0FWgjbB0gVlqn-q5LMJbGIsqOrzru4yowQz67dz2yc"", ""'SNG'!D3:D139""),0))"),1)</f>
        <v>1</v>
      </c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23">
        <v>82160.14</v>
      </c>
      <c r="Q66" s="23">
        <v>82160.14</v>
      </c>
      <c r="R66" s="13"/>
      <c r="S66" s="13"/>
      <c r="T66" s="13"/>
      <c r="U66" s="13"/>
      <c r="V66" s="13"/>
      <c r="W66" s="13"/>
      <c r="X66" s="23">
        <v>82160.14</v>
      </c>
      <c r="Y66" s="23">
        <f ca="1">IFERROR(__xludf.DUMMYFUNCTION("INDEX(IMPORTRANGE(""1y0FWgjbB0gVlqn-q5LMJbGIsqOrzru4yowQz67dz2yc"", ""'SNG'!BG3:BG139""),MATCH($D66,IMPORTRANGE(""1y0FWgjbB0gVlqn-q5LMJbGIsqOrzru4yowQz67dz2yc"", ""'SNG'!D3:D139""),0))"),82819.04)</f>
        <v>82819.039999999994</v>
      </c>
      <c r="Z66" s="23">
        <f ca="1">IFERROR(__xludf.DUMMYFUNCTION("INDEX(IMPORTRANGE(""1y0FWgjbB0gVlqn-q5LMJbGIsqOrzru4yowQz67dz2yc"", ""'SNG'!BH3:BH139""),MATCH($D66,IMPORTRANGE(""1y0FWgjbB0gVlqn-q5LMJbGIsqOrzru4yowQz67dz2yc"", ""'SNG'!D3:D139""),0))"),83583.64)</f>
        <v>83583.64</v>
      </c>
      <c r="AA66" s="23">
        <f ca="1">IFERROR(__xludf.DUMMYFUNCTION("INDEX(IMPORTRANGE(""1y0FWgjbB0gVlqn-q5LMJbGIsqOrzru4yowQz67dz2yc"", ""'SNG'!BI3:BI139""),MATCH($D66,IMPORTRANGE(""1y0FWgjbB0gVlqn-q5LMJbGIsqOrzru4yowQz67dz2yc"", ""'SNG'!D3:D139""),0))"),61196.36)</f>
        <v>61196.36</v>
      </c>
      <c r="AB66" s="23">
        <f ca="1">IFERROR(__xludf.DUMMYFUNCTION("INDEX(IMPORTRANGE(""1y0FWgjbB0gVlqn-q5LMJbGIsqOrzru4yowQz67dz2yc"", ""'SNG'!BJ3:BJ139""),MATCH($D66,IMPORTRANGE(""1y0FWgjbB0gVlqn-q5LMJbGIsqOrzru4yowQz67dz2yc"", ""'SNG'!D3:D139""),0))"),62455.76)</f>
        <v>62455.76</v>
      </c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23">
        <v>136818.97</v>
      </c>
      <c r="Q67" s="23">
        <v>136818.97</v>
      </c>
      <c r="R67" s="13"/>
      <c r="S67" s="13"/>
      <c r="T67" s="13"/>
      <c r="U67" s="13"/>
      <c r="V67" s="13"/>
      <c r="W67" s="13"/>
      <c r="X67" s="23">
        <v>136818.97</v>
      </c>
      <c r="Y67" s="23">
        <f ca="1">IFERROR(__xludf.DUMMYFUNCTION("INDEX(IMPORTRANGE(""1y0FWgjbB0gVlqn-q5LMJbGIsqOrzru4yowQz67dz2yc"", ""'SNG'!BG3:BG139""),MATCH($D67,IMPORTRANGE(""1y0FWgjbB0gVlqn-q5LMJbGIsqOrzru4yowQz67dz2yc"", ""'SNG'!D3:D139""),0))"),136030)</f>
        <v>136030</v>
      </c>
      <c r="Z67" s="23">
        <f ca="1">IFERROR(__xludf.DUMMYFUNCTION("INDEX(IMPORTRANGE(""1y0FWgjbB0gVlqn-q5LMJbGIsqOrzru4yowQz67dz2yc"", ""'SNG'!BH3:BH139""),MATCH($D67,IMPORTRANGE(""1y0FWgjbB0gVlqn-q5LMJbGIsqOrzru4yowQz67dz2yc"", ""'SNG'!D3:D139""),0))"),136794.6)</f>
        <v>136794.6</v>
      </c>
      <c r="AA67" s="23">
        <f ca="1">IFERROR(__xludf.DUMMYFUNCTION("INDEX(IMPORTRANGE(""1y0FWgjbB0gVlqn-q5LMJbGIsqOrzru4yowQz67dz2yc"", ""'SNG'!BI3:BI139""),MATCH($D67,IMPORTRANGE(""1y0FWgjbB0gVlqn-q5LMJbGIsqOrzru4yowQz67dz2yc"", ""'SNG'!D3:D139""),0))"),82428.64)</f>
        <v>82428.639999999999</v>
      </c>
      <c r="AB67" s="23">
        <f ca="1">IFERROR(__xludf.DUMMYFUNCTION("INDEX(IMPORTRANGE(""1y0FWgjbB0gVlqn-q5LMJbGIsqOrzru4yowQz67dz2yc"", ""'SNG'!BJ3:BJ139""),MATCH($D67,IMPORTRANGE(""1y0FWgjbB0gVlqn-q5LMJbGIsqOrzru4yowQz67dz2yc"", ""'SNG'!D3:D139""),0))"),81169.24)</f>
        <v>81169.240000000005</v>
      </c>
      <c r="AC67" s="1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21">P66/P67</f>
        <v>0.60050254727103991</v>
      </c>
      <c r="Q68" s="15">
        <f t="shared" si="21"/>
        <v>0.60050254727103991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0.60050254727103991</v>
      </c>
      <c r="Y68" s="15">
        <f ca="1">IFERROR(__xludf.DUMMYFUNCTION("INDEX(IMPORTRANGE(""1y0FWgjbB0gVlqn-q5LMJbGIsqOrzru4yowQz67dz2yc"", ""'SNG'!BG3:BG139""),MATCH($D68,IMPORTRANGE(""1y0FWgjbB0gVlqn-q5LMJbGIsqOrzru4yowQz67dz2yc"", ""'SNG'!D3:D139""),0))"),0.608829228846577)</f>
        <v>0.60882922884657698</v>
      </c>
      <c r="Z68" s="15">
        <f ca="1">IFERROR(__xludf.DUMMYFUNCTION("INDEX(IMPORTRANGE(""1y0FWgjbB0gVlqn-q5LMJbGIsqOrzru4yowQz67dz2yc"", ""'SNG'!BH3:BH139""),MATCH($D68,IMPORTRANGE(""1y0FWgjbB0gVlqn-q5LMJbGIsqOrzru4yowQz67dz2yc"", ""'SNG'!D3:D139""),0))"),0.611015639506237)</f>
        <v>0.61101563950623705</v>
      </c>
      <c r="AA68" s="15">
        <f ca="1">IFERROR(__xludf.DUMMYFUNCTION("INDEX(IMPORTRANGE(""1y0FWgjbB0gVlqn-q5LMJbGIsqOrzru4yowQz67dz2yc"", ""'SNG'!BI3:BI139""),MATCH($D68,IMPORTRANGE(""1y0FWgjbB0gVlqn-q5LMJbGIsqOrzru4yowQz67dz2yc"", ""'SNG'!D3:D139""),0))"),0.742416228145945)</f>
        <v>0.74241622814594499</v>
      </c>
      <c r="AB68" s="15">
        <f ca="1">IFERROR(__xludf.DUMMYFUNCTION("INDEX(IMPORTRANGE(""1y0FWgjbB0gVlqn-q5LMJbGIsqOrzru4yowQz67dz2yc"", ""'SNG'!BJ3:BJ139""),MATCH($D68,IMPORTRANGE(""1y0FWgjbB0gVlqn-q5LMJbGIsqOrzru4yowQz67dz2yc"", ""'SNG'!D3:D139""),0))"),0.769451087628761)</f>
        <v>0.76945108762876102</v>
      </c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129.41</v>
      </c>
      <c r="Q69" s="23">
        <v>258.02999999999997</v>
      </c>
      <c r="R69" s="1"/>
      <c r="S69" s="1"/>
      <c r="T69" s="1"/>
      <c r="U69" s="1"/>
      <c r="V69" s="1"/>
      <c r="W69" s="1"/>
      <c r="X69" s="23">
        <v>77.84</v>
      </c>
      <c r="Y69" s="23">
        <f ca="1">IFERROR(__xludf.DUMMYFUNCTION("INDEX(IMPORTRANGE(""1y0FWgjbB0gVlqn-q5LMJbGIsqOrzru4yowQz67dz2yc"", ""'SNG'!BG3:BG139""),MATCH($D69,IMPORTRANGE(""1y0FWgjbB0gVlqn-q5LMJbGIsqOrzru4yowQz67dz2yc"", ""'SNG'!D3:D139""),0))"),191.519999999999)</f>
        <v>191.51999999999899</v>
      </c>
      <c r="Z69" s="23">
        <f ca="1">IFERROR(__xludf.DUMMYFUNCTION("INDEX(IMPORTRANGE(""1y0FWgjbB0gVlqn-q5LMJbGIsqOrzru4yowQz67dz2yc"", ""'SNG'!BH3:BH139""),MATCH($D69,IMPORTRANGE(""1y0FWgjbB0gVlqn-q5LMJbGIsqOrzru4yowQz67dz2yc"", ""'SNG'!D3:D139""),0))"),181.764)</f>
        <v>181.76400000000001</v>
      </c>
      <c r="AA69" s="23">
        <f ca="1">IFERROR(__xludf.DUMMYFUNCTION("INDEX(IMPORTRANGE(""1y0FWgjbB0gVlqn-q5LMJbGIsqOrzru4yowQz67dz2yc"", ""'SNG'!BI3:BI139""),MATCH($D69,IMPORTRANGE(""1y0FWgjbB0gVlqn-q5LMJbGIsqOrzru4yowQz67dz2yc"", ""'SNG'!D3:D139""),0))"),456.389)</f>
        <v>456.38900000000001</v>
      </c>
      <c r="AB69" s="23">
        <f ca="1">IFERROR(__xludf.DUMMYFUNCTION("INDEX(IMPORTRANGE(""1y0FWgjbB0gVlqn-q5LMJbGIsqOrzru4yowQz67dz2yc"", ""'SNG'!BJ3:BJ139""),MATCH($D69,IMPORTRANGE(""1y0FWgjbB0gVlqn-q5LMJbGIsqOrzru4yowQz67dz2yc"", ""'SNG'!D3:D139""),0))"),128.8)</f>
        <v>128.80000000000001</v>
      </c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</v>
      </c>
      <c r="Q70" s="23">
        <v>0</v>
      </c>
      <c r="R70" s="1"/>
      <c r="S70" s="1"/>
      <c r="T70" s="1"/>
      <c r="U70" s="1"/>
      <c r="V70" s="1"/>
      <c r="W70" s="1"/>
      <c r="X70" s="23">
        <v>0</v>
      </c>
      <c r="Y70" s="23">
        <f ca="1">IFERROR(__xludf.DUMMYFUNCTION("INDEX(IMPORTRANGE(""1y0FWgjbB0gVlqn-q5LMJbGIsqOrzru4yowQz67dz2yc"", ""'SNG'!BG3:BG139""),MATCH($D70,IMPORTRANGE(""1y0FWgjbB0gVlqn-q5LMJbGIsqOrzru4yowQz67dz2yc"", ""'SNG'!D3:D139""),0))"),21)</f>
        <v>21</v>
      </c>
      <c r="Z70" s="23">
        <f ca="1">IFERROR(__xludf.DUMMYFUNCTION("INDEX(IMPORTRANGE(""1y0FWgjbB0gVlqn-q5LMJbGIsqOrzru4yowQz67dz2yc"", ""'SNG'!BH3:BH139""),MATCH($D70,IMPORTRANGE(""1y0FWgjbB0gVlqn-q5LMJbGIsqOrzru4yowQz67dz2yc"", ""'SNG'!D3:D139""),0))"),1.4375)</f>
        <v>1.4375</v>
      </c>
      <c r="AA70" s="23">
        <f ca="1">IFERROR(__xludf.DUMMYFUNCTION("INDEX(IMPORTRANGE(""1y0FWgjbB0gVlqn-q5LMJbGIsqOrzru4yowQz67dz2yc"", ""'SNG'!BI3:BI139""),MATCH($D70,IMPORTRANGE(""1y0FWgjbB0gVlqn-q5LMJbGIsqOrzru4yowQz67dz2yc"", ""'SNG'!D3:D139""),0))"),1.5625)</f>
        <v>1.5625</v>
      </c>
      <c r="AB70" s="23">
        <f ca="1">IFERROR(__xludf.DUMMYFUNCTION("INDEX(IMPORTRANGE(""1y0FWgjbB0gVlqn-q5LMJbGIsqOrzru4yowQz67dz2yc"", ""'SNG'!BJ3:BJ139""),MATCH($D70,IMPORTRANGE(""1y0FWgjbB0gVlqn-q5LMJbGIsqOrzru4yowQz67dz2yc"", ""'SNG'!D3:D139""),0))"),15)</f>
        <v>15</v>
      </c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13"/>
      <c r="S71" s="13"/>
      <c r="T71" s="13"/>
      <c r="U71" s="13"/>
      <c r="V71" s="13"/>
      <c r="W71" s="13"/>
      <c r="X71" s="12">
        <v>0</v>
      </c>
      <c r="Y71" s="299" t="str">
        <f ca="1">IFERROR(__xludf.DUMMYFUNCTION("INDEX(IMPORTRANGE(""1y0FWgjbB0gVlqn-q5LMJbGIsqOrzru4yowQz67dz2yc"", ""'SNG'!BG3:BG139""),MATCH($D71,IMPORTRANGE(""1y0FWgjbB0gVlqn-q5LMJbGIsqOrzru4yowQz67dz2yc"", ""'SNG'!D3:D139""),0))"),"")</f>
        <v/>
      </c>
      <c r="Z71" s="299" t="str">
        <f ca="1">IFERROR(__xludf.DUMMYFUNCTION("INDEX(IMPORTRANGE(""1y0FWgjbB0gVlqn-q5LMJbGIsqOrzru4yowQz67dz2yc"", ""'SNG'!BH3:BH139""),MATCH($D71,IMPORTRANGE(""1y0FWgjbB0gVlqn-q5LMJbGIsqOrzru4yowQz67dz2yc"", ""'SNG'!D3:D139""),0))"),"")</f>
        <v/>
      </c>
      <c r="AA71" s="299" t="str">
        <f ca="1">IFERROR(__xludf.DUMMYFUNCTION("INDEX(IMPORTRANGE(""1y0FWgjbB0gVlqn-q5LMJbGIsqOrzru4yowQz67dz2yc"", ""'SNG'!BI3:BI139""),MATCH($D71,IMPORTRANGE(""1y0FWgjbB0gVlqn-q5LMJbGIsqOrzru4yowQz67dz2yc"", ""'SNG'!D3:D139""),0))"),"")</f>
        <v/>
      </c>
      <c r="AB71" s="489" t="str">
        <f ca="1">IFERROR(__xludf.DUMMYFUNCTION("INDEX(IMPORTRANGE(""1y0FWgjbB0gVlqn-q5LMJbGIsqOrzru4yowQz67dz2yc"", ""'SNG'!BJ3:BJ139""),MATCH($D71,IMPORTRANGE(""1y0FWgjbB0gVlqn-q5LMJbGIsqOrzru4yowQz67dz2yc"", ""'SNG'!D3:D139""),0))"),"https://transparencia.sn.gob.mx/Secretaria/Documento/PDF/19709")</f>
        <v>https://transparencia.sn.gob.mx/Secretaria/Documento/PDF/19709</v>
      </c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22">P69+P70</f>
        <v>129.41</v>
      </c>
      <c r="Q72" s="23">
        <f t="shared" si="22"/>
        <v>258.02999999999997</v>
      </c>
      <c r="R72" s="4">
        <v>285.7</v>
      </c>
      <c r="S72" s="4">
        <v>142.80000000000001</v>
      </c>
      <c r="T72" s="4">
        <v>285.7</v>
      </c>
      <c r="U72" s="4">
        <v>142.80000000000001</v>
      </c>
      <c r="V72" s="4">
        <v>285.7</v>
      </c>
      <c r="W72" s="4">
        <v>857.08</v>
      </c>
      <c r="X72" s="23">
        <f>X69+X70</f>
        <v>77.84</v>
      </c>
      <c r="Y72" s="24">
        <f ca="1">IFERROR(__xludf.DUMMYFUNCTION("INDEX(IMPORTRANGE(""1y0FWgjbB0gVlqn-q5LMJbGIsqOrzru4yowQz67dz2yc"", ""'SNG'!BG3:BG139""),MATCH($D72,IMPORTRANGE(""1y0FWgjbB0gVlqn-q5LMJbGIsqOrzru4yowQz67dz2yc"", ""'SNG'!D3:D139""),0))"),212.519999999999)</f>
        <v>212.51999999999899</v>
      </c>
      <c r="Z72" s="24">
        <f ca="1">IFERROR(__xludf.DUMMYFUNCTION("INDEX(IMPORTRANGE(""1y0FWgjbB0gVlqn-q5LMJbGIsqOrzru4yowQz67dz2yc"", ""'SNG'!BH3:BH139""),MATCH($D72,IMPORTRANGE(""1y0FWgjbB0gVlqn-q5LMJbGIsqOrzru4yowQz67dz2yc"", ""'SNG'!D3:D139""),0))"),183.2015)</f>
        <v>183.20150000000001</v>
      </c>
      <c r="AA72" s="24">
        <f ca="1">IFERROR(__xludf.DUMMYFUNCTION("INDEX(IMPORTRANGE(""1y0FWgjbB0gVlqn-q5LMJbGIsqOrzru4yowQz67dz2yc"", ""'SNG'!BI3:BI139""),MATCH($D72,IMPORTRANGE(""1y0FWgjbB0gVlqn-q5LMJbGIsqOrzru4yowQz67dz2yc"", ""'SNG'!D3:D139""),0))"),457.9515)</f>
        <v>457.95150000000001</v>
      </c>
      <c r="AB72" s="24">
        <f ca="1">IFERROR(__xludf.DUMMYFUNCTION("INDEX(IMPORTRANGE(""1y0FWgjbB0gVlqn-q5LMJbGIsqOrzru4yowQz67dz2yc"", ""'SNG'!BJ3:BJ139""),MATCH($D72,IMPORTRANGE(""1y0FWgjbB0gVlqn-q5LMJbGIsqOrzru4yowQz67dz2yc"", ""'SNG'!D3:D139""),0))"),143.8)</f>
        <v>143.80000000000001</v>
      </c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3.2</v>
      </c>
      <c r="Q73" s="23">
        <v>3.2</v>
      </c>
      <c r="R73" s="2">
        <v>7.9</v>
      </c>
      <c r="S73" s="2">
        <v>3.2</v>
      </c>
      <c r="T73" s="2">
        <v>3.2</v>
      </c>
      <c r="U73" s="2">
        <v>13.5</v>
      </c>
      <c r="V73" s="2">
        <v>25.5</v>
      </c>
      <c r="W73" s="2">
        <v>25.5</v>
      </c>
      <c r="X73" s="23">
        <v>3.2</v>
      </c>
      <c r="Y73" s="23">
        <f ca="1">IFERROR(__xludf.DUMMYFUNCTION("INDEX(IMPORTRANGE(""1y0FWgjbB0gVlqn-q5LMJbGIsqOrzru4yowQz67dz2yc"", ""'SNG'!BG3:BG139""),MATCH($D73,IMPORTRANGE(""1y0FWgjbB0gVlqn-q5LMJbGIsqOrzru4yowQz67dz2yc"", ""'SNG'!D3:D139""),0))"),23.9)</f>
        <v>23.9</v>
      </c>
      <c r="Z73" s="23">
        <f ca="1">IFERROR(__xludf.DUMMYFUNCTION("INDEX(IMPORTRANGE(""1y0FWgjbB0gVlqn-q5LMJbGIsqOrzru4yowQz67dz2yc"", ""'SNG'!BH3:BH139""),MATCH($D73,IMPORTRANGE(""1y0FWgjbB0gVlqn-q5LMJbGIsqOrzru4yowQz67dz2yc"", ""'SNG'!D3:D139""),0))"),1.4)</f>
        <v>1.4</v>
      </c>
      <c r="AA73" s="23">
        <f ca="1">IFERROR(__xludf.DUMMYFUNCTION("INDEX(IMPORTRANGE(""1y0FWgjbB0gVlqn-q5LMJbGIsqOrzru4yowQz67dz2yc"", ""'SNG'!BI3:BI139""),MATCH($D73,IMPORTRANGE(""1y0FWgjbB0gVlqn-q5LMJbGIsqOrzru4yowQz67dz2yc"", ""'SNG'!D3:D139""),0))"),0)</f>
        <v>0</v>
      </c>
      <c r="AB73" s="23">
        <f ca="1">IFERROR(__xludf.DUMMYFUNCTION("INDEX(IMPORTRANGE(""1y0FWgjbB0gVlqn-q5LMJbGIsqOrzru4yowQz67dz2yc"", ""'SNG'!BJ3:BJ139""),MATCH($D73,IMPORTRANGE(""1y0FWgjbB0gVlqn-q5LMJbGIsqOrzru4yowQz67dz2yc"", ""'SNG'!D3:D139""),0))"),2)</f>
        <v>2</v>
      </c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1"/>
      <c r="X74" s="12">
        <v>0</v>
      </c>
      <c r="Y74" s="12">
        <f ca="1">IFERROR(__xludf.DUMMYFUNCTION("INDEX(IMPORTRANGE(""1y0FWgjbB0gVlqn-q5LMJbGIsqOrzru4yowQz67dz2yc"", ""'SNG'!BG3:BG139""),MATCH($D74,IMPORTRANGE(""1y0FWgjbB0gVlqn-q5LMJbGIsqOrzru4yowQz67dz2yc"", ""'SNG'!D3:D139""),0))"),0)</f>
        <v>0</v>
      </c>
      <c r="Z74" s="12">
        <f ca="1">IFERROR(__xludf.DUMMYFUNCTION("INDEX(IMPORTRANGE(""1y0FWgjbB0gVlqn-q5LMJbGIsqOrzru4yowQz67dz2yc"", ""'SNG'!BH3:BH139""),MATCH($D74,IMPORTRANGE(""1y0FWgjbB0gVlqn-q5LMJbGIsqOrzru4yowQz67dz2yc"", ""'SNG'!D3:D139""),0))"),0)</f>
        <v>0</v>
      </c>
      <c r="AA74" s="12">
        <f ca="1">IFERROR(__xludf.DUMMYFUNCTION("INDEX(IMPORTRANGE(""1y0FWgjbB0gVlqn-q5LMJbGIsqOrzru4yowQz67dz2yc"", ""'SNG'!BI3:BI139""),MATCH($D74,IMPORTRANGE(""1y0FWgjbB0gVlqn-q5LMJbGIsqOrzru4yowQz67dz2yc"", ""'SNG'!D3:D139""),0))"),0)</f>
        <v>0</v>
      </c>
      <c r="AB74" s="12">
        <f ca="1">IFERROR(__xludf.DUMMYFUNCTION("INDEX(IMPORTRANGE(""1y0FWgjbB0gVlqn-q5LMJbGIsqOrzru4yowQz67dz2yc"", ""'SNG'!BJ3:BJ139""),MATCH($D74,IMPORTRANGE(""1y0FWgjbB0gVlqn-q5LMJbGIsqOrzru4yowQz67dz2yc"", ""'SNG'!D3:D139""),0))"),0)</f>
        <v>0</v>
      </c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"/>
      <c r="S75" s="1"/>
      <c r="T75" s="1"/>
      <c r="U75" s="1"/>
      <c r="V75" s="1"/>
      <c r="W75" s="1"/>
      <c r="X75" s="12">
        <v>12800</v>
      </c>
      <c r="Y75" s="12">
        <f ca="1">IFERROR(__xludf.DUMMYFUNCTION("INDEX(IMPORTRANGE(""1y0FWgjbB0gVlqn-q5LMJbGIsqOrzru4yowQz67dz2yc"", ""'SNG'!BG3:BG139""),MATCH($D75,IMPORTRANGE(""1y0FWgjbB0gVlqn-q5LMJbGIsqOrzru4yowQz67dz2yc"", ""'SNG'!D3:D139""),0))"),12800)</f>
        <v>12800</v>
      </c>
      <c r="Z75" s="12">
        <f ca="1">IFERROR(__xludf.DUMMYFUNCTION("INDEX(IMPORTRANGE(""1y0FWgjbB0gVlqn-q5LMJbGIsqOrzru4yowQz67dz2yc"", ""'SNG'!BH3:BH139""),MATCH($D75,IMPORTRANGE(""1y0FWgjbB0gVlqn-q5LMJbGIsqOrzru4yowQz67dz2yc"", ""'SNG'!D3:D139""),0))"),13000)</f>
        <v>13000</v>
      </c>
      <c r="AA75" s="12">
        <f ca="1">IFERROR(__xludf.DUMMYFUNCTION("INDEX(IMPORTRANGE(""1y0FWgjbB0gVlqn-q5LMJbGIsqOrzru4yowQz67dz2yc"", ""'SNG'!BI3:BI139""),MATCH($D75,IMPORTRANGE(""1y0FWgjbB0gVlqn-q5LMJbGIsqOrzru4yowQz67dz2yc"", ""'SNG'!D3:D139""),0))"),23096)</f>
        <v>23096</v>
      </c>
      <c r="AB75" s="12">
        <f ca="1">IFERROR(__xludf.DUMMYFUNCTION("INDEX(IMPORTRANGE(""1y0FWgjbB0gVlqn-q5LMJbGIsqOrzru4yowQz67dz2yc"", ""'SNG'!BJ3:BJ139""),MATCH($D75,IMPORTRANGE(""1y0FWgjbB0gVlqn-q5LMJbGIsqOrzru4yowQz67dz2yc"", ""'SNG'!D3:D139""),0))"),4887.2)</f>
        <v>4887.2</v>
      </c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"/>
      <c r="S76" s="1"/>
      <c r="T76" s="1"/>
      <c r="U76" s="1"/>
      <c r="V76" s="1"/>
      <c r="W76" s="1"/>
      <c r="X76" s="12">
        <v>0</v>
      </c>
      <c r="Y76" s="12">
        <f ca="1">IFERROR(__xludf.DUMMYFUNCTION("INDEX(IMPORTRANGE(""1y0FWgjbB0gVlqn-q5LMJbGIsqOrzru4yowQz67dz2yc"", ""'SNG'!BG3:BG139""),MATCH($D76,IMPORTRANGE(""1y0FWgjbB0gVlqn-q5LMJbGIsqOrzru4yowQz67dz2yc"", ""'SNG'!D3:D139""),0))"),0)</f>
        <v>0</v>
      </c>
      <c r="Z76" s="12">
        <f ca="1">IFERROR(__xludf.DUMMYFUNCTION("INDEX(IMPORTRANGE(""1y0FWgjbB0gVlqn-q5LMJbGIsqOrzru4yowQz67dz2yc"", ""'SNG'!BH3:BH139""),MATCH($D76,IMPORTRANGE(""1y0FWgjbB0gVlqn-q5LMJbGIsqOrzru4yowQz67dz2yc"", ""'SNG'!D3:D139""),0))"),0)</f>
        <v>0</v>
      </c>
      <c r="AA76" s="12">
        <f ca="1">IFERROR(__xludf.DUMMYFUNCTION("INDEX(IMPORTRANGE(""1y0FWgjbB0gVlqn-q5LMJbGIsqOrzru4yowQz67dz2yc"", ""'SNG'!BI3:BI139""),MATCH($D76,IMPORTRANGE(""1y0FWgjbB0gVlqn-q5LMJbGIsqOrzru4yowQz67dz2yc"", ""'SNG'!D3:D139""),0))"),0)</f>
        <v>0</v>
      </c>
      <c r="AB76" s="12">
        <f ca="1">IFERROR(__xludf.DUMMYFUNCTION("INDEX(IMPORTRANGE(""1y0FWgjbB0gVlqn-q5LMJbGIsqOrzru4yowQz67dz2yc"", ""'SNG'!BJ3:BJ139""),MATCH($D76,IMPORTRANGE(""1y0FWgjbB0gVlqn-q5LMJbGIsqOrzru4yowQz67dz2yc"", ""'SNG'!D3:D139""),0))"),0)</f>
        <v>0</v>
      </c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9479</v>
      </c>
      <c r="S77" s="4">
        <v>4739.5</v>
      </c>
      <c r="T77" s="4">
        <v>9479</v>
      </c>
      <c r="U77" s="4">
        <v>4739.5</v>
      </c>
      <c r="V77" s="4">
        <v>9479</v>
      </c>
      <c r="W77" s="4">
        <v>28437</v>
      </c>
      <c r="X77" s="12">
        <f>SUM(X74:X76)</f>
        <v>12800</v>
      </c>
      <c r="Y77" s="12">
        <f ca="1">IFERROR(__xludf.DUMMYFUNCTION("INDEX(IMPORTRANGE(""1y0FWgjbB0gVlqn-q5LMJbGIsqOrzru4yowQz67dz2yc"", ""'SNG'!BG3:BG139""),MATCH($D77,IMPORTRANGE(""1y0FWgjbB0gVlqn-q5LMJbGIsqOrzru4yowQz67dz2yc"", ""'SNG'!D3:D139""),0))"),12800)</f>
        <v>12800</v>
      </c>
      <c r="Z77" s="12">
        <f ca="1">IFERROR(__xludf.DUMMYFUNCTION("INDEX(IMPORTRANGE(""1y0FWgjbB0gVlqn-q5LMJbGIsqOrzru4yowQz67dz2yc"", ""'SNG'!BH3:BH139""),MATCH($D77,IMPORTRANGE(""1y0FWgjbB0gVlqn-q5LMJbGIsqOrzru4yowQz67dz2yc"", ""'SNG'!D3:D139""),0))"),13000)</f>
        <v>13000</v>
      </c>
      <c r="AA77" s="12">
        <f ca="1">IFERROR(__xludf.DUMMYFUNCTION("INDEX(IMPORTRANGE(""1y0FWgjbB0gVlqn-q5LMJbGIsqOrzru4yowQz67dz2yc"", ""'SNG'!BI3:BI139""),MATCH($D77,IMPORTRANGE(""1y0FWgjbB0gVlqn-q5LMJbGIsqOrzru4yowQz67dz2yc"", ""'SNG'!D3:D139""),0))"),23096)</f>
        <v>23096</v>
      </c>
      <c r="AB77" s="12">
        <f ca="1">IFERROR(__xludf.DUMMYFUNCTION("INDEX(IMPORTRANGE(""1y0FWgjbB0gVlqn-q5LMJbGIsqOrzru4yowQz67dz2yc"", ""'SNG'!BJ3:BJ139""),MATCH($D77,IMPORTRANGE(""1y0FWgjbB0gVlqn-q5LMJbGIsqOrzru4yowQz67dz2yc"", ""'SNG'!D3:D139""),0))"),4887.2)</f>
        <v>4887.2</v>
      </c>
      <c r="AC77" s="1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50">
        <v>39651110.659999996</v>
      </c>
      <c r="Q78" s="50">
        <v>39651110.659999996</v>
      </c>
      <c r="R78" s="13"/>
      <c r="S78" s="13"/>
      <c r="T78" s="13"/>
      <c r="U78" s="13"/>
      <c r="V78" s="13"/>
      <c r="W78" s="13"/>
      <c r="X78" s="50">
        <v>39651110.659999996</v>
      </c>
      <c r="Y78" s="301" t="str">
        <f ca="1">IFERROR(__xludf.DUMMYFUNCTION("INDEX(IMPORTRANGE(""1y0FWgjbB0gVlqn-q5LMJbGIsqOrzru4yowQz67dz2yc"", ""'SNG'!BG3:BG139""),MATCH($D78,IMPORTRANGE(""1y0FWgjbB0gVlqn-q5LMJbGIsqOrzru4yowQz67dz2yc"", ""'SNG'!D3:D139""),0))"),"")</f>
        <v/>
      </c>
      <c r="Z78" s="50">
        <f ca="1">IFERROR(__xludf.DUMMYFUNCTION("INDEX(IMPORTRANGE(""1y0FWgjbB0gVlqn-q5LMJbGIsqOrzru4yowQz67dz2yc"", ""'SNG'!BH3:BH139""),MATCH($D78,IMPORTRANGE(""1y0FWgjbB0gVlqn-q5LMJbGIsqOrzru4yowQz67dz2yc"", ""'SNG'!D3:D139""),0))"),254296770.83)</f>
        <v>254296770.83000001</v>
      </c>
      <c r="AA78" s="301" t="str">
        <f ca="1">IFERROR(__xludf.DUMMYFUNCTION("INDEX(IMPORTRANGE(""1y0FWgjbB0gVlqn-q5LMJbGIsqOrzru4yowQz67dz2yc"", ""'SNG'!BI3:BI139""),MATCH($D78,IMPORTRANGE(""1y0FWgjbB0gVlqn-q5LMJbGIsqOrzru4yowQz67dz2yc"", ""'SNG'!D3:D139""),0))"),"")</f>
        <v/>
      </c>
      <c r="AB78" s="50">
        <f ca="1">IFERROR(__xludf.DUMMYFUNCTION("INDEX(IMPORTRANGE(""1y0FWgjbB0gVlqn-q5LMJbGIsqOrzru4yowQz67dz2yc"", ""'SNG'!BJ3:BJ139""),MATCH($D78,IMPORTRANGE(""1y0FWgjbB0gVlqn-q5LMJbGIsqOrzru4yowQz67dz2yc"", ""'SNG'!D3:D139""),0))"),318302884.88)</f>
        <v>318302884.88</v>
      </c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50">
        <v>29387580.710000001</v>
      </c>
      <c r="Q79" s="50">
        <v>29387580.710000001</v>
      </c>
      <c r="R79" s="13"/>
      <c r="S79" s="13"/>
      <c r="T79" s="13"/>
      <c r="U79" s="13"/>
      <c r="V79" s="13"/>
      <c r="W79" s="13"/>
      <c r="X79" s="50">
        <v>29387580.710000001</v>
      </c>
      <c r="Y79" s="301" t="str">
        <f ca="1">IFERROR(__xludf.DUMMYFUNCTION("INDEX(IMPORTRANGE(""1y0FWgjbB0gVlqn-q5LMJbGIsqOrzru4yowQz67dz2yc"", ""'SNG'!BG3:BG139""),MATCH($D79,IMPORTRANGE(""1y0FWgjbB0gVlqn-q5LMJbGIsqOrzru4yowQz67dz2yc"", ""'SNG'!D3:D139""),0))"),"")</f>
        <v/>
      </c>
      <c r="Z79" s="50">
        <f ca="1">IFERROR(__xludf.DUMMYFUNCTION("INDEX(IMPORTRANGE(""1y0FWgjbB0gVlqn-q5LMJbGIsqOrzru4yowQz67dz2yc"", ""'SNG'!BH3:BH139""),MATCH($D79,IMPORTRANGE(""1y0FWgjbB0gVlqn-q5LMJbGIsqOrzru4yowQz67dz2yc"", ""'SNG'!D3:D139""),0))"),120862174.45)</f>
        <v>120862174.45</v>
      </c>
      <c r="AA79" s="301" t="str">
        <f ca="1">IFERROR(__xludf.DUMMYFUNCTION("INDEX(IMPORTRANGE(""1y0FWgjbB0gVlqn-q5LMJbGIsqOrzru4yowQz67dz2yc"", ""'SNG'!BI3:BI139""),MATCH($D79,IMPORTRANGE(""1y0FWgjbB0gVlqn-q5LMJbGIsqOrzru4yowQz67dz2yc"", ""'SNG'!D3:D139""),0))"),"")</f>
        <v/>
      </c>
      <c r="AB79" s="50">
        <f ca="1">IFERROR(__xludf.DUMMYFUNCTION("INDEX(IMPORTRANGE(""1y0FWgjbB0gVlqn-q5LMJbGIsqOrzru4yowQz67dz2yc"", ""'SNG'!BJ3:BJ139""),MATCH($D79,IMPORTRANGE(""1y0FWgjbB0gVlqn-q5LMJbGIsqOrzru4yowQz67dz2yc"", ""'SNG'!D3:D139""),0))"),148038630.92)</f>
        <v>148038630.91999999</v>
      </c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15">
        <f t="shared" ref="P80:Q80" si="23">P79/P78</f>
        <v>0.74115403631420007</v>
      </c>
      <c r="Q80" s="15">
        <f t="shared" si="23"/>
        <v>0.74115403631420007</v>
      </c>
      <c r="R80" s="2"/>
      <c r="S80" s="14">
        <v>0.45</v>
      </c>
      <c r="T80" s="2"/>
      <c r="U80" s="15">
        <v>0.45500000000000002</v>
      </c>
      <c r="V80" s="15">
        <v>0.46</v>
      </c>
      <c r="W80" s="15">
        <v>0.46</v>
      </c>
      <c r="X80" s="15">
        <f>X79/X78</f>
        <v>0.74115403631420007</v>
      </c>
      <c r="Y80" s="450" t="str">
        <f ca="1">IFERROR(__xludf.DUMMYFUNCTION("INDEX(IMPORTRANGE(""1y0FWgjbB0gVlqn-q5LMJbGIsqOrzru4yowQz67dz2yc"", ""'SNG'!BG3:BG139""),MATCH($D80,IMPORTRANGE(""1y0FWgjbB0gVlqn-q5LMJbGIsqOrzru4yowQz67dz2yc"", ""'SNG'!D3:D139""),0))"),"")</f>
        <v/>
      </c>
      <c r="Z80" s="15">
        <f ca="1">IFERROR(__xludf.DUMMYFUNCTION("INDEX(IMPORTRANGE(""1y0FWgjbB0gVlqn-q5LMJbGIsqOrzru4yowQz67dz2yc"", ""'SNG'!BH3:BH139""),MATCH($D80,IMPORTRANGE(""1y0FWgjbB0gVlqn-q5LMJbGIsqOrzru4yowQz67dz2yc"", ""'SNG'!D3:D139""),0))"),0.475280020487549)</f>
        <v>0.47528002048754903</v>
      </c>
      <c r="AA80" s="450" t="str">
        <f ca="1">IFERROR(__xludf.DUMMYFUNCTION("INDEX(IMPORTRANGE(""1y0FWgjbB0gVlqn-q5LMJbGIsqOrzru4yowQz67dz2yc"", ""'SNG'!BI3:BI139""),MATCH($D80,IMPORTRANGE(""1y0FWgjbB0gVlqn-q5LMJbGIsqOrzru4yowQz67dz2yc"", ""'SNG'!D3:D139""),0))"),"")</f>
        <v/>
      </c>
      <c r="AB80" s="15">
        <f ca="1">IFERROR(__xludf.DUMMYFUNCTION("INDEX(IMPORTRANGE(""1y0FWgjbB0gVlqn-q5LMJbGIsqOrzru4yowQz67dz2yc"", ""'SNG'!BJ3:BJ139""),MATCH($D80,IMPORTRANGE(""1y0FWgjbB0gVlqn-q5LMJbGIsqOrzru4yowQz67dz2yc"", ""'SNG'!D3:D139""),0))"),0.465087305054776)</f>
        <v>0.46508730505477602</v>
      </c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4</v>
      </c>
      <c r="Q81" s="12">
        <v>4</v>
      </c>
      <c r="R81" s="1"/>
      <c r="S81" s="1"/>
      <c r="T81" s="1"/>
      <c r="U81" s="1"/>
      <c r="V81" s="1"/>
      <c r="W81" s="1"/>
      <c r="X81" s="12">
        <v>0</v>
      </c>
      <c r="Y81" s="12">
        <f ca="1">IFERROR(__xludf.DUMMYFUNCTION("INDEX(IMPORTRANGE(""1y0FWgjbB0gVlqn-q5LMJbGIsqOrzru4yowQz67dz2yc"", ""'SNG'!BG3:BG139""),MATCH($D81,IMPORTRANGE(""1y0FWgjbB0gVlqn-q5LMJbGIsqOrzru4yowQz67dz2yc"", ""'SNG'!D3:D139""),0))"),0)</f>
        <v>0</v>
      </c>
      <c r="Z81" s="12">
        <f ca="1">IFERROR(__xludf.DUMMYFUNCTION("INDEX(IMPORTRANGE(""1y0FWgjbB0gVlqn-q5LMJbGIsqOrzru4yowQz67dz2yc"", ""'SNG'!BH3:BH139""),MATCH($D81,IMPORTRANGE(""1y0FWgjbB0gVlqn-q5LMJbGIsqOrzru4yowQz67dz2yc"", ""'SNG'!D3:D139""),0))"),2)</f>
        <v>2</v>
      </c>
      <c r="AA81" s="12">
        <f ca="1">IFERROR(__xludf.DUMMYFUNCTION("INDEX(IMPORTRANGE(""1y0FWgjbB0gVlqn-q5LMJbGIsqOrzru4yowQz67dz2yc"", ""'SNG'!BI3:BI139""),MATCH($D81,IMPORTRANGE(""1y0FWgjbB0gVlqn-q5LMJbGIsqOrzru4yowQz67dz2yc"", ""'SNG'!D3:D139""),0))"),4)</f>
        <v>4</v>
      </c>
      <c r="AB81" s="12">
        <f ca="1">IFERROR(__xludf.DUMMYFUNCTION("INDEX(IMPORTRANGE(""1y0FWgjbB0gVlqn-q5LMJbGIsqOrzru4yowQz67dz2yc"", ""'SNG'!BJ3:BJ139""),MATCH($D81,IMPORTRANGE(""1y0FWgjbB0gVlqn-q5LMJbGIsqOrzru4yowQz67dz2yc"", ""'SNG'!D3:D139""),0))"),6)</f>
        <v>6</v>
      </c>
      <c r="AC81" s="1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1</v>
      </c>
      <c r="Q82" s="12">
        <v>6</v>
      </c>
      <c r="R82" s="1"/>
      <c r="S82" s="1"/>
      <c r="T82" s="1"/>
      <c r="U82" s="1"/>
      <c r="V82" s="1"/>
      <c r="W82" s="1"/>
      <c r="X82" s="12">
        <v>0</v>
      </c>
      <c r="Y82" s="12">
        <f ca="1">IFERROR(__xludf.DUMMYFUNCTION("INDEX(IMPORTRANGE(""1y0FWgjbB0gVlqn-q5LMJbGIsqOrzru4yowQz67dz2yc"", ""'SNG'!BG3:BG139""),MATCH($D82,IMPORTRANGE(""1y0FWgjbB0gVlqn-q5LMJbGIsqOrzru4yowQz67dz2yc"", ""'SNG'!D3:D139""),0))"),10)</f>
        <v>10</v>
      </c>
      <c r="Z82" s="12">
        <f ca="1">IFERROR(__xludf.DUMMYFUNCTION("INDEX(IMPORTRANGE(""1y0FWgjbB0gVlqn-q5LMJbGIsqOrzru4yowQz67dz2yc"", ""'SNG'!BH3:BH139""),MATCH($D82,IMPORTRANGE(""1y0FWgjbB0gVlqn-q5LMJbGIsqOrzru4yowQz67dz2yc"", ""'SNG'!D3:D139""),0))"),2)</f>
        <v>2</v>
      </c>
      <c r="AA82" s="12">
        <f ca="1">IFERROR(__xludf.DUMMYFUNCTION("INDEX(IMPORTRANGE(""1y0FWgjbB0gVlqn-q5LMJbGIsqOrzru4yowQz67dz2yc"", ""'SNG'!BI3:BI139""),MATCH($D82,IMPORTRANGE(""1y0FWgjbB0gVlqn-q5LMJbGIsqOrzru4yowQz67dz2yc"", ""'SNG'!D3:D139""),0))"),10)</f>
        <v>10</v>
      </c>
      <c r="AB82" s="12">
        <f ca="1">IFERROR(__xludf.DUMMYFUNCTION("INDEX(IMPORTRANGE(""1y0FWgjbB0gVlqn-q5LMJbGIsqOrzru4yowQz67dz2yc"", ""'SNG'!BJ3:BJ139""),MATCH($D82,IMPORTRANGE(""1y0FWgjbB0gVlqn-q5LMJbGIsqOrzru4yowQz67dz2yc"", ""'SNG'!D3:D139""),0))"),3)</f>
        <v>3</v>
      </c>
      <c r="AC82" s="1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4">P81+P82</f>
        <v>5</v>
      </c>
      <c r="Q83" s="12">
        <f t="shared" si="24"/>
        <v>10</v>
      </c>
      <c r="R83" s="4">
        <v>7</v>
      </c>
      <c r="S83" s="4">
        <v>3.5</v>
      </c>
      <c r="T83" s="4">
        <v>7</v>
      </c>
      <c r="U83" s="4">
        <v>3</v>
      </c>
      <c r="V83" s="4">
        <v>6</v>
      </c>
      <c r="W83" s="4">
        <v>20</v>
      </c>
      <c r="X83" s="12">
        <f>X81+X82</f>
        <v>0</v>
      </c>
      <c r="Y83" s="12">
        <f ca="1">IFERROR(__xludf.DUMMYFUNCTION("INDEX(IMPORTRANGE(""1y0FWgjbB0gVlqn-q5LMJbGIsqOrzru4yowQz67dz2yc"", ""'SNG'!BG3:BG139""),MATCH($D83,IMPORTRANGE(""1y0FWgjbB0gVlqn-q5LMJbGIsqOrzru4yowQz67dz2yc"", ""'SNG'!D3:D139""),0))"),10)</f>
        <v>10</v>
      </c>
      <c r="Z83" s="12">
        <f ca="1">IFERROR(__xludf.DUMMYFUNCTION("INDEX(IMPORTRANGE(""1y0FWgjbB0gVlqn-q5LMJbGIsqOrzru4yowQz67dz2yc"", ""'SNG'!BH3:BH139""),MATCH($D83,IMPORTRANGE(""1y0FWgjbB0gVlqn-q5LMJbGIsqOrzru4yowQz67dz2yc"", ""'SNG'!D3:D139""),0))"),4)</f>
        <v>4</v>
      </c>
      <c r="AA83" s="12">
        <f ca="1">IFERROR(__xludf.DUMMYFUNCTION("INDEX(IMPORTRANGE(""1y0FWgjbB0gVlqn-q5LMJbGIsqOrzru4yowQz67dz2yc"", ""'SNG'!BI3:BI139""),MATCH($D83,IMPORTRANGE(""1y0FWgjbB0gVlqn-q5LMJbGIsqOrzru4yowQz67dz2yc"", ""'SNG'!D3:D139""),0))"),14)</f>
        <v>14</v>
      </c>
      <c r="AB83" s="12">
        <f ca="1">IFERROR(__xludf.DUMMYFUNCTION("INDEX(IMPORTRANGE(""1y0FWgjbB0gVlqn-q5LMJbGIsqOrzru4yowQz67dz2yc"", ""'SNG'!BJ3:BJ139""),MATCH($D83,IMPORTRANGE(""1y0FWgjbB0gVlqn-q5LMJbGIsqOrzru4yowQz67dz2yc"", ""'SNG'!D3:D139""),0))"),9)</f>
        <v>9</v>
      </c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70</v>
      </c>
      <c r="Q84" s="12">
        <v>123</v>
      </c>
      <c r="R84" s="13"/>
      <c r="S84" s="13"/>
      <c r="T84" s="13"/>
      <c r="U84" s="13"/>
      <c r="V84" s="13"/>
      <c r="W84" s="13"/>
      <c r="X84" s="12">
        <v>37</v>
      </c>
      <c r="Y84" s="12">
        <f ca="1">IFERROR(__xludf.DUMMYFUNCTION("INDEX(IMPORTRANGE(""1y0FWgjbB0gVlqn-q5LMJbGIsqOrzru4yowQz67dz2yc"", ""'SNG'!BG3:BG139""),MATCH($D84,IMPORTRANGE(""1y0FWgjbB0gVlqn-q5LMJbGIsqOrzru4yowQz67dz2yc"", ""'SNG'!D3:D139""),0))"),62)</f>
        <v>62</v>
      </c>
      <c r="Z84" s="12">
        <f ca="1">IFERROR(__xludf.DUMMYFUNCTION("INDEX(IMPORTRANGE(""1y0FWgjbB0gVlqn-q5LMJbGIsqOrzru4yowQz67dz2yc"", ""'SNG'!BH3:BH139""),MATCH($D84,IMPORTRANGE(""1y0FWgjbB0gVlqn-q5LMJbGIsqOrzru4yowQz67dz2yc"", ""'SNG'!D3:D139""),0))"),89)</f>
        <v>89</v>
      </c>
      <c r="AA84" s="12">
        <f ca="1">IFERROR(__xludf.DUMMYFUNCTION("INDEX(IMPORTRANGE(""1y0FWgjbB0gVlqn-q5LMJbGIsqOrzru4yowQz67dz2yc"", ""'SNG'!BI3:BI139""),MATCH($D84,IMPORTRANGE(""1y0FWgjbB0gVlqn-q5LMJbGIsqOrzru4yowQz67dz2yc"", ""'SNG'!D3:D139""),0))"),181)</f>
        <v>181</v>
      </c>
      <c r="AB84" s="12">
        <f ca="1">IFERROR(__xludf.DUMMYFUNCTION("INDEX(IMPORTRANGE(""1y0FWgjbB0gVlqn-q5LMJbGIsqOrzru4yowQz67dz2yc"", ""'SNG'!BJ3:BJ139""),MATCH($D84,IMPORTRANGE(""1y0FWgjbB0gVlqn-q5LMJbGIsqOrzru4yowQz67dz2yc"", ""'SNG'!D3:D139""),0))"),94)</f>
        <v>94</v>
      </c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16</v>
      </c>
      <c r="Q85" s="12">
        <v>30</v>
      </c>
      <c r="R85" s="13"/>
      <c r="S85" s="13"/>
      <c r="T85" s="13"/>
      <c r="U85" s="13"/>
      <c r="V85" s="13"/>
      <c r="W85" s="13"/>
      <c r="X85" s="12">
        <v>4</v>
      </c>
      <c r="Y85" s="12">
        <f ca="1">IFERROR(__xludf.DUMMYFUNCTION("INDEX(IMPORTRANGE(""1y0FWgjbB0gVlqn-q5LMJbGIsqOrzru4yowQz67dz2yc"", ""'SNG'!BG3:BG139""),MATCH($D85,IMPORTRANGE(""1y0FWgjbB0gVlqn-q5LMJbGIsqOrzru4yowQz67dz2yc"", ""'SNG'!D3:D139""),0))"),20)</f>
        <v>20</v>
      </c>
      <c r="Z85" s="12">
        <f ca="1">IFERROR(__xludf.DUMMYFUNCTION("INDEX(IMPORTRANGE(""1y0FWgjbB0gVlqn-q5LMJbGIsqOrzru4yowQz67dz2yc"", ""'SNG'!BH3:BH139""),MATCH($D85,IMPORTRANGE(""1y0FWgjbB0gVlqn-q5LMJbGIsqOrzru4yowQz67dz2yc"", ""'SNG'!D3:D139""),0))"),24)</f>
        <v>24</v>
      </c>
      <c r="AA85" s="12">
        <f ca="1">IFERROR(__xludf.DUMMYFUNCTION("INDEX(IMPORTRANGE(""1y0FWgjbB0gVlqn-q5LMJbGIsqOrzru4yowQz67dz2yc"", ""'SNG'!BI3:BI139""),MATCH($D85,IMPORTRANGE(""1y0FWgjbB0gVlqn-q5LMJbGIsqOrzru4yowQz67dz2yc"", ""'SNG'!D3:D139""),0))"),47)</f>
        <v>47</v>
      </c>
      <c r="AB85" s="12">
        <f ca="1">IFERROR(__xludf.DUMMYFUNCTION("INDEX(IMPORTRANGE(""1y0FWgjbB0gVlqn-q5LMJbGIsqOrzru4yowQz67dz2yc"", ""'SNG'!BJ3:BJ139""),MATCH($D85,IMPORTRANGE(""1y0FWgjbB0gVlqn-q5LMJbGIsqOrzru4yowQz67dz2yc"", ""'SNG'!D3:D139""),0))"),15)</f>
        <v>15</v>
      </c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4771</v>
      </c>
      <c r="Q86" s="12">
        <v>8906</v>
      </c>
      <c r="R86" s="13"/>
      <c r="S86" s="13"/>
      <c r="T86" s="13"/>
      <c r="U86" s="13"/>
      <c r="V86" s="13"/>
      <c r="W86" s="13"/>
      <c r="X86" s="12">
        <v>4295</v>
      </c>
      <c r="Y86" s="12">
        <f ca="1">IFERROR(__xludf.DUMMYFUNCTION("INDEX(IMPORTRANGE(""1y0FWgjbB0gVlqn-q5LMJbGIsqOrzru4yowQz67dz2yc"", ""'SNG'!BG3:BG139""),MATCH($D86,IMPORTRANGE(""1y0FWgjbB0gVlqn-q5LMJbGIsqOrzru4yowQz67dz2yc"", ""'SNG'!D3:D139""),0))"),9950)</f>
        <v>9950</v>
      </c>
      <c r="Z86" s="12">
        <f ca="1">IFERROR(__xludf.DUMMYFUNCTION("INDEX(IMPORTRANGE(""1y0FWgjbB0gVlqn-q5LMJbGIsqOrzru4yowQz67dz2yc"", ""'SNG'!BH3:BH139""),MATCH($D86,IMPORTRANGE(""1y0FWgjbB0gVlqn-q5LMJbGIsqOrzru4yowQz67dz2yc"", ""'SNG'!D3:D139""),0))"),5045)</f>
        <v>5045</v>
      </c>
      <c r="AA86" s="12">
        <f ca="1">IFERROR(__xludf.DUMMYFUNCTION("INDEX(IMPORTRANGE(""1y0FWgjbB0gVlqn-q5LMJbGIsqOrzru4yowQz67dz2yc"", ""'SNG'!BI3:BI139""),MATCH($D86,IMPORTRANGE(""1y0FWgjbB0gVlqn-q5LMJbGIsqOrzru4yowQz67dz2yc"", ""'SNG'!D3:D139""),0))"),10691)</f>
        <v>10691</v>
      </c>
      <c r="AB86" s="12">
        <f ca="1">IFERROR(__xludf.DUMMYFUNCTION("INDEX(IMPORTRANGE(""1y0FWgjbB0gVlqn-q5LMJbGIsqOrzru4yowQz67dz2yc"", ""'SNG'!BJ3:BJ139""),MATCH($D86,IMPORTRANGE(""1y0FWgjbB0gVlqn-q5LMJbGIsqOrzru4yowQz67dz2yc"", ""'SNG'!D3:D139""),0))"),4711)</f>
        <v>4711</v>
      </c>
      <c r="AC86" s="1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179</v>
      </c>
      <c r="Q87" s="12">
        <v>368</v>
      </c>
      <c r="R87" s="13"/>
      <c r="S87" s="13"/>
      <c r="T87" s="13"/>
      <c r="U87" s="13"/>
      <c r="V87" s="13"/>
      <c r="W87" s="13"/>
      <c r="X87" s="12">
        <v>237</v>
      </c>
      <c r="Y87" s="12">
        <f ca="1">IFERROR(__xludf.DUMMYFUNCTION("INDEX(IMPORTRANGE(""1y0FWgjbB0gVlqn-q5LMJbGIsqOrzru4yowQz67dz2yc"", ""'SNG'!BG3:BG139""),MATCH($D87,IMPORTRANGE(""1y0FWgjbB0gVlqn-q5LMJbGIsqOrzru4yowQz67dz2yc"", ""'SNG'!D3:D139""),0))"),555)</f>
        <v>555</v>
      </c>
      <c r="Z87" s="12">
        <f ca="1">IFERROR(__xludf.DUMMYFUNCTION("INDEX(IMPORTRANGE(""1y0FWgjbB0gVlqn-q5LMJbGIsqOrzru4yowQz67dz2yc"", ""'SNG'!BH3:BH139""),MATCH($D87,IMPORTRANGE(""1y0FWgjbB0gVlqn-q5LMJbGIsqOrzru4yowQz67dz2yc"", ""'SNG'!D3:D139""),0))"),238)</f>
        <v>238</v>
      </c>
      <c r="AA87" s="12">
        <f ca="1">IFERROR(__xludf.DUMMYFUNCTION("INDEX(IMPORTRANGE(""1y0FWgjbB0gVlqn-q5LMJbGIsqOrzru4yowQz67dz2yc"", ""'SNG'!BI3:BI139""),MATCH($D87,IMPORTRANGE(""1y0FWgjbB0gVlqn-q5LMJbGIsqOrzru4yowQz67dz2yc"", ""'SNG'!D3:D139""),0))"),481)</f>
        <v>481</v>
      </c>
      <c r="AB87" s="12">
        <f ca="1">IFERROR(__xludf.DUMMYFUNCTION("INDEX(IMPORTRANGE(""1y0FWgjbB0gVlqn-q5LMJbGIsqOrzru4yowQz67dz2yc"", ""'SNG'!BJ3:BJ139""),MATCH($D87,IMPORTRANGE(""1y0FWgjbB0gVlqn-q5LMJbGIsqOrzru4yowQz67dz2yc"", ""'SNG'!D3:D139""),0))"),194)</f>
        <v>194</v>
      </c>
      <c r="AC87" s="1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717</v>
      </c>
      <c r="Q88" s="12">
        <v>1408</v>
      </c>
      <c r="R88" s="13"/>
      <c r="S88" s="13"/>
      <c r="T88" s="13"/>
      <c r="U88" s="13"/>
      <c r="V88" s="13"/>
      <c r="W88" s="13"/>
      <c r="X88" s="12">
        <v>593</v>
      </c>
      <c r="Y88" s="12">
        <f ca="1">IFERROR(__xludf.DUMMYFUNCTION("INDEX(IMPORTRANGE(""1y0FWgjbB0gVlqn-q5LMJbGIsqOrzru4yowQz67dz2yc"", ""'SNG'!BG3:BG139""),MATCH($D88,IMPORTRANGE(""1y0FWgjbB0gVlqn-q5LMJbGIsqOrzru4yowQz67dz2yc"", ""'SNG'!D3:D139""),0))"),599)</f>
        <v>599</v>
      </c>
      <c r="Z88" s="12">
        <f ca="1">IFERROR(__xludf.DUMMYFUNCTION("INDEX(IMPORTRANGE(""1y0FWgjbB0gVlqn-q5LMJbGIsqOrzru4yowQz67dz2yc"", ""'SNG'!BH3:BH139""),MATCH($D88,IMPORTRANGE(""1y0FWgjbB0gVlqn-q5LMJbGIsqOrzru4yowQz67dz2yc"", ""'SNG'!D3:D139""),0))"),29)</f>
        <v>29</v>
      </c>
      <c r="AA88" s="12">
        <f ca="1">IFERROR(__xludf.DUMMYFUNCTION("INDEX(IMPORTRANGE(""1y0FWgjbB0gVlqn-q5LMJbGIsqOrzru4yowQz67dz2yc"", ""'SNG'!BI3:BI139""),MATCH($D88,IMPORTRANGE(""1y0FWgjbB0gVlqn-q5LMJbGIsqOrzru4yowQz67dz2yc"", ""'SNG'!D3:D139""),0))"),87)</f>
        <v>87</v>
      </c>
      <c r="AB88" s="12">
        <f ca="1">IFERROR(__xludf.DUMMYFUNCTION("INDEX(IMPORTRANGE(""1y0FWgjbB0gVlqn-q5LMJbGIsqOrzru4yowQz67dz2yc"", ""'SNG'!BJ3:BJ139""),MATCH($D88,IMPORTRANGE(""1y0FWgjbB0gVlqn-q5LMJbGIsqOrzru4yowQz67dz2yc"", ""'SNG'!D3:D139""),0))"),32)</f>
        <v>32</v>
      </c>
      <c r="AC88" s="1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5">SUM(P84:P88)</f>
        <v>5753</v>
      </c>
      <c r="Q89" s="12">
        <f t="shared" si="25"/>
        <v>10835</v>
      </c>
      <c r="R89" s="2">
        <v>10654</v>
      </c>
      <c r="S89" s="2">
        <v>5561</v>
      </c>
      <c r="T89" s="2">
        <v>10474</v>
      </c>
      <c r="U89" s="2">
        <v>5465</v>
      </c>
      <c r="V89" s="2">
        <v>10293</v>
      </c>
      <c r="W89" s="2">
        <v>10293</v>
      </c>
      <c r="X89" s="12">
        <f>SUM(X84:X88)</f>
        <v>5166</v>
      </c>
      <c r="Y89" s="12">
        <f ca="1">IFERROR(__xludf.DUMMYFUNCTION("INDEX(IMPORTRANGE(""1y0FWgjbB0gVlqn-q5LMJbGIsqOrzru4yowQz67dz2yc"", ""'SNG'!BG3:BG139""),MATCH($D89,IMPORTRANGE(""1y0FWgjbB0gVlqn-q5LMJbGIsqOrzru4yowQz67dz2yc"", ""'SNG'!D3:D139""),0))"),11186)</f>
        <v>11186</v>
      </c>
      <c r="Z89" s="12">
        <f ca="1">IFERROR(__xludf.DUMMYFUNCTION("INDEX(IMPORTRANGE(""1y0FWgjbB0gVlqn-q5LMJbGIsqOrzru4yowQz67dz2yc"", ""'SNG'!BH3:BH139""),MATCH($D89,IMPORTRANGE(""1y0FWgjbB0gVlqn-q5LMJbGIsqOrzru4yowQz67dz2yc"", ""'SNG'!D3:D139""),0))"),5425)</f>
        <v>5425</v>
      </c>
      <c r="AA89" s="12">
        <f ca="1">IFERROR(__xludf.DUMMYFUNCTION("INDEX(IMPORTRANGE(""1y0FWgjbB0gVlqn-q5LMJbGIsqOrzru4yowQz67dz2yc"", ""'SNG'!BI3:BI139""),MATCH($D89,IMPORTRANGE(""1y0FWgjbB0gVlqn-q5LMJbGIsqOrzru4yowQz67dz2yc"", ""'SNG'!D3:D139""),0))"),11487)</f>
        <v>11487</v>
      </c>
      <c r="AB89" s="12">
        <f ca="1">IFERROR(__xludf.DUMMYFUNCTION("INDEX(IMPORTRANGE(""1y0FWgjbB0gVlqn-q5LMJbGIsqOrzru4yowQz67dz2yc"", ""'SNG'!BJ3:BJ139""),MATCH($D89,IMPORTRANGE(""1y0FWgjbB0gVlqn-q5LMJbGIsqOrzru4yowQz67dz2yc"", ""'SNG'!D3:D139""),0))"),5046)</f>
        <v>5046</v>
      </c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0</v>
      </c>
      <c r="Q90" s="2">
        <v>0</v>
      </c>
      <c r="R90" s="2">
        <v>115</v>
      </c>
      <c r="S90" s="2">
        <v>58</v>
      </c>
      <c r="T90" s="2">
        <v>115</v>
      </c>
      <c r="U90" s="2">
        <v>58</v>
      </c>
      <c r="V90" s="2">
        <v>115</v>
      </c>
      <c r="W90" s="2">
        <v>346</v>
      </c>
      <c r="X90" s="2">
        <v>22</v>
      </c>
      <c r="Y90" s="2">
        <f ca="1">IFERROR(__xludf.DUMMYFUNCTION("INDEX(IMPORTRANGE(""1y0FWgjbB0gVlqn-q5LMJbGIsqOrzru4yowQz67dz2yc"", ""'SNG'!BG3:BG139""),MATCH($D90,IMPORTRANGE(""1y0FWgjbB0gVlqn-q5LMJbGIsqOrzru4yowQz67dz2yc"", ""'SNG'!D3:D139""),0))"),66)</f>
        <v>66</v>
      </c>
      <c r="Z90" s="2">
        <f ca="1">IFERROR(__xludf.DUMMYFUNCTION("INDEX(IMPORTRANGE(""1y0FWgjbB0gVlqn-q5LMJbGIsqOrzru4yowQz67dz2yc"", ""'SNG'!BH3:BH139""),MATCH($D90,IMPORTRANGE(""1y0FWgjbB0gVlqn-q5LMJbGIsqOrzru4yowQz67dz2yc"", ""'SNG'!D3:D139""),0))"),88)</f>
        <v>88</v>
      </c>
      <c r="AA90" s="2">
        <f ca="1">IFERROR(__xludf.DUMMYFUNCTION("INDEX(IMPORTRANGE(""1y0FWgjbB0gVlqn-q5LMJbGIsqOrzru4yowQz67dz2yc"", ""'SNG'!BI3:BI139""),MATCH($D90,IMPORTRANGE(""1y0FWgjbB0gVlqn-q5LMJbGIsqOrzru4yowQz67dz2yc"", ""'SNG'!D3:D139""),0))"),337)</f>
        <v>337</v>
      </c>
      <c r="AB90" s="2">
        <f ca="1">IFERROR(__xludf.DUMMYFUNCTION("INDEX(IMPORTRANGE(""1y0FWgjbB0gVlqn-q5LMJbGIsqOrzru4yowQz67dz2yc"", ""'SNG'!BJ3:BJ139""),MATCH($D90,IMPORTRANGE(""1y0FWgjbB0gVlqn-q5LMJbGIsqOrzru4yowQz67dz2yc"", ""'SNG'!D3:D139""),0))"),235)</f>
        <v>235</v>
      </c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2</v>
      </c>
      <c r="Q91" s="12">
        <v>2</v>
      </c>
      <c r="R91" s="2">
        <v>10</v>
      </c>
      <c r="S91" s="2">
        <v>30</v>
      </c>
      <c r="T91" s="2">
        <v>50</v>
      </c>
      <c r="U91" s="2">
        <v>70</v>
      </c>
      <c r="V91" s="2">
        <v>80</v>
      </c>
      <c r="W91" s="2">
        <v>80</v>
      </c>
      <c r="X91" s="2">
        <v>2</v>
      </c>
      <c r="Y91" s="2">
        <f ca="1">IFERROR(__xludf.DUMMYFUNCTION("INDEX(IMPORTRANGE(""1y0FWgjbB0gVlqn-q5LMJbGIsqOrzru4yowQz67dz2yc"", ""'SNG'!BG3:BG139""),MATCH($D91,IMPORTRANGE(""1y0FWgjbB0gVlqn-q5LMJbGIsqOrzru4yowQz67dz2yc"", ""'SNG'!D3:D139""),0))"),10)</f>
        <v>10</v>
      </c>
      <c r="Z91" s="2">
        <f ca="1">IFERROR(__xludf.DUMMYFUNCTION("INDEX(IMPORTRANGE(""1y0FWgjbB0gVlqn-q5LMJbGIsqOrzru4yowQz67dz2yc"", ""'SNG'!BH3:BH139""),MATCH($D91,IMPORTRANGE(""1y0FWgjbB0gVlqn-q5LMJbGIsqOrzru4yowQz67dz2yc"", ""'SNG'!D3:D139""),0))"),30)</f>
        <v>30</v>
      </c>
      <c r="AA91" s="2">
        <f ca="1">IFERROR(__xludf.DUMMYFUNCTION("INDEX(IMPORTRANGE(""1y0FWgjbB0gVlqn-q5LMJbGIsqOrzru4yowQz67dz2yc"", ""'SNG'!BI3:BI139""),MATCH($D91,IMPORTRANGE(""1y0FWgjbB0gVlqn-q5LMJbGIsqOrzru4yowQz67dz2yc"", ""'SNG'!D3:D139""),0))"),36)</f>
        <v>36</v>
      </c>
      <c r="AB91" s="2">
        <f ca="1">IFERROR(__xludf.DUMMYFUNCTION("INDEX(IMPORTRANGE(""1y0FWgjbB0gVlqn-q5LMJbGIsqOrzru4yowQz67dz2yc"", ""'SNG'!BJ3:BJ139""),MATCH($D91,IMPORTRANGE(""1y0FWgjbB0gVlqn-q5LMJbGIsqOrzru4yowQz67dz2yc"", ""'SNG'!D3:D139""),0))"),71)</f>
        <v>71</v>
      </c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23">
        <v>95.55</v>
      </c>
      <c r="Q92" s="23">
        <v>95.55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3">
        <v>95.27</v>
      </c>
      <c r="Y92" s="23">
        <f ca="1">IFERROR(__xludf.DUMMYFUNCTION("INDEX(IMPORTRANGE(""1y0FWgjbB0gVlqn-q5LMJbGIsqOrzru4yowQz67dz2yc"", ""'SNG'!BG3:BG139""),MATCH($D92,IMPORTRANGE(""1y0FWgjbB0gVlqn-q5LMJbGIsqOrzru4yowQz67dz2yc"", ""'SNG'!D3:D139""),0))"),90.61)</f>
        <v>90.61</v>
      </c>
      <c r="Z92" s="23">
        <f ca="1">IFERROR(__xludf.DUMMYFUNCTION("INDEX(IMPORTRANGE(""1y0FWgjbB0gVlqn-q5LMJbGIsqOrzru4yowQz67dz2yc"", ""'SNG'!BH3:BH139""),MATCH($D92,IMPORTRANGE(""1y0FWgjbB0gVlqn-q5LMJbGIsqOrzru4yowQz67dz2yc"", ""'SNG'!D3:D139""),0))"),95.79)</f>
        <v>95.79</v>
      </c>
      <c r="AA92" s="23">
        <f ca="1">IFERROR(__xludf.DUMMYFUNCTION("INDEX(IMPORTRANGE(""1y0FWgjbB0gVlqn-q5LMJbGIsqOrzru4yowQz67dz2yc"", ""'SNG'!BI3:BI139""),MATCH($D92,IMPORTRANGE(""1y0FWgjbB0gVlqn-q5LMJbGIsqOrzru4yowQz67dz2yc"", ""'SNG'!D3:D139""),0))"),97.7)</f>
        <v>97.7</v>
      </c>
      <c r="AB92" s="23">
        <f ca="1">IFERROR(__xludf.DUMMYFUNCTION("INDEX(IMPORTRANGE(""1y0FWgjbB0gVlqn-q5LMJbGIsqOrzru4yowQz67dz2yc"", ""'SNG'!BJ3:BJ139""),MATCH($D92,IMPORTRANGE(""1y0FWgjbB0gVlqn-q5LMJbGIsqOrzru4yowQz67dz2yc"", ""'SNG'!D3:D139""),0))"),100)</f>
        <v>100</v>
      </c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3">
        <f ca="1">IFERROR(__xludf.DUMMYFUNCTION("INDEX(IMPORTRANGE(""1y0FWgjbB0gVlqn-q5LMJbGIsqOrzru4yowQz67dz2yc"", ""'SNG'!BG3:BG139""),MATCH($D93,IMPORTRANGE(""1y0FWgjbB0gVlqn-q5LMJbGIsqOrzru4yowQz67dz2yc"", ""'SNG'!D3:D139""),0))"),1.57142857142857)</f>
        <v>1.5714285714285701</v>
      </c>
      <c r="Z93" s="23">
        <f ca="1">IFERROR(__xludf.DUMMYFUNCTION("INDEX(IMPORTRANGE(""1y0FWgjbB0gVlqn-q5LMJbGIsqOrzru4yowQz67dz2yc"", ""'SNG'!BH3:BH139""),MATCH($D93,IMPORTRANGE(""1y0FWgjbB0gVlqn-q5LMJbGIsqOrzru4yowQz67dz2yc"", ""'SNG'!D3:D139""),0))"),3.83974358974358)</f>
        <v>3.8397435897435801</v>
      </c>
      <c r="AA93" s="23">
        <f ca="1">IFERROR(__xludf.DUMMYFUNCTION("INDEX(IMPORTRANGE(""1y0FWgjbB0gVlqn-q5LMJbGIsqOrzru4yowQz67dz2yc"", ""'SNG'!BI3:BI139""),MATCH($D93,IMPORTRANGE(""1y0FWgjbB0gVlqn-q5LMJbGIsqOrzru4yowQz67dz2yc"", ""'SNG'!D3:D139""),0))"),3.63759769642122)</f>
        <v>3.6375976964212202</v>
      </c>
      <c r="AB93" s="23">
        <f ca="1">IFERROR(__xludf.DUMMYFUNCTION("INDEX(IMPORTRANGE(""1y0FWgjbB0gVlqn-q5LMJbGIsqOrzru4yowQz67dz2yc"", ""'SNG'!BJ3:BJ139""),MATCH($D93,IMPORTRANGE(""1y0FWgjbB0gVlqn-q5LMJbGIsqOrzru4yowQz67dz2yc"", ""'SNG'!D3:D139""),0))"),3.67832167832167)</f>
        <v>3.6783216783216699</v>
      </c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11">
        <v>44651</v>
      </c>
      <c r="J94" s="13"/>
      <c r="K94" s="11">
        <v>45016</v>
      </c>
      <c r="L94" s="13"/>
      <c r="M94" s="11">
        <v>45382</v>
      </c>
      <c r="N94" s="13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12">
        <v>1</v>
      </c>
      <c r="Y94" s="12">
        <f ca="1">IFERROR(__xludf.DUMMYFUNCTION("INDEX(IMPORTRANGE(""1y0FWgjbB0gVlqn-q5LMJbGIsqOrzru4yowQz67dz2yc"", ""'SNG'!BG3:BG139""),MATCH($D94,IMPORTRANGE(""1y0FWgjbB0gVlqn-q5LMJbGIsqOrzru4yowQz67dz2yc"", ""'SNG'!D3:D139""),0))"),1)</f>
        <v>1</v>
      </c>
      <c r="Z94" s="12">
        <f ca="1">IFERROR(__xludf.DUMMYFUNCTION("INDEX(IMPORTRANGE(""1y0FWgjbB0gVlqn-q5LMJbGIsqOrzru4yowQz67dz2yc"", ""'SNG'!BH3:BH139""),MATCH($D94,IMPORTRANGE(""1y0FWgjbB0gVlqn-q5LMJbGIsqOrzru4yowQz67dz2yc"", ""'SNG'!D3:D139""),0))"),3)</f>
        <v>3</v>
      </c>
      <c r="AA94" s="12" t="str">
        <f ca="1">IFERROR(__xludf.DUMMYFUNCTION("INDEX(IMPORTRANGE(""1y0FWgjbB0gVlqn-q5LMJbGIsqOrzru4yowQz67dz2yc"", ""'SNG'!BI3:BI139""),MATCH($D94,IMPORTRANGE(""1y0FWgjbB0gVlqn-q5LMJbGIsqOrzru4yowQz67dz2yc"", ""'SNG'!D3:D139""),0))"),"")</f>
        <v/>
      </c>
      <c r="AB94" s="12">
        <f ca="1">IFERROR(__xludf.DUMMYFUNCTION("INDEX(IMPORTRANGE(""1y0FWgjbB0gVlqn-q5LMJbGIsqOrzru4yowQz67dz2yc"", ""'SNG'!BJ3:BJ139""),MATCH($D94,IMPORTRANGE(""1y0FWgjbB0gVlqn-q5LMJbGIsqOrzru4yowQz67dz2yc"", ""'SNG'!D3:D139""),0))"),5)</f>
        <v>5</v>
      </c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11">
        <v>44651</v>
      </c>
      <c r="J95" s="13"/>
      <c r="K95" s="11">
        <v>45016</v>
      </c>
      <c r="L95" s="13"/>
      <c r="M95" s="11">
        <v>45382</v>
      </c>
      <c r="N95" s="13"/>
      <c r="O95" s="11">
        <v>45565</v>
      </c>
      <c r="P95" s="254"/>
      <c r="Q95" s="254"/>
      <c r="R95" s="13"/>
      <c r="S95" s="13"/>
      <c r="T95" s="13"/>
      <c r="U95" s="13"/>
      <c r="V95" s="13"/>
      <c r="W95" s="13"/>
      <c r="X95" s="12">
        <v>10</v>
      </c>
      <c r="Y95" s="12">
        <f ca="1">IFERROR(__xludf.DUMMYFUNCTION("INDEX(IMPORTRANGE(""1y0FWgjbB0gVlqn-q5LMJbGIsqOrzru4yowQz67dz2yc"", ""'SNG'!BG3:BG139""),MATCH($D95,IMPORTRANGE(""1y0FWgjbB0gVlqn-q5LMJbGIsqOrzru4yowQz67dz2yc"", ""'SNG'!D3:D139""),0))"),11)</f>
        <v>11</v>
      </c>
      <c r="Z95" s="12">
        <f ca="1">IFERROR(__xludf.DUMMYFUNCTION("INDEX(IMPORTRANGE(""1y0FWgjbB0gVlqn-q5LMJbGIsqOrzru4yowQz67dz2yc"", ""'SNG'!BH3:BH139""),MATCH($D95,IMPORTRANGE(""1y0FWgjbB0gVlqn-q5LMJbGIsqOrzru4yowQz67dz2yc"", ""'SNG'!D3:D139""),0))"),12)</f>
        <v>12</v>
      </c>
      <c r="AA95" s="12">
        <f ca="1">IFERROR(__xludf.DUMMYFUNCTION("INDEX(IMPORTRANGE(""1y0FWgjbB0gVlqn-q5LMJbGIsqOrzru4yowQz67dz2yc"", ""'SNG'!BI3:BI139""),MATCH($D95,IMPORTRANGE(""1y0FWgjbB0gVlqn-q5LMJbGIsqOrzru4yowQz67dz2yc"", ""'SNG'!D3:D139""),0))"),0)</f>
        <v>0</v>
      </c>
      <c r="AB95" s="12">
        <f ca="1">IFERROR(__xludf.DUMMYFUNCTION("INDEX(IMPORTRANGE(""1y0FWgjbB0gVlqn-q5LMJbGIsqOrzru4yowQz67dz2yc"", ""'SNG'!BJ3:BJ139""),MATCH($D95,IMPORTRANGE(""1y0FWgjbB0gVlqn-q5LMJbGIsqOrzru4yowQz67dz2yc"", ""'SNG'!D3:D139""),0))"),15)</f>
        <v>15</v>
      </c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11">
        <v>44651</v>
      </c>
      <c r="J96" s="13"/>
      <c r="K96" s="11">
        <v>45016</v>
      </c>
      <c r="L96" s="13"/>
      <c r="M96" s="11">
        <v>45382</v>
      </c>
      <c r="N96" s="13"/>
      <c r="O96" s="11">
        <v>45565</v>
      </c>
      <c r="P96" s="254"/>
      <c r="Q96" s="254"/>
      <c r="R96" s="13"/>
      <c r="S96" s="13"/>
      <c r="T96" s="13"/>
      <c r="U96" s="13"/>
      <c r="V96" s="13"/>
      <c r="W96" s="13"/>
      <c r="X96" s="12">
        <v>1</v>
      </c>
      <c r="Y96" s="12">
        <f ca="1">IFERROR(__xludf.DUMMYFUNCTION("INDEX(IMPORTRANGE(""1y0FWgjbB0gVlqn-q5LMJbGIsqOrzru4yowQz67dz2yc"", ""'SNG'!BG3:BG139""),MATCH($D96,IMPORTRANGE(""1y0FWgjbB0gVlqn-q5LMJbGIsqOrzru4yowQz67dz2yc"", ""'SNG'!D3:D139""),0))"),1)</f>
        <v>1</v>
      </c>
      <c r="Z96" s="12">
        <f ca="1">IFERROR(__xludf.DUMMYFUNCTION("INDEX(IMPORTRANGE(""1y0FWgjbB0gVlqn-q5LMJbGIsqOrzru4yowQz67dz2yc"", ""'SNG'!BH3:BH139""),MATCH($D96,IMPORTRANGE(""1y0FWgjbB0gVlqn-q5LMJbGIsqOrzru4yowQz67dz2yc"", ""'SNG'!D3:D139""),0))"),1)</f>
        <v>1</v>
      </c>
      <c r="AA96" s="12" t="str">
        <f ca="1">IFERROR(__xludf.DUMMYFUNCTION("INDEX(IMPORTRANGE(""1y0FWgjbB0gVlqn-q5LMJbGIsqOrzru4yowQz67dz2yc"", ""'SNG'!BI3:BI139""),MATCH($D96,IMPORTRANGE(""1y0FWgjbB0gVlqn-q5LMJbGIsqOrzru4yowQz67dz2yc"", ""'SNG'!D3:D139""),0))"),"")</f>
        <v/>
      </c>
      <c r="AB96" s="12">
        <f ca="1">IFERROR(__xludf.DUMMYFUNCTION("INDEX(IMPORTRANGE(""1y0FWgjbB0gVlqn-q5LMJbGIsqOrzru4yowQz67dz2yc"", ""'SNG'!BJ3:BJ139""),MATCH($D96,IMPORTRANGE(""1y0FWgjbB0gVlqn-q5LMJbGIsqOrzru4yowQz67dz2yc"", ""'SNG'!D3:D139""),0))"),1)</f>
        <v>1</v>
      </c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11">
        <v>44651</v>
      </c>
      <c r="J97" s="13"/>
      <c r="K97" s="11">
        <v>45016</v>
      </c>
      <c r="L97" s="13"/>
      <c r="M97" s="11">
        <v>45382</v>
      </c>
      <c r="N97" s="13"/>
      <c r="O97" s="11">
        <v>45565</v>
      </c>
      <c r="P97" s="254"/>
      <c r="Q97" s="254"/>
      <c r="R97" s="13"/>
      <c r="S97" s="13"/>
      <c r="T97" s="13"/>
      <c r="U97" s="13"/>
      <c r="V97" s="13"/>
      <c r="W97" s="13"/>
      <c r="X97" s="12">
        <v>2</v>
      </c>
      <c r="Y97" s="12">
        <f ca="1">IFERROR(__xludf.DUMMYFUNCTION("INDEX(IMPORTRANGE(""1y0FWgjbB0gVlqn-q5LMJbGIsqOrzru4yowQz67dz2yc"", ""'SNG'!BG3:BG139""),MATCH($D97,IMPORTRANGE(""1y0FWgjbB0gVlqn-q5LMJbGIsqOrzru4yowQz67dz2yc"", ""'SNG'!D3:D139""),0))"),2)</f>
        <v>2</v>
      </c>
      <c r="Z97" s="12">
        <f ca="1">IFERROR(__xludf.DUMMYFUNCTION("INDEX(IMPORTRANGE(""1y0FWgjbB0gVlqn-q5LMJbGIsqOrzru4yowQz67dz2yc"", ""'SNG'!BH3:BH139""),MATCH($D97,IMPORTRANGE(""1y0FWgjbB0gVlqn-q5LMJbGIsqOrzru4yowQz67dz2yc"", ""'SNG'!D3:D139""),0))"),2)</f>
        <v>2</v>
      </c>
      <c r="AA97" s="12">
        <f ca="1">IFERROR(__xludf.DUMMYFUNCTION("INDEX(IMPORTRANGE(""1y0FWgjbB0gVlqn-q5LMJbGIsqOrzru4yowQz67dz2yc"", ""'SNG'!BI3:BI139""),MATCH($D97,IMPORTRANGE(""1y0FWgjbB0gVlqn-q5LMJbGIsqOrzru4yowQz67dz2yc"", ""'SNG'!D3:D139""),0))"),0)</f>
        <v>0</v>
      </c>
      <c r="AB97" s="12">
        <f ca="1">IFERROR(__xludf.DUMMYFUNCTION("INDEX(IMPORTRANGE(""1y0FWgjbB0gVlqn-q5LMJbGIsqOrzru4yowQz67dz2yc"", ""'SNG'!BJ3:BJ139""),MATCH($D97,IMPORTRANGE(""1y0FWgjbB0gVlqn-q5LMJbGIsqOrzru4yowQz67dz2yc"", ""'SNG'!D3:D139""),0))"),2)</f>
        <v>2</v>
      </c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11">
        <v>44651</v>
      </c>
      <c r="J98" s="13"/>
      <c r="K98" s="11">
        <v>45016</v>
      </c>
      <c r="L98" s="13"/>
      <c r="M98" s="11">
        <v>45382</v>
      </c>
      <c r="N98" s="13"/>
      <c r="O98" s="11">
        <v>45565</v>
      </c>
      <c r="P98" s="254"/>
      <c r="Q98" s="254"/>
      <c r="R98" s="13"/>
      <c r="S98" s="13"/>
      <c r="T98" s="13"/>
      <c r="U98" s="13"/>
      <c r="V98" s="13"/>
      <c r="W98" s="13"/>
      <c r="X98" s="12">
        <v>16</v>
      </c>
      <c r="Y98" s="12">
        <f ca="1">IFERROR(__xludf.DUMMYFUNCTION("INDEX(IMPORTRANGE(""1y0FWgjbB0gVlqn-q5LMJbGIsqOrzru4yowQz67dz2yc"", ""'SNG'!BG3:BG139""),MATCH($D98,IMPORTRANGE(""1y0FWgjbB0gVlqn-q5LMJbGIsqOrzru4yowQz67dz2yc"", ""'SNG'!D3:D139""),0))"),23)</f>
        <v>23</v>
      </c>
      <c r="Z98" s="12">
        <f ca="1">IFERROR(__xludf.DUMMYFUNCTION("INDEX(IMPORTRANGE(""1y0FWgjbB0gVlqn-q5LMJbGIsqOrzru4yowQz67dz2yc"", ""'SNG'!BH3:BH139""),MATCH($D98,IMPORTRANGE(""1y0FWgjbB0gVlqn-q5LMJbGIsqOrzru4yowQz67dz2yc"", ""'SNG'!D3:D139""),0))"),23)</f>
        <v>23</v>
      </c>
      <c r="AA98" s="12" t="str">
        <f ca="1">IFERROR(__xludf.DUMMYFUNCTION("INDEX(IMPORTRANGE(""1y0FWgjbB0gVlqn-q5LMJbGIsqOrzru4yowQz67dz2yc"", ""'SNG'!BI3:BI139""),MATCH($D98,IMPORTRANGE(""1y0FWgjbB0gVlqn-q5LMJbGIsqOrzru4yowQz67dz2yc"", ""'SNG'!D3:D139""),0))"),"")</f>
        <v/>
      </c>
      <c r="AB98" s="12">
        <f ca="1">IFERROR(__xludf.DUMMYFUNCTION("INDEX(IMPORTRANGE(""1y0FWgjbB0gVlqn-q5LMJbGIsqOrzru4yowQz67dz2yc"", ""'SNG'!BJ3:BJ139""),MATCH($D98,IMPORTRANGE(""1y0FWgjbB0gVlqn-q5LMJbGIsqOrzru4yowQz67dz2yc"", ""'SNG'!D3:D139""),0))"),32)</f>
        <v>32</v>
      </c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11">
        <v>44651</v>
      </c>
      <c r="J99" s="13"/>
      <c r="K99" s="11">
        <v>45016</v>
      </c>
      <c r="L99" s="13"/>
      <c r="M99" s="11">
        <v>45382</v>
      </c>
      <c r="N99" s="13"/>
      <c r="O99" s="11">
        <v>45565</v>
      </c>
      <c r="P99" s="254"/>
      <c r="Q99" s="254"/>
      <c r="R99" s="13"/>
      <c r="S99" s="13"/>
      <c r="T99" s="13"/>
      <c r="U99" s="13"/>
      <c r="V99" s="13"/>
      <c r="W99" s="13"/>
      <c r="X99" s="12">
        <v>53</v>
      </c>
      <c r="Y99" s="12">
        <f ca="1">IFERROR(__xludf.DUMMYFUNCTION("INDEX(IMPORTRANGE(""1y0FWgjbB0gVlqn-q5LMJbGIsqOrzru4yowQz67dz2yc"", ""'SNG'!BG3:BG139""),MATCH($D99,IMPORTRANGE(""1y0FWgjbB0gVlqn-q5LMJbGIsqOrzru4yowQz67dz2yc"", ""'SNG'!D3:D139""),0))"),62)</f>
        <v>62</v>
      </c>
      <c r="Z99" s="12">
        <f ca="1">IFERROR(__xludf.DUMMYFUNCTION("INDEX(IMPORTRANGE(""1y0FWgjbB0gVlqn-q5LMJbGIsqOrzru4yowQz67dz2yc"", ""'SNG'!BH3:BH139""),MATCH($D99,IMPORTRANGE(""1y0FWgjbB0gVlqn-q5LMJbGIsqOrzru4yowQz67dz2yc"", ""'SNG'!D3:D139""),0))"),61)</f>
        <v>61</v>
      </c>
      <c r="AA99" s="12">
        <f ca="1">IFERROR(__xludf.DUMMYFUNCTION("INDEX(IMPORTRANGE(""1y0FWgjbB0gVlqn-q5LMJbGIsqOrzru4yowQz67dz2yc"", ""'SNG'!BI3:BI139""),MATCH($D99,IMPORTRANGE(""1y0FWgjbB0gVlqn-q5LMJbGIsqOrzru4yowQz67dz2yc"", ""'SNG'!D3:D139""),0))"),0)</f>
        <v>0</v>
      </c>
      <c r="AB99" s="12">
        <f ca="1">IFERROR(__xludf.DUMMYFUNCTION("INDEX(IMPORTRANGE(""1y0FWgjbB0gVlqn-q5LMJbGIsqOrzru4yowQz67dz2yc"", ""'SNG'!BJ3:BJ139""),MATCH($D99,IMPORTRANGE(""1y0FWgjbB0gVlqn-q5LMJbGIsqOrzru4yowQz67dz2yc"", ""'SNG'!D3:D139""),0))"),60)</f>
        <v>60</v>
      </c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11">
        <v>44651</v>
      </c>
      <c r="J100" s="13"/>
      <c r="K100" s="11">
        <v>45016</v>
      </c>
      <c r="L100" s="13"/>
      <c r="M100" s="11">
        <v>45382</v>
      </c>
      <c r="N100" s="13"/>
      <c r="O100" s="11">
        <v>45565</v>
      </c>
      <c r="P100" s="254"/>
      <c r="Q100" s="25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0.27692307692307694</v>
      </c>
      <c r="Y100" s="15">
        <f ca="1">IFERROR(__xludf.DUMMYFUNCTION("INDEX(IMPORTRANGE(""1y0FWgjbB0gVlqn-q5LMJbGIsqOrzru4yowQz67dz2yc"", ""'SNG'!BG3:BG139""),MATCH($D100,IMPORTRANGE(""1y0FWgjbB0gVlqn-q5LMJbGIsqOrzru4yowQz67dz2yc"", ""'SNG'!D3:D139""),0))"),0.333333333333333)</f>
        <v>0.33333333333333298</v>
      </c>
      <c r="Z100" s="15">
        <f ca="1">IFERROR(__xludf.DUMMYFUNCTION("INDEX(IMPORTRANGE(""1y0FWgjbB0gVlqn-q5LMJbGIsqOrzru4yowQz67dz2yc"", ""'SNG'!BH3:BH139""),MATCH($D100,IMPORTRANGE(""1y0FWgjbB0gVlqn-q5LMJbGIsqOrzru4yowQz67dz2yc"", ""'SNG'!D3:D139""),0))"),0.36)</f>
        <v>0.36</v>
      </c>
      <c r="AA100" s="15" t="str">
        <f ca="1">IFERROR(__xludf.DUMMYFUNCTION("INDEX(IMPORTRANGE(""1y0FWgjbB0gVlqn-q5LMJbGIsqOrzru4yowQz67dz2yc"", ""'SNG'!BI3:BI139""),MATCH($D100,IMPORTRANGE(""1y0FWgjbB0gVlqn-q5LMJbGIsqOrzru4yowQz67dz2yc"", ""'SNG'!D3:D139""),0))"),"")</f>
        <v/>
      </c>
      <c r="AB100" s="15">
        <f ca="1">IFERROR(__xludf.DUMMYFUNCTION("INDEX(IMPORTRANGE(""1y0FWgjbB0gVlqn-q5LMJbGIsqOrzru4yowQz67dz2yc"", ""'SNG'!BJ3:BJ139""),MATCH($D100,IMPORTRANGE(""1y0FWgjbB0gVlqn-q5LMJbGIsqOrzru4yowQz67dz2yc"", ""'SNG'!D3:D139""),0))"),0.493506493506493)</f>
        <v>0.493506493506493</v>
      </c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36">
        <v>641679794</v>
      </c>
      <c r="Q101" s="36">
        <v>641679794</v>
      </c>
      <c r="R101" s="13"/>
      <c r="S101" s="13"/>
      <c r="T101" s="13"/>
      <c r="U101" s="13"/>
      <c r="V101" s="13"/>
      <c r="W101" s="13"/>
      <c r="X101" s="36">
        <v>641679794</v>
      </c>
      <c r="Y101" s="15" t="str">
        <f ca="1">IFERROR(__xludf.DUMMYFUNCTION("INDEX(IMPORTRANGE(""1y0FWgjbB0gVlqn-q5LMJbGIsqOrzru4yowQz67dz2yc"", ""'SNG'!BG3:BG139""),MATCH($D101,IMPORTRANGE(""1y0FWgjbB0gVlqn-q5LMJbGIsqOrzru4yowQz67dz2yc"", ""'SNG'!D3:D139""),0))"),"")</f>
        <v/>
      </c>
      <c r="Z101" s="36">
        <f ca="1">IFERROR(__xludf.DUMMYFUNCTION("INDEX(IMPORTRANGE(""1y0FWgjbB0gVlqn-q5LMJbGIsqOrzru4yowQz67dz2yc"", ""'SNG'!BH3:BH139""),MATCH($D101,IMPORTRANGE(""1y0FWgjbB0gVlqn-q5LMJbGIsqOrzru4yowQz67dz2yc"", ""'SNG'!D3:D139""),0))"),740071741)</f>
        <v>740071741</v>
      </c>
      <c r="AA101" s="15" t="str">
        <f ca="1">IFERROR(__xludf.DUMMYFUNCTION("INDEX(IMPORTRANGE(""1y0FWgjbB0gVlqn-q5LMJbGIsqOrzru4yowQz67dz2yc"", ""'SNG'!BI3:BI139""),MATCH($D101,IMPORTRANGE(""1y0FWgjbB0gVlqn-q5LMJbGIsqOrzru4yowQz67dz2yc"", ""'SNG'!D3:D139""),0))"),"")</f>
        <v/>
      </c>
      <c r="AB101" s="15">
        <f ca="1">IFERROR(__xludf.DUMMYFUNCTION("INDEX(IMPORTRANGE(""1y0FWgjbB0gVlqn-q5LMJbGIsqOrzru4yowQz67dz2yc"", ""'SNG'!BJ3:BJ139""),MATCH($D101,IMPORTRANGE(""1y0FWgjbB0gVlqn-q5LMJbGIsqOrzru4yowQz67dz2yc"", ""'SNG'!D3:D139""),0))"),776332457)</f>
        <v>776332457</v>
      </c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2323752062</v>
      </c>
      <c r="Q102" s="36">
        <v>2323752062</v>
      </c>
      <c r="R102" s="13"/>
      <c r="S102" s="13"/>
      <c r="T102" s="13"/>
      <c r="U102" s="13"/>
      <c r="V102" s="13"/>
      <c r="W102" s="13"/>
      <c r="X102" s="36">
        <v>2323752062</v>
      </c>
      <c r="Y102" s="15" t="str">
        <f ca="1">IFERROR(__xludf.DUMMYFUNCTION("INDEX(IMPORTRANGE(""1y0FWgjbB0gVlqn-q5LMJbGIsqOrzru4yowQz67dz2yc"", ""'SNG'!BG3:BG139""),MATCH($D102,IMPORTRANGE(""1y0FWgjbB0gVlqn-q5LMJbGIsqOrzru4yowQz67dz2yc"", ""'SNG'!D3:D139""),0))"),"")</f>
        <v/>
      </c>
      <c r="Z102" s="36">
        <f ca="1">IFERROR(__xludf.DUMMYFUNCTION("INDEX(IMPORTRANGE(""1y0FWgjbB0gVlqn-q5LMJbGIsqOrzru4yowQz67dz2yc"", ""'SNG'!BH3:BH139""),MATCH($D102,IMPORTRANGE(""1y0FWgjbB0gVlqn-q5LMJbGIsqOrzru4yowQz67dz2yc"", ""'SNG'!D3:D139""),0))"),2652469823)</f>
        <v>2652469823</v>
      </c>
      <c r="AA102" s="15" t="str">
        <f ca="1">IFERROR(__xludf.DUMMYFUNCTION("INDEX(IMPORTRANGE(""1y0FWgjbB0gVlqn-q5LMJbGIsqOrzru4yowQz67dz2yc"", ""'SNG'!BI3:BI139""),MATCH($D102,IMPORTRANGE(""1y0FWgjbB0gVlqn-q5LMJbGIsqOrzru4yowQz67dz2yc"", ""'SNG'!D3:D139""),0))"),"")</f>
        <v/>
      </c>
      <c r="AB102" s="15">
        <f ca="1">IFERROR(__xludf.DUMMYFUNCTION("INDEX(IMPORTRANGE(""1y0FWgjbB0gVlqn-q5LMJbGIsqOrzru4yowQz67dz2yc"", ""'SNG'!BJ3:BJ139""),MATCH($D102,IMPORTRANGE(""1y0FWgjbB0gVlqn-q5LMJbGIsqOrzru4yowQz67dz2yc"", ""'SNG'!D3:D139""),0))"),2461672183)</f>
        <v>2461672183</v>
      </c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6">P101/P102</f>
        <v>0.27613952645521095</v>
      </c>
      <c r="Q103" s="15">
        <f t="shared" si="26"/>
        <v>0.27613952645521095</v>
      </c>
      <c r="R103" s="2"/>
      <c r="S103" s="15">
        <v>0.27800000000000002</v>
      </c>
      <c r="T103" s="2"/>
      <c r="U103" s="15">
        <v>0.28000000000000003</v>
      </c>
      <c r="V103" s="15">
        <v>0.28199999999999997</v>
      </c>
      <c r="W103" s="15">
        <v>0.28000000000000003</v>
      </c>
      <c r="X103" s="15">
        <f>X101/X102</f>
        <v>0.27613952645521095</v>
      </c>
      <c r="Y103" s="15" t="str">
        <f ca="1">IFERROR(__xludf.DUMMYFUNCTION("INDEX(IMPORTRANGE(""1y0FWgjbB0gVlqn-q5LMJbGIsqOrzru4yowQz67dz2yc"", ""'SNG'!BG3:BG139""),MATCH($D103,IMPORTRANGE(""1y0FWgjbB0gVlqn-q5LMJbGIsqOrzru4yowQz67dz2yc"", ""'SNG'!D3:D139""),0))"),"")</f>
        <v/>
      </c>
      <c r="Z103" s="36">
        <f ca="1">IFERROR(__xludf.DUMMYFUNCTION("INDEX(IMPORTRANGE(""1y0FWgjbB0gVlqn-q5LMJbGIsqOrzru4yowQz67dz2yc"", ""'SNG'!BH3:BH139""),MATCH($D103,IMPORTRANGE(""1y0FWgjbB0gVlqn-q5LMJbGIsqOrzru4yowQz67dz2yc"", ""'SNG'!D3:D139""),0))"),0.279012313196823)</f>
        <v>0.27901231319682301</v>
      </c>
      <c r="AA103" s="15" t="str">
        <f ca="1">IFERROR(__xludf.DUMMYFUNCTION("INDEX(IMPORTRANGE(""1y0FWgjbB0gVlqn-q5LMJbGIsqOrzru4yowQz67dz2yc"", ""'SNG'!BI3:BI139""),MATCH($D103,IMPORTRANGE(""1y0FWgjbB0gVlqn-q5LMJbGIsqOrzru4yowQz67dz2yc"", ""'SNG'!D3:D139""),0))"),"")</f>
        <v/>
      </c>
      <c r="AB103" s="15">
        <f ca="1">IFERROR(__xludf.DUMMYFUNCTION("INDEX(IMPORTRANGE(""1y0FWgjbB0gVlqn-q5LMJbGIsqOrzru4yowQz67dz2yc"", ""'SNG'!BJ3:BJ139""),MATCH($D103,IMPORTRANGE(""1y0FWgjbB0gVlqn-q5LMJbGIsqOrzru4yowQz67dz2yc"", ""'SNG'!D3:D139""),0))"),0.315367928500494)</f>
        <v>0.315367928500494</v>
      </c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50">
        <v>1770850112.28</v>
      </c>
      <c r="Q104" s="50">
        <v>1770850112.28</v>
      </c>
      <c r="R104" s="330"/>
      <c r="S104" s="13"/>
      <c r="T104" s="13"/>
      <c r="U104" s="13"/>
      <c r="V104" s="13"/>
      <c r="W104" s="13"/>
      <c r="X104" s="36">
        <v>1770850112.28</v>
      </c>
      <c r="Y104" s="15" t="str">
        <f ca="1">IFERROR(__xludf.DUMMYFUNCTION("INDEX(IMPORTRANGE(""1y0FWgjbB0gVlqn-q5LMJbGIsqOrzru4yowQz67dz2yc"", ""'SNG'!BG3:BG139""),MATCH($D104,IMPORTRANGE(""1y0FWgjbB0gVlqn-q5LMJbGIsqOrzru4yowQz67dz2yc"", ""'SNG'!D3:D139""),0))"),"")</f>
        <v/>
      </c>
      <c r="Z104" s="36">
        <f ca="1">IFERROR(__xludf.DUMMYFUNCTION("INDEX(IMPORTRANGE(""1y0FWgjbB0gVlqn-q5LMJbGIsqOrzru4yowQz67dz2yc"", ""'SNG'!BH3:BH139""),MATCH($D104,IMPORTRANGE(""1y0FWgjbB0gVlqn-q5LMJbGIsqOrzru4yowQz67dz2yc"", ""'SNG'!D3:D139""),0))"),1990938655.47)</f>
        <v>1990938655.47</v>
      </c>
      <c r="AA104" s="15" t="str">
        <f ca="1">IFERROR(__xludf.DUMMYFUNCTION("INDEX(IMPORTRANGE(""1y0FWgjbB0gVlqn-q5LMJbGIsqOrzru4yowQz67dz2yc"", ""'SNG'!BI3:BI139""),MATCH($D104,IMPORTRANGE(""1y0FWgjbB0gVlqn-q5LMJbGIsqOrzru4yowQz67dz2yc"", ""'SNG'!D3:D139""),0))"),"")</f>
        <v/>
      </c>
      <c r="AB104" s="15">
        <f ca="1">IFERROR(__xludf.DUMMYFUNCTION("INDEX(IMPORTRANGE(""1y0FWgjbB0gVlqn-q5LMJbGIsqOrzru4yowQz67dz2yc"", ""'SNG'!BJ3:BJ139""),MATCH($D104,IMPORTRANGE(""1y0FWgjbB0gVlqn-q5LMJbGIsqOrzru4yowQz67dz2yc"", ""'SNG'!D3:D139""),0))"),2122056054.09)</f>
        <v>2122056054.0899999</v>
      </c>
      <c r="AC104" s="1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5">
        <f t="shared" ref="P105:Q105" si="27">P101/P104</f>
        <v>0.3623569208654403</v>
      </c>
      <c r="Q105" s="15">
        <f t="shared" si="27"/>
        <v>0.3623569208654403</v>
      </c>
      <c r="R105" s="2"/>
      <c r="S105" s="15">
        <v>0.36399999999999999</v>
      </c>
      <c r="T105" s="2"/>
      <c r="U105" s="15">
        <v>0.36599999999999999</v>
      </c>
      <c r="V105" s="15">
        <v>0.36799999999999999</v>
      </c>
      <c r="W105" s="15">
        <v>0.37</v>
      </c>
      <c r="X105" s="15">
        <f>X101/X104</f>
        <v>0.3623569208654403</v>
      </c>
      <c r="Y105" s="15" t="str">
        <f ca="1">IFERROR(__xludf.DUMMYFUNCTION("INDEX(IMPORTRANGE(""1y0FWgjbB0gVlqn-q5LMJbGIsqOrzru4yowQz67dz2yc"", ""'SNG'!BG3:BG139""),MATCH($D105,IMPORTRANGE(""1y0FWgjbB0gVlqn-q5LMJbGIsqOrzru4yowQz67dz2yc"", ""'SNG'!D3:D139""),0))"),"")</f>
        <v/>
      </c>
      <c r="Z105" s="36">
        <f ca="1">IFERROR(__xludf.DUMMYFUNCTION("INDEX(IMPORTRANGE(""1y0FWgjbB0gVlqn-q5LMJbGIsqOrzru4yowQz67dz2yc"", ""'SNG'!BH3:BH139""),MATCH($D105,IMPORTRANGE(""1y0FWgjbB0gVlqn-q5LMJbGIsqOrzru4yowQz67dz2yc"", ""'SNG'!D3:D139""),0))"),0.371720012048935)</f>
        <v>0.37172001204893501</v>
      </c>
      <c r="AA105" s="15" t="str">
        <f ca="1">IFERROR(__xludf.DUMMYFUNCTION("INDEX(IMPORTRANGE(""1y0FWgjbB0gVlqn-q5LMJbGIsqOrzru4yowQz67dz2yc"", ""'SNG'!BI3:BI139""),MATCH($D105,IMPORTRANGE(""1y0FWgjbB0gVlqn-q5LMJbGIsqOrzru4yowQz67dz2yc"", ""'SNG'!D3:D139""),0))"),"")</f>
        <v/>
      </c>
      <c r="AB105" s="15">
        <f ca="1">IFERROR(__xludf.DUMMYFUNCTION("INDEX(IMPORTRANGE(""1y0FWgjbB0gVlqn-q5LMJbGIsqOrzru4yowQz67dz2yc"", ""'SNG'!BJ3:BJ139""),MATCH($D105,IMPORTRANGE(""1y0FWgjbB0gVlqn-q5LMJbGIsqOrzru4yowQz67dz2yc"", ""'SNG'!D3:D139""),0))"),0.365839750323143)</f>
        <v>0.36583975032314298</v>
      </c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12">
        <v>147356</v>
      </c>
      <c r="Q106" s="12">
        <v>147356</v>
      </c>
      <c r="R106" s="13"/>
      <c r="S106" s="13"/>
      <c r="T106" s="13"/>
      <c r="U106" s="13"/>
      <c r="V106" s="13"/>
      <c r="W106" s="13"/>
      <c r="X106" s="12">
        <v>147356</v>
      </c>
      <c r="Y106" s="13" t="str">
        <f ca="1">IFERROR(__xludf.DUMMYFUNCTION("INDEX(IMPORTRANGE(""1y0FWgjbB0gVlqn-q5LMJbGIsqOrzru4yowQz67dz2yc"", ""'SNG'!BG3:BG139""),MATCH($D106,IMPORTRANGE(""1y0FWgjbB0gVlqn-q5LMJbGIsqOrzru4yowQz67dz2yc"", ""'SNG'!D3:D139""),0))"),"")</f>
        <v/>
      </c>
      <c r="Z106" s="36">
        <f ca="1">IFERROR(__xludf.DUMMYFUNCTION("INDEX(IMPORTRANGE(""1y0FWgjbB0gVlqn-q5LMJbGIsqOrzru4yowQz67dz2yc"", ""'SNG'!BH3:BH139""),MATCH($D106,IMPORTRANGE(""1y0FWgjbB0gVlqn-q5LMJbGIsqOrzru4yowQz67dz2yc"", ""'SNG'!D3:D139""),0))"),137188)</f>
        <v>137188</v>
      </c>
      <c r="AA106" s="13" t="str">
        <f ca="1">IFERROR(__xludf.DUMMYFUNCTION("INDEX(IMPORTRANGE(""1y0FWgjbB0gVlqn-q5LMJbGIsqOrzru4yowQz67dz2yc"", ""'SNG'!BI3:BI139""),MATCH($D106,IMPORTRANGE(""1y0FWgjbB0gVlqn-q5LMJbGIsqOrzru4yowQz67dz2yc"", ""'SNG'!D3:D139""),0))"),"")</f>
        <v/>
      </c>
      <c r="AB106" s="15">
        <f ca="1">IFERROR(__xludf.DUMMYFUNCTION("INDEX(IMPORTRANGE(""1y0FWgjbB0gVlqn-q5LMJbGIsqOrzru4yowQz67dz2yc"", ""'SNG'!BJ3:BJ139""),MATCH($D106,IMPORTRANGE(""1y0FWgjbB0gVlqn-q5LMJbGIsqOrzru4yowQz67dz2yc"", ""'SNG'!D3:D139""),0))"),138565)</f>
        <v>138565</v>
      </c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2">
        <v>99460</v>
      </c>
      <c r="Q107" s="12">
        <v>99460</v>
      </c>
      <c r="R107" s="1"/>
      <c r="S107" s="1"/>
      <c r="T107" s="1"/>
      <c r="U107" s="1"/>
      <c r="V107" s="1"/>
      <c r="W107" s="1"/>
      <c r="X107" s="12">
        <v>99460</v>
      </c>
      <c r="Y107" s="13" t="str">
        <f ca="1">IFERROR(__xludf.DUMMYFUNCTION("INDEX(IMPORTRANGE(""1y0FWgjbB0gVlqn-q5LMJbGIsqOrzru4yowQz67dz2yc"", ""'SNG'!BG3:BG139""),MATCH($D107,IMPORTRANGE(""1y0FWgjbB0gVlqn-q5LMJbGIsqOrzru4yowQz67dz2yc"", ""'SNG'!D3:D139""),0))"),"")</f>
        <v/>
      </c>
      <c r="Z107" s="36">
        <f ca="1">IFERROR(__xludf.DUMMYFUNCTION("INDEX(IMPORTRANGE(""1y0FWgjbB0gVlqn-q5LMJbGIsqOrzru4yowQz67dz2yc"", ""'SNG'!BH3:BH139""),MATCH($D107,IMPORTRANGE(""1y0FWgjbB0gVlqn-q5LMJbGIsqOrzru4yowQz67dz2yc"", ""'SNG'!D3:D139""),0))"),97941)</f>
        <v>97941</v>
      </c>
      <c r="AA107" s="13" t="str">
        <f ca="1">IFERROR(__xludf.DUMMYFUNCTION("INDEX(IMPORTRANGE(""1y0FWgjbB0gVlqn-q5LMJbGIsqOrzru4yowQz67dz2yc"", ""'SNG'!BI3:BI139""),MATCH($D107,IMPORTRANGE(""1y0FWgjbB0gVlqn-q5LMJbGIsqOrzru4yowQz67dz2yc"", ""'SNG'!D3:D139""),0))"),"")</f>
        <v/>
      </c>
      <c r="AB107" s="15">
        <f ca="1">IFERROR(__xludf.DUMMYFUNCTION("INDEX(IMPORTRANGE(""1y0FWgjbB0gVlqn-q5LMJbGIsqOrzru4yowQz67dz2yc"", ""'SNG'!BJ3:BJ139""),MATCH($D107,IMPORTRANGE(""1y0FWgjbB0gVlqn-q5LMJbGIsqOrzru4yowQz67dz2yc"", ""'SNG'!D3:D139""),0))"),98257)</f>
        <v>98257</v>
      </c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8">P107/P106</f>
        <v>0.67496403268275473</v>
      </c>
      <c r="Q108" s="15">
        <f t="shared" si="28"/>
        <v>0.67496403268275473</v>
      </c>
      <c r="R108" s="2"/>
      <c r="S108" s="14">
        <v>0.68</v>
      </c>
      <c r="T108" s="2"/>
      <c r="U108" s="15">
        <v>0.68500000000000005</v>
      </c>
      <c r="V108" s="15">
        <v>0.69</v>
      </c>
      <c r="W108" s="15">
        <v>0.69</v>
      </c>
      <c r="X108" s="15">
        <f>X107/X106</f>
        <v>0.67496403268275473</v>
      </c>
      <c r="Y108" s="13" t="str">
        <f ca="1">IFERROR(__xludf.DUMMYFUNCTION("INDEX(IMPORTRANGE(""1y0FWgjbB0gVlqn-q5LMJbGIsqOrzru4yowQz67dz2yc"", ""'SNG'!BG3:BG139""),MATCH($D108,IMPORTRANGE(""1y0FWgjbB0gVlqn-q5LMJbGIsqOrzru4yowQz67dz2yc"", ""'SNG'!D3:D139""),0))"),"")</f>
        <v/>
      </c>
      <c r="Z108" s="15">
        <f ca="1">IFERROR(__xludf.DUMMYFUNCTION("INDEX(IMPORTRANGE(""1y0FWgjbB0gVlqn-q5LMJbGIsqOrzru4yowQz67dz2yc"", ""'SNG'!BH3:BH139""),MATCH($D108,IMPORTRANGE(""1y0FWgjbB0gVlqn-q5LMJbGIsqOrzru4yowQz67dz2yc"", ""'SNG'!D3:D139""),0))"),0.713918126949879)</f>
        <v>0.713918126949879</v>
      </c>
      <c r="AA108" s="13" t="str">
        <f ca="1">IFERROR(__xludf.DUMMYFUNCTION("INDEX(IMPORTRANGE(""1y0FWgjbB0gVlqn-q5LMJbGIsqOrzru4yowQz67dz2yc"", ""'SNG'!BI3:BI139""),MATCH($D108,IMPORTRANGE(""1y0FWgjbB0gVlqn-q5LMJbGIsqOrzru4yowQz67dz2yc"", ""'SNG'!D3:D139""),0))"),"")</f>
        <v/>
      </c>
      <c r="AB108" s="15">
        <f ca="1">IFERROR(__xludf.DUMMYFUNCTION("INDEX(IMPORTRANGE(""1y0FWgjbB0gVlqn-q5LMJbGIsqOrzru4yowQz67dz2yc"", ""'SNG'!BJ3:BJ139""),MATCH($D108,IMPORTRANGE(""1y0FWgjbB0gVlqn-q5LMJbGIsqOrzru4yowQz67dz2yc"", ""'SNG'!D3:D139""),0))"),0.709104030599357)</f>
        <v>0.709104030599357</v>
      </c>
      <c r="AC108" s="1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81"/>
      <c r="K109" s="7" t="s">
        <v>216</v>
      </c>
      <c r="L109" s="181"/>
      <c r="M109" s="7" t="s">
        <v>217</v>
      </c>
      <c r="N109" s="1" t="s">
        <v>218</v>
      </c>
      <c r="O109" s="1" t="s">
        <v>218</v>
      </c>
      <c r="P109" s="50"/>
      <c r="Q109" s="50"/>
      <c r="R109" s="1"/>
      <c r="S109" s="1"/>
      <c r="T109" s="1"/>
      <c r="U109" s="1"/>
      <c r="V109" s="1"/>
      <c r="W109" s="1"/>
      <c r="X109" s="36"/>
      <c r="Y109" s="13" t="str">
        <f ca="1">IFERROR(__xludf.DUMMYFUNCTION("INDEX(IMPORTRANGE(""1y0FWgjbB0gVlqn-q5LMJbGIsqOrzru4yowQz67dz2yc"", ""'SNG'!BG3:BG139""),MATCH($D109,IMPORTRANGE(""1y0FWgjbB0gVlqn-q5LMJbGIsqOrzru4yowQz67dz2yc"", ""'SNG'!D3:D139""),0))"),"")</f>
        <v/>
      </c>
      <c r="Z109" s="36">
        <f ca="1">IFERROR(__xludf.DUMMYFUNCTION("INDEX(IMPORTRANGE(""1y0FWgjbB0gVlqn-q5LMJbGIsqOrzru4yowQz67dz2yc"", ""'SNG'!BH3:BH139""),MATCH($D109,IMPORTRANGE(""1y0FWgjbB0gVlqn-q5LMJbGIsqOrzru4yowQz67dz2yc"", ""'SNG'!D3:D139""),0))"),369148531.289999)</f>
        <v>369148531.28999901</v>
      </c>
      <c r="AA109" s="13" t="str">
        <f ca="1">IFERROR(__xludf.DUMMYFUNCTION("INDEX(IMPORTRANGE(""1y0FWgjbB0gVlqn-q5LMJbGIsqOrzru4yowQz67dz2yc"", ""'SNG'!BI3:BI139""),MATCH($D109,IMPORTRANGE(""1y0FWgjbB0gVlqn-q5LMJbGIsqOrzru4yowQz67dz2yc"", ""'SNG'!D3:D139""),0))"),"")</f>
        <v/>
      </c>
      <c r="AB109" s="15">
        <f ca="1">IFERROR(__xludf.DUMMYFUNCTION("INDEX(IMPORTRANGE(""1y0FWgjbB0gVlqn-q5LMJbGIsqOrzru4yowQz67dz2yc"", ""'SNG'!BJ3:BJ139""),MATCH($D109,IMPORTRANGE(""1y0FWgjbB0gVlqn-q5LMJbGIsqOrzru4yowQz67dz2yc"", ""'SNG'!D3:D139""),0))"),370556638)</f>
        <v>370556638</v>
      </c>
      <c r="AC109" s="1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81"/>
      <c r="K110" s="7" t="s">
        <v>216</v>
      </c>
      <c r="L110" s="181"/>
      <c r="M110" s="7" t="s">
        <v>217</v>
      </c>
      <c r="N110" s="1" t="s">
        <v>218</v>
      </c>
      <c r="O110" s="1" t="s">
        <v>218</v>
      </c>
      <c r="P110" s="50">
        <v>363858395.08999997</v>
      </c>
      <c r="Q110" s="50">
        <v>363858395.08999997</v>
      </c>
      <c r="R110" s="2"/>
      <c r="S110" s="36">
        <v>374500000</v>
      </c>
      <c r="T110" s="2"/>
      <c r="U110" s="36">
        <v>388611356.37</v>
      </c>
      <c r="V110" s="36">
        <v>400987837</v>
      </c>
      <c r="W110" s="349">
        <v>400987837</v>
      </c>
      <c r="X110" s="36">
        <v>363858395.08999997</v>
      </c>
      <c r="Y110" s="13" t="str">
        <f ca="1">IFERROR(__xludf.DUMMYFUNCTION("INDEX(IMPORTRANGE(""1y0FWgjbB0gVlqn-q5LMJbGIsqOrzru4yowQz67dz2yc"", ""'SNG'!BG3:BG139""),MATCH($D110,IMPORTRANGE(""1y0FWgjbB0gVlqn-q5LMJbGIsqOrzru4yowQz67dz2yc"", ""'SNG'!D3:D139""),0))"),"")</f>
        <v/>
      </c>
      <c r="Z110" s="36">
        <f ca="1">IFERROR(__xludf.DUMMYFUNCTION("INDEX(IMPORTRANGE(""1y0FWgjbB0gVlqn-q5LMJbGIsqOrzru4yowQz67dz2yc"", ""'SNG'!BH3:BH139""),MATCH($D110,IMPORTRANGE(""1y0FWgjbB0gVlqn-q5LMJbGIsqOrzru4yowQz67dz2yc"", ""'SNG'!D3:D139""),0))"),400400429.249999)</f>
        <v>400400429.24999899</v>
      </c>
      <c r="AA110" s="13" t="str">
        <f ca="1">IFERROR(__xludf.DUMMYFUNCTION("INDEX(IMPORTRANGE(""1y0FWgjbB0gVlqn-q5LMJbGIsqOrzru4yowQz67dz2yc"", ""'SNG'!BI3:BI139""),MATCH($D110,IMPORTRANGE(""1y0FWgjbB0gVlqn-q5LMJbGIsqOrzru4yowQz67dz2yc"", ""'SNG'!D3:D139""),0))"),"")</f>
        <v/>
      </c>
      <c r="AB110" s="15">
        <f ca="1">IFERROR(__xludf.DUMMYFUNCTION("INDEX(IMPORTRANGE(""1y0FWgjbB0gVlqn-q5LMJbGIsqOrzru4yowQz67dz2yc"", ""'SNG'!BJ3:BJ139""),MATCH($D110,IMPORTRANGE(""1y0FWgjbB0gVlqn-q5LMJbGIsqOrzru4yowQz67dz2yc"", ""'SNG'!D3:D139""),0))"),392822845)</f>
        <v>392822845</v>
      </c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2494247239.0900002</v>
      </c>
      <c r="Q111" s="36">
        <v>2494247239.0900002</v>
      </c>
      <c r="R111" s="13"/>
      <c r="S111" s="13"/>
      <c r="T111" s="13"/>
      <c r="U111" s="13"/>
      <c r="V111" s="13"/>
      <c r="W111" s="13"/>
      <c r="X111" s="36">
        <v>2494247239.0900002</v>
      </c>
      <c r="Y111" s="13" t="str">
        <f ca="1">IFERROR(__xludf.DUMMYFUNCTION("INDEX(IMPORTRANGE(""1y0FWgjbB0gVlqn-q5LMJbGIsqOrzru4yowQz67dz2yc"", ""'SNG'!BG3:BG139""),MATCH($D111,IMPORTRANGE(""1y0FWgjbB0gVlqn-q5LMJbGIsqOrzru4yowQz67dz2yc"", ""'SNG'!D3:D139""),0))"),"")</f>
        <v/>
      </c>
      <c r="Z111" s="36">
        <f ca="1">IFERROR(__xludf.DUMMYFUNCTION("INDEX(IMPORTRANGE(""1y0FWgjbB0gVlqn-q5LMJbGIsqOrzru4yowQz67dz2yc"", ""'SNG'!BH3:BH139""),MATCH($D111,IMPORTRANGE(""1y0FWgjbB0gVlqn-q5LMJbGIsqOrzru4yowQz67dz2yc"", ""'SNG'!D3:D139""),0))"),2563033083.81)</f>
        <v>2563033083.8099999</v>
      </c>
      <c r="AA111" s="13" t="str">
        <f ca="1">IFERROR(__xludf.DUMMYFUNCTION("INDEX(IMPORTRANGE(""1y0FWgjbB0gVlqn-q5LMJbGIsqOrzru4yowQz67dz2yc"", ""'SNG'!BI3:BI139""),MATCH($D111,IMPORTRANGE(""1y0FWgjbB0gVlqn-q5LMJbGIsqOrzru4yowQz67dz2yc"", ""'SNG'!D3:D139""),0))"),"")</f>
        <v/>
      </c>
      <c r="AB111" s="15">
        <f ca="1">IFERROR(__xludf.DUMMYFUNCTION("INDEX(IMPORTRANGE(""1y0FWgjbB0gVlqn-q5LMJbGIsqOrzru4yowQz67dz2yc"", ""'SNG'!BJ3:BJ139""),MATCH($D111,IMPORTRANGE(""1y0FWgjbB0gVlqn-q5LMJbGIsqOrzru4yowQz67dz2yc"", ""'SNG'!D3:D139""),0))"),2657737050.41)</f>
        <v>2657737050.4099998</v>
      </c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7" t="s">
        <v>215</v>
      </c>
      <c r="J112" s="13"/>
      <c r="K112" s="7" t="s">
        <v>216</v>
      </c>
      <c r="L112" s="13"/>
      <c r="M112" s="7" t="s">
        <v>217</v>
      </c>
      <c r="N112" s="1" t="s">
        <v>218</v>
      </c>
      <c r="O112" s="1" t="s">
        <v>218</v>
      </c>
      <c r="P112" s="15">
        <f t="shared" ref="P112:Q112" si="29">P104/P111</f>
        <v>0.70997376864936457</v>
      </c>
      <c r="Q112" s="15">
        <f t="shared" si="29"/>
        <v>0.70997376864936457</v>
      </c>
      <c r="R112" s="2"/>
      <c r="S112" s="15">
        <v>0.7</v>
      </c>
      <c r="T112" s="2"/>
      <c r="U112" s="15">
        <v>0.7</v>
      </c>
      <c r="V112" s="15">
        <v>0.7</v>
      </c>
      <c r="W112" s="15">
        <v>0.7</v>
      </c>
      <c r="X112" s="15">
        <v>0.7</v>
      </c>
      <c r="Y112" s="13" t="str">
        <f ca="1">IFERROR(__xludf.DUMMYFUNCTION("INDEX(IMPORTRANGE(""1y0FWgjbB0gVlqn-q5LMJbGIsqOrzru4yowQz67dz2yc"", ""'SNG'!BG3:BG139""),MATCH($D112,IMPORTRANGE(""1y0FWgjbB0gVlqn-q5LMJbGIsqOrzru4yowQz67dz2yc"", ""'SNG'!D3:D139""),0))"),"")</f>
        <v/>
      </c>
      <c r="Z112" s="15">
        <f ca="1">IFERROR(__xludf.DUMMYFUNCTION("INDEX(IMPORTRANGE(""1y0FWgjbB0gVlqn-q5LMJbGIsqOrzru4yowQz67dz2yc"", ""'SNG'!BH3:BH139""),MATCH($D112,IMPORTRANGE(""1y0FWgjbB0gVlqn-q5LMJbGIsqOrzru4yowQz67dz2yc"", ""'SNG'!D3:D139""),0))"),0.776790072686237)</f>
        <v>0.77679007268623701</v>
      </c>
      <c r="AA112" s="13" t="str">
        <f ca="1">IFERROR(__xludf.DUMMYFUNCTION("INDEX(IMPORTRANGE(""1y0FWgjbB0gVlqn-q5LMJbGIsqOrzru4yowQz67dz2yc"", ""'SNG'!BI3:BI139""),MATCH($D112,IMPORTRANGE(""1y0FWgjbB0gVlqn-q5LMJbGIsqOrzru4yowQz67dz2yc"", ""'SNG'!D3:D139""),0))"),"")</f>
        <v/>
      </c>
      <c r="AB112" s="15">
        <f ca="1">IFERROR(__xludf.DUMMYFUNCTION("INDEX(IMPORTRANGE(""1y0FWgjbB0gVlqn-q5LMJbGIsqOrzru4yowQz67dz2yc"", ""'SNG'!BJ3:BJ139""),MATCH($D112,IMPORTRANGE(""1y0FWgjbB0gVlqn-q5LMJbGIsqOrzru4yowQz67dz2yc"", ""'SNG'!D3:D139""),0))"),0.798444697063856)</f>
        <v>0.79844469706385601</v>
      </c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81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30" t="s">
        <v>308</v>
      </c>
      <c r="Q113" s="30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30" t="s">
        <v>308</v>
      </c>
      <c r="Y113" s="13" t="str">
        <f ca="1">IFERROR(__xludf.DUMMYFUNCTION("INDEX(IMPORTRANGE(""1y0FWgjbB0gVlqn-q5LMJbGIsqOrzru4yowQz67dz2yc"", ""'SNG'!BG3:BG139""),MATCH($D113,IMPORTRANGE(""1y0FWgjbB0gVlqn-q5LMJbGIsqOrzru4yowQz67dz2yc"", ""'SNG'!D3:D139""),0))"),"")</f>
        <v/>
      </c>
      <c r="Z113" s="36" t="str">
        <f ca="1">IFERROR(__xludf.DUMMYFUNCTION("INDEX(IMPORTRANGE(""1y0FWgjbB0gVlqn-q5LMJbGIsqOrzru4yowQz67dz2yc"", ""'SNG'!BH3:BH139""),MATCH($D113,IMPORTRANGE(""1y0FWgjbB0gVlqn-q5LMJbGIsqOrzru4yowQz67dz2yc"", ""'SNG'!D3:D139""),0))"),"Verde")</f>
        <v>Verde</v>
      </c>
      <c r="AA113" s="13" t="str">
        <f ca="1">IFERROR(__xludf.DUMMYFUNCTION("INDEX(IMPORTRANGE(""1y0FWgjbB0gVlqn-q5LMJbGIsqOrzru4yowQz67dz2yc"", ""'SNG'!BI3:BI139""),MATCH($D113,IMPORTRANGE(""1y0FWgjbB0gVlqn-q5LMJbGIsqOrzru4yowQz67dz2yc"", ""'SNG'!D3:D139""),0))"),"")</f>
        <v/>
      </c>
      <c r="AB113" s="15" t="str">
        <f ca="1">IFERROR(__xludf.DUMMYFUNCTION("INDEX(IMPORTRANGE(""1y0FWgjbB0gVlqn-q5LMJbGIsqOrzru4yowQz67dz2yc"", ""'SNG'!BJ3:BJ139""),MATCH($D113,IMPORTRANGE(""1y0FWgjbB0gVlqn-q5LMJbGIsqOrzru4yowQz67dz2yc"", ""'SNG'!D3:D139""),0))"),"Verde")</f>
        <v>Verde</v>
      </c>
      <c r="AC113" s="1"/>
    </row>
    <row r="114" spans="1:29">
      <c r="A114" s="1"/>
      <c r="B114" s="1"/>
      <c r="C114" s="1"/>
      <c r="D114" s="1"/>
      <c r="E114" s="2"/>
      <c r="F114" s="1"/>
      <c r="G114" s="11" t="s">
        <v>307</v>
      </c>
      <c r="H114" s="181"/>
      <c r="I114" s="1"/>
      <c r="J114" s="1"/>
      <c r="K114" s="1"/>
      <c r="L114" s="1"/>
      <c r="M114" s="1"/>
      <c r="N114" s="1"/>
      <c r="O114" s="1"/>
      <c r="P114" s="2"/>
      <c r="Q114" s="2"/>
      <c r="R114" s="1"/>
      <c r="S114" s="1"/>
      <c r="T114" s="1"/>
      <c r="U114" s="1"/>
      <c r="V114" s="1"/>
      <c r="W114" s="1"/>
      <c r="X114" s="2"/>
      <c r="Y114" s="13"/>
      <c r="Z114" s="2"/>
      <c r="AA114" s="13"/>
      <c r="AB114" s="2"/>
      <c r="AC114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F31E9-586C-F34E-BDD9-18CAE9C57BDB}">
  <dimension ref="A1:M39"/>
  <sheetViews>
    <sheetView topLeftCell="A36" workbookViewId="0">
      <selection activeCell="F2" sqref="F2"/>
    </sheetView>
  </sheetViews>
  <sheetFormatPr baseColWidth="10" defaultRowHeight="16"/>
  <cols>
    <col min="1" max="1" width="10.83203125" style="118"/>
    <col min="3" max="3" width="21.1640625" customWidth="1"/>
    <col min="4" max="4" width="11.6640625" customWidth="1"/>
    <col min="5" max="5" width="11.83203125" customWidth="1"/>
    <col min="7" max="7" width="13.83203125" customWidth="1"/>
    <col min="8" max="8" width="12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SNG'!$D$3:$AB$113,4,0)</f>
        <v>44469</v>
      </c>
      <c r="E2" s="490">
        <f>VLOOKUP(C2,'BD EVA 4 SNG'!$D$3:$AB$113,13,0)</f>
        <v>554</v>
      </c>
      <c r="F2" s="75">
        <f>VLOOKUP(C2,'BD EVA 4 SNG'!$D$3:$AB$113,10,0)</f>
        <v>45382</v>
      </c>
      <c r="G2" s="212">
        <f ca="1">VLOOKUP(C2,'BD EVA 4 SNG'!$D$3:$AC$113,25,0)</f>
        <v>433</v>
      </c>
      <c r="H2" s="212">
        <f>VLOOKUP(C2,'BD EVA 4 SNG'!$D$3:$AC$113,18,0)</f>
        <v>532</v>
      </c>
      <c r="I2" s="78">
        <f ca="1">IF(G2&gt;=E2,G2/H2,0)</f>
        <v>0</v>
      </c>
      <c r="J2" s="72" t="s">
        <v>316</v>
      </c>
      <c r="K2" s="81">
        <v>2.7</v>
      </c>
      <c r="L2" s="81">
        <f t="shared" ref="L2:L39" ca="1" si="0">IF(I2&lt;0,0,IF(I2&gt;1,K2,I2*K2))</f>
        <v>0</v>
      </c>
      <c r="M2" s="124">
        <f ca="1">SUM(L2:L4)</f>
        <v>7.3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SNG'!$D$3:$AB$113,4,0)</f>
        <v>44469</v>
      </c>
      <c r="E3" s="207">
        <f>VLOOKUP(C3,'BD EVA 4 SNG'!$D$3:$AB$113,13,0)</f>
        <v>0.71299638989169678</v>
      </c>
      <c r="F3" s="75">
        <f>VLOOKUP(C3,'BD EVA 4 SNG'!$D$3:$AB$113,10,0)</f>
        <v>45382</v>
      </c>
      <c r="G3" s="207">
        <f ca="1">VLOOKUP(C3,'BD EVA 4 SNG'!$D$3:$AC$113,25,0)</f>
        <v>0.97690531177829099</v>
      </c>
      <c r="H3" s="207" t="str">
        <f>VLOOKUP(C3,'BD EVA 4 SNG'!$D$3:$AC$113,18,0)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SNG'!$D$3:$AB$113,4,0)</f>
        <v>44469</v>
      </c>
      <c r="E4" s="207">
        <f>VLOOKUP(C4,'BD EVA 4 SNG'!$D$3:$AB$113,13,0)</f>
        <v>0</v>
      </c>
      <c r="F4" s="75">
        <f>VLOOKUP(C4,'BD EVA 4 SNG'!$D$3:$AB$113,10,0)</f>
        <v>45382</v>
      </c>
      <c r="G4" s="207">
        <f ca="1">VLOOKUP(C4,'BD EVA 4 SNG'!$D$3:$AC$113,25,0)</f>
        <v>5.5427251732101598E-2</v>
      </c>
      <c r="H4" s="207">
        <f>VLOOKUP(C4,'BD EVA 4 SNG'!$D$3:$AC$113,18,0)</f>
        <v>4.2999999999999997E-2</v>
      </c>
      <c r="I4" s="77">
        <f t="shared" ref="I4:I5" ca="1" si="1">G4/H4</f>
        <v>1.289005854234921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SNG'!$D$3:$AB$113,4,0)</f>
        <v>octubre 20 - mar 21</v>
      </c>
      <c r="E5" s="207">
        <f>VLOOKUP(C5,'BD EVA 4 SNG'!$D$3:$AB$113,13,0)</f>
        <v>0</v>
      </c>
      <c r="F5" s="75" t="str">
        <f>VLOOKUP(C5,'BD EVA 4 SNG'!$D$3:$AB$113,10,0)</f>
        <v>octubre 23- mar 24</v>
      </c>
      <c r="G5" s="207">
        <f ca="1">VLOOKUP(C5,'BD EVA 4 SNG'!$D$3:$AC$113,25,0)</f>
        <v>0.66570271833429695</v>
      </c>
      <c r="H5" s="78">
        <f>VLOOKUP(C5,'BD EVA 4 SNG'!$D$3:$AC$113,18,0)</f>
        <v>0.6</v>
      </c>
      <c r="I5" s="77">
        <f t="shared" ca="1" si="1"/>
        <v>1.1095045305571616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6.6000000000000005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SNG'!$D$3:$AB$113,4,0)</f>
        <v>octubre 20 - mar 21</v>
      </c>
      <c r="E6" s="209">
        <f>VLOOKUP(C6,'BD EVA 4 SNG'!$D$3:$AB$113,13,0)</f>
        <v>4.4112920674465554</v>
      </c>
      <c r="F6" s="75" t="str">
        <f>VLOOKUP(C6,'BD EVA 4 SNG'!$D$3:$AB$113,10,0)</f>
        <v>octubre 23- mar 24</v>
      </c>
      <c r="G6" s="209">
        <f ca="1">VLOOKUP(C6,'BD EVA 4 SNG'!$D$3:$AC$113,25,0)</f>
        <v>4.7057956989027296</v>
      </c>
      <c r="H6" s="82">
        <f>VLOOKUP(C6,'BD EVA 4 SNG'!$D$3:$AC$113,18,0)</f>
        <v>3.8</v>
      </c>
      <c r="I6" s="78">
        <f t="shared" ref="I6:I10" ca="1" si="2">(G6-E6)/(H6-E6)</f>
        <v>-0.48177237549695873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SNG'!$D$3:$AB$113,4,0)</f>
        <v>octubre 20 - mar 21</v>
      </c>
      <c r="E7" s="208">
        <f>VLOOKUP(C7,'BD EVA 4 SNG'!$D$3:$AB$113,13,0)</f>
        <v>107.55150183488745</v>
      </c>
      <c r="F7" s="75" t="str">
        <f>VLOOKUP(C7,'BD EVA 4 SNG'!$D$3:$AB$113,10,0)</f>
        <v>octubre 23- mar 24</v>
      </c>
      <c r="G7" s="208">
        <f ca="1">VLOOKUP(C7,'BD EVA 4 SNG'!$D$3:$AC$113,25,0)</f>
        <v>86.954920523202603</v>
      </c>
      <c r="H7" s="81">
        <f>VLOOKUP(C7,'BD EVA 4 SNG'!$D$3:$AC$113,18,0)</f>
        <v>107</v>
      </c>
      <c r="I7" s="78">
        <f t="shared" ca="1" si="2"/>
        <v>37.346351378664615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SNG'!$D$3:$AB$113,4,0)</f>
        <v>octubre 20 - mar 21</v>
      </c>
      <c r="E8" s="208">
        <f>VLOOKUP(C8,'BD EVA 4 SNG'!$D$3:$AB$113,13,0)</f>
        <v>189.68555890020187</v>
      </c>
      <c r="F8" s="75" t="str">
        <f>VLOOKUP(C8,'BD EVA 4 SNG'!$D$3:$AB$113,10,0)</f>
        <v>octubre 23- mar 24</v>
      </c>
      <c r="G8" s="208">
        <f ca="1">VLOOKUP(C8,'BD EVA 4 SNG'!$D$3:$AC$113,25,0)</f>
        <v>155.905057502777</v>
      </c>
      <c r="H8" s="81">
        <f>VLOOKUP(C8,'BD EVA 4 SNG'!$D$3:$AC$113,18,0)</f>
        <v>159.69999999999999</v>
      </c>
      <c r="I8" s="78">
        <f t="shared" ca="1" si="2"/>
        <v>1.1265590049481267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SNG'!$D$3:$AB$113,4,0)</f>
        <v>octubre 20 - mar 21</v>
      </c>
      <c r="E9" s="208">
        <f>VLOOKUP(C9,'BD EVA 4 SNG'!$D$3:$AB$113,13,0)</f>
        <v>36.760767228721292</v>
      </c>
      <c r="F9" s="75" t="str">
        <f>VLOOKUP(C9,'BD EVA 4 SNG'!$D$3:$AB$113,10,0)</f>
        <v>octubre 23- mar 24</v>
      </c>
      <c r="G9" s="208">
        <f ca="1">VLOOKUP(C9,'BD EVA 4 SNG'!$D$3:$AC$113,25,0)</f>
        <v>24.961177185484001</v>
      </c>
      <c r="H9" s="81">
        <f>VLOOKUP(C9,'BD EVA 4 SNG'!$D$3:$AC$113,18,0)</f>
        <v>36.299999999999997</v>
      </c>
      <c r="I9" s="78">
        <f t="shared" ca="1" si="2"/>
        <v>25.608570461886146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SNG'!$D$3:$AB$113,4,0)</f>
        <v>octubre 20 - mar 21</v>
      </c>
      <c r="E10" s="208">
        <f>VLOOKUP(C10,'BD EVA 4 SNG'!$D$3:$AB$113,13,0)</f>
        <v>4.4112920674465554</v>
      </c>
      <c r="F10" s="75" t="str">
        <f>VLOOKUP(C10,'BD EVA 4 SNG'!$D$3:$AB$113,10,0)</f>
        <v>octubre 23- mar 24</v>
      </c>
      <c r="G10" s="208">
        <f ca="1">VLOOKUP(C10,'BD EVA 4 SNG'!$D$3:$AC$113,25,0)</f>
        <v>6.54719401586466</v>
      </c>
      <c r="H10" s="81">
        <f>VLOOKUP(C10,'BD EVA 4 SNG'!$D$3:$AC$113,18,0)</f>
        <v>3.9</v>
      </c>
      <c r="I10" s="78">
        <f t="shared" ca="1" si="2"/>
        <v>-4.1774595860346819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SNG'!$D$3:$AB$113,4,0)</f>
        <v>44469</v>
      </c>
      <c r="E11" s="78">
        <f>VLOOKUP(C11,'BD EVA 4 SNG'!$D$3:$AB$113,13,0)</f>
        <v>0</v>
      </c>
      <c r="F11" s="89">
        <f>VLOOKUP(C11,'BD EVA 4 SNG'!$D$3:$AB$113,10,0)</f>
        <v>45382</v>
      </c>
      <c r="G11" s="78">
        <f ca="1">VLOOKUP(C11,'BD EVA 4 SNG'!$D$3:$AC$113,25,0)</f>
        <v>0</v>
      </c>
      <c r="H11" s="89" t="str">
        <f>VLOOKUP(C11,'BD EVA 4 SNG'!$D$3:$AC$113,18,0)</f>
        <v>Sin meta</v>
      </c>
      <c r="I11" s="71"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8.9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4 SNG'!$D$3:$AB$113,4,0)</f>
        <v>octubre 20 - mar 21</v>
      </c>
      <c r="E12" s="210">
        <f>VLOOKUP(C12,'BD EVA 4 SNG'!$D$3:$AB$113,13,0)</f>
        <v>0</v>
      </c>
      <c r="F12" s="89" t="str">
        <f>VLOOKUP(C12,'BD EVA 4 SNG'!$D$3:$AB$113,10,0)</f>
        <v>octubre 23- mar 24</v>
      </c>
      <c r="G12" s="210">
        <f ca="1">VLOOKUP(C12,'BD EVA 4 SNG'!$D$3:$AC$113,25,0)</f>
        <v>2.1123249892359198E-3</v>
      </c>
      <c r="H12" s="210">
        <f>VLOOKUP(C12,'BD EVA 4 SNG'!$D$3:$AC$113,18,0)</f>
        <v>1.5E-3</v>
      </c>
      <c r="I12" s="78">
        <f t="shared" ref="I12:I15" ca="1" si="3">G12/H12</f>
        <v>1.4082166594906131</v>
      </c>
      <c r="J12" s="75" t="s">
        <v>318</v>
      </c>
      <c r="K12" s="71">
        <v>1.1000000000000001</v>
      </c>
      <c r="L12" s="211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SNG'!$D$3:$AB$113,4,0)</f>
        <v>octubre 20 - mar 21</v>
      </c>
      <c r="E13" s="212">
        <f>VLOOKUP(C13,'BD EVA 4 SNG'!$D$3:$AB$113,13,0)</f>
        <v>0</v>
      </c>
      <c r="F13" s="89" t="str">
        <f>VLOOKUP(C13,'BD EVA 4 SNG'!$D$3:$AB$113,10,0)</f>
        <v>octubre 21 - mar 24</v>
      </c>
      <c r="G13" s="212">
        <f ca="1">VLOOKUP(C13,'BD EVA 4 SNG'!$D$3:$AC$113,25,0)</f>
        <v>3</v>
      </c>
      <c r="H13" s="212">
        <f>VLOOKUP(C13,'BD EVA 4 SNG'!$D$3:$AC$113,18,0)</f>
        <v>2</v>
      </c>
      <c r="I13" s="78">
        <f t="shared" ca="1" si="3"/>
        <v>1.5</v>
      </c>
      <c r="J13" s="75" t="s">
        <v>318</v>
      </c>
      <c r="K13" s="82">
        <v>2.35</v>
      </c>
      <c r="L13" s="211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SNG'!$D$3:$AB$113,4,0)</f>
        <v>octubre 20 - mar 21</v>
      </c>
      <c r="E14" s="212">
        <f>VLOOKUP(C14,'BD EVA 4 SNG'!$D$3:$AB$113,13,0)</f>
        <v>744</v>
      </c>
      <c r="F14" s="89" t="str">
        <f>VLOOKUP(C14,'BD EVA 4 SNG'!$D$3:$AB$113,10,0)</f>
        <v>octubre 21 - mar 24</v>
      </c>
      <c r="G14" s="212">
        <f ca="1">VLOOKUP(C14,'BD EVA 4 SNG'!$D$3:$AC$113,25,0)</f>
        <v>2517</v>
      </c>
      <c r="H14" s="212">
        <f>VLOOKUP(C14,'BD EVA 4 SNG'!$D$3:$AC$113,18,0)</f>
        <v>875</v>
      </c>
      <c r="I14" s="78">
        <f t="shared" ca="1" si="3"/>
        <v>2.8765714285714288</v>
      </c>
      <c r="J14" s="75" t="s">
        <v>318</v>
      </c>
      <c r="K14" s="82">
        <v>2.35</v>
      </c>
      <c r="L14" s="211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SNG'!$D$3:$AB$113,4,0)</f>
        <v>octubre 20 - mar 21</v>
      </c>
      <c r="E15" s="212">
        <f>VLOOKUP(C15,'BD EVA 4 SNG'!$D$3:$AB$113,13,0)</f>
        <v>19</v>
      </c>
      <c r="F15" s="89" t="str">
        <f>VLOOKUP(C15,'BD EVA 4 SNG'!$D$3:$AB$113,10,0)</f>
        <v>octubre 21 - mar 24</v>
      </c>
      <c r="G15" s="212">
        <f ca="1">VLOOKUP(C15,'BD EVA 4 SNG'!$D$3:$AC$113,25,0)</f>
        <v>85</v>
      </c>
      <c r="H15" s="212">
        <f>VLOOKUP(C15,'BD EVA 4 SNG'!$D$3:$AC$113,18,0)</f>
        <v>75</v>
      </c>
      <c r="I15" s="78">
        <f t="shared" ca="1" si="3"/>
        <v>1.1333333333333333</v>
      </c>
      <c r="J15" s="75" t="s">
        <v>318</v>
      </c>
      <c r="K15" s="71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SNG'!$D$3:$AB$113,4,0)</f>
        <v>44469</v>
      </c>
      <c r="E16" s="213">
        <f>VLOOKUP(C16,'BD EVA 4 SNG'!$D$3:$AB$113,13,0)</f>
        <v>0.33333333333333331</v>
      </c>
      <c r="F16" s="75" t="str">
        <f>VLOOKUP(C16,'BD EVA 4 SNG'!$D$3:$AB$113,10,0)</f>
        <v>octubre 21 - mar 24</v>
      </c>
      <c r="G16" s="213">
        <f ca="1">VLOOKUP(C16,'BD EVA 4 SNG'!$D$3:$AC$113,25,0)</f>
        <v>0.33333333333333298</v>
      </c>
      <c r="H16" s="213" t="str">
        <f>VLOOKUP(C16,'BD EVA 4 SNG'!$D$3:$AC$113,18,0)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0.33333333333333298</v>
      </c>
      <c r="J16" s="75" t="s">
        <v>318</v>
      </c>
      <c r="K16" s="171">
        <v>1.5</v>
      </c>
      <c r="L16" s="209">
        <f t="shared" ca="1" si="0"/>
        <v>0.49999999999999944</v>
      </c>
      <c r="M16" s="130">
        <f ca="1">SUM(L16:L23)</f>
        <v>7.6041766314431412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SNG'!$D$3:$AB$113,4,0)</f>
        <v>44469</v>
      </c>
      <c r="E17" s="212">
        <f>VLOOKUP(C17,'BD EVA 4 SNG'!$D$3:$AB$113,13,0)</f>
        <v>0</v>
      </c>
      <c r="F17" s="75" t="str">
        <f>VLOOKUP(C17,'BD EVA 4 SNG'!$D$3:$AB$113,10,0)</f>
        <v>octubre 21 - mar 24</v>
      </c>
      <c r="G17" s="208">
        <f ca="1">VLOOKUP(C17,'BD EVA 4 SNG'!$D$3:$AC$113,25,0)</f>
        <v>0.5</v>
      </c>
      <c r="H17" s="212" t="str">
        <f>VLOOKUP(C17,'BD EVA 4 SNG'!$D$3:$AC$113,18,0)</f>
        <v>Actualizado al 2019</v>
      </c>
      <c r="I17" s="214">
        <f t="shared" ca="1" si="4"/>
        <v>0.5</v>
      </c>
      <c r="J17" s="75" t="s">
        <v>318</v>
      </c>
      <c r="K17" s="71">
        <v>1.5</v>
      </c>
      <c r="L17" s="209">
        <f t="shared" ca="1" si="0"/>
        <v>0.75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SNG'!$D$3:$AB$113,4,0)</f>
        <v>44469</v>
      </c>
      <c r="E18" s="207">
        <f>VLOOKUP(C18,'BD EVA 4 SNG'!$D$3:$AB$113,13,0)</f>
        <v>0</v>
      </c>
      <c r="F18" s="75" t="str">
        <f>VLOOKUP(C18,'BD EVA 4 SNG'!$D$3:$AB$113,10,0)</f>
        <v>octubre 21 - mar 24</v>
      </c>
      <c r="G18" s="207">
        <f ca="1">VLOOKUP(C18,'BD EVA 4 SNG'!$D$3:$AC$113,25,0)</f>
        <v>0</v>
      </c>
      <c r="H18" s="207">
        <f>VLOOKUP(C18,'BD EVA 4 SNG'!$D$3:$AC$113,18,0)</f>
        <v>1</v>
      </c>
      <c r="I18" s="214">
        <f t="shared" ref="I18:I27" ca="1" si="5">G18/H18</f>
        <v>0</v>
      </c>
      <c r="J18" s="75" t="s">
        <v>318</v>
      </c>
      <c r="K18" s="71">
        <v>0.3</v>
      </c>
      <c r="L18" s="209">
        <f t="shared" ca="1" si="0"/>
        <v>0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SNG'!$D$3:$AB$113,4,0)</f>
        <v>44469</v>
      </c>
      <c r="E19" s="207">
        <f>VLOOKUP(C19,'BD EVA 4 SNG'!$D$3:$AB$113,13,0)</f>
        <v>1</v>
      </c>
      <c r="F19" s="75" t="str">
        <f>VLOOKUP(C19,'BD EVA 4 SNG'!$D$3:$AB$113,10,0)</f>
        <v>octubre 21 - mar 24</v>
      </c>
      <c r="G19" s="207">
        <f ca="1">VLOOKUP(C19,'BD EVA 4 SNG'!$D$3:$AC$113,25,0)</f>
        <v>1</v>
      </c>
      <c r="H19" s="207">
        <f>VLOOKUP(C19,'BD EVA 4 SNG'!$D$3:$AC$113,18,0)</f>
        <v>1</v>
      </c>
      <c r="I19" s="214">
        <f t="shared" ca="1" si="5"/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SNG'!$D$3:$AB$113,4,0)</f>
        <v>44469</v>
      </c>
      <c r="E20" s="214">
        <f>VLOOKUP(C20,'BD EVA 4 SNG'!$D$3:$AB$113,13,0)</f>
        <v>1</v>
      </c>
      <c r="F20" s="75">
        <f>VLOOKUP(C20,'BD EVA 4 SNG'!$D$3:$AB$113,10,0)</f>
        <v>45382</v>
      </c>
      <c r="G20" s="214">
        <f ca="1">VLOOKUP(C20,'BD EVA 4 SNG'!$D$3:$AC$113,25,0)</f>
        <v>1</v>
      </c>
      <c r="H20" s="214">
        <f>VLOOKUP(C20,'BD EVA 4 SNG'!$D$3:$AC$113,18,0)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SNG'!$D$3:$AB$113,4,0)</f>
        <v>44469</v>
      </c>
      <c r="E21" s="207">
        <f>VLOOKUP(C21,'BD EVA 4 SNG'!$D$3:$AB$113,13,0)</f>
        <v>1</v>
      </c>
      <c r="F21" s="75">
        <f>VLOOKUP(C21,'BD EVA 4 SNG'!$D$3:$AB$113,10,0)</f>
        <v>45382</v>
      </c>
      <c r="G21" s="207">
        <f ca="1">VLOOKUP(C21,'BD EVA 4 SNG'!$D$3:$AC$113,25,0)</f>
        <v>1</v>
      </c>
      <c r="H21" s="207">
        <f>VLOOKUP(C21,'BD EVA 4 SNG'!$D$3:$AC$113,18,0)</f>
        <v>1</v>
      </c>
      <c r="I21" s="214">
        <f t="shared" ca="1" si="5"/>
        <v>1</v>
      </c>
      <c r="J21" s="75" t="s">
        <v>318</v>
      </c>
      <c r="K21" s="71">
        <v>0.9</v>
      </c>
      <c r="L21" s="209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SNG'!$D$3:$AB$113,4,0)</f>
        <v>44469</v>
      </c>
      <c r="E22" s="207">
        <f>VLOOKUP(C22,'BD EVA 4 SNG'!$D$3:$AB$113,13,0)</f>
        <v>0.60050254727103991</v>
      </c>
      <c r="F22" s="75">
        <f>VLOOKUP(C22,'BD EVA 4 SNG'!$D$3:$AB$113,10,0)</f>
        <v>45382</v>
      </c>
      <c r="G22" s="207">
        <f ca="1">VLOOKUP(C22,'BD EVA 4 SNG'!$D$3:$AC$113,25,0)</f>
        <v>0.76945108762876102</v>
      </c>
      <c r="H22" s="207">
        <f>VLOOKUP(C22,'BD EVA 4 SNG'!$D$3:$AC$113,18,0)</f>
        <v>1</v>
      </c>
      <c r="I22" s="214">
        <f t="shared" ca="1" si="5"/>
        <v>0.76945108762876102</v>
      </c>
      <c r="J22" s="75" t="s">
        <v>318</v>
      </c>
      <c r="K22" s="71">
        <v>1.5</v>
      </c>
      <c r="L22" s="209">
        <f t="shared" ca="1" si="0"/>
        <v>1.1541766314431414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SNG'!$D$3:$AB$113,4,0)</f>
        <v>octubre 20 - mar 21</v>
      </c>
      <c r="E23" s="208">
        <f>VLOOKUP(C23,'BD EVA 4 SNG'!$D$3:$AB$113,13,0)</f>
        <v>129.41</v>
      </c>
      <c r="F23" s="89" t="str">
        <f>VLOOKUP(C23,'BD EVA 4 SNG'!$D$3:$AB$113,10,0)</f>
        <v>octubre 23 - mar 24</v>
      </c>
      <c r="G23" s="208">
        <f ca="1">VLOOKUP(C23,'BD EVA 4 SNG'!$D$3:$AC$113,25,0)</f>
        <v>143.80000000000001</v>
      </c>
      <c r="H23" s="208">
        <f>VLOOKUP(C23,'BD EVA 4 SNG'!$D$3:$AC$113,18,0)</f>
        <v>142.80000000000001</v>
      </c>
      <c r="I23" s="214">
        <f t="shared" ca="1" si="5"/>
        <v>1.0070028011204482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SNG'!$D$3:$AB$113,4,0)</f>
        <v>44469</v>
      </c>
      <c r="E24" s="171">
        <f>VLOOKUP(C24,'BD EVA 4 SNG'!$D$3:$AB$113,13,0)</f>
        <v>3.2</v>
      </c>
      <c r="F24" s="75">
        <f>VLOOKUP(C24,'BD EVA 4 SNG'!$D$3:$AB$113,10,0)</f>
        <v>45382</v>
      </c>
      <c r="G24" s="171">
        <f ca="1">VLOOKUP(C24,'BD EVA 4 SNG'!$D$3:$AC$113,25,0)</f>
        <v>2</v>
      </c>
      <c r="H24" s="171">
        <f>VLOOKUP(C24,'BD EVA 4 SNG'!$D$3:$AC$113,18,0)</f>
        <v>13.5</v>
      </c>
      <c r="I24" s="214">
        <f t="shared" ca="1" si="5"/>
        <v>0.14814814814814814</v>
      </c>
      <c r="J24" s="75" t="s">
        <v>318</v>
      </c>
      <c r="K24" s="171">
        <v>1.9450000000000001</v>
      </c>
      <c r="L24" s="82">
        <f t="shared" ca="1" si="0"/>
        <v>0.28814814814814815</v>
      </c>
      <c r="M24" s="130">
        <f ca="1">SUM(L24:L28)</f>
        <v>8.3431481481481491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SNG'!$D$3:$AB$113,4,0)</f>
        <v>octubre 20 - mar 21</v>
      </c>
      <c r="E25" s="340">
        <f>VLOOKUP(C25,'BD EVA 4 SNG'!$D$3:$AB$113,13,0)</f>
        <v>0</v>
      </c>
      <c r="F25" s="71" t="str">
        <f>VLOOKUP(C25,'BD EVA 4 SNG'!$D$3:$AB$113,10,0)</f>
        <v>octubre 23 - mar 24</v>
      </c>
      <c r="G25" s="212">
        <f ca="1">VLOOKUP(C25,'BD EVA 4 SNG'!$D$3:$AC$113,25,0)</f>
        <v>4887.2</v>
      </c>
      <c r="H25" s="212">
        <f>VLOOKUP(C25,'BD EVA 4 SNG'!$D$3:$AC$113,18,0)</f>
        <v>4739.5</v>
      </c>
      <c r="I25" s="214">
        <f t="shared" ca="1" si="5"/>
        <v>1.0311636248549425</v>
      </c>
      <c r="J25" s="75" t="s">
        <v>318</v>
      </c>
      <c r="K25" s="171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SNG'!$D$3:$AB$113,4,0)</f>
        <v>enero - diciembre 2021</v>
      </c>
      <c r="E26" s="210">
        <f>VLOOKUP(C26,'BD EVA 4 SNG'!$D$3:$AB$113,13,0)</f>
        <v>0.74115403631420007</v>
      </c>
      <c r="F26" s="71" t="str">
        <f>VLOOKUP(C26,'BD EVA 4 SNG'!$D$3:$AB$113,10,0)</f>
        <v>enero- diciembre 2023</v>
      </c>
      <c r="G26" s="210">
        <f ca="1">VLOOKUP(C26,'BD EVA 4 SNG'!$D$3:$AC$113,25,0)</f>
        <v>0.46508730505477602</v>
      </c>
      <c r="H26" s="210">
        <f>VLOOKUP(C26,'BD EVA 4 SNG'!$D$3:$AC$113,18,0)</f>
        <v>0.45500000000000002</v>
      </c>
      <c r="I26" s="214">
        <f t="shared" ca="1" si="5"/>
        <v>1.022169901219288</v>
      </c>
      <c r="J26" s="75" t="s">
        <v>318</v>
      </c>
      <c r="K26" s="171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SNG'!$D$3:$AB$113,4,0)</f>
        <v>octubre 20 - mar 21</v>
      </c>
      <c r="E27" s="212">
        <f>VLOOKUP(C27,'BD EVA 4 SNG'!$D$3:$AB$113,13,0)</f>
        <v>5</v>
      </c>
      <c r="F27" s="71" t="str">
        <f>VLOOKUP(C27,'BD EVA 4 SNG'!$D$3:$AB$113,10,0)</f>
        <v>octubre 23 - mar 24</v>
      </c>
      <c r="G27" s="212">
        <f ca="1">VLOOKUP(C27,'BD EVA 4 SNG'!$D$3:$AC$113,25,0)</f>
        <v>9</v>
      </c>
      <c r="H27" s="212">
        <f>VLOOKUP(C27,'BD EVA 4 SNG'!$D$3:$AC$113,18,0)</f>
        <v>3</v>
      </c>
      <c r="I27" s="214">
        <f t="shared" ca="1" si="5"/>
        <v>3</v>
      </c>
      <c r="J27" s="75" t="s">
        <v>318</v>
      </c>
      <c r="K27" s="171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SNG'!$D$3:$AB$113,4,0)</f>
        <v>octubre 2018 - marzo 2019</v>
      </c>
      <c r="E28" s="212">
        <f>VLOOKUP(C28,'BD EVA 4 SNG'!$D$3:$AB$113,13,0)</f>
        <v>5753</v>
      </c>
      <c r="F28" s="89" t="str">
        <f>VLOOKUP(C28,'BD EVA 4 SNG'!$D$3:$AB$113,10,0)</f>
        <v>octubre 23 - mar 24</v>
      </c>
      <c r="G28" s="212">
        <f ca="1">VLOOKUP(C28,'BD EVA 4 SNG'!$D$3:$AC$113,25,0)</f>
        <v>5046</v>
      </c>
      <c r="H28" s="212">
        <f>VLOOKUP(C28,'BD EVA 4 SNG'!$D$3:$AC$113,18,0)</f>
        <v>5465</v>
      </c>
      <c r="I28" s="78">
        <f ca="1">(G28-E28)/(H28-E28)</f>
        <v>2.4548611111111112</v>
      </c>
      <c r="J28" s="89" t="s">
        <v>319</v>
      </c>
      <c r="K28" s="171">
        <v>2.2200000000000002</v>
      </c>
      <c r="L28" s="209">
        <f t="shared" ca="1" si="0"/>
        <v>2.2200000000000002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89" t="str">
        <f>VLOOKUP(C29,'BD EVA 4 SNG'!$D$3:$AB$113,4,0)</f>
        <v>octubre 20 - mar 21</v>
      </c>
      <c r="E29" s="212">
        <f>VLOOKUP(C29,'BD EVA 4 SNG'!$D$3:$AB$113,13,0)</f>
        <v>0</v>
      </c>
      <c r="F29" s="89" t="str">
        <f>VLOOKUP(C29,'BD EVA 4 SNG'!$D$3:$AB$113,10,0)</f>
        <v>octubre 23 - mar 24</v>
      </c>
      <c r="G29" s="212">
        <f ca="1">VLOOKUP(C29,'BD EVA 4 SNG'!$D$3:$AC$113,25,0)</f>
        <v>235</v>
      </c>
      <c r="H29" s="212">
        <f>VLOOKUP(C29,'BD EVA 4 SNG'!$D$3:$AC$113,18,0)</f>
        <v>58</v>
      </c>
      <c r="I29" s="78">
        <f t="shared" ref="I29:I33" ca="1" si="6">G29/H29</f>
        <v>4.0517241379310347</v>
      </c>
      <c r="J29" s="75" t="s">
        <v>318</v>
      </c>
      <c r="K29" s="82">
        <v>2</v>
      </c>
      <c r="L29" s="209">
        <f t="shared" ca="1" si="0"/>
        <v>2</v>
      </c>
      <c r="M29" s="130">
        <f ca="1">SUM(L29:L33)</f>
        <v>9.8131868131868067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SNG'!$D$3:$AB$113,4,0)</f>
        <v>44469</v>
      </c>
      <c r="E30" s="212">
        <f>VLOOKUP(C30,'BD EVA 4 SNG'!$D$3:$AB$113,13,0)</f>
        <v>2</v>
      </c>
      <c r="F30" s="75">
        <f>VLOOKUP(C30,'BD EVA 4 SNG'!$D$3:$AB$113,10,0)</f>
        <v>45382</v>
      </c>
      <c r="G30" s="76">
        <f ca="1">VLOOKUP(C30,'BD EVA 4 SNG'!$D$3:$AC$113,25,0)</f>
        <v>71</v>
      </c>
      <c r="H30" s="212">
        <f>VLOOKUP(C30,'BD EVA 4 SNG'!$D$3:$AC$113,18,0)</f>
        <v>70</v>
      </c>
      <c r="I30" s="78">
        <f t="shared" ca="1" si="6"/>
        <v>1.0142857142857142</v>
      </c>
      <c r="J30" s="75" t="s">
        <v>318</v>
      </c>
      <c r="K30" s="82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SNG'!$D$3:$AB$113,4,0)</f>
        <v>44469</v>
      </c>
      <c r="E31" s="212">
        <f>VLOOKUP(C31,'BD EVA 4 SNG'!$D$3:$AB$113,13,0)</f>
        <v>95.55</v>
      </c>
      <c r="F31" s="75" t="str">
        <f>VLOOKUP(C31,'BD EVA 4 SNG'!$D$3:$AB$113,10,0)</f>
        <v>Dic 2023</v>
      </c>
      <c r="G31" s="212">
        <f ca="1">VLOOKUP(C31,'BD EVA 4 SNG'!$D$3:$AC$113,25,0)</f>
        <v>100</v>
      </c>
      <c r="H31" s="212">
        <f>VLOOKUP(C31,'BD EVA 4 SNG'!$D$3:$AC$113,18,0)</f>
        <v>100</v>
      </c>
      <c r="I31" s="78">
        <f t="shared" ca="1" si="6"/>
        <v>1</v>
      </c>
      <c r="J31" s="75" t="s">
        <v>318</v>
      </c>
      <c r="K31" s="82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SNG'!$D$3:$AB$113,4,0)</f>
        <v>44469</v>
      </c>
      <c r="E32" s="209">
        <f>VLOOKUP(C32,'BD EVA 4 SNG'!$D$3:$AB$113,13,0)</f>
        <v>0</v>
      </c>
      <c r="F32" s="75">
        <f>VLOOKUP(C32,'BD EVA 4 SNG'!$D$3:$AB$113,10,0)</f>
        <v>45382</v>
      </c>
      <c r="G32" s="209">
        <f ca="1">VLOOKUP(C32,'BD EVA 4 SNG'!$D$3:$AC$113,25,0)</f>
        <v>3.6783216783216699</v>
      </c>
      <c r="H32" s="209">
        <f>VLOOKUP(C32,'BD EVA 4 SNG'!$D$3:$AC$113,18,0)</f>
        <v>4</v>
      </c>
      <c r="I32" s="78">
        <f t="shared" ca="1" si="6"/>
        <v>0.91958041958041747</v>
      </c>
      <c r="J32" s="75" t="s">
        <v>318</v>
      </c>
      <c r="K32" s="82">
        <v>2</v>
      </c>
      <c r="L32" s="209">
        <f t="shared" ca="1" si="0"/>
        <v>1.8391608391608349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SNG'!$D$3:$AB$113,4,0)</f>
        <v>44469</v>
      </c>
      <c r="E33" s="341">
        <f>VLOOKUP(C33,'BD EVA 4 SNG'!$D$3:$AB$113,13,0)</f>
        <v>0</v>
      </c>
      <c r="F33" s="75">
        <f>VLOOKUP(C33,'BD EVA 4 SNG'!$D$3:$AB$113,10,0)</f>
        <v>45382</v>
      </c>
      <c r="G33" s="207">
        <f ca="1">VLOOKUP(C33,'BD EVA 4 SNG'!$D$3:$AC$113,25,0)</f>
        <v>0.493506493506493</v>
      </c>
      <c r="H33" s="207">
        <f>VLOOKUP(C33,'BD EVA 4 SNG'!$D$3:$AC$113,18,0)</f>
        <v>0.5</v>
      </c>
      <c r="I33" s="78">
        <f t="shared" ca="1" si="6"/>
        <v>0.98701298701298601</v>
      </c>
      <c r="J33" s="75" t="s">
        <v>318</v>
      </c>
      <c r="K33" s="82">
        <v>2</v>
      </c>
      <c r="L33" s="209">
        <f t="shared" ca="1" si="0"/>
        <v>1.974025974025972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SNG'!$D$3:$AB$113,4,0)</f>
        <v>enero - diciembre 2021</v>
      </c>
      <c r="E34" s="78">
        <f>VLOOKUP(C34,'BD EVA 4 SNG'!$D$3:$AB$113,13,0)</f>
        <v>0.27613952645521095</v>
      </c>
      <c r="F34" s="89" t="str">
        <f>VLOOKUP(C34,'BD EVA 4 SNG'!$D$3:$AB$113,10,0)</f>
        <v>enero- diciembre 2023</v>
      </c>
      <c r="G34" s="78">
        <f ca="1">VLOOKUP(C34,'BD EVA 4 SNG'!$D$3:$AC$113,25,0)</f>
        <v>0.315367928500494</v>
      </c>
      <c r="H34" s="78">
        <f>VLOOKUP(C34,'BD EVA 4 SNG'!$D$3:$AC$113,18,0)</f>
        <v>0.28000000000000003</v>
      </c>
      <c r="I34" s="78">
        <f ca="1">(G34/H34)</f>
        <v>1.126314030358907</v>
      </c>
      <c r="J34" s="75" t="s">
        <v>318</v>
      </c>
      <c r="K34" s="85">
        <v>2.1631999999999998</v>
      </c>
      <c r="L34" s="209">
        <f t="shared" ca="1" si="0"/>
        <v>2.1631999999999998</v>
      </c>
      <c r="M34" s="130">
        <f ca="1">SUM(L34:L39)</f>
        <v>9.7996692099056872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SNG'!$D$3:$AB$113,4,0)</f>
        <v>enero - diciembre 2021</v>
      </c>
      <c r="E35" s="78">
        <f>VLOOKUP(C35,'BD EVA 4 SNG'!$D$3:$AB$113,13,0)</f>
        <v>0.3623569208654403</v>
      </c>
      <c r="F35" s="89" t="str">
        <f>VLOOKUP(C35,'BD EVA 4 SNG'!$D$3:$AB$113,10,0)</f>
        <v>enero- diciembre 2023</v>
      </c>
      <c r="G35" s="78">
        <f ca="1">VLOOKUP(C35,'BD EVA 4 SNG'!$D$3:$AC$113,25,0)</f>
        <v>0.36583975032314298</v>
      </c>
      <c r="H35" s="78">
        <f>VLOOKUP(C35,'BD EVA 4 SNG'!$D$3:$AC$113,18,0)</f>
        <v>0.36599999999999999</v>
      </c>
      <c r="I35" s="78">
        <f ca="1">G35/H35</f>
        <v>0.99956215935284964</v>
      </c>
      <c r="J35" s="75" t="s">
        <v>318</v>
      </c>
      <c r="K35" s="85">
        <v>1.3520000000000001</v>
      </c>
      <c r="L35" s="209">
        <f t="shared" ca="1" si="0"/>
        <v>1.3514080394450527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SNG'!$D$3:$AB$113,4,0)</f>
        <v>enero - diciembre 2021</v>
      </c>
      <c r="E36" s="78">
        <f>VLOOKUP(C36,'BD EVA 4 SNG'!$D$3:$AB$113,13,0)</f>
        <v>0.67496403268275473</v>
      </c>
      <c r="F36" s="89" t="str">
        <f>VLOOKUP(C36,'BD EVA 4 SNG'!$D$3:$AB$113,10,0)</f>
        <v>enero- diciembre 2023</v>
      </c>
      <c r="G36" s="78">
        <f ca="1">VLOOKUP(C36,'BD EVA 4 SNG'!$D$3:$AC$113,25,0)</f>
        <v>0.709104030599357</v>
      </c>
      <c r="H36" s="78">
        <f>VLOOKUP(C36,'BD EVA 4 SNG'!$D$3:$AC$113,18,0)</f>
        <v>0.68500000000000005</v>
      </c>
      <c r="I36" s="78">
        <f ca="1">IF(G36&lt;E36,0,G36/H36)</f>
        <v>1.0351883658384773</v>
      </c>
      <c r="J36" s="72" t="s">
        <v>316</v>
      </c>
      <c r="K36" s="85">
        <v>2.1631999999999998</v>
      </c>
      <c r="L36" s="209">
        <f t="shared" ca="1" si="0"/>
        <v>2.1631999999999998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SNG'!$D$3:$AB$113,4,0)</f>
        <v>enero - diciembre 2021</v>
      </c>
      <c r="E37" s="90">
        <f>VLOOKUP(C37,'BD EVA 4 SNG'!$D$3:$AB$113,13,0)</f>
        <v>363858395.08999997</v>
      </c>
      <c r="F37" s="89" t="str">
        <f>VLOOKUP(C37,'BD EVA 4 SNG'!$D$3:$AB$113,10,0)</f>
        <v>enero- diciembre 2023</v>
      </c>
      <c r="G37" s="90">
        <f ca="1">VLOOKUP(C37,'BD EVA 4 SNG'!$D$3:$AC$113,25,0)</f>
        <v>392822845</v>
      </c>
      <c r="H37" s="90">
        <f>VLOOKUP(C37,'BD EVA 4 SNG'!$D$3:$AC$113,18,0)</f>
        <v>388611356.37</v>
      </c>
      <c r="I37" s="78">
        <f ca="1">G37/H37</f>
        <v>1.0108372762683502</v>
      </c>
      <c r="J37" s="75" t="s">
        <v>318</v>
      </c>
      <c r="K37" s="85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89" t="str">
        <f>VLOOKUP(C38,'BD EVA 4 SNG'!$D$3:$AB$113,4,0)</f>
        <v>enero - diciembre 2021</v>
      </c>
      <c r="E38" s="78">
        <f>VLOOKUP(C38,'BD EVA 4 SNG'!$D$3:$AB$113,13,0)</f>
        <v>0.70997376864936457</v>
      </c>
      <c r="F38" s="89" t="str">
        <f>VLOOKUP(C38,'BD EVA 4 SNG'!$D$3:$AB$113,10,0)</f>
        <v>enero- diciembre 2023</v>
      </c>
      <c r="G38" s="78">
        <f ca="1">VLOOKUP(C38,'BD EVA 4 SNG'!$D$3:$AC$113,25,0)</f>
        <v>0.79844469706385601</v>
      </c>
      <c r="H38" s="78">
        <f>VLOOKUP(C38,'BD EVA 4 SNG'!$D$3:$AC$113,18,0)</f>
        <v>0.7</v>
      </c>
      <c r="I38" s="78">
        <f ca="1">(H38/G38)</f>
        <v>0.87670442621026901</v>
      </c>
      <c r="J38" s="89" t="s">
        <v>341</v>
      </c>
      <c r="K38" s="85">
        <v>1.62</v>
      </c>
      <c r="L38" s="209">
        <f t="shared" ca="1" si="0"/>
        <v>1.4202611704606358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SNG'!$D$3:$AB$113,4,0)</f>
        <v>Dic 2020</v>
      </c>
      <c r="E39" s="76" t="str">
        <f>VLOOKUP(C39,'BD EVA 4 SNG'!$D$3:$AB$113,13,0)</f>
        <v>Verde</v>
      </c>
      <c r="F39" s="89" t="str">
        <f>VLOOKUP(C39,'BD EVA 4 SNG'!$D$3:$AB$113,10,0)</f>
        <v>Dic 2023</v>
      </c>
      <c r="G39" s="76" t="str">
        <f ca="1">VLOOKUP(C39,'BD EVA 4 SNG'!$D$3:$AC$113,25,0)</f>
        <v>Verde</v>
      </c>
      <c r="H39" s="76" t="str">
        <f>VLOOKUP(C39,'BD EVA 4 SNG'!$D$3:$AC$113,18,0)</f>
        <v>Verde</v>
      </c>
      <c r="I39" s="76">
        <f ca="1">IF(G39="Verde",1,0)</f>
        <v>1</v>
      </c>
      <c r="J39" s="75" t="s">
        <v>318</v>
      </c>
      <c r="K39" s="85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8477-3460-F947-9ECE-0F9EE127F723}">
  <dimension ref="A1:AE113"/>
  <sheetViews>
    <sheetView workbookViewId="0">
      <selection sqref="A1:XFD1"/>
    </sheetView>
  </sheetViews>
  <sheetFormatPr baseColWidth="10" defaultRowHeight="16"/>
  <sheetData>
    <row r="1" spans="1:31" s="185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13"/>
      <c r="Q2" s="12">
        <v>476051</v>
      </c>
      <c r="R2" s="12">
        <v>476051</v>
      </c>
      <c r="S2" s="12">
        <v>476051</v>
      </c>
      <c r="T2" s="13"/>
      <c r="U2" s="316"/>
      <c r="V2" s="316"/>
      <c r="W2" s="316"/>
      <c r="X2" s="316"/>
      <c r="Y2" s="316"/>
      <c r="Z2" s="12">
        <v>479050</v>
      </c>
      <c r="AA2" s="12">
        <v>479050</v>
      </c>
      <c r="AB2" s="12">
        <v>483249</v>
      </c>
      <c r="AC2" s="12">
        <v>483249</v>
      </c>
      <c r="AD2" s="12">
        <v>488759</v>
      </c>
      <c r="AE2" s="12">
        <v>488759</v>
      </c>
    </row>
    <row r="3" spans="1:31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554</v>
      </c>
      <c r="R3" s="2">
        <v>554</v>
      </c>
      <c r="S3" s="2">
        <f ca="1">IFERROR(__xludf.DUMMYFUNCTION("INDEX(IMPORTRANGE(""17pNv02DXDpQT9S3w4-QeNym2QJy2BzMBqDXp-XtzJBM"", ""'SNG'!BG3:BG139""),MATCH($D3,IMPORTRANGE(""17pNv02DXDpQT9S3w4-QeNym2QJy2BzMBqDXp-XtzJBM"", ""'SNG'!D3:D139""),0))"),554)</f>
        <v>554</v>
      </c>
      <c r="T3" s="4">
        <v>479</v>
      </c>
      <c r="U3" s="4">
        <v>497</v>
      </c>
      <c r="V3" s="4">
        <v>514</v>
      </c>
      <c r="W3" s="4">
        <v>532</v>
      </c>
      <c r="X3" s="6">
        <f>((Y3-W3)/6)*5+W3</f>
        <v>547</v>
      </c>
      <c r="Y3" s="4">
        <v>550</v>
      </c>
      <c r="Z3" s="2">
        <f ca="1">IFERROR(__xludf.DUMMYFUNCTION("INDEX(IMPORTRANGE(""17pNv02DXDpQT9S3w4-QeNym2QJy2BzMBqDXp-XtzJBM"", ""'SNG'!BH3:BH139""),MATCH($D3,IMPORTRANGE(""17pNv02DXDpQT9S3w4-QeNym2QJy2BzMBqDXp-XtzJBM"", ""'SNG'!D3:D139""),0))"),461)</f>
        <v>461</v>
      </c>
      <c r="AA3" s="2">
        <f ca="1">IFERROR(__xludf.DUMMYFUNCTION("INDEX(IMPORTRANGE(""17pNv02DXDpQT9S3w4-QeNym2QJy2BzMBqDXp-XtzJBM"", ""'SNG'!BI3:BI139""),MATCH($D3,IMPORTRANGE(""17pNv02DXDpQT9S3w4-QeNym2QJy2BzMBqDXp-XtzJBM"", ""'SNG'!D3:D139""),0))"),462)</f>
        <v>462</v>
      </c>
      <c r="AB3" s="2">
        <f ca="1">IFERROR(__xludf.DUMMYFUNCTION("INDEX(IMPORTRANGE(""17pNv02DXDpQT9S3w4-QeNym2QJy2BzMBqDXp-XtzJBM"", ""'SNG'!BJ3:BJ139""),MATCH($D3,IMPORTRANGE(""17pNv02DXDpQT9S3w4-QeNym2QJy2BzMBqDXp-XtzJBM"", ""'SNG'!D3:D139""),0))"),447)</f>
        <v>447</v>
      </c>
      <c r="AC3" s="2">
        <f ca="1">IFERROR(__xludf.DUMMYFUNCTION("INDEX(IMPORTRANGE(""17pNv02DXDpQT9S3w4-QeNym2QJy2BzMBqDXp-XtzJBM"", ""'SNG'!BK3:BK139""),MATCH($D3,IMPORTRANGE(""17pNv02DXDpQT9S3w4-QeNym2QJy2BzMBqDXp-XtzJBM"", ""'SNG'!D3:D139""),0))"),446)</f>
        <v>446</v>
      </c>
      <c r="AD3" s="2">
        <f ca="1">IFERROR(__xludf.DUMMYFUNCTION("INDEX(IMPORTRANGE(""17pNv02DXDpQT9S3w4-QeNym2QJy2BzMBqDXp-XtzJBM"", ""'SNG'!BL3:BL139""),MATCH($D3,IMPORTRANGE(""17pNv02DXDpQT9S3w4-QeNym2QJy2BzMBqDXp-XtzJBM"", ""'SNG'!D3:D139""),0))"),433)</f>
        <v>433</v>
      </c>
      <c r="AE3" s="2">
        <f ca="1">IFERROR(__xludf.DUMMYFUNCTION("INDEX(IMPORTRANGE(""17pNv02DXDpQT9S3w4-QeNym2QJy2BzMBqDXp-XtzJBM"", ""'SNG'!BM3:BM139""),MATCH($D3,IMPORTRANGE(""17pNv02DXDpQT9S3w4-QeNym2QJy2BzMBqDXp-XtzJBM"", ""'SNG'!D3:D139""),0))"),444)</f>
        <v>444</v>
      </c>
    </row>
    <row r="4" spans="1:31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395</v>
      </c>
      <c r="R4" s="2">
        <v>395</v>
      </c>
      <c r="S4" s="2">
        <f ca="1">IFERROR(__xludf.DUMMYFUNCTION("INDEX(IMPORTRANGE(""17pNv02DXDpQT9S3w4-QeNym2QJy2BzMBqDXp-XtzJBM"", ""'SNG'!BG3:BG139""),MATCH($D4,IMPORTRANGE(""17pNv02DXDpQT9S3w4-QeNym2QJy2BzMBqDXp-XtzJBM"", ""'SNG'!D3:D139""),0))"),395)</f>
        <v>395</v>
      </c>
      <c r="T4" s="13"/>
      <c r="U4" s="13"/>
      <c r="V4" s="13"/>
      <c r="W4" s="13"/>
      <c r="X4" s="13"/>
      <c r="Y4" s="13"/>
      <c r="Z4" s="2">
        <f ca="1">IFERROR(__xludf.DUMMYFUNCTION("INDEX(IMPORTRANGE(""17pNv02DXDpQT9S3w4-QeNym2QJy2BzMBqDXp-XtzJBM"", ""'SNG'!BH3:BH139""),MATCH($D4,IMPORTRANGE(""17pNv02DXDpQT9S3w4-QeNym2QJy2BzMBqDXp-XtzJBM"", ""'SNG'!D3:D139""),0))"),447)</f>
        <v>447</v>
      </c>
      <c r="AA4" s="2">
        <f ca="1">IFERROR(__xludf.DUMMYFUNCTION("INDEX(IMPORTRANGE(""17pNv02DXDpQT9S3w4-QeNym2QJy2BzMBqDXp-XtzJBM"", ""'SNG'!BI3:BI139""),MATCH($D4,IMPORTRANGE(""17pNv02DXDpQT9S3w4-QeNym2QJy2BzMBqDXp-XtzJBM"", ""'SNG'!D3:D139""),0))"),462)</f>
        <v>462</v>
      </c>
      <c r="AB4" s="2">
        <f ca="1">IFERROR(__xludf.DUMMYFUNCTION("INDEX(IMPORTRANGE(""17pNv02DXDpQT9S3w4-QeNym2QJy2BzMBqDXp-XtzJBM"", ""'SNG'!BJ3:BJ139""),MATCH($D4,IMPORTRANGE(""17pNv02DXDpQT9S3w4-QeNym2QJy2BzMBqDXp-XtzJBM"", ""'SNG'!D3:D139""),0))"),447)</f>
        <v>447</v>
      </c>
      <c r="AC4" s="2">
        <f ca="1">IFERROR(__xludf.DUMMYFUNCTION("INDEX(IMPORTRANGE(""17pNv02DXDpQT9S3w4-QeNym2QJy2BzMBqDXp-XtzJBM"", ""'SNG'!BK3:BK139""),MATCH($D4,IMPORTRANGE(""17pNv02DXDpQT9S3w4-QeNym2QJy2BzMBqDXp-XtzJBM"", ""'SNG'!D3:D139""),0))"),446)</f>
        <v>446</v>
      </c>
      <c r="AD4" s="2">
        <f ca="1">IFERROR(__xludf.DUMMYFUNCTION("INDEX(IMPORTRANGE(""17pNv02DXDpQT9S3w4-QeNym2QJy2BzMBqDXp-XtzJBM"", ""'SNG'!BL3:BL139""),MATCH($D4,IMPORTRANGE(""17pNv02DXDpQT9S3w4-QeNym2QJy2BzMBqDXp-XtzJBM"", ""'SNG'!D3:D139""),0))"),423)</f>
        <v>423</v>
      </c>
      <c r="AE4" s="2">
        <f ca="1">IFERROR(__xludf.DUMMYFUNCTION("INDEX(IMPORTRANGE(""17pNv02DXDpQT9S3w4-QeNym2QJy2BzMBqDXp-XtzJBM"", ""'SNG'!BM3:BM139""),MATCH($D4,IMPORTRANGE(""17pNv02DXDpQT9S3w4-QeNym2QJy2BzMBqDXp-XtzJBM"", ""'SNG'!D3:D139""),0))"),444)</f>
        <v>444</v>
      </c>
    </row>
    <row r="5" spans="1:31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0.71299638989169678</v>
      </c>
      <c r="R5" s="15">
        <f t="shared" si="0"/>
        <v>0.71299638989169678</v>
      </c>
      <c r="S5" s="15">
        <f ca="1">IFERROR(__xludf.DUMMYFUNCTION("INDEX(IMPORTRANGE(""17pNv02DXDpQT9S3w4-QeNym2QJy2BzMBqDXp-XtzJBM"", ""'SNG'!BG3:BG139""),MATCH($D5,IMPORTRANGE(""17pNv02DXDpQT9S3w4-QeNym2QJy2BzMBqDXp-XtzJBM"", ""'SNG'!D3:D139""),0))"),0.712996389891696)</f>
        <v>0.712996389891696</v>
      </c>
      <c r="T5" s="14" t="s">
        <v>327</v>
      </c>
      <c r="U5" s="14" t="s">
        <v>327</v>
      </c>
      <c r="V5" s="14" t="s">
        <v>327</v>
      </c>
      <c r="W5" s="14" t="s">
        <v>327</v>
      </c>
      <c r="X5" s="14" t="s">
        <v>327</v>
      </c>
      <c r="Y5" s="14" t="s">
        <v>327</v>
      </c>
      <c r="Z5" s="15">
        <f ca="1">IFERROR(__xludf.DUMMYFUNCTION("INDEX(IMPORTRANGE(""17pNv02DXDpQT9S3w4-QeNym2QJy2BzMBqDXp-XtzJBM"", ""'SNG'!BH3:BH139""),MATCH($D5,IMPORTRANGE(""17pNv02DXDpQT9S3w4-QeNym2QJy2BzMBqDXp-XtzJBM"", ""'SNG'!D3:D139""),0))"),0.969631236442516)</f>
        <v>0.96963123644251603</v>
      </c>
      <c r="AA5" s="15">
        <f ca="1">IFERROR(__xludf.DUMMYFUNCTION("INDEX(IMPORTRANGE(""17pNv02DXDpQT9S3w4-QeNym2QJy2BzMBqDXp-XtzJBM"", ""'SNG'!BI3:BI139""),MATCH($D5,IMPORTRANGE(""17pNv02DXDpQT9S3w4-QeNym2QJy2BzMBqDXp-XtzJBM"", ""'SNG'!D3:D139""),0))"),1)</f>
        <v>1</v>
      </c>
      <c r="AB5" s="15">
        <f ca="1">IFERROR(__xludf.DUMMYFUNCTION("INDEX(IMPORTRANGE(""17pNv02DXDpQT9S3w4-QeNym2QJy2BzMBqDXp-XtzJBM"", ""'SNG'!BJ3:BJ139""),MATCH($D5,IMPORTRANGE(""17pNv02DXDpQT9S3w4-QeNym2QJy2BzMBqDXp-XtzJBM"", ""'SNG'!D3:D139""),0))"),1)</f>
        <v>1</v>
      </c>
      <c r="AC5" s="15">
        <f ca="1">IFERROR(__xludf.DUMMYFUNCTION("INDEX(IMPORTRANGE(""17pNv02DXDpQT9S3w4-QeNym2QJy2BzMBqDXp-XtzJBM"", ""'SNG'!BK3:BK139""),MATCH($D5,IMPORTRANGE(""17pNv02DXDpQT9S3w4-QeNym2QJy2BzMBqDXp-XtzJBM"", ""'SNG'!D3:D139""),0))"),1)</f>
        <v>1</v>
      </c>
      <c r="AD5" s="15">
        <f ca="1">IFERROR(__xludf.DUMMYFUNCTION("INDEX(IMPORTRANGE(""17pNv02DXDpQT9S3w4-QeNym2QJy2BzMBqDXp-XtzJBM"", ""'SNG'!BL3:BL139""),MATCH($D5,IMPORTRANGE(""17pNv02DXDpQT9S3w4-QeNym2QJy2BzMBqDXp-XtzJBM"", ""'SNG'!D3:D139""),0))"),0.976905311778291)</f>
        <v>0.97690531177829099</v>
      </c>
      <c r="AE5" s="15">
        <f ca="1">IFERROR(__xludf.DUMMYFUNCTION("INDEX(IMPORTRANGE(""17pNv02DXDpQT9S3w4-QeNym2QJy2BzMBqDXp-XtzJBM"", ""'SNG'!BM3:BM139""),MATCH($D5,IMPORTRANGE(""17pNv02DXDpQT9S3w4-QeNym2QJy2BzMBqDXp-XtzJBM"", ""'SNG'!D3:D139""),0))"),1)</f>
        <v>1</v>
      </c>
    </row>
    <row r="6" spans="1:31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430"/>
      <c r="R6" s="418"/>
      <c r="S6" s="2">
        <f ca="1">IFERROR(__xludf.DUMMYFUNCTION("INDEX(IMPORTRANGE(""17pNv02DXDpQT9S3w4-QeNym2QJy2BzMBqDXp-XtzJBM"", ""'SNG'!BG3:BG139""),MATCH($D6,IMPORTRANGE(""17pNv02DXDpQT9S3w4-QeNym2QJy2BzMBqDXp-XtzJBM"", ""'SNG'!D3:D139""),0))"),17)</f>
        <v>17</v>
      </c>
      <c r="T6" s="1"/>
      <c r="U6" s="1"/>
      <c r="V6" s="1"/>
      <c r="W6" s="1"/>
      <c r="X6" s="1"/>
      <c r="Y6" s="1"/>
      <c r="Z6" s="2">
        <f ca="1">IFERROR(__xludf.DUMMYFUNCTION("INDEX(IMPORTRANGE(""17pNv02DXDpQT9S3w4-QeNym2QJy2BzMBqDXp-XtzJBM"", ""'SNG'!BH3:BH139""),MATCH($D6,IMPORTRANGE(""17pNv02DXDpQT9S3w4-QeNym2QJy2BzMBqDXp-XtzJBM"", ""'SNG'!D3:D139""),0))"),5)</f>
        <v>5</v>
      </c>
      <c r="AA6" s="2">
        <f ca="1">IFERROR(__xludf.DUMMYFUNCTION("INDEX(IMPORTRANGE(""17pNv02DXDpQT9S3w4-QeNym2QJy2BzMBqDXp-XtzJBM"", ""'SNG'!BI3:BI139""),MATCH($D6,IMPORTRANGE(""17pNv02DXDpQT9S3w4-QeNym2QJy2BzMBqDXp-XtzJBM"", ""'SNG'!D3:D139""),0))"),16)</f>
        <v>16</v>
      </c>
      <c r="AB6" s="2">
        <f ca="1">IFERROR(__xludf.DUMMYFUNCTION("INDEX(IMPORTRANGE(""17pNv02DXDpQT9S3w4-QeNym2QJy2BzMBqDXp-XtzJBM"", ""'SNG'!BJ3:BJ139""),MATCH($D6,IMPORTRANGE(""17pNv02DXDpQT9S3w4-QeNym2QJy2BzMBqDXp-XtzJBM"", ""'SNG'!D3:D139""),0))"),19)</f>
        <v>19</v>
      </c>
      <c r="AC6" s="2">
        <f ca="1">IFERROR(__xludf.DUMMYFUNCTION("INDEX(IMPORTRANGE(""17pNv02DXDpQT9S3w4-QeNym2QJy2BzMBqDXp-XtzJBM"", ""'SNG'!BK3:BK139""),MATCH($D6,IMPORTRANGE(""17pNv02DXDpQT9S3w4-QeNym2QJy2BzMBqDXp-XtzJBM"", ""'SNG'!D3:D139""),0))"),22)</f>
        <v>22</v>
      </c>
      <c r="AD6" s="2">
        <f ca="1">IFERROR(__xludf.DUMMYFUNCTION("INDEX(IMPORTRANGE(""17pNv02DXDpQT9S3w4-QeNym2QJy2BzMBqDXp-XtzJBM"", ""'SNG'!BL3:BL139""),MATCH($D6,IMPORTRANGE(""17pNv02DXDpQT9S3w4-QeNym2QJy2BzMBqDXp-XtzJBM"", ""'SNG'!D3:D139""),0))"),24)</f>
        <v>24</v>
      </c>
      <c r="AE6" s="2">
        <f ca="1">IFERROR(__xludf.DUMMYFUNCTION("INDEX(IMPORTRANGE(""17pNv02DXDpQT9S3w4-QeNym2QJy2BzMBqDXp-XtzJBM"", ""'SNG'!BM3:BM139""),MATCH($D6,IMPORTRANGE(""17pNv02DXDpQT9S3w4-QeNym2QJy2BzMBqDXp-XtzJBM"", ""'SNG'!D3:D139""),0))"),26)</f>
        <v>26</v>
      </c>
    </row>
    <row r="7" spans="1:31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430"/>
      <c r="R7" s="418"/>
      <c r="S7" s="2">
        <f ca="1">IFERROR(__xludf.DUMMYFUNCTION("INDEX(IMPORTRANGE(""17pNv02DXDpQT9S3w4-QeNym2QJy2BzMBqDXp-XtzJBM"", ""'SNG'!BG3:BG139""),MATCH($D7,IMPORTRANGE(""17pNv02DXDpQT9S3w4-QeNym2QJy2BzMBqDXp-XtzJBM"", ""'SNG'!D3:D139""),0))"),0)</f>
        <v>0</v>
      </c>
      <c r="T7" s="1"/>
      <c r="U7" s="1"/>
      <c r="V7" s="1"/>
      <c r="W7" s="1"/>
      <c r="X7" s="1"/>
      <c r="Y7" s="1"/>
      <c r="Z7" s="2" t="str">
        <f ca="1">IFERROR(__xludf.DUMMYFUNCTION("INDEX(IMPORTRANGE(""17pNv02DXDpQT9S3w4-QeNym2QJy2BzMBqDXp-XtzJBM"", ""'SNG'!BH3:BH139""),MATCH($D7,IMPORTRANGE(""17pNv02DXDpQT9S3w4-QeNym2QJy2BzMBqDXp-XtzJBM"", ""'SNG'!D3:D139""),0))"),"")</f>
        <v/>
      </c>
      <c r="AA7" s="2">
        <f ca="1">IFERROR(__xludf.DUMMYFUNCTION("INDEX(IMPORTRANGE(""17pNv02DXDpQT9S3w4-QeNym2QJy2BzMBqDXp-XtzJBM"", ""'SNG'!BI3:BI139""),MATCH($D7,IMPORTRANGE(""17pNv02DXDpQT9S3w4-QeNym2QJy2BzMBqDXp-XtzJBM"", ""'SNG'!D3:D139""),0))"),0)</f>
        <v>0</v>
      </c>
      <c r="AB7" s="2">
        <f ca="1">IFERROR(__xludf.DUMMYFUNCTION("INDEX(IMPORTRANGE(""17pNv02DXDpQT9S3w4-QeNym2QJy2BzMBqDXp-XtzJBM"", ""'SNG'!BJ3:BJ139""),MATCH($D7,IMPORTRANGE(""17pNv02DXDpQT9S3w4-QeNym2QJy2BzMBqDXp-XtzJBM"", ""'SNG'!D3:D139""),0))"),0)</f>
        <v>0</v>
      </c>
      <c r="AC7" s="2">
        <f ca="1">IFERROR(__xludf.DUMMYFUNCTION("INDEX(IMPORTRANGE(""17pNv02DXDpQT9S3w4-QeNym2QJy2BzMBqDXp-XtzJBM"", ""'SNG'!BK3:BK139""),MATCH($D7,IMPORTRANGE(""17pNv02DXDpQT9S3w4-QeNym2QJy2BzMBqDXp-XtzJBM"", ""'SNG'!D3:D139""),0))"),5)</f>
        <v>5</v>
      </c>
      <c r="AD7" s="2">
        <f ca="1">IFERROR(__xludf.DUMMYFUNCTION("INDEX(IMPORTRANGE(""17pNv02DXDpQT9S3w4-QeNym2QJy2BzMBqDXp-XtzJBM"", ""'SNG'!BL3:BL139""),MATCH($D7,IMPORTRANGE(""17pNv02DXDpQT9S3w4-QeNym2QJy2BzMBqDXp-XtzJBM"", ""'SNG'!D3:D139""),0))"),0)</f>
        <v>0</v>
      </c>
      <c r="AE7" s="2">
        <f ca="1">IFERROR(__xludf.DUMMYFUNCTION("INDEX(IMPORTRANGE(""17pNv02DXDpQT9S3w4-QeNym2QJy2BzMBqDXp-XtzJBM"", ""'SNG'!BM3:BM139""),MATCH($D7,IMPORTRANGE(""17pNv02DXDpQT9S3w4-QeNym2QJy2BzMBqDXp-XtzJBM"", ""'SNG'!D3:D139""),0))"),5)</f>
        <v>5</v>
      </c>
    </row>
    <row r="8" spans="1:31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420">
        <f t="shared" ref="Q8:R8" si="1">Q6/Q3</f>
        <v>0</v>
      </c>
      <c r="R8" s="420">
        <f t="shared" si="1"/>
        <v>0</v>
      </c>
      <c r="S8" s="15">
        <f ca="1">IFERROR(__xludf.DUMMYFUNCTION("INDEX(IMPORTRANGE(""17pNv02DXDpQT9S3w4-QeNym2QJy2BzMBqDXp-XtzJBM"", ""'SNG'!BG3:BG139""),MATCH($D8,IMPORTRANGE(""17pNv02DXDpQT9S3w4-QeNym2QJy2BzMBqDXp-XtzJBM"", ""'SNG'!D3:D139""),0))"),0.0306859205776173)</f>
        <v>3.06859205776173E-2</v>
      </c>
      <c r="T8" s="15">
        <v>3.6999999999999998E-2</v>
      </c>
      <c r="U8" s="15">
        <v>3.9E-2</v>
      </c>
      <c r="V8" s="15">
        <v>4.1000000000000002E-2</v>
      </c>
      <c r="W8" s="15">
        <v>4.2999999999999997E-2</v>
      </c>
      <c r="X8" s="26">
        <f>((Y8-W8)/6)*5+W8</f>
        <v>4.4666666666666667E-2</v>
      </c>
      <c r="Y8" s="15">
        <v>4.4999999999999998E-2</v>
      </c>
      <c r="Z8" s="15">
        <f ca="1">IFERROR(__xludf.DUMMYFUNCTION("INDEX(IMPORTRANGE(""17pNv02DXDpQT9S3w4-QeNym2QJy2BzMBqDXp-XtzJBM"", ""'SNG'!BH3:BH139""),MATCH($D8,IMPORTRANGE(""17pNv02DXDpQT9S3w4-QeNym2QJy2BzMBqDXp-XtzJBM"", ""'SNG'!D3:D139""),0))"),0.0108459869848156)</f>
        <v>1.0845986984815601E-2</v>
      </c>
      <c r="AA8" s="15">
        <f ca="1">IFERROR(__xludf.DUMMYFUNCTION("INDEX(IMPORTRANGE(""17pNv02DXDpQT9S3w4-QeNym2QJy2BzMBqDXp-XtzJBM"", ""'SNG'!BI3:BI139""),MATCH($D8,IMPORTRANGE(""17pNv02DXDpQT9S3w4-QeNym2QJy2BzMBqDXp-XtzJBM"", ""'SNG'!D3:D139""),0))"),0.0346320346320346)</f>
        <v>3.4632034632034597E-2</v>
      </c>
      <c r="AB8" s="15">
        <f ca="1">IFERROR(__xludf.DUMMYFUNCTION("INDEX(IMPORTRANGE(""17pNv02DXDpQT9S3w4-QeNym2QJy2BzMBqDXp-XtzJBM"", ""'SNG'!BJ3:BJ139""),MATCH($D8,IMPORTRANGE(""17pNv02DXDpQT9S3w4-QeNym2QJy2BzMBqDXp-XtzJBM"", ""'SNG'!D3:D139""),0))"),0.0425055928411633)</f>
        <v>4.25055928411633E-2</v>
      </c>
      <c r="AC8" s="15">
        <f ca="1">IFERROR(__xludf.DUMMYFUNCTION("INDEX(IMPORTRANGE(""17pNv02DXDpQT9S3w4-QeNym2QJy2BzMBqDXp-XtzJBM"", ""'SNG'!BK3:BK139""),MATCH($D8,IMPORTRANGE(""17pNv02DXDpQT9S3w4-QeNym2QJy2BzMBqDXp-XtzJBM"", ""'SNG'!D3:D139""),0))"),0.0605381165919282)</f>
        <v>6.0538116591928197E-2</v>
      </c>
      <c r="AD8" s="15">
        <f ca="1">IFERROR(__xludf.DUMMYFUNCTION("INDEX(IMPORTRANGE(""17pNv02DXDpQT9S3w4-QeNym2QJy2BzMBqDXp-XtzJBM"", ""'SNG'!BL3:BL139""),MATCH($D8,IMPORTRANGE(""17pNv02DXDpQT9S3w4-QeNym2QJy2BzMBqDXp-XtzJBM"", ""'SNG'!D3:D139""),0))"),0.0554272517321016)</f>
        <v>5.5427251732101598E-2</v>
      </c>
      <c r="AE8" s="15">
        <f ca="1">IFERROR(__xludf.DUMMYFUNCTION("INDEX(IMPORTRANGE(""17pNv02DXDpQT9S3w4-QeNym2QJy2BzMBqDXp-XtzJBM"", ""'SNG'!BM3:BM139""),MATCH($D8,IMPORTRANGE(""17pNv02DXDpQT9S3w4-QeNym2QJy2BzMBqDXp-XtzJBM"", ""'SNG'!D3:D139""),0))"),0.0698198198198198)</f>
        <v>6.9819819819819801E-2</v>
      </c>
    </row>
    <row r="9" spans="1:31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65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12">
        <v>0</v>
      </c>
      <c r="R9" s="12">
        <v>0</v>
      </c>
      <c r="S9" s="12">
        <f ca="1">IFERROR(__xludf.DUMMYFUNCTION("INDEX(IMPORTRANGE(""17pNv02DXDpQT9S3w4-QeNym2QJy2BzMBqDXp-XtzJBM"", ""'SNG'!BG3:BG139""),MATCH($D9,IMPORTRANGE(""17pNv02DXDpQT9S3w4-QeNym2QJy2BzMBqDXp-XtzJBM"", ""'SNG'!D3:D139""),0))"),0)</f>
        <v>0</v>
      </c>
      <c r="T9" s="13"/>
      <c r="U9" s="13"/>
      <c r="V9" s="13"/>
      <c r="W9" s="13"/>
      <c r="X9" s="13"/>
      <c r="Y9" s="13"/>
      <c r="Z9" s="12">
        <f ca="1">IFERROR(__xludf.DUMMYFUNCTION("INDEX(IMPORTRANGE(""17pNv02DXDpQT9S3w4-QeNym2QJy2BzMBqDXp-XtzJBM"", ""'SNG'!BH3:BH139""),MATCH($D9,IMPORTRANGE(""17pNv02DXDpQT9S3w4-QeNym2QJy2BzMBqDXp-XtzJBM"", ""'SNG'!D3:D139""),0))"),0)</f>
        <v>0</v>
      </c>
      <c r="AA9" s="12">
        <f ca="1">IFERROR(__xludf.DUMMYFUNCTION("INDEX(IMPORTRANGE(""17pNv02DXDpQT9S3w4-QeNym2QJy2BzMBqDXp-XtzJBM"", ""'SNG'!BI3:BI139""),MATCH($D9,IMPORTRANGE(""17pNv02DXDpQT9S3w4-QeNym2QJy2BzMBqDXp-XtzJBM"", ""'SNG'!D3:D139""),0))"),337)</f>
        <v>337</v>
      </c>
      <c r="AB9" s="12">
        <f ca="1">IFERROR(__xludf.DUMMYFUNCTION("INDEX(IMPORTRANGE(""17pNv02DXDpQT9S3w4-QeNym2QJy2BzMBqDXp-XtzJBM"", ""'SNG'!BJ3:BJ139""),MATCH($D9,IMPORTRANGE(""17pNv02DXDpQT9S3w4-QeNym2QJy2BzMBqDXp-XtzJBM"", ""'SNG'!D3:D139""),0))"),433)</f>
        <v>433</v>
      </c>
      <c r="AC9" s="12">
        <f ca="1">IFERROR(__xludf.DUMMYFUNCTION("INDEX(IMPORTRANGE(""17pNv02DXDpQT9S3w4-QeNym2QJy2BzMBqDXp-XtzJBM"", ""'SNG'!BK3:BK139""),MATCH($D9,IMPORTRANGE(""17pNv02DXDpQT9S3w4-QeNym2QJy2BzMBqDXp-XtzJBM"", ""'SNG'!D3:D139""),0))"),1281)</f>
        <v>1281</v>
      </c>
      <c r="AD9" s="12">
        <f ca="1">IFERROR(__xludf.DUMMYFUNCTION("INDEX(IMPORTRANGE(""17pNv02DXDpQT9S3w4-QeNym2QJy2BzMBqDXp-XtzJBM"", ""'SNG'!BL3:BL139""),MATCH($D9,IMPORTRANGE(""17pNv02DXDpQT9S3w4-QeNym2QJy2BzMBqDXp-XtzJBM"", ""'SNG'!D3:D139""),0))"),1151)</f>
        <v>1151</v>
      </c>
      <c r="AE9" s="12">
        <f ca="1">IFERROR(__xludf.DUMMYFUNCTION("INDEX(IMPORTRANGE(""17pNv02DXDpQT9S3w4-QeNym2QJy2BzMBqDXp-XtzJBM"", ""'SNG'!BM3:BM139""),MATCH($D9,IMPORTRANGE(""17pNv02DXDpQT9S3w4-QeNym2QJy2BzMBqDXp-XtzJBM"", ""'SNG'!D3:D139""),0))"),2519)</f>
        <v>2519</v>
      </c>
    </row>
    <row r="10" spans="1:31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55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12">
        <v>418</v>
      </c>
      <c r="R10" s="12">
        <v>590</v>
      </c>
      <c r="S10" s="12">
        <f ca="1">IFERROR(__xludf.DUMMYFUNCTION("INDEX(IMPORTRANGE(""17pNv02DXDpQT9S3w4-QeNym2QJy2BzMBqDXp-XtzJBM"", ""'SNG'!BG3:BG139""),MATCH($D10,IMPORTRANGE(""17pNv02DXDpQT9S3w4-QeNym2QJy2BzMBqDXp-XtzJBM"", ""'SNG'!D3:D139""),0))"),590)</f>
        <v>590</v>
      </c>
      <c r="T10" s="13"/>
      <c r="U10" s="13"/>
      <c r="V10" s="13"/>
      <c r="W10" s="13"/>
      <c r="X10" s="13"/>
      <c r="Y10" s="13"/>
      <c r="Z10" s="12">
        <f ca="1">IFERROR(__xludf.DUMMYFUNCTION("INDEX(IMPORTRANGE(""17pNv02DXDpQT9S3w4-QeNym2QJy2BzMBqDXp-XtzJBM"", ""'SNG'!BH3:BH139""),MATCH($D10,IMPORTRANGE(""17pNv02DXDpQT9S3w4-QeNym2QJy2BzMBqDXp-XtzJBM"", ""'SNG'!D3:D139""),0))"),112)</f>
        <v>112</v>
      </c>
      <c r="AA10" s="12">
        <f ca="1">IFERROR(__xludf.DUMMYFUNCTION("INDEX(IMPORTRANGE(""17pNv02DXDpQT9S3w4-QeNym2QJy2BzMBqDXp-XtzJBM"", ""'SNG'!BI3:BI139""),MATCH($D10,IMPORTRANGE(""17pNv02DXDpQT9S3w4-QeNym2QJy2BzMBqDXp-XtzJBM"", ""'SNG'!D3:D139""),0))"),2182)</f>
        <v>2182</v>
      </c>
      <c r="AB10" s="12">
        <f ca="1">IFERROR(__xludf.DUMMYFUNCTION("INDEX(IMPORTRANGE(""17pNv02DXDpQT9S3w4-QeNym2QJy2BzMBqDXp-XtzJBM"", ""'SNG'!BJ3:BJ139""),MATCH($D10,IMPORTRANGE(""17pNv02DXDpQT9S3w4-QeNym2QJy2BzMBqDXp-XtzJBM"", ""'SNG'!D3:D139""),0))"),1485)</f>
        <v>1485</v>
      </c>
      <c r="AC10" s="12">
        <f ca="1">IFERROR(__xludf.DUMMYFUNCTION("INDEX(IMPORTRANGE(""17pNv02DXDpQT9S3w4-QeNym2QJy2BzMBqDXp-XtzJBM"", ""'SNG'!BK3:BK139""),MATCH($D10,IMPORTRANGE(""17pNv02DXDpQT9S3w4-QeNym2QJy2BzMBqDXp-XtzJBM"", ""'SNG'!D3:D139""),0))"),3302)</f>
        <v>3302</v>
      </c>
      <c r="AD10" s="12">
        <f ca="1">IFERROR(__xludf.DUMMYFUNCTION("INDEX(IMPORTRANGE(""17pNv02DXDpQT9S3w4-QeNym2QJy2BzMBqDXp-XtzJBM"", ""'SNG'!BL3:BL139""),MATCH($D10,IMPORTRANGE(""17pNv02DXDpQT9S3w4-QeNym2QJy2BzMBqDXp-XtzJBM"", ""'SNG'!D3:D139""),0))"),1729)</f>
        <v>1729</v>
      </c>
      <c r="AE10" s="12">
        <f ca="1">IFERROR(__xludf.DUMMYFUNCTION("INDEX(IMPORTRANGE(""17pNv02DXDpQT9S3w4-QeNym2QJy2BzMBqDXp-XtzJBM"", ""'SNG'!BM3:BM139""),MATCH($D10,IMPORTRANGE(""17pNv02DXDpQT9S3w4-QeNym2QJy2BzMBqDXp-XtzJBM"", ""'SNG'!D3:D139""),0))"),3531)</f>
        <v>3531</v>
      </c>
    </row>
    <row r="11" spans="1:31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0</v>
      </c>
      <c r="R11" s="15">
        <f t="shared" si="2"/>
        <v>0</v>
      </c>
      <c r="S11" s="15">
        <f ca="1">IFERROR(__xludf.DUMMYFUNCTION("INDEX(IMPORTRANGE(""17pNv02DXDpQT9S3w4-QeNym2QJy2BzMBqDXp-XtzJBM"", ""'SNG'!BG3:BG139""),MATCH($D11,IMPORTRANGE(""17pNv02DXDpQT9S3w4-QeNym2QJy2BzMBqDXp-XtzJBM"", ""'SNG'!D3:D139""),0))"),0)</f>
        <v>0</v>
      </c>
      <c r="T11" s="14">
        <v>0.15</v>
      </c>
      <c r="U11" s="14">
        <v>0.3</v>
      </c>
      <c r="V11" s="14">
        <v>0.45</v>
      </c>
      <c r="W11" s="14">
        <v>0.6</v>
      </c>
      <c r="X11" s="26">
        <f>((Y11-W11)/6)*5+W11</f>
        <v>0.72499999999999998</v>
      </c>
      <c r="Y11" s="14">
        <v>0.75</v>
      </c>
      <c r="Z11" s="15">
        <f ca="1">IFERROR(__xludf.DUMMYFUNCTION("INDEX(IMPORTRANGE(""17pNv02DXDpQT9S3w4-QeNym2QJy2BzMBqDXp-XtzJBM"", ""'SNG'!BH3:BH139""),MATCH($D11,IMPORTRANGE(""17pNv02DXDpQT9S3w4-QeNym2QJy2BzMBqDXp-XtzJBM"", ""'SNG'!D3:D139""),0))"),0)</f>
        <v>0</v>
      </c>
      <c r="AA11" s="15">
        <f ca="1">IFERROR(__xludf.DUMMYFUNCTION("INDEX(IMPORTRANGE(""17pNv02DXDpQT9S3w4-QeNym2QJy2BzMBqDXp-XtzJBM"", ""'SNG'!BI3:BI139""),MATCH($D11,IMPORTRANGE(""17pNv02DXDpQT9S3w4-QeNym2QJy2BzMBqDXp-XtzJBM"", ""'SNG'!D3:D139""),0))"),0.154445462878093)</f>
        <v>0.15444546287809299</v>
      </c>
      <c r="AB11" s="15">
        <f ca="1">IFERROR(__xludf.DUMMYFUNCTION("INDEX(IMPORTRANGE(""17pNv02DXDpQT9S3w4-QeNym2QJy2BzMBqDXp-XtzJBM"", ""'SNG'!BJ3:BJ139""),MATCH($D11,IMPORTRANGE(""17pNv02DXDpQT9S3w4-QeNym2QJy2BzMBqDXp-XtzJBM"", ""'SNG'!D3:D139""),0))"),0.291582491582491)</f>
        <v>0.291582491582491</v>
      </c>
      <c r="AC11" s="15">
        <f ca="1">IFERROR(__xludf.DUMMYFUNCTION("INDEX(IMPORTRANGE(""17pNv02DXDpQT9S3w4-QeNym2QJy2BzMBqDXp-XtzJBM"", ""'SNG'!BK3:BK139""),MATCH($D11,IMPORTRANGE(""17pNv02DXDpQT9S3w4-QeNym2QJy2BzMBqDXp-XtzJBM"", ""'SNG'!D3:D139""),0))"),0.387946698970321)</f>
        <v>0.38794669897032102</v>
      </c>
      <c r="AD11" s="15">
        <f ca="1">IFERROR(__xludf.DUMMYFUNCTION("INDEX(IMPORTRANGE(""17pNv02DXDpQT9S3w4-QeNym2QJy2BzMBqDXp-XtzJBM"", ""'SNG'!BL3:BL139""),MATCH($D11,IMPORTRANGE(""17pNv02DXDpQT9S3w4-QeNym2QJy2BzMBqDXp-XtzJBM"", ""'SNG'!D3:D139""),0))"),0.665702718334297)</f>
        <v>0.66570271833429695</v>
      </c>
      <c r="AE11" s="15">
        <f ca="1">IFERROR(__xludf.DUMMYFUNCTION("INDEX(IMPORTRANGE(""17pNv02DXDpQT9S3w4-QeNym2QJy2BzMBqDXp-XtzJBM"", ""'SNG'!BM3:BM139""),MATCH($D11,IMPORTRANGE(""17pNv02DXDpQT9S3w4-QeNym2QJy2BzMBqDXp-XtzJBM"", ""'SNG'!D3:D139""),0))"),0.713395638629283)</f>
        <v>0.71339563862928301</v>
      </c>
    </row>
    <row r="12" spans="1:31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12">
        <v>21</v>
      </c>
      <c r="R12" s="12">
        <v>52</v>
      </c>
      <c r="S12" s="12">
        <f ca="1">IFERROR(__xludf.DUMMYFUNCTION("INDEX(IMPORTRANGE(""17pNv02DXDpQT9S3w4-QeNym2QJy2BzMBqDXp-XtzJBM"", ""'SNG'!BG3:BG139""),MATCH($D12,IMPORTRANGE(""17pNv02DXDpQT9S3w4-QeNym2QJy2BzMBqDXp-XtzJBM"", ""'SNG'!D3:D139""),0))"),42)</f>
        <v>42</v>
      </c>
      <c r="T12" s="13"/>
      <c r="U12" s="13"/>
      <c r="V12" s="13"/>
      <c r="W12" s="13"/>
      <c r="X12" s="13"/>
      <c r="Y12" s="13"/>
      <c r="Z12" s="12">
        <f ca="1">IFERROR(__xludf.DUMMYFUNCTION("INDEX(IMPORTRANGE(""17pNv02DXDpQT9S3w4-QeNym2QJy2BzMBqDXp-XtzJBM"", ""'SNG'!BH3:BH139""),MATCH($D12,IMPORTRANGE(""17pNv02DXDpQT9S3w4-QeNym2QJy2BzMBqDXp-XtzJBM"", ""'SNG'!D3:D139""),0))"),11)</f>
        <v>11</v>
      </c>
      <c r="AA12" s="12">
        <f ca="1">IFERROR(__xludf.DUMMYFUNCTION("INDEX(IMPORTRANGE(""17pNv02DXDpQT9S3w4-QeNym2QJy2BzMBqDXp-XtzJBM"", ""'SNG'!BI3:BI139""),MATCH($D12,IMPORTRANGE(""17pNv02DXDpQT9S3w4-QeNym2QJy2BzMBqDXp-XtzJBM"", ""'SNG'!D3:D139""),0))"),44)</f>
        <v>44</v>
      </c>
      <c r="AB12" s="12">
        <f ca="1">IFERROR(__xludf.DUMMYFUNCTION("INDEX(IMPORTRANGE(""17pNv02DXDpQT9S3w4-QeNym2QJy2BzMBqDXp-XtzJBM"", ""'SNG'!BJ3:BJ139""),MATCH($D12,IMPORTRANGE(""17pNv02DXDpQT9S3w4-QeNym2QJy2BzMBqDXp-XtzJBM"", ""'SNG'!D3:D139""),0))"),16)</f>
        <v>16</v>
      </c>
      <c r="AC12" s="12">
        <f ca="1">IFERROR(__xludf.DUMMYFUNCTION("INDEX(IMPORTRANGE(""17pNv02DXDpQT9S3w4-QeNym2QJy2BzMBqDXp-XtzJBM"", ""'SNG'!BK3:BK139""),MATCH($D12,IMPORTRANGE(""17pNv02DXDpQT9S3w4-QeNym2QJy2BzMBqDXp-XtzJBM"", ""'SNG'!D3:D139""),0))"),49)</f>
        <v>49</v>
      </c>
      <c r="AD12" s="12">
        <f ca="1">IFERROR(__xludf.DUMMYFUNCTION("INDEX(IMPORTRANGE(""17pNv02DXDpQT9S3w4-QeNym2QJy2BzMBqDXp-XtzJBM"", ""'SNG'!BL3:BL139""),MATCH($D12,IMPORTRANGE(""17pNv02DXDpQT9S3w4-QeNym2QJy2BzMBqDXp-XtzJBM"", ""'SNG'!D3:D139""),0))"),23)</f>
        <v>23</v>
      </c>
      <c r="AE12" s="12">
        <f ca="1">IFERROR(__xludf.DUMMYFUNCTION("INDEX(IMPORTRANGE(""17pNv02DXDpQT9S3w4-QeNym2QJy2BzMBqDXp-XtzJBM"", ""'SNG'!BM3:BM139""),MATCH($D12,IMPORTRANGE(""17pNv02DXDpQT9S3w4-QeNym2QJy2BzMBqDXp-XtzJBM"", ""'SNG'!D3:D139""),0))"),52)</f>
        <v>52</v>
      </c>
    </row>
    <row r="13" spans="1:31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4.4112920674465554</v>
      </c>
      <c r="R13" s="23">
        <f t="shared" si="3"/>
        <v>10.923199405105755</v>
      </c>
      <c r="S13" s="23">
        <f ca="1">IFERROR(__xludf.DUMMYFUNCTION("INDEX(IMPORTRANGE(""17pNv02DXDpQT9S3w4-QeNym2QJy2BzMBqDXp-XtzJBM"", ""'SNG'!BG3:BG139""),MATCH($D13,IMPORTRANGE(""17pNv02DXDpQT9S3w4-QeNym2QJy2BzMBqDXp-XtzJBM"", ""'SNG'!D3:D139""),0))"),8.82258413489311)</f>
        <v>8.8225841348931109</v>
      </c>
      <c r="T13" s="2">
        <v>7.9</v>
      </c>
      <c r="U13" s="2">
        <v>2</v>
      </c>
      <c r="V13" s="2">
        <v>4.9000000000000004</v>
      </c>
      <c r="W13" s="24">
        <v>3.8</v>
      </c>
      <c r="X13" s="24">
        <f ca="1">+S13*(1+(Y13-R13)/R13)</f>
        <v>7.5923076923076929</v>
      </c>
      <c r="Y13" s="2">
        <v>9.4</v>
      </c>
      <c r="Z13" s="23">
        <f ca="1">IFERROR(__xludf.DUMMYFUNCTION("INDEX(IMPORTRANGE(""17pNv02DXDpQT9S3w4-QeNym2QJy2BzMBqDXp-XtzJBM"", ""'SNG'!BH3:BH139""),MATCH($D13,IMPORTRANGE(""17pNv02DXDpQT9S3w4-QeNym2QJy2BzMBqDXp-XtzJBM"", ""'SNG'!D3:D139""),0))"),2.29621125143513)</f>
        <v>2.2962112514351301</v>
      </c>
      <c r="AA13" s="23">
        <f ca="1">IFERROR(__xludf.DUMMYFUNCTION("INDEX(IMPORTRANGE(""17pNv02DXDpQT9S3w4-QeNym2QJy2BzMBqDXp-XtzJBM"", ""'SNG'!BI3:BI139""),MATCH($D13,IMPORTRANGE(""17pNv02DXDpQT9S3w4-QeNym2QJy2BzMBqDXp-XtzJBM"", ""'SNG'!D3:D139""),0))"),9.18484500574052)</f>
        <v>9.1848450057405202</v>
      </c>
      <c r="AB13" s="23">
        <f ca="1">IFERROR(__xludf.DUMMYFUNCTION("INDEX(IMPORTRANGE(""17pNv02DXDpQT9S3w4-QeNym2QJy2BzMBqDXp-XtzJBM"", ""'SNG'!BJ3:BJ139""),MATCH($D13,IMPORTRANGE(""17pNv02DXDpQT9S3w4-QeNym2QJy2BzMBqDXp-XtzJBM"", ""'SNG'!D3:D139""),0))"),3.3109225264822)</f>
        <v>3.3109225264822002</v>
      </c>
      <c r="AC13" s="23">
        <f ca="1">IFERROR(__xludf.DUMMYFUNCTION("INDEX(IMPORTRANGE(""17pNv02DXDpQT9S3w4-QeNym2QJy2BzMBqDXp-XtzJBM"", ""'SNG'!BK3:BK139""),MATCH($D13,IMPORTRANGE(""17pNv02DXDpQT9S3w4-QeNym2QJy2BzMBqDXp-XtzJBM"", ""'SNG'!D3:D139""),0))"),10.1397002373517)</f>
        <v>10.1397002373517</v>
      </c>
      <c r="AD13" s="23">
        <f ca="1">IFERROR(__xludf.DUMMYFUNCTION("INDEX(IMPORTRANGE(""17pNv02DXDpQT9S3w4-QeNym2QJy2BzMBqDXp-XtzJBM"", ""'SNG'!BL3:BL139""),MATCH($D13,IMPORTRANGE(""17pNv02DXDpQT9S3w4-QeNym2QJy2BzMBqDXp-XtzJBM"", ""'SNG'!D3:D139""),0))"),4.70579569890273)</f>
        <v>4.7057956989027296</v>
      </c>
      <c r="AE13" s="23">
        <f ca="1">IFERROR(__xludf.DUMMYFUNCTION("INDEX(IMPORTRANGE(""17pNv02DXDpQT9S3w4-QeNym2QJy2BzMBqDXp-XtzJBM"", ""'SNG'!BM3:BM139""),MATCH($D13,IMPORTRANGE(""17pNv02DXDpQT9S3w4-QeNym2QJy2BzMBqDXp-XtzJBM"", ""'SNG'!D3:D139""),0))"),10.63919027578)</f>
        <v>10.639190275780001</v>
      </c>
    </row>
    <row r="14" spans="1:31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12">
        <v>138</v>
      </c>
      <c r="R14" s="12">
        <v>250</v>
      </c>
      <c r="S14" s="12">
        <f ca="1">IFERROR(__xludf.DUMMYFUNCTION("INDEX(IMPORTRANGE(""17pNv02DXDpQT9S3w4-QeNym2QJy2BzMBqDXp-XtzJBM"", ""'SNG'!BG3:BG139""),MATCH($D14,IMPORTRANGE(""17pNv02DXDpQT9S3w4-QeNym2QJy2BzMBqDXp-XtzJBM"", ""'SNG'!D3:D139""),0))"),233)</f>
        <v>233</v>
      </c>
      <c r="T14" s="13"/>
      <c r="U14" s="13"/>
      <c r="V14" s="13"/>
      <c r="W14" s="13"/>
      <c r="X14" s="13"/>
      <c r="Y14" s="13"/>
      <c r="Z14" s="12">
        <f ca="1">IFERROR(__xludf.DUMMYFUNCTION("INDEX(IMPORTRANGE(""17pNv02DXDpQT9S3w4-QeNym2QJy2BzMBqDXp-XtzJBM"", ""'SNG'!BH3:BH139""),MATCH($D14,IMPORTRANGE(""17pNv02DXDpQT9S3w4-QeNym2QJy2BzMBqDXp-XtzJBM"", ""'SNG'!D3:D139""),0))"),133)</f>
        <v>133</v>
      </c>
      <c r="AA14" s="12">
        <f ca="1">IFERROR(__xludf.DUMMYFUNCTION("INDEX(IMPORTRANGE(""17pNv02DXDpQT9S3w4-QeNym2QJy2BzMBqDXp-XtzJBM"", ""'SNG'!BI3:BI139""),MATCH($D14,IMPORTRANGE(""17pNv02DXDpQT9S3w4-QeNym2QJy2BzMBqDXp-XtzJBM"", ""'SNG'!D3:D139""),0))"),260)</f>
        <v>260</v>
      </c>
      <c r="AB14" s="12">
        <f ca="1">IFERROR(__xludf.DUMMYFUNCTION("INDEX(IMPORTRANGE(""17pNv02DXDpQT9S3w4-QeNym2QJy2BzMBqDXp-XtzJBM"", ""'SNG'!BJ3:BJ139""),MATCH($D14,IMPORTRANGE(""17pNv02DXDpQT9S3w4-QeNym2QJy2BzMBqDXp-XtzJBM"", ""'SNG'!D3:D139""),0))"),91)</f>
        <v>91</v>
      </c>
      <c r="AC14" s="12">
        <f ca="1">IFERROR(__xludf.DUMMYFUNCTION("INDEX(IMPORTRANGE(""17pNv02DXDpQT9S3w4-QeNym2QJy2BzMBqDXp-XtzJBM"", ""'SNG'!BK3:BK139""),MATCH($D14,IMPORTRANGE(""17pNv02DXDpQT9S3w4-QeNym2QJy2BzMBqDXp-XtzJBM"", ""'SNG'!D3:D139""),0))"),203)</f>
        <v>203</v>
      </c>
      <c r="AD14" s="12">
        <f ca="1">IFERROR(__xludf.DUMMYFUNCTION("INDEX(IMPORTRANGE(""17pNv02DXDpQT9S3w4-QeNym2QJy2BzMBqDXp-XtzJBM"", ""'SNG'!BL3:BL139""),MATCH($D14,IMPORTRANGE(""17pNv02DXDpQT9S3w4-QeNym2QJy2BzMBqDXp-XtzJBM"", ""'SNG'!D3:D139""),0))"),96)</f>
        <v>96</v>
      </c>
      <c r="AE14" s="12">
        <f ca="1">IFERROR(__xludf.DUMMYFUNCTION("INDEX(IMPORTRANGE(""17pNv02DXDpQT9S3w4-QeNym2QJy2BzMBqDXp-XtzJBM"", ""'SNG'!BM3:BM139""),MATCH($D14,IMPORTRANGE(""17pNv02DXDpQT9S3w4-QeNym2QJy2BzMBqDXp-XtzJBM"", ""'SNG'!D3:D139""),0))"),138)</f>
        <v>138</v>
      </c>
    </row>
    <row r="15" spans="1:31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12">
        <v>177</v>
      </c>
      <c r="R15" s="12">
        <v>364</v>
      </c>
      <c r="S15" s="12">
        <f ca="1">IFERROR(__xludf.DUMMYFUNCTION("INDEX(IMPORTRANGE(""17pNv02DXDpQT9S3w4-QeNym2QJy2BzMBqDXp-XtzJBM"", ""'SNG'!BG3:BG139""),MATCH($D15,IMPORTRANGE(""17pNv02DXDpQT9S3w4-QeNym2QJy2BzMBqDXp-XtzJBM"", ""'SNG'!D3:D139""),0))"),349)</f>
        <v>349</v>
      </c>
      <c r="T15" s="13"/>
      <c r="U15" s="13"/>
      <c r="V15" s="13"/>
      <c r="W15" s="13"/>
      <c r="X15" s="13"/>
      <c r="Y15" s="13"/>
      <c r="Z15" s="12">
        <f ca="1">IFERROR(__xludf.DUMMYFUNCTION("INDEX(IMPORTRANGE(""17pNv02DXDpQT9S3w4-QeNym2QJy2BzMBqDXp-XtzJBM"", ""'SNG'!BH3:BH139""),MATCH($D15,IMPORTRANGE(""17pNv02DXDpQT9S3w4-QeNym2QJy2BzMBqDXp-XtzJBM"", ""'SNG'!D3:D139""),0))"),204)</f>
        <v>204</v>
      </c>
      <c r="AA15" s="12">
        <f ca="1">IFERROR(__xludf.DUMMYFUNCTION("INDEX(IMPORTRANGE(""17pNv02DXDpQT9S3w4-QeNym2QJy2BzMBqDXp-XtzJBM"", ""'SNG'!BI3:BI139""),MATCH($D15,IMPORTRANGE(""17pNv02DXDpQT9S3w4-QeNym2QJy2BzMBqDXp-XtzJBM"", ""'SNG'!D3:D139""),0))"),432)</f>
        <v>432</v>
      </c>
      <c r="AB15" s="12">
        <f ca="1">IFERROR(__xludf.DUMMYFUNCTION("INDEX(IMPORTRANGE(""17pNv02DXDpQT9S3w4-QeNym2QJy2BzMBqDXp-XtzJBM"", ""'SNG'!BJ3:BJ139""),MATCH($D15,IMPORTRANGE(""17pNv02DXDpQT9S3w4-QeNym2QJy2BzMBqDXp-XtzJBM"", ""'SNG'!D3:D139""),0))"),177)</f>
        <v>177</v>
      </c>
      <c r="AC15" s="12">
        <f ca="1">IFERROR(__xludf.DUMMYFUNCTION("INDEX(IMPORTRANGE(""17pNv02DXDpQT9S3w4-QeNym2QJy2BzMBqDXp-XtzJBM"", ""'SNG'!BK3:BK139""),MATCH($D15,IMPORTRANGE(""17pNv02DXDpQT9S3w4-QeNym2QJy2BzMBqDXp-XtzJBM"", ""'SNG'!D3:D139""),0))"),379)</f>
        <v>379</v>
      </c>
      <c r="AD15" s="12">
        <f ca="1">IFERROR(__xludf.DUMMYFUNCTION("INDEX(IMPORTRANGE(""17pNv02DXDpQT9S3w4-QeNym2QJy2BzMBqDXp-XtzJBM"", ""'SNG'!BL3:BL139""),MATCH($D15,IMPORTRANGE(""17pNv02DXDpQT9S3w4-QeNym2QJy2BzMBqDXp-XtzJBM"", ""'SNG'!D3:D139""),0))"),206)</f>
        <v>206</v>
      </c>
      <c r="AE15" s="12">
        <f ca="1">IFERROR(__xludf.DUMMYFUNCTION("INDEX(IMPORTRANGE(""17pNv02DXDpQT9S3w4-QeNym2QJy2BzMBqDXp-XtzJBM"", ""'SNG'!BM3:BM139""),MATCH($D15,IMPORTRANGE(""17pNv02DXDpQT9S3w4-QeNym2QJy2BzMBqDXp-XtzJBM"", ""'SNG'!D3:D139""),0))"),356)</f>
        <v>356</v>
      </c>
    </row>
    <row r="16" spans="1:31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12">
        <v>129</v>
      </c>
      <c r="R16" s="12">
        <v>250</v>
      </c>
      <c r="S16" s="12">
        <f ca="1">IFERROR(__xludf.DUMMYFUNCTION("INDEX(IMPORTRANGE(""17pNv02DXDpQT9S3w4-QeNym2QJy2BzMBqDXp-XtzJBM"", ""'SNG'!BG3:BG139""),MATCH($D16,IMPORTRANGE(""17pNv02DXDpQT9S3w4-QeNym2QJy2BzMBqDXp-XtzJBM"", ""'SNG'!D3:D139""),0))"),228)</f>
        <v>228</v>
      </c>
      <c r="T16" s="13"/>
      <c r="U16" s="13"/>
      <c r="V16" s="13"/>
      <c r="W16" s="13"/>
      <c r="X16" s="13"/>
      <c r="Y16" s="13"/>
      <c r="Z16" s="12">
        <f ca="1">IFERROR(__xludf.DUMMYFUNCTION("INDEX(IMPORTRANGE(""17pNv02DXDpQT9S3w4-QeNym2QJy2BzMBqDXp-XtzJBM"", ""'SNG'!BH3:BH139""),MATCH($D16,IMPORTRANGE(""17pNv02DXDpQT9S3w4-QeNym2QJy2BzMBqDXp-XtzJBM"", ""'SNG'!D3:D139""),0))"),133)</f>
        <v>133</v>
      </c>
      <c r="AA16" s="12">
        <f ca="1">IFERROR(__xludf.DUMMYFUNCTION("INDEX(IMPORTRANGE(""17pNv02DXDpQT9S3w4-QeNym2QJy2BzMBqDXp-XtzJBM"", ""'SNG'!BI3:BI139""),MATCH($D16,IMPORTRANGE(""17pNv02DXDpQT9S3w4-QeNym2QJy2BzMBqDXp-XtzJBM"", ""'SNG'!D3:D139""),0))"),259)</f>
        <v>259</v>
      </c>
      <c r="AB16" s="12">
        <f ca="1">IFERROR(__xludf.DUMMYFUNCTION("INDEX(IMPORTRANGE(""17pNv02DXDpQT9S3w4-QeNym2QJy2BzMBqDXp-XtzJBM"", ""'SNG'!BJ3:BJ139""),MATCH($D16,IMPORTRANGE(""17pNv02DXDpQT9S3w4-QeNym2QJy2BzMBqDXp-XtzJBM"", ""'SNG'!D3:D139""),0))"),83)</f>
        <v>83</v>
      </c>
      <c r="AC16" s="12">
        <f ca="1">IFERROR(__xludf.DUMMYFUNCTION("INDEX(IMPORTRANGE(""17pNv02DXDpQT9S3w4-QeNym2QJy2BzMBqDXp-XtzJBM"", ""'SNG'!BK3:BK139""),MATCH($D16,IMPORTRANGE(""17pNv02DXDpQT9S3w4-QeNym2QJy2BzMBqDXp-XtzJBM"", ""'SNG'!D3:D139""),0))"),167)</f>
        <v>167</v>
      </c>
      <c r="AD16" s="12">
        <f ca="1">IFERROR(__xludf.DUMMYFUNCTION("INDEX(IMPORTRANGE(""17pNv02DXDpQT9S3w4-QeNym2QJy2BzMBqDXp-XtzJBM"", ""'SNG'!BL3:BL139""),MATCH($D16,IMPORTRANGE(""17pNv02DXDpQT9S3w4-QeNym2QJy2BzMBqDXp-XtzJBM"", ""'SNG'!D3:D139""),0))"),75)</f>
        <v>75</v>
      </c>
      <c r="AE16" s="12">
        <f ca="1">IFERROR(__xludf.DUMMYFUNCTION("INDEX(IMPORTRANGE(""17pNv02DXDpQT9S3w4-QeNym2QJy2BzMBqDXp-XtzJBM"", ""'SNG'!BM3:BM139""),MATCH($D16,IMPORTRANGE(""17pNv02DXDpQT9S3w4-QeNym2QJy2BzMBqDXp-XtzJBM"", ""'SNG'!D3:D139""),0))"),136)</f>
        <v>136</v>
      </c>
    </row>
    <row r="17" spans="1:31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12">
        <v>68</v>
      </c>
      <c r="R17" s="12">
        <v>135</v>
      </c>
      <c r="S17" s="12">
        <f ca="1">IFERROR(__xludf.DUMMYFUNCTION("INDEX(IMPORTRANGE(""17pNv02DXDpQT9S3w4-QeNym2QJy2BzMBqDXp-XtzJBM"", ""'SNG'!BG3:BG139""),MATCH($D17,IMPORTRANGE(""17pNv02DXDpQT9S3w4-QeNym2QJy2BzMBqDXp-XtzJBM"", ""'SNG'!D3:D139""),0))"),124)</f>
        <v>124</v>
      </c>
      <c r="T17" s="13"/>
      <c r="U17" s="13"/>
      <c r="V17" s="13"/>
      <c r="W17" s="13"/>
      <c r="X17" s="13"/>
      <c r="Y17" s="13"/>
      <c r="Z17" s="12">
        <f ca="1">IFERROR(__xludf.DUMMYFUNCTION("INDEX(IMPORTRANGE(""17pNv02DXDpQT9S3w4-QeNym2QJy2BzMBqDXp-XtzJBM"", ""'SNG'!BH3:BH139""),MATCH($D17,IMPORTRANGE(""17pNv02DXDpQT9S3w4-QeNym2QJy2BzMBqDXp-XtzJBM"", ""'SNG'!D3:D139""),0))"),68)</f>
        <v>68</v>
      </c>
      <c r="AA17" s="12">
        <f ca="1">IFERROR(__xludf.DUMMYFUNCTION("INDEX(IMPORTRANGE(""17pNv02DXDpQT9S3w4-QeNym2QJy2BzMBqDXp-XtzJBM"", ""'SNG'!BI3:BI139""),MATCH($D17,IMPORTRANGE(""17pNv02DXDpQT9S3w4-QeNym2QJy2BzMBqDXp-XtzJBM"", ""'SNG'!D3:D139""),0))"),119)</f>
        <v>119</v>
      </c>
      <c r="AB17" s="12">
        <f ca="1">IFERROR(__xludf.DUMMYFUNCTION("INDEX(IMPORTRANGE(""17pNv02DXDpQT9S3w4-QeNym2QJy2BzMBqDXp-XtzJBM"", ""'SNG'!BJ3:BJ139""),MATCH($D17,IMPORTRANGE(""17pNv02DXDpQT9S3w4-QeNym2QJy2BzMBqDXp-XtzJBM"", ""'SNG'!D3:D139""),0))"),39)</f>
        <v>39</v>
      </c>
      <c r="AC17" s="12">
        <f ca="1">IFERROR(__xludf.DUMMYFUNCTION("INDEX(IMPORTRANGE(""17pNv02DXDpQT9S3w4-QeNym2QJy2BzMBqDXp-XtzJBM"", ""'SNG'!BK3:BK139""),MATCH($D17,IMPORTRANGE(""17pNv02DXDpQT9S3w4-QeNym2QJy2BzMBqDXp-XtzJBM"", ""'SNG'!D3:D139""),0))"),82)</f>
        <v>82</v>
      </c>
      <c r="AD17" s="12">
        <f ca="1">IFERROR(__xludf.DUMMYFUNCTION("INDEX(IMPORTRANGE(""17pNv02DXDpQT9S3w4-QeNym2QJy2BzMBqDXp-XtzJBM"", ""'SNG'!BL3:BL139""),MATCH($D17,IMPORTRANGE(""17pNv02DXDpQT9S3w4-QeNym2QJy2BzMBqDXp-XtzJBM"", ""'SNG'!D3:D139""),0))"),48)</f>
        <v>48</v>
      </c>
      <c r="AE17" s="12">
        <f ca="1">IFERROR(__xludf.DUMMYFUNCTION("INDEX(IMPORTRANGE(""17pNv02DXDpQT9S3w4-QeNym2QJy2BzMBqDXp-XtzJBM"", ""'SNG'!BM3:BM139""),MATCH($D17,IMPORTRANGE(""17pNv02DXDpQT9S3w4-QeNym2QJy2BzMBqDXp-XtzJBM"", ""'SNG'!D3:D139""),0))"),83)</f>
        <v>83</v>
      </c>
    </row>
    <row r="18" spans="1:31">
      <c r="A18" s="16" t="s">
        <v>52</v>
      </c>
      <c r="B18" s="16" t="s">
        <v>68</v>
      </c>
      <c r="C18" s="8" t="s">
        <v>30</v>
      </c>
      <c r="D18" s="16" t="s">
        <v>342</v>
      </c>
      <c r="E18" s="16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21" t="s">
        <v>363</v>
      </c>
      <c r="P18" s="21" t="s">
        <v>349</v>
      </c>
      <c r="Q18" s="262">
        <f t="shared" ref="Q18:R18" si="4">SUM(Q14:Q17)</f>
        <v>512</v>
      </c>
      <c r="R18" s="262">
        <f t="shared" si="4"/>
        <v>999</v>
      </c>
      <c r="S18" s="262">
        <f ca="1">IFERROR(__xludf.DUMMYFUNCTION("INDEX(IMPORTRANGE(""17pNv02DXDpQT9S3w4-QeNym2QJy2BzMBqDXp-XtzJBM"", ""'SNG'!BG3:BG139""),MATCH($D18,IMPORTRANGE(""17pNv02DXDpQT9S3w4-QeNym2QJy2BzMBqDXp-XtzJBM"", ""'SNG'!D3:D139""),0))"),934)</f>
        <v>934</v>
      </c>
      <c r="T18" s="360"/>
      <c r="U18" s="360"/>
      <c r="V18" s="360"/>
      <c r="W18" s="360"/>
      <c r="X18" s="360"/>
      <c r="Y18" s="360"/>
      <c r="Z18" s="262">
        <f ca="1">IFERROR(__xludf.DUMMYFUNCTION("INDEX(IMPORTRANGE(""17pNv02DXDpQT9S3w4-QeNym2QJy2BzMBqDXp-XtzJBM"", ""'SNG'!BH3:BH139""),MATCH($D18,IMPORTRANGE(""17pNv02DXDpQT9S3w4-QeNym2QJy2BzMBqDXp-XtzJBM"", ""'SNG'!D3:D139""),0))"),538)</f>
        <v>538</v>
      </c>
      <c r="AA18" s="262">
        <f ca="1">IFERROR(__xludf.DUMMYFUNCTION("INDEX(IMPORTRANGE(""17pNv02DXDpQT9S3w4-QeNym2QJy2BzMBqDXp-XtzJBM"", ""'SNG'!BI3:BI139""),MATCH($D18,IMPORTRANGE(""17pNv02DXDpQT9S3w4-QeNym2QJy2BzMBqDXp-XtzJBM"", ""'SNG'!D3:D139""),0))"),1070)</f>
        <v>1070</v>
      </c>
      <c r="AB18" s="262">
        <f ca="1">IFERROR(__xludf.DUMMYFUNCTION("INDEX(IMPORTRANGE(""17pNv02DXDpQT9S3w4-QeNym2QJy2BzMBqDXp-XtzJBM"", ""'SNG'!BJ3:BJ139""),MATCH($D18,IMPORTRANGE(""17pNv02DXDpQT9S3w4-QeNym2QJy2BzMBqDXp-XtzJBM"", ""'SNG'!D3:D139""),0))"),390)</f>
        <v>390</v>
      </c>
      <c r="AC18" s="262">
        <f ca="1">IFERROR(__xludf.DUMMYFUNCTION("INDEX(IMPORTRANGE(""17pNv02DXDpQT9S3w4-QeNym2QJy2BzMBqDXp-XtzJBM"", ""'SNG'!BK3:BK139""),MATCH($D18,IMPORTRANGE(""17pNv02DXDpQT9S3w4-QeNym2QJy2BzMBqDXp-XtzJBM"", ""'SNG'!D3:D139""),0))"),831)</f>
        <v>831</v>
      </c>
      <c r="AD18" s="262">
        <f ca="1">IFERROR(__xludf.DUMMYFUNCTION("INDEX(IMPORTRANGE(""17pNv02DXDpQT9S3w4-QeNym2QJy2BzMBqDXp-XtzJBM"", ""'SNG'!BL3:BL139""),MATCH($D18,IMPORTRANGE(""17pNv02DXDpQT9S3w4-QeNym2QJy2BzMBqDXp-XtzJBM"", ""'SNG'!D3:D139""),0))"),425)</f>
        <v>425</v>
      </c>
      <c r="AE18" s="262">
        <f ca="1">IFERROR(__xludf.DUMMYFUNCTION("INDEX(IMPORTRANGE(""17pNv02DXDpQT9S3w4-QeNym2QJy2BzMBqDXp-XtzJBM"", ""'SNG'!BM3:BM139""),MATCH($D18,IMPORTRANGE(""17pNv02DXDpQT9S3w4-QeNym2QJy2BzMBqDXp-XtzJBM"", ""'SNG'!D3:D139""),0))"),713)</f>
        <v>713</v>
      </c>
    </row>
    <row r="19" spans="1:31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107.55150183488745</v>
      </c>
      <c r="R19" s="23">
        <f t="shared" si="5"/>
        <v>209.85146549424323</v>
      </c>
      <c r="S19" s="23">
        <f ca="1">IFERROR(__xludf.DUMMYFUNCTION("INDEX(IMPORTRANGE(""17pNv02DXDpQT9S3w4-QeNym2QJy2BzMBqDXp-XtzJBM"", ""'SNG'!BG3:BG139""),MATCH($D19,IMPORTRANGE(""17pNv02DXDpQT9S3w4-QeNym2QJy2BzMBqDXp-XtzJBM"", ""'SNG'!D3:D139""),0))"),196.197466237861)</f>
        <v>196.19746623786099</v>
      </c>
      <c r="T19" s="2"/>
      <c r="U19" s="2">
        <v>107</v>
      </c>
      <c r="V19" s="2">
        <v>203</v>
      </c>
      <c r="W19" s="2">
        <v>107</v>
      </c>
      <c r="X19" s="24">
        <f ca="1">+S19*(1+(Y19-R19)/R19)</f>
        <v>182.31231231231229</v>
      </c>
      <c r="Y19" s="2">
        <v>195</v>
      </c>
      <c r="Z19" s="23">
        <f ca="1">IFERROR(__xludf.DUMMYFUNCTION("INDEX(IMPORTRANGE(""17pNv02DXDpQT9S3w4-QeNym2QJy2BzMBqDXp-XtzJBM"", ""'SNG'!BH3:BH139""),MATCH($D19,IMPORTRANGE(""17pNv02DXDpQT9S3w4-QeNym2QJy2BzMBqDXp-XtzJBM"", ""'SNG'!D3:D139""),0))"),112.305604842918)</f>
        <v>112.305604842918</v>
      </c>
      <c r="AA19" s="23">
        <f ca="1">IFERROR(__xludf.DUMMYFUNCTION("INDEX(IMPORTRANGE(""17pNv02DXDpQT9S3w4-QeNym2QJy2BzMBqDXp-XtzJBM"", ""'SNG'!BI3:BI139""),MATCH($D19,IMPORTRANGE(""17pNv02DXDpQT9S3w4-QeNym2QJy2BzMBqDXp-XtzJBM"", ""'SNG'!D3:D139""),0))"),223.358730821417)</f>
        <v>223.358730821417</v>
      </c>
      <c r="AB19" s="23">
        <f ca="1">IFERROR(__xludf.DUMMYFUNCTION("INDEX(IMPORTRANGE(""17pNv02DXDpQT9S3w4-QeNym2QJy2BzMBqDXp-XtzJBM"", ""'SNG'!BJ3:BJ139""),MATCH($D19,IMPORTRANGE(""17pNv02DXDpQT9S3w4-QeNym2QJy2BzMBqDXp-XtzJBM"", ""'SNG'!D3:D139""),0))"),80.7037365830037)</f>
        <v>80.703736583003703</v>
      </c>
      <c r="AC19" s="23">
        <f ca="1">IFERROR(__xludf.DUMMYFUNCTION("INDEX(IMPORTRANGE(""17pNv02DXDpQT9S3w4-QeNym2QJy2BzMBqDXp-XtzJBM"", ""'SNG'!BK3:BK139""),MATCH($D19,IMPORTRANGE(""17pNv02DXDpQT9S3w4-QeNym2QJy2BzMBqDXp-XtzJBM"", ""'SNG'!D3:D139""),0))"),171.961038719169)</f>
        <v>171.96103871916901</v>
      </c>
      <c r="AD19" s="23">
        <f ca="1">IFERROR(__xludf.DUMMYFUNCTION("INDEX(IMPORTRANGE(""17pNv02DXDpQT9S3w4-QeNym2QJy2BzMBqDXp-XtzJBM"", ""'SNG'!BL3:BL139""),MATCH($D19,IMPORTRANGE(""17pNv02DXDpQT9S3w4-QeNym2QJy2BzMBqDXp-XtzJBM"", ""'SNG'!D3:D139""),0))"),86.9549205232026)</f>
        <v>86.954920523202603</v>
      </c>
      <c r="AE19" s="23">
        <f ca="1">IFERROR(__xludf.DUMMYFUNCTION("INDEX(IMPORTRANGE(""17pNv02DXDpQT9S3w4-QeNym2QJy2BzMBqDXp-XtzJBM"", ""'SNG'!BM3:BM139""),MATCH($D19,IMPORTRANGE(""17pNv02DXDpQT9S3w4-QeNym2QJy2BzMBqDXp-XtzJBM"", ""'SNG'!D3:D139""),0))"),145.879666665984)</f>
        <v>145.87966666598399</v>
      </c>
    </row>
    <row r="20" spans="1:31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12">
        <v>903</v>
      </c>
      <c r="R20" s="12">
        <v>2078</v>
      </c>
      <c r="S20" s="12">
        <f ca="1">IFERROR(__xludf.DUMMYFUNCTION("INDEX(IMPORTRANGE(""17pNv02DXDpQT9S3w4-QeNym2QJy2BzMBqDXp-XtzJBM"", ""'SNG'!BG3:BG139""),MATCH($D20,IMPORTRANGE(""17pNv02DXDpQT9S3w4-QeNym2QJy2BzMBqDXp-XtzJBM"", ""'SNG'!D3:D139""),0))"),1895)</f>
        <v>1895</v>
      </c>
      <c r="T20" s="13"/>
      <c r="U20" s="13"/>
      <c r="V20" s="13"/>
      <c r="W20" s="13"/>
      <c r="X20" s="13"/>
      <c r="Y20" s="13"/>
      <c r="Z20" s="12">
        <f ca="1">IFERROR(__xludf.DUMMYFUNCTION("INDEX(IMPORTRANGE(""17pNv02DXDpQT9S3w4-QeNym2QJy2BzMBqDXp-XtzJBM"", ""'SNG'!BH3:BH139""),MATCH($D20,IMPORTRANGE(""17pNv02DXDpQT9S3w4-QeNym2QJy2BzMBqDXp-XtzJBM"", ""'SNG'!D3:D139""),0))"),1049)</f>
        <v>1049</v>
      </c>
      <c r="AA20" s="12">
        <f ca="1">IFERROR(__xludf.DUMMYFUNCTION("INDEX(IMPORTRANGE(""17pNv02DXDpQT9S3w4-QeNym2QJy2BzMBqDXp-XtzJBM"", ""'SNG'!BI3:BI139""),MATCH($D20,IMPORTRANGE(""17pNv02DXDpQT9S3w4-QeNym2QJy2BzMBqDXp-XtzJBM"", ""'SNG'!D3:D139""),0))"),2163)</f>
        <v>2163</v>
      </c>
      <c r="AB20" s="12">
        <f ca="1">IFERROR(__xludf.DUMMYFUNCTION("INDEX(IMPORTRANGE(""17pNv02DXDpQT9S3w4-QeNym2QJy2BzMBqDXp-XtzJBM"", ""'SNG'!BJ3:BJ139""),MATCH($D20,IMPORTRANGE(""17pNv02DXDpQT9S3w4-QeNym2QJy2BzMBqDXp-XtzJBM"", ""'SNG'!D3:D139""),0))"),907)</f>
        <v>907</v>
      </c>
      <c r="AC20" s="12">
        <f ca="1">IFERROR(__xludf.DUMMYFUNCTION("INDEX(IMPORTRANGE(""17pNv02DXDpQT9S3w4-QeNym2QJy2BzMBqDXp-XtzJBM"", ""'SNG'!BK3:BK139""),MATCH($D20,IMPORTRANGE(""17pNv02DXDpQT9S3w4-QeNym2QJy2BzMBqDXp-XtzJBM"", ""'SNG'!D3:D139""),0))"),1907)</f>
        <v>1907</v>
      </c>
      <c r="AD20" s="12">
        <f ca="1">IFERROR(__xludf.DUMMYFUNCTION("INDEX(IMPORTRANGE(""17pNv02DXDpQT9S3w4-QeNym2QJy2BzMBqDXp-XtzJBM"", ""'SNG'!BL3:BL139""),MATCH($D20,IMPORTRANGE(""17pNv02DXDpQT9S3w4-QeNym2QJy2BzMBqDXp-XtzJBM"", ""'SNG'!D3:D139""),0))"),762)</f>
        <v>762</v>
      </c>
      <c r="AE20" s="12">
        <f ca="1">IFERROR(__xludf.DUMMYFUNCTION("INDEX(IMPORTRANGE(""17pNv02DXDpQT9S3w4-QeNym2QJy2BzMBqDXp-XtzJBM"", ""'SNG'!BM3:BM139""),MATCH($D20,IMPORTRANGE(""17pNv02DXDpQT9S3w4-QeNym2QJy2BzMBqDXp-XtzJBM"", ""'SNG'!D3:D139""),0))"),1364)</f>
        <v>1364</v>
      </c>
    </row>
    <row r="21" spans="1:31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189.68555890020187</v>
      </c>
      <c r="R21" s="23">
        <f t="shared" si="6"/>
        <v>436.50785315018771</v>
      </c>
      <c r="S21" s="23">
        <f ca="1">IFERROR(__xludf.DUMMYFUNCTION("INDEX(IMPORTRANGE(""17pNv02DXDpQT9S3w4-QeNym2QJy2BzMBqDXp-XtzJBM"", ""'SNG'!BG3:BG139""),MATCH($D21,IMPORTRANGE(""17pNv02DXDpQT9S3w4-QeNym2QJy2BzMBqDXp-XtzJBM"", ""'SNG'!D3:D139""),0))"),398.066593705296)</f>
        <v>398.06659370529599</v>
      </c>
      <c r="T21" s="2">
        <v>399.8</v>
      </c>
      <c r="U21" s="2">
        <v>157.80000000000001</v>
      </c>
      <c r="V21" s="2">
        <v>363.2</v>
      </c>
      <c r="W21" s="2">
        <v>159.69999999999999</v>
      </c>
      <c r="X21" s="24">
        <f ca="1">+S21*(1+(Y21-R21)/R21)</f>
        <v>334.40640038498526</v>
      </c>
      <c r="Y21" s="2">
        <v>366.7</v>
      </c>
      <c r="Z21" s="23">
        <f ca="1">IFERROR(__xludf.DUMMYFUNCTION("INDEX(IMPORTRANGE(""17pNv02DXDpQT9S3w4-QeNym2QJy2BzMBqDXp-XtzJBM"", ""'SNG'!BH3:BH139""),MATCH($D21,IMPORTRANGE(""17pNv02DXDpQT9S3w4-QeNym2QJy2BzMBqDXp-XtzJBM"", ""'SNG'!D3:D139""),0))"),218.97505479595)</f>
        <v>218.97505479595</v>
      </c>
      <c r="AA21" s="23">
        <f ca="1">IFERROR(__xludf.DUMMYFUNCTION("INDEX(IMPORTRANGE(""17pNv02DXDpQT9S3w4-QeNym2QJy2BzMBqDXp-XtzJBM"", ""'SNG'!BI3:BI139""),MATCH($D21,IMPORTRANGE(""17pNv02DXDpQT9S3w4-QeNym2QJy2BzMBqDXp-XtzJBM"", ""'SNG'!D3:D139""),0))"),451.518630623108)</f>
        <v>451.51863062310798</v>
      </c>
      <c r="AB21" s="23">
        <f ca="1">IFERROR(__xludf.DUMMYFUNCTION("INDEX(IMPORTRANGE(""17pNv02DXDpQT9S3w4-QeNym2QJy2BzMBqDXp-XtzJBM"", ""'SNG'!BJ3:BJ139""),MATCH($D21,IMPORTRANGE(""17pNv02DXDpQT9S3w4-QeNym2QJy2BzMBqDXp-XtzJBM"", ""'SNG'!D3:D139""),0))"),187.68792071996)</f>
        <v>187.68792071996</v>
      </c>
      <c r="AC21" s="23">
        <f ca="1">IFERROR(__xludf.DUMMYFUNCTION("INDEX(IMPORTRANGE(""17pNv02DXDpQT9S3w4-QeNym2QJy2BzMBqDXp-XtzJBM"", ""'SNG'!BK3:BK139""),MATCH($D21,IMPORTRANGE(""17pNv02DXDpQT9S3w4-QeNym2QJy2BzMBqDXp-XtzJBM"", ""'SNG'!D3:D139""),0))"),394.620578625098)</f>
        <v>394.62057862509801</v>
      </c>
      <c r="AD21" s="23">
        <f ca="1">IFERROR(__xludf.DUMMYFUNCTION("INDEX(IMPORTRANGE(""17pNv02DXDpQT9S3w4-QeNym2QJy2BzMBqDXp-XtzJBM"", ""'SNG'!BL3:BL139""),MATCH($D21,IMPORTRANGE(""17pNv02DXDpQT9S3w4-QeNym2QJy2BzMBqDXp-XtzJBM"", ""'SNG'!D3:D139""),0))"),155.905057502777)</f>
        <v>155.905057502777</v>
      </c>
      <c r="AE21" s="23">
        <f ca="1">IFERROR(__xludf.DUMMYFUNCTION("INDEX(IMPORTRANGE(""17pNv02DXDpQT9S3w4-QeNym2QJy2BzMBqDXp-XtzJBM"", ""'SNG'!BM3:BM139""),MATCH($D21,IMPORTRANGE(""17pNv02DXDpQT9S3w4-QeNym2QJy2BzMBqDXp-XtzJBM"", ""'SNG'!D3:D139""),0))"),279.074144926231)</f>
        <v>279.07414492623099</v>
      </c>
    </row>
    <row r="22" spans="1:31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12">
        <v>175</v>
      </c>
      <c r="R22" s="2">
        <v>387</v>
      </c>
      <c r="S22" s="2">
        <f ca="1">IFERROR(__xludf.DUMMYFUNCTION("INDEX(IMPORTRANGE(""17pNv02DXDpQT9S3w4-QeNym2QJy2BzMBqDXp-XtzJBM"", ""'SNG'!BG3:BG139""),MATCH($D22,IMPORTRANGE(""17pNv02DXDpQT9S3w4-QeNym2QJy2BzMBqDXp-XtzJBM"", ""'SNG'!D3:D139""),0))"),349)</f>
        <v>349</v>
      </c>
      <c r="T22" s="13"/>
      <c r="U22" s="13"/>
      <c r="V22" s="13"/>
      <c r="W22" s="13"/>
      <c r="X22" s="13"/>
      <c r="Y22" s="13"/>
      <c r="Z22" s="2">
        <f ca="1">IFERROR(__xludf.DUMMYFUNCTION("INDEX(IMPORTRANGE(""17pNv02DXDpQT9S3w4-QeNym2QJy2BzMBqDXp-XtzJBM"", ""'SNG'!BH3:BH139""),MATCH($D22,IMPORTRANGE(""17pNv02DXDpQT9S3w4-QeNym2QJy2BzMBqDXp-XtzJBM"", ""'SNG'!D3:D139""),0))"),184)</f>
        <v>184</v>
      </c>
      <c r="AA22" s="2">
        <f ca="1">IFERROR(__xludf.DUMMYFUNCTION("INDEX(IMPORTRANGE(""17pNv02DXDpQT9S3w4-QeNym2QJy2BzMBqDXp-XtzJBM"", ""'SNG'!BI3:BI139""),MATCH($D22,IMPORTRANGE(""17pNv02DXDpQT9S3w4-QeNym2QJy2BzMBqDXp-XtzJBM"", ""'SNG'!D3:D139""),0))"),408)</f>
        <v>408</v>
      </c>
      <c r="AB22" s="2">
        <f ca="1">IFERROR(__xludf.DUMMYFUNCTION("INDEX(IMPORTRANGE(""17pNv02DXDpQT9S3w4-QeNym2QJy2BzMBqDXp-XtzJBM"", ""'SNG'!BJ3:BJ139""),MATCH($D22,IMPORTRANGE(""17pNv02DXDpQT9S3w4-QeNym2QJy2BzMBqDXp-XtzJBM"", ""'SNG'!D3:D139""),0))"),172)</f>
        <v>172</v>
      </c>
      <c r="AC22" s="2">
        <f ca="1">IFERROR(__xludf.DUMMYFUNCTION("INDEX(IMPORTRANGE(""17pNv02DXDpQT9S3w4-QeNym2QJy2BzMBqDXp-XtzJBM"", ""'SNG'!BK3:BK139""),MATCH($D22,IMPORTRANGE(""17pNv02DXDpQT9S3w4-QeNym2QJy2BzMBqDXp-XtzJBM"", ""'SNG'!D3:D139""),0))"),314)</f>
        <v>314</v>
      </c>
      <c r="AD22" s="2">
        <f ca="1">IFERROR(__xludf.DUMMYFUNCTION("INDEX(IMPORTRANGE(""17pNv02DXDpQT9S3w4-QeNym2QJy2BzMBqDXp-XtzJBM"", ""'SNG'!BL3:BL139""),MATCH($D22,IMPORTRANGE(""17pNv02DXDpQT9S3w4-QeNym2QJy2BzMBqDXp-XtzJBM"", ""'SNG'!D3:D139""),0))"),122)</f>
        <v>122</v>
      </c>
      <c r="AE22" s="2">
        <f ca="1">IFERROR(__xludf.DUMMYFUNCTION("INDEX(IMPORTRANGE(""17pNv02DXDpQT9S3w4-QeNym2QJy2BzMBqDXp-XtzJBM"", ""'SNG'!BM3:BM139""),MATCH($D22,IMPORTRANGE(""17pNv02DXDpQT9S3w4-QeNym2QJy2BzMBqDXp-XtzJBM"", ""'SNG'!D3:D139""),0))"),210)</f>
        <v>210</v>
      </c>
    </row>
    <row r="23" spans="1:31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36.760767228721292</v>
      </c>
      <c r="R23" s="23">
        <f t="shared" si="7"/>
        <v>81.293810957229383</v>
      </c>
      <c r="S23" s="23">
        <f ca="1">IFERROR(__xludf.DUMMYFUNCTION("INDEX(IMPORTRANGE(""17pNv02DXDpQT9S3w4-QeNym2QJy2BzMBqDXp-XtzJBM"", ""'SNG'!BG3:BG139""),MATCH($D23,IMPORTRANGE(""17pNv02DXDpQT9S3w4-QeNym2QJy2BzMBqDXp-XtzJBM"", ""'SNG'!D3:D139""),0))"),73.3114729304213)</f>
        <v>73.311472930421303</v>
      </c>
      <c r="T23" s="2">
        <v>80.900000000000006</v>
      </c>
      <c r="U23" s="2">
        <v>36.4</v>
      </c>
      <c r="V23" s="2">
        <v>80.599999999999994</v>
      </c>
      <c r="W23" s="2">
        <v>36.299999999999997</v>
      </c>
      <c r="X23" s="24">
        <f ca="1">+S23*(1+(Y23-R23)/R23)</f>
        <v>72.370155038759663</v>
      </c>
      <c r="Y23" s="2">
        <v>80.25</v>
      </c>
      <c r="Z23" s="23">
        <f ca="1">IFERROR(__xludf.DUMMYFUNCTION("INDEX(IMPORTRANGE(""17pNv02DXDpQT9S3w4-QeNym2QJy2BzMBqDXp-XtzJBM"", ""'SNG'!BH3:BH139""),MATCH($D23,IMPORTRANGE(""17pNv02DXDpQT9S3w4-QeNym2QJy2BzMBqDXp-XtzJBM"", ""'SNG'!D3:D139""),0))"),38.4093518421876)</f>
        <v>38.409351842187597</v>
      </c>
      <c r="AA23" s="23">
        <f ca="1">IFERROR(__xludf.DUMMYFUNCTION("INDEX(IMPORTRANGE(""17pNv02DXDpQT9S3w4-QeNym2QJy2BzMBqDXp-XtzJBM"", ""'SNG'!BI3:BI139""),MATCH($D23,IMPORTRANGE(""17pNv02DXDpQT9S3w4-QeNym2QJy2BzMBqDXp-XtzJBM"", ""'SNG'!D3:D139""),0))"),85.168562780503)</f>
        <v>85.168562780502995</v>
      </c>
      <c r="AB23" s="23">
        <f ca="1">IFERROR(__xludf.DUMMYFUNCTION("INDEX(IMPORTRANGE(""17pNv02DXDpQT9S3w4-QeNym2QJy2BzMBqDXp-XtzJBM"", ""'SNG'!BJ3:BJ139""),MATCH($D23,IMPORTRANGE(""17pNv02DXDpQT9S3w4-QeNym2QJy2BzMBqDXp-XtzJBM"", ""'SNG'!D3:D139""),0))"),35.5924171596837)</f>
        <v>35.592417159683698</v>
      </c>
      <c r="AC23" s="23">
        <f ca="1">IFERROR(__xludf.DUMMYFUNCTION("INDEX(IMPORTRANGE(""17pNv02DXDpQT9S3w4-QeNym2QJy2BzMBqDXp-XtzJBM"", ""'SNG'!BK3:BK139""),MATCH($D23,IMPORTRANGE(""17pNv02DXDpQT9S3w4-QeNym2QJy2BzMBqDXp-XtzJBM"", ""'SNG'!D3:D139""),0))"),64.9768545822133)</f>
        <v>64.976854582213306</v>
      </c>
      <c r="AD23" s="23">
        <f ca="1">IFERROR(__xludf.DUMMYFUNCTION("INDEX(IMPORTRANGE(""17pNv02DXDpQT9S3w4-QeNym2QJy2BzMBqDXp-XtzJBM"", ""'SNG'!BL3:BL139""),MATCH($D23,IMPORTRANGE(""17pNv02DXDpQT9S3w4-QeNym2QJy2BzMBqDXp-XtzJBM"", ""'SNG'!D3:D139""),0))"),24.961177185484)</f>
        <v>24.961177185484001</v>
      </c>
      <c r="AE23" s="23">
        <f ca="1">IFERROR(__xludf.DUMMYFUNCTION("INDEX(IMPORTRANGE(""17pNv02DXDpQT9S3w4-QeNym2QJy2BzMBqDXp-XtzJBM"", ""'SNG'!BM3:BM139""),MATCH($D23,IMPORTRANGE(""17pNv02DXDpQT9S3w4-QeNym2QJy2BzMBqDXp-XtzJBM"", ""'SNG'!D3:D139""),0))"),42.9659607291118)</f>
        <v>42.965960729111799</v>
      </c>
    </row>
    <row r="24" spans="1:31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12">
        <v>4</v>
      </c>
      <c r="R24" s="12">
        <v>12</v>
      </c>
      <c r="S24" s="12">
        <f ca="1">IFERROR(__xludf.DUMMYFUNCTION("INDEX(IMPORTRANGE(""17pNv02DXDpQT9S3w4-QeNym2QJy2BzMBqDXp-XtzJBM"", ""'SNG'!BG3:BG139""),MATCH($D24,IMPORTRANGE(""17pNv02DXDpQT9S3w4-QeNym2QJy2BzMBqDXp-XtzJBM"", ""'SNG'!D3:D139""),0))"),12)</f>
        <v>12</v>
      </c>
      <c r="T24" s="13"/>
      <c r="U24" s="13"/>
      <c r="V24" s="13"/>
      <c r="W24" s="13"/>
      <c r="X24" s="13"/>
      <c r="Y24" s="13"/>
      <c r="Z24" s="12">
        <f ca="1">IFERROR(__xludf.DUMMYFUNCTION("INDEX(IMPORTRANGE(""17pNv02DXDpQT9S3w4-QeNym2QJy2BzMBqDXp-XtzJBM"", ""'SNG'!BH3:BH139""),MATCH($D24,IMPORTRANGE(""17pNv02DXDpQT9S3w4-QeNym2QJy2BzMBqDXp-XtzJBM"", ""'SNG'!D3:D139""),0))"),9)</f>
        <v>9</v>
      </c>
      <c r="AA24" s="12">
        <f ca="1">IFERROR(__xludf.DUMMYFUNCTION("INDEX(IMPORTRANGE(""17pNv02DXDpQT9S3w4-QeNym2QJy2BzMBqDXp-XtzJBM"", ""'SNG'!BI3:BI139""),MATCH($D24,IMPORTRANGE(""17pNv02DXDpQT9S3w4-QeNym2QJy2BzMBqDXp-XtzJBM"", ""'SNG'!D3:D139""),0))"),18)</f>
        <v>18</v>
      </c>
      <c r="AB24" s="12">
        <f ca="1">IFERROR(__xludf.DUMMYFUNCTION("INDEX(IMPORTRANGE(""17pNv02DXDpQT9S3w4-QeNym2QJy2BzMBqDXp-XtzJBM"", ""'SNG'!BJ3:BJ139""),MATCH($D24,IMPORTRANGE(""17pNv02DXDpQT9S3w4-QeNym2QJy2BzMBqDXp-XtzJBM"", ""'SNG'!D3:D139""),0))"),9)</f>
        <v>9</v>
      </c>
      <c r="AC24" s="12">
        <f ca="1">IFERROR(__xludf.DUMMYFUNCTION("INDEX(IMPORTRANGE(""17pNv02DXDpQT9S3w4-QeNym2QJy2BzMBqDXp-XtzJBM"", ""'SNG'!BK3:BK139""),MATCH($D24,IMPORTRANGE(""17pNv02DXDpQT9S3w4-QeNym2QJy2BzMBqDXp-XtzJBM"", ""'SNG'!D3:D139""),0))"),26)</f>
        <v>26</v>
      </c>
      <c r="AD24" s="12">
        <f ca="1">IFERROR(__xludf.DUMMYFUNCTION("INDEX(IMPORTRANGE(""17pNv02DXDpQT9S3w4-QeNym2QJy2BzMBqDXp-XtzJBM"", ""'SNG'!BL3:BL139""),MATCH($D24,IMPORTRANGE(""17pNv02DXDpQT9S3w4-QeNym2QJy2BzMBqDXp-XtzJBM"", ""'SNG'!D3:D139""),0))"),20)</f>
        <v>20</v>
      </c>
      <c r="AE24" s="12">
        <f ca="1">IFERROR(__xludf.DUMMYFUNCTION("INDEX(IMPORTRANGE(""17pNv02DXDpQT9S3w4-QeNym2QJy2BzMBqDXp-XtzJBM"", ""'SNG'!BM3:BM139""),MATCH($D24,IMPORTRANGE(""17pNv02DXDpQT9S3w4-QeNym2QJy2BzMBqDXp-XtzJBM"", ""'SNG'!D3:D139""),0))"),28)</f>
        <v>28</v>
      </c>
    </row>
    <row r="25" spans="1:31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12">
        <v>5</v>
      </c>
      <c r="R25" s="12">
        <v>8</v>
      </c>
      <c r="S25" s="12">
        <f ca="1">IFERROR(__xludf.DUMMYFUNCTION("INDEX(IMPORTRANGE(""17pNv02DXDpQT9S3w4-QeNym2QJy2BzMBqDXp-XtzJBM"", ""'SNG'!BG3:BG139""),MATCH($D25,IMPORTRANGE(""17pNv02DXDpQT9S3w4-QeNym2QJy2BzMBqDXp-XtzJBM"", ""'SNG'!D3:D139""),0))"),7)</f>
        <v>7</v>
      </c>
      <c r="T25" s="13"/>
      <c r="U25" s="13"/>
      <c r="V25" s="13"/>
      <c r="W25" s="13"/>
      <c r="X25" s="13"/>
      <c r="Y25" s="13"/>
      <c r="Z25" s="12">
        <f ca="1">IFERROR(__xludf.DUMMYFUNCTION("INDEX(IMPORTRANGE(""17pNv02DXDpQT9S3w4-QeNym2QJy2BzMBqDXp-XtzJBM"", ""'SNG'!BH3:BH139""),MATCH($D25,IMPORTRANGE(""17pNv02DXDpQT9S3w4-QeNym2QJy2BzMBqDXp-XtzJBM"", ""'SNG'!D3:D139""),0))"),6)</f>
        <v>6</v>
      </c>
      <c r="AA25" s="12">
        <f ca="1">IFERROR(__xludf.DUMMYFUNCTION("INDEX(IMPORTRANGE(""17pNv02DXDpQT9S3w4-QeNym2QJy2BzMBqDXp-XtzJBM"", ""'SNG'!BI3:BI139""),MATCH($D25,IMPORTRANGE(""17pNv02DXDpQT9S3w4-QeNym2QJy2BzMBqDXp-XtzJBM"", ""'SNG'!D3:D139""),0))"),18)</f>
        <v>18</v>
      </c>
      <c r="AB25" s="12">
        <f ca="1">IFERROR(__xludf.DUMMYFUNCTION("INDEX(IMPORTRANGE(""17pNv02DXDpQT9S3w4-QeNym2QJy2BzMBqDXp-XtzJBM"", ""'SNG'!BJ3:BJ139""),MATCH($D25,IMPORTRANGE(""17pNv02DXDpQT9S3w4-QeNym2QJy2BzMBqDXp-XtzJBM"", ""'SNG'!D3:D139""),0))"),5)</f>
        <v>5</v>
      </c>
      <c r="AC25" s="12">
        <f ca="1">IFERROR(__xludf.DUMMYFUNCTION("INDEX(IMPORTRANGE(""17pNv02DXDpQT9S3w4-QeNym2QJy2BzMBqDXp-XtzJBM"", ""'SNG'!BK3:BK139""),MATCH($D25,IMPORTRANGE(""17pNv02DXDpQT9S3w4-QeNym2QJy2BzMBqDXp-XtzJBM"", ""'SNG'!D3:D139""),0))"),9)</f>
        <v>9</v>
      </c>
      <c r="AD25" s="12">
        <f ca="1">IFERROR(__xludf.DUMMYFUNCTION("INDEX(IMPORTRANGE(""17pNv02DXDpQT9S3w4-QeNym2QJy2BzMBqDXp-XtzJBM"", ""'SNG'!BL3:BL139""),MATCH($D25,IMPORTRANGE(""17pNv02DXDpQT9S3w4-QeNym2QJy2BzMBqDXp-XtzJBM"", ""'SNG'!D3:D139""),0))"),5)</f>
        <v>5</v>
      </c>
      <c r="AE25" s="12">
        <f ca="1">IFERROR(__xludf.DUMMYFUNCTION("INDEX(IMPORTRANGE(""17pNv02DXDpQT9S3w4-QeNym2QJy2BzMBqDXp-XtzJBM"", ""'SNG'!BM3:BM139""),MATCH($D25,IMPORTRANGE(""17pNv02DXDpQT9S3w4-QeNym2QJy2BzMBqDXp-XtzJBM"", ""'SNG'!D3:D139""),0))"),10)</f>
        <v>10</v>
      </c>
    </row>
    <row r="26" spans="1:31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12">
        <v>3</v>
      </c>
      <c r="R26" s="12">
        <v>7</v>
      </c>
      <c r="S26" s="12">
        <f ca="1">IFERROR(__xludf.DUMMYFUNCTION("INDEX(IMPORTRANGE(""17pNv02DXDpQT9S3w4-QeNym2QJy2BzMBqDXp-XtzJBM"", ""'SNG'!BG3:BG139""),MATCH($D26,IMPORTRANGE(""17pNv02DXDpQT9S3w4-QeNym2QJy2BzMBqDXp-XtzJBM"", ""'SNG'!D3:D139""),0))"),6)</f>
        <v>6</v>
      </c>
      <c r="T26" s="13"/>
      <c r="U26" s="13"/>
      <c r="V26" s="13"/>
      <c r="W26" s="13"/>
      <c r="X26" s="13"/>
      <c r="Y26" s="13"/>
      <c r="Z26" s="12">
        <f ca="1">IFERROR(__xludf.DUMMYFUNCTION("INDEX(IMPORTRANGE(""17pNv02DXDpQT9S3w4-QeNym2QJy2BzMBqDXp-XtzJBM"", ""'SNG'!BH3:BH139""),MATCH($D26,IMPORTRANGE(""17pNv02DXDpQT9S3w4-QeNym2QJy2BzMBqDXp-XtzJBM"", ""'SNG'!D3:D139""),0))"),2)</f>
        <v>2</v>
      </c>
      <c r="AA26" s="12">
        <f ca="1">IFERROR(__xludf.DUMMYFUNCTION("INDEX(IMPORTRANGE(""17pNv02DXDpQT9S3w4-QeNym2QJy2BzMBqDXp-XtzJBM"", ""'SNG'!BI3:BI139""),MATCH($D26,IMPORTRANGE(""17pNv02DXDpQT9S3w4-QeNym2QJy2BzMBqDXp-XtzJBM"", ""'SNG'!D3:D139""),0))"),3)</f>
        <v>3</v>
      </c>
      <c r="AB26" s="12">
        <f ca="1">IFERROR(__xludf.DUMMYFUNCTION("INDEX(IMPORTRANGE(""17pNv02DXDpQT9S3w4-QeNym2QJy2BzMBqDXp-XtzJBM"", ""'SNG'!BJ3:BJ139""),MATCH($D26,IMPORTRANGE(""17pNv02DXDpQT9S3w4-QeNym2QJy2BzMBqDXp-XtzJBM"", ""'SNG'!D3:D139""),0))"),1)</f>
        <v>1</v>
      </c>
      <c r="AC26" s="12">
        <f ca="1">IFERROR(__xludf.DUMMYFUNCTION("INDEX(IMPORTRANGE(""17pNv02DXDpQT9S3w4-QeNym2QJy2BzMBqDXp-XtzJBM"", ""'SNG'!BK3:BK139""),MATCH($D26,IMPORTRANGE(""17pNv02DXDpQT9S3w4-QeNym2QJy2BzMBqDXp-XtzJBM"", ""'SNG'!D3:D139""),0))"),4)</f>
        <v>4</v>
      </c>
      <c r="AD26" s="12">
        <f ca="1">IFERROR(__xludf.DUMMYFUNCTION("INDEX(IMPORTRANGE(""17pNv02DXDpQT9S3w4-QeNym2QJy2BzMBqDXp-XtzJBM"", ""'SNG'!BL3:BL139""),MATCH($D26,IMPORTRANGE(""17pNv02DXDpQT9S3w4-QeNym2QJy2BzMBqDXp-XtzJBM"", ""'SNG'!D3:D139""),0))"),2)</f>
        <v>2</v>
      </c>
      <c r="AE26" s="12">
        <f ca="1">IFERROR(__xludf.DUMMYFUNCTION("INDEX(IMPORTRANGE(""17pNv02DXDpQT9S3w4-QeNym2QJy2BzMBqDXp-XtzJBM"", ""'SNG'!BM3:BM139""),MATCH($D26,IMPORTRANGE(""17pNv02DXDpQT9S3w4-QeNym2QJy2BzMBqDXp-XtzJBM"", ""'SNG'!D3:D139""),0))"),2)</f>
        <v>2</v>
      </c>
    </row>
    <row r="27" spans="1:31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12">
        <v>0</v>
      </c>
      <c r="R27" s="12">
        <v>0</v>
      </c>
      <c r="S27" s="12">
        <f ca="1">IFERROR(__xludf.DUMMYFUNCTION("INDEX(IMPORTRANGE(""17pNv02DXDpQT9S3w4-QeNym2QJy2BzMBqDXp-XtzJBM"", ""'SNG'!BG3:BG139""),MATCH($D27,IMPORTRANGE(""17pNv02DXDpQT9S3w4-QeNym2QJy2BzMBqDXp-XtzJBM"", ""'SNG'!D3:D139""),0))"),0)</f>
        <v>0</v>
      </c>
      <c r="T27" s="13"/>
      <c r="U27" s="13"/>
      <c r="V27" s="13"/>
      <c r="W27" s="13"/>
      <c r="X27" s="13"/>
      <c r="Y27" s="13"/>
      <c r="Z27" s="12">
        <f ca="1">IFERROR(__xludf.DUMMYFUNCTION("INDEX(IMPORTRANGE(""17pNv02DXDpQT9S3w4-QeNym2QJy2BzMBqDXp-XtzJBM"", ""'SNG'!BH3:BH139""),MATCH($D27,IMPORTRANGE(""17pNv02DXDpQT9S3w4-QeNym2QJy2BzMBqDXp-XtzJBM"", ""'SNG'!D3:D139""),0))"),0)</f>
        <v>0</v>
      </c>
      <c r="AA27" s="12">
        <f ca="1">IFERROR(__xludf.DUMMYFUNCTION("INDEX(IMPORTRANGE(""17pNv02DXDpQT9S3w4-QeNym2QJy2BzMBqDXp-XtzJBM"", ""'SNG'!BI3:BI139""),MATCH($D27,IMPORTRANGE(""17pNv02DXDpQT9S3w4-QeNym2QJy2BzMBqDXp-XtzJBM"", ""'SNG'!D3:D139""),0))"),0)</f>
        <v>0</v>
      </c>
      <c r="AB27" s="12">
        <f ca="1">IFERROR(__xludf.DUMMYFUNCTION("INDEX(IMPORTRANGE(""17pNv02DXDpQT9S3w4-QeNym2QJy2BzMBqDXp-XtzJBM"", ""'SNG'!BJ3:BJ139""),MATCH($D27,IMPORTRANGE(""17pNv02DXDpQT9S3w4-QeNym2QJy2BzMBqDXp-XtzJBM"", ""'SNG'!D3:D139""),0))"),0)</f>
        <v>0</v>
      </c>
      <c r="AC27" s="12">
        <f ca="1">IFERROR(__xludf.DUMMYFUNCTION("INDEX(IMPORTRANGE(""17pNv02DXDpQT9S3w4-QeNym2QJy2BzMBqDXp-XtzJBM"", ""'SNG'!BK3:BK139""),MATCH($D27,IMPORTRANGE(""17pNv02DXDpQT9S3w4-QeNym2QJy2BzMBqDXp-XtzJBM"", ""'SNG'!D3:D139""),0))"),0)</f>
        <v>0</v>
      </c>
      <c r="AD27" s="12">
        <f ca="1">IFERROR(__xludf.DUMMYFUNCTION("INDEX(IMPORTRANGE(""17pNv02DXDpQT9S3w4-QeNym2QJy2BzMBqDXp-XtzJBM"", ""'SNG'!BL3:BL139""),MATCH($D27,IMPORTRANGE(""17pNv02DXDpQT9S3w4-QeNym2QJy2BzMBqDXp-XtzJBM"", ""'SNG'!D3:D139""),0))"),0)</f>
        <v>0</v>
      </c>
      <c r="AE27" s="12">
        <f ca="1">IFERROR(__xludf.DUMMYFUNCTION("INDEX(IMPORTRANGE(""17pNv02DXDpQT9S3w4-QeNym2QJy2BzMBqDXp-XtzJBM"", ""'SNG'!BM3:BM139""),MATCH($D27,IMPORTRANGE(""17pNv02DXDpQT9S3w4-QeNym2QJy2BzMBqDXp-XtzJBM"", ""'SNG'!D3:D139""),0))"),0)</f>
        <v>0</v>
      </c>
    </row>
    <row r="28" spans="1:31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12">
        <v>5</v>
      </c>
      <c r="R28" s="12">
        <v>6</v>
      </c>
      <c r="S28" s="12">
        <f ca="1">IFERROR(__xludf.DUMMYFUNCTION("INDEX(IMPORTRANGE(""17pNv02DXDpQT9S3w4-QeNym2QJy2BzMBqDXp-XtzJBM"", ""'SNG'!BG3:BG139""),MATCH($D28,IMPORTRANGE(""17pNv02DXDpQT9S3w4-QeNym2QJy2BzMBqDXp-XtzJBM"", ""'SNG'!D3:D139""),0))"),6)</f>
        <v>6</v>
      </c>
      <c r="T28" s="13"/>
      <c r="U28" s="13"/>
      <c r="V28" s="13"/>
      <c r="W28" s="13"/>
      <c r="X28" s="13"/>
      <c r="Y28" s="13"/>
      <c r="Z28" s="12">
        <f ca="1">IFERROR(__xludf.DUMMYFUNCTION("INDEX(IMPORTRANGE(""17pNv02DXDpQT9S3w4-QeNym2QJy2BzMBqDXp-XtzJBM"", ""'SNG'!BH3:BH139""),MATCH($D28,IMPORTRANGE(""17pNv02DXDpQT9S3w4-QeNym2QJy2BzMBqDXp-XtzJBM"", ""'SNG'!D3:D139""),0))"),4)</f>
        <v>4</v>
      </c>
      <c r="AA28" s="12">
        <f ca="1">IFERROR(__xludf.DUMMYFUNCTION("INDEX(IMPORTRANGE(""17pNv02DXDpQT9S3w4-QeNym2QJy2BzMBqDXp-XtzJBM"", ""'SNG'!BI3:BI139""),MATCH($D28,IMPORTRANGE(""17pNv02DXDpQT9S3w4-QeNym2QJy2BzMBqDXp-XtzJBM"", ""'SNG'!D3:D139""),0))"),6)</f>
        <v>6</v>
      </c>
      <c r="AB28" s="12">
        <f ca="1">IFERROR(__xludf.DUMMYFUNCTION("INDEX(IMPORTRANGE(""17pNv02DXDpQT9S3w4-QeNym2QJy2BzMBqDXp-XtzJBM"", ""'SNG'!BJ3:BJ139""),MATCH($D28,IMPORTRANGE(""17pNv02DXDpQT9S3w4-QeNym2QJy2BzMBqDXp-XtzJBM"", ""'SNG'!D3:D139""),0))"),1)</f>
        <v>1</v>
      </c>
      <c r="AC28" s="12">
        <f ca="1">IFERROR(__xludf.DUMMYFUNCTION("INDEX(IMPORTRANGE(""17pNv02DXDpQT9S3w4-QeNym2QJy2BzMBqDXp-XtzJBM"", ""'SNG'!BK3:BK139""),MATCH($D28,IMPORTRANGE(""17pNv02DXDpQT9S3w4-QeNym2QJy2BzMBqDXp-XtzJBM"", ""'SNG'!D3:D139""),0))"),2)</f>
        <v>2</v>
      </c>
      <c r="AD28" s="12">
        <f ca="1">IFERROR(__xludf.DUMMYFUNCTION("INDEX(IMPORTRANGE(""17pNv02DXDpQT9S3w4-QeNym2QJy2BzMBqDXp-XtzJBM"", ""'SNG'!BL3:BL139""),MATCH($D28,IMPORTRANGE(""17pNv02DXDpQT9S3w4-QeNym2QJy2BzMBqDXp-XtzJBM"", ""'SNG'!D3:D139""),0))"),2)</f>
        <v>2</v>
      </c>
      <c r="AE28" s="12">
        <f ca="1">IFERROR(__xludf.DUMMYFUNCTION("INDEX(IMPORTRANGE(""17pNv02DXDpQT9S3w4-QeNym2QJy2BzMBqDXp-XtzJBM"", ""'SNG'!BM3:BM139""),MATCH($D28,IMPORTRANGE(""17pNv02DXDpQT9S3w4-QeNym2QJy2BzMBqDXp-XtzJBM"", ""'SNG'!D3:D139""),0))"),2)</f>
        <v>2</v>
      </c>
    </row>
    <row r="29" spans="1:31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""'SNG'!BG3:BG139""),MATCH($D29,IMPORTRANGE(""17pNv02DXDpQT9S3w4-QeNym2QJy2BzMBqDXp-XtzJBM"", ""'SNG'!D3:D139""),0))"),0)</f>
        <v>0</v>
      </c>
      <c r="T29" s="13"/>
      <c r="U29" s="13"/>
      <c r="V29" s="13"/>
      <c r="W29" s="13"/>
      <c r="X29" s="13"/>
      <c r="Y29" s="13"/>
      <c r="Z29" s="12">
        <f ca="1">IFERROR(__xludf.DUMMYFUNCTION("INDEX(IMPORTRANGE(""17pNv02DXDpQT9S3w4-QeNym2QJy2BzMBqDXp-XtzJBM"", ""'SNG'!BH3:BH139""),MATCH($D29,IMPORTRANGE(""17pNv02DXDpQT9S3w4-QeNym2QJy2BzMBqDXp-XtzJBM"", ""'SNG'!D3:D139""),0))"),0)</f>
        <v>0</v>
      </c>
      <c r="AA29" s="12">
        <f ca="1">IFERROR(__xludf.DUMMYFUNCTION("INDEX(IMPORTRANGE(""17pNv02DXDpQT9S3w4-QeNym2QJy2BzMBqDXp-XtzJBM"", ""'SNG'!BI3:BI139""),MATCH($D29,IMPORTRANGE(""17pNv02DXDpQT9S3w4-QeNym2QJy2BzMBqDXp-XtzJBM"", ""'SNG'!D3:D139""),0))"),0)</f>
        <v>0</v>
      </c>
      <c r="AB29" s="12">
        <f ca="1">IFERROR(__xludf.DUMMYFUNCTION("INDEX(IMPORTRANGE(""17pNv02DXDpQT9S3w4-QeNym2QJy2BzMBqDXp-XtzJBM"", ""'SNG'!BJ3:BJ139""),MATCH($D29,IMPORTRANGE(""17pNv02DXDpQT9S3w4-QeNym2QJy2BzMBqDXp-XtzJBM"", ""'SNG'!D3:D139""),0))"),0)</f>
        <v>0</v>
      </c>
      <c r="AC29" s="12">
        <f ca="1">IFERROR(__xludf.DUMMYFUNCTION("INDEX(IMPORTRANGE(""17pNv02DXDpQT9S3w4-QeNym2QJy2BzMBqDXp-XtzJBM"", ""'SNG'!BK3:BK139""),MATCH($D29,IMPORTRANGE(""17pNv02DXDpQT9S3w4-QeNym2QJy2BzMBqDXp-XtzJBM"", ""'SNG'!D3:D139""),0))"),0)</f>
        <v>0</v>
      </c>
      <c r="AD29" s="12">
        <f ca="1">IFERROR(__xludf.DUMMYFUNCTION("INDEX(IMPORTRANGE(""17pNv02DXDpQT9S3w4-QeNym2QJy2BzMBqDXp-XtzJBM"", ""'SNG'!BL3:BL139""),MATCH($D29,IMPORTRANGE(""17pNv02DXDpQT9S3w4-QeNym2QJy2BzMBqDXp-XtzJBM"", ""'SNG'!D3:D139""),0))"),0)</f>
        <v>0</v>
      </c>
      <c r="AE29" s="12">
        <f ca="1">IFERROR(__xludf.DUMMYFUNCTION("INDEX(IMPORTRANGE(""17pNv02DXDpQT9S3w4-QeNym2QJy2BzMBqDXp-XtzJBM"", ""'SNG'!BM3:BM139""),MATCH($D29,IMPORTRANGE(""17pNv02DXDpQT9S3w4-QeNym2QJy2BzMBqDXp-XtzJBM"", ""'SNG'!D3:D139""),0))"),0)</f>
        <v>0</v>
      </c>
    </row>
    <row r="30" spans="1:31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12">
        <v>3</v>
      </c>
      <c r="R30" s="12">
        <v>5</v>
      </c>
      <c r="S30" s="12">
        <f ca="1">IFERROR(__xludf.DUMMYFUNCTION("INDEX(IMPORTRANGE(""17pNv02DXDpQT9S3w4-QeNym2QJy2BzMBqDXp-XtzJBM"", ""'SNG'!BG3:BG139""),MATCH($D30,IMPORTRANGE(""17pNv02DXDpQT9S3w4-QeNym2QJy2BzMBqDXp-XtzJBM"", ""'SNG'!D3:D139""),0))"),4)</f>
        <v>4</v>
      </c>
      <c r="T30" s="13"/>
      <c r="U30" s="13"/>
      <c r="V30" s="13"/>
      <c r="W30" s="13"/>
      <c r="X30" s="13"/>
      <c r="Y30" s="13"/>
      <c r="Z30" s="12">
        <f ca="1">IFERROR(__xludf.DUMMYFUNCTION("INDEX(IMPORTRANGE(""17pNv02DXDpQT9S3w4-QeNym2QJy2BzMBqDXp-XtzJBM"", ""'SNG'!BH3:BH139""),MATCH($D30,IMPORTRANGE(""17pNv02DXDpQT9S3w4-QeNym2QJy2BzMBqDXp-XtzJBM"", ""'SNG'!D3:D139""),0))"),2)</f>
        <v>2</v>
      </c>
      <c r="AA30" s="12">
        <f ca="1">IFERROR(__xludf.DUMMYFUNCTION("INDEX(IMPORTRANGE(""17pNv02DXDpQT9S3w4-QeNym2QJy2BzMBqDXp-XtzJBM"", ""'SNG'!BI3:BI139""),MATCH($D30,IMPORTRANGE(""17pNv02DXDpQT9S3w4-QeNym2QJy2BzMBqDXp-XtzJBM"", ""'SNG'!D3:D139""),0))"),4)</f>
        <v>4</v>
      </c>
      <c r="AB30" s="12">
        <f ca="1">IFERROR(__xludf.DUMMYFUNCTION("INDEX(IMPORTRANGE(""17pNv02DXDpQT9S3w4-QeNym2QJy2BzMBqDXp-XtzJBM"", ""'SNG'!BJ3:BJ139""),MATCH($D30,IMPORTRANGE(""17pNv02DXDpQT9S3w4-QeNym2QJy2BzMBqDXp-XtzJBM"", ""'SNG'!D3:D139""),0))"),2)</f>
        <v>2</v>
      </c>
      <c r="AC30" s="12">
        <f ca="1">IFERROR(__xludf.DUMMYFUNCTION("INDEX(IMPORTRANGE(""17pNv02DXDpQT9S3w4-QeNym2QJy2BzMBqDXp-XtzJBM"", ""'SNG'!BK3:BK139""),MATCH($D30,IMPORTRANGE(""17pNv02DXDpQT9S3w4-QeNym2QJy2BzMBqDXp-XtzJBM"", ""'SNG'!D3:D139""),0))"),8)</f>
        <v>8</v>
      </c>
      <c r="AD30" s="12">
        <f ca="1">IFERROR(__xludf.DUMMYFUNCTION("INDEX(IMPORTRANGE(""17pNv02DXDpQT9S3w4-QeNym2QJy2BzMBqDXp-XtzJBM"", ""'SNG'!BL3:BL139""),MATCH($D30,IMPORTRANGE(""17pNv02DXDpQT9S3w4-QeNym2QJy2BzMBqDXp-XtzJBM"", ""'SNG'!D3:D139""),0))"),2)</f>
        <v>2</v>
      </c>
      <c r="AE30" s="12">
        <f ca="1">IFERROR(__xludf.DUMMYFUNCTION("INDEX(IMPORTRANGE(""17pNv02DXDpQT9S3w4-QeNym2QJy2BzMBqDXp-XtzJBM"", ""'SNG'!BM3:BM139""),MATCH($D30,IMPORTRANGE(""17pNv02DXDpQT9S3w4-QeNym2QJy2BzMBqDXp-XtzJBM"", ""'SNG'!D3:D139""),0))"),4)</f>
        <v>4</v>
      </c>
    </row>
    <row r="31" spans="1:31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12">
        <v>1</v>
      </c>
      <c r="R31" s="12">
        <v>2</v>
      </c>
      <c r="S31" s="12">
        <f ca="1">IFERROR(__xludf.DUMMYFUNCTION("INDEX(IMPORTRANGE(""17pNv02DXDpQT9S3w4-QeNym2QJy2BzMBqDXp-XtzJBM"", ""'SNG'!BG3:BG139""),MATCH($D31,IMPORTRANGE(""17pNv02DXDpQT9S3w4-QeNym2QJy2BzMBqDXp-XtzJBM"", ""'SNG'!D3:D139""),0))"),1)</f>
        <v>1</v>
      </c>
      <c r="T31" s="13"/>
      <c r="U31" s="13"/>
      <c r="V31" s="13"/>
      <c r="W31" s="13"/>
      <c r="X31" s="13"/>
      <c r="Y31" s="13"/>
      <c r="Z31" s="12">
        <f ca="1">IFERROR(__xludf.DUMMYFUNCTION("INDEX(IMPORTRANGE(""17pNv02DXDpQT9S3w4-QeNym2QJy2BzMBqDXp-XtzJBM"", ""'SNG'!BH3:BH139""),MATCH($D31,IMPORTRANGE(""17pNv02DXDpQT9S3w4-QeNym2QJy2BzMBqDXp-XtzJBM"", ""'SNG'!D3:D139""),0))"),2)</f>
        <v>2</v>
      </c>
      <c r="AA31" s="12">
        <f ca="1">IFERROR(__xludf.DUMMYFUNCTION("INDEX(IMPORTRANGE(""17pNv02DXDpQT9S3w4-QeNym2QJy2BzMBqDXp-XtzJBM"", ""'SNG'!BI3:BI139""),MATCH($D31,IMPORTRANGE(""17pNv02DXDpQT9S3w4-QeNym2QJy2BzMBqDXp-XtzJBM"", ""'SNG'!D3:D139""),0))"),2)</f>
        <v>2</v>
      </c>
      <c r="AB31" s="12">
        <f ca="1">IFERROR(__xludf.DUMMYFUNCTION("INDEX(IMPORTRANGE(""17pNv02DXDpQT9S3w4-QeNym2QJy2BzMBqDXp-XtzJBM"", ""'SNG'!BJ3:BJ139""),MATCH($D31,IMPORTRANGE(""17pNv02DXDpQT9S3w4-QeNym2QJy2BzMBqDXp-XtzJBM"", ""'SNG'!D3:D139""),0))"),0)</f>
        <v>0</v>
      </c>
      <c r="AC31" s="12">
        <f ca="1">IFERROR(__xludf.DUMMYFUNCTION("INDEX(IMPORTRANGE(""17pNv02DXDpQT9S3w4-QeNym2QJy2BzMBqDXp-XtzJBM"", ""'SNG'!BK3:BK139""),MATCH($D31,IMPORTRANGE(""17pNv02DXDpQT9S3w4-QeNym2QJy2BzMBqDXp-XtzJBM"", ""'SNG'!D3:D139""),0))"),0)</f>
        <v>0</v>
      </c>
      <c r="AD31" s="12">
        <f ca="1">IFERROR(__xludf.DUMMYFUNCTION("INDEX(IMPORTRANGE(""17pNv02DXDpQT9S3w4-QeNym2QJy2BzMBqDXp-XtzJBM"", ""'SNG'!BL3:BL139""),MATCH($D31,IMPORTRANGE(""17pNv02DXDpQT9S3w4-QeNym2QJy2BzMBqDXp-XtzJBM"", ""'SNG'!D3:D139""),0))"),0)</f>
        <v>0</v>
      </c>
      <c r="AE31" s="12">
        <f ca="1">IFERROR(__xludf.DUMMYFUNCTION("INDEX(IMPORTRANGE(""17pNv02DXDpQT9S3w4-QeNym2QJy2BzMBqDXp-XtzJBM"", ""'SNG'!BM3:BM139""),MATCH($D31,IMPORTRANGE(""17pNv02DXDpQT9S3w4-QeNym2QJy2BzMBqDXp-XtzJBM"", ""'SNG'!D3:D139""),0))"),0)</f>
        <v>0</v>
      </c>
    </row>
    <row r="32" spans="1:31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""'SNG'!BG3:BG139""),MATCH($D32,IMPORTRANGE(""17pNv02DXDpQT9S3w4-QeNym2QJy2BzMBqDXp-XtzJBM"", ""'SNG'!D3:D139""),0))"),0)</f>
        <v>0</v>
      </c>
      <c r="T32" s="13"/>
      <c r="U32" s="13"/>
      <c r="V32" s="13"/>
      <c r="W32" s="13"/>
      <c r="X32" s="13"/>
      <c r="Y32" s="13"/>
      <c r="Z32" s="12">
        <f ca="1">IFERROR(__xludf.DUMMYFUNCTION("INDEX(IMPORTRANGE(""17pNv02DXDpQT9S3w4-QeNym2QJy2BzMBqDXp-XtzJBM"", ""'SNG'!BH3:BH139""),MATCH($D32,IMPORTRANGE(""17pNv02DXDpQT9S3w4-QeNym2QJy2BzMBqDXp-XtzJBM"", ""'SNG'!D3:D139""),0))"),0)</f>
        <v>0</v>
      </c>
      <c r="AA32" s="12">
        <f ca="1">IFERROR(__xludf.DUMMYFUNCTION("INDEX(IMPORTRANGE(""17pNv02DXDpQT9S3w4-QeNym2QJy2BzMBqDXp-XtzJBM"", ""'SNG'!BI3:BI139""),MATCH($D32,IMPORTRANGE(""17pNv02DXDpQT9S3w4-QeNym2QJy2BzMBqDXp-XtzJBM"", ""'SNG'!D3:D139""),0))"),0)</f>
        <v>0</v>
      </c>
      <c r="AB32" s="12">
        <f ca="1">IFERROR(__xludf.DUMMYFUNCTION("INDEX(IMPORTRANGE(""17pNv02DXDpQT9S3w4-QeNym2QJy2BzMBqDXp-XtzJBM"", ""'SNG'!BJ3:BJ139""),MATCH($D32,IMPORTRANGE(""17pNv02DXDpQT9S3w4-QeNym2QJy2BzMBqDXp-XtzJBM"", ""'SNG'!D3:D139""),0))"),0)</f>
        <v>0</v>
      </c>
      <c r="AC32" s="12">
        <f ca="1">IFERROR(__xludf.DUMMYFUNCTION("INDEX(IMPORTRANGE(""17pNv02DXDpQT9S3w4-QeNym2QJy2BzMBqDXp-XtzJBM"", ""'SNG'!BK3:BK139""),MATCH($D32,IMPORTRANGE(""17pNv02DXDpQT9S3w4-QeNym2QJy2BzMBqDXp-XtzJBM"", ""'SNG'!D3:D139""),0))"),0)</f>
        <v>0</v>
      </c>
      <c r="AD32" s="12">
        <f ca="1">IFERROR(__xludf.DUMMYFUNCTION("INDEX(IMPORTRANGE(""17pNv02DXDpQT9S3w4-QeNym2QJy2BzMBqDXp-XtzJBM"", ""'SNG'!BL3:BL139""),MATCH($D32,IMPORTRANGE(""17pNv02DXDpQT9S3w4-QeNym2QJy2BzMBqDXp-XtzJBM"", ""'SNG'!D3:D139""),0))"),0)</f>
        <v>0</v>
      </c>
      <c r="AE32" s="12">
        <f ca="1">IFERROR(__xludf.DUMMYFUNCTION("INDEX(IMPORTRANGE(""17pNv02DXDpQT9S3w4-QeNym2QJy2BzMBqDXp-XtzJBM"", ""'SNG'!BM3:BM139""),MATCH($D32,IMPORTRANGE(""17pNv02DXDpQT9S3w4-QeNym2QJy2BzMBqDXp-XtzJBM"", ""'SNG'!D3:D139""),0))"),0)</f>
        <v>0</v>
      </c>
    </row>
    <row r="33" spans="1:31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12">
        <v>0</v>
      </c>
      <c r="R33" s="12">
        <v>1</v>
      </c>
      <c r="S33" s="12">
        <f ca="1">IFERROR(__xludf.DUMMYFUNCTION("INDEX(IMPORTRANGE(""17pNv02DXDpQT9S3w4-QeNym2QJy2BzMBqDXp-XtzJBM"", ""'SNG'!BG3:BG139""),MATCH($D33,IMPORTRANGE(""17pNv02DXDpQT9S3w4-QeNym2QJy2BzMBqDXp-XtzJBM"", ""'SNG'!D3:D139""),0))"),1)</f>
        <v>1</v>
      </c>
      <c r="T33" s="13"/>
      <c r="U33" s="13"/>
      <c r="V33" s="13"/>
      <c r="W33" s="13"/>
      <c r="X33" s="13"/>
      <c r="Y33" s="13"/>
      <c r="Z33" s="12">
        <f ca="1">IFERROR(__xludf.DUMMYFUNCTION("INDEX(IMPORTRANGE(""17pNv02DXDpQT9S3w4-QeNym2QJy2BzMBqDXp-XtzJBM"", ""'SNG'!BH3:BH139""),MATCH($D33,IMPORTRANGE(""17pNv02DXDpQT9S3w4-QeNym2QJy2BzMBqDXp-XtzJBM"", ""'SNG'!D3:D139""),0))"),0)</f>
        <v>0</v>
      </c>
      <c r="AA33" s="12">
        <f ca="1">IFERROR(__xludf.DUMMYFUNCTION("INDEX(IMPORTRANGE(""17pNv02DXDpQT9S3w4-QeNym2QJy2BzMBqDXp-XtzJBM"", ""'SNG'!BI3:BI139""),MATCH($D33,IMPORTRANGE(""17pNv02DXDpQT9S3w4-QeNym2QJy2BzMBqDXp-XtzJBM"", ""'SNG'!D3:D139""),0))"),0)</f>
        <v>0</v>
      </c>
      <c r="AB33" s="12">
        <f ca="1">IFERROR(__xludf.DUMMYFUNCTION("INDEX(IMPORTRANGE(""17pNv02DXDpQT9S3w4-QeNym2QJy2BzMBqDXp-XtzJBM"", ""'SNG'!BJ3:BJ139""),MATCH($D33,IMPORTRANGE(""17pNv02DXDpQT9S3w4-QeNym2QJy2BzMBqDXp-XtzJBM"", ""'SNG'!D3:D139""),0))"),0)</f>
        <v>0</v>
      </c>
      <c r="AC33" s="12">
        <f ca="1">IFERROR(__xludf.DUMMYFUNCTION("INDEX(IMPORTRANGE(""17pNv02DXDpQT9S3w4-QeNym2QJy2BzMBqDXp-XtzJBM"", ""'SNG'!BK3:BK139""),MATCH($D33,IMPORTRANGE(""17pNv02DXDpQT9S3w4-QeNym2QJy2BzMBqDXp-XtzJBM"", ""'SNG'!D3:D139""),0))"),1)</f>
        <v>1</v>
      </c>
      <c r="AD33" s="12">
        <f ca="1">IFERROR(__xludf.DUMMYFUNCTION("INDEX(IMPORTRANGE(""17pNv02DXDpQT9S3w4-QeNym2QJy2BzMBqDXp-XtzJBM"", ""'SNG'!BL3:BL139""),MATCH($D33,IMPORTRANGE(""17pNv02DXDpQT9S3w4-QeNym2QJy2BzMBqDXp-XtzJBM"", ""'SNG'!D3:D139""),0))"),0)</f>
        <v>0</v>
      </c>
      <c r="AE33" s="12">
        <f ca="1">IFERROR(__xludf.DUMMYFUNCTION("INDEX(IMPORTRANGE(""17pNv02DXDpQT9S3w4-QeNym2QJy2BzMBqDXp-XtzJBM"", ""'SNG'!BM3:BM139""),MATCH($D33,IMPORTRANGE(""17pNv02DXDpQT9S3w4-QeNym2QJy2BzMBqDXp-XtzJBM"", ""'SNG'!D3:D139""),0))"),0)</f>
        <v>0</v>
      </c>
    </row>
    <row r="34" spans="1:31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12">
        <v>0</v>
      </c>
      <c r="R34" s="12">
        <v>0</v>
      </c>
      <c r="S34" s="12">
        <f ca="1">IFERROR(__xludf.DUMMYFUNCTION("INDEX(IMPORTRANGE(""17pNv02DXDpQT9S3w4-QeNym2QJy2BzMBqDXp-XtzJBM"", ""'SNG'!BG3:BG139""),MATCH($D34,IMPORTRANGE(""17pNv02DXDpQT9S3w4-QeNym2QJy2BzMBqDXp-XtzJBM"", ""'SNG'!D3:D139""),0))"),0)</f>
        <v>0</v>
      </c>
      <c r="T34" s="13"/>
      <c r="U34" s="13"/>
      <c r="V34" s="13"/>
      <c r="W34" s="13"/>
      <c r="X34" s="13"/>
      <c r="Y34" s="13"/>
      <c r="Z34" s="12">
        <f ca="1">IFERROR(__xludf.DUMMYFUNCTION("INDEX(IMPORTRANGE(""17pNv02DXDpQT9S3w4-QeNym2QJy2BzMBqDXp-XtzJBM"", ""'SNG'!BH3:BH139""),MATCH($D34,IMPORTRANGE(""17pNv02DXDpQT9S3w4-QeNym2QJy2BzMBqDXp-XtzJBM"", ""'SNG'!D3:D139""),0))"),0)</f>
        <v>0</v>
      </c>
      <c r="AA34" s="12">
        <f ca="1">IFERROR(__xludf.DUMMYFUNCTION("INDEX(IMPORTRANGE(""17pNv02DXDpQT9S3w4-QeNym2QJy2BzMBqDXp-XtzJBM"", ""'SNG'!BI3:BI139""),MATCH($D34,IMPORTRANGE(""17pNv02DXDpQT9S3w4-QeNym2QJy2BzMBqDXp-XtzJBM"", ""'SNG'!D3:D139""),0))"),3)</f>
        <v>3</v>
      </c>
      <c r="AB34" s="12">
        <f ca="1">IFERROR(__xludf.DUMMYFUNCTION("INDEX(IMPORTRANGE(""17pNv02DXDpQT9S3w4-QeNym2QJy2BzMBqDXp-XtzJBM"", ""'SNG'!BJ3:BJ139""),MATCH($D34,IMPORTRANGE(""17pNv02DXDpQT9S3w4-QeNym2QJy2BzMBqDXp-XtzJBM"", ""'SNG'!D3:D139""),0))"),1)</f>
        <v>1</v>
      </c>
      <c r="AC34" s="12">
        <f ca="1">IFERROR(__xludf.DUMMYFUNCTION("INDEX(IMPORTRANGE(""17pNv02DXDpQT9S3w4-QeNym2QJy2BzMBqDXp-XtzJBM"", ""'SNG'!BK3:BK139""),MATCH($D34,IMPORTRANGE(""17pNv02DXDpQT9S3w4-QeNym2QJy2BzMBqDXp-XtzJBM"", ""'SNG'!D3:D139""),0))"),1)</f>
        <v>1</v>
      </c>
      <c r="AD34" s="12">
        <f ca="1">IFERROR(__xludf.DUMMYFUNCTION("INDEX(IMPORTRANGE(""17pNv02DXDpQT9S3w4-QeNym2QJy2BzMBqDXp-XtzJBM"", ""'SNG'!BL3:BL139""),MATCH($D34,IMPORTRANGE(""17pNv02DXDpQT9S3w4-QeNym2QJy2BzMBqDXp-XtzJBM"", ""'SNG'!D3:D139""),0))"),1)</f>
        <v>1</v>
      </c>
      <c r="AE34" s="12">
        <f ca="1">IFERROR(__xludf.DUMMYFUNCTION("INDEX(IMPORTRANGE(""17pNv02DXDpQT9S3w4-QeNym2QJy2BzMBqDXp-XtzJBM"", ""'SNG'!BM3:BM139""),MATCH($D34,IMPORTRANGE(""17pNv02DXDpQT9S3w4-QeNym2QJy2BzMBqDXp-XtzJBM"", ""'SNG'!D3:D139""),0))"),1)</f>
        <v>1</v>
      </c>
    </row>
    <row r="35" spans="1:31">
      <c r="A35" s="16" t="s">
        <v>52</v>
      </c>
      <c r="B35" s="16" t="s">
        <v>86</v>
      </c>
      <c r="C35" s="8" t="s">
        <v>30</v>
      </c>
      <c r="D35" s="16" t="s">
        <v>350</v>
      </c>
      <c r="E35" s="16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21" t="s">
        <v>363</v>
      </c>
      <c r="P35" s="21" t="s">
        <v>349</v>
      </c>
      <c r="Q35" s="262">
        <f t="shared" ref="Q35:R35" si="8">SUM(Q24:Q34)</f>
        <v>21</v>
      </c>
      <c r="R35" s="262">
        <f t="shared" si="8"/>
        <v>41</v>
      </c>
      <c r="S35" s="262">
        <f ca="1">IFERROR(__xludf.DUMMYFUNCTION("INDEX(IMPORTRANGE(""17pNv02DXDpQT9S3w4-QeNym2QJy2BzMBqDXp-XtzJBM"", ""'SNG'!BG3:BG139""),MATCH($D35,IMPORTRANGE(""17pNv02DXDpQT9S3w4-QeNym2QJy2BzMBqDXp-XtzJBM"", ""'SNG'!D3:D139""),0))"),37)</f>
        <v>37</v>
      </c>
      <c r="T35" s="360"/>
      <c r="U35" s="360"/>
      <c r="V35" s="360"/>
      <c r="W35" s="360"/>
      <c r="X35" s="360"/>
      <c r="Y35" s="360"/>
      <c r="Z35" s="262">
        <f ca="1">IFERROR(__xludf.DUMMYFUNCTION("INDEX(IMPORTRANGE(""17pNv02DXDpQT9S3w4-QeNym2QJy2BzMBqDXp-XtzJBM"", ""'SNG'!BH3:BH139""),MATCH($D35,IMPORTRANGE(""17pNv02DXDpQT9S3w4-QeNym2QJy2BzMBqDXp-XtzJBM"", ""'SNG'!D3:D139""),0))"),25)</f>
        <v>25</v>
      </c>
      <c r="AA35" s="262">
        <f ca="1">IFERROR(__xludf.DUMMYFUNCTION("INDEX(IMPORTRANGE(""17pNv02DXDpQT9S3w4-QeNym2QJy2BzMBqDXp-XtzJBM"", ""'SNG'!BI3:BI139""),MATCH($D35,IMPORTRANGE(""17pNv02DXDpQT9S3w4-QeNym2QJy2BzMBqDXp-XtzJBM"", ""'SNG'!D3:D139""),0))"),54)</f>
        <v>54</v>
      </c>
      <c r="AB35" s="262">
        <f ca="1">IFERROR(__xludf.DUMMYFUNCTION("INDEX(IMPORTRANGE(""17pNv02DXDpQT9S3w4-QeNym2QJy2BzMBqDXp-XtzJBM"", ""'SNG'!BJ3:BJ139""),MATCH($D35,IMPORTRANGE(""17pNv02DXDpQT9S3w4-QeNym2QJy2BzMBqDXp-XtzJBM"", ""'SNG'!D3:D139""),0))"),19)</f>
        <v>19</v>
      </c>
      <c r="AC35" s="262">
        <f ca="1">IFERROR(__xludf.DUMMYFUNCTION("INDEX(IMPORTRANGE(""17pNv02DXDpQT9S3w4-QeNym2QJy2BzMBqDXp-XtzJBM"", ""'SNG'!BK3:BK139""),MATCH($D35,IMPORTRANGE(""17pNv02DXDpQT9S3w4-QeNym2QJy2BzMBqDXp-XtzJBM"", ""'SNG'!D3:D139""),0))"),51)</f>
        <v>51</v>
      </c>
      <c r="AD35" s="262">
        <f ca="1">IFERROR(__xludf.DUMMYFUNCTION("INDEX(IMPORTRANGE(""17pNv02DXDpQT9S3w4-QeNym2QJy2BzMBqDXp-XtzJBM"", ""'SNG'!BL3:BL139""),MATCH($D35,IMPORTRANGE(""17pNv02DXDpQT9S3w4-QeNym2QJy2BzMBqDXp-XtzJBM"", ""'SNG'!D3:D139""),0))"),32)</f>
        <v>32</v>
      </c>
      <c r="AE35" s="262">
        <f ca="1">IFERROR(__xludf.DUMMYFUNCTION("INDEX(IMPORTRANGE(""17pNv02DXDpQT9S3w4-QeNym2QJy2BzMBqDXp-XtzJBM"", ""'SNG'!BM3:BM139""),MATCH($D35,IMPORTRANGE(""17pNv02DXDpQT9S3w4-QeNym2QJy2BzMBqDXp-XtzJBM"", ""'SNG'!D3:D139""),0))"),47)</f>
        <v>47</v>
      </c>
    </row>
    <row r="36" spans="1:31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4.4112920674465554</v>
      </c>
      <c r="R36" s="23">
        <f t="shared" si="9"/>
        <v>8.6125226078718455</v>
      </c>
      <c r="S36" s="23">
        <f ca="1">IFERROR(__xludf.DUMMYFUNCTION("INDEX(IMPORTRANGE(""17pNv02DXDpQT9S3w4-QeNym2QJy2BzMBqDXp-XtzJBM"", ""'SNG'!BG3:BG139""),MATCH($D36,IMPORTRANGE(""17pNv02DXDpQT9S3w4-QeNym2QJy2BzMBqDXp-XtzJBM"", ""'SNG'!D3:D139""),0))"),7.77227649978678)</f>
        <v>7.7722764997867797</v>
      </c>
      <c r="T36" s="2">
        <v>6.8</v>
      </c>
      <c r="U36" s="2">
        <v>2.6</v>
      </c>
      <c r="V36" s="2">
        <v>5</v>
      </c>
      <c r="W36" s="2">
        <v>3.9</v>
      </c>
      <c r="X36" s="24">
        <f ca="1">+S36*(1+(Y36-R36)/R36)</f>
        <v>6.8585365853658464</v>
      </c>
      <c r="Y36" s="2">
        <v>7.6</v>
      </c>
      <c r="Z36" s="23">
        <f ca="1">IFERROR(__xludf.DUMMYFUNCTION("INDEX(IMPORTRANGE(""17pNv02DXDpQT9S3w4-QeNym2QJy2BzMBqDXp-XtzJBM"", ""'SNG'!BH3:BH139""),MATCH($D36,IMPORTRANGE(""17pNv02DXDpQT9S3w4-QeNym2QJy2BzMBqDXp-XtzJBM"", ""'SNG'!D3:D139""),0))"),5.21866193507984)</f>
        <v>5.2186619350798402</v>
      </c>
      <c r="AA36" s="23">
        <f ca="1">IFERROR(__xludf.DUMMYFUNCTION("INDEX(IMPORTRANGE(""17pNv02DXDpQT9S3w4-QeNym2QJy2BzMBqDXp-XtzJBM"", ""'SNG'!BI3:BI139""),MATCH($D36,IMPORTRANGE(""17pNv02DXDpQT9S3w4-QeNym2QJy2BzMBqDXp-XtzJBM"", ""'SNG'!D3:D139""),0))"),11.2723097797724)</f>
        <v>11.272309779772399</v>
      </c>
      <c r="AB36" s="23">
        <f ca="1">IFERROR(__xludf.DUMMYFUNCTION("INDEX(IMPORTRANGE(""17pNv02DXDpQT9S3w4-QeNym2QJy2BzMBqDXp-XtzJBM"", ""'SNG'!BJ3:BJ139""),MATCH($D36,IMPORTRANGE(""17pNv02DXDpQT9S3w4-QeNym2QJy2BzMBqDXp-XtzJBM"", ""'SNG'!D3:D139""),0))"),3.93172050019762)</f>
        <v>3.9317205001976201</v>
      </c>
      <c r="AC36" s="23">
        <f ca="1">IFERROR(__xludf.DUMMYFUNCTION("INDEX(IMPORTRANGE(""17pNv02DXDpQT9S3w4-QeNym2QJy2BzMBqDXp-XtzJBM"", ""'SNG'!BK3:BK139""),MATCH($D36,IMPORTRANGE(""17pNv02DXDpQT9S3w4-QeNym2QJy2BzMBqDXp-XtzJBM"", ""'SNG'!D3:D139""),0))"),10.553565553162)</f>
        <v>10.553565553162001</v>
      </c>
      <c r="AD36" s="23">
        <f ca="1">IFERROR(__xludf.DUMMYFUNCTION("INDEX(IMPORTRANGE(""17pNv02DXDpQT9S3w4-QeNym2QJy2BzMBqDXp-XtzJBM"", ""'SNG'!BL3:BL139""),MATCH($D36,IMPORTRANGE(""17pNv02DXDpQT9S3w4-QeNym2QJy2BzMBqDXp-XtzJBM"", ""'SNG'!D3:D139""),0))"),6.54719401586466)</f>
        <v>6.54719401586466</v>
      </c>
      <c r="AE36" s="23">
        <f ca="1">IFERROR(__xludf.DUMMYFUNCTION("INDEX(IMPORTRANGE(""17pNv02DXDpQT9S3w4-QeNym2QJy2BzMBqDXp-XtzJBM"", ""'SNG'!BM3:BM139""),MATCH($D36,IMPORTRANGE(""17pNv02DXDpQT9S3w4-QeNym2QJy2BzMBqDXp-XtzJBM"", ""'SNG'!D3:D139""),0))"),9.61619121080123)</f>
        <v>9.6161912108012295</v>
      </c>
    </row>
    <row r="37" spans="1:31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1" t="s">
        <v>361</v>
      </c>
      <c r="P37" s="11">
        <v>45565</v>
      </c>
      <c r="Q37" s="30">
        <v>126480</v>
      </c>
      <c r="R37" s="12">
        <v>126480</v>
      </c>
      <c r="S37" s="12">
        <f ca="1">IFERROR(__xludf.DUMMYFUNCTION("INDEX(IMPORTRANGE(""17pNv02DXDpQT9S3w4-QeNym2QJy2BzMBqDXp-XtzJBM"", ""'SNG'!BG3:BG139""),MATCH($D37,IMPORTRANGE(""17pNv02DXDpQT9S3w4-QeNym2QJy2BzMBqDXp-XtzJBM"", ""'SNG'!D3:D139""),0))"),126480)</f>
        <v>126480</v>
      </c>
      <c r="T37" s="13"/>
      <c r="U37" s="13"/>
      <c r="V37" s="13"/>
      <c r="W37" s="13"/>
      <c r="X37" s="13"/>
      <c r="Y37" s="13"/>
      <c r="Z37" s="12">
        <f ca="1">IFERROR(__xludf.DUMMYFUNCTION("INDEX(IMPORTRANGE(""17pNv02DXDpQT9S3w4-QeNym2QJy2BzMBqDXp-XtzJBM"", ""'SNG'!BH3:BH139""),MATCH($D37,IMPORTRANGE(""17pNv02DXDpQT9S3w4-QeNym2QJy2BzMBqDXp-XtzJBM"", ""'SNG'!D3:D139""),0))"),126480)</f>
        <v>126480</v>
      </c>
      <c r="AA37" s="12">
        <f ca="1">IFERROR(__xludf.DUMMYFUNCTION("INDEX(IMPORTRANGE(""17pNv02DXDpQT9S3w4-QeNym2QJy2BzMBqDXp-XtzJBM"", ""'SNG'!BI3:BI139""),MATCH($D37,IMPORTRANGE(""17pNv02DXDpQT9S3w4-QeNym2QJy2BzMBqDXp-XtzJBM"", ""'SNG'!D3:D139""),0))"),125979)</f>
        <v>125979</v>
      </c>
      <c r="AB37" s="12">
        <f ca="1">IFERROR(__xludf.DUMMYFUNCTION("INDEX(IMPORTRANGE(""17pNv02DXDpQT9S3w4-QeNym2QJy2BzMBqDXp-XtzJBM"", ""'SNG'!BJ3:BJ139""),MATCH($D37,IMPORTRANGE(""17pNv02DXDpQT9S3w4-QeNym2QJy2BzMBqDXp-XtzJBM"", ""'SNG'!D3:D139""),0))"),127275)</f>
        <v>127275</v>
      </c>
      <c r="AC37" s="12">
        <f ca="1">IFERROR(__xludf.DUMMYFUNCTION("INDEX(IMPORTRANGE(""17pNv02DXDpQT9S3w4-QeNym2QJy2BzMBqDXp-XtzJBM"", ""'SNG'!BK3:BK139""),MATCH($D37,IMPORTRANGE(""17pNv02DXDpQT9S3w4-QeNym2QJy2BzMBqDXp-XtzJBM"", ""'SNG'!D3:D139""),0))"),127275)</f>
        <v>127275</v>
      </c>
      <c r="AD37" s="12">
        <f ca="1">IFERROR(__xludf.DUMMYFUNCTION("INDEX(IMPORTRANGE(""17pNv02DXDpQT9S3w4-QeNym2QJy2BzMBqDXp-XtzJBM"", ""'SNG'!BL3:BL139""),MATCH($D37,IMPORTRANGE(""17pNv02DXDpQT9S3w4-QeNym2QJy2BzMBqDXp-XtzJBM"", ""'SNG'!D3:D139""),0))"),127275)</f>
        <v>127275</v>
      </c>
      <c r="AE37" s="12">
        <f ca="1">IFERROR(__xludf.DUMMYFUNCTION("INDEX(IMPORTRANGE(""17pNv02DXDpQT9S3w4-QeNym2QJy2BzMBqDXp-XtzJBM"", ""'SNG'!BM3:BM139""),MATCH($D37,IMPORTRANGE(""17pNv02DXDpQT9S3w4-QeNym2QJy2BzMBqDXp-XtzJBM"", ""'SNG'!D3:D139""),0))"),127275)</f>
        <v>127275</v>
      </c>
    </row>
    <row r="38" spans="1:31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1" t="s">
        <v>361</v>
      </c>
      <c r="P38" s="11">
        <v>45565</v>
      </c>
      <c r="Q38" s="23">
        <v>0</v>
      </c>
      <c r="R38" s="23">
        <v>0</v>
      </c>
      <c r="S38" s="23">
        <f ca="1">IFERROR(__xludf.DUMMYFUNCTION("INDEX(IMPORTRANGE(""17pNv02DXDpQT9S3w4-QeNym2QJy2BzMBqDXp-XtzJBM"", ""'SNG'!BG3:BG139""),MATCH($D38,IMPORTRANGE(""17pNv02DXDpQT9S3w4-QeNym2QJy2BzMBqDXp-XtzJBM"", ""'SNG'!D3:D139""),0))"),0)</f>
        <v>0</v>
      </c>
      <c r="T38" s="1"/>
      <c r="U38" s="1"/>
      <c r="V38" s="1"/>
      <c r="W38" s="1"/>
      <c r="X38" s="1"/>
      <c r="Y38" s="1"/>
      <c r="Z38" s="23">
        <f ca="1">IFERROR(__xludf.DUMMYFUNCTION("INDEX(IMPORTRANGE(""17pNv02DXDpQT9S3w4-QeNym2QJy2BzMBqDXp-XtzJBM"", ""'SNG'!BH3:BH139""),MATCH($D38,IMPORTRANGE(""17pNv02DXDpQT9S3w4-QeNym2QJy2BzMBqDXp-XtzJBM"", ""'SNG'!D3:D139""),0))"),0)</f>
        <v>0</v>
      </c>
      <c r="AA38" s="23">
        <f ca="1">IFERROR(__xludf.DUMMYFUNCTION("INDEX(IMPORTRANGE(""17pNv02DXDpQT9S3w4-QeNym2QJy2BzMBqDXp-XtzJBM"", ""'SNG'!BI3:BI139""),MATCH($D38,IMPORTRANGE(""17pNv02DXDpQT9S3w4-QeNym2QJy2BzMBqDXp-XtzJBM"", ""'SNG'!D3:D139""),0))"),0)</f>
        <v>0</v>
      </c>
      <c r="AB38" s="23">
        <f ca="1">IFERROR(__xludf.DUMMYFUNCTION("INDEX(IMPORTRANGE(""17pNv02DXDpQT9S3w4-QeNym2QJy2BzMBqDXp-XtzJBM"", ""'SNG'!BJ3:BJ139""),MATCH($D38,IMPORTRANGE(""17pNv02DXDpQT9S3w4-QeNym2QJy2BzMBqDXp-XtzJBM"", ""'SNG'!D3:D139""),0))"),0)</f>
        <v>0</v>
      </c>
      <c r="AC38" s="23">
        <f ca="1">IFERROR(__xludf.DUMMYFUNCTION("INDEX(IMPORTRANGE(""17pNv02DXDpQT9S3w4-QeNym2QJy2BzMBqDXp-XtzJBM"", ""'SNG'!BK3:BK139""),MATCH($D38,IMPORTRANGE(""17pNv02DXDpQT9S3w4-QeNym2QJy2BzMBqDXp-XtzJBM"", ""'SNG'!D3:D139""),0))"),0)</f>
        <v>0</v>
      </c>
      <c r="AD38" s="23">
        <f ca="1">IFERROR(__xludf.DUMMYFUNCTION("INDEX(IMPORTRANGE(""17pNv02DXDpQT9S3w4-QeNym2QJy2BzMBqDXp-XtzJBM"", ""'SNG'!BL3:BL139""),MATCH($D38,IMPORTRANGE(""17pNv02DXDpQT9S3w4-QeNym2QJy2BzMBqDXp-XtzJBM"", ""'SNG'!D3:D139""),0))"),0)</f>
        <v>0</v>
      </c>
      <c r="AE38" s="23">
        <f ca="1">IFERROR(__xludf.DUMMYFUNCTION("INDEX(IMPORTRANGE(""17pNv02DXDpQT9S3w4-QeNym2QJy2BzMBqDXp-XtzJBM"", ""'SNG'!BM3:BM139""),MATCH($D38,IMPORTRANGE(""17pNv02DXDpQT9S3w4-QeNym2QJy2BzMBqDXp-XtzJBM"", ""'SNG'!D3:D139""),0))"),0)</f>
        <v>0</v>
      </c>
    </row>
    <row r="39" spans="1:31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1" t="s">
        <v>361</v>
      </c>
      <c r="P39" s="11">
        <v>45565</v>
      </c>
      <c r="Q39" s="15">
        <f t="shared" ref="Q39:R39" si="10">Q38/Q37</f>
        <v>0</v>
      </c>
      <c r="R39" s="15">
        <f t="shared" si="10"/>
        <v>0</v>
      </c>
      <c r="S39" s="15">
        <f ca="1">IFERROR(__xludf.DUMMYFUNCTION("INDEX(IMPORTRANGE(""17pNv02DXDpQT9S3w4-QeNym2QJy2BzMBqDXp-XtzJBM"", ""'SNG'!BG3:BG139""),MATCH($D39,IMPORTRANGE(""17pNv02DXDpQT9S3w4-QeNym2QJy2BzMBqDXp-XtzJBM"", ""'SNG'!D3:D139""),0))"),0)</f>
        <v>0</v>
      </c>
      <c r="T39" s="2" t="s">
        <v>419</v>
      </c>
      <c r="U39" s="2" t="s">
        <v>419</v>
      </c>
      <c r="V39" s="2" t="s">
        <v>419</v>
      </c>
      <c r="W39" s="2" t="s">
        <v>419</v>
      </c>
      <c r="X39" s="2" t="s">
        <v>419</v>
      </c>
      <c r="Y39" s="2" t="s">
        <v>419</v>
      </c>
      <c r="Z39" s="15">
        <f ca="1">IFERROR(__xludf.DUMMYFUNCTION("INDEX(IMPORTRANGE(""17pNv02DXDpQT9S3w4-QeNym2QJy2BzMBqDXp-XtzJBM"", ""'SNG'!BH3:BH139""),MATCH($D39,IMPORTRANGE(""17pNv02DXDpQT9S3w4-QeNym2QJy2BzMBqDXp-XtzJBM"", ""'SNG'!D3:D139""),0))"),0)</f>
        <v>0</v>
      </c>
      <c r="AA39" s="15">
        <f ca="1">IFERROR(__xludf.DUMMYFUNCTION("INDEX(IMPORTRANGE(""17pNv02DXDpQT9S3w4-QeNym2QJy2BzMBqDXp-XtzJBM"", ""'SNG'!BI3:BI139""),MATCH($D39,IMPORTRANGE(""17pNv02DXDpQT9S3w4-QeNym2QJy2BzMBqDXp-XtzJBM"", ""'SNG'!D3:D139""),0))"),0)</f>
        <v>0</v>
      </c>
      <c r="AB39" s="15">
        <f ca="1">IFERROR(__xludf.DUMMYFUNCTION("INDEX(IMPORTRANGE(""17pNv02DXDpQT9S3w4-QeNym2QJy2BzMBqDXp-XtzJBM"", ""'SNG'!BJ3:BJ139""),MATCH($D39,IMPORTRANGE(""17pNv02DXDpQT9S3w4-QeNym2QJy2BzMBqDXp-XtzJBM"", ""'SNG'!D3:D139""),0))"),0)</f>
        <v>0</v>
      </c>
      <c r="AC39" s="15">
        <f ca="1">IFERROR(__xludf.DUMMYFUNCTION("INDEX(IMPORTRANGE(""17pNv02DXDpQT9S3w4-QeNym2QJy2BzMBqDXp-XtzJBM"", ""'SNG'!BK3:BK139""),MATCH($D39,IMPORTRANGE(""17pNv02DXDpQT9S3w4-QeNym2QJy2BzMBqDXp-XtzJBM"", ""'SNG'!D3:D139""),0))"),0)</f>
        <v>0</v>
      </c>
      <c r="AD39" s="15">
        <f ca="1">IFERROR(__xludf.DUMMYFUNCTION("INDEX(IMPORTRANGE(""17pNv02DXDpQT9S3w4-QeNym2QJy2BzMBqDXp-XtzJBM"", ""'SNG'!BL3:BL139""),MATCH($D39,IMPORTRANGE(""17pNv02DXDpQT9S3w4-QeNym2QJy2BzMBqDXp-XtzJBM"", ""'SNG'!D3:D139""),0))"),0)</f>
        <v>0</v>
      </c>
      <c r="AE39" s="15">
        <f ca="1">IFERROR(__xludf.DUMMYFUNCTION("INDEX(IMPORTRANGE(""17pNv02DXDpQT9S3w4-QeNym2QJy2BzMBqDXp-XtzJBM"", ""'SNG'!BM3:BM139""),MATCH($D39,IMPORTRANGE(""17pNv02DXDpQT9S3w4-QeNym2QJy2BzMBqDXp-XtzJBM"", ""'SNG'!D3:D139""),0))"),0)</f>
        <v>0</v>
      </c>
    </row>
    <row r="40" spans="1:31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""'SNG'!BG3:BG139""),MATCH($D40,IMPORTRANGE(""17pNv02DXDpQT9S3w4-QeNym2QJy2BzMBqDXp-XtzJBM"", ""'SNG'!D3:D139""),0))"),"")</f>
        <v/>
      </c>
      <c r="T40" s="1"/>
      <c r="U40" s="1"/>
      <c r="V40" s="1"/>
      <c r="W40" s="1"/>
      <c r="X40" s="1"/>
      <c r="Y40" s="1"/>
      <c r="Z40" s="12" t="str">
        <f ca="1">IFERROR(__xludf.DUMMYFUNCTION("INDEX(IMPORTRANGE(""17pNv02DXDpQT9S3w4-QeNym2QJy2BzMBqDXp-XtzJBM"", ""'SNG'!BH3:BH139""),MATCH($D40,IMPORTRANGE(""17pNv02DXDpQT9S3w4-QeNym2QJy2BzMBqDXp-XtzJBM"", ""'SNG'!D3:D139""),0))"),"")</f>
        <v/>
      </c>
      <c r="AA40" s="12" t="str">
        <f ca="1">IFERROR(__xludf.DUMMYFUNCTION("INDEX(IMPORTRANGE(""17pNv02DXDpQT9S3w4-QeNym2QJy2BzMBqDXp-XtzJBM"", ""'SNG'!BI3:BI139""),MATCH($D40,IMPORTRANGE(""17pNv02DXDpQT9S3w4-QeNym2QJy2BzMBqDXp-XtzJBM"", ""'SNG'!D3:D139""),0))"),"")</f>
        <v/>
      </c>
      <c r="AB40" s="12">
        <f ca="1">IFERROR(__xludf.DUMMYFUNCTION("INDEX(IMPORTRANGE(""17pNv02DXDpQT9S3w4-QeNym2QJy2BzMBqDXp-XtzJBM"", ""'SNG'!BJ3:BJ139""),MATCH($D40,IMPORTRANGE(""17pNv02DXDpQT9S3w4-QeNym2QJy2BzMBqDXp-XtzJBM"", ""'SNG'!D3:D139""),0))"),34.32)</f>
        <v>34.32</v>
      </c>
      <c r="AC40" s="12">
        <f ca="1">IFERROR(__xludf.DUMMYFUNCTION("INDEX(IMPORTRANGE(""17pNv02DXDpQT9S3w4-QeNym2QJy2BzMBqDXp-XtzJBM"", ""'SNG'!BK3:BK139""),MATCH($D40,IMPORTRANGE(""17pNv02DXDpQT9S3w4-QeNym2QJy2BzMBqDXp-XtzJBM"", ""'SNG'!D3:D139""),0))"),129.0477)</f>
        <v>129.04769999999999</v>
      </c>
      <c r="AD40" s="12">
        <f ca="1">IFERROR(__xludf.DUMMYFUNCTION("INDEX(IMPORTRANGE(""17pNv02DXDpQT9S3w4-QeNym2QJy2BzMBqDXp-XtzJBM"", ""'SNG'!BL3:BL139""),MATCH($D40,IMPORTRANGE(""17pNv02DXDpQT9S3w4-QeNym2QJy2BzMBqDXp-XtzJBM"", ""'SNG'!D3:D139""),0))"),142.370999999999)</f>
        <v>142.37099999999899</v>
      </c>
      <c r="AE40" s="12">
        <f ca="1">IFERROR(__xludf.DUMMYFUNCTION("INDEX(IMPORTRANGE(""17pNv02DXDpQT9S3w4-QeNym2QJy2BzMBqDXp-XtzJBM"", ""'SNG'!BM3:BM139""),MATCH($D40,IMPORTRANGE(""17pNv02DXDpQT9S3w4-QeNym2QJy2BzMBqDXp-XtzJBM"", ""'SNG'!D3:D139""),0))"),199.801)</f>
        <v>199.80099999999999</v>
      </c>
    </row>
    <row r="41" spans="1:31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""'SNG'!BG3:BG139""),MATCH($D41,IMPORTRANGE(""17pNv02DXDpQT9S3w4-QeNym2QJy2BzMBqDXp-XtzJBM"", ""'SNG'!D3:D139""),0))"),"")</f>
        <v/>
      </c>
      <c r="T41" s="1"/>
      <c r="U41" s="1"/>
      <c r="V41" s="1"/>
      <c r="W41" s="1"/>
      <c r="X41" s="1"/>
      <c r="Y41" s="1"/>
      <c r="Z41" s="12" t="str">
        <f ca="1">IFERROR(__xludf.DUMMYFUNCTION("INDEX(IMPORTRANGE(""17pNv02DXDpQT9S3w4-QeNym2QJy2BzMBqDXp-XtzJBM"", ""'SNG'!BH3:BH139""),MATCH($D41,IMPORTRANGE(""17pNv02DXDpQT9S3w4-QeNym2QJy2BzMBqDXp-XtzJBM"", ""'SNG'!D3:D139""),0))"),"")</f>
        <v/>
      </c>
      <c r="AA41" s="12" t="str">
        <f ca="1">IFERROR(__xludf.DUMMYFUNCTION("INDEX(IMPORTRANGE(""17pNv02DXDpQT9S3w4-QeNym2QJy2BzMBqDXp-XtzJBM"", ""'SNG'!BI3:BI139""),MATCH($D41,IMPORTRANGE(""17pNv02DXDpQT9S3w4-QeNym2QJy2BzMBqDXp-XtzJBM"", ""'SNG'!D3:D139""),0))"),"")</f>
        <v/>
      </c>
      <c r="AB41" s="12">
        <f ca="1">IFERROR(__xludf.DUMMYFUNCTION("INDEX(IMPORTRANGE(""17pNv02DXDpQT9S3w4-QeNym2QJy2BzMBqDXp-XtzJBM"", ""'SNG'!BJ3:BJ139""),MATCH($D41,IMPORTRANGE(""17pNv02DXDpQT9S3w4-QeNym2QJy2BzMBqDXp-XtzJBM"", ""'SNG'!D3:D139""),0))"),62884.5)</f>
        <v>62884.5</v>
      </c>
      <c r="AC41" s="12">
        <f ca="1">IFERROR(__xludf.DUMMYFUNCTION("INDEX(IMPORTRANGE(""17pNv02DXDpQT9S3w4-QeNym2QJy2BzMBqDXp-XtzJBM"", ""'SNG'!BK3:BK139""),MATCH($D41,IMPORTRANGE(""17pNv02DXDpQT9S3w4-QeNym2QJy2BzMBqDXp-XtzJBM"", ""'SNG'!D3:D139""),0))"),126849.302)</f>
        <v>126849.302</v>
      </c>
      <c r="AD41" s="12">
        <f ca="1">IFERROR(__xludf.DUMMYFUNCTION("INDEX(IMPORTRANGE(""17pNv02DXDpQT9S3w4-QeNym2QJy2BzMBqDXp-XtzJBM"", ""'SNG'!BL3:BL139""),MATCH($D41,IMPORTRANGE(""17pNv02DXDpQT9S3w4-QeNym2QJy2BzMBqDXp-XtzJBM"", ""'SNG'!D3:D139""),0))"),67400.14)</f>
        <v>67400.14</v>
      </c>
      <c r="AE41" s="12">
        <f ca="1">IFERROR(__xludf.DUMMYFUNCTION("INDEX(IMPORTRANGE(""17pNv02DXDpQT9S3w4-QeNym2QJy2BzMBqDXp-XtzJBM"", ""'SNG'!BM3:BM139""),MATCH($D41,IMPORTRANGE(""17pNv02DXDpQT9S3w4-QeNym2QJy2BzMBqDXp-XtzJBM"", ""'SNG'!D3:D139""),0))"),125811.51)</f>
        <v>125811.51</v>
      </c>
    </row>
    <row r="42" spans="1:31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""'SNG'!BG3:BG139""),MATCH($D42,IMPORTRANGE(""17pNv02DXDpQT9S3w4-QeNym2QJy2BzMBqDXp-XtzJBM"", ""'SNG'!D3:D139""),0))"),"")</f>
        <v/>
      </c>
      <c r="T42" s="2"/>
      <c r="U42" s="26">
        <v>5.0000000000000001E-4</v>
      </c>
      <c r="V42" s="26">
        <v>5.0000000000000001E-4</v>
      </c>
      <c r="W42" s="26">
        <v>1.5E-3</v>
      </c>
      <c r="X42" s="26">
        <v>1.5E-3</v>
      </c>
      <c r="Y42" s="26">
        <f>X42</f>
        <v>1.5E-3</v>
      </c>
      <c r="Z42" s="12" t="str">
        <f ca="1">IFERROR(__xludf.DUMMYFUNCTION("INDEX(IMPORTRANGE(""17pNv02DXDpQT9S3w4-QeNym2QJy2BzMBqDXp-XtzJBM"", ""'SNG'!BH3:BH139""),MATCH($D42,IMPORTRANGE(""17pNv02DXDpQT9S3w4-QeNym2QJy2BzMBqDXp-XtzJBM"", ""'SNG'!D3:D139""),0))"),"")</f>
        <v/>
      </c>
      <c r="AA42" s="12" t="str">
        <f ca="1">IFERROR(__xludf.DUMMYFUNCTION("INDEX(IMPORTRANGE(""17pNv02DXDpQT9S3w4-QeNym2QJy2BzMBqDXp-XtzJBM"", ""'SNG'!BI3:BI139""),MATCH($D42,IMPORTRANGE(""17pNv02DXDpQT9S3w4-QeNym2QJy2BzMBqDXp-XtzJBM"", ""'SNG'!D3:D139""),0))"),"")</f>
        <v/>
      </c>
      <c r="AB42" s="12">
        <f ca="1">IFERROR(__xludf.DUMMYFUNCTION("INDEX(IMPORTRANGE(""17pNv02DXDpQT9S3w4-QeNym2QJy2BzMBqDXp-XtzJBM"", ""'SNG'!BJ3:BJ139""),MATCH($D42,IMPORTRANGE(""17pNv02DXDpQT9S3w4-QeNym2QJy2BzMBqDXp-XtzJBM"", ""'SNG'!D3:D139""),0))"),0.000545762469288934)</f>
        <v>5.4576246928893398E-4</v>
      </c>
      <c r="AC42" s="12">
        <f ca="1">IFERROR(__xludf.DUMMYFUNCTION("INDEX(IMPORTRANGE(""17pNv02DXDpQT9S3w4-QeNym2QJy2BzMBqDXp-XtzJBM"", ""'SNG'!BK3:BK139""),MATCH($D42,IMPORTRANGE(""17pNv02DXDpQT9S3w4-QeNym2QJy2BzMBqDXp-XtzJBM"", ""'SNG'!D3:D139""),0))"),0.00101733078515481)</f>
        <v>1.01733078515481E-3</v>
      </c>
      <c r="AD42" s="12">
        <f ca="1">IFERROR(__xludf.DUMMYFUNCTION("INDEX(IMPORTRANGE(""17pNv02DXDpQT9S3w4-QeNym2QJy2BzMBqDXp-XtzJBM"", ""'SNG'!BL3:BL139""),MATCH($D42,IMPORTRANGE(""17pNv02DXDpQT9S3w4-QeNym2QJy2BzMBqDXp-XtzJBM"", ""'SNG'!D3:D139""),0))"),0.00211232498923592)</f>
        <v>2.1123249892359198E-3</v>
      </c>
      <c r="AE42" s="12">
        <f ca="1">IFERROR(__xludf.DUMMYFUNCTION("INDEX(IMPORTRANGE(""17pNv02DXDpQT9S3w4-QeNym2QJy2BzMBqDXp-XtzJBM"", ""'SNG'!BM3:BM139""),MATCH($D42,IMPORTRANGE(""17pNv02DXDpQT9S3w4-QeNym2QJy2BzMBqDXp-XtzJBM"", ""'SNG'!D3:D139""),0))"),0.00158809794111842)</f>
        <v>1.5880979411184201E-3</v>
      </c>
    </row>
    <row r="43" spans="1:31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2" t="s">
        <v>364</v>
      </c>
      <c r="P43" s="12" t="s">
        <v>132</v>
      </c>
      <c r="Q43" s="12">
        <v>0</v>
      </c>
      <c r="R43" s="12">
        <v>0</v>
      </c>
      <c r="S43" s="12">
        <f ca="1">IFERROR(__xludf.DUMMYFUNCTION("INDEX(IMPORTRANGE(""17pNv02DXDpQT9S3w4-QeNym2QJy2BzMBqDXp-XtzJBM"", ""'SNG'!BG3:BG139""),MATCH($D43,IMPORTRANGE(""17pNv02DXDpQT9S3w4-QeNym2QJy2BzMBqDXp-XtzJBM"", ""'SNG'!D3:D139""),0))"),0)</f>
        <v>0</v>
      </c>
      <c r="T43" s="2">
        <v>1</v>
      </c>
      <c r="U43" s="2">
        <v>1</v>
      </c>
      <c r="V43" s="2">
        <v>2</v>
      </c>
      <c r="W43" s="2">
        <v>2</v>
      </c>
      <c r="X43" s="2">
        <v>3</v>
      </c>
      <c r="Y43" s="2">
        <v>3</v>
      </c>
      <c r="Z43" s="12">
        <f ca="1">IFERROR(__xludf.DUMMYFUNCTION("INDEX(IMPORTRANGE(""17pNv02DXDpQT9S3w4-QeNym2QJy2BzMBqDXp-XtzJBM"", ""'SNG'!BH3:BH139""),MATCH($D43,IMPORTRANGE(""17pNv02DXDpQT9S3w4-QeNym2QJy2BzMBqDXp-XtzJBM"", ""'SNG'!D3:D139""),0))"),1)</f>
        <v>1</v>
      </c>
      <c r="AA43" s="12">
        <f ca="1">IFERROR(__xludf.DUMMYFUNCTION("INDEX(IMPORTRANGE(""17pNv02DXDpQT9S3w4-QeNym2QJy2BzMBqDXp-XtzJBM"", ""'SNG'!BI3:BI139""),MATCH($D43,IMPORTRANGE(""17pNv02DXDpQT9S3w4-QeNym2QJy2BzMBqDXp-XtzJBM"", ""'SNG'!D3:D139""),0))"),2)</f>
        <v>2</v>
      </c>
      <c r="AB43" s="12">
        <f ca="1">IFERROR(__xludf.DUMMYFUNCTION("INDEX(IMPORTRANGE(""17pNv02DXDpQT9S3w4-QeNym2QJy2BzMBqDXp-XtzJBM"", ""'SNG'!BJ3:BJ139""),MATCH($D43,IMPORTRANGE(""17pNv02DXDpQT9S3w4-QeNym2QJy2BzMBqDXp-XtzJBM"", ""'SNG'!D3:D139""),0))"),3)</f>
        <v>3</v>
      </c>
      <c r="AC43" s="12">
        <f ca="1">IFERROR(__xludf.DUMMYFUNCTION("INDEX(IMPORTRANGE(""17pNv02DXDpQT9S3w4-QeNym2QJy2BzMBqDXp-XtzJBM"", ""'SNG'!BK3:BK139""),MATCH($D43,IMPORTRANGE(""17pNv02DXDpQT9S3w4-QeNym2QJy2BzMBqDXp-XtzJBM"", ""'SNG'!D3:D139""),0))"),3)</f>
        <v>3</v>
      </c>
      <c r="AD43" s="12">
        <f ca="1">IFERROR(__xludf.DUMMYFUNCTION("INDEX(IMPORTRANGE(""17pNv02DXDpQT9S3w4-QeNym2QJy2BzMBqDXp-XtzJBM"", ""'SNG'!BL3:BL139""),MATCH($D43,IMPORTRANGE(""17pNv02DXDpQT9S3w4-QeNym2QJy2BzMBqDXp-XtzJBM"", ""'SNG'!D3:D139""),0))"),3)</f>
        <v>3</v>
      </c>
      <c r="AE43" s="12">
        <f ca="1">IFERROR(__xludf.DUMMYFUNCTION("INDEX(IMPORTRANGE(""17pNv02DXDpQT9S3w4-QeNym2QJy2BzMBqDXp-XtzJBM"", ""'SNG'!BM3:BM139""),MATCH($D43,IMPORTRANGE(""17pNv02DXDpQT9S3w4-QeNym2QJy2BzMBqDXp-XtzJBM"", ""'SNG'!D3:D139""),0))"),3)</f>
        <v>3</v>
      </c>
    </row>
    <row r="44" spans="1:31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2" t="s">
        <v>364</v>
      </c>
      <c r="P44" s="12" t="s">
        <v>132</v>
      </c>
      <c r="Q44" s="12">
        <v>744</v>
      </c>
      <c r="R44" s="12">
        <v>792</v>
      </c>
      <c r="S44" s="12">
        <f ca="1">IFERROR(__xludf.DUMMYFUNCTION("INDEX(IMPORTRANGE(""17pNv02DXDpQT9S3w4-QeNym2QJy2BzMBqDXp-XtzJBM"", ""'SNG'!BG3:BG139""),MATCH($D44,IMPORTRANGE(""17pNv02DXDpQT9S3w4-QeNym2QJy2BzMBqDXp-XtzJBM"", ""'SNG'!D3:D139""),0))"),744)</f>
        <v>744</v>
      </c>
      <c r="T44" s="2">
        <v>350</v>
      </c>
      <c r="U44" s="2">
        <f t="shared" ref="U44:X44" si="11">175+T44</f>
        <v>525</v>
      </c>
      <c r="V44" s="2">
        <f t="shared" si="11"/>
        <v>700</v>
      </c>
      <c r="W44" s="2">
        <f t="shared" si="11"/>
        <v>875</v>
      </c>
      <c r="X44" s="2">
        <f t="shared" si="11"/>
        <v>1050</v>
      </c>
      <c r="Y44" s="2">
        <v>1050</v>
      </c>
      <c r="Z44" s="12">
        <f ca="1">IFERROR(__xludf.DUMMYFUNCTION("INDEX(IMPORTRANGE(""17pNv02DXDpQT9S3w4-QeNym2QJy2BzMBqDXp-XtzJBM"", ""'SNG'!BH3:BH139""),MATCH($D44,IMPORTRANGE(""17pNv02DXDpQT9S3w4-QeNym2QJy2BzMBqDXp-XtzJBM"", ""'SNG'!D3:D139""),0))"),9)</f>
        <v>9</v>
      </c>
      <c r="AA44" s="12">
        <f ca="1">IFERROR(__xludf.DUMMYFUNCTION("INDEX(IMPORTRANGE(""17pNv02DXDpQT9S3w4-QeNym2QJy2BzMBqDXp-XtzJBM"", ""'SNG'!BI3:BI139""),MATCH($D44,IMPORTRANGE(""17pNv02DXDpQT9S3w4-QeNym2QJy2BzMBqDXp-XtzJBM"", ""'SNG'!D3:D139""),0))"),175)</f>
        <v>175</v>
      </c>
      <c r="AB44" s="12">
        <f ca="1">IFERROR(__xludf.DUMMYFUNCTION("INDEX(IMPORTRANGE(""17pNv02DXDpQT9S3w4-QeNym2QJy2BzMBqDXp-XtzJBM"", ""'SNG'!BJ3:BJ139""),MATCH($D44,IMPORTRANGE(""17pNv02DXDpQT9S3w4-QeNym2QJy2BzMBqDXp-XtzJBM"", ""'SNG'!D3:D139""),0))"),1557)</f>
        <v>1557</v>
      </c>
      <c r="AC44" s="12">
        <f ca="1">IFERROR(__xludf.DUMMYFUNCTION("INDEX(IMPORTRANGE(""17pNv02DXDpQT9S3w4-QeNym2QJy2BzMBqDXp-XtzJBM"", ""'SNG'!BK3:BK139""),MATCH($D44,IMPORTRANGE(""17pNv02DXDpQT9S3w4-QeNym2QJy2BzMBqDXp-XtzJBM"", ""'SNG'!D3:D139""),0))"),1732)</f>
        <v>1732</v>
      </c>
      <c r="AD44" s="12">
        <f ca="1">IFERROR(__xludf.DUMMYFUNCTION("INDEX(IMPORTRANGE(""17pNv02DXDpQT9S3w4-QeNym2QJy2BzMBqDXp-XtzJBM"", ""'SNG'!BL3:BL139""),MATCH($D44,IMPORTRANGE(""17pNv02DXDpQT9S3w4-QeNym2QJy2BzMBqDXp-XtzJBM"", ""'SNG'!D3:D139""),0))"),2517)</f>
        <v>2517</v>
      </c>
      <c r="AE44" s="12">
        <f ca="1">IFERROR(__xludf.DUMMYFUNCTION("INDEX(IMPORTRANGE(""17pNv02DXDpQT9S3w4-QeNym2QJy2BzMBqDXp-XtzJBM"", ""'SNG'!BM3:BM139""),MATCH($D44,IMPORTRANGE(""17pNv02DXDpQT9S3w4-QeNym2QJy2BzMBqDXp-XtzJBM"", ""'SNG'!D3:D139""),0))"),2575)</f>
        <v>2575</v>
      </c>
    </row>
    <row r="45" spans="1:31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2" t="s">
        <v>364</v>
      </c>
      <c r="P45" s="12" t="s">
        <v>132</v>
      </c>
      <c r="Q45" s="12">
        <v>0</v>
      </c>
      <c r="R45" s="12">
        <v>0</v>
      </c>
      <c r="S45" s="12">
        <f ca="1">IFERROR(__xludf.DUMMYFUNCTION("INDEX(IMPORTRANGE(""17pNv02DXDpQT9S3w4-QeNym2QJy2BzMBqDXp-XtzJBM"", ""'SNG'!BG3:BG139""),MATCH($D45,IMPORTRANGE(""17pNv02DXDpQT9S3w4-QeNym2QJy2BzMBqDXp-XtzJBM"", ""'SNG'!D3:D139""),0))"),0)</f>
        <v>0</v>
      </c>
      <c r="T45" s="13"/>
      <c r="U45" s="13"/>
      <c r="V45" s="13"/>
      <c r="W45" s="13"/>
      <c r="X45" s="13"/>
      <c r="Y45" s="13"/>
      <c r="Z45" s="12">
        <f ca="1">IFERROR(__xludf.DUMMYFUNCTION("INDEX(IMPORTRANGE(""17pNv02DXDpQT9S3w4-QeNym2QJy2BzMBqDXp-XtzJBM"", ""'SNG'!BH3:BH139""),MATCH($D45,IMPORTRANGE(""17pNv02DXDpQT9S3w4-QeNym2QJy2BzMBqDXp-XtzJBM"", ""'SNG'!D3:D139""),0))"),2)</f>
        <v>2</v>
      </c>
      <c r="AA45" s="12">
        <f ca="1">IFERROR(__xludf.DUMMYFUNCTION("INDEX(IMPORTRANGE(""17pNv02DXDpQT9S3w4-QeNym2QJy2BzMBqDXp-XtzJBM"", ""'SNG'!BI3:BI139""),MATCH($D45,IMPORTRANGE(""17pNv02DXDpQT9S3w4-QeNym2QJy2BzMBqDXp-XtzJBM"", ""'SNG'!D3:D139""),0))"),3)</f>
        <v>3</v>
      </c>
      <c r="AB45" s="12">
        <f ca="1">IFERROR(__xludf.DUMMYFUNCTION("INDEX(IMPORTRANGE(""17pNv02DXDpQT9S3w4-QeNym2QJy2BzMBqDXp-XtzJBM"", ""'SNG'!BJ3:BJ139""),MATCH($D45,IMPORTRANGE(""17pNv02DXDpQT9S3w4-QeNym2QJy2BzMBqDXp-XtzJBM"", ""'SNG'!D3:D139""),0))"),3)</f>
        <v>3</v>
      </c>
      <c r="AC45" s="12">
        <f ca="1">IFERROR(__xludf.DUMMYFUNCTION("INDEX(IMPORTRANGE(""17pNv02DXDpQT9S3w4-QeNym2QJy2BzMBqDXp-XtzJBM"", ""'SNG'!BK3:BK139""),MATCH($D45,IMPORTRANGE(""17pNv02DXDpQT9S3w4-QeNym2QJy2BzMBqDXp-XtzJBM"", ""'SNG'!D3:D139""),0))"),3)</f>
        <v>3</v>
      </c>
      <c r="AD45" s="12">
        <f ca="1">IFERROR(__xludf.DUMMYFUNCTION("INDEX(IMPORTRANGE(""17pNv02DXDpQT9S3w4-QeNym2QJy2BzMBqDXp-XtzJBM"", ""'SNG'!BL3:BL139""),MATCH($D45,IMPORTRANGE(""17pNv02DXDpQT9S3w4-QeNym2QJy2BzMBqDXp-XtzJBM"", ""'SNG'!D3:D139""),0))"),3)</f>
        <v>3</v>
      </c>
      <c r="AE45" s="12">
        <f ca="1">IFERROR(__xludf.DUMMYFUNCTION("INDEX(IMPORTRANGE(""17pNv02DXDpQT9S3w4-QeNym2QJy2BzMBqDXp-XtzJBM"", ""'SNG'!BM3:BM139""),MATCH($D45,IMPORTRANGE(""17pNv02DXDpQT9S3w4-QeNym2QJy2BzMBqDXp-XtzJBM"", ""'SNG'!D3:D139""),0))"),3)</f>
        <v>3</v>
      </c>
    </row>
    <row r="46" spans="1:31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2" t="s">
        <v>364</v>
      </c>
      <c r="P46" s="12" t="s">
        <v>132</v>
      </c>
      <c r="Q46" s="12"/>
      <c r="R46" s="12"/>
      <c r="S46" s="12">
        <f ca="1">IFERROR(__xludf.DUMMYFUNCTION("INDEX(IMPORTRANGE(""17pNv02DXDpQT9S3w4-QeNym2QJy2BzMBqDXp-XtzJBM"", ""'SNG'!BG3:BG139""),MATCH($D46,IMPORTRANGE(""17pNv02DXDpQT9S3w4-QeNym2QJy2BzMBqDXp-XtzJBM"", ""'SNG'!D3:D139""),0))"),0)</f>
        <v>0</v>
      </c>
      <c r="T46" s="13"/>
      <c r="U46" s="13"/>
      <c r="V46" s="13"/>
      <c r="W46" s="13"/>
      <c r="X46" s="13"/>
      <c r="Y46" s="13"/>
      <c r="Z46" s="12" t="str">
        <f ca="1">IFERROR(__xludf.DUMMYFUNCTION("INDEX(IMPORTRANGE(""17pNv02DXDpQT9S3w4-QeNym2QJy2BzMBqDXp-XtzJBM"", ""'SNG'!BH3:BH139""),MATCH($D46,IMPORTRANGE(""17pNv02DXDpQT9S3w4-QeNym2QJy2BzMBqDXp-XtzJBM"", ""'SNG'!D3:D139""),0))"),"")</f>
        <v/>
      </c>
      <c r="AA46" s="12">
        <f ca="1">IFERROR(__xludf.DUMMYFUNCTION("INDEX(IMPORTRANGE(""17pNv02DXDpQT9S3w4-QeNym2QJy2BzMBqDXp-XtzJBM"", ""'SNG'!BI3:BI139""),MATCH($D46,IMPORTRANGE(""17pNv02DXDpQT9S3w4-QeNym2QJy2BzMBqDXp-XtzJBM"", ""'SNG'!D3:D139""),0))"),0)</f>
        <v>0</v>
      </c>
      <c r="AB46" s="12">
        <f ca="1">IFERROR(__xludf.DUMMYFUNCTION("INDEX(IMPORTRANGE(""17pNv02DXDpQT9S3w4-QeNym2QJy2BzMBqDXp-XtzJBM"", ""'SNG'!BJ3:BJ139""),MATCH($D46,IMPORTRANGE(""17pNv02DXDpQT9S3w4-QeNym2QJy2BzMBqDXp-XtzJBM"", ""'SNG'!D3:D139""),0))"),0)</f>
        <v>0</v>
      </c>
      <c r="AC46" s="12">
        <f ca="1">IFERROR(__xludf.DUMMYFUNCTION("INDEX(IMPORTRANGE(""17pNv02DXDpQT9S3w4-QeNym2QJy2BzMBqDXp-XtzJBM"", ""'SNG'!BK3:BK139""),MATCH($D46,IMPORTRANGE(""17pNv02DXDpQT9S3w4-QeNym2QJy2BzMBqDXp-XtzJBM"", ""'SNG'!D3:D139""),0))"),0)</f>
        <v>0</v>
      </c>
      <c r="AD46" s="12">
        <f ca="1">IFERROR(__xludf.DUMMYFUNCTION("INDEX(IMPORTRANGE(""17pNv02DXDpQT9S3w4-QeNym2QJy2BzMBqDXp-XtzJBM"", ""'SNG'!BL3:BL139""),MATCH($D46,IMPORTRANGE(""17pNv02DXDpQT9S3w4-QeNym2QJy2BzMBqDXp-XtzJBM"", ""'SNG'!D3:D139""),0))"),0)</f>
        <v>0</v>
      </c>
      <c r="AE46" s="12">
        <f ca="1">IFERROR(__xludf.DUMMYFUNCTION("INDEX(IMPORTRANGE(""17pNv02DXDpQT9S3w4-QeNym2QJy2BzMBqDXp-XtzJBM"", ""'SNG'!BM3:BM139""),MATCH($D46,IMPORTRANGE(""17pNv02DXDpQT9S3w4-QeNym2QJy2BzMBqDXp-XtzJBM"", ""'SNG'!D3:D139""),0))"),0)</f>
        <v>0</v>
      </c>
    </row>
    <row r="47" spans="1:31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2" t="s">
        <v>364</v>
      </c>
      <c r="P47" s="12" t="s">
        <v>132</v>
      </c>
      <c r="Q47" s="12">
        <v>19</v>
      </c>
      <c r="R47" s="12">
        <v>33</v>
      </c>
      <c r="S47" s="12">
        <f ca="1">IFERROR(__xludf.DUMMYFUNCTION("INDEX(IMPORTRANGE(""17pNv02DXDpQT9S3w4-QeNym2QJy2BzMBqDXp-XtzJBM"", ""'SNG'!BG3:BG139""),MATCH($D47,IMPORTRANGE(""17pNv02DXDpQT9S3w4-QeNym2QJy2BzMBqDXp-XtzJBM"", ""'SNG'!D3:D139""),0))"),31)</f>
        <v>31</v>
      </c>
      <c r="T47" s="13"/>
      <c r="U47" s="13"/>
      <c r="V47" s="13"/>
      <c r="W47" s="13"/>
      <c r="X47" s="13"/>
      <c r="Y47" s="13"/>
      <c r="Z47" s="12">
        <f ca="1">IFERROR(__xludf.DUMMYFUNCTION("INDEX(IMPORTRANGE(""17pNv02DXDpQT9S3w4-QeNym2QJy2BzMBqDXp-XtzJBM"", ""'SNG'!BH3:BH139""),MATCH($D47,IMPORTRANGE(""17pNv02DXDpQT9S3w4-QeNym2QJy2BzMBqDXp-XtzJBM"", ""'SNG'!D3:D139""),0))"),15)</f>
        <v>15</v>
      </c>
      <c r="AA47" s="12">
        <f ca="1">IFERROR(__xludf.DUMMYFUNCTION("INDEX(IMPORTRANGE(""17pNv02DXDpQT9S3w4-QeNym2QJy2BzMBqDXp-XtzJBM"", ""'SNG'!BI3:BI139""),MATCH($D47,IMPORTRANGE(""17pNv02DXDpQT9S3w4-QeNym2QJy2BzMBqDXp-XtzJBM"", ""'SNG'!D3:D139""),0))"),25)</f>
        <v>25</v>
      </c>
      <c r="AB47" s="12">
        <f ca="1">IFERROR(__xludf.DUMMYFUNCTION("INDEX(IMPORTRANGE(""17pNv02DXDpQT9S3w4-QeNym2QJy2BzMBqDXp-XtzJBM"", ""'SNG'!BJ3:BJ139""),MATCH($D47,IMPORTRANGE(""17pNv02DXDpQT9S3w4-QeNym2QJy2BzMBqDXp-XtzJBM"", ""'SNG'!D3:D139""),0))"),48)</f>
        <v>48</v>
      </c>
      <c r="AC47" s="12">
        <f ca="1">IFERROR(__xludf.DUMMYFUNCTION("INDEX(IMPORTRANGE(""17pNv02DXDpQT9S3w4-QeNym2QJy2BzMBqDXp-XtzJBM"", ""'SNG'!BK3:BK139""),MATCH($D47,IMPORTRANGE(""17pNv02DXDpQT9S3w4-QeNym2QJy2BzMBqDXp-XtzJBM"", ""'SNG'!D3:D139""),0))"),68)</f>
        <v>68</v>
      </c>
      <c r="AD47" s="12">
        <f ca="1">IFERROR(__xludf.DUMMYFUNCTION("INDEX(IMPORTRANGE(""17pNv02DXDpQT9S3w4-QeNym2QJy2BzMBqDXp-XtzJBM"", ""'SNG'!BL3:BL139""),MATCH($D47,IMPORTRANGE(""17pNv02DXDpQT9S3w4-QeNym2QJy2BzMBqDXp-XtzJBM"", ""'SNG'!D3:D139""),0))"),77)</f>
        <v>77</v>
      </c>
      <c r="AE47" s="12">
        <f ca="1">IFERROR(__xludf.DUMMYFUNCTION("INDEX(IMPORTRANGE(""17pNv02DXDpQT9S3w4-QeNym2QJy2BzMBqDXp-XtzJBM"", ""'SNG'!BM3:BM139""),MATCH($D47,IMPORTRANGE(""17pNv02DXDpQT9S3w4-QeNym2QJy2BzMBqDXp-XtzJBM"", ""'SNG'!D3:D139""),0))"),82)</f>
        <v>82</v>
      </c>
    </row>
    <row r="48" spans="1:31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2" t="s">
        <v>364</v>
      </c>
      <c r="P48" s="12" t="s">
        <v>132</v>
      </c>
      <c r="Q48" s="12"/>
      <c r="R48" s="12"/>
      <c r="S48" s="12">
        <f ca="1">IFERROR(__xludf.DUMMYFUNCTION("INDEX(IMPORTRANGE(""17pNv02DXDpQT9S3w4-QeNym2QJy2BzMBqDXp-XtzJBM"", ""'SNG'!BG3:BG139""),MATCH($D48,IMPORTRANGE(""17pNv02DXDpQT9S3w4-QeNym2QJy2BzMBqDXp-XtzJBM"", ""'SNG'!D3:D139""),0))"),0)</f>
        <v>0</v>
      </c>
      <c r="T48" s="13"/>
      <c r="U48" s="13"/>
      <c r="V48" s="13"/>
      <c r="W48" s="13"/>
      <c r="X48" s="13"/>
      <c r="Y48" s="13"/>
      <c r="Z48" s="12" t="str">
        <f ca="1">IFERROR(__xludf.DUMMYFUNCTION("INDEX(IMPORTRANGE(""17pNv02DXDpQT9S3w4-QeNym2QJy2BzMBqDXp-XtzJBM"", ""'SNG'!BH3:BH139""),MATCH($D48,IMPORTRANGE(""17pNv02DXDpQT9S3w4-QeNym2QJy2BzMBqDXp-XtzJBM"", ""'SNG'!D3:D139""),0))"),"")</f>
        <v/>
      </c>
      <c r="AA48" s="12">
        <f ca="1">IFERROR(__xludf.DUMMYFUNCTION("INDEX(IMPORTRANGE(""17pNv02DXDpQT9S3w4-QeNym2QJy2BzMBqDXp-XtzJBM"", ""'SNG'!BI3:BI139""),MATCH($D48,IMPORTRANGE(""17pNv02DXDpQT9S3w4-QeNym2QJy2BzMBqDXp-XtzJBM"", ""'SNG'!D3:D139""),0))"),2)</f>
        <v>2</v>
      </c>
      <c r="AB48" s="12">
        <f ca="1">IFERROR(__xludf.DUMMYFUNCTION("INDEX(IMPORTRANGE(""17pNv02DXDpQT9S3w4-QeNym2QJy2BzMBqDXp-XtzJBM"", ""'SNG'!BJ3:BJ139""),MATCH($D48,IMPORTRANGE(""17pNv02DXDpQT9S3w4-QeNym2QJy2BzMBqDXp-XtzJBM"", ""'SNG'!D3:D139""),0))"),3)</f>
        <v>3</v>
      </c>
      <c r="AC48" s="12">
        <f ca="1">IFERROR(__xludf.DUMMYFUNCTION("INDEX(IMPORTRANGE(""17pNv02DXDpQT9S3w4-QeNym2QJy2BzMBqDXp-XtzJBM"", ""'SNG'!BK3:BK139""),MATCH($D48,IMPORTRANGE(""17pNv02DXDpQT9S3w4-QeNym2QJy2BzMBqDXp-XtzJBM"", ""'SNG'!D3:D139""),0))"),5)</f>
        <v>5</v>
      </c>
      <c r="AD48" s="12">
        <f ca="1">IFERROR(__xludf.DUMMYFUNCTION("INDEX(IMPORTRANGE(""17pNv02DXDpQT9S3w4-QeNym2QJy2BzMBqDXp-XtzJBM"", ""'SNG'!BL3:BL139""),MATCH($D48,IMPORTRANGE(""17pNv02DXDpQT9S3w4-QeNym2QJy2BzMBqDXp-XtzJBM"", ""'SNG'!D3:D139""),0))"),5)</f>
        <v>5</v>
      </c>
      <c r="AE48" s="12">
        <f ca="1">IFERROR(__xludf.DUMMYFUNCTION("INDEX(IMPORTRANGE(""17pNv02DXDpQT9S3w4-QeNym2QJy2BzMBqDXp-XtzJBM"", ""'SNG'!BM3:BM139""),MATCH($D48,IMPORTRANGE(""17pNv02DXDpQT9S3w4-QeNym2QJy2BzMBqDXp-XtzJBM"", ""'SNG'!D3:D139""),0))"),5)</f>
        <v>5</v>
      </c>
    </row>
    <row r="49" spans="1:31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2" t="s">
        <v>364</v>
      </c>
      <c r="P49" s="12" t="s">
        <v>132</v>
      </c>
      <c r="Q49" s="12">
        <f t="shared" ref="Q49:R49" si="12">SUM(Q45:Q47)</f>
        <v>19</v>
      </c>
      <c r="R49" s="12">
        <f t="shared" si="12"/>
        <v>33</v>
      </c>
      <c r="S49" s="12">
        <f ca="1">IFERROR(__xludf.DUMMYFUNCTION("INDEX(IMPORTRANGE(""17pNv02DXDpQT9S3w4-QeNym2QJy2BzMBqDXp-XtzJBM"", ""'SNG'!BG3:BG139""),MATCH($D49,IMPORTRANGE(""17pNv02DXDpQT9S3w4-QeNym2QJy2BzMBqDXp-XtzJBM"", ""'SNG'!D3:D139""),0))"),36)</f>
        <v>36</v>
      </c>
      <c r="T49" s="2">
        <v>30</v>
      </c>
      <c r="U49" s="2">
        <f t="shared" ref="U49:W49" si="13">15+T49</f>
        <v>45</v>
      </c>
      <c r="V49" s="2">
        <f t="shared" si="13"/>
        <v>60</v>
      </c>
      <c r="W49" s="2">
        <f t="shared" si="13"/>
        <v>75</v>
      </c>
      <c r="X49" s="12">
        <f>((Y49-W49)/6)*5+W49</f>
        <v>87.5</v>
      </c>
      <c r="Y49" s="2">
        <v>90</v>
      </c>
      <c r="Z49" s="12">
        <f ca="1">IFERROR(__xludf.DUMMYFUNCTION("INDEX(IMPORTRANGE(""17pNv02DXDpQT9S3w4-QeNym2QJy2BzMBqDXp-XtzJBM"", ""'SNG'!BH3:BH139""),MATCH($D49,IMPORTRANGE(""17pNv02DXDpQT9S3w4-QeNym2QJy2BzMBqDXp-XtzJBM"", ""'SNG'!D3:D139""),0))"),17)</f>
        <v>17</v>
      </c>
      <c r="AA49" s="12">
        <f ca="1">IFERROR(__xludf.DUMMYFUNCTION("INDEX(IMPORTRANGE(""17pNv02DXDpQT9S3w4-QeNym2QJy2BzMBqDXp-XtzJBM"", ""'SNG'!BI3:BI139""),MATCH($D49,IMPORTRANGE(""17pNv02DXDpQT9S3w4-QeNym2QJy2BzMBqDXp-XtzJBM"", ""'SNG'!D3:D139""),0))"),30)</f>
        <v>30</v>
      </c>
      <c r="AB49" s="12">
        <f ca="1">IFERROR(__xludf.DUMMYFUNCTION("INDEX(IMPORTRANGE(""17pNv02DXDpQT9S3w4-QeNym2QJy2BzMBqDXp-XtzJBM"", ""'SNG'!BJ3:BJ139""),MATCH($D49,IMPORTRANGE(""17pNv02DXDpQT9S3w4-QeNym2QJy2BzMBqDXp-XtzJBM"", ""'SNG'!D3:D139""),0))"),54)</f>
        <v>54</v>
      </c>
      <c r="AC49" s="12">
        <f ca="1">IFERROR(__xludf.DUMMYFUNCTION("INDEX(IMPORTRANGE(""17pNv02DXDpQT9S3w4-QeNym2QJy2BzMBqDXp-XtzJBM"", ""'SNG'!BK3:BK139""),MATCH($D49,IMPORTRANGE(""17pNv02DXDpQT9S3w4-QeNym2QJy2BzMBqDXp-XtzJBM"", ""'SNG'!D3:D139""),0))"),76)</f>
        <v>76</v>
      </c>
      <c r="AD49" s="12">
        <f ca="1">IFERROR(__xludf.DUMMYFUNCTION("INDEX(IMPORTRANGE(""17pNv02DXDpQT9S3w4-QeNym2QJy2BzMBqDXp-XtzJBM"", ""'SNG'!BL3:BL139""),MATCH($D49,IMPORTRANGE(""17pNv02DXDpQT9S3w4-QeNym2QJy2BzMBqDXp-XtzJBM"", ""'SNG'!D3:D139""),0))"),85)</f>
        <v>85</v>
      </c>
      <c r="AE49" s="12">
        <f ca="1">IFERROR(__xludf.DUMMYFUNCTION("INDEX(IMPORTRANGE(""17pNv02DXDpQT9S3w4-QeNym2QJy2BzMBqDXp-XtzJBM"", ""'SNG'!BM3:BM139""),MATCH($D49,IMPORTRANGE(""17pNv02DXDpQT9S3w4-QeNym2QJy2BzMBqDXp-XtzJBM"", ""'SNG'!D3:D139""),0))"),90)</f>
        <v>90</v>
      </c>
    </row>
    <row r="50" spans="1:31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150</v>
      </c>
      <c r="R50" s="2" t="s">
        <v>150</v>
      </c>
      <c r="S50" s="2" t="str">
        <f ca="1">IFERROR(__xludf.DUMMYFUNCTION("INDEX(IMPORTRANGE(""17pNv02DXDpQT9S3w4-QeNym2QJy2BzMBqDXp-XtzJBM"", ""'SNG'!BG3:BG139""),MATCH($D50,IMPORTRANGE(""17pNv02DXDpQT9S3w4-QeNym2QJy2BzMBqDXp-XtzJBM"", ""'SNG'!D3:D139""),0))"),"No")</f>
        <v>No</v>
      </c>
      <c r="T50" s="1" t="s">
        <v>151</v>
      </c>
      <c r="U50" s="1" t="s">
        <v>151</v>
      </c>
      <c r="V50" s="1" t="s">
        <v>151</v>
      </c>
      <c r="W50" s="1" t="s">
        <v>151</v>
      </c>
      <c r="X50" s="1" t="s">
        <v>151</v>
      </c>
      <c r="Y50" s="1" t="s">
        <v>151</v>
      </c>
      <c r="Z50" s="2" t="str">
        <f ca="1">IFERROR(__xludf.DUMMYFUNCTION("INDEX(IMPORTRANGE(""17pNv02DXDpQT9S3w4-QeNym2QJy2BzMBqDXp-XtzJBM"", ""'SNG'!BH3:BH139""),MATCH($D50,IMPORTRANGE(""17pNv02DXDpQT9S3w4-QeNym2QJy2BzMBqDXp-XtzJBM"", ""'SNG'!D3:D139""),0))"),"No")</f>
        <v>No</v>
      </c>
      <c r="AA50" s="2" t="str">
        <f ca="1">IFERROR(__xludf.DUMMYFUNCTION("INDEX(IMPORTRANGE(""17pNv02DXDpQT9S3w4-QeNym2QJy2BzMBqDXp-XtzJBM"", ""'SNG'!BI3:BI139""),MATCH($D50,IMPORTRANGE(""17pNv02DXDpQT9S3w4-QeNym2QJy2BzMBqDXp-XtzJBM"", ""'SNG'!D3:D139""),0))"),"No")</f>
        <v>No</v>
      </c>
      <c r="AB50" s="2" t="str">
        <f ca="1">IFERROR(__xludf.DUMMYFUNCTION("INDEX(IMPORTRANGE(""17pNv02DXDpQT9S3w4-QeNym2QJy2BzMBqDXp-XtzJBM"", ""'SNG'!BJ3:BJ139""),MATCH($D50,IMPORTRANGE(""17pNv02DXDpQT9S3w4-QeNym2QJy2BzMBqDXp-XtzJBM"", ""'SNG'!D3:D139""),0))"),"Sí")</f>
        <v>Sí</v>
      </c>
      <c r="AC50" s="2" t="str">
        <f ca="1">IFERROR(__xludf.DUMMYFUNCTION("INDEX(IMPORTRANGE(""17pNv02DXDpQT9S3w4-QeNym2QJy2BzMBqDXp-XtzJBM"", ""'SNG'!BK3:BK139""),MATCH($D50,IMPORTRANGE(""17pNv02DXDpQT9S3w4-QeNym2QJy2BzMBqDXp-XtzJBM"", ""'SNG'!D3:D139""),0))"),"Sí ")</f>
        <v xml:space="preserve">Sí </v>
      </c>
      <c r="AD50" s="2" t="str">
        <f ca="1">IFERROR(__xludf.DUMMYFUNCTION("INDEX(IMPORTRANGE(""17pNv02DXDpQT9S3w4-QeNym2QJy2BzMBqDXp-XtzJBM"", ""'SNG'!BL3:BL139""),MATCH($D50,IMPORTRANGE(""17pNv02DXDpQT9S3w4-QeNym2QJy2BzMBqDXp-XtzJBM"", ""'SNG'!D3:D139""),0))"),"Sí ")</f>
        <v xml:space="preserve">Sí </v>
      </c>
      <c r="AE50" s="2" t="str">
        <f ca="1">IFERROR(__xludf.DUMMYFUNCTION("INDEX(IMPORTRANGE(""17pNv02DXDpQT9S3w4-QeNym2QJy2BzMBqDXp-XtzJBM"", ""'SNG'!BM3:BM139""),MATCH($D50,IMPORTRANGE(""17pNv02DXDpQT9S3w4-QeNym2QJy2BzMBqDXp-XtzJBM"", ""'SNG'!D3:D139""),0))"),"Sí ")</f>
        <v xml:space="preserve">Sí </v>
      </c>
    </row>
    <row r="51" spans="1:31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150</v>
      </c>
      <c r="R51" s="2" t="s">
        <v>150</v>
      </c>
      <c r="S51" s="2" t="str">
        <f ca="1">IFERROR(__xludf.DUMMYFUNCTION("INDEX(IMPORTRANGE(""17pNv02DXDpQT9S3w4-QeNym2QJy2BzMBqDXp-XtzJBM"", ""'SNG'!BG3:BG139""),MATCH($D51,IMPORTRANGE(""17pNv02DXDpQT9S3w4-QeNym2QJy2BzMBqDXp-XtzJBM"", ""'SNG'!D3:D139""),0))"),"No")</f>
        <v>No</v>
      </c>
      <c r="T51" s="1" t="s">
        <v>151</v>
      </c>
      <c r="U51" s="1" t="s">
        <v>151</v>
      </c>
      <c r="V51" s="1" t="s">
        <v>151</v>
      </c>
      <c r="W51" s="1" t="s">
        <v>151</v>
      </c>
      <c r="X51" s="1" t="s">
        <v>151</v>
      </c>
      <c r="Y51" s="1" t="s">
        <v>151</v>
      </c>
      <c r="Z51" s="2" t="str">
        <f ca="1">IFERROR(__xludf.DUMMYFUNCTION("INDEX(IMPORTRANGE(""17pNv02DXDpQT9S3w4-QeNym2QJy2BzMBqDXp-XtzJBM"", ""'SNG'!BH3:BH139""),MATCH($D51,IMPORTRANGE(""17pNv02DXDpQT9S3w4-QeNym2QJy2BzMBqDXp-XtzJBM"", ""'SNG'!D3:D139""),0))"),"No")</f>
        <v>No</v>
      </c>
      <c r="AA51" s="2" t="str">
        <f ca="1">IFERROR(__xludf.DUMMYFUNCTION("INDEX(IMPORTRANGE(""17pNv02DXDpQT9S3w4-QeNym2QJy2BzMBqDXp-XtzJBM"", ""'SNG'!BI3:BI139""),MATCH($D51,IMPORTRANGE(""17pNv02DXDpQT9S3w4-QeNym2QJy2BzMBqDXp-XtzJBM"", ""'SNG'!D3:D139""),0))"),"No")</f>
        <v>No</v>
      </c>
      <c r="AB51" s="2" t="str">
        <f ca="1">IFERROR(__xludf.DUMMYFUNCTION("INDEX(IMPORTRANGE(""17pNv02DXDpQT9S3w4-QeNym2QJy2BzMBqDXp-XtzJBM"", ""'SNG'!BJ3:BJ139""),MATCH($D51,IMPORTRANGE(""17pNv02DXDpQT9S3w4-QeNym2QJy2BzMBqDXp-XtzJBM"", ""'SNG'!D3:D139""),0))"),"No")</f>
        <v>No</v>
      </c>
      <c r="AC51" s="2" t="str">
        <f ca="1">IFERROR(__xludf.DUMMYFUNCTION("INDEX(IMPORTRANGE(""17pNv02DXDpQT9S3w4-QeNym2QJy2BzMBqDXp-XtzJBM"", ""'SNG'!BK3:BK139""),MATCH($D51,IMPORTRANGE(""17pNv02DXDpQT9S3w4-QeNym2QJy2BzMBqDXp-XtzJBM"", ""'SNG'!D3:D139""),0))"),"No")</f>
        <v>No</v>
      </c>
      <c r="AD51" s="2" t="str">
        <f ca="1">IFERROR(__xludf.DUMMYFUNCTION("INDEX(IMPORTRANGE(""17pNv02DXDpQT9S3w4-QeNym2QJy2BzMBqDXp-XtzJBM"", ""'SNG'!BL3:BL139""),MATCH($D51,IMPORTRANGE(""17pNv02DXDpQT9S3w4-QeNym2QJy2BzMBqDXp-XtzJBM"", ""'SNG'!D3:D139""),0))"),"No")</f>
        <v>No</v>
      </c>
      <c r="AE51" s="2" t="str">
        <f ca="1">IFERROR(__xludf.DUMMYFUNCTION("INDEX(IMPORTRANGE(""17pNv02DXDpQT9S3w4-QeNym2QJy2BzMBqDXp-XtzJBM"", ""'SNG'!BM3:BM139""),MATCH($D51,IMPORTRANGE(""17pNv02DXDpQT9S3w4-QeNym2QJy2BzMBqDXp-XtzJBM"", ""'SNG'!D3:D139""),0))"),"No")</f>
        <v>No</v>
      </c>
    </row>
    <row r="52" spans="1:31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153</v>
      </c>
      <c r="R52" s="2" t="s">
        <v>153</v>
      </c>
      <c r="S52" s="2" t="str">
        <f ca="1">IFERROR(__xludf.DUMMYFUNCTION("INDEX(IMPORTRANGE(""17pNv02DXDpQT9S3w4-QeNym2QJy2BzMBqDXp-XtzJBM"", ""'SNG'!BG3:BG139""),MATCH($D52,IMPORTRANGE(""17pNv02DXDpQT9S3w4-QeNym2QJy2BzMBqDXp-XtzJBM"", ""'SNG'!D3:D139""),0))"),"Sí")</f>
        <v>Sí</v>
      </c>
      <c r="T52" s="2" t="s">
        <v>155</v>
      </c>
      <c r="U52" s="1" t="s">
        <v>155</v>
      </c>
      <c r="V52" s="1" t="s">
        <v>155</v>
      </c>
      <c r="W52" s="1" t="s">
        <v>155</v>
      </c>
      <c r="X52" s="1" t="s">
        <v>155</v>
      </c>
      <c r="Y52" s="2" t="s">
        <v>155</v>
      </c>
      <c r="Z52" s="2" t="str">
        <f ca="1">IFERROR(__xludf.DUMMYFUNCTION("INDEX(IMPORTRANGE(""17pNv02DXDpQT9S3w4-QeNym2QJy2BzMBqDXp-XtzJBM"", ""'SNG'!BH3:BH139""),MATCH($D52,IMPORTRANGE(""17pNv02DXDpQT9S3w4-QeNym2QJy2BzMBqDXp-XtzJBM"", ""'SNG'!D3:D139""),0))"),"Sí")</f>
        <v>Sí</v>
      </c>
      <c r="AA52" s="2" t="str">
        <f ca="1">IFERROR(__xludf.DUMMYFUNCTION("INDEX(IMPORTRANGE(""17pNv02DXDpQT9S3w4-QeNym2QJy2BzMBqDXp-XtzJBM"", ""'SNG'!BI3:BI139""),MATCH($D52,IMPORTRANGE(""17pNv02DXDpQT9S3w4-QeNym2QJy2BzMBqDXp-XtzJBM"", ""'SNG'!D3:D139""),0))"),"Sí")</f>
        <v>Sí</v>
      </c>
      <c r="AB52" s="2" t="str">
        <f ca="1">IFERROR(__xludf.DUMMYFUNCTION("INDEX(IMPORTRANGE(""17pNv02DXDpQT9S3w4-QeNym2QJy2BzMBqDXp-XtzJBM"", ""'SNG'!BJ3:BJ139""),MATCH($D52,IMPORTRANGE(""17pNv02DXDpQT9S3w4-QeNym2QJy2BzMBqDXp-XtzJBM"", ""'SNG'!D3:D139""),0))"),"Sí ")</f>
        <v xml:space="preserve">Sí </v>
      </c>
      <c r="AC52" s="2" t="str">
        <f ca="1">IFERROR(__xludf.DUMMYFUNCTION("INDEX(IMPORTRANGE(""17pNv02DXDpQT9S3w4-QeNym2QJy2BzMBqDXp-XtzJBM"", ""'SNG'!BK3:BK139""),MATCH($D52,IMPORTRANGE(""17pNv02DXDpQT9S3w4-QeNym2QJy2BzMBqDXp-XtzJBM"", ""'SNG'!D3:D139""),0))"),"Sí")</f>
        <v>Sí</v>
      </c>
      <c r="AD52" s="2" t="str">
        <f ca="1">IFERROR(__xludf.DUMMYFUNCTION("INDEX(IMPORTRANGE(""17pNv02DXDpQT9S3w4-QeNym2QJy2BzMBqDXp-XtzJBM"", ""'SNG'!BL3:BL139""),MATCH($D52,IMPORTRANGE(""17pNv02DXDpQT9S3w4-QeNym2QJy2BzMBqDXp-XtzJBM"", ""'SNG'!D3:D139""),0))"),"Sí")</f>
        <v>Sí</v>
      </c>
      <c r="AE52" s="2" t="str">
        <f ca="1">IFERROR(__xludf.DUMMYFUNCTION("INDEX(IMPORTRANGE(""17pNv02DXDpQT9S3w4-QeNym2QJy2BzMBqDXp-XtzJBM"", ""'SNG'!BM3:BM139""),MATCH($D52,IMPORTRANGE(""17pNv02DXDpQT9S3w4-QeNym2QJy2BzMBqDXp-XtzJBM"", ""'SNG'!D3:D139""),0))"),"Sí")</f>
        <v>Sí</v>
      </c>
    </row>
    <row r="53" spans="1:31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49" t="s">
        <v>57</v>
      </c>
      <c r="I53" s="11">
        <v>44469</v>
      </c>
      <c r="J53" s="49" t="s">
        <v>58</v>
      </c>
      <c r="K53" s="49" t="s">
        <v>59</v>
      </c>
      <c r="L53" s="49" t="s">
        <v>335</v>
      </c>
      <c r="M53" s="49" t="s">
        <v>336</v>
      </c>
      <c r="N53" s="49" t="s">
        <v>337</v>
      </c>
      <c r="O53" s="49" t="s">
        <v>361</v>
      </c>
      <c r="P53" s="12" t="s">
        <v>132</v>
      </c>
      <c r="Q53" s="23">
        <f t="shared" ref="Q53:R53" si="14">COUNTIF(Q50:Q52,"Sí")*(1/3)</f>
        <v>0.33333333333333331</v>
      </c>
      <c r="R53" s="23">
        <f t="shared" si="14"/>
        <v>0.33333333333333331</v>
      </c>
      <c r="S53" s="23">
        <f ca="1">IFERROR(__xludf.DUMMYFUNCTION("INDEX(IMPORTRANGE(""17pNv02DXDpQT9S3w4-QeNym2QJy2BzMBqDXp-XtzJBM"", ""'SNG'!BG3:BG139""),MATCH($D53,IMPORTRANGE(""17pNv02DXDpQT9S3w4-QeNym2QJy2BzMBqDXp-XtzJBM"", ""'SNG'!D3:D139""),0))"),0.333333333333333)</f>
        <v>0.33333333333333298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23" t="str">
        <f ca="1">IFERROR(__xludf.DUMMYFUNCTION("INDEX(IMPORTRANGE(""17pNv02DXDpQT9S3w4-QeNym2QJy2BzMBqDXp-XtzJBM"", ""'SNG'!BH3:BH139""),MATCH($D53,IMPORTRANGE(""17pNv02DXDpQT9S3w4-QeNym2QJy2BzMBqDXp-XtzJBM"", ""'SNG'!D3:D139""),0))"),"")</f>
        <v/>
      </c>
      <c r="AA53" s="23">
        <f ca="1">IFERROR(__xludf.DUMMYFUNCTION("INDEX(IMPORTRANGE(""17pNv02DXDpQT9S3w4-QeNym2QJy2BzMBqDXp-XtzJBM"", ""'SNG'!BI3:BI139""),MATCH($D53,IMPORTRANGE(""17pNv02DXDpQT9S3w4-QeNym2QJy2BzMBqDXp-XtzJBM"", ""'SNG'!D3:D139""),0))"),0.333333333333333)</f>
        <v>0.33333333333333298</v>
      </c>
      <c r="AB53" s="23">
        <f ca="1">IFERROR(__xludf.DUMMYFUNCTION("INDEX(IMPORTRANGE(""17pNv02DXDpQT9S3w4-QeNym2QJy2BzMBqDXp-XtzJBM"", ""'SNG'!BJ3:BJ139""),MATCH($D53,IMPORTRANGE(""17pNv02DXDpQT9S3w4-QeNym2QJy2BzMBqDXp-XtzJBM"", ""'SNG'!D3:D139""),0))"),0.333333333333333)</f>
        <v>0.33333333333333298</v>
      </c>
      <c r="AC53" s="23">
        <f ca="1">IFERROR(__xludf.DUMMYFUNCTION("INDEX(IMPORTRANGE(""17pNv02DXDpQT9S3w4-QeNym2QJy2BzMBqDXp-XtzJBM"", ""'SNG'!BK3:BK139""),MATCH($D53,IMPORTRANGE(""17pNv02DXDpQT9S3w4-QeNym2QJy2BzMBqDXp-XtzJBM"", ""'SNG'!D3:D139""),0))"),0.333333333333333)</f>
        <v>0.33333333333333298</v>
      </c>
      <c r="AD53" s="23">
        <f ca="1">IFERROR(__xludf.DUMMYFUNCTION("INDEX(IMPORTRANGE(""17pNv02DXDpQT9S3w4-QeNym2QJy2BzMBqDXp-XtzJBM"", ""'SNG'!BL3:BL139""),MATCH($D53,IMPORTRANGE(""17pNv02DXDpQT9S3w4-QeNym2QJy2BzMBqDXp-XtzJBM"", ""'SNG'!D3:D139""),0))"),0.333333333333333)</f>
        <v>0.33333333333333298</v>
      </c>
      <c r="AE53" s="23">
        <f ca="1">IFERROR(__xludf.DUMMYFUNCTION("INDEX(IMPORTRANGE(""17pNv02DXDpQT9S3w4-QeNym2QJy2BzMBqDXp-XtzJBM"", ""'SNG'!BM3:BM139""),MATCH($D53,IMPORTRANGE(""17pNv02DXDpQT9S3w4-QeNym2QJy2BzMBqDXp-XtzJBM"", ""'SNG'!D3:D139""),0))"),0.333333333333333)</f>
        <v>0.33333333333333298</v>
      </c>
    </row>
    <row r="54" spans="1:31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49" t="s">
        <v>57</v>
      </c>
      <c r="I54" s="11">
        <v>44469</v>
      </c>
      <c r="J54" s="49" t="s">
        <v>58</v>
      </c>
      <c r="K54" s="49" t="s">
        <v>59</v>
      </c>
      <c r="L54" s="49" t="s">
        <v>335</v>
      </c>
      <c r="M54" s="49" t="s">
        <v>336</v>
      </c>
      <c r="N54" s="49" t="s">
        <v>337</v>
      </c>
      <c r="O54" s="49" t="s">
        <v>361</v>
      </c>
      <c r="P54" s="12" t="s">
        <v>132</v>
      </c>
      <c r="Q54" s="30">
        <v>0</v>
      </c>
      <c r="R54" s="2">
        <v>0</v>
      </c>
      <c r="S54" s="2">
        <f ca="1">IFERROR(__xludf.DUMMYFUNCTION("INDEX(IMPORTRANGE(""17pNv02DXDpQT9S3w4-QeNym2QJy2BzMBqDXp-XtzJBM"", ""'SNG'!BG3:BG139""),MATCH($D54,IMPORTRANGE(""17pNv02DXDpQT9S3w4-QeNym2QJy2BzMBqDXp-XtzJBM"", ""'SNG'!D3:D139""),0))"),0)</f>
        <v>0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24">
        <f ca="1">IFERROR(__xludf.DUMMYFUNCTION("INDEX(IMPORTRANGE(""17pNv02DXDpQT9S3w4-QeNym2QJy2BzMBqDXp-XtzJBM"", ""'SNG'!BH3:BH139""),MATCH($D54,IMPORTRANGE(""17pNv02DXDpQT9S3w4-QeNym2QJy2BzMBqDXp-XtzJBM"", ""'SNG'!D3:D139""),0))"),0)</f>
        <v>0</v>
      </c>
      <c r="AA54" s="2">
        <f ca="1">IFERROR(__xludf.DUMMYFUNCTION("INDEX(IMPORTRANGE(""17pNv02DXDpQT9S3w4-QeNym2QJy2BzMBqDXp-XtzJBM"", ""'SNG'!BI3:BI139""),MATCH($D54,IMPORTRANGE(""17pNv02DXDpQT9S3w4-QeNym2QJy2BzMBqDXp-XtzJBM"", ""'SNG'!D3:D139""),0))"),0.5)</f>
        <v>0.5</v>
      </c>
      <c r="AB54" s="24">
        <f ca="1">IFERROR(__xludf.DUMMYFUNCTION("INDEX(IMPORTRANGE(""17pNv02DXDpQT9S3w4-QeNym2QJy2BzMBqDXp-XtzJBM"", ""'SNG'!BJ3:BJ139""),MATCH($D54,IMPORTRANGE(""17pNv02DXDpQT9S3w4-QeNym2QJy2BzMBqDXp-XtzJBM"", ""'SNG'!D3:D139""),0))"),0.5)</f>
        <v>0.5</v>
      </c>
      <c r="AC54" s="2">
        <f ca="1">IFERROR(__xludf.DUMMYFUNCTION("INDEX(IMPORTRANGE(""17pNv02DXDpQT9S3w4-QeNym2QJy2BzMBqDXp-XtzJBM"", ""'SNG'!BK3:BK139""),MATCH($D54,IMPORTRANGE(""17pNv02DXDpQT9S3w4-QeNym2QJy2BzMBqDXp-XtzJBM"", ""'SNG'!D3:D139""),0))"),0.5)</f>
        <v>0.5</v>
      </c>
      <c r="AD54" s="24">
        <f ca="1">IFERROR(__xludf.DUMMYFUNCTION("INDEX(IMPORTRANGE(""17pNv02DXDpQT9S3w4-QeNym2QJy2BzMBqDXp-XtzJBM"", ""'SNG'!BL3:BL139""),MATCH($D54,IMPORTRANGE(""17pNv02DXDpQT9S3w4-QeNym2QJy2BzMBqDXp-XtzJBM"", ""'SNG'!D3:D139""),0))"),0.5)</f>
        <v>0.5</v>
      </c>
      <c r="AE54" s="24">
        <f ca="1">IFERROR(__xludf.DUMMYFUNCTION("INDEX(IMPORTRANGE(""17pNv02DXDpQT9S3w4-QeNym2QJy2BzMBqDXp-XtzJBM"", ""'SNG'!BM3:BM139""),MATCH($D54,IMPORTRANGE(""17pNv02DXDpQT9S3w4-QeNym2QJy2BzMBqDXp-XtzJBM"", ""'SNG'!D3:D139""),0))"),0.5)</f>
        <v>0.5</v>
      </c>
    </row>
    <row r="55" spans="1:31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1</v>
      </c>
      <c r="R55" s="12">
        <v>1</v>
      </c>
      <c r="S55" s="12">
        <f ca="1">IFERROR(__xludf.DUMMYFUNCTION("INDEX(IMPORTRANGE(""17pNv02DXDpQT9S3w4-QeNym2QJy2BzMBqDXp-XtzJBM"", ""'SNG'!BG3:BG139""),MATCH($D55,IMPORTRANGE(""17pNv02DXDpQT9S3w4-QeNym2QJy2BzMBqDXp-XtzJBM"", ""'SNG'!D3:D139""),0))"),1)</f>
        <v>1</v>
      </c>
      <c r="T55" s="13"/>
      <c r="U55" s="13"/>
      <c r="V55" s="13"/>
      <c r="W55" s="13"/>
      <c r="X55" s="13"/>
      <c r="Y55" s="13"/>
      <c r="Z55" s="12">
        <f ca="1">IFERROR(__xludf.DUMMYFUNCTION("INDEX(IMPORTRANGE(""17pNv02DXDpQT9S3w4-QeNym2QJy2BzMBqDXp-XtzJBM"", ""'SNG'!BH3:BH139""),MATCH($D55,IMPORTRANGE(""17pNv02DXDpQT9S3w4-QeNym2QJy2BzMBqDXp-XtzJBM"", ""'SNG'!D3:D139""),0))"),1)</f>
        <v>1</v>
      </c>
      <c r="AA55" s="12">
        <f ca="1">IFERROR(__xludf.DUMMYFUNCTION("INDEX(IMPORTRANGE(""17pNv02DXDpQT9S3w4-QeNym2QJy2BzMBqDXp-XtzJBM"", ""'SNG'!BI3:BI139""),MATCH($D55,IMPORTRANGE(""17pNv02DXDpQT9S3w4-QeNym2QJy2BzMBqDXp-XtzJBM"", ""'SNG'!D3:D139""),0))"),1)</f>
        <v>1</v>
      </c>
      <c r="AB55" s="12">
        <f ca="1">IFERROR(__xludf.DUMMYFUNCTION("INDEX(IMPORTRANGE(""17pNv02DXDpQT9S3w4-QeNym2QJy2BzMBqDXp-XtzJBM"", ""'SNG'!BJ3:BJ139""),MATCH($D55,IMPORTRANGE(""17pNv02DXDpQT9S3w4-QeNym2QJy2BzMBqDXp-XtzJBM"", ""'SNG'!D3:D139""),0))"),1)</f>
        <v>1</v>
      </c>
      <c r="AC55" s="12">
        <f ca="1">IFERROR(__xludf.DUMMYFUNCTION("INDEX(IMPORTRANGE(""17pNv02DXDpQT9S3w4-QeNym2QJy2BzMBqDXp-XtzJBM"", ""'SNG'!BK3:BK139""),MATCH($D55,IMPORTRANGE(""17pNv02DXDpQT9S3w4-QeNym2QJy2BzMBqDXp-XtzJBM"", ""'SNG'!D3:D139""),0))"),1)</f>
        <v>1</v>
      </c>
      <c r="AD55" s="12">
        <f ca="1">IFERROR(__xludf.DUMMYFUNCTION("INDEX(IMPORTRANGE(""17pNv02DXDpQT9S3w4-QeNym2QJy2BzMBqDXp-XtzJBM"", ""'SNG'!BL3:BL139""),MATCH($D55,IMPORTRANGE(""17pNv02DXDpQT9S3w4-QeNym2QJy2BzMBqDXp-XtzJBM"", ""'SNG'!D3:D139""),0))"),1)</f>
        <v>1</v>
      </c>
      <c r="AE55" s="12">
        <f ca="1">IFERROR(__xludf.DUMMYFUNCTION("INDEX(IMPORTRANGE(""17pNv02DXDpQT9S3w4-QeNym2QJy2BzMBqDXp-XtzJBM"", ""'SNG'!BM3:BM139""),MATCH($D55,IMPORTRANGE(""17pNv02DXDpQT9S3w4-QeNym2QJy2BzMBqDXp-XtzJBM"", ""'SNG'!D3:D139""),0))"),1)</f>
        <v>1</v>
      </c>
    </row>
    <row r="56" spans="1:31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""'SNG'!BG3:BG139""),MATCH($D56,IMPORTRANGE(""17pNv02DXDpQT9S3w4-QeNym2QJy2BzMBqDXp-XtzJBM"", ""'SNG'!D3:D139""),0))"),0)</f>
        <v>0</v>
      </c>
      <c r="T56" s="13"/>
      <c r="U56" s="13"/>
      <c r="V56" s="13"/>
      <c r="W56" s="13"/>
      <c r="X56" s="13"/>
      <c r="Y56" s="13"/>
      <c r="Z56" s="12">
        <f ca="1">IFERROR(__xludf.DUMMYFUNCTION("INDEX(IMPORTRANGE(""17pNv02DXDpQT9S3w4-QeNym2QJy2BzMBqDXp-XtzJBM"", ""'SNG'!BH3:BH139""),MATCH($D56,IMPORTRANGE(""17pNv02DXDpQT9S3w4-QeNym2QJy2BzMBqDXp-XtzJBM"", ""'SNG'!D3:D139""),0))"),0)</f>
        <v>0</v>
      </c>
      <c r="AA56" s="12">
        <f ca="1">IFERROR(__xludf.DUMMYFUNCTION("INDEX(IMPORTRANGE(""17pNv02DXDpQT9S3w4-QeNym2QJy2BzMBqDXp-XtzJBM"", ""'SNG'!BI3:BI139""),MATCH($D56,IMPORTRANGE(""17pNv02DXDpQT9S3w4-QeNym2QJy2BzMBqDXp-XtzJBM"", ""'SNG'!D3:D139""),0))"),0)</f>
        <v>0</v>
      </c>
      <c r="AB56" s="12">
        <f ca="1">IFERROR(__xludf.DUMMYFUNCTION("INDEX(IMPORTRANGE(""17pNv02DXDpQT9S3w4-QeNym2QJy2BzMBqDXp-XtzJBM"", ""'SNG'!BJ3:BJ139""),MATCH($D56,IMPORTRANGE(""17pNv02DXDpQT9S3w4-QeNym2QJy2BzMBqDXp-XtzJBM"", ""'SNG'!D3:D139""),0))"),0)</f>
        <v>0</v>
      </c>
      <c r="AC56" s="12">
        <f ca="1">IFERROR(__xludf.DUMMYFUNCTION("INDEX(IMPORTRANGE(""17pNv02DXDpQT9S3w4-QeNym2QJy2BzMBqDXp-XtzJBM"", ""'SNG'!BK3:BK139""),MATCH($D56,IMPORTRANGE(""17pNv02DXDpQT9S3w4-QeNym2QJy2BzMBqDXp-XtzJBM"", ""'SNG'!D3:D139""),0))"),0)</f>
        <v>0</v>
      </c>
      <c r="AD56" s="12">
        <f ca="1">IFERROR(__xludf.DUMMYFUNCTION("INDEX(IMPORTRANGE(""17pNv02DXDpQT9S3w4-QeNym2QJy2BzMBqDXp-XtzJBM"", ""'SNG'!BL3:BL139""),MATCH($D56,IMPORTRANGE(""17pNv02DXDpQT9S3w4-QeNym2QJy2BzMBqDXp-XtzJBM"", ""'SNG'!D3:D139""),0))"),0)</f>
        <v>0</v>
      </c>
      <c r="AE56" s="12">
        <f ca="1">IFERROR(__xludf.DUMMYFUNCTION("INDEX(IMPORTRANGE(""17pNv02DXDpQT9S3w4-QeNym2QJy2BzMBqDXp-XtzJBM"", ""'SNG'!BM3:BM139""),MATCH($D56,IMPORTRANGE(""17pNv02DXDpQT9S3w4-QeNym2QJy2BzMBqDXp-XtzJBM"", ""'SNG'!D3:D139""),0))"),0)</f>
        <v>0</v>
      </c>
    </row>
    <row r="57" spans="1:31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49" t="s">
        <v>57</v>
      </c>
      <c r="I57" s="11">
        <v>44469</v>
      </c>
      <c r="J57" s="49" t="s">
        <v>58</v>
      </c>
      <c r="K57" s="49" t="s">
        <v>59</v>
      </c>
      <c r="L57" s="49" t="s">
        <v>335</v>
      </c>
      <c r="M57" s="49" t="s">
        <v>336</v>
      </c>
      <c r="N57" s="49" t="s">
        <v>337</v>
      </c>
      <c r="O57" s="49" t="s">
        <v>361</v>
      </c>
      <c r="P57" s="12" t="s">
        <v>132</v>
      </c>
      <c r="Q57" s="15">
        <f t="shared" ref="Q57:R57" si="15">Q56/Q55</f>
        <v>0</v>
      </c>
      <c r="R57" s="15">
        <f t="shared" si="15"/>
        <v>0</v>
      </c>
      <c r="S57" s="15">
        <f ca="1">IFERROR(__xludf.DUMMYFUNCTION("INDEX(IMPORTRANGE(""17pNv02DXDpQT9S3w4-QeNym2QJy2BzMBqDXp-XtzJBM"", ""'SNG'!BG3:BG139""),MATCH($D57,IMPORTRANGE(""17pNv02DXDpQT9S3w4-QeNym2QJy2BzMBqDXp-XtzJBM"", ""'SNG'!D3:D139""),0))"),0)</f>
        <v>0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5">
        <f ca="1">IFERROR(__xludf.DUMMYFUNCTION("INDEX(IMPORTRANGE(""17pNv02DXDpQT9S3w4-QeNym2QJy2BzMBqDXp-XtzJBM"", ""'SNG'!BH3:BH139""),MATCH($D57,IMPORTRANGE(""17pNv02DXDpQT9S3w4-QeNym2QJy2BzMBqDXp-XtzJBM"", ""'SNG'!D3:D139""),0))"),0)</f>
        <v>0</v>
      </c>
      <c r="AA57" s="15">
        <f ca="1">IFERROR(__xludf.DUMMYFUNCTION("INDEX(IMPORTRANGE(""17pNv02DXDpQT9S3w4-QeNym2QJy2BzMBqDXp-XtzJBM"", ""'SNG'!BI3:BI139""),MATCH($D57,IMPORTRANGE(""17pNv02DXDpQT9S3w4-QeNym2QJy2BzMBqDXp-XtzJBM"", ""'SNG'!D3:D139""),0))"),0)</f>
        <v>0</v>
      </c>
      <c r="AB57" s="15">
        <f ca="1">IFERROR(__xludf.DUMMYFUNCTION("INDEX(IMPORTRANGE(""17pNv02DXDpQT9S3w4-QeNym2QJy2BzMBqDXp-XtzJBM"", ""'SNG'!BJ3:BJ139""),MATCH($D57,IMPORTRANGE(""17pNv02DXDpQT9S3w4-QeNym2QJy2BzMBqDXp-XtzJBM"", ""'SNG'!D3:D139""),0))"),0)</f>
        <v>0</v>
      </c>
      <c r="AC57" s="15">
        <f ca="1">IFERROR(__xludf.DUMMYFUNCTION("INDEX(IMPORTRANGE(""17pNv02DXDpQT9S3w4-QeNym2QJy2BzMBqDXp-XtzJBM"", ""'SNG'!BK3:BK139""),MATCH($D57,IMPORTRANGE(""17pNv02DXDpQT9S3w4-QeNym2QJy2BzMBqDXp-XtzJBM"", ""'SNG'!D3:D139""),0))"),0)</f>
        <v>0</v>
      </c>
      <c r="AD57" s="15">
        <f ca="1">IFERROR(__xludf.DUMMYFUNCTION("INDEX(IMPORTRANGE(""17pNv02DXDpQT9S3w4-QeNym2QJy2BzMBqDXp-XtzJBM"", ""'SNG'!BL3:BL139""),MATCH($D57,IMPORTRANGE(""17pNv02DXDpQT9S3w4-QeNym2QJy2BzMBqDXp-XtzJBM"", ""'SNG'!D3:D139""),0))"),0)</f>
        <v>0</v>
      </c>
      <c r="AE57" s="15">
        <f ca="1">IFERROR(__xludf.DUMMYFUNCTION("INDEX(IMPORTRANGE(""17pNv02DXDpQT9S3w4-QeNym2QJy2BzMBqDXp-XtzJBM"", ""'SNG'!BM3:BM139""),MATCH($D57,IMPORTRANGE(""17pNv02DXDpQT9S3w4-QeNym2QJy2BzMBqDXp-XtzJBM"", ""'SNG'!D3:D139""),0))"),0)</f>
        <v>0</v>
      </c>
    </row>
    <row r="58" spans="1:31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35610</v>
      </c>
      <c r="R58" s="12">
        <v>35610</v>
      </c>
      <c r="S58" s="12">
        <f ca="1">IFERROR(__xludf.DUMMYFUNCTION("INDEX(IMPORTRANGE(""17pNv02DXDpQT9S3w4-QeNym2QJy2BzMBqDXp-XtzJBM"", ""'SNG'!BG3:BG139""),MATCH($D58,IMPORTRANGE(""17pNv02DXDpQT9S3w4-QeNym2QJy2BzMBqDXp-XtzJBM"", ""'SNG'!D3:D139""),0))"),35610)</f>
        <v>35610</v>
      </c>
      <c r="T58" s="13"/>
      <c r="U58" s="13"/>
      <c r="V58" s="13"/>
      <c r="W58" s="13"/>
      <c r="X58" s="13"/>
      <c r="Y58" s="13"/>
      <c r="Z58" s="12">
        <f ca="1">IFERROR(__xludf.DUMMYFUNCTION("INDEX(IMPORTRANGE(""17pNv02DXDpQT9S3w4-QeNym2QJy2BzMBqDXp-XtzJBM"", ""'SNG'!BH3:BH139""),MATCH($D58,IMPORTRANGE(""17pNv02DXDpQT9S3w4-QeNym2QJy2BzMBqDXp-XtzJBM"", ""'SNG'!D3:D139""),0))"),35610)</f>
        <v>35610</v>
      </c>
      <c r="AA58" s="12">
        <f ca="1">IFERROR(__xludf.DUMMYFUNCTION("INDEX(IMPORTRANGE(""17pNv02DXDpQT9S3w4-QeNym2QJy2BzMBqDXp-XtzJBM"", ""'SNG'!BI3:BI139""),MATCH($D58,IMPORTRANGE(""17pNv02DXDpQT9S3w4-QeNym2QJy2BzMBqDXp-XtzJBM"", ""'SNG'!D3:D139""),0))"),35715)</f>
        <v>35715</v>
      </c>
      <c r="AB58" s="12">
        <f ca="1">IFERROR(__xludf.DUMMYFUNCTION("INDEX(IMPORTRANGE(""17pNv02DXDpQT9S3w4-QeNym2QJy2BzMBqDXp-XtzJBM"", ""'SNG'!BJ3:BJ139""),MATCH($D58,IMPORTRANGE(""17pNv02DXDpQT9S3w4-QeNym2QJy2BzMBqDXp-XtzJBM"", ""'SNG'!D3:D139""),0))"),35760)</f>
        <v>35760</v>
      </c>
      <c r="AC58" s="12">
        <f ca="1">IFERROR(__xludf.DUMMYFUNCTION("INDEX(IMPORTRANGE(""17pNv02DXDpQT9S3w4-QeNym2QJy2BzMBqDXp-XtzJBM"", ""'SNG'!BK3:BK139""),MATCH($D58,IMPORTRANGE(""17pNv02DXDpQT9S3w4-QeNym2QJy2BzMBqDXp-XtzJBM"", ""'SNG'!D3:D139""),0))"),35826)</f>
        <v>35826</v>
      </c>
      <c r="AD58" s="12">
        <f ca="1">IFERROR(__xludf.DUMMYFUNCTION("INDEX(IMPORTRANGE(""17pNv02DXDpQT9S3w4-QeNym2QJy2BzMBqDXp-XtzJBM"", ""'SNG'!BL3:BL139""),MATCH($D58,IMPORTRANGE(""17pNv02DXDpQT9S3w4-QeNym2QJy2BzMBqDXp-XtzJBM"", ""'SNG'!D3:D139""),0))"),35856)</f>
        <v>35856</v>
      </c>
      <c r="AE58" s="12">
        <f ca="1">IFERROR(__xludf.DUMMYFUNCTION("INDEX(IMPORTRANGE(""17pNv02DXDpQT9S3w4-QeNym2QJy2BzMBqDXp-XtzJBM"", ""'SNG'!BM3:BM139""),MATCH($D58,IMPORTRANGE(""17pNv02DXDpQT9S3w4-QeNym2QJy2BzMBqDXp-XtzJBM"", ""'SNG'!D3:D139""),0))"),35910)</f>
        <v>35910</v>
      </c>
    </row>
    <row r="59" spans="1:31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12">
        <v>35610</v>
      </c>
      <c r="R59" s="12">
        <v>35610</v>
      </c>
      <c r="S59" s="12">
        <f ca="1">IFERROR(__xludf.DUMMYFUNCTION("INDEX(IMPORTRANGE(""17pNv02DXDpQT9S3w4-QeNym2QJy2BzMBqDXp-XtzJBM"", ""'SNG'!BG3:BG139""),MATCH($D59,IMPORTRANGE(""17pNv02DXDpQT9S3w4-QeNym2QJy2BzMBqDXp-XtzJBM"", ""'SNG'!D3:D139""),0))"),35610)</f>
        <v>35610</v>
      </c>
      <c r="T59" s="13"/>
      <c r="U59" s="13"/>
      <c r="V59" s="13"/>
      <c r="W59" s="13"/>
      <c r="X59" s="13"/>
      <c r="Y59" s="13"/>
      <c r="Z59" s="12">
        <f ca="1">IFERROR(__xludf.DUMMYFUNCTION("INDEX(IMPORTRANGE(""17pNv02DXDpQT9S3w4-QeNym2QJy2BzMBqDXp-XtzJBM"", ""'SNG'!BH3:BH139""),MATCH($D59,IMPORTRANGE(""17pNv02DXDpQT9S3w4-QeNym2QJy2BzMBqDXp-XtzJBM"", ""'SNG'!D3:D139""),0))"),35610)</f>
        <v>35610</v>
      </c>
      <c r="AA59" s="12">
        <f ca="1">IFERROR(__xludf.DUMMYFUNCTION("INDEX(IMPORTRANGE(""17pNv02DXDpQT9S3w4-QeNym2QJy2BzMBqDXp-XtzJBM"", ""'SNG'!BI3:BI139""),MATCH($D59,IMPORTRANGE(""17pNv02DXDpQT9S3w4-QeNym2QJy2BzMBqDXp-XtzJBM"", ""'SNG'!D3:D139""),0))"),35715)</f>
        <v>35715</v>
      </c>
      <c r="AB59" s="12">
        <f ca="1">IFERROR(__xludf.DUMMYFUNCTION("INDEX(IMPORTRANGE(""17pNv02DXDpQT9S3w4-QeNym2QJy2BzMBqDXp-XtzJBM"", ""'SNG'!BJ3:BJ139""),MATCH($D59,IMPORTRANGE(""17pNv02DXDpQT9S3w4-QeNym2QJy2BzMBqDXp-XtzJBM"", ""'SNG'!D3:D139""),0))"),35760)</f>
        <v>35760</v>
      </c>
      <c r="AC59" s="12">
        <f ca="1">IFERROR(__xludf.DUMMYFUNCTION("INDEX(IMPORTRANGE(""17pNv02DXDpQT9S3w4-QeNym2QJy2BzMBqDXp-XtzJBM"", ""'SNG'!BK3:BK139""),MATCH($D59,IMPORTRANGE(""17pNv02DXDpQT9S3w4-QeNym2QJy2BzMBqDXp-XtzJBM"", ""'SNG'!D3:D139""),0))"),35826)</f>
        <v>35826</v>
      </c>
      <c r="AD59" s="12">
        <f ca="1">IFERROR(__xludf.DUMMYFUNCTION("INDEX(IMPORTRANGE(""17pNv02DXDpQT9S3w4-QeNym2QJy2BzMBqDXp-XtzJBM"", ""'SNG'!BL3:BL139""),MATCH($D59,IMPORTRANGE(""17pNv02DXDpQT9S3w4-QeNym2QJy2BzMBqDXp-XtzJBM"", ""'SNG'!D3:D139""),0))"),35856)</f>
        <v>35856</v>
      </c>
      <c r="AE59" s="12">
        <f ca="1">IFERROR(__xludf.DUMMYFUNCTION("INDEX(IMPORTRANGE(""17pNv02DXDpQT9S3w4-QeNym2QJy2BzMBqDXp-XtzJBM"", ""'SNG'!BM3:BM139""),MATCH($D59,IMPORTRANGE(""17pNv02DXDpQT9S3w4-QeNym2QJy2BzMBqDXp-XtzJBM"", ""'SNG'!D3:D139""),0))"),35910)</f>
        <v>35910</v>
      </c>
    </row>
    <row r="60" spans="1:31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49" t="s">
        <v>57</v>
      </c>
      <c r="I60" s="11">
        <v>44469</v>
      </c>
      <c r="J60" s="49" t="s">
        <v>58</v>
      </c>
      <c r="K60" s="49" t="s">
        <v>59</v>
      </c>
      <c r="L60" s="49" t="s">
        <v>335</v>
      </c>
      <c r="M60" s="49" t="s">
        <v>336</v>
      </c>
      <c r="N60" s="49" t="s">
        <v>337</v>
      </c>
      <c r="O60" s="49" t="s">
        <v>361</v>
      </c>
      <c r="P60" s="12" t="s">
        <v>132</v>
      </c>
      <c r="Q60" s="14">
        <f t="shared" ref="Q60:R60" si="16">Q58/Q59</f>
        <v>1</v>
      </c>
      <c r="R60" s="14">
        <f t="shared" si="16"/>
        <v>1</v>
      </c>
      <c r="S60" s="14">
        <f ca="1">IFERROR(__xludf.DUMMYFUNCTION("INDEX(IMPORTRANGE(""17pNv02DXDpQT9S3w4-QeNym2QJy2BzMBqDXp-XtzJBM"", ""'SNG'!BG3:BG139""),MATCH($D60,IMPORTRANGE(""17pNv02DXDpQT9S3w4-QeNym2QJy2BzMBqDXp-XtzJBM"", ""'SNG'!D3:D139""),0))"),1)</f>
        <v>1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""'SNG'!BH3:BH139""),MATCH($D60,IMPORTRANGE(""17pNv02DXDpQT9S3w4-QeNym2QJy2BzMBqDXp-XtzJBM"", ""'SNG'!D3:D139""),0))"),1)</f>
        <v>1</v>
      </c>
      <c r="AA60" s="14">
        <f ca="1">IFERROR(__xludf.DUMMYFUNCTION("INDEX(IMPORTRANGE(""17pNv02DXDpQT9S3w4-QeNym2QJy2BzMBqDXp-XtzJBM"", ""'SNG'!BI3:BI139""),MATCH($D60,IMPORTRANGE(""17pNv02DXDpQT9S3w4-QeNym2QJy2BzMBqDXp-XtzJBM"", ""'SNG'!D3:D139""),0))"),1)</f>
        <v>1</v>
      </c>
      <c r="AB60" s="15">
        <f ca="1">IFERROR(__xludf.DUMMYFUNCTION("INDEX(IMPORTRANGE(""17pNv02DXDpQT9S3w4-QeNym2QJy2BzMBqDXp-XtzJBM"", ""'SNG'!BJ3:BJ139""),MATCH($D60,IMPORTRANGE(""17pNv02DXDpQT9S3w4-QeNym2QJy2BzMBqDXp-XtzJBM"", ""'SNG'!D3:D139""),0))"),1)</f>
        <v>1</v>
      </c>
      <c r="AC60" s="14">
        <f ca="1">IFERROR(__xludf.DUMMYFUNCTION("INDEX(IMPORTRANGE(""17pNv02DXDpQT9S3w4-QeNym2QJy2BzMBqDXp-XtzJBM"", ""'SNG'!BK3:BK139""),MATCH($D60,IMPORTRANGE(""17pNv02DXDpQT9S3w4-QeNym2QJy2BzMBqDXp-XtzJBM"", ""'SNG'!D3:D139""),0))"),1)</f>
        <v>1</v>
      </c>
      <c r="AD60" s="15">
        <f ca="1">IFERROR(__xludf.DUMMYFUNCTION("INDEX(IMPORTRANGE(""17pNv02DXDpQT9S3w4-QeNym2QJy2BzMBqDXp-XtzJBM"", ""'SNG'!BL3:BL139""),MATCH($D60,IMPORTRANGE(""17pNv02DXDpQT9S3w4-QeNym2QJy2BzMBqDXp-XtzJBM"", ""'SNG'!D3:D139""),0))"),1)</f>
        <v>1</v>
      </c>
      <c r="AE60" s="15">
        <f ca="1">IFERROR(__xludf.DUMMYFUNCTION("INDEX(IMPORTRANGE(""17pNv02DXDpQT9S3w4-QeNym2QJy2BzMBqDXp-XtzJBM"", ""'SNG'!BM3:BM139""),MATCH($D60,IMPORTRANGE(""17pNv02DXDpQT9S3w4-QeNym2QJy2BzMBqDXp-XtzJBM"", ""'SNG'!D3:D139""),0))"),1)</f>
        <v>1</v>
      </c>
    </row>
    <row r="61" spans="1:31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126480</v>
      </c>
      <c r="R61" s="12">
        <v>126480</v>
      </c>
      <c r="S61" s="12">
        <f ca="1">IFERROR(__xludf.DUMMYFUNCTION("INDEX(IMPORTRANGE(""17pNv02DXDpQT9S3w4-QeNym2QJy2BzMBqDXp-XtzJBM"", ""'SNG'!BG3:BG139""),MATCH($D61,IMPORTRANGE(""17pNv02DXDpQT9S3w4-QeNym2QJy2BzMBqDXp-XtzJBM"", ""'SNG'!D3:D139""),0))"),126480)</f>
        <v>126480</v>
      </c>
      <c r="T61" s="13"/>
      <c r="U61" s="13"/>
      <c r="V61" s="13"/>
      <c r="W61" s="13"/>
      <c r="X61" s="13"/>
      <c r="Y61" s="13"/>
      <c r="Z61" s="12">
        <f ca="1">IFERROR(__xludf.DUMMYFUNCTION("INDEX(IMPORTRANGE(""17pNv02DXDpQT9S3w4-QeNym2QJy2BzMBqDXp-XtzJBM"", ""'SNG'!BH3:BH139""),MATCH($D61,IMPORTRANGE(""17pNv02DXDpQT9S3w4-QeNym2QJy2BzMBqDXp-XtzJBM"", ""'SNG'!D3:D139""),0))"),126480)</f>
        <v>126480</v>
      </c>
      <c r="AA61" s="12">
        <f ca="1">IFERROR(__xludf.DUMMYFUNCTION("INDEX(IMPORTRANGE(""17pNv02DXDpQT9S3w4-QeNym2QJy2BzMBqDXp-XtzJBM"", ""'SNG'!BI3:BI139""),MATCH($D61,IMPORTRANGE(""17pNv02DXDpQT9S3w4-QeNym2QJy2BzMBqDXp-XtzJBM"", ""'SNG'!D3:D139""),0))"),126078)</f>
        <v>126078</v>
      </c>
      <c r="AB61" s="12">
        <f ca="1">IFERROR(__xludf.DUMMYFUNCTION("INDEX(IMPORTRANGE(""17pNv02DXDpQT9S3w4-QeNym2QJy2BzMBqDXp-XtzJBM"", ""'SNG'!BJ3:BJ139""),MATCH($D61,IMPORTRANGE(""17pNv02DXDpQT9S3w4-QeNym2QJy2BzMBqDXp-XtzJBM"", ""'SNG'!D3:D139""),0))"),127275)</f>
        <v>127275</v>
      </c>
      <c r="AC61" s="12">
        <f ca="1">IFERROR(__xludf.DUMMYFUNCTION("INDEX(IMPORTRANGE(""17pNv02DXDpQT9S3w4-QeNym2QJy2BzMBqDXp-XtzJBM"", ""'SNG'!BK3:BK139""),MATCH($D61,IMPORTRANGE(""17pNv02DXDpQT9S3w4-QeNym2QJy2BzMBqDXp-XtzJBM"", ""'SNG'!D3:D139""),0))"),127275)</f>
        <v>127275</v>
      </c>
      <c r="AD61" s="12">
        <f ca="1">IFERROR(__xludf.DUMMYFUNCTION("INDEX(IMPORTRANGE(""17pNv02DXDpQT9S3w4-QeNym2QJy2BzMBqDXp-XtzJBM"", ""'SNG'!BL3:BL139""),MATCH($D61,IMPORTRANGE(""17pNv02DXDpQT9S3w4-QeNym2QJy2BzMBqDXp-XtzJBM"", ""'SNG'!D3:D139""),0))"),127275)</f>
        <v>127275</v>
      </c>
      <c r="AE61" s="12">
        <f ca="1">IFERROR(__xludf.DUMMYFUNCTION("INDEX(IMPORTRANGE(""17pNv02DXDpQT9S3w4-QeNym2QJy2BzMBqDXp-XtzJBM"", ""'SNG'!BM3:BM139""),MATCH($D61,IMPORTRANGE(""17pNv02DXDpQT9S3w4-QeNym2QJy2BzMBqDXp-XtzJBM"", ""'SNG'!D3:D139""),0))"),127275)</f>
        <v>127275</v>
      </c>
    </row>
    <row r="62" spans="1:31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15">
        <f t="shared" ref="Q62:R62" si="17">Q61/Q37</f>
        <v>1</v>
      </c>
      <c r="R62" s="15">
        <f t="shared" si="17"/>
        <v>1</v>
      </c>
      <c r="S62" s="15">
        <f ca="1">IFERROR(__xludf.DUMMYFUNCTION("INDEX(IMPORTRANGE(""17pNv02DXDpQT9S3w4-QeNym2QJy2BzMBqDXp-XtzJBM"", ""'SNG'!BG3:BG139""),MATCH($D62,IMPORTRANGE(""17pNv02DXDpQT9S3w4-QeNym2QJy2BzMBqDXp-XtzJBM"", ""'SNG'!D3:D139""),0))"),1)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""'SNG'!BH3:BH139""),MATCH($D62,IMPORTRANGE(""17pNv02DXDpQT9S3w4-QeNym2QJy2BzMBqDXp-XtzJBM"", ""'SNG'!D3:D139""),0))"),1)</f>
        <v>1</v>
      </c>
      <c r="AA62" s="15">
        <f ca="1">IFERROR(__xludf.DUMMYFUNCTION("INDEX(IMPORTRANGE(""17pNv02DXDpQT9S3w4-QeNym2QJy2BzMBqDXp-XtzJBM"", ""'SNG'!BI3:BI139""),MATCH($D62,IMPORTRANGE(""17pNv02DXDpQT9S3w4-QeNym2QJy2BzMBqDXp-XtzJBM"", ""'SNG'!D3:D139""),0))"),1.00078584525992)</f>
        <v>1.0007858452599201</v>
      </c>
      <c r="AB62" s="15">
        <f ca="1">IFERROR(__xludf.DUMMYFUNCTION("INDEX(IMPORTRANGE(""17pNv02DXDpQT9S3w4-QeNym2QJy2BzMBqDXp-XtzJBM"", ""'SNG'!BJ3:BJ139""),MATCH($D62,IMPORTRANGE(""17pNv02DXDpQT9S3w4-QeNym2QJy2BzMBqDXp-XtzJBM"", ""'SNG'!D3:D139""),0))"),1)</f>
        <v>1</v>
      </c>
      <c r="AC62" s="15">
        <f ca="1">IFERROR(__xludf.DUMMYFUNCTION("INDEX(IMPORTRANGE(""17pNv02DXDpQT9S3w4-QeNym2QJy2BzMBqDXp-XtzJBM"", ""'SNG'!BK3:BK139""),MATCH($D62,IMPORTRANGE(""17pNv02DXDpQT9S3w4-QeNym2QJy2BzMBqDXp-XtzJBM"", ""'SNG'!D3:D139""),0))"),1)</f>
        <v>1</v>
      </c>
      <c r="AD62" s="15">
        <f ca="1">IFERROR(__xludf.DUMMYFUNCTION("INDEX(IMPORTRANGE(""17pNv02DXDpQT9S3w4-QeNym2QJy2BzMBqDXp-XtzJBM"", ""'SNG'!BL3:BL139""),MATCH($D62,IMPORTRANGE(""17pNv02DXDpQT9S3w4-QeNym2QJy2BzMBqDXp-XtzJBM"", ""'SNG'!D3:D139""),0))"),1)</f>
        <v>1</v>
      </c>
      <c r="AE62" s="15">
        <f ca="1">IFERROR(__xludf.DUMMYFUNCTION("INDEX(IMPORTRANGE(""17pNv02DXDpQT9S3w4-QeNym2QJy2BzMBqDXp-XtzJBM"", ""'SNG'!BM3:BM139""),MATCH($D62,IMPORTRANGE(""17pNv02DXDpQT9S3w4-QeNym2QJy2BzMBqDXp-XtzJBM"", ""'SNG'!D3:D139""),0))"),1)</f>
        <v>1</v>
      </c>
    </row>
    <row r="63" spans="1:31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12">
        <v>14999166</v>
      </c>
      <c r="R63" s="12">
        <v>14999166</v>
      </c>
      <c r="S63" s="12">
        <f ca="1">IFERROR(__xludf.DUMMYFUNCTION("INDEX(IMPORTRANGE(""17pNv02DXDpQT9S3w4-QeNym2QJy2BzMBqDXp-XtzJBM"", ""'SNG'!BG3:BG139""),MATCH($D63,IMPORTRANGE(""17pNv02DXDpQT9S3w4-QeNym2QJy2BzMBqDXp-XtzJBM"", ""'SNG'!D3:D139""),0))"),14999166)</f>
        <v>14999166</v>
      </c>
      <c r="T63" s="13"/>
      <c r="U63" s="13"/>
      <c r="V63" s="13"/>
      <c r="W63" s="13"/>
      <c r="X63" s="13"/>
      <c r="Y63" s="13"/>
      <c r="Z63" s="12">
        <f ca="1">IFERROR(__xludf.DUMMYFUNCTION("INDEX(IMPORTRANGE(""17pNv02DXDpQT9S3w4-QeNym2QJy2BzMBqDXp-XtzJBM"", ""'SNG'!BH3:BH139""),MATCH($D63,IMPORTRANGE(""17pNv02DXDpQT9S3w4-QeNym2QJy2BzMBqDXp-XtzJBM"", ""'SNG'!D3:D139""),0))"),14999166)</f>
        <v>14999166</v>
      </c>
      <c r="AA63" s="12">
        <f ca="1">IFERROR(__xludf.DUMMYFUNCTION("INDEX(IMPORTRANGE(""17pNv02DXDpQT9S3w4-QeNym2QJy2BzMBqDXp-XtzJBM"", ""'SNG'!BI3:BI139""),MATCH($D63,IMPORTRANGE(""17pNv02DXDpQT9S3w4-QeNym2QJy2BzMBqDXp-XtzJBM"", ""'SNG'!D3:D139""),0))"),15118730.39)</f>
        <v>15118730.390000001</v>
      </c>
      <c r="AB63" s="12">
        <f ca="1">IFERROR(__xludf.DUMMYFUNCTION("INDEX(IMPORTRANGE(""17pNv02DXDpQT9S3w4-QeNym2QJy2BzMBqDXp-XtzJBM"", ""'SNG'!BJ3:BJ139""),MATCH($D63,IMPORTRANGE(""17pNv02DXDpQT9S3w4-QeNym2QJy2BzMBqDXp-XtzJBM"", ""'SNG'!D3:D139""),0))"),15118730.39)</f>
        <v>15118730.390000001</v>
      </c>
      <c r="AC63" s="12">
        <f ca="1">IFERROR(__xludf.DUMMYFUNCTION("INDEX(IMPORTRANGE(""17pNv02DXDpQT9S3w4-QeNym2QJy2BzMBqDXp-XtzJBM"", ""'SNG'!BK3:BK139""),MATCH($D63,IMPORTRANGE(""17pNv02DXDpQT9S3w4-QeNym2QJy2BzMBqDXp-XtzJBM"", ""'SNG'!D3:D139""),0))"),15118730.39)</f>
        <v>15118730.390000001</v>
      </c>
      <c r="AD63" s="12">
        <f ca="1">IFERROR(__xludf.DUMMYFUNCTION("INDEX(IMPORTRANGE(""17pNv02DXDpQT9S3w4-QeNym2QJy2BzMBqDXp-XtzJBM"", ""'SNG'!BL3:BL139""),MATCH($D63,IMPORTRANGE(""17pNv02DXDpQT9S3w4-QeNym2QJy2BzMBqDXp-XtzJBM"", ""'SNG'!D3:D139""),0))"),15118730.39)</f>
        <v>15118730.390000001</v>
      </c>
      <c r="AE63" s="12">
        <f ca="1">IFERROR(__xludf.DUMMYFUNCTION("INDEX(IMPORTRANGE(""17pNv02DXDpQT9S3w4-QeNym2QJy2BzMBqDXp-XtzJBM"", ""'SNG'!BM3:BM139""),MATCH($D63,IMPORTRANGE(""17pNv02DXDpQT9S3w4-QeNym2QJy2BzMBqDXp-XtzJBM"", ""'SNG'!D3:D139""),0))"),15118730.39)</f>
        <v>15118730.390000001</v>
      </c>
    </row>
    <row r="64" spans="1:31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12">
        <v>14999166</v>
      </c>
      <c r="R64" s="12">
        <v>14999166</v>
      </c>
      <c r="S64" s="12">
        <f ca="1">IFERROR(__xludf.DUMMYFUNCTION("INDEX(IMPORTRANGE(""17pNv02DXDpQT9S3w4-QeNym2QJy2BzMBqDXp-XtzJBM"", ""'SNG'!BG3:BG139""),MATCH($D64,IMPORTRANGE(""17pNv02DXDpQT9S3w4-QeNym2QJy2BzMBqDXp-XtzJBM"", ""'SNG'!D3:D139""),0))"),14999166)</f>
        <v>14999166</v>
      </c>
      <c r="T64" s="13"/>
      <c r="U64" s="13"/>
      <c r="V64" s="13"/>
      <c r="W64" s="13"/>
      <c r="X64" s="13"/>
      <c r="Y64" s="13"/>
      <c r="Z64" s="12">
        <f ca="1">IFERROR(__xludf.DUMMYFUNCTION("INDEX(IMPORTRANGE(""17pNv02DXDpQT9S3w4-QeNym2QJy2BzMBqDXp-XtzJBM"", ""'SNG'!BH3:BH139""),MATCH($D64,IMPORTRANGE(""17pNv02DXDpQT9S3w4-QeNym2QJy2BzMBqDXp-XtzJBM"", ""'SNG'!D3:D139""),0))"),14999166)</f>
        <v>14999166</v>
      </c>
      <c r="AA64" s="12">
        <f ca="1">IFERROR(__xludf.DUMMYFUNCTION("INDEX(IMPORTRANGE(""17pNv02DXDpQT9S3w4-QeNym2QJy2BzMBqDXp-XtzJBM"", ""'SNG'!BI3:BI139""),MATCH($D64,IMPORTRANGE(""17pNv02DXDpQT9S3w4-QeNym2QJy2BzMBqDXp-XtzJBM"", ""'SNG'!D3:D139""),0))"),15118730.39)</f>
        <v>15118730.390000001</v>
      </c>
      <c r="AB64" s="12">
        <f ca="1">IFERROR(__xludf.DUMMYFUNCTION("INDEX(IMPORTRANGE(""17pNv02DXDpQT9S3w4-QeNym2QJy2BzMBqDXp-XtzJBM"", ""'SNG'!BJ3:BJ139""),MATCH($D64,IMPORTRANGE(""17pNv02DXDpQT9S3w4-QeNym2QJy2BzMBqDXp-XtzJBM"", ""'SNG'!D3:D139""),0))"),15118730.39)</f>
        <v>15118730.390000001</v>
      </c>
      <c r="AC64" s="12">
        <f ca="1">IFERROR(__xludf.DUMMYFUNCTION("INDEX(IMPORTRANGE(""17pNv02DXDpQT9S3w4-QeNym2QJy2BzMBqDXp-XtzJBM"", ""'SNG'!BK3:BK139""),MATCH($D64,IMPORTRANGE(""17pNv02DXDpQT9S3w4-QeNym2QJy2BzMBqDXp-XtzJBM"", ""'SNG'!D3:D139""),0))"),15118730.39)</f>
        <v>15118730.390000001</v>
      </c>
      <c r="AD64" s="12">
        <f ca="1">IFERROR(__xludf.DUMMYFUNCTION("INDEX(IMPORTRANGE(""17pNv02DXDpQT9S3w4-QeNym2QJy2BzMBqDXp-XtzJBM"", ""'SNG'!BL3:BL139""),MATCH($D64,IMPORTRANGE(""17pNv02DXDpQT9S3w4-QeNym2QJy2BzMBqDXp-XtzJBM"", ""'SNG'!D3:D139""),0))"),15118730.39)</f>
        <v>15118730.390000001</v>
      </c>
      <c r="AE64" s="12">
        <f ca="1">IFERROR(__xludf.DUMMYFUNCTION("INDEX(IMPORTRANGE(""17pNv02DXDpQT9S3w4-QeNym2QJy2BzMBqDXp-XtzJBM"", ""'SNG'!BM3:BM139""),MATCH($D64,IMPORTRANGE(""17pNv02DXDpQT9S3w4-QeNym2QJy2BzMBqDXp-XtzJBM"", ""'SNG'!D3:D139""),0))"),15118730.39)</f>
        <v>15118730.390000001</v>
      </c>
    </row>
    <row r="65" spans="1:31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14">
        <f t="shared" ref="Q65:R65" si="18">Q63/Q64</f>
        <v>1</v>
      </c>
      <c r="R65" s="14">
        <f t="shared" si="18"/>
        <v>1</v>
      </c>
      <c r="S65" s="14">
        <f ca="1">IFERROR(__xludf.DUMMYFUNCTION("INDEX(IMPORTRANGE(""17pNv02DXDpQT9S3w4-QeNym2QJy2BzMBqDXp-XtzJBM"", ""'SNG'!BG3:BG139""),MATCH($D65,IMPORTRANGE(""17pNv02DXDpQT9S3w4-QeNym2QJy2BzMBqDXp-XtzJBM"", ""'SNG'!D3:D139""),0))"),1)</f>
        <v>1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4">
        <f ca="1">IFERROR(__xludf.DUMMYFUNCTION("INDEX(IMPORTRANGE(""17pNv02DXDpQT9S3w4-QeNym2QJy2BzMBqDXp-XtzJBM"", ""'SNG'!BH3:BH139""),MATCH($D65,IMPORTRANGE(""17pNv02DXDpQT9S3w4-QeNym2QJy2BzMBqDXp-XtzJBM"", ""'SNG'!D3:D139""),0))"),1)</f>
        <v>1</v>
      </c>
      <c r="AA65" s="14">
        <f ca="1">IFERROR(__xludf.DUMMYFUNCTION("INDEX(IMPORTRANGE(""17pNv02DXDpQT9S3w4-QeNym2QJy2BzMBqDXp-XtzJBM"", ""'SNG'!BI3:BI139""),MATCH($D65,IMPORTRANGE(""17pNv02DXDpQT9S3w4-QeNym2QJy2BzMBqDXp-XtzJBM"", ""'SNG'!D3:D139""),0))"),1)</f>
        <v>1</v>
      </c>
      <c r="AB65" s="14">
        <f ca="1">IFERROR(__xludf.DUMMYFUNCTION("INDEX(IMPORTRANGE(""17pNv02DXDpQT9S3w4-QeNym2QJy2BzMBqDXp-XtzJBM"", ""'SNG'!BJ3:BJ139""),MATCH($D65,IMPORTRANGE(""17pNv02DXDpQT9S3w4-QeNym2QJy2BzMBqDXp-XtzJBM"", ""'SNG'!D3:D139""),0))"),1)</f>
        <v>1</v>
      </c>
      <c r="AC65" s="14">
        <f ca="1">IFERROR(__xludf.DUMMYFUNCTION("INDEX(IMPORTRANGE(""17pNv02DXDpQT9S3w4-QeNym2QJy2BzMBqDXp-XtzJBM"", ""'SNG'!BK3:BK139""),MATCH($D65,IMPORTRANGE(""17pNv02DXDpQT9S3w4-QeNym2QJy2BzMBqDXp-XtzJBM"", ""'SNG'!D3:D139""),0))"),1)</f>
        <v>1</v>
      </c>
      <c r="AD65" s="14">
        <f ca="1">IFERROR(__xludf.DUMMYFUNCTION("INDEX(IMPORTRANGE(""17pNv02DXDpQT9S3w4-QeNym2QJy2BzMBqDXp-XtzJBM"", ""'SNG'!BL3:BL139""),MATCH($D65,IMPORTRANGE(""17pNv02DXDpQT9S3w4-QeNym2QJy2BzMBqDXp-XtzJBM"", ""'SNG'!D3:D139""),0))"),1)</f>
        <v>1</v>
      </c>
      <c r="AE65" s="14">
        <f ca="1">IFERROR(__xludf.DUMMYFUNCTION("INDEX(IMPORTRANGE(""17pNv02DXDpQT9S3w4-QeNym2QJy2BzMBqDXp-XtzJBM"", ""'SNG'!BM3:BM139""),MATCH($D65,IMPORTRANGE(""17pNv02DXDpQT9S3w4-QeNym2QJy2BzMBqDXp-XtzJBM"", ""'SNG'!D3:D139""),0))"),1)</f>
        <v>1</v>
      </c>
    </row>
    <row r="66" spans="1:31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23">
        <v>82160.14</v>
      </c>
      <c r="R66" s="23">
        <v>82160.14</v>
      </c>
      <c r="S66" s="23">
        <f ca="1">IFERROR(__xludf.DUMMYFUNCTION("INDEX(IMPORTRANGE(""17pNv02DXDpQT9S3w4-QeNym2QJy2BzMBqDXp-XtzJBM"", ""'SNG'!BG3:BG139""),MATCH($D66,IMPORTRANGE(""17pNv02DXDpQT9S3w4-QeNym2QJy2BzMBqDXp-XtzJBM"", ""'SNG'!D3:D139""),0))"),82160.14)</f>
        <v>82160.14</v>
      </c>
      <c r="T66" s="13"/>
      <c r="U66" s="13"/>
      <c r="V66" s="13"/>
      <c r="W66" s="13"/>
      <c r="X66" s="13"/>
      <c r="Y66" s="13"/>
      <c r="Z66" s="23">
        <f ca="1">IFERROR(__xludf.DUMMYFUNCTION("INDEX(IMPORTRANGE(""17pNv02DXDpQT9S3w4-QeNym2QJy2BzMBqDXp-XtzJBM"", ""'SNG'!BH3:BH139""),MATCH($D66,IMPORTRANGE(""17pNv02DXDpQT9S3w4-QeNym2QJy2BzMBqDXp-XtzJBM"", ""'SNG'!D3:D139""),0))"),82160.14)</f>
        <v>82160.14</v>
      </c>
      <c r="AA66" s="23">
        <f ca="1">IFERROR(__xludf.DUMMYFUNCTION("INDEX(IMPORTRANGE(""17pNv02DXDpQT9S3w4-QeNym2QJy2BzMBqDXp-XtzJBM"", ""'SNG'!BI3:BI139""),MATCH($D66,IMPORTRANGE(""17pNv02DXDpQT9S3w4-QeNym2QJy2BzMBqDXp-XtzJBM"", ""'SNG'!D3:D139""),0))"),82819.04)</f>
        <v>82819.039999999994</v>
      </c>
      <c r="AB66" s="23">
        <f ca="1">IFERROR(__xludf.DUMMYFUNCTION("INDEX(IMPORTRANGE(""17pNv02DXDpQT9S3w4-QeNym2QJy2BzMBqDXp-XtzJBM"", ""'SNG'!BJ3:BJ139""),MATCH($D66,IMPORTRANGE(""17pNv02DXDpQT9S3w4-QeNym2QJy2BzMBqDXp-XtzJBM"", ""'SNG'!D3:D139""),0))"),83583.64)</f>
        <v>83583.64</v>
      </c>
      <c r="AC66" s="23">
        <f ca="1">IFERROR(__xludf.DUMMYFUNCTION("INDEX(IMPORTRANGE(""17pNv02DXDpQT9S3w4-QeNym2QJy2BzMBqDXp-XtzJBM"", ""'SNG'!BK3:BK139""),MATCH($D66,IMPORTRANGE(""17pNv02DXDpQT9S3w4-QeNym2QJy2BzMBqDXp-XtzJBM"", ""'SNG'!D3:D139""),0))"),61196.36)</f>
        <v>61196.36</v>
      </c>
      <c r="AD66" s="23">
        <f ca="1">IFERROR(__xludf.DUMMYFUNCTION("INDEX(IMPORTRANGE(""17pNv02DXDpQT9S3w4-QeNym2QJy2BzMBqDXp-XtzJBM"", ""'SNG'!BL3:BL139""),MATCH($D66,IMPORTRANGE(""17pNv02DXDpQT9S3w4-QeNym2QJy2BzMBqDXp-XtzJBM"", ""'SNG'!D3:D139""),0))"),62455.76)</f>
        <v>62455.76</v>
      </c>
      <c r="AE66" s="23">
        <f ca="1">IFERROR(__xludf.DUMMYFUNCTION("INDEX(IMPORTRANGE(""17pNv02DXDpQT9S3w4-QeNym2QJy2BzMBqDXp-XtzJBM"", ""'SNG'!BM3:BM139""),MATCH($D66,IMPORTRANGE(""17pNv02DXDpQT9S3w4-QeNym2QJy2BzMBqDXp-XtzJBM"", ""'SNG'!D3:D139""),0))"),62455.76)</f>
        <v>62455.76</v>
      </c>
    </row>
    <row r="67" spans="1:31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23">
        <v>136818.97</v>
      </c>
      <c r="R67" s="23">
        <v>136818.97</v>
      </c>
      <c r="S67" s="23">
        <f ca="1">IFERROR(__xludf.DUMMYFUNCTION("INDEX(IMPORTRANGE(""17pNv02DXDpQT9S3w4-QeNym2QJy2BzMBqDXp-XtzJBM"", ""'SNG'!BG3:BG139""),MATCH($D67,IMPORTRANGE(""17pNv02DXDpQT9S3w4-QeNym2QJy2BzMBqDXp-XtzJBM"", ""'SNG'!D3:D139""),0))"),136818.97)</f>
        <v>136818.97</v>
      </c>
      <c r="T67" s="13"/>
      <c r="U67" s="13"/>
      <c r="V67" s="13"/>
      <c r="W67" s="13"/>
      <c r="X67" s="13"/>
      <c r="Y67" s="13"/>
      <c r="Z67" s="23">
        <f ca="1">IFERROR(__xludf.DUMMYFUNCTION("INDEX(IMPORTRANGE(""17pNv02DXDpQT9S3w4-QeNym2QJy2BzMBqDXp-XtzJBM"", ""'SNG'!BH3:BH139""),MATCH($D67,IMPORTRANGE(""17pNv02DXDpQT9S3w4-QeNym2QJy2BzMBqDXp-XtzJBM"", ""'SNG'!D3:D139""),0))"),136818.97)</f>
        <v>136818.97</v>
      </c>
      <c r="AA67" s="23">
        <f ca="1">IFERROR(__xludf.DUMMYFUNCTION("INDEX(IMPORTRANGE(""17pNv02DXDpQT9S3w4-QeNym2QJy2BzMBqDXp-XtzJBM"", ""'SNG'!BI3:BI139""),MATCH($D67,IMPORTRANGE(""17pNv02DXDpQT9S3w4-QeNym2QJy2BzMBqDXp-XtzJBM"", ""'SNG'!D3:D139""),0))"),136030)</f>
        <v>136030</v>
      </c>
      <c r="AB67" s="23">
        <f ca="1">IFERROR(__xludf.DUMMYFUNCTION("INDEX(IMPORTRANGE(""17pNv02DXDpQT9S3w4-QeNym2QJy2BzMBqDXp-XtzJBM"", ""'SNG'!BJ3:BJ139""),MATCH($D67,IMPORTRANGE(""17pNv02DXDpQT9S3w4-QeNym2QJy2BzMBqDXp-XtzJBM"", ""'SNG'!D3:D139""),0))"),136794.6)</f>
        <v>136794.6</v>
      </c>
      <c r="AC67" s="23">
        <f ca="1">IFERROR(__xludf.DUMMYFUNCTION("INDEX(IMPORTRANGE(""17pNv02DXDpQT9S3w4-QeNym2QJy2BzMBqDXp-XtzJBM"", ""'SNG'!BK3:BK139""),MATCH($D67,IMPORTRANGE(""17pNv02DXDpQT9S3w4-QeNym2QJy2BzMBqDXp-XtzJBM"", ""'SNG'!D3:D139""),0))"),82428.64)</f>
        <v>82428.639999999999</v>
      </c>
      <c r="AD67" s="23">
        <f ca="1">IFERROR(__xludf.DUMMYFUNCTION("INDEX(IMPORTRANGE(""17pNv02DXDpQT9S3w4-QeNym2QJy2BzMBqDXp-XtzJBM"", ""'SNG'!BL3:BL139""),MATCH($D67,IMPORTRANGE(""17pNv02DXDpQT9S3w4-QeNym2QJy2BzMBqDXp-XtzJBM"", ""'SNG'!D3:D139""),0))"),81169.24)</f>
        <v>81169.240000000005</v>
      </c>
      <c r="AE67" s="23">
        <f ca="1">IFERROR(__xludf.DUMMYFUNCTION("INDEX(IMPORTRANGE(""17pNv02DXDpQT9S3w4-QeNym2QJy2BzMBqDXp-XtzJBM"", ""'SNG'!BM3:BM139""),MATCH($D67,IMPORTRANGE(""17pNv02DXDpQT9S3w4-QeNym2QJy2BzMBqDXp-XtzJBM"", ""'SNG'!D3:D139""),0))"),81169.24)</f>
        <v>81169.240000000005</v>
      </c>
    </row>
    <row r="68" spans="1:31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15">
        <f t="shared" ref="Q68:R68" si="19">Q66/Q67</f>
        <v>0.60050254727103991</v>
      </c>
      <c r="R68" s="15">
        <f t="shared" si="19"/>
        <v>0.60050254727103991</v>
      </c>
      <c r="S68" s="15">
        <f ca="1">IFERROR(__xludf.DUMMYFUNCTION("INDEX(IMPORTRANGE(""17pNv02DXDpQT9S3w4-QeNym2QJy2BzMBqDXp-XtzJBM"", ""'SNG'!BG3:BG139""),MATCH($D68,IMPORTRANGE(""17pNv02DXDpQT9S3w4-QeNym2QJy2BzMBqDXp-XtzJBM"", ""'SNG'!D3:D139""),0))"),0.600502547271039)</f>
        <v>0.60050254727103902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""'SNG'!BH3:BH139""),MATCH($D68,IMPORTRANGE(""17pNv02DXDpQT9S3w4-QeNym2QJy2BzMBqDXp-XtzJBM"", ""'SNG'!D3:D139""),0))"),0.600502547271039)</f>
        <v>0.60050254727103902</v>
      </c>
      <c r="AA68" s="15">
        <f ca="1">IFERROR(__xludf.DUMMYFUNCTION("INDEX(IMPORTRANGE(""17pNv02DXDpQT9S3w4-QeNym2QJy2BzMBqDXp-XtzJBM"", ""'SNG'!BI3:BI139""),MATCH($D68,IMPORTRANGE(""17pNv02DXDpQT9S3w4-QeNym2QJy2BzMBqDXp-XtzJBM"", ""'SNG'!D3:D139""),0))"),0.608829228846577)</f>
        <v>0.60882922884657698</v>
      </c>
      <c r="AB68" s="15">
        <f ca="1">IFERROR(__xludf.DUMMYFUNCTION("INDEX(IMPORTRANGE(""17pNv02DXDpQT9S3w4-QeNym2QJy2BzMBqDXp-XtzJBM"", ""'SNG'!BJ3:BJ139""),MATCH($D68,IMPORTRANGE(""17pNv02DXDpQT9S3w4-QeNym2QJy2BzMBqDXp-XtzJBM"", ""'SNG'!D3:D139""),0))"),0.611015639506237)</f>
        <v>0.61101563950623705</v>
      </c>
      <c r="AC68" s="15">
        <f ca="1">IFERROR(__xludf.DUMMYFUNCTION("INDEX(IMPORTRANGE(""17pNv02DXDpQT9S3w4-QeNym2QJy2BzMBqDXp-XtzJBM"", ""'SNG'!BK3:BK139""),MATCH($D68,IMPORTRANGE(""17pNv02DXDpQT9S3w4-QeNym2QJy2BzMBqDXp-XtzJBM"", ""'SNG'!D3:D139""),0))"),0.742416228145945)</f>
        <v>0.74241622814594499</v>
      </c>
      <c r="AD68" s="15">
        <f ca="1">IFERROR(__xludf.DUMMYFUNCTION("INDEX(IMPORTRANGE(""17pNv02DXDpQT9S3w4-QeNym2QJy2BzMBqDXp-XtzJBM"", ""'SNG'!BL3:BL139""),MATCH($D68,IMPORTRANGE(""17pNv02DXDpQT9S3w4-QeNym2QJy2BzMBqDXp-XtzJBM"", ""'SNG'!D3:D139""),0))"),0.769451087628761)</f>
        <v>0.76945108762876102</v>
      </c>
      <c r="AE68" s="15">
        <f ca="1">IFERROR(__xludf.DUMMYFUNCTION("INDEX(IMPORTRANGE(""17pNv02DXDpQT9S3w4-QeNym2QJy2BzMBqDXp-XtzJBM"", ""'SNG'!BM3:BM139""),MATCH($D68,IMPORTRANGE(""17pNv02DXDpQT9S3w4-QeNym2QJy2BzMBqDXp-XtzJBM"", ""'SNG'!D3:D139""),0))"),0.769451087628761)</f>
        <v>0.76945108762876102</v>
      </c>
    </row>
    <row r="69" spans="1:31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3">
        <v>129.41</v>
      </c>
      <c r="R69" s="23">
        <v>258.02999999999997</v>
      </c>
      <c r="S69" s="23">
        <f ca="1">IFERROR(__xludf.DUMMYFUNCTION("INDEX(IMPORTRANGE(""17pNv02DXDpQT9S3w4-QeNym2QJy2BzMBqDXp-XtzJBM"", ""'SNG'!BG3:BG139""),MATCH($D69,IMPORTRANGE(""17pNv02DXDpQT9S3w4-QeNym2QJy2BzMBqDXp-XtzJBM"", ""'SNG'!D3:D139""),0))"),258.03)</f>
        <v>258.02999999999997</v>
      </c>
      <c r="T69" s="1"/>
      <c r="U69" s="1"/>
      <c r="V69" s="1"/>
      <c r="W69" s="1"/>
      <c r="X69" s="1"/>
      <c r="Y69" s="1"/>
      <c r="Z69" s="23">
        <f ca="1">IFERROR(__xludf.DUMMYFUNCTION("INDEX(IMPORTRANGE(""17pNv02DXDpQT9S3w4-QeNym2QJy2BzMBqDXp-XtzJBM"", ""'SNG'!BH3:BH139""),MATCH($D69,IMPORTRANGE(""17pNv02DXDpQT9S3w4-QeNym2QJy2BzMBqDXp-XtzJBM"", ""'SNG'!D3:D139""),0))"),77.84)</f>
        <v>77.84</v>
      </c>
      <c r="AA69" s="23">
        <f ca="1">IFERROR(__xludf.DUMMYFUNCTION("INDEX(IMPORTRANGE(""17pNv02DXDpQT9S3w4-QeNym2QJy2BzMBqDXp-XtzJBM"", ""'SNG'!BI3:BI139""),MATCH($D69,IMPORTRANGE(""17pNv02DXDpQT9S3w4-QeNym2QJy2BzMBqDXp-XtzJBM"", ""'SNG'!D3:D139""),0))"),191.519999999999)</f>
        <v>191.51999999999899</v>
      </c>
      <c r="AB69" s="23">
        <f ca="1">IFERROR(__xludf.DUMMYFUNCTION("INDEX(IMPORTRANGE(""17pNv02DXDpQT9S3w4-QeNym2QJy2BzMBqDXp-XtzJBM"", ""'SNG'!BJ3:BJ139""),MATCH($D69,IMPORTRANGE(""17pNv02DXDpQT9S3w4-QeNym2QJy2BzMBqDXp-XtzJBM"", ""'SNG'!D3:D139""),0))"),181.764)</f>
        <v>181.76400000000001</v>
      </c>
      <c r="AC69" s="23">
        <f ca="1">IFERROR(__xludf.DUMMYFUNCTION("INDEX(IMPORTRANGE(""17pNv02DXDpQT9S3w4-QeNym2QJy2BzMBqDXp-XtzJBM"", ""'SNG'!BK3:BK139""),MATCH($D69,IMPORTRANGE(""17pNv02DXDpQT9S3w4-QeNym2QJy2BzMBqDXp-XtzJBM"", ""'SNG'!D3:D139""),0))"),456.389)</f>
        <v>456.38900000000001</v>
      </c>
      <c r="AD69" s="23">
        <f ca="1">IFERROR(__xludf.DUMMYFUNCTION("INDEX(IMPORTRANGE(""17pNv02DXDpQT9S3w4-QeNym2QJy2BzMBqDXp-XtzJBM"", ""'SNG'!BL3:BL139""),MATCH($D69,IMPORTRANGE(""17pNv02DXDpQT9S3w4-QeNym2QJy2BzMBqDXp-XtzJBM"", ""'SNG'!D3:D139""),0))"),128.8)</f>
        <v>128.80000000000001</v>
      </c>
      <c r="AE69" s="23">
        <f ca="1">IFERROR(__xludf.DUMMYFUNCTION("INDEX(IMPORTRANGE(""17pNv02DXDpQT9S3w4-QeNym2QJy2BzMBqDXp-XtzJBM"", ""'SNG'!BM3:BM139""),MATCH($D69,IMPORTRANGE(""17pNv02DXDpQT9S3w4-QeNym2QJy2BzMBqDXp-XtzJBM"", ""'SNG'!D3:D139""),0))"),246.54)</f>
        <v>246.54</v>
      </c>
    </row>
    <row r="70" spans="1:31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</v>
      </c>
      <c r="R70" s="23">
        <v>0</v>
      </c>
      <c r="S70" s="23">
        <f ca="1">IFERROR(__xludf.DUMMYFUNCTION("INDEX(IMPORTRANGE(""17pNv02DXDpQT9S3w4-QeNym2QJy2BzMBqDXp-XtzJBM"", ""'SNG'!BG3:BG139""),MATCH($D70,IMPORTRANGE(""17pNv02DXDpQT9S3w4-QeNym2QJy2BzMBqDXp-XtzJBM"", ""'SNG'!D3:D139""),0))"),0)</f>
        <v>0</v>
      </c>
      <c r="T70" s="1"/>
      <c r="U70" s="1"/>
      <c r="V70" s="1"/>
      <c r="W70" s="1"/>
      <c r="X70" s="1"/>
      <c r="Y70" s="1"/>
      <c r="Z70" s="23">
        <f ca="1">IFERROR(__xludf.DUMMYFUNCTION("INDEX(IMPORTRANGE(""17pNv02DXDpQT9S3w4-QeNym2QJy2BzMBqDXp-XtzJBM"", ""'SNG'!BH3:BH139""),MATCH($D70,IMPORTRANGE(""17pNv02DXDpQT9S3w4-QeNym2QJy2BzMBqDXp-XtzJBM"", ""'SNG'!D3:D139""),0))"),0)</f>
        <v>0</v>
      </c>
      <c r="AA70" s="23">
        <f ca="1">IFERROR(__xludf.DUMMYFUNCTION("INDEX(IMPORTRANGE(""17pNv02DXDpQT9S3w4-QeNym2QJy2BzMBqDXp-XtzJBM"", ""'SNG'!BI3:BI139""),MATCH($D70,IMPORTRANGE(""17pNv02DXDpQT9S3w4-QeNym2QJy2BzMBqDXp-XtzJBM"", ""'SNG'!D3:D139""),0))"),21)</f>
        <v>21</v>
      </c>
      <c r="AB70" s="23">
        <f ca="1">IFERROR(__xludf.DUMMYFUNCTION("INDEX(IMPORTRANGE(""17pNv02DXDpQT9S3w4-QeNym2QJy2BzMBqDXp-XtzJBM"", ""'SNG'!BJ3:BJ139""),MATCH($D70,IMPORTRANGE(""17pNv02DXDpQT9S3w4-QeNym2QJy2BzMBqDXp-XtzJBM"", ""'SNG'!D3:D139""),0))"),1.4375)</f>
        <v>1.4375</v>
      </c>
      <c r="AC70" s="23">
        <f ca="1">IFERROR(__xludf.DUMMYFUNCTION("INDEX(IMPORTRANGE(""17pNv02DXDpQT9S3w4-QeNym2QJy2BzMBqDXp-XtzJBM"", ""'SNG'!BK3:BK139""),MATCH($D70,IMPORTRANGE(""17pNv02DXDpQT9S3w4-QeNym2QJy2BzMBqDXp-XtzJBM"", ""'SNG'!D3:D139""),0))"),1.5625)</f>
        <v>1.5625</v>
      </c>
      <c r="AD70" s="23">
        <f ca="1">IFERROR(__xludf.DUMMYFUNCTION("INDEX(IMPORTRANGE(""17pNv02DXDpQT9S3w4-QeNym2QJy2BzMBqDXp-XtzJBM"", ""'SNG'!BL3:BL139""),MATCH($D70,IMPORTRANGE(""17pNv02DXDpQT9S3w4-QeNym2QJy2BzMBqDXp-XtzJBM"", ""'SNG'!D3:D139""),0))"),15)</f>
        <v>15</v>
      </c>
      <c r="AE70" s="23">
        <f ca="1">IFERROR(__xludf.DUMMYFUNCTION("INDEX(IMPORTRANGE(""17pNv02DXDpQT9S3w4-QeNym2QJy2BzMBqDXp-XtzJBM"", ""'SNG'!BM3:BM139""),MATCH($D70,IMPORTRANGE(""17pNv02DXDpQT9S3w4-QeNym2QJy2BzMBqDXp-XtzJBM"", ""'SNG'!D3:D139""),0))"),16.2)</f>
        <v>16.2</v>
      </c>
    </row>
    <row r="71" spans="1:31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12">
        <v>0</v>
      </c>
      <c r="R71" s="12">
        <v>0</v>
      </c>
      <c r="S71" s="12" t="str">
        <f ca="1">IFERROR(__xludf.DUMMYFUNCTION("INDEX(IMPORTRANGE(""17pNv02DXDpQT9S3w4-QeNym2QJy2BzMBqDXp-XtzJBM"", ""'SNG'!BG3:BG139""),MATCH($D71,IMPORTRANGE(""17pNv02DXDpQT9S3w4-QeNym2QJy2BzMBqDXp-XtzJBM"", ""'SNG'!D3:D139""),0))"),"")</f>
        <v/>
      </c>
      <c r="T71" s="13"/>
      <c r="U71" s="13"/>
      <c r="V71" s="13"/>
      <c r="W71" s="13"/>
      <c r="X71" s="13"/>
      <c r="Y71" s="13"/>
      <c r="Z71" s="12">
        <f ca="1">IFERROR(__xludf.DUMMYFUNCTION("INDEX(IMPORTRANGE(""17pNv02DXDpQT9S3w4-QeNym2QJy2BzMBqDXp-XtzJBM"", ""'SNG'!BH3:BH139""),MATCH($D71,IMPORTRANGE(""17pNv02DXDpQT9S3w4-QeNym2QJy2BzMBqDXp-XtzJBM"", ""'SNG'!D3:D139""),0))"),0)</f>
        <v>0</v>
      </c>
      <c r="AA71" s="12" t="str">
        <f ca="1">IFERROR(__xludf.DUMMYFUNCTION("INDEX(IMPORTRANGE(""17pNv02DXDpQT9S3w4-QeNym2QJy2BzMBqDXp-XtzJBM"", ""'SNG'!BI3:BI139""),MATCH($D71,IMPORTRANGE(""17pNv02DXDpQT9S3w4-QeNym2QJy2BzMBqDXp-XtzJBM"", ""'SNG'!D3:D139""),0))"),"")</f>
        <v/>
      </c>
      <c r="AB71" s="12" t="str">
        <f ca="1">IFERROR(__xludf.DUMMYFUNCTION("INDEX(IMPORTRANGE(""17pNv02DXDpQT9S3w4-QeNym2QJy2BzMBqDXp-XtzJBM"", ""'SNG'!BJ3:BJ139""),MATCH($D71,IMPORTRANGE(""17pNv02DXDpQT9S3w4-QeNym2QJy2BzMBqDXp-XtzJBM"", ""'SNG'!D3:D139""),0))"),"")</f>
        <v/>
      </c>
      <c r="AC71" s="12" t="str">
        <f ca="1">IFERROR(__xludf.DUMMYFUNCTION("INDEX(IMPORTRANGE(""17pNv02DXDpQT9S3w4-QeNym2QJy2BzMBqDXp-XtzJBM"", ""'SNG'!BK3:BK139""),MATCH($D71,IMPORTRANGE(""17pNv02DXDpQT9S3w4-QeNym2QJy2BzMBqDXp-XtzJBM"", ""'SNG'!D3:D139""),0))"),"")</f>
        <v/>
      </c>
      <c r="AD71" s="315" t="str">
        <f ca="1">IFERROR(__xludf.DUMMYFUNCTION("INDEX(IMPORTRANGE(""17pNv02DXDpQT9S3w4-QeNym2QJy2BzMBqDXp-XtzJBM"", ""'SNG'!BL3:BL139""),MATCH($D71,IMPORTRANGE(""17pNv02DXDpQT9S3w4-QeNym2QJy2BzMBqDXp-XtzJBM"", ""'SNG'!D3:D139""),0))"),"https://transparencia.sn.gob.mx/Secretaria/Documento/PDF/19709")</f>
        <v>https://transparencia.sn.gob.mx/Secretaria/Documento/PDF/19709</v>
      </c>
      <c r="AE71" s="315" t="str">
        <f ca="1">IFERROR(__xludf.DUMMYFUNCTION("INDEX(IMPORTRANGE(""17pNv02DXDpQT9S3w4-QeNym2QJy2BzMBqDXp-XtzJBM"", ""'SNG'!BM3:BM139""),MATCH($D71,IMPORTRANGE(""17pNv02DXDpQT9S3w4-QeNym2QJy2BzMBqDXp-XtzJBM"", ""'SNG'!D3:D139""),0))"),"https://transparencia.sn.gob.mx/sysdocumento/Download?id=24875&amp;file=Mtto correctivo y preventivo drenaje pluvial....xlsx")</f>
        <v>https://transparencia.sn.gob.mx/sysdocumento/Download?id=24875&amp;file=Mtto correctivo y preventivo drenaje pluvial....xlsx</v>
      </c>
    </row>
    <row r="72" spans="1:31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 t="shared" ref="Q72:R72" si="20">Q69+Q70</f>
        <v>129.41</v>
      </c>
      <c r="R72" s="23">
        <f t="shared" si="20"/>
        <v>258.02999999999997</v>
      </c>
      <c r="S72" s="23">
        <f ca="1">IFERROR(__xludf.DUMMYFUNCTION("INDEX(IMPORTRANGE(""17pNv02DXDpQT9S3w4-QeNym2QJy2BzMBqDXp-XtzJBM"", ""'SNG'!BG3:BG139""),MATCH($D72,IMPORTRANGE(""17pNv02DXDpQT9S3w4-QeNym2QJy2BzMBqDXp-XtzJBM"", ""'SNG'!D3:D139""),0))"),258.03)</f>
        <v>258.02999999999997</v>
      </c>
      <c r="T72" s="4">
        <v>285.7</v>
      </c>
      <c r="U72" s="4">
        <v>142.80000000000001</v>
      </c>
      <c r="V72" s="4">
        <v>285.7</v>
      </c>
      <c r="W72" s="4">
        <v>142.80000000000001</v>
      </c>
      <c r="X72" s="4">
        <f>(285.7-W72)/6*5+W72</f>
        <v>261.88333333333333</v>
      </c>
      <c r="Y72" s="4">
        <v>857.08</v>
      </c>
      <c r="Z72" s="24">
        <f ca="1">IFERROR(__xludf.DUMMYFUNCTION("INDEX(IMPORTRANGE(""17pNv02DXDpQT9S3w4-QeNym2QJy2BzMBqDXp-XtzJBM"", ""'SNG'!BH3:BH139""),MATCH($D72,IMPORTRANGE(""17pNv02DXDpQT9S3w4-QeNym2QJy2BzMBqDXp-XtzJBM"", ""'SNG'!D3:D139""),0))"),77.84)</f>
        <v>77.84</v>
      </c>
      <c r="AA72" s="24">
        <f ca="1">IFERROR(__xludf.DUMMYFUNCTION("INDEX(IMPORTRANGE(""17pNv02DXDpQT9S3w4-QeNym2QJy2BzMBqDXp-XtzJBM"", ""'SNG'!BI3:BI139""),MATCH($D72,IMPORTRANGE(""17pNv02DXDpQT9S3w4-QeNym2QJy2BzMBqDXp-XtzJBM"", ""'SNG'!D3:D139""),0))"),212.519999999999)</f>
        <v>212.51999999999899</v>
      </c>
      <c r="AB72" s="24">
        <f ca="1">IFERROR(__xludf.DUMMYFUNCTION("INDEX(IMPORTRANGE(""17pNv02DXDpQT9S3w4-QeNym2QJy2BzMBqDXp-XtzJBM"", ""'SNG'!BJ3:BJ139""),MATCH($D72,IMPORTRANGE(""17pNv02DXDpQT9S3w4-QeNym2QJy2BzMBqDXp-XtzJBM"", ""'SNG'!D3:D139""),0))"),183.2015)</f>
        <v>183.20150000000001</v>
      </c>
      <c r="AC72" s="24">
        <f ca="1">IFERROR(__xludf.DUMMYFUNCTION("INDEX(IMPORTRANGE(""17pNv02DXDpQT9S3w4-QeNym2QJy2BzMBqDXp-XtzJBM"", ""'SNG'!BK3:BK139""),MATCH($D72,IMPORTRANGE(""17pNv02DXDpQT9S3w4-QeNym2QJy2BzMBqDXp-XtzJBM"", ""'SNG'!D3:D139""),0))"),457.9515)</f>
        <v>457.95150000000001</v>
      </c>
      <c r="AD72" s="24">
        <f ca="1">IFERROR(__xludf.DUMMYFUNCTION("INDEX(IMPORTRANGE(""17pNv02DXDpQT9S3w4-QeNym2QJy2BzMBqDXp-XtzJBM"", ""'SNG'!BL3:BL139""),MATCH($D72,IMPORTRANGE(""17pNv02DXDpQT9S3w4-QeNym2QJy2BzMBqDXp-XtzJBM"", ""'SNG'!D3:D139""),0))"),143.8)</f>
        <v>143.80000000000001</v>
      </c>
      <c r="AE72" s="24">
        <f ca="1">IFERROR(__xludf.DUMMYFUNCTION("INDEX(IMPORTRANGE(""17pNv02DXDpQT9S3w4-QeNym2QJy2BzMBqDXp-XtzJBM"", ""'SNG'!BM3:BM139""),MATCH($D72,IMPORTRANGE(""17pNv02DXDpQT9S3w4-QeNym2QJy2BzMBqDXp-XtzJBM"", ""'SNG'!D3:D139""),0))"),262.74)</f>
        <v>262.74</v>
      </c>
    </row>
    <row r="73" spans="1:31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3.2</v>
      </c>
      <c r="R73" s="23">
        <v>3.2</v>
      </c>
      <c r="S73" s="23">
        <f ca="1">IFERROR(__xludf.DUMMYFUNCTION("INDEX(IMPORTRANGE(""17pNv02DXDpQT9S3w4-QeNym2QJy2BzMBqDXp-XtzJBM"", ""'SNG'!BG3:BG139""),MATCH($D73,IMPORTRANGE(""17pNv02DXDpQT9S3w4-QeNym2QJy2BzMBqDXp-XtzJBM"", ""'SNG'!D3:D139""),0))"),1.8)</f>
        <v>1.8</v>
      </c>
      <c r="T73" s="2">
        <v>7.9</v>
      </c>
      <c r="U73" s="2">
        <v>3.2</v>
      </c>
      <c r="V73" s="2">
        <v>3.2</v>
      </c>
      <c r="W73" s="2">
        <v>13.5</v>
      </c>
      <c r="X73" s="23">
        <v>22.1</v>
      </c>
      <c r="Y73" s="2">
        <v>25.5</v>
      </c>
      <c r="Z73" s="23">
        <f ca="1">IFERROR(__xludf.DUMMYFUNCTION("INDEX(IMPORTRANGE(""17pNv02DXDpQT9S3w4-QeNym2QJy2BzMBqDXp-XtzJBM"", ""'SNG'!BH3:BH139""),MATCH($D73,IMPORTRANGE(""17pNv02DXDpQT9S3w4-QeNym2QJy2BzMBqDXp-XtzJBM"", ""'SNG'!D3:D139""),0))"),3.2)</f>
        <v>3.2</v>
      </c>
      <c r="AA73" s="23">
        <f ca="1">IFERROR(__xludf.DUMMYFUNCTION("INDEX(IMPORTRANGE(""17pNv02DXDpQT9S3w4-QeNym2QJy2BzMBqDXp-XtzJBM"", ""'SNG'!BI3:BI139""),MATCH($D73,IMPORTRANGE(""17pNv02DXDpQT9S3w4-QeNym2QJy2BzMBqDXp-XtzJBM"", ""'SNG'!D3:D139""),0))"),23.9)</f>
        <v>23.9</v>
      </c>
      <c r="AB73" s="23">
        <f ca="1">IFERROR(__xludf.DUMMYFUNCTION("INDEX(IMPORTRANGE(""17pNv02DXDpQT9S3w4-QeNym2QJy2BzMBqDXp-XtzJBM"", ""'SNG'!BJ3:BJ139""),MATCH($D73,IMPORTRANGE(""17pNv02DXDpQT9S3w4-QeNym2QJy2BzMBqDXp-XtzJBM"", ""'SNG'!D3:D139""),0))"),1.4)</f>
        <v>1.4</v>
      </c>
      <c r="AC73" s="23">
        <f ca="1">IFERROR(__xludf.DUMMYFUNCTION("INDEX(IMPORTRANGE(""17pNv02DXDpQT9S3w4-QeNym2QJy2BzMBqDXp-XtzJBM"", ""'SNG'!BK3:BK139""),MATCH($D73,IMPORTRANGE(""17pNv02DXDpQT9S3w4-QeNym2QJy2BzMBqDXp-XtzJBM"", ""'SNG'!D3:D139""),0))"),0)</f>
        <v>0</v>
      </c>
      <c r="AD73" s="23">
        <f ca="1">IFERROR(__xludf.DUMMYFUNCTION("INDEX(IMPORTRANGE(""17pNv02DXDpQT9S3w4-QeNym2QJy2BzMBqDXp-XtzJBM"", ""'SNG'!BL3:BL139""),MATCH($D73,IMPORTRANGE(""17pNv02DXDpQT9S3w4-QeNym2QJy2BzMBqDXp-XtzJBM"", ""'SNG'!D3:D139""),0))"),2)</f>
        <v>2</v>
      </c>
      <c r="AE73" s="23">
        <f ca="1">IFERROR(__xludf.DUMMYFUNCTION("INDEX(IMPORTRANGE(""17pNv02DXDpQT9S3w4-QeNym2QJy2BzMBqDXp-XtzJBM"", ""'SNG'!BM3:BM139""),MATCH($D73,IMPORTRANGE(""17pNv02DXDpQT9S3w4-QeNym2QJy2BzMBqDXp-XtzJBM"", ""'SNG'!D3:D139""),0))"),0)</f>
        <v>0</v>
      </c>
    </row>
    <row r="74" spans="1:31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 t="str">
        <f ca="1">IFERROR(__xludf.DUMMYFUNCTION("INDEX(IMPORTRANGE(""17pNv02DXDpQT9S3w4-QeNym2QJy2BzMBqDXp-XtzJBM"", ""'SNG'!BG3:BG139""),MATCH($D74,IMPORTRANGE(""17pNv02DXDpQT9S3w4-QeNym2QJy2BzMBqDXp-XtzJBM"", ""'SNG'!D3:D139""),0))"),"")</f>
        <v/>
      </c>
      <c r="T74" s="1"/>
      <c r="U74" s="1"/>
      <c r="V74" s="1"/>
      <c r="W74" s="1"/>
      <c r="X74" s="1"/>
      <c r="Y74" s="1"/>
      <c r="Z74" s="12">
        <f ca="1">IFERROR(__xludf.DUMMYFUNCTION("INDEX(IMPORTRANGE(""17pNv02DXDpQT9S3w4-QeNym2QJy2BzMBqDXp-XtzJBM"", ""'SNG'!BH3:BH139""),MATCH($D74,IMPORTRANGE(""17pNv02DXDpQT9S3w4-QeNym2QJy2BzMBqDXp-XtzJBM"", ""'SNG'!D3:D139""),0))"),0)</f>
        <v>0</v>
      </c>
      <c r="AA74" s="12">
        <f ca="1">IFERROR(__xludf.DUMMYFUNCTION("INDEX(IMPORTRANGE(""17pNv02DXDpQT9S3w4-QeNym2QJy2BzMBqDXp-XtzJBM"", ""'SNG'!BI3:BI139""),MATCH($D74,IMPORTRANGE(""17pNv02DXDpQT9S3w4-QeNym2QJy2BzMBqDXp-XtzJBM"", ""'SNG'!D3:D139""),0))"),0)</f>
        <v>0</v>
      </c>
      <c r="AB74" s="12">
        <f ca="1">IFERROR(__xludf.DUMMYFUNCTION("INDEX(IMPORTRANGE(""17pNv02DXDpQT9S3w4-QeNym2QJy2BzMBqDXp-XtzJBM"", ""'SNG'!BJ3:BJ139""),MATCH($D74,IMPORTRANGE(""17pNv02DXDpQT9S3w4-QeNym2QJy2BzMBqDXp-XtzJBM"", ""'SNG'!D3:D139""),0))"),0)</f>
        <v>0</v>
      </c>
      <c r="AC74" s="12">
        <f ca="1">IFERROR(__xludf.DUMMYFUNCTION("INDEX(IMPORTRANGE(""17pNv02DXDpQT9S3w4-QeNym2QJy2BzMBqDXp-XtzJBM"", ""'SNG'!BK3:BK139""),MATCH($D74,IMPORTRANGE(""17pNv02DXDpQT9S3w4-QeNym2QJy2BzMBqDXp-XtzJBM"", ""'SNG'!D3:D139""),0))"),0)</f>
        <v>0</v>
      </c>
      <c r="AD74" s="12">
        <f ca="1">IFERROR(__xludf.DUMMYFUNCTION("INDEX(IMPORTRANGE(""17pNv02DXDpQT9S3w4-QeNym2QJy2BzMBqDXp-XtzJBM"", ""'SNG'!BL3:BL139""),MATCH($D74,IMPORTRANGE(""17pNv02DXDpQT9S3w4-QeNym2QJy2BzMBqDXp-XtzJBM"", ""'SNG'!D3:D139""),0))"),0)</f>
        <v>0</v>
      </c>
      <c r="AE74" s="12">
        <f ca="1">IFERROR(__xludf.DUMMYFUNCTION("INDEX(IMPORTRANGE(""17pNv02DXDpQT9S3w4-QeNym2QJy2BzMBqDXp-XtzJBM"", ""'SNG'!BM3:BM139""),MATCH($D74,IMPORTRANGE(""17pNv02DXDpQT9S3w4-QeNym2QJy2BzMBqDXp-XtzJBM"", ""'SNG'!D3:D139""),0))"),0)</f>
        <v>0</v>
      </c>
    </row>
    <row r="75" spans="1:31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 t="str">
        <f ca="1">IFERROR(__xludf.DUMMYFUNCTION("INDEX(IMPORTRANGE(""17pNv02DXDpQT9S3w4-QeNym2QJy2BzMBqDXp-XtzJBM"", ""'SNG'!BG3:BG139""),MATCH($D75,IMPORTRANGE(""17pNv02DXDpQT9S3w4-QeNym2QJy2BzMBqDXp-XtzJBM"", ""'SNG'!D3:D139""),0))"),"")</f>
        <v/>
      </c>
      <c r="T75" s="1"/>
      <c r="U75" s="1"/>
      <c r="V75" s="1"/>
      <c r="W75" s="1"/>
      <c r="X75" s="1"/>
      <c r="Y75" s="1"/>
      <c r="Z75" s="12">
        <f ca="1">IFERROR(__xludf.DUMMYFUNCTION("INDEX(IMPORTRANGE(""17pNv02DXDpQT9S3w4-QeNym2QJy2BzMBqDXp-XtzJBM"", ""'SNG'!BH3:BH139""),MATCH($D75,IMPORTRANGE(""17pNv02DXDpQT9S3w4-QeNym2QJy2BzMBqDXp-XtzJBM"", ""'SNG'!D3:D139""),0))"),12800)</f>
        <v>12800</v>
      </c>
      <c r="AA75" s="12">
        <f ca="1">IFERROR(__xludf.DUMMYFUNCTION("INDEX(IMPORTRANGE(""17pNv02DXDpQT9S3w4-QeNym2QJy2BzMBqDXp-XtzJBM"", ""'SNG'!BI3:BI139""),MATCH($D75,IMPORTRANGE(""17pNv02DXDpQT9S3w4-QeNym2QJy2BzMBqDXp-XtzJBM"", ""'SNG'!D3:D139""),0))"),12800)</f>
        <v>12800</v>
      </c>
      <c r="AB75" s="12">
        <f ca="1">IFERROR(__xludf.DUMMYFUNCTION("INDEX(IMPORTRANGE(""17pNv02DXDpQT9S3w4-QeNym2QJy2BzMBqDXp-XtzJBM"", ""'SNG'!BJ3:BJ139""),MATCH($D75,IMPORTRANGE(""17pNv02DXDpQT9S3w4-QeNym2QJy2BzMBqDXp-XtzJBM"", ""'SNG'!D3:D139""),0))"),13000)</f>
        <v>13000</v>
      </c>
      <c r="AC75" s="12">
        <f ca="1">IFERROR(__xludf.DUMMYFUNCTION("INDEX(IMPORTRANGE(""17pNv02DXDpQT9S3w4-QeNym2QJy2BzMBqDXp-XtzJBM"", ""'SNG'!BK3:BK139""),MATCH($D75,IMPORTRANGE(""17pNv02DXDpQT9S3w4-QeNym2QJy2BzMBqDXp-XtzJBM"", ""'SNG'!D3:D139""),0))"),23096)</f>
        <v>23096</v>
      </c>
      <c r="AD75" s="12">
        <f ca="1">IFERROR(__xludf.DUMMYFUNCTION("INDEX(IMPORTRANGE(""17pNv02DXDpQT9S3w4-QeNym2QJy2BzMBqDXp-XtzJBM"", ""'SNG'!BL3:BL139""),MATCH($D75,IMPORTRANGE(""17pNv02DXDpQT9S3w4-QeNym2QJy2BzMBqDXp-XtzJBM"", ""'SNG'!D3:D139""),0))"),4887.2)</f>
        <v>4887.2</v>
      </c>
      <c r="AE75" s="12">
        <f ca="1">IFERROR(__xludf.DUMMYFUNCTION("INDEX(IMPORTRANGE(""17pNv02DXDpQT9S3w4-QeNym2QJy2BzMBqDXp-XtzJBM"", ""'SNG'!BM3:BM139""),MATCH($D75,IMPORTRANGE(""17pNv02DXDpQT9S3w4-QeNym2QJy2BzMBqDXp-XtzJBM"", ""'SNG'!D3:D139""),0))"),8795.00999999999)</f>
        <v>8795.0099999999893</v>
      </c>
    </row>
    <row r="76" spans="1:31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""'SNG'!BG3:BG139""),MATCH($D76,IMPORTRANGE(""17pNv02DXDpQT9S3w4-QeNym2QJy2BzMBqDXp-XtzJBM"", ""'SNG'!D3:D139""),0))"),"")</f>
        <v/>
      </c>
      <c r="T76" s="1"/>
      <c r="U76" s="1"/>
      <c r="V76" s="1"/>
      <c r="W76" s="1"/>
      <c r="X76" s="1"/>
      <c r="Y76" s="1"/>
      <c r="Z76" s="12">
        <f ca="1">IFERROR(__xludf.DUMMYFUNCTION("INDEX(IMPORTRANGE(""17pNv02DXDpQT9S3w4-QeNym2QJy2BzMBqDXp-XtzJBM"", ""'SNG'!BH3:BH139""),MATCH($D76,IMPORTRANGE(""17pNv02DXDpQT9S3w4-QeNym2QJy2BzMBqDXp-XtzJBM"", ""'SNG'!D3:D139""),0))"),0)</f>
        <v>0</v>
      </c>
      <c r="AA76" s="12">
        <f ca="1">IFERROR(__xludf.DUMMYFUNCTION("INDEX(IMPORTRANGE(""17pNv02DXDpQT9S3w4-QeNym2QJy2BzMBqDXp-XtzJBM"", ""'SNG'!BI3:BI139""),MATCH($D76,IMPORTRANGE(""17pNv02DXDpQT9S3w4-QeNym2QJy2BzMBqDXp-XtzJBM"", ""'SNG'!D3:D139""),0))"),0)</f>
        <v>0</v>
      </c>
      <c r="AB76" s="12">
        <f ca="1">IFERROR(__xludf.DUMMYFUNCTION("INDEX(IMPORTRANGE(""17pNv02DXDpQT9S3w4-QeNym2QJy2BzMBqDXp-XtzJBM"", ""'SNG'!BJ3:BJ139""),MATCH($D76,IMPORTRANGE(""17pNv02DXDpQT9S3w4-QeNym2QJy2BzMBqDXp-XtzJBM"", ""'SNG'!D3:D139""),0))"),0)</f>
        <v>0</v>
      </c>
      <c r="AC76" s="12">
        <f ca="1">IFERROR(__xludf.DUMMYFUNCTION("INDEX(IMPORTRANGE(""17pNv02DXDpQT9S3w4-QeNym2QJy2BzMBqDXp-XtzJBM"", ""'SNG'!BK3:BK139""),MATCH($D76,IMPORTRANGE(""17pNv02DXDpQT9S3w4-QeNym2QJy2BzMBqDXp-XtzJBM"", ""'SNG'!D3:D139""),0))"),0)</f>
        <v>0</v>
      </c>
      <c r="AD76" s="12">
        <f ca="1">IFERROR(__xludf.DUMMYFUNCTION("INDEX(IMPORTRANGE(""17pNv02DXDpQT9S3w4-QeNym2QJy2BzMBqDXp-XtzJBM"", ""'SNG'!BL3:BL139""),MATCH($D76,IMPORTRANGE(""17pNv02DXDpQT9S3w4-QeNym2QJy2BzMBqDXp-XtzJBM"", ""'SNG'!D3:D139""),0))"),0)</f>
        <v>0</v>
      </c>
      <c r="AE76" s="12">
        <f ca="1">IFERROR(__xludf.DUMMYFUNCTION("INDEX(IMPORTRANGE(""17pNv02DXDpQT9S3w4-QeNym2QJy2BzMBqDXp-XtzJBM"", ""'SNG'!BM3:BM139""),MATCH($D76,IMPORTRANGE(""17pNv02DXDpQT9S3w4-QeNym2QJy2BzMBqDXp-XtzJBM"", ""'SNG'!D3:D139""),0))"),0)</f>
        <v>0</v>
      </c>
    </row>
    <row r="77" spans="1:31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""'SNG'!BG3:BG139""),MATCH($D77,IMPORTRANGE(""17pNv02DXDpQT9S3w4-QeNym2QJy2BzMBqDXp-XtzJBM"", ""'SNG'!D3:D139""),0))"),"")</f>
        <v/>
      </c>
      <c r="T77" s="4">
        <v>9479</v>
      </c>
      <c r="U77" s="4">
        <v>4739.5</v>
      </c>
      <c r="V77" s="4">
        <v>9479</v>
      </c>
      <c r="W77" s="4">
        <v>4739.5</v>
      </c>
      <c r="X77" s="254">
        <f>(V77-W77)/6*5+W77</f>
        <v>8689.0833333333321</v>
      </c>
      <c r="Y77" s="4">
        <v>28437</v>
      </c>
      <c r="Z77" s="12">
        <f ca="1">IFERROR(__xludf.DUMMYFUNCTION("INDEX(IMPORTRANGE(""17pNv02DXDpQT9S3w4-QeNym2QJy2BzMBqDXp-XtzJBM"", ""'SNG'!BH3:BH139""),MATCH($D77,IMPORTRANGE(""17pNv02DXDpQT9S3w4-QeNym2QJy2BzMBqDXp-XtzJBM"", ""'SNG'!D3:D139""),0))"),12800)</f>
        <v>12800</v>
      </c>
      <c r="AA77" s="12">
        <f ca="1">IFERROR(__xludf.DUMMYFUNCTION("INDEX(IMPORTRANGE(""17pNv02DXDpQT9S3w4-QeNym2QJy2BzMBqDXp-XtzJBM"", ""'SNG'!BI3:BI139""),MATCH($D77,IMPORTRANGE(""17pNv02DXDpQT9S3w4-QeNym2QJy2BzMBqDXp-XtzJBM"", ""'SNG'!D3:D139""),0))"),12800)</f>
        <v>12800</v>
      </c>
      <c r="AB77" s="12">
        <f ca="1">IFERROR(__xludf.DUMMYFUNCTION("INDEX(IMPORTRANGE(""17pNv02DXDpQT9S3w4-QeNym2QJy2BzMBqDXp-XtzJBM"", ""'SNG'!BJ3:BJ139""),MATCH($D77,IMPORTRANGE(""17pNv02DXDpQT9S3w4-QeNym2QJy2BzMBqDXp-XtzJBM"", ""'SNG'!D3:D139""),0))"),13000)</f>
        <v>13000</v>
      </c>
      <c r="AC77" s="12">
        <f ca="1">IFERROR(__xludf.DUMMYFUNCTION("INDEX(IMPORTRANGE(""17pNv02DXDpQT9S3w4-QeNym2QJy2BzMBqDXp-XtzJBM"", ""'SNG'!BK3:BK139""),MATCH($D77,IMPORTRANGE(""17pNv02DXDpQT9S3w4-QeNym2QJy2BzMBqDXp-XtzJBM"", ""'SNG'!D3:D139""),0))"),23096)</f>
        <v>23096</v>
      </c>
      <c r="AD77" s="12">
        <f ca="1">IFERROR(__xludf.DUMMYFUNCTION("INDEX(IMPORTRANGE(""17pNv02DXDpQT9S3w4-QeNym2QJy2BzMBqDXp-XtzJBM"", ""'SNG'!BL3:BL139""),MATCH($D77,IMPORTRANGE(""17pNv02DXDpQT9S3w4-QeNym2QJy2BzMBqDXp-XtzJBM"", ""'SNG'!D3:D139""),0))"),4887.2)</f>
        <v>4887.2</v>
      </c>
      <c r="AE77" s="12">
        <f ca="1">IFERROR(__xludf.DUMMYFUNCTION("INDEX(IMPORTRANGE(""17pNv02DXDpQT9S3w4-QeNym2QJy2BzMBqDXp-XtzJBM"", ""'SNG'!BM3:BM139""),MATCH($D77,IMPORTRANGE(""17pNv02DXDpQT9S3w4-QeNym2QJy2BzMBqDXp-XtzJBM"", ""'SNG'!D3:D139""),0))"),8795.00999999999)</f>
        <v>8795.0099999999893</v>
      </c>
    </row>
    <row r="78" spans="1:31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7" t="s">
        <v>366</v>
      </c>
      <c r="P78" s="1" t="s">
        <v>218</v>
      </c>
      <c r="Q78" s="50">
        <v>39651110.659999996</v>
      </c>
      <c r="R78" s="50">
        <v>39651110.659999996</v>
      </c>
      <c r="S78" s="50">
        <f ca="1">IFERROR(__xludf.DUMMYFUNCTION("INDEX(IMPORTRANGE(""17pNv02DXDpQT9S3w4-QeNym2QJy2BzMBqDXp-XtzJBM"", ""'SNG'!BG3:BG139""),MATCH($D78,IMPORTRANGE(""17pNv02DXDpQT9S3w4-QeNym2QJy2BzMBqDXp-XtzJBM"", ""'SNG'!D3:D139""),0))"),15404531.85)</f>
        <v>15404531.85</v>
      </c>
      <c r="T78" s="13"/>
      <c r="U78" s="13"/>
      <c r="V78" s="13"/>
      <c r="W78" s="13"/>
      <c r="X78" s="13"/>
      <c r="Y78" s="13"/>
      <c r="Z78" s="50">
        <f ca="1">IFERROR(__xludf.DUMMYFUNCTION("INDEX(IMPORTRANGE(""17pNv02DXDpQT9S3w4-QeNym2QJy2BzMBqDXp-XtzJBM"", ""'SNG'!BH3:BH139""),MATCH($D78,IMPORTRANGE(""17pNv02DXDpQT9S3w4-QeNym2QJy2BzMBqDXp-XtzJBM"", ""'SNG'!D3:D139""),0))"),39651110.66)</f>
        <v>39651110.659999996</v>
      </c>
      <c r="AA78" s="184" t="str">
        <f ca="1">IFERROR(__xludf.DUMMYFUNCTION("INDEX(IMPORTRANGE(""17pNv02DXDpQT9S3w4-QeNym2QJy2BzMBqDXp-XtzJBM"", ""'SNG'!BI3:BI139""),MATCH($D78,IMPORTRANGE(""17pNv02DXDpQT9S3w4-QeNym2QJy2BzMBqDXp-XtzJBM"", ""'SNG'!D3:D139""),0))"),"")</f>
        <v/>
      </c>
      <c r="AB78" s="50">
        <f ca="1">IFERROR(__xludf.DUMMYFUNCTION("INDEX(IMPORTRANGE(""17pNv02DXDpQT9S3w4-QeNym2QJy2BzMBqDXp-XtzJBM"", ""'SNG'!BJ3:BJ139""),MATCH($D78,IMPORTRANGE(""17pNv02DXDpQT9S3w4-QeNym2QJy2BzMBqDXp-XtzJBM"", ""'SNG'!D3:D139""),0))"),254296770.83)</f>
        <v>254296770.83000001</v>
      </c>
      <c r="AC78" s="184" t="str">
        <f ca="1">IFERROR(__xludf.DUMMYFUNCTION("INDEX(IMPORTRANGE(""17pNv02DXDpQT9S3w4-QeNym2QJy2BzMBqDXp-XtzJBM"", ""'SNG'!BK3:BK139""),MATCH($D78,IMPORTRANGE(""17pNv02DXDpQT9S3w4-QeNym2QJy2BzMBqDXp-XtzJBM"", ""'SNG'!D3:D139""),0))"),"")</f>
        <v/>
      </c>
      <c r="AD78" s="50">
        <f ca="1">IFERROR(__xludf.DUMMYFUNCTION("INDEX(IMPORTRANGE(""17pNv02DXDpQT9S3w4-QeNym2QJy2BzMBqDXp-XtzJBM"", ""'SNG'!BL3:BL139""),MATCH($D78,IMPORTRANGE(""17pNv02DXDpQT9S3w4-QeNym2QJy2BzMBqDXp-XtzJBM"", ""'SNG'!D3:D139""),0))"),318302884.88)</f>
        <v>318302884.88</v>
      </c>
      <c r="AE78" s="50">
        <f ca="1">IFERROR(__xludf.DUMMYFUNCTION("INDEX(IMPORTRANGE(""17pNv02DXDpQT9S3w4-QeNym2QJy2BzMBqDXp-XtzJBM"", ""'SNG'!BM3:BM139""),MATCH($D78,IMPORTRANGE(""17pNv02DXDpQT9S3w4-QeNym2QJy2BzMBqDXp-XtzJBM"", ""'SNG'!D3:D139""),0))"),90036183.71)</f>
        <v>90036183.709999993</v>
      </c>
    </row>
    <row r="79" spans="1:31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7" t="s">
        <v>366</v>
      </c>
      <c r="P79" s="1" t="s">
        <v>218</v>
      </c>
      <c r="Q79" s="50">
        <v>29387580.710000001</v>
      </c>
      <c r="R79" s="50">
        <v>29387580.710000001</v>
      </c>
      <c r="S79" s="50">
        <f ca="1">IFERROR(__xludf.DUMMYFUNCTION("INDEX(IMPORTRANGE(""17pNv02DXDpQT9S3w4-QeNym2QJy2BzMBqDXp-XtzJBM"", ""'SNG'!BG3:BG139""),MATCH($D79,IMPORTRANGE(""17pNv02DXDpQT9S3w4-QeNym2QJy2BzMBqDXp-XtzJBM"", ""'SNG'!D3:D139""),0))"),16137845.17)</f>
        <v>16137845.17</v>
      </c>
      <c r="T79" s="13"/>
      <c r="U79" s="13"/>
      <c r="V79" s="13"/>
      <c r="W79" s="13"/>
      <c r="X79" s="13"/>
      <c r="Y79" s="13"/>
      <c r="Z79" s="50">
        <f ca="1">IFERROR(__xludf.DUMMYFUNCTION("INDEX(IMPORTRANGE(""17pNv02DXDpQT9S3w4-QeNym2QJy2BzMBqDXp-XtzJBM"", ""'SNG'!BH3:BH139""),MATCH($D79,IMPORTRANGE(""17pNv02DXDpQT9S3w4-QeNym2QJy2BzMBqDXp-XtzJBM"", ""'SNG'!D3:D139""),0))"),29387580.71)</f>
        <v>29387580.710000001</v>
      </c>
      <c r="AA79" s="184" t="str">
        <f ca="1">IFERROR(__xludf.DUMMYFUNCTION("INDEX(IMPORTRANGE(""17pNv02DXDpQT9S3w4-QeNym2QJy2BzMBqDXp-XtzJBM"", ""'SNG'!BI3:BI139""),MATCH($D79,IMPORTRANGE(""17pNv02DXDpQT9S3w4-QeNym2QJy2BzMBqDXp-XtzJBM"", ""'SNG'!D3:D139""),0))"),"")</f>
        <v/>
      </c>
      <c r="AB79" s="50">
        <f ca="1">IFERROR(__xludf.DUMMYFUNCTION("INDEX(IMPORTRANGE(""17pNv02DXDpQT9S3w4-QeNym2QJy2BzMBqDXp-XtzJBM"", ""'SNG'!BJ3:BJ139""),MATCH($D79,IMPORTRANGE(""17pNv02DXDpQT9S3w4-QeNym2QJy2BzMBqDXp-XtzJBM"", ""'SNG'!D3:D139""),0))"),120862174.45)</f>
        <v>120862174.45</v>
      </c>
      <c r="AC79" s="184" t="str">
        <f ca="1">IFERROR(__xludf.DUMMYFUNCTION("INDEX(IMPORTRANGE(""17pNv02DXDpQT9S3w4-QeNym2QJy2BzMBqDXp-XtzJBM"", ""'SNG'!BK3:BK139""),MATCH($D79,IMPORTRANGE(""17pNv02DXDpQT9S3w4-QeNym2QJy2BzMBqDXp-XtzJBM"", ""'SNG'!D3:D139""),0))"),"")</f>
        <v/>
      </c>
      <c r="AD79" s="50">
        <f ca="1">IFERROR(__xludf.DUMMYFUNCTION("INDEX(IMPORTRANGE(""17pNv02DXDpQT9S3w4-QeNym2QJy2BzMBqDXp-XtzJBM"", ""'SNG'!BL3:BL139""),MATCH($D79,IMPORTRANGE(""17pNv02DXDpQT9S3w4-QeNym2QJy2BzMBqDXp-XtzJBM"", ""'SNG'!D3:D139""),0))"),148038630.92)</f>
        <v>148038630.91999999</v>
      </c>
      <c r="AE79" s="50">
        <f ca="1">IFERROR(__xludf.DUMMYFUNCTION("INDEX(IMPORTRANGE(""17pNv02DXDpQT9S3w4-QeNym2QJy2BzMBqDXp-XtzJBM"", ""'SNG'!BM3:BM139""),MATCH($D79,IMPORTRANGE(""17pNv02DXDpQT9S3w4-QeNym2QJy2BzMBqDXp-XtzJBM"", ""'SNG'!D3:D139""),0))"),28205603.97)</f>
        <v>28205603.969999999</v>
      </c>
    </row>
    <row r="80" spans="1:31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2" t="s">
        <v>365</v>
      </c>
      <c r="J80" s="7" t="s">
        <v>215</v>
      </c>
      <c r="K80" s="13"/>
      <c r="L80" s="7" t="s">
        <v>216</v>
      </c>
      <c r="M80" s="13"/>
      <c r="N80" s="7" t="s">
        <v>217</v>
      </c>
      <c r="O80" s="7" t="s">
        <v>366</v>
      </c>
      <c r="P80" s="1" t="s">
        <v>218</v>
      </c>
      <c r="Q80" s="15">
        <f t="shared" ref="Q80:R80" si="21">Q79/Q78</f>
        <v>0.74115403631420007</v>
      </c>
      <c r="R80" s="15">
        <f t="shared" si="21"/>
        <v>0.74115403631420007</v>
      </c>
      <c r="S80" s="15">
        <f ca="1">IFERROR(__xludf.DUMMYFUNCTION("INDEX(IMPORTRANGE(""17pNv02DXDpQT9S3w4-QeNym2QJy2BzMBqDXp-XtzJBM"", ""'SNG'!BG3:BG139""),MATCH($D80,IMPORTRANGE(""17pNv02DXDpQT9S3w4-QeNym2QJy2BzMBqDXp-XtzJBM"", ""'SNG'!D3:D139""),0))"),1.04760373941516)</f>
        <v>1.0476037394151601</v>
      </c>
      <c r="T80" s="2"/>
      <c r="U80" s="14">
        <v>0.45</v>
      </c>
      <c r="V80" s="2"/>
      <c r="W80" s="15">
        <v>0.45500000000000002</v>
      </c>
      <c r="X80" s="15">
        <f>(Y80-W80)/6*5+W80</f>
        <v>0.45916666666666667</v>
      </c>
      <c r="Y80" s="15">
        <v>0.46</v>
      </c>
      <c r="Z80" s="15">
        <f ca="1">IFERROR(__xludf.DUMMYFUNCTION("INDEX(IMPORTRANGE(""17pNv02DXDpQT9S3w4-QeNym2QJy2BzMBqDXp-XtzJBM"", ""'SNG'!BH3:BH139""),MATCH($D80,IMPORTRANGE(""17pNv02DXDpQT9S3w4-QeNym2QJy2BzMBqDXp-XtzJBM"", ""'SNG'!D3:D139""),0))"),0.7411540363142)</f>
        <v>0.74115403631419996</v>
      </c>
      <c r="AA80" s="179" t="str">
        <f ca="1">IFERROR(__xludf.DUMMYFUNCTION("INDEX(IMPORTRANGE(""17pNv02DXDpQT9S3w4-QeNym2QJy2BzMBqDXp-XtzJBM"", ""'SNG'!BI3:BI139""),MATCH($D80,IMPORTRANGE(""17pNv02DXDpQT9S3w4-QeNym2QJy2BzMBqDXp-XtzJBM"", ""'SNG'!D3:D139""),0))"),"")</f>
        <v/>
      </c>
      <c r="AB80" s="15">
        <f ca="1">IFERROR(__xludf.DUMMYFUNCTION("INDEX(IMPORTRANGE(""17pNv02DXDpQT9S3w4-QeNym2QJy2BzMBqDXp-XtzJBM"", ""'SNG'!BJ3:BJ139""),MATCH($D80,IMPORTRANGE(""17pNv02DXDpQT9S3w4-QeNym2QJy2BzMBqDXp-XtzJBM"", ""'SNG'!D3:D139""),0))"),0.475280020487549)</f>
        <v>0.47528002048754903</v>
      </c>
      <c r="AC80" s="179" t="str">
        <f ca="1">IFERROR(__xludf.DUMMYFUNCTION("INDEX(IMPORTRANGE(""17pNv02DXDpQT9S3w4-QeNym2QJy2BzMBqDXp-XtzJBM"", ""'SNG'!BK3:BK139""),MATCH($D80,IMPORTRANGE(""17pNv02DXDpQT9S3w4-QeNym2QJy2BzMBqDXp-XtzJBM"", ""'SNG'!D3:D139""),0))"),"")</f>
        <v/>
      </c>
      <c r="AD80" s="15">
        <f ca="1">IFERROR(__xludf.DUMMYFUNCTION("INDEX(IMPORTRANGE(""17pNv02DXDpQT9S3w4-QeNym2QJy2BzMBqDXp-XtzJBM"", ""'SNG'!BL3:BL139""),MATCH($D80,IMPORTRANGE(""17pNv02DXDpQT9S3w4-QeNym2QJy2BzMBqDXp-XtzJBM"", ""'SNG'!D3:D139""),0))"),0.465087305054776)</f>
        <v>0.46508730505477602</v>
      </c>
      <c r="AE80" s="15">
        <f ca="1">IFERROR(__xludf.DUMMYFUNCTION("INDEX(IMPORTRANGE(""17pNv02DXDpQT9S3w4-QeNym2QJy2BzMBqDXp-XtzJBM"", ""'SNG'!BM3:BM139""),MATCH($D80,IMPORTRANGE(""17pNv02DXDpQT9S3w4-QeNym2QJy2BzMBqDXp-XtzJBM"", ""'SNG'!D3:D139""),0))"),0.313269652352749)</f>
        <v>0.31326965235274901</v>
      </c>
    </row>
    <row r="81" spans="1:31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12">
        <v>4</v>
      </c>
      <c r="R81" s="12">
        <v>4</v>
      </c>
      <c r="S81" s="12">
        <f ca="1">IFERROR(__xludf.DUMMYFUNCTION("INDEX(IMPORTRANGE(""17pNv02DXDpQT9S3w4-QeNym2QJy2BzMBqDXp-XtzJBM"", ""'SNG'!BG3:BG139""),MATCH($D81,IMPORTRANGE(""17pNv02DXDpQT9S3w4-QeNym2QJy2BzMBqDXp-XtzJBM"", ""'SNG'!D3:D139""),0))"),4)</f>
        <v>4</v>
      </c>
      <c r="T81" s="1"/>
      <c r="U81" s="1"/>
      <c r="V81" s="1"/>
      <c r="W81" s="1"/>
      <c r="X81" s="1"/>
      <c r="Y81" s="1"/>
      <c r="Z81" s="12">
        <f ca="1">IFERROR(__xludf.DUMMYFUNCTION("INDEX(IMPORTRANGE(""17pNv02DXDpQT9S3w4-QeNym2QJy2BzMBqDXp-XtzJBM"", ""'SNG'!BH3:BH139""),MATCH($D81,IMPORTRANGE(""17pNv02DXDpQT9S3w4-QeNym2QJy2BzMBqDXp-XtzJBM"", ""'SNG'!D3:D139""),0))"),0)</f>
        <v>0</v>
      </c>
      <c r="AA81" s="12">
        <f ca="1">IFERROR(__xludf.DUMMYFUNCTION("INDEX(IMPORTRANGE(""17pNv02DXDpQT9S3w4-QeNym2QJy2BzMBqDXp-XtzJBM"", ""'SNG'!BI3:BI139""),MATCH($D81,IMPORTRANGE(""17pNv02DXDpQT9S3w4-QeNym2QJy2BzMBqDXp-XtzJBM"", ""'SNG'!D3:D139""),0))"),0)</f>
        <v>0</v>
      </c>
      <c r="AB81" s="12">
        <f ca="1">IFERROR(__xludf.DUMMYFUNCTION("INDEX(IMPORTRANGE(""17pNv02DXDpQT9S3w4-QeNym2QJy2BzMBqDXp-XtzJBM"", ""'SNG'!BJ3:BJ139""),MATCH($D81,IMPORTRANGE(""17pNv02DXDpQT9S3w4-QeNym2QJy2BzMBqDXp-XtzJBM"", ""'SNG'!D3:D139""),0))"),2)</f>
        <v>2</v>
      </c>
      <c r="AC81" s="12">
        <f ca="1">IFERROR(__xludf.DUMMYFUNCTION("INDEX(IMPORTRANGE(""17pNv02DXDpQT9S3w4-QeNym2QJy2BzMBqDXp-XtzJBM"", ""'SNG'!BK3:BK139""),MATCH($D81,IMPORTRANGE(""17pNv02DXDpQT9S3w4-QeNym2QJy2BzMBqDXp-XtzJBM"", ""'SNG'!D3:D139""),0))"),4)</f>
        <v>4</v>
      </c>
      <c r="AD81" s="12">
        <f ca="1">IFERROR(__xludf.DUMMYFUNCTION("INDEX(IMPORTRANGE(""17pNv02DXDpQT9S3w4-QeNym2QJy2BzMBqDXp-XtzJBM"", ""'SNG'!BL3:BL139""),MATCH($D81,IMPORTRANGE(""17pNv02DXDpQT9S3w4-QeNym2QJy2BzMBqDXp-XtzJBM"", ""'SNG'!D3:D139""),0))"),6)</f>
        <v>6</v>
      </c>
      <c r="AE81" s="12">
        <f ca="1">IFERROR(__xludf.DUMMYFUNCTION("INDEX(IMPORTRANGE(""17pNv02DXDpQT9S3w4-QeNym2QJy2BzMBqDXp-XtzJBM"", ""'SNG'!BM3:BM139""),MATCH($D81,IMPORTRANGE(""17pNv02DXDpQT9S3w4-QeNym2QJy2BzMBqDXp-XtzJBM"", ""'SNG'!D3:D139""),0))"),7)</f>
        <v>7</v>
      </c>
    </row>
    <row r="82" spans="1:31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12">
        <v>1</v>
      </c>
      <c r="R82" s="12">
        <v>6</v>
      </c>
      <c r="S82" s="12">
        <f ca="1">IFERROR(__xludf.DUMMYFUNCTION("INDEX(IMPORTRANGE(""17pNv02DXDpQT9S3w4-QeNym2QJy2BzMBqDXp-XtzJBM"", ""'SNG'!BG3:BG139""),MATCH($D82,IMPORTRANGE(""17pNv02DXDpQT9S3w4-QeNym2QJy2BzMBqDXp-XtzJBM"", ""'SNG'!D3:D139""),0))"),6)</f>
        <v>6</v>
      </c>
      <c r="T82" s="1"/>
      <c r="U82" s="1"/>
      <c r="V82" s="1"/>
      <c r="W82" s="1"/>
      <c r="X82" s="1"/>
      <c r="Y82" s="1"/>
      <c r="Z82" s="12">
        <f ca="1">IFERROR(__xludf.DUMMYFUNCTION("INDEX(IMPORTRANGE(""17pNv02DXDpQT9S3w4-QeNym2QJy2BzMBqDXp-XtzJBM"", ""'SNG'!BH3:BH139""),MATCH($D82,IMPORTRANGE(""17pNv02DXDpQT9S3w4-QeNym2QJy2BzMBqDXp-XtzJBM"", ""'SNG'!D3:D139""),0))"),0)</f>
        <v>0</v>
      </c>
      <c r="AA82" s="12">
        <f ca="1">IFERROR(__xludf.DUMMYFUNCTION("INDEX(IMPORTRANGE(""17pNv02DXDpQT9S3w4-QeNym2QJy2BzMBqDXp-XtzJBM"", ""'SNG'!BI3:BI139""),MATCH($D82,IMPORTRANGE(""17pNv02DXDpQT9S3w4-QeNym2QJy2BzMBqDXp-XtzJBM"", ""'SNG'!D3:D139""),0))"),10)</f>
        <v>10</v>
      </c>
      <c r="AB82" s="12">
        <f ca="1">IFERROR(__xludf.DUMMYFUNCTION("INDEX(IMPORTRANGE(""17pNv02DXDpQT9S3w4-QeNym2QJy2BzMBqDXp-XtzJBM"", ""'SNG'!BJ3:BJ139""),MATCH($D82,IMPORTRANGE(""17pNv02DXDpQT9S3w4-QeNym2QJy2BzMBqDXp-XtzJBM"", ""'SNG'!D3:D139""),0))"),2)</f>
        <v>2</v>
      </c>
      <c r="AC82" s="12">
        <f ca="1">IFERROR(__xludf.DUMMYFUNCTION("INDEX(IMPORTRANGE(""17pNv02DXDpQT9S3w4-QeNym2QJy2BzMBqDXp-XtzJBM"", ""'SNG'!BK3:BK139""),MATCH($D82,IMPORTRANGE(""17pNv02DXDpQT9S3w4-QeNym2QJy2BzMBqDXp-XtzJBM"", ""'SNG'!D3:D139""),0))"),10)</f>
        <v>10</v>
      </c>
      <c r="AD82" s="12">
        <f ca="1">IFERROR(__xludf.DUMMYFUNCTION("INDEX(IMPORTRANGE(""17pNv02DXDpQT9S3w4-QeNym2QJy2BzMBqDXp-XtzJBM"", ""'SNG'!BL3:BL139""),MATCH($D82,IMPORTRANGE(""17pNv02DXDpQT9S3w4-QeNym2QJy2BzMBqDXp-XtzJBM"", ""'SNG'!D3:D139""),0))"),3)</f>
        <v>3</v>
      </c>
      <c r="AE82" s="12">
        <f ca="1">IFERROR(__xludf.DUMMYFUNCTION("INDEX(IMPORTRANGE(""17pNv02DXDpQT9S3w4-QeNym2QJy2BzMBqDXp-XtzJBM"", ""'SNG'!BM3:BM139""),MATCH($D82,IMPORTRANGE(""17pNv02DXDpQT9S3w4-QeNym2QJy2BzMBqDXp-XtzJBM"", ""'SNG'!D3:D139""),0))"),9)</f>
        <v>9</v>
      </c>
    </row>
    <row r="83" spans="1:31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f t="shared" ref="Q83:R83" si="22">Q81+Q82</f>
        <v>5</v>
      </c>
      <c r="R83" s="12">
        <f t="shared" si="22"/>
        <v>10</v>
      </c>
      <c r="S83" s="12">
        <f ca="1">IFERROR(__xludf.DUMMYFUNCTION("INDEX(IMPORTRANGE(""17pNv02DXDpQT9S3w4-QeNym2QJy2BzMBqDXp-XtzJBM"", ""'SNG'!BG3:BG139""),MATCH($D83,IMPORTRANGE(""17pNv02DXDpQT9S3w4-QeNym2QJy2BzMBqDXp-XtzJBM"", ""'SNG'!D3:D139""),0))"),10)</f>
        <v>10</v>
      </c>
      <c r="T83" s="4">
        <v>7</v>
      </c>
      <c r="U83" s="4">
        <v>3.5</v>
      </c>
      <c r="V83" s="4">
        <v>7</v>
      </c>
      <c r="W83" s="4">
        <v>3</v>
      </c>
      <c r="X83" s="217">
        <v>6</v>
      </c>
      <c r="Y83" s="4">
        <v>20</v>
      </c>
      <c r="Z83" s="12">
        <f ca="1">IFERROR(__xludf.DUMMYFUNCTION("INDEX(IMPORTRANGE(""17pNv02DXDpQT9S3w4-QeNym2QJy2BzMBqDXp-XtzJBM"", ""'SNG'!BH3:BH139""),MATCH($D83,IMPORTRANGE(""17pNv02DXDpQT9S3w4-QeNym2QJy2BzMBqDXp-XtzJBM"", ""'SNG'!D3:D139""),0))"),0)</f>
        <v>0</v>
      </c>
      <c r="AA83" s="12">
        <f ca="1">IFERROR(__xludf.DUMMYFUNCTION("INDEX(IMPORTRANGE(""17pNv02DXDpQT9S3w4-QeNym2QJy2BzMBqDXp-XtzJBM"", ""'SNG'!BI3:BI139""),MATCH($D83,IMPORTRANGE(""17pNv02DXDpQT9S3w4-QeNym2QJy2BzMBqDXp-XtzJBM"", ""'SNG'!D3:D139""),0))"),10)</f>
        <v>10</v>
      </c>
      <c r="AB83" s="12">
        <f ca="1">IFERROR(__xludf.DUMMYFUNCTION("INDEX(IMPORTRANGE(""17pNv02DXDpQT9S3w4-QeNym2QJy2BzMBqDXp-XtzJBM"", ""'SNG'!BJ3:BJ139""),MATCH($D83,IMPORTRANGE(""17pNv02DXDpQT9S3w4-QeNym2QJy2BzMBqDXp-XtzJBM"", ""'SNG'!D3:D139""),0))"),4)</f>
        <v>4</v>
      </c>
      <c r="AC83" s="12">
        <f ca="1">IFERROR(__xludf.DUMMYFUNCTION("INDEX(IMPORTRANGE(""17pNv02DXDpQT9S3w4-QeNym2QJy2BzMBqDXp-XtzJBM"", ""'SNG'!BK3:BK139""),MATCH($D83,IMPORTRANGE(""17pNv02DXDpQT9S3w4-QeNym2QJy2BzMBqDXp-XtzJBM"", ""'SNG'!D3:D139""),0))"),14)</f>
        <v>14</v>
      </c>
      <c r="AD83" s="12">
        <f ca="1">IFERROR(__xludf.DUMMYFUNCTION("INDEX(IMPORTRANGE(""17pNv02DXDpQT9S3w4-QeNym2QJy2BzMBqDXp-XtzJBM"", ""'SNG'!BL3:BL139""),MATCH($D83,IMPORTRANGE(""17pNv02DXDpQT9S3w4-QeNym2QJy2BzMBqDXp-XtzJBM"", ""'SNG'!D3:D139""),0))"),9)</f>
        <v>9</v>
      </c>
      <c r="AE83" s="12">
        <f ca="1">IFERROR(__xludf.DUMMYFUNCTION("INDEX(IMPORTRANGE(""17pNv02DXDpQT9S3w4-QeNym2QJy2BzMBqDXp-XtzJBM"", ""'SNG'!BM3:BM139""),MATCH($D83,IMPORTRANGE(""17pNv02DXDpQT9S3w4-QeNym2QJy2BzMBqDXp-XtzJBM"", ""'SNG'!D3:D139""),0))"),16)</f>
        <v>16</v>
      </c>
    </row>
    <row r="84" spans="1:31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70</v>
      </c>
      <c r="R84" s="12">
        <v>123</v>
      </c>
      <c r="S84" s="12">
        <f ca="1">IFERROR(__xludf.DUMMYFUNCTION("INDEX(IMPORTRANGE(""17pNv02DXDpQT9S3w4-QeNym2QJy2BzMBqDXp-XtzJBM"", ""'SNG'!BG3:BG139""),MATCH($D84,IMPORTRANGE(""17pNv02DXDpQT9S3w4-QeNym2QJy2BzMBqDXp-XtzJBM"", ""'SNG'!D3:D139""),0))"),111)</f>
        <v>111</v>
      </c>
      <c r="T84" s="13"/>
      <c r="U84" s="13"/>
      <c r="V84" s="13"/>
      <c r="W84" s="13"/>
      <c r="X84" s="13"/>
      <c r="Y84" s="13"/>
      <c r="Z84" s="12">
        <f ca="1">IFERROR(__xludf.DUMMYFUNCTION("INDEX(IMPORTRANGE(""17pNv02DXDpQT9S3w4-QeNym2QJy2BzMBqDXp-XtzJBM"", ""'SNG'!BH3:BH139""),MATCH($D84,IMPORTRANGE(""17pNv02DXDpQT9S3w4-QeNym2QJy2BzMBqDXp-XtzJBM"", ""'SNG'!D3:D139""),0))"),37)</f>
        <v>37</v>
      </c>
      <c r="AA84" s="12">
        <f ca="1">IFERROR(__xludf.DUMMYFUNCTION("INDEX(IMPORTRANGE(""17pNv02DXDpQT9S3w4-QeNym2QJy2BzMBqDXp-XtzJBM"", ""'SNG'!BI3:BI139""),MATCH($D84,IMPORTRANGE(""17pNv02DXDpQT9S3w4-QeNym2QJy2BzMBqDXp-XtzJBM"", ""'SNG'!D3:D139""),0))"),62)</f>
        <v>62</v>
      </c>
      <c r="AB84" s="12">
        <f ca="1">IFERROR(__xludf.DUMMYFUNCTION("INDEX(IMPORTRANGE(""17pNv02DXDpQT9S3w4-QeNym2QJy2BzMBqDXp-XtzJBM"", ""'SNG'!BJ3:BJ139""),MATCH($D84,IMPORTRANGE(""17pNv02DXDpQT9S3w4-QeNym2QJy2BzMBqDXp-XtzJBM"", ""'SNG'!D3:D139""),0))"),89)</f>
        <v>89</v>
      </c>
      <c r="AC84" s="12">
        <f ca="1">IFERROR(__xludf.DUMMYFUNCTION("INDEX(IMPORTRANGE(""17pNv02DXDpQT9S3w4-QeNym2QJy2BzMBqDXp-XtzJBM"", ""'SNG'!BK3:BK139""),MATCH($D84,IMPORTRANGE(""17pNv02DXDpQT9S3w4-QeNym2QJy2BzMBqDXp-XtzJBM"", ""'SNG'!D3:D139""),0))"),181)</f>
        <v>181</v>
      </c>
      <c r="AD84" s="12">
        <f ca="1">IFERROR(__xludf.DUMMYFUNCTION("INDEX(IMPORTRANGE(""17pNv02DXDpQT9S3w4-QeNym2QJy2BzMBqDXp-XtzJBM"", ""'SNG'!BL3:BL139""),MATCH($D84,IMPORTRANGE(""17pNv02DXDpQT9S3w4-QeNym2QJy2BzMBqDXp-XtzJBM"", ""'SNG'!D3:D139""),0))"),94)</f>
        <v>94</v>
      </c>
      <c r="AE84" s="12">
        <f ca="1">IFERROR(__xludf.DUMMYFUNCTION("INDEX(IMPORTRANGE(""17pNv02DXDpQT9S3w4-QeNym2QJy2BzMBqDXp-XtzJBM"", ""'SNG'!BM3:BM139""),MATCH($D84,IMPORTRANGE(""17pNv02DXDpQT9S3w4-QeNym2QJy2BzMBqDXp-XtzJBM"", ""'SNG'!D3:D139""),0))"),154)</f>
        <v>154</v>
      </c>
    </row>
    <row r="85" spans="1:31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16</v>
      </c>
      <c r="R85" s="12">
        <v>30</v>
      </c>
      <c r="S85" s="12">
        <f ca="1">IFERROR(__xludf.DUMMYFUNCTION("INDEX(IMPORTRANGE(""17pNv02DXDpQT9S3w4-QeNym2QJy2BzMBqDXp-XtzJBM"", ""'SNG'!BG3:BG139""),MATCH($D85,IMPORTRANGE(""17pNv02DXDpQT9S3w4-QeNym2QJy2BzMBqDXp-XtzJBM"", ""'SNG'!D3:D139""),0))"),29)</f>
        <v>29</v>
      </c>
      <c r="T85" s="13"/>
      <c r="U85" s="13"/>
      <c r="V85" s="13"/>
      <c r="W85" s="13"/>
      <c r="X85" s="13"/>
      <c r="Y85" s="13"/>
      <c r="Z85" s="12">
        <f ca="1">IFERROR(__xludf.DUMMYFUNCTION("INDEX(IMPORTRANGE(""17pNv02DXDpQT9S3w4-QeNym2QJy2BzMBqDXp-XtzJBM"", ""'SNG'!BH3:BH139""),MATCH($D85,IMPORTRANGE(""17pNv02DXDpQT9S3w4-QeNym2QJy2BzMBqDXp-XtzJBM"", ""'SNG'!D3:D139""),0))"),4)</f>
        <v>4</v>
      </c>
      <c r="AA85" s="12">
        <f ca="1">IFERROR(__xludf.DUMMYFUNCTION("INDEX(IMPORTRANGE(""17pNv02DXDpQT9S3w4-QeNym2QJy2BzMBqDXp-XtzJBM"", ""'SNG'!BI3:BI139""),MATCH($D85,IMPORTRANGE(""17pNv02DXDpQT9S3w4-QeNym2QJy2BzMBqDXp-XtzJBM"", ""'SNG'!D3:D139""),0))"),20)</f>
        <v>20</v>
      </c>
      <c r="AB85" s="12">
        <f ca="1">IFERROR(__xludf.DUMMYFUNCTION("INDEX(IMPORTRANGE(""17pNv02DXDpQT9S3w4-QeNym2QJy2BzMBqDXp-XtzJBM"", ""'SNG'!BJ3:BJ139""),MATCH($D85,IMPORTRANGE(""17pNv02DXDpQT9S3w4-QeNym2QJy2BzMBqDXp-XtzJBM"", ""'SNG'!D3:D139""),0))"),24)</f>
        <v>24</v>
      </c>
      <c r="AC85" s="12">
        <f ca="1">IFERROR(__xludf.DUMMYFUNCTION("INDEX(IMPORTRANGE(""17pNv02DXDpQT9S3w4-QeNym2QJy2BzMBqDXp-XtzJBM"", ""'SNG'!BK3:BK139""),MATCH($D85,IMPORTRANGE(""17pNv02DXDpQT9S3w4-QeNym2QJy2BzMBqDXp-XtzJBM"", ""'SNG'!D3:D139""),0))"),47)</f>
        <v>47</v>
      </c>
      <c r="AD85" s="12">
        <f ca="1">IFERROR(__xludf.DUMMYFUNCTION("INDEX(IMPORTRANGE(""17pNv02DXDpQT9S3w4-QeNym2QJy2BzMBqDXp-XtzJBM"", ""'SNG'!BL3:BL139""),MATCH($D85,IMPORTRANGE(""17pNv02DXDpQT9S3w4-QeNym2QJy2BzMBqDXp-XtzJBM"", ""'SNG'!D3:D139""),0))"),15)</f>
        <v>15</v>
      </c>
      <c r="AE85" s="12">
        <f ca="1">IFERROR(__xludf.DUMMYFUNCTION("INDEX(IMPORTRANGE(""17pNv02DXDpQT9S3w4-QeNym2QJy2BzMBqDXp-XtzJBM"", ""'SNG'!BM3:BM139""),MATCH($D85,IMPORTRANGE(""17pNv02DXDpQT9S3w4-QeNym2QJy2BzMBqDXp-XtzJBM"", ""'SNG'!D3:D139""),0))"),33)</f>
        <v>33</v>
      </c>
    </row>
    <row r="86" spans="1:31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4771</v>
      </c>
      <c r="R86" s="12">
        <v>8906</v>
      </c>
      <c r="S86" s="12">
        <f ca="1">IFERROR(__xludf.DUMMYFUNCTION("INDEX(IMPORTRANGE(""17pNv02DXDpQT9S3w4-QeNym2QJy2BzMBqDXp-XtzJBM"", ""'SNG'!BG3:BG139""),MATCH($D86,IMPORTRANGE(""17pNv02DXDpQT9S3w4-QeNym2QJy2BzMBqDXp-XtzJBM"", ""'SNG'!D3:D139""),0))"),8236)</f>
        <v>8236</v>
      </c>
      <c r="T86" s="13"/>
      <c r="U86" s="13"/>
      <c r="V86" s="13"/>
      <c r="W86" s="13"/>
      <c r="X86" s="13"/>
      <c r="Y86" s="13"/>
      <c r="Z86" s="12">
        <f ca="1">IFERROR(__xludf.DUMMYFUNCTION("INDEX(IMPORTRANGE(""17pNv02DXDpQT9S3w4-QeNym2QJy2BzMBqDXp-XtzJBM"", ""'SNG'!BH3:BH139""),MATCH($D86,IMPORTRANGE(""17pNv02DXDpQT9S3w4-QeNym2QJy2BzMBqDXp-XtzJBM"", ""'SNG'!D3:D139""),0))"),4295)</f>
        <v>4295</v>
      </c>
      <c r="AA86" s="12">
        <f ca="1">IFERROR(__xludf.DUMMYFUNCTION("INDEX(IMPORTRANGE(""17pNv02DXDpQT9S3w4-QeNym2QJy2BzMBqDXp-XtzJBM"", ""'SNG'!BI3:BI139""),MATCH($D86,IMPORTRANGE(""17pNv02DXDpQT9S3w4-QeNym2QJy2BzMBqDXp-XtzJBM"", ""'SNG'!D3:D139""),0))"),9950)</f>
        <v>9950</v>
      </c>
      <c r="AB86" s="12">
        <f ca="1">IFERROR(__xludf.DUMMYFUNCTION("INDEX(IMPORTRANGE(""17pNv02DXDpQT9S3w4-QeNym2QJy2BzMBqDXp-XtzJBM"", ""'SNG'!BJ3:BJ139""),MATCH($D86,IMPORTRANGE(""17pNv02DXDpQT9S3w4-QeNym2QJy2BzMBqDXp-XtzJBM"", ""'SNG'!D3:D139""),0))"),5045)</f>
        <v>5045</v>
      </c>
      <c r="AC86" s="12">
        <f ca="1">IFERROR(__xludf.DUMMYFUNCTION("INDEX(IMPORTRANGE(""17pNv02DXDpQT9S3w4-QeNym2QJy2BzMBqDXp-XtzJBM"", ""'SNG'!BK3:BK139""),MATCH($D86,IMPORTRANGE(""17pNv02DXDpQT9S3w4-QeNym2QJy2BzMBqDXp-XtzJBM"", ""'SNG'!D3:D139""),0))"),10691)</f>
        <v>10691</v>
      </c>
      <c r="AD86" s="12">
        <f ca="1">IFERROR(__xludf.DUMMYFUNCTION("INDEX(IMPORTRANGE(""17pNv02DXDpQT9S3w4-QeNym2QJy2BzMBqDXp-XtzJBM"", ""'SNG'!BL3:BL139""),MATCH($D86,IMPORTRANGE(""17pNv02DXDpQT9S3w4-QeNym2QJy2BzMBqDXp-XtzJBM"", ""'SNG'!D3:D139""),0))"),4711)</f>
        <v>4711</v>
      </c>
      <c r="AE86" s="12">
        <f ca="1">IFERROR(__xludf.DUMMYFUNCTION("INDEX(IMPORTRANGE(""17pNv02DXDpQT9S3w4-QeNym2QJy2BzMBqDXp-XtzJBM"", ""'SNG'!BM3:BM139""),MATCH($D86,IMPORTRANGE(""17pNv02DXDpQT9S3w4-QeNym2QJy2BzMBqDXp-XtzJBM"", ""'SNG'!D3:D139""),0))"),8112)</f>
        <v>8112</v>
      </c>
    </row>
    <row r="87" spans="1:31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179</v>
      </c>
      <c r="R87" s="12">
        <v>368</v>
      </c>
      <c r="S87" s="12">
        <f ca="1">IFERROR(__xludf.DUMMYFUNCTION("INDEX(IMPORTRANGE(""17pNv02DXDpQT9S3w4-QeNym2QJy2BzMBqDXp-XtzJBM"", ""'SNG'!BG3:BG139""),MATCH($D87,IMPORTRANGE(""17pNv02DXDpQT9S3w4-QeNym2QJy2BzMBqDXp-XtzJBM"", ""'SNG'!D3:D139""),0))"),345)</f>
        <v>345</v>
      </c>
      <c r="T87" s="13"/>
      <c r="U87" s="13"/>
      <c r="V87" s="13"/>
      <c r="W87" s="13"/>
      <c r="X87" s="13"/>
      <c r="Y87" s="13"/>
      <c r="Z87" s="12">
        <f ca="1">IFERROR(__xludf.DUMMYFUNCTION("INDEX(IMPORTRANGE(""17pNv02DXDpQT9S3w4-QeNym2QJy2BzMBqDXp-XtzJBM"", ""'SNG'!BH3:BH139""),MATCH($D87,IMPORTRANGE(""17pNv02DXDpQT9S3w4-QeNym2QJy2BzMBqDXp-XtzJBM"", ""'SNG'!D3:D139""),0))"),237)</f>
        <v>237</v>
      </c>
      <c r="AA87" s="12">
        <f ca="1">IFERROR(__xludf.DUMMYFUNCTION("INDEX(IMPORTRANGE(""17pNv02DXDpQT9S3w4-QeNym2QJy2BzMBqDXp-XtzJBM"", ""'SNG'!BI3:BI139""),MATCH($D87,IMPORTRANGE(""17pNv02DXDpQT9S3w4-QeNym2QJy2BzMBqDXp-XtzJBM"", ""'SNG'!D3:D139""),0))"),555)</f>
        <v>555</v>
      </c>
      <c r="AB87" s="12">
        <f ca="1">IFERROR(__xludf.DUMMYFUNCTION("INDEX(IMPORTRANGE(""17pNv02DXDpQT9S3w4-QeNym2QJy2BzMBqDXp-XtzJBM"", ""'SNG'!BJ3:BJ139""),MATCH($D87,IMPORTRANGE(""17pNv02DXDpQT9S3w4-QeNym2QJy2BzMBqDXp-XtzJBM"", ""'SNG'!D3:D139""),0))"),238)</f>
        <v>238</v>
      </c>
      <c r="AC87" s="12">
        <f ca="1">IFERROR(__xludf.DUMMYFUNCTION("INDEX(IMPORTRANGE(""17pNv02DXDpQT9S3w4-QeNym2QJy2BzMBqDXp-XtzJBM"", ""'SNG'!BK3:BK139""),MATCH($D87,IMPORTRANGE(""17pNv02DXDpQT9S3w4-QeNym2QJy2BzMBqDXp-XtzJBM"", ""'SNG'!D3:D139""),0))"),481)</f>
        <v>481</v>
      </c>
      <c r="AD87" s="12">
        <f ca="1">IFERROR(__xludf.DUMMYFUNCTION("INDEX(IMPORTRANGE(""17pNv02DXDpQT9S3w4-QeNym2QJy2BzMBqDXp-XtzJBM"", ""'SNG'!BL3:BL139""),MATCH($D87,IMPORTRANGE(""17pNv02DXDpQT9S3w4-QeNym2QJy2BzMBqDXp-XtzJBM"", ""'SNG'!D3:D139""),0))"),194)</f>
        <v>194</v>
      </c>
      <c r="AE87" s="12">
        <f ca="1">IFERROR(__xludf.DUMMYFUNCTION("INDEX(IMPORTRANGE(""17pNv02DXDpQT9S3w4-QeNym2QJy2BzMBqDXp-XtzJBM"", ""'SNG'!BM3:BM139""),MATCH($D87,IMPORTRANGE(""17pNv02DXDpQT9S3w4-QeNym2QJy2BzMBqDXp-XtzJBM"", ""'SNG'!D3:D139""),0))"),389)</f>
        <v>389</v>
      </c>
    </row>
    <row r="88" spans="1:31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717</v>
      </c>
      <c r="R88" s="12">
        <v>1408</v>
      </c>
      <c r="S88" s="12">
        <f ca="1">IFERROR(__xludf.DUMMYFUNCTION("INDEX(IMPORTRANGE(""17pNv02DXDpQT9S3w4-QeNym2QJy2BzMBqDXp-XtzJBM"", ""'SNG'!BG3:BG139""),MATCH($D88,IMPORTRANGE(""17pNv02DXDpQT9S3w4-QeNym2QJy2BzMBqDXp-XtzJBM"", ""'SNG'!D3:D139""),0))"),1312)</f>
        <v>1312</v>
      </c>
      <c r="T88" s="13"/>
      <c r="U88" s="13"/>
      <c r="V88" s="13"/>
      <c r="W88" s="13"/>
      <c r="X88" s="13"/>
      <c r="Y88" s="13"/>
      <c r="Z88" s="12">
        <f ca="1">IFERROR(__xludf.DUMMYFUNCTION("INDEX(IMPORTRANGE(""17pNv02DXDpQT9S3w4-QeNym2QJy2BzMBqDXp-XtzJBM"", ""'SNG'!BH3:BH139""),MATCH($D88,IMPORTRANGE(""17pNv02DXDpQT9S3w4-QeNym2QJy2BzMBqDXp-XtzJBM"", ""'SNG'!D3:D139""),0))"),593)</f>
        <v>593</v>
      </c>
      <c r="AA88" s="12">
        <f ca="1">IFERROR(__xludf.DUMMYFUNCTION("INDEX(IMPORTRANGE(""17pNv02DXDpQT9S3w4-QeNym2QJy2BzMBqDXp-XtzJBM"", ""'SNG'!BI3:BI139""),MATCH($D88,IMPORTRANGE(""17pNv02DXDpQT9S3w4-QeNym2QJy2BzMBqDXp-XtzJBM"", ""'SNG'!D3:D139""),0))"),599)</f>
        <v>599</v>
      </c>
      <c r="AB88" s="12">
        <f ca="1">IFERROR(__xludf.DUMMYFUNCTION("INDEX(IMPORTRANGE(""17pNv02DXDpQT9S3w4-QeNym2QJy2BzMBqDXp-XtzJBM"", ""'SNG'!BJ3:BJ139""),MATCH($D88,IMPORTRANGE(""17pNv02DXDpQT9S3w4-QeNym2QJy2BzMBqDXp-XtzJBM"", ""'SNG'!D3:D139""),0))"),29)</f>
        <v>29</v>
      </c>
      <c r="AC88" s="12">
        <f ca="1">IFERROR(__xludf.DUMMYFUNCTION("INDEX(IMPORTRANGE(""17pNv02DXDpQT9S3w4-QeNym2QJy2BzMBqDXp-XtzJBM"", ""'SNG'!BK3:BK139""),MATCH($D88,IMPORTRANGE(""17pNv02DXDpQT9S3w4-QeNym2QJy2BzMBqDXp-XtzJBM"", ""'SNG'!D3:D139""),0))"),87)</f>
        <v>87</v>
      </c>
      <c r="AD88" s="12">
        <f ca="1">IFERROR(__xludf.DUMMYFUNCTION("INDEX(IMPORTRANGE(""17pNv02DXDpQT9S3w4-QeNym2QJy2BzMBqDXp-XtzJBM"", ""'SNG'!BL3:BL139""),MATCH($D88,IMPORTRANGE(""17pNv02DXDpQT9S3w4-QeNym2QJy2BzMBqDXp-XtzJBM"", ""'SNG'!D3:D139""),0))"),32)</f>
        <v>32</v>
      </c>
      <c r="AE88" s="12">
        <f ca="1">IFERROR(__xludf.DUMMYFUNCTION("INDEX(IMPORTRANGE(""17pNv02DXDpQT9S3w4-QeNym2QJy2BzMBqDXp-XtzJBM"", ""'SNG'!BM3:BM139""),MATCH($D88,IMPORTRANGE(""17pNv02DXDpQT9S3w4-QeNym2QJy2BzMBqDXp-XtzJBM"", ""'SNG'!D3:D139""),0))"),61)</f>
        <v>61</v>
      </c>
    </row>
    <row r="89" spans="1:31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 t="shared" ref="Q89:R89" si="23">SUM(Q84:Q88)</f>
        <v>5753</v>
      </c>
      <c r="R89" s="12">
        <f t="shared" si="23"/>
        <v>10835</v>
      </c>
      <c r="S89" s="12">
        <f ca="1">IFERROR(__xludf.DUMMYFUNCTION("INDEX(IMPORTRANGE(""17pNv02DXDpQT9S3w4-QeNym2QJy2BzMBqDXp-XtzJBM"", ""'SNG'!BG3:BG139""),MATCH($D89,IMPORTRANGE(""17pNv02DXDpQT9S3w4-QeNym2QJy2BzMBqDXp-XtzJBM"", ""'SNG'!D3:D139""),0))"),10033)</f>
        <v>10033</v>
      </c>
      <c r="T89" s="2">
        <v>10654</v>
      </c>
      <c r="U89" s="2">
        <v>5561</v>
      </c>
      <c r="V89" s="2">
        <v>10474</v>
      </c>
      <c r="W89" s="2">
        <v>5465</v>
      </c>
      <c r="X89" s="24">
        <f ca="1">+S89*(1+(Y89-R89)/R89)</f>
        <v>9531.1185048454081</v>
      </c>
      <c r="Y89" s="2">
        <v>10293</v>
      </c>
      <c r="Z89" s="12">
        <f ca="1">IFERROR(__xludf.DUMMYFUNCTION("INDEX(IMPORTRANGE(""17pNv02DXDpQT9S3w4-QeNym2QJy2BzMBqDXp-XtzJBM"", ""'SNG'!BH3:BH139""),MATCH($D89,IMPORTRANGE(""17pNv02DXDpQT9S3w4-QeNym2QJy2BzMBqDXp-XtzJBM"", ""'SNG'!D3:D139""),0))"),5166)</f>
        <v>5166</v>
      </c>
      <c r="AA89" s="12">
        <f ca="1">IFERROR(__xludf.DUMMYFUNCTION("INDEX(IMPORTRANGE(""17pNv02DXDpQT9S3w4-QeNym2QJy2BzMBqDXp-XtzJBM"", ""'SNG'!BI3:BI139""),MATCH($D89,IMPORTRANGE(""17pNv02DXDpQT9S3w4-QeNym2QJy2BzMBqDXp-XtzJBM"", ""'SNG'!D3:D139""),0))"),11186)</f>
        <v>11186</v>
      </c>
      <c r="AB89" s="12">
        <f ca="1">IFERROR(__xludf.DUMMYFUNCTION("INDEX(IMPORTRANGE(""17pNv02DXDpQT9S3w4-QeNym2QJy2BzMBqDXp-XtzJBM"", ""'SNG'!BJ3:BJ139""),MATCH($D89,IMPORTRANGE(""17pNv02DXDpQT9S3w4-QeNym2QJy2BzMBqDXp-XtzJBM"", ""'SNG'!D3:D139""),0))"),5425)</f>
        <v>5425</v>
      </c>
      <c r="AC89" s="12">
        <f ca="1">IFERROR(__xludf.DUMMYFUNCTION("INDEX(IMPORTRANGE(""17pNv02DXDpQT9S3w4-QeNym2QJy2BzMBqDXp-XtzJBM"", ""'SNG'!BK3:BK139""),MATCH($D89,IMPORTRANGE(""17pNv02DXDpQT9S3w4-QeNym2QJy2BzMBqDXp-XtzJBM"", ""'SNG'!D3:D139""),0))"),11487)</f>
        <v>11487</v>
      </c>
      <c r="AD89" s="12">
        <f ca="1">IFERROR(__xludf.DUMMYFUNCTION("INDEX(IMPORTRANGE(""17pNv02DXDpQT9S3w4-QeNym2QJy2BzMBqDXp-XtzJBM"", ""'SNG'!BL3:BL139""),MATCH($D89,IMPORTRANGE(""17pNv02DXDpQT9S3w4-QeNym2QJy2BzMBqDXp-XtzJBM"", ""'SNG'!D3:D139""),0))"),5046)</f>
        <v>5046</v>
      </c>
      <c r="AE89" s="12">
        <f ca="1">IFERROR(__xludf.DUMMYFUNCTION("INDEX(IMPORTRANGE(""17pNv02DXDpQT9S3w4-QeNym2QJy2BzMBqDXp-XtzJBM"", ""'SNG'!BM3:BM139""),MATCH($D89,IMPORTRANGE(""17pNv02DXDpQT9S3w4-QeNym2QJy2BzMBqDXp-XtzJBM"", ""'SNG'!D3:D139""),0))"),8749)</f>
        <v>8749</v>
      </c>
    </row>
    <row r="90" spans="1:31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0</v>
      </c>
      <c r="R90" s="2">
        <v>0</v>
      </c>
      <c r="S90" s="2">
        <f ca="1">IFERROR(__xludf.DUMMYFUNCTION("INDEX(IMPORTRANGE(""17pNv02DXDpQT9S3w4-QeNym2QJy2BzMBqDXp-XtzJBM"", ""'SNG'!BG3:BG139""),MATCH($D90,IMPORTRANGE(""17pNv02DXDpQT9S3w4-QeNym2QJy2BzMBqDXp-XtzJBM"", ""'SNG'!D3:D139""),0))"),0)</f>
        <v>0</v>
      </c>
      <c r="T90" s="2">
        <v>115</v>
      </c>
      <c r="U90" s="2">
        <v>58</v>
      </c>
      <c r="V90" s="2">
        <v>115</v>
      </c>
      <c r="W90" s="2">
        <v>58</v>
      </c>
      <c r="X90" s="2">
        <v>115</v>
      </c>
      <c r="Y90" s="2">
        <v>346</v>
      </c>
      <c r="Z90" s="2">
        <f ca="1">IFERROR(__xludf.DUMMYFUNCTION("INDEX(IMPORTRANGE(""17pNv02DXDpQT9S3w4-QeNym2QJy2BzMBqDXp-XtzJBM"", ""'SNG'!BH3:BH139""),MATCH($D90,IMPORTRANGE(""17pNv02DXDpQT9S3w4-QeNym2QJy2BzMBqDXp-XtzJBM"", ""'SNG'!D3:D139""),0))"),22)</f>
        <v>22</v>
      </c>
      <c r="AA90" s="2">
        <f ca="1">IFERROR(__xludf.DUMMYFUNCTION("INDEX(IMPORTRANGE(""17pNv02DXDpQT9S3w4-QeNym2QJy2BzMBqDXp-XtzJBM"", ""'SNG'!BI3:BI139""),MATCH($D90,IMPORTRANGE(""17pNv02DXDpQT9S3w4-QeNym2QJy2BzMBqDXp-XtzJBM"", ""'SNG'!D3:D139""),0))"),66)</f>
        <v>66</v>
      </c>
      <c r="AB90" s="2">
        <f ca="1">IFERROR(__xludf.DUMMYFUNCTION("INDEX(IMPORTRANGE(""17pNv02DXDpQT9S3w4-QeNym2QJy2BzMBqDXp-XtzJBM"", ""'SNG'!BJ3:BJ139""),MATCH($D90,IMPORTRANGE(""17pNv02DXDpQT9S3w4-QeNym2QJy2BzMBqDXp-XtzJBM"", ""'SNG'!D3:D139""),0))"),88)</f>
        <v>88</v>
      </c>
      <c r="AC90" s="2">
        <f ca="1">IFERROR(__xludf.DUMMYFUNCTION("INDEX(IMPORTRANGE(""17pNv02DXDpQT9S3w4-QeNym2QJy2BzMBqDXp-XtzJBM"", ""'SNG'!BK3:BK139""),MATCH($D90,IMPORTRANGE(""17pNv02DXDpQT9S3w4-QeNym2QJy2BzMBqDXp-XtzJBM"", ""'SNG'!D3:D139""),0))"),337)</f>
        <v>337</v>
      </c>
      <c r="AD90" s="2">
        <f ca="1">IFERROR(__xludf.DUMMYFUNCTION("INDEX(IMPORTRANGE(""17pNv02DXDpQT9S3w4-QeNym2QJy2BzMBqDXp-XtzJBM"", ""'SNG'!BL3:BL139""),MATCH($D90,IMPORTRANGE(""17pNv02DXDpQT9S3w4-QeNym2QJy2BzMBqDXp-XtzJBM"", ""'SNG'!D3:D139""),0))"),235)</f>
        <v>235</v>
      </c>
      <c r="AE90" s="2">
        <f ca="1">IFERROR(__xludf.DUMMYFUNCTION("INDEX(IMPORTRANGE(""17pNv02DXDpQT9S3w4-QeNym2QJy2BzMBqDXp-XtzJBM"", ""'SNG'!BM3:BM139""),MATCH($D90,IMPORTRANGE(""17pNv02DXDpQT9S3w4-QeNym2QJy2BzMBqDXp-XtzJBM"", ""'SNG'!D3:D139""),0))"),499)</f>
        <v>499</v>
      </c>
    </row>
    <row r="91" spans="1:31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1" t="s">
        <v>361</v>
      </c>
      <c r="P91" s="11">
        <v>45565</v>
      </c>
      <c r="Q91" s="12">
        <v>2</v>
      </c>
      <c r="R91" s="12">
        <v>2</v>
      </c>
      <c r="S91" s="12">
        <f ca="1">IFERROR(__xludf.DUMMYFUNCTION("INDEX(IMPORTRANGE(""17pNv02DXDpQT9S3w4-QeNym2QJy2BzMBqDXp-XtzJBM"", ""'SNG'!BG3:BG139""),MATCH($D91,IMPORTRANGE(""17pNv02DXDpQT9S3w4-QeNym2QJy2BzMBqDXp-XtzJBM"", ""'SNG'!D3:D139""),0))"),2)</f>
        <v>2</v>
      </c>
      <c r="T91" s="2">
        <v>10</v>
      </c>
      <c r="U91" s="2">
        <v>30</v>
      </c>
      <c r="V91" s="2">
        <v>50</v>
      </c>
      <c r="W91" s="2">
        <v>70</v>
      </c>
      <c r="X91" s="29">
        <f>(Y91-W91)/6*5+W91</f>
        <v>78.333333333333329</v>
      </c>
      <c r="Y91" s="2">
        <v>80</v>
      </c>
      <c r="Z91" s="2">
        <f ca="1">IFERROR(__xludf.DUMMYFUNCTION("INDEX(IMPORTRANGE(""17pNv02DXDpQT9S3w4-QeNym2QJy2BzMBqDXp-XtzJBM"", ""'SNG'!BH3:BH139""),MATCH($D91,IMPORTRANGE(""17pNv02DXDpQT9S3w4-QeNym2QJy2BzMBqDXp-XtzJBM"", ""'SNG'!D3:D139""),0))"),2)</f>
        <v>2</v>
      </c>
      <c r="AA91" s="2">
        <f ca="1">IFERROR(__xludf.DUMMYFUNCTION("INDEX(IMPORTRANGE(""17pNv02DXDpQT9S3w4-QeNym2QJy2BzMBqDXp-XtzJBM"", ""'SNG'!BI3:BI139""),MATCH($D91,IMPORTRANGE(""17pNv02DXDpQT9S3w4-QeNym2QJy2BzMBqDXp-XtzJBM"", ""'SNG'!D3:D139""),0))"),10)</f>
        <v>10</v>
      </c>
      <c r="AB91" s="2">
        <f ca="1">IFERROR(__xludf.DUMMYFUNCTION("INDEX(IMPORTRANGE(""17pNv02DXDpQT9S3w4-QeNym2QJy2BzMBqDXp-XtzJBM"", ""'SNG'!BJ3:BJ139""),MATCH($D91,IMPORTRANGE(""17pNv02DXDpQT9S3w4-QeNym2QJy2BzMBqDXp-XtzJBM"", ""'SNG'!D3:D139""),0))"),30)</f>
        <v>30</v>
      </c>
      <c r="AC91" s="2">
        <f ca="1">IFERROR(__xludf.DUMMYFUNCTION("INDEX(IMPORTRANGE(""17pNv02DXDpQT9S3w4-QeNym2QJy2BzMBqDXp-XtzJBM"", ""'SNG'!BK3:BK139""),MATCH($D91,IMPORTRANGE(""17pNv02DXDpQT9S3w4-QeNym2QJy2BzMBqDXp-XtzJBM"", ""'SNG'!D3:D139""),0))"),36)</f>
        <v>36</v>
      </c>
      <c r="AD91" s="2">
        <f ca="1">IFERROR(__xludf.DUMMYFUNCTION("INDEX(IMPORTRANGE(""17pNv02DXDpQT9S3w4-QeNym2QJy2BzMBqDXp-XtzJBM"", ""'SNG'!BL3:BL139""),MATCH($D91,IMPORTRANGE(""17pNv02DXDpQT9S3w4-QeNym2QJy2BzMBqDXp-XtzJBM"", ""'SNG'!D3:D139""),0))"),71)</f>
        <v>71</v>
      </c>
      <c r="AE91" s="2">
        <f ca="1">IFERROR(__xludf.DUMMYFUNCTION("INDEX(IMPORTRANGE(""17pNv02DXDpQT9S3w4-QeNym2QJy2BzMBqDXp-XtzJBM"", ""'SNG'!BM3:BM139""),MATCH($D91,IMPORTRANGE(""17pNv02DXDpQT9S3w4-QeNym2QJy2BzMBqDXp-XtzJBM"", ""'SNG'!D3:D139""),0))"),78)</f>
        <v>78</v>
      </c>
    </row>
    <row r="92" spans="1:31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23">
        <v>95.55</v>
      </c>
      <c r="R92" s="23">
        <v>95.55</v>
      </c>
      <c r="S92" s="23">
        <f ca="1">IFERROR(__xludf.DUMMYFUNCTION("INDEX(IMPORTRANGE(""17pNv02DXDpQT9S3w4-QeNym2QJy2BzMBqDXp-XtzJBM"", ""'SNG'!BG3:BG139""),MATCH($D92,IMPORTRANGE(""17pNv02DXDpQT9S3w4-QeNym2QJy2BzMBqDXp-XtzJBM"", ""'SNG'!D3:D139""),0))"),95.55)</f>
        <v>95.55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3">
        <f ca="1">IFERROR(__xludf.DUMMYFUNCTION("INDEX(IMPORTRANGE(""17pNv02DXDpQT9S3w4-QeNym2QJy2BzMBqDXp-XtzJBM"", ""'SNG'!BH3:BH139""),MATCH($D92,IMPORTRANGE(""17pNv02DXDpQT9S3w4-QeNym2QJy2BzMBqDXp-XtzJBM"", ""'SNG'!D3:D139""),0))"),95.27)</f>
        <v>95.27</v>
      </c>
      <c r="AA92" s="23">
        <f ca="1">IFERROR(__xludf.DUMMYFUNCTION("INDEX(IMPORTRANGE(""17pNv02DXDpQT9S3w4-QeNym2QJy2BzMBqDXp-XtzJBM"", ""'SNG'!BI3:BI139""),MATCH($D92,IMPORTRANGE(""17pNv02DXDpQT9S3w4-QeNym2QJy2BzMBqDXp-XtzJBM"", ""'SNG'!D3:D139""),0))"),90.61)</f>
        <v>90.61</v>
      </c>
      <c r="AB92" s="23">
        <f ca="1">IFERROR(__xludf.DUMMYFUNCTION("INDEX(IMPORTRANGE(""17pNv02DXDpQT9S3w4-QeNym2QJy2BzMBqDXp-XtzJBM"", ""'SNG'!BJ3:BJ139""),MATCH($D92,IMPORTRANGE(""17pNv02DXDpQT9S3w4-QeNym2QJy2BzMBqDXp-XtzJBM"", ""'SNG'!D3:D139""),0))"),95.79)</f>
        <v>95.79</v>
      </c>
      <c r="AC92" s="23">
        <f ca="1">IFERROR(__xludf.DUMMYFUNCTION("INDEX(IMPORTRANGE(""17pNv02DXDpQT9S3w4-QeNym2QJy2BzMBqDXp-XtzJBM"", ""'SNG'!BK3:BK139""),MATCH($D92,IMPORTRANGE(""17pNv02DXDpQT9S3w4-QeNym2QJy2BzMBqDXp-XtzJBM"", ""'SNG'!D3:D139""),0))"),97.7)</f>
        <v>97.7</v>
      </c>
      <c r="AD92" s="23">
        <f ca="1">IFERROR(__xludf.DUMMYFUNCTION("INDEX(IMPORTRANGE(""17pNv02DXDpQT9S3w4-QeNym2QJy2BzMBqDXp-XtzJBM"", ""'SNG'!BL3:BL139""),MATCH($D92,IMPORTRANGE(""17pNv02DXDpQT9S3w4-QeNym2QJy2BzMBqDXp-XtzJBM"", ""'SNG'!D3:D139""),0))"),100)</f>
        <v>100</v>
      </c>
      <c r="AE92" s="23">
        <f ca="1">IFERROR(__xludf.DUMMYFUNCTION("INDEX(IMPORTRANGE(""17pNv02DXDpQT9S3w4-QeNym2QJy2BzMBqDXp-XtzJBM"", ""'SNG'!BM3:BM139""),MATCH($D92,IMPORTRANGE(""17pNv02DXDpQT9S3w4-QeNym2QJy2BzMBqDXp-XtzJBM"", ""'SNG'!D3:D139""),0))"),100)</f>
        <v>100</v>
      </c>
    </row>
    <row r="93" spans="1:31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""'SNG'!BG3:BG139""),MATCH($D93,IMPORTRANGE(""17pNv02DXDpQT9S3w4-QeNym2QJy2BzMBqDXp-XtzJBM"", ""'SNG'!D3:D139""),0))"),0)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23">
        <f ca="1">IFERROR(__xludf.DUMMYFUNCTION("INDEX(IMPORTRANGE(""17pNv02DXDpQT9S3w4-QeNym2QJy2BzMBqDXp-XtzJBM"", ""'SNG'!BH3:BH139""),MATCH($D93,IMPORTRANGE(""17pNv02DXDpQT9S3w4-QeNym2QJy2BzMBqDXp-XtzJBM"", ""'SNG'!D3:D139""),0))"),0)</f>
        <v>0</v>
      </c>
      <c r="AA93" s="23">
        <f ca="1">IFERROR(__xludf.DUMMYFUNCTION("INDEX(IMPORTRANGE(""17pNv02DXDpQT9S3w4-QeNym2QJy2BzMBqDXp-XtzJBM"", ""'SNG'!BI3:BI139""),MATCH($D93,IMPORTRANGE(""17pNv02DXDpQT9S3w4-QeNym2QJy2BzMBqDXp-XtzJBM"", ""'SNG'!D3:D139""),0))"),1.57142857142857)</f>
        <v>1.5714285714285701</v>
      </c>
      <c r="AB93" s="23">
        <f ca="1">IFERROR(__xludf.DUMMYFUNCTION("INDEX(IMPORTRANGE(""17pNv02DXDpQT9S3w4-QeNym2QJy2BzMBqDXp-XtzJBM"", ""'SNG'!BJ3:BJ139""),MATCH($D93,IMPORTRANGE(""17pNv02DXDpQT9S3w4-QeNym2QJy2BzMBqDXp-XtzJBM"", ""'SNG'!D3:D139""),0))"),3.83974358974358)</f>
        <v>3.8397435897435801</v>
      </c>
      <c r="AC93" s="23">
        <f ca="1">IFERROR(__xludf.DUMMYFUNCTION("INDEX(IMPORTRANGE(""17pNv02DXDpQT9S3w4-QeNym2QJy2BzMBqDXp-XtzJBM"", ""'SNG'!BK3:BK139""),MATCH($D93,IMPORTRANGE(""17pNv02DXDpQT9S3w4-QeNym2QJy2BzMBqDXp-XtzJBM"", ""'SNG'!D3:D139""),0))"),3.63759769642122)</f>
        <v>3.6375976964212202</v>
      </c>
      <c r="AD93" s="23">
        <f ca="1">IFERROR(__xludf.DUMMYFUNCTION("INDEX(IMPORTRANGE(""17pNv02DXDpQT9S3w4-QeNym2QJy2BzMBqDXp-XtzJBM"", ""'SNG'!BL3:BL139""),MATCH($D93,IMPORTRANGE(""17pNv02DXDpQT9S3w4-QeNym2QJy2BzMBqDXp-XtzJBM"", ""'SNG'!D3:D139""),0))"),3.67832167832167)</f>
        <v>3.6783216783216699</v>
      </c>
      <c r="AE93" s="23">
        <f ca="1">IFERROR(__xludf.DUMMYFUNCTION("INDEX(IMPORTRANGE(""17pNv02DXDpQT9S3w4-QeNym2QJy2BzMBqDXp-XtzJBM"", ""'SNG'!BM3:BM139""),MATCH($D93,IMPORTRANGE(""17pNv02DXDpQT9S3w4-QeNym2QJy2BzMBqDXp-XtzJBM"", ""'SNG'!D3:D139""),0))"),3.77622377622377)</f>
        <v>3.77622377622377</v>
      </c>
    </row>
    <row r="94" spans="1:31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49">
        <v>44440</v>
      </c>
      <c r="J94" s="11">
        <v>44651</v>
      </c>
      <c r="K94" s="13"/>
      <c r="L94" s="11">
        <v>45016</v>
      </c>
      <c r="M94" s="13"/>
      <c r="N94" s="11">
        <v>45382</v>
      </c>
      <c r="O94" s="11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""'SNG'!BG3:BG139""),MATCH($D94,IMPORTRANGE(""17pNv02DXDpQT9S3w4-QeNym2QJy2BzMBqDXp-XtzJBM"", ""'SNG'!D3:D139""),0))"),"")</f>
        <v/>
      </c>
      <c r="T94" s="13"/>
      <c r="U94" s="13"/>
      <c r="V94" s="13"/>
      <c r="W94" s="13"/>
      <c r="X94" s="13"/>
      <c r="Y94" s="13"/>
      <c r="Z94" s="12">
        <f ca="1">IFERROR(__xludf.DUMMYFUNCTION("INDEX(IMPORTRANGE(""17pNv02DXDpQT9S3w4-QeNym2QJy2BzMBqDXp-XtzJBM"", ""'SNG'!BH3:BH139""),MATCH($D94,IMPORTRANGE(""17pNv02DXDpQT9S3w4-QeNym2QJy2BzMBqDXp-XtzJBM"", ""'SNG'!D3:D139""),0))"),1)</f>
        <v>1</v>
      </c>
      <c r="AA94" s="12">
        <f ca="1">IFERROR(__xludf.DUMMYFUNCTION("INDEX(IMPORTRANGE(""17pNv02DXDpQT9S3w4-QeNym2QJy2BzMBqDXp-XtzJBM"", ""'SNG'!BI3:BI139""),MATCH($D94,IMPORTRANGE(""17pNv02DXDpQT9S3w4-QeNym2QJy2BzMBqDXp-XtzJBM"", ""'SNG'!D3:D139""),0))"),1)</f>
        <v>1</v>
      </c>
      <c r="AB94" s="12">
        <f ca="1">IFERROR(__xludf.DUMMYFUNCTION("INDEX(IMPORTRANGE(""17pNv02DXDpQT9S3w4-QeNym2QJy2BzMBqDXp-XtzJBM"", ""'SNG'!BJ3:BJ139""),MATCH($D94,IMPORTRANGE(""17pNv02DXDpQT9S3w4-QeNym2QJy2BzMBqDXp-XtzJBM"", ""'SNG'!D3:D139""),0))"),3)</f>
        <v>3</v>
      </c>
      <c r="AC94" s="12" t="str">
        <f ca="1">IFERROR(__xludf.DUMMYFUNCTION("INDEX(IMPORTRANGE(""17pNv02DXDpQT9S3w4-QeNym2QJy2BzMBqDXp-XtzJBM"", ""'SNG'!BK3:BK139""),MATCH($D94,IMPORTRANGE(""17pNv02DXDpQT9S3w4-QeNym2QJy2BzMBqDXp-XtzJBM"", ""'SNG'!D3:D139""),0))"),"")</f>
        <v/>
      </c>
      <c r="AD94" s="12">
        <f ca="1">IFERROR(__xludf.DUMMYFUNCTION("INDEX(IMPORTRANGE(""17pNv02DXDpQT9S3w4-QeNym2QJy2BzMBqDXp-XtzJBM"", ""'SNG'!BL3:BL139""),MATCH($D94,IMPORTRANGE(""17pNv02DXDpQT9S3w4-QeNym2QJy2BzMBqDXp-XtzJBM"", ""'SNG'!D3:D139""),0))"),5)</f>
        <v>5</v>
      </c>
      <c r="AE94" s="12">
        <f ca="1">IFERROR(__xludf.DUMMYFUNCTION("INDEX(IMPORTRANGE(""17pNv02DXDpQT9S3w4-QeNym2QJy2BzMBqDXp-XtzJBM"", ""'SNG'!BM3:BM139""),MATCH($D94,IMPORTRANGE(""17pNv02DXDpQT9S3w4-QeNym2QJy2BzMBqDXp-XtzJBM"", ""'SNG'!D3:D139""),0))"),5)</f>
        <v>5</v>
      </c>
    </row>
    <row r="95" spans="1:31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49">
        <v>44440</v>
      </c>
      <c r="J95" s="11">
        <v>44651</v>
      </c>
      <c r="K95" s="13"/>
      <c r="L95" s="11">
        <v>45016</v>
      </c>
      <c r="M95" s="13"/>
      <c r="N95" s="11">
        <v>45382</v>
      </c>
      <c r="O95" s="11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""'SNG'!BG3:BG139""),MATCH($D95,IMPORTRANGE(""17pNv02DXDpQT9S3w4-QeNym2QJy2BzMBqDXp-XtzJBM"", ""'SNG'!D3:D139""),0))"),"")</f>
        <v/>
      </c>
      <c r="T95" s="13"/>
      <c r="U95" s="13"/>
      <c r="V95" s="13"/>
      <c r="W95" s="13"/>
      <c r="X95" s="13"/>
      <c r="Y95" s="13"/>
      <c r="Z95" s="12">
        <f ca="1">IFERROR(__xludf.DUMMYFUNCTION("INDEX(IMPORTRANGE(""17pNv02DXDpQT9S3w4-QeNym2QJy2BzMBqDXp-XtzJBM"", ""'SNG'!BH3:BH139""),MATCH($D95,IMPORTRANGE(""17pNv02DXDpQT9S3w4-QeNym2QJy2BzMBqDXp-XtzJBM"", ""'SNG'!D3:D139""),0))"),10)</f>
        <v>10</v>
      </c>
      <c r="AA95" s="12">
        <f ca="1">IFERROR(__xludf.DUMMYFUNCTION("INDEX(IMPORTRANGE(""17pNv02DXDpQT9S3w4-QeNym2QJy2BzMBqDXp-XtzJBM"", ""'SNG'!BI3:BI139""),MATCH($D95,IMPORTRANGE(""17pNv02DXDpQT9S3w4-QeNym2QJy2BzMBqDXp-XtzJBM"", ""'SNG'!D3:D139""),0))"),11)</f>
        <v>11</v>
      </c>
      <c r="AB95" s="12">
        <f ca="1">IFERROR(__xludf.DUMMYFUNCTION("INDEX(IMPORTRANGE(""17pNv02DXDpQT9S3w4-QeNym2QJy2BzMBqDXp-XtzJBM"", ""'SNG'!BJ3:BJ139""),MATCH($D95,IMPORTRANGE(""17pNv02DXDpQT9S3w4-QeNym2QJy2BzMBqDXp-XtzJBM"", ""'SNG'!D3:D139""),0))"),12)</f>
        <v>12</v>
      </c>
      <c r="AC95" s="12">
        <f ca="1">IFERROR(__xludf.DUMMYFUNCTION("INDEX(IMPORTRANGE(""17pNv02DXDpQT9S3w4-QeNym2QJy2BzMBqDXp-XtzJBM"", ""'SNG'!BK3:BK139""),MATCH($D95,IMPORTRANGE(""17pNv02DXDpQT9S3w4-QeNym2QJy2BzMBqDXp-XtzJBM"", ""'SNG'!D3:D139""),0))"),0)</f>
        <v>0</v>
      </c>
      <c r="AD95" s="12">
        <f ca="1">IFERROR(__xludf.DUMMYFUNCTION("INDEX(IMPORTRANGE(""17pNv02DXDpQT9S3w4-QeNym2QJy2BzMBqDXp-XtzJBM"", ""'SNG'!BL3:BL139""),MATCH($D95,IMPORTRANGE(""17pNv02DXDpQT9S3w4-QeNym2QJy2BzMBqDXp-XtzJBM"", ""'SNG'!D3:D139""),0))"),15)</f>
        <v>15</v>
      </c>
      <c r="AE95" s="12">
        <f ca="1">IFERROR(__xludf.DUMMYFUNCTION("INDEX(IMPORTRANGE(""17pNv02DXDpQT9S3w4-QeNym2QJy2BzMBqDXp-XtzJBM"", ""'SNG'!BM3:BM139""),MATCH($D95,IMPORTRANGE(""17pNv02DXDpQT9S3w4-QeNym2QJy2BzMBqDXp-XtzJBM"", ""'SNG'!D3:D139""),0))"),15)</f>
        <v>15</v>
      </c>
    </row>
    <row r="96" spans="1:31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49">
        <v>44440</v>
      </c>
      <c r="J96" s="11">
        <v>44651</v>
      </c>
      <c r="K96" s="13"/>
      <c r="L96" s="11">
        <v>45016</v>
      </c>
      <c r="M96" s="13"/>
      <c r="N96" s="11">
        <v>45382</v>
      </c>
      <c r="O96" s="11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""'SNG'!BG3:BG139""),MATCH($D96,IMPORTRANGE(""17pNv02DXDpQT9S3w4-QeNym2QJy2BzMBqDXp-XtzJBM"", ""'SNG'!D3:D139""),0))"),"")</f>
        <v/>
      </c>
      <c r="T96" s="13"/>
      <c r="U96" s="13"/>
      <c r="V96" s="13"/>
      <c r="W96" s="13"/>
      <c r="X96" s="13"/>
      <c r="Y96" s="13"/>
      <c r="Z96" s="12">
        <f ca="1">IFERROR(__xludf.DUMMYFUNCTION("INDEX(IMPORTRANGE(""17pNv02DXDpQT9S3w4-QeNym2QJy2BzMBqDXp-XtzJBM"", ""'SNG'!BH3:BH139""),MATCH($D96,IMPORTRANGE(""17pNv02DXDpQT9S3w4-QeNym2QJy2BzMBqDXp-XtzJBM"", ""'SNG'!D3:D139""),0))"),1)</f>
        <v>1</v>
      </c>
      <c r="AA96" s="12">
        <f ca="1">IFERROR(__xludf.DUMMYFUNCTION("INDEX(IMPORTRANGE(""17pNv02DXDpQT9S3w4-QeNym2QJy2BzMBqDXp-XtzJBM"", ""'SNG'!BI3:BI139""),MATCH($D96,IMPORTRANGE(""17pNv02DXDpQT9S3w4-QeNym2QJy2BzMBqDXp-XtzJBM"", ""'SNG'!D3:D139""),0))"),1)</f>
        <v>1</v>
      </c>
      <c r="AB96" s="12">
        <f ca="1">IFERROR(__xludf.DUMMYFUNCTION("INDEX(IMPORTRANGE(""17pNv02DXDpQT9S3w4-QeNym2QJy2BzMBqDXp-XtzJBM"", ""'SNG'!BJ3:BJ139""),MATCH($D96,IMPORTRANGE(""17pNv02DXDpQT9S3w4-QeNym2QJy2BzMBqDXp-XtzJBM"", ""'SNG'!D3:D139""),0))"),1)</f>
        <v>1</v>
      </c>
      <c r="AC96" s="12" t="str">
        <f ca="1">IFERROR(__xludf.DUMMYFUNCTION("INDEX(IMPORTRANGE(""17pNv02DXDpQT9S3w4-QeNym2QJy2BzMBqDXp-XtzJBM"", ""'SNG'!BK3:BK139""),MATCH($D96,IMPORTRANGE(""17pNv02DXDpQT9S3w4-QeNym2QJy2BzMBqDXp-XtzJBM"", ""'SNG'!D3:D139""),0))"),"")</f>
        <v/>
      </c>
      <c r="AD96" s="12">
        <f ca="1">IFERROR(__xludf.DUMMYFUNCTION("INDEX(IMPORTRANGE(""17pNv02DXDpQT9S3w4-QeNym2QJy2BzMBqDXp-XtzJBM"", ""'SNG'!BL3:BL139""),MATCH($D96,IMPORTRANGE(""17pNv02DXDpQT9S3w4-QeNym2QJy2BzMBqDXp-XtzJBM"", ""'SNG'!D3:D139""),0))"),1)</f>
        <v>1</v>
      </c>
      <c r="AE96" s="12">
        <f ca="1">IFERROR(__xludf.DUMMYFUNCTION("INDEX(IMPORTRANGE(""17pNv02DXDpQT9S3w4-QeNym2QJy2BzMBqDXp-XtzJBM"", ""'SNG'!BM3:BM139""),MATCH($D96,IMPORTRANGE(""17pNv02DXDpQT9S3w4-QeNym2QJy2BzMBqDXp-XtzJBM"", ""'SNG'!D3:D139""),0))"),1)</f>
        <v>1</v>
      </c>
    </row>
    <row r="97" spans="1:31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49">
        <v>44440</v>
      </c>
      <c r="J97" s="11">
        <v>44651</v>
      </c>
      <c r="K97" s="13"/>
      <c r="L97" s="11">
        <v>45016</v>
      </c>
      <c r="M97" s="13"/>
      <c r="N97" s="11">
        <v>45382</v>
      </c>
      <c r="O97" s="11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""'SNG'!BG3:BG139""),MATCH($D97,IMPORTRANGE(""17pNv02DXDpQT9S3w4-QeNym2QJy2BzMBqDXp-XtzJBM"", ""'SNG'!D3:D139""),0))"),"")</f>
        <v/>
      </c>
      <c r="T97" s="13"/>
      <c r="U97" s="13"/>
      <c r="V97" s="13"/>
      <c r="W97" s="13"/>
      <c r="X97" s="13"/>
      <c r="Y97" s="13"/>
      <c r="Z97" s="12">
        <f ca="1">IFERROR(__xludf.DUMMYFUNCTION("INDEX(IMPORTRANGE(""17pNv02DXDpQT9S3w4-QeNym2QJy2BzMBqDXp-XtzJBM"", ""'SNG'!BH3:BH139""),MATCH($D97,IMPORTRANGE(""17pNv02DXDpQT9S3w4-QeNym2QJy2BzMBqDXp-XtzJBM"", ""'SNG'!D3:D139""),0))"),2)</f>
        <v>2</v>
      </c>
      <c r="AA97" s="12">
        <f ca="1">IFERROR(__xludf.DUMMYFUNCTION("INDEX(IMPORTRANGE(""17pNv02DXDpQT9S3w4-QeNym2QJy2BzMBqDXp-XtzJBM"", ""'SNG'!BI3:BI139""),MATCH($D97,IMPORTRANGE(""17pNv02DXDpQT9S3w4-QeNym2QJy2BzMBqDXp-XtzJBM"", ""'SNG'!D3:D139""),0))"),2)</f>
        <v>2</v>
      </c>
      <c r="AB97" s="12">
        <f ca="1">IFERROR(__xludf.DUMMYFUNCTION("INDEX(IMPORTRANGE(""17pNv02DXDpQT9S3w4-QeNym2QJy2BzMBqDXp-XtzJBM"", ""'SNG'!BJ3:BJ139""),MATCH($D97,IMPORTRANGE(""17pNv02DXDpQT9S3w4-QeNym2QJy2BzMBqDXp-XtzJBM"", ""'SNG'!D3:D139""),0))"),2)</f>
        <v>2</v>
      </c>
      <c r="AC97" s="12">
        <f ca="1">IFERROR(__xludf.DUMMYFUNCTION("INDEX(IMPORTRANGE(""17pNv02DXDpQT9S3w4-QeNym2QJy2BzMBqDXp-XtzJBM"", ""'SNG'!BK3:BK139""),MATCH($D97,IMPORTRANGE(""17pNv02DXDpQT9S3w4-QeNym2QJy2BzMBqDXp-XtzJBM"", ""'SNG'!D3:D139""),0))"),0)</f>
        <v>0</v>
      </c>
      <c r="AD97" s="12">
        <f ca="1">IFERROR(__xludf.DUMMYFUNCTION("INDEX(IMPORTRANGE(""17pNv02DXDpQT9S3w4-QeNym2QJy2BzMBqDXp-XtzJBM"", ""'SNG'!BL3:BL139""),MATCH($D97,IMPORTRANGE(""17pNv02DXDpQT9S3w4-QeNym2QJy2BzMBqDXp-XtzJBM"", ""'SNG'!D3:D139""),0))"),2)</f>
        <v>2</v>
      </c>
      <c r="AE97" s="12">
        <f ca="1">IFERROR(__xludf.DUMMYFUNCTION("INDEX(IMPORTRANGE(""17pNv02DXDpQT9S3w4-QeNym2QJy2BzMBqDXp-XtzJBM"", ""'SNG'!BM3:BM139""),MATCH($D97,IMPORTRANGE(""17pNv02DXDpQT9S3w4-QeNym2QJy2BzMBqDXp-XtzJBM"", ""'SNG'!D3:D139""),0))"),2)</f>
        <v>2</v>
      </c>
    </row>
    <row r="98" spans="1:31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49">
        <v>44440</v>
      </c>
      <c r="J98" s="11">
        <v>44651</v>
      </c>
      <c r="K98" s="13"/>
      <c r="L98" s="11">
        <v>45016</v>
      </c>
      <c r="M98" s="13"/>
      <c r="N98" s="11">
        <v>45382</v>
      </c>
      <c r="O98" s="11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""'SNG'!BG3:BG139""),MATCH($D98,IMPORTRANGE(""17pNv02DXDpQT9S3w4-QeNym2QJy2BzMBqDXp-XtzJBM"", ""'SNG'!D3:D139""),0))"),"")</f>
        <v/>
      </c>
      <c r="T98" s="13"/>
      <c r="U98" s="13"/>
      <c r="V98" s="13"/>
      <c r="W98" s="13"/>
      <c r="X98" s="13"/>
      <c r="Y98" s="13"/>
      <c r="Z98" s="12">
        <f ca="1">IFERROR(__xludf.DUMMYFUNCTION("INDEX(IMPORTRANGE(""17pNv02DXDpQT9S3w4-QeNym2QJy2BzMBqDXp-XtzJBM"", ""'SNG'!BH3:BH139""),MATCH($D98,IMPORTRANGE(""17pNv02DXDpQT9S3w4-QeNym2QJy2BzMBqDXp-XtzJBM"", ""'SNG'!D3:D139""),0))"),16)</f>
        <v>16</v>
      </c>
      <c r="AA98" s="12">
        <f ca="1">IFERROR(__xludf.DUMMYFUNCTION("INDEX(IMPORTRANGE(""17pNv02DXDpQT9S3w4-QeNym2QJy2BzMBqDXp-XtzJBM"", ""'SNG'!BI3:BI139""),MATCH($D98,IMPORTRANGE(""17pNv02DXDpQT9S3w4-QeNym2QJy2BzMBqDXp-XtzJBM"", ""'SNG'!D3:D139""),0))"),23)</f>
        <v>23</v>
      </c>
      <c r="AB98" s="12">
        <f ca="1">IFERROR(__xludf.DUMMYFUNCTION("INDEX(IMPORTRANGE(""17pNv02DXDpQT9S3w4-QeNym2QJy2BzMBqDXp-XtzJBM"", ""'SNG'!BJ3:BJ139""),MATCH($D98,IMPORTRANGE(""17pNv02DXDpQT9S3w4-QeNym2QJy2BzMBqDXp-XtzJBM"", ""'SNG'!D3:D139""),0))"),23)</f>
        <v>23</v>
      </c>
      <c r="AC98" s="12" t="str">
        <f ca="1">IFERROR(__xludf.DUMMYFUNCTION("INDEX(IMPORTRANGE(""17pNv02DXDpQT9S3w4-QeNym2QJy2BzMBqDXp-XtzJBM"", ""'SNG'!BK3:BK139""),MATCH($D98,IMPORTRANGE(""17pNv02DXDpQT9S3w4-QeNym2QJy2BzMBqDXp-XtzJBM"", ""'SNG'!D3:D139""),0))"),"")</f>
        <v/>
      </c>
      <c r="AD98" s="12">
        <f ca="1">IFERROR(__xludf.DUMMYFUNCTION("INDEX(IMPORTRANGE(""17pNv02DXDpQT9S3w4-QeNym2QJy2BzMBqDXp-XtzJBM"", ""'SNG'!BL3:BL139""),MATCH($D98,IMPORTRANGE(""17pNv02DXDpQT9S3w4-QeNym2QJy2BzMBqDXp-XtzJBM"", ""'SNG'!D3:D139""),0))"),32)</f>
        <v>32</v>
      </c>
      <c r="AE98" s="12">
        <f ca="1">IFERROR(__xludf.DUMMYFUNCTION("INDEX(IMPORTRANGE(""17pNv02DXDpQT9S3w4-QeNym2QJy2BzMBqDXp-XtzJBM"", ""'SNG'!BM3:BM139""),MATCH($D98,IMPORTRANGE(""17pNv02DXDpQT9S3w4-QeNym2QJy2BzMBqDXp-XtzJBM"", ""'SNG'!D3:D139""),0))"),32)</f>
        <v>32</v>
      </c>
    </row>
    <row r="99" spans="1:31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49">
        <v>44440</v>
      </c>
      <c r="J99" s="11">
        <v>44651</v>
      </c>
      <c r="K99" s="13"/>
      <c r="L99" s="11">
        <v>45016</v>
      </c>
      <c r="M99" s="13"/>
      <c r="N99" s="11">
        <v>45382</v>
      </c>
      <c r="O99" s="11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""'SNG'!BG3:BG139""),MATCH($D99,IMPORTRANGE(""17pNv02DXDpQT9S3w4-QeNym2QJy2BzMBqDXp-XtzJBM"", ""'SNG'!D3:D139""),0))"),"")</f>
        <v/>
      </c>
      <c r="T99" s="13"/>
      <c r="U99" s="13"/>
      <c r="V99" s="13"/>
      <c r="W99" s="13"/>
      <c r="X99" s="13"/>
      <c r="Y99" s="13"/>
      <c r="Z99" s="12">
        <f ca="1">IFERROR(__xludf.DUMMYFUNCTION("INDEX(IMPORTRANGE(""17pNv02DXDpQT9S3w4-QeNym2QJy2BzMBqDXp-XtzJBM"", ""'SNG'!BH3:BH139""),MATCH($D99,IMPORTRANGE(""17pNv02DXDpQT9S3w4-QeNym2QJy2BzMBqDXp-XtzJBM"", ""'SNG'!D3:D139""),0))"),53)</f>
        <v>53</v>
      </c>
      <c r="AA99" s="12">
        <f ca="1">IFERROR(__xludf.DUMMYFUNCTION("INDEX(IMPORTRANGE(""17pNv02DXDpQT9S3w4-QeNym2QJy2BzMBqDXp-XtzJBM"", ""'SNG'!BI3:BI139""),MATCH($D99,IMPORTRANGE(""17pNv02DXDpQT9S3w4-QeNym2QJy2BzMBqDXp-XtzJBM"", ""'SNG'!D3:D139""),0))"),62)</f>
        <v>62</v>
      </c>
      <c r="AB99" s="12">
        <f ca="1">IFERROR(__xludf.DUMMYFUNCTION("INDEX(IMPORTRANGE(""17pNv02DXDpQT9S3w4-QeNym2QJy2BzMBqDXp-XtzJBM"", ""'SNG'!BJ3:BJ139""),MATCH($D99,IMPORTRANGE(""17pNv02DXDpQT9S3w4-QeNym2QJy2BzMBqDXp-XtzJBM"", ""'SNG'!D3:D139""),0))"),61)</f>
        <v>61</v>
      </c>
      <c r="AC99" s="12">
        <f ca="1">IFERROR(__xludf.DUMMYFUNCTION("INDEX(IMPORTRANGE(""17pNv02DXDpQT9S3w4-QeNym2QJy2BzMBqDXp-XtzJBM"", ""'SNG'!BK3:BK139""),MATCH($D99,IMPORTRANGE(""17pNv02DXDpQT9S3w4-QeNym2QJy2BzMBqDXp-XtzJBM"", ""'SNG'!D3:D139""),0))"),0)</f>
        <v>0</v>
      </c>
      <c r="AD99" s="12">
        <f ca="1">IFERROR(__xludf.DUMMYFUNCTION("INDEX(IMPORTRANGE(""17pNv02DXDpQT9S3w4-QeNym2QJy2BzMBqDXp-XtzJBM"", ""'SNG'!BL3:BL139""),MATCH($D99,IMPORTRANGE(""17pNv02DXDpQT9S3w4-QeNym2QJy2BzMBqDXp-XtzJBM"", ""'SNG'!D3:D139""),0))"),60)</f>
        <v>60</v>
      </c>
      <c r="AE99" s="12">
        <f ca="1">IFERROR(__xludf.DUMMYFUNCTION("INDEX(IMPORTRANGE(""17pNv02DXDpQT9S3w4-QeNym2QJy2BzMBqDXp-XtzJBM"", ""'SNG'!BM3:BM139""),MATCH($D99,IMPORTRANGE(""17pNv02DXDpQT9S3w4-QeNym2QJy2BzMBqDXp-XtzJBM"", ""'SNG'!D3:D139""),0))"),60)</f>
        <v>60</v>
      </c>
    </row>
    <row r="100" spans="1:31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49">
        <v>44440</v>
      </c>
      <c r="J100" s="11">
        <v>44651</v>
      </c>
      <c r="K100" s="13"/>
      <c r="L100" s="11">
        <v>45016</v>
      </c>
      <c r="M100" s="13"/>
      <c r="N100" s="11">
        <v>45382</v>
      </c>
      <c r="O100" s="11" t="s">
        <v>361</v>
      </c>
      <c r="P100" s="11">
        <v>45565</v>
      </c>
      <c r="Q100" s="254"/>
      <c r="R100" s="254"/>
      <c r="S100" s="30" t="str">
        <f ca="1">IFERROR(__xludf.DUMMYFUNCTION("INDEX(IMPORTRANGE(""17pNv02DXDpQT9S3w4-QeNym2QJy2BzMBqDXp-XtzJBM"", ""'SNG'!BG3:BG139""),MATCH($D100,IMPORTRANGE(""17pNv02DXDpQT9S3w4-QeNym2QJy2BzMBqDXp-XtzJBM"", ""'SNG'!D3:D139""),0))"),"")</f>
        <v/>
      </c>
      <c r="T100" s="60">
        <v>0.5</v>
      </c>
      <c r="U100" s="60">
        <v>0.5</v>
      </c>
      <c r="V100" s="60">
        <v>0.5</v>
      </c>
      <c r="W100" s="60">
        <v>0.5</v>
      </c>
      <c r="X100" s="60">
        <v>0.5</v>
      </c>
      <c r="Y100" s="60">
        <v>0.5</v>
      </c>
      <c r="Z100" s="15">
        <f ca="1">IFERROR(__xludf.DUMMYFUNCTION("INDEX(IMPORTRANGE(""17pNv02DXDpQT9S3w4-QeNym2QJy2BzMBqDXp-XtzJBM"", ""'SNG'!BH3:BH139""),MATCH($D100,IMPORTRANGE(""17pNv02DXDpQT9S3w4-QeNym2QJy2BzMBqDXp-XtzJBM"", ""'SNG'!D3:D139""),0))"),0.276923076923076)</f>
        <v>0.27692307692307599</v>
      </c>
      <c r="AA100" s="15">
        <f ca="1">IFERROR(__xludf.DUMMYFUNCTION("INDEX(IMPORTRANGE(""17pNv02DXDpQT9S3w4-QeNym2QJy2BzMBqDXp-XtzJBM"", ""'SNG'!BI3:BI139""),MATCH($D100,IMPORTRANGE(""17pNv02DXDpQT9S3w4-QeNym2QJy2BzMBqDXp-XtzJBM"", ""'SNG'!D3:D139""),0))"),0.333333333333333)</f>
        <v>0.33333333333333298</v>
      </c>
      <c r="AB100" s="15">
        <f ca="1">IFERROR(__xludf.DUMMYFUNCTION("INDEX(IMPORTRANGE(""17pNv02DXDpQT9S3w4-QeNym2QJy2BzMBqDXp-XtzJBM"", ""'SNG'!BJ3:BJ139""),MATCH($D100,IMPORTRANGE(""17pNv02DXDpQT9S3w4-QeNym2QJy2BzMBqDXp-XtzJBM"", ""'SNG'!D3:D139""),0))"),0.36)</f>
        <v>0.36</v>
      </c>
      <c r="AC100" s="15" t="str">
        <f ca="1">IFERROR(__xludf.DUMMYFUNCTION("INDEX(IMPORTRANGE(""17pNv02DXDpQT9S3w4-QeNym2QJy2BzMBqDXp-XtzJBM"", ""'SNG'!BK3:BK139""),MATCH($D100,IMPORTRANGE(""17pNv02DXDpQT9S3w4-QeNym2QJy2BzMBqDXp-XtzJBM"", ""'SNG'!D3:D139""),0))"),"")</f>
        <v/>
      </c>
      <c r="AD100" s="15">
        <f ca="1">IFERROR(__xludf.DUMMYFUNCTION("INDEX(IMPORTRANGE(""17pNv02DXDpQT9S3w4-QeNym2QJy2BzMBqDXp-XtzJBM"", ""'SNG'!BL3:BL139""),MATCH($D100,IMPORTRANGE(""17pNv02DXDpQT9S3w4-QeNym2QJy2BzMBqDXp-XtzJBM"", ""'SNG'!D3:D139""),0))"),0.493506493506493)</f>
        <v>0.493506493506493</v>
      </c>
      <c r="AE100" s="15">
        <f ca="1">IFERROR(__xludf.DUMMYFUNCTION("INDEX(IMPORTRANGE(""17pNv02DXDpQT9S3w4-QeNym2QJy2BzMBqDXp-XtzJBM"", ""'SNG'!BM3:BM139""),MATCH($D100,IMPORTRANGE(""17pNv02DXDpQT9S3w4-QeNym2QJy2BzMBqDXp-XtzJBM"", ""'SNG'!D3:D139""),0))"),0.493506493506493)</f>
        <v>0.493506493506493</v>
      </c>
    </row>
    <row r="101" spans="1:31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7" t="s">
        <v>369</v>
      </c>
      <c r="P101" s="1" t="s">
        <v>218</v>
      </c>
      <c r="Q101" s="36">
        <v>641679794</v>
      </c>
      <c r="R101" s="36">
        <v>641679794</v>
      </c>
      <c r="S101" s="36">
        <f ca="1">IFERROR(__xludf.DUMMYFUNCTION("INDEX(IMPORTRANGE(""17pNv02DXDpQT9S3w4-QeNym2QJy2BzMBqDXp-XtzJBM"", ""'SNG'!BG3:BG139""),MATCH($D101,IMPORTRANGE(""17pNv02DXDpQT9S3w4-QeNym2QJy2BzMBqDXp-XtzJBM"", ""'SNG'!D3:D139""),0))"),425147814)</f>
        <v>425147814</v>
      </c>
      <c r="T101" s="13"/>
      <c r="U101" s="13"/>
      <c r="V101" s="13"/>
      <c r="W101" s="13"/>
      <c r="X101" s="13"/>
      <c r="Y101" s="13"/>
      <c r="Z101" s="36">
        <f ca="1">IFERROR(__xludf.DUMMYFUNCTION("INDEX(IMPORTRANGE(""17pNv02DXDpQT9S3w4-QeNym2QJy2BzMBqDXp-XtzJBM"", ""'SNG'!BH3:BH139""),MATCH($D101,IMPORTRANGE(""17pNv02DXDpQT9S3w4-QeNym2QJy2BzMBqDXp-XtzJBM"", ""'SNG'!D3:D139""),0))"),641679794)</f>
        <v>641679794</v>
      </c>
      <c r="AA101" s="15" t="str">
        <f ca="1">IFERROR(__xludf.DUMMYFUNCTION("INDEX(IMPORTRANGE(""17pNv02DXDpQT9S3w4-QeNym2QJy2BzMBqDXp-XtzJBM"", ""'SNG'!BI3:BI139""),MATCH($D101,IMPORTRANGE(""17pNv02DXDpQT9S3w4-QeNym2QJy2BzMBqDXp-XtzJBM"", ""'SNG'!D3:D139""),0))"),"")</f>
        <v/>
      </c>
      <c r="AB101" s="36">
        <f ca="1">IFERROR(__xludf.DUMMYFUNCTION("INDEX(IMPORTRANGE(""17pNv02DXDpQT9S3w4-QeNym2QJy2BzMBqDXp-XtzJBM"", ""'SNG'!BJ3:BJ139""),MATCH($D101,IMPORTRANGE(""17pNv02DXDpQT9S3w4-QeNym2QJy2BzMBqDXp-XtzJBM"", ""'SNG'!D3:D139""),0))"),740071741)</f>
        <v>740071741</v>
      </c>
      <c r="AC101" s="15" t="str">
        <f ca="1">IFERROR(__xludf.DUMMYFUNCTION("INDEX(IMPORTRANGE(""17pNv02DXDpQT9S3w4-QeNym2QJy2BzMBqDXp-XtzJBM"", ""'SNG'!BK3:BK139""),MATCH($D101,IMPORTRANGE(""17pNv02DXDpQT9S3w4-QeNym2QJy2BzMBqDXp-XtzJBM"", ""'SNG'!D3:D139""),0))"),"")</f>
        <v/>
      </c>
      <c r="AD101" s="36">
        <f ca="1">IFERROR(__xludf.DUMMYFUNCTION("INDEX(IMPORTRANGE(""17pNv02DXDpQT9S3w4-QeNym2QJy2BzMBqDXp-XtzJBM"", ""'SNG'!BL3:BL139""),MATCH($D101,IMPORTRANGE(""17pNv02DXDpQT9S3w4-QeNym2QJy2BzMBqDXp-XtzJBM"", ""'SNG'!D3:D139""),0))"),776332457)</f>
        <v>776332457</v>
      </c>
      <c r="AE101" s="36">
        <f ca="1">IFERROR(__xludf.DUMMYFUNCTION("INDEX(IMPORTRANGE(""17pNv02DXDpQT9S3w4-QeNym2QJy2BzMBqDXp-XtzJBM"", ""'SNG'!BM3:BM139""),MATCH($D101,IMPORTRANGE(""17pNv02DXDpQT9S3w4-QeNym2QJy2BzMBqDXp-XtzJBM"", ""'SNG'!D3:D139""),0))"),547871127)</f>
        <v>547871127</v>
      </c>
    </row>
    <row r="102" spans="1:31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7" t="s">
        <v>369</v>
      </c>
      <c r="P102" s="1" t="s">
        <v>218</v>
      </c>
      <c r="Q102" s="36">
        <v>2323752062</v>
      </c>
      <c r="R102" s="36">
        <v>2323752062</v>
      </c>
      <c r="S102" s="36">
        <f ca="1">IFERROR(__xludf.DUMMYFUNCTION("INDEX(IMPORTRANGE(""17pNv02DXDpQT9S3w4-QeNym2QJy2BzMBqDXp-XtzJBM"", ""'SNG'!BG3:BG139""),MATCH($D102,IMPORTRANGE(""17pNv02DXDpQT9S3w4-QeNym2QJy2BzMBqDXp-XtzJBM"", ""'SNG'!D3:D139""),0))"),1317276234)</f>
        <v>1317276234</v>
      </c>
      <c r="T102" s="13"/>
      <c r="U102" s="13"/>
      <c r="V102" s="13"/>
      <c r="W102" s="13"/>
      <c r="X102" s="13"/>
      <c r="Y102" s="13"/>
      <c r="Z102" s="36">
        <f ca="1">IFERROR(__xludf.DUMMYFUNCTION("INDEX(IMPORTRANGE(""17pNv02DXDpQT9S3w4-QeNym2QJy2BzMBqDXp-XtzJBM"", ""'SNG'!BH3:BH139""),MATCH($D102,IMPORTRANGE(""17pNv02DXDpQT9S3w4-QeNym2QJy2BzMBqDXp-XtzJBM"", ""'SNG'!D3:D139""),0))"),2323752062)</f>
        <v>2323752062</v>
      </c>
      <c r="AA102" s="15" t="str">
        <f ca="1">IFERROR(__xludf.DUMMYFUNCTION("INDEX(IMPORTRANGE(""17pNv02DXDpQT9S3w4-QeNym2QJy2BzMBqDXp-XtzJBM"", ""'SNG'!BI3:BI139""),MATCH($D102,IMPORTRANGE(""17pNv02DXDpQT9S3w4-QeNym2QJy2BzMBqDXp-XtzJBM"", ""'SNG'!D3:D139""),0))"),"")</f>
        <v/>
      </c>
      <c r="AB102" s="36">
        <f ca="1">IFERROR(__xludf.DUMMYFUNCTION("INDEX(IMPORTRANGE(""17pNv02DXDpQT9S3w4-QeNym2QJy2BzMBqDXp-XtzJBM"", ""'SNG'!BJ3:BJ139""),MATCH($D102,IMPORTRANGE(""17pNv02DXDpQT9S3w4-QeNym2QJy2BzMBqDXp-XtzJBM"", ""'SNG'!D3:D139""),0))"),2652469823)</f>
        <v>2652469823</v>
      </c>
      <c r="AC102" s="15" t="str">
        <f ca="1">IFERROR(__xludf.DUMMYFUNCTION("INDEX(IMPORTRANGE(""17pNv02DXDpQT9S3w4-QeNym2QJy2BzMBqDXp-XtzJBM"", ""'SNG'!BK3:BK139""),MATCH($D102,IMPORTRANGE(""17pNv02DXDpQT9S3w4-QeNym2QJy2BzMBqDXp-XtzJBM"", ""'SNG'!D3:D139""),0))"),"")</f>
        <v/>
      </c>
      <c r="AD102" s="36">
        <f ca="1">IFERROR(__xludf.DUMMYFUNCTION("INDEX(IMPORTRANGE(""17pNv02DXDpQT9S3w4-QeNym2QJy2BzMBqDXp-XtzJBM"", ""'SNG'!BL3:BL139""),MATCH($D102,IMPORTRANGE(""17pNv02DXDpQT9S3w4-QeNym2QJy2BzMBqDXp-XtzJBM"", ""'SNG'!D3:D139""),0))"),2461672183)</f>
        <v>2461672183</v>
      </c>
      <c r="AE102" s="36">
        <f ca="1">IFERROR(__xludf.DUMMYFUNCTION("INDEX(IMPORTRANGE(""17pNv02DXDpQT9S3w4-QeNym2QJy2BzMBqDXp-XtzJBM"", ""'SNG'!BM3:BM139""),MATCH($D102,IMPORTRANGE(""17pNv02DXDpQT9S3w4-QeNym2QJy2BzMBqDXp-XtzJBM"", ""'SNG'!D3:D139""),0))"),1520281754)</f>
        <v>1520281754</v>
      </c>
    </row>
    <row r="103" spans="1:31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2" t="s">
        <v>368</v>
      </c>
      <c r="J103" s="7" t="s">
        <v>215</v>
      </c>
      <c r="K103" s="13"/>
      <c r="L103" s="7" t="s">
        <v>216</v>
      </c>
      <c r="M103" s="13"/>
      <c r="N103" s="7" t="s">
        <v>217</v>
      </c>
      <c r="O103" s="7" t="s">
        <v>369</v>
      </c>
      <c r="P103" s="1" t="s">
        <v>218</v>
      </c>
      <c r="Q103" s="15">
        <f t="shared" ref="Q103:R103" si="24">Q101/Q102</f>
        <v>0.27613952645521095</v>
      </c>
      <c r="R103" s="15">
        <f t="shared" si="24"/>
        <v>0.27613952645521095</v>
      </c>
      <c r="S103" s="15">
        <f ca="1">IFERROR(__xludf.DUMMYFUNCTION("INDEX(IMPORTRANGE(""17pNv02DXDpQT9S3w4-QeNym2QJy2BzMBqDXp-XtzJBM"", ""'SNG'!BG3:BG139""),MATCH($D103,IMPORTRANGE(""17pNv02DXDpQT9S3w4-QeNym2QJy2BzMBqDXp-XtzJBM"", ""'SNG'!D3:D139""),0))"),0.32274765385314)</f>
        <v>0.32274765385314003</v>
      </c>
      <c r="T103" s="2"/>
      <c r="U103" s="15">
        <v>0.27800000000000002</v>
      </c>
      <c r="V103" s="2"/>
      <c r="W103" s="15">
        <v>0.28000000000000003</v>
      </c>
      <c r="X103" s="15">
        <f>(Y103-W103)/6*5+W103</f>
        <v>0.28000000000000003</v>
      </c>
      <c r="Y103" s="15">
        <v>0.28000000000000003</v>
      </c>
      <c r="Z103" s="36">
        <f ca="1">IFERROR(__xludf.DUMMYFUNCTION("INDEX(IMPORTRANGE(""17pNv02DXDpQT9S3w4-QeNym2QJy2BzMBqDXp-XtzJBM"", ""'SNG'!BH3:BH139""),MATCH($D103,IMPORTRANGE(""17pNv02DXDpQT9S3w4-QeNym2QJy2BzMBqDXp-XtzJBM"", ""'SNG'!D3:D139""),0))"),0.27613952645521)</f>
        <v>0.27613952645521</v>
      </c>
      <c r="AA103" s="15" t="str">
        <f ca="1">IFERROR(__xludf.DUMMYFUNCTION("INDEX(IMPORTRANGE(""17pNv02DXDpQT9S3w4-QeNym2QJy2BzMBqDXp-XtzJBM"", ""'SNG'!BI3:BI139""),MATCH($D103,IMPORTRANGE(""17pNv02DXDpQT9S3w4-QeNym2QJy2BzMBqDXp-XtzJBM"", ""'SNG'!D3:D139""),0))"),"")</f>
        <v/>
      </c>
      <c r="AB103" s="36">
        <f ca="1">IFERROR(__xludf.DUMMYFUNCTION("INDEX(IMPORTRANGE(""17pNv02DXDpQT9S3w4-QeNym2QJy2BzMBqDXp-XtzJBM"", ""'SNG'!BJ3:BJ139""),MATCH($D103,IMPORTRANGE(""17pNv02DXDpQT9S3w4-QeNym2QJy2BzMBqDXp-XtzJBM"", ""'SNG'!D3:D139""),0))"),0.279012313196823)</f>
        <v>0.27901231319682301</v>
      </c>
      <c r="AC103" s="15" t="str">
        <f ca="1">IFERROR(__xludf.DUMMYFUNCTION("INDEX(IMPORTRANGE(""17pNv02DXDpQT9S3w4-QeNym2QJy2BzMBqDXp-XtzJBM"", ""'SNG'!BK3:BK139""),MATCH($D103,IMPORTRANGE(""17pNv02DXDpQT9S3w4-QeNym2QJy2BzMBqDXp-XtzJBM"", ""'SNG'!D3:D139""),0))"),"")</f>
        <v/>
      </c>
      <c r="AD103" s="36">
        <f ca="1">IFERROR(__xludf.DUMMYFUNCTION("INDEX(IMPORTRANGE(""17pNv02DXDpQT9S3w4-QeNym2QJy2BzMBqDXp-XtzJBM"", ""'SNG'!BL3:BL139""),MATCH($D103,IMPORTRANGE(""17pNv02DXDpQT9S3w4-QeNym2QJy2BzMBqDXp-XtzJBM"", ""'SNG'!D3:D139""),0))"),0.315367928500494)</f>
        <v>0.315367928500494</v>
      </c>
      <c r="AE103" s="36">
        <f ca="1">IFERROR(__xludf.DUMMYFUNCTION("INDEX(IMPORTRANGE(""17pNv02DXDpQT9S3w4-QeNym2QJy2BzMBqDXp-XtzJBM"", ""'SNG'!BM3:BM139""),MATCH($D103,IMPORTRANGE(""17pNv02DXDpQT9S3w4-QeNym2QJy2BzMBqDXp-XtzJBM"", ""'SNG'!D3:D139""),0))"),0.36037473024885)</f>
        <v>0.36037473024884997</v>
      </c>
    </row>
    <row r="104" spans="1:31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7" t="s">
        <v>369</v>
      </c>
      <c r="P104" s="1" t="s">
        <v>218</v>
      </c>
      <c r="Q104" s="50">
        <v>1770850112.28</v>
      </c>
      <c r="R104" s="50">
        <v>1770850112.28</v>
      </c>
      <c r="S104" s="50">
        <f ca="1">IFERROR(__xludf.DUMMYFUNCTION("INDEX(IMPORTRANGE(""17pNv02DXDpQT9S3w4-QeNym2QJy2BzMBqDXp-XtzJBM"", ""'SNG'!BG3:BG139""),MATCH($D104,IMPORTRANGE(""17pNv02DXDpQT9S3w4-QeNym2QJy2BzMBqDXp-XtzJBM"", ""'SNG'!D3:D139""),0))"),775639994.47)</f>
        <v>775639994.47000003</v>
      </c>
      <c r="T104" s="330"/>
      <c r="U104" s="13"/>
      <c r="V104" s="13"/>
      <c r="W104" s="13"/>
      <c r="X104" s="13"/>
      <c r="Y104" s="13"/>
      <c r="Z104" s="36">
        <f ca="1">IFERROR(__xludf.DUMMYFUNCTION("INDEX(IMPORTRANGE(""17pNv02DXDpQT9S3w4-QeNym2QJy2BzMBqDXp-XtzJBM"", ""'SNG'!BH3:BH139""),MATCH($D104,IMPORTRANGE(""17pNv02DXDpQT9S3w4-QeNym2QJy2BzMBqDXp-XtzJBM"", ""'SNG'!D3:D139""),0))"),1770850112.28)</f>
        <v>1770850112.28</v>
      </c>
      <c r="AA104" s="15" t="str">
        <f ca="1">IFERROR(__xludf.DUMMYFUNCTION("INDEX(IMPORTRANGE(""17pNv02DXDpQT9S3w4-QeNym2QJy2BzMBqDXp-XtzJBM"", ""'SNG'!BI3:BI139""),MATCH($D104,IMPORTRANGE(""17pNv02DXDpQT9S3w4-QeNym2QJy2BzMBqDXp-XtzJBM"", ""'SNG'!D3:D139""),0))"),"")</f>
        <v/>
      </c>
      <c r="AB104" s="36">
        <f ca="1">IFERROR(__xludf.DUMMYFUNCTION("INDEX(IMPORTRANGE(""17pNv02DXDpQT9S3w4-QeNym2QJy2BzMBqDXp-XtzJBM"", ""'SNG'!BJ3:BJ139""),MATCH($D104,IMPORTRANGE(""17pNv02DXDpQT9S3w4-QeNym2QJy2BzMBqDXp-XtzJBM"", ""'SNG'!D3:D139""),0))"),1990938655.47)</f>
        <v>1990938655.47</v>
      </c>
      <c r="AC104" s="15" t="str">
        <f ca="1">IFERROR(__xludf.DUMMYFUNCTION("INDEX(IMPORTRANGE(""17pNv02DXDpQT9S3w4-QeNym2QJy2BzMBqDXp-XtzJBM"", ""'SNG'!BK3:BK139""),MATCH($D104,IMPORTRANGE(""17pNv02DXDpQT9S3w4-QeNym2QJy2BzMBqDXp-XtzJBM"", ""'SNG'!D3:D139""),0))"),"")</f>
        <v/>
      </c>
      <c r="AD104" s="36">
        <f ca="1">IFERROR(__xludf.DUMMYFUNCTION("INDEX(IMPORTRANGE(""17pNv02DXDpQT9S3w4-QeNym2QJy2BzMBqDXp-XtzJBM"", ""'SNG'!BL3:BL139""),MATCH($D104,IMPORTRANGE(""17pNv02DXDpQT9S3w4-QeNym2QJy2BzMBqDXp-XtzJBM"", ""'SNG'!D3:D139""),0))"),2122056054.09)</f>
        <v>2122056054.0899999</v>
      </c>
      <c r="AE104" s="36">
        <f ca="1">IFERROR(__xludf.DUMMYFUNCTION("INDEX(IMPORTRANGE(""17pNv02DXDpQT9S3w4-QeNym2QJy2BzMBqDXp-XtzJBM"", ""'SNG'!BM3:BM139""),MATCH($D104,IMPORTRANGE(""17pNv02DXDpQT9S3w4-QeNym2QJy2BzMBqDXp-XtzJBM"", ""'SNG'!D3:D139""),0))"),951621683.94)</f>
        <v>951621683.94000006</v>
      </c>
    </row>
    <row r="105" spans="1:31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2" t="s">
        <v>368</v>
      </c>
      <c r="J105" s="7" t="s">
        <v>215</v>
      </c>
      <c r="K105" s="13"/>
      <c r="L105" s="7" t="s">
        <v>216</v>
      </c>
      <c r="M105" s="13"/>
      <c r="N105" s="7" t="s">
        <v>217</v>
      </c>
      <c r="O105" s="7" t="s">
        <v>369</v>
      </c>
      <c r="P105" s="1" t="s">
        <v>218</v>
      </c>
      <c r="Q105" s="15">
        <f t="shared" ref="Q105:R105" si="25">Q101/Q104</f>
        <v>0.3623569208654403</v>
      </c>
      <c r="R105" s="15">
        <f t="shared" si="25"/>
        <v>0.3623569208654403</v>
      </c>
      <c r="S105" s="15">
        <f ca="1">IFERROR(__xludf.DUMMYFUNCTION("INDEX(IMPORTRANGE(""17pNv02DXDpQT9S3w4-QeNym2QJy2BzMBqDXp-XtzJBM"", ""'SNG'!BG3:BG139""),MATCH($D105,IMPORTRANGE(""17pNv02DXDpQT9S3w4-QeNym2QJy2BzMBqDXp-XtzJBM"", ""'SNG'!D3:D139""),0))"),0.36235692086544)</f>
        <v>0.36235692086544002</v>
      </c>
      <c r="T105" s="2"/>
      <c r="U105" s="15">
        <v>0.36399999999999999</v>
      </c>
      <c r="V105" s="2"/>
      <c r="W105" s="15">
        <v>0.36599999999999999</v>
      </c>
      <c r="X105" s="15">
        <f>(Y105-W105)/6*5+W105</f>
        <v>0.36933333333333335</v>
      </c>
      <c r="Y105" s="15">
        <v>0.37</v>
      </c>
      <c r="Z105" s="36">
        <f ca="1">IFERROR(__xludf.DUMMYFUNCTION("INDEX(IMPORTRANGE(""17pNv02DXDpQT9S3w4-QeNym2QJy2BzMBqDXp-XtzJBM"", ""'SNG'!BH3:BH139""),MATCH($D105,IMPORTRANGE(""17pNv02DXDpQT9S3w4-QeNym2QJy2BzMBqDXp-XtzJBM"", ""'SNG'!D3:D139""),0))"),0.36235692086544)</f>
        <v>0.36235692086544002</v>
      </c>
      <c r="AA105" s="15" t="str">
        <f ca="1">IFERROR(__xludf.DUMMYFUNCTION("INDEX(IMPORTRANGE(""17pNv02DXDpQT9S3w4-QeNym2QJy2BzMBqDXp-XtzJBM"", ""'SNG'!BI3:BI139""),MATCH($D105,IMPORTRANGE(""17pNv02DXDpQT9S3w4-QeNym2QJy2BzMBqDXp-XtzJBM"", ""'SNG'!D3:D139""),0))"),"")</f>
        <v/>
      </c>
      <c r="AB105" s="36">
        <f ca="1">IFERROR(__xludf.DUMMYFUNCTION("INDEX(IMPORTRANGE(""17pNv02DXDpQT9S3w4-QeNym2QJy2BzMBqDXp-XtzJBM"", ""'SNG'!BJ3:BJ139""),MATCH($D105,IMPORTRANGE(""17pNv02DXDpQT9S3w4-QeNym2QJy2BzMBqDXp-XtzJBM"", ""'SNG'!D3:D139""),0))"),0.371720012048935)</f>
        <v>0.37172001204893501</v>
      </c>
      <c r="AC105" s="15" t="str">
        <f ca="1">IFERROR(__xludf.DUMMYFUNCTION("INDEX(IMPORTRANGE(""17pNv02DXDpQT9S3w4-QeNym2QJy2BzMBqDXp-XtzJBM"", ""'SNG'!BK3:BK139""),MATCH($D105,IMPORTRANGE(""17pNv02DXDpQT9S3w4-QeNym2QJy2BzMBqDXp-XtzJBM"", ""'SNG'!D3:D139""),0))"),"")</f>
        <v/>
      </c>
      <c r="AD105" s="36">
        <f ca="1">IFERROR(__xludf.DUMMYFUNCTION("INDEX(IMPORTRANGE(""17pNv02DXDpQT9S3w4-QeNym2QJy2BzMBqDXp-XtzJBM"", ""'SNG'!BL3:BL139""),MATCH($D105,IMPORTRANGE(""17pNv02DXDpQT9S3w4-QeNym2QJy2BzMBqDXp-XtzJBM"", ""'SNG'!D3:D139""),0))"),0.365839750323143)</f>
        <v>0.36583975032314298</v>
      </c>
      <c r="AE105" s="36">
        <f ca="1">IFERROR(__xludf.DUMMYFUNCTION("INDEX(IMPORTRANGE(""17pNv02DXDpQT9S3w4-QeNym2QJy2BzMBqDXp-XtzJBM"", ""'SNG'!BM3:BM139""),MATCH($D105,IMPORTRANGE(""17pNv02DXDpQT9S3w4-QeNym2QJy2BzMBqDXp-XtzJBM"", ""'SNG'!D3:D139""),0))"),0.575723668602893)</f>
        <v>0.57572366860289304</v>
      </c>
    </row>
    <row r="106" spans="1:31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2" t="s">
        <v>370</v>
      </c>
      <c r="J106" s="7" t="s">
        <v>254</v>
      </c>
      <c r="K106" s="13"/>
      <c r="L106" s="7" t="s">
        <v>255</v>
      </c>
      <c r="M106" s="13"/>
      <c r="N106" s="7" t="s">
        <v>256</v>
      </c>
      <c r="O106" s="7" t="s">
        <v>361</v>
      </c>
      <c r="P106" s="1" t="s">
        <v>218</v>
      </c>
      <c r="Q106" s="12">
        <v>147356</v>
      </c>
      <c r="R106" s="12">
        <v>147356</v>
      </c>
      <c r="S106" s="12">
        <f ca="1">IFERROR(__xludf.DUMMYFUNCTION("INDEX(IMPORTRANGE(""17pNv02DXDpQT9S3w4-QeNym2QJy2BzMBqDXp-XtzJBM"", ""'SNG'!BG3:BG139""),MATCH($D106,IMPORTRANGE(""17pNv02DXDpQT9S3w4-QeNym2QJy2BzMBqDXp-XtzJBM"", ""'SNG'!D3:D139""),0))"),147007)</f>
        <v>147007</v>
      </c>
      <c r="T106" s="13"/>
      <c r="U106" s="13"/>
      <c r="V106" s="13"/>
      <c r="W106" s="13"/>
      <c r="X106" s="13"/>
      <c r="Y106" s="13"/>
      <c r="Z106" s="36">
        <f ca="1">IFERROR(__xludf.DUMMYFUNCTION("INDEX(IMPORTRANGE(""17pNv02DXDpQT9S3w4-QeNym2QJy2BzMBqDXp-XtzJBM"", ""'SNG'!BH3:BH139""),MATCH($D106,IMPORTRANGE(""17pNv02DXDpQT9S3w4-QeNym2QJy2BzMBqDXp-XtzJBM"", ""'SNG'!D3:D139""),0))"),147356)</f>
        <v>147356</v>
      </c>
      <c r="AA106" s="4" t="str">
        <f ca="1">IFERROR(__xludf.DUMMYFUNCTION("INDEX(IMPORTRANGE(""17pNv02DXDpQT9S3w4-QeNym2QJy2BzMBqDXp-XtzJBM"", ""'SNG'!BI3:BI139""),MATCH($D106,IMPORTRANGE(""17pNv02DXDpQT9S3w4-QeNym2QJy2BzMBqDXp-XtzJBM"", ""'SNG'!D3:D139""),0))"),"")</f>
        <v/>
      </c>
      <c r="AB106" s="36">
        <f ca="1">IFERROR(__xludf.DUMMYFUNCTION("INDEX(IMPORTRANGE(""17pNv02DXDpQT9S3w4-QeNym2QJy2BzMBqDXp-XtzJBM"", ""'SNG'!BJ3:BJ139""),MATCH($D106,IMPORTRANGE(""17pNv02DXDpQT9S3w4-QeNym2QJy2BzMBqDXp-XtzJBM"", ""'SNG'!D3:D139""),0))"),137188)</f>
        <v>137188</v>
      </c>
      <c r="AC106" s="4" t="str">
        <f ca="1">IFERROR(__xludf.DUMMYFUNCTION("INDEX(IMPORTRANGE(""17pNv02DXDpQT9S3w4-QeNym2QJy2BzMBqDXp-XtzJBM"", ""'SNG'!BK3:BK139""),MATCH($D106,IMPORTRANGE(""17pNv02DXDpQT9S3w4-QeNym2QJy2BzMBqDXp-XtzJBM"", ""'SNG'!D3:D139""),0))"),"")</f>
        <v/>
      </c>
      <c r="AD106" s="36">
        <f ca="1">IFERROR(__xludf.DUMMYFUNCTION("INDEX(IMPORTRANGE(""17pNv02DXDpQT9S3w4-QeNym2QJy2BzMBqDXp-XtzJBM"", ""'SNG'!BL3:BL139""),MATCH($D106,IMPORTRANGE(""17pNv02DXDpQT9S3w4-QeNym2QJy2BzMBqDXp-XtzJBM"", ""'SNG'!D3:D139""),0))"),138565)</f>
        <v>138565</v>
      </c>
      <c r="AE106" s="36">
        <f ca="1">IFERROR(__xludf.DUMMYFUNCTION("INDEX(IMPORTRANGE(""17pNv02DXDpQT9S3w4-QeNym2QJy2BzMBqDXp-XtzJBM"", ""'SNG'!BM3:BM139""),MATCH($D106,IMPORTRANGE(""17pNv02DXDpQT9S3w4-QeNym2QJy2BzMBqDXp-XtzJBM"", ""'SNG'!D3:D139""),0))"),138732)</f>
        <v>138732</v>
      </c>
    </row>
    <row r="107" spans="1:31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7" t="s">
        <v>366</v>
      </c>
      <c r="P107" s="1" t="s">
        <v>218</v>
      </c>
      <c r="Q107" s="12">
        <v>99460</v>
      </c>
      <c r="R107" s="12">
        <v>99460</v>
      </c>
      <c r="S107" s="12">
        <f ca="1">IFERROR(__xludf.DUMMYFUNCTION("INDEX(IMPORTRANGE(""17pNv02DXDpQT9S3w4-QeNym2QJy2BzMBqDXp-XtzJBM"", ""'SNG'!BG3:BG139""),MATCH($D107,IMPORTRANGE(""17pNv02DXDpQT9S3w4-QeNym2QJy2BzMBqDXp-XtzJBM"", ""'SNG'!D3:D139""),0))"),87831)</f>
        <v>87831</v>
      </c>
      <c r="T107" s="1"/>
      <c r="U107" s="1"/>
      <c r="V107" s="1"/>
      <c r="W107" s="1"/>
      <c r="X107" s="1"/>
      <c r="Y107" s="1"/>
      <c r="Z107" s="36">
        <f ca="1">IFERROR(__xludf.DUMMYFUNCTION("INDEX(IMPORTRANGE(""17pNv02DXDpQT9S3w4-QeNym2QJy2BzMBqDXp-XtzJBM"", ""'SNG'!BH3:BH139""),MATCH($D107,IMPORTRANGE(""17pNv02DXDpQT9S3w4-QeNym2QJy2BzMBqDXp-XtzJBM"", ""'SNG'!D3:D139""),0))"),99460)</f>
        <v>99460</v>
      </c>
      <c r="AA107" s="4" t="str">
        <f ca="1">IFERROR(__xludf.DUMMYFUNCTION("INDEX(IMPORTRANGE(""17pNv02DXDpQT9S3w4-QeNym2QJy2BzMBqDXp-XtzJBM"", ""'SNG'!BI3:BI139""),MATCH($D107,IMPORTRANGE(""17pNv02DXDpQT9S3w4-QeNym2QJy2BzMBqDXp-XtzJBM"", ""'SNG'!D3:D139""),0))"),"")</f>
        <v/>
      </c>
      <c r="AB107" s="36">
        <f ca="1">IFERROR(__xludf.DUMMYFUNCTION("INDEX(IMPORTRANGE(""17pNv02DXDpQT9S3w4-QeNym2QJy2BzMBqDXp-XtzJBM"", ""'SNG'!BJ3:BJ139""),MATCH($D107,IMPORTRANGE(""17pNv02DXDpQT9S3w4-QeNym2QJy2BzMBqDXp-XtzJBM"", ""'SNG'!D3:D139""),0))"),97941)</f>
        <v>97941</v>
      </c>
      <c r="AC107" s="4" t="str">
        <f ca="1">IFERROR(__xludf.DUMMYFUNCTION("INDEX(IMPORTRANGE(""17pNv02DXDpQT9S3w4-QeNym2QJy2BzMBqDXp-XtzJBM"", ""'SNG'!BK3:BK139""),MATCH($D107,IMPORTRANGE(""17pNv02DXDpQT9S3w4-QeNym2QJy2BzMBqDXp-XtzJBM"", ""'SNG'!D3:D139""),0))"),"")</f>
        <v/>
      </c>
      <c r="AD107" s="36">
        <f ca="1">IFERROR(__xludf.DUMMYFUNCTION("INDEX(IMPORTRANGE(""17pNv02DXDpQT9S3w4-QeNym2QJy2BzMBqDXp-XtzJBM"", ""'SNG'!BL3:BL139""),MATCH($D107,IMPORTRANGE(""17pNv02DXDpQT9S3w4-QeNym2QJy2BzMBqDXp-XtzJBM"", ""'SNG'!D3:D139""),0))"),98257)</f>
        <v>98257</v>
      </c>
      <c r="AE107" s="36">
        <f ca="1">IFERROR(__xludf.DUMMYFUNCTION("INDEX(IMPORTRANGE(""17pNv02DXDpQT9S3w4-QeNym2QJy2BzMBqDXp-XtzJBM"", ""'SNG'!BM3:BM139""),MATCH($D107,IMPORTRANGE(""17pNv02DXDpQT9S3w4-QeNym2QJy2BzMBqDXp-XtzJBM"", ""'SNG'!D3:D139""),0))"),94133)</f>
        <v>94133</v>
      </c>
    </row>
    <row r="108" spans="1:31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2" t="s">
        <v>365</v>
      </c>
      <c r="J108" s="7" t="s">
        <v>215</v>
      </c>
      <c r="K108" s="13"/>
      <c r="L108" s="7" t="s">
        <v>216</v>
      </c>
      <c r="M108" s="13"/>
      <c r="N108" s="7" t="s">
        <v>217</v>
      </c>
      <c r="O108" s="7" t="s">
        <v>366</v>
      </c>
      <c r="P108" s="1" t="s">
        <v>218</v>
      </c>
      <c r="Q108" s="15">
        <f t="shared" ref="Q108:R108" si="26">Q107/Q106</f>
        <v>0.67496403268275473</v>
      </c>
      <c r="R108" s="15">
        <f t="shared" si="26"/>
        <v>0.67496403268275473</v>
      </c>
      <c r="S108" s="15">
        <f ca="1">IFERROR(__xludf.DUMMYFUNCTION("INDEX(IMPORTRANGE(""17pNv02DXDpQT9S3w4-QeNym2QJy2BzMBqDXp-XtzJBM"", ""'SNG'!BG3:BG139""),MATCH($D108,IMPORTRANGE(""17pNv02DXDpQT9S3w4-QeNym2QJy2BzMBqDXp-XtzJBM"", ""'SNG'!D3:D139""),0))"),0.597461345378111)</f>
        <v>0.59746134537811102</v>
      </c>
      <c r="T108" s="2"/>
      <c r="U108" s="14">
        <v>0.68</v>
      </c>
      <c r="V108" s="2"/>
      <c r="W108" s="15">
        <v>0.68500000000000005</v>
      </c>
      <c r="X108" s="15">
        <f>(Y108-W108)/6*5+W108</f>
        <v>0.68916666666666659</v>
      </c>
      <c r="Y108" s="15">
        <v>0.69</v>
      </c>
      <c r="Z108" s="15">
        <f ca="1">IFERROR(__xludf.DUMMYFUNCTION("INDEX(IMPORTRANGE(""17pNv02DXDpQT9S3w4-QeNym2QJy2BzMBqDXp-XtzJBM"", ""'SNG'!BH3:BH139""),MATCH($D108,IMPORTRANGE(""17pNv02DXDpQT9S3w4-QeNym2QJy2BzMBqDXp-XtzJBM"", ""'SNG'!D3:D139""),0))"),0.674964032682754)</f>
        <v>0.67496403268275396</v>
      </c>
      <c r="AA108" s="4" t="str">
        <f ca="1">IFERROR(__xludf.DUMMYFUNCTION("INDEX(IMPORTRANGE(""17pNv02DXDpQT9S3w4-QeNym2QJy2BzMBqDXp-XtzJBM"", ""'SNG'!BI3:BI139""),MATCH($D108,IMPORTRANGE(""17pNv02DXDpQT9S3w4-QeNym2QJy2BzMBqDXp-XtzJBM"", ""'SNG'!D3:D139""),0))"),"")</f>
        <v/>
      </c>
      <c r="AB108" s="15">
        <f ca="1">IFERROR(__xludf.DUMMYFUNCTION("INDEX(IMPORTRANGE(""17pNv02DXDpQT9S3w4-QeNym2QJy2BzMBqDXp-XtzJBM"", ""'SNG'!BJ3:BJ139""),MATCH($D108,IMPORTRANGE(""17pNv02DXDpQT9S3w4-QeNym2QJy2BzMBqDXp-XtzJBM"", ""'SNG'!D3:D139""),0))"),0.713918126949879)</f>
        <v>0.713918126949879</v>
      </c>
      <c r="AC108" s="4" t="str">
        <f ca="1">IFERROR(__xludf.DUMMYFUNCTION("INDEX(IMPORTRANGE(""17pNv02DXDpQT9S3w4-QeNym2QJy2BzMBqDXp-XtzJBM"", ""'SNG'!BK3:BK139""),MATCH($D108,IMPORTRANGE(""17pNv02DXDpQT9S3w4-QeNym2QJy2BzMBqDXp-XtzJBM"", ""'SNG'!D3:D139""),0))"),"")</f>
        <v/>
      </c>
      <c r="AD108" s="15">
        <f ca="1">IFERROR(__xludf.DUMMYFUNCTION("INDEX(IMPORTRANGE(""17pNv02DXDpQT9S3w4-QeNym2QJy2BzMBqDXp-XtzJBM"", ""'SNG'!BL3:BL139""),MATCH($D108,IMPORTRANGE(""17pNv02DXDpQT9S3w4-QeNym2QJy2BzMBqDXp-XtzJBM"", ""'SNG'!D3:D139""),0))"),0.709104030599357)</f>
        <v>0.709104030599357</v>
      </c>
      <c r="AE108" s="15">
        <f ca="1">IFERROR(__xludf.DUMMYFUNCTION("INDEX(IMPORTRANGE(""17pNv02DXDpQT9S3w4-QeNym2QJy2BzMBqDXp-XtzJBM"", ""'SNG'!BM3:BM139""),MATCH($D108,IMPORTRANGE(""17pNv02DXDpQT9S3w4-QeNym2QJy2BzMBqDXp-XtzJBM"", ""'SNG'!D3:D139""),0))"),0.678524060779056)</f>
        <v>0.67852406077905603</v>
      </c>
    </row>
    <row r="109" spans="1:31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81"/>
      <c r="L109" s="7" t="s">
        <v>216</v>
      </c>
      <c r="M109" s="181"/>
      <c r="N109" s="7" t="s">
        <v>217</v>
      </c>
      <c r="O109" s="7" t="s">
        <v>366</v>
      </c>
      <c r="P109" s="1" t="s">
        <v>218</v>
      </c>
      <c r="Q109" s="50"/>
      <c r="R109" s="50"/>
      <c r="S109" s="50">
        <f ca="1">IFERROR(__xludf.DUMMYFUNCTION("INDEX(IMPORTRANGE(""17pNv02DXDpQT9S3w4-QeNym2QJy2BzMBqDXp-XtzJBM"", ""'SNG'!BG3:BG139""),MATCH($D109,IMPORTRANGE(""17pNv02DXDpQT9S3w4-QeNym2QJy2BzMBqDXp-XtzJBM"", ""'SNG'!D3:D139""),0))"),297391531)</f>
        <v>297391531</v>
      </c>
      <c r="T109" s="1"/>
      <c r="U109" s="1"/>
      <c r="V109" s="1"/>
      <c r="W109" s="1"/>
      <c r="X109" s="491"/>
      <c r="Y109" s="1"/>
      <c r="Z109" s="36">
        <f ca="1">IFERROR(__xludf.DUMMYFUNCTION("INDEX(IMPORTRANGE(""17pNv02DXDpQT9S3w4-QeNym2QJy2BzMBqDXp-XtzJBM"", ""'SNG'!BH3:BH139""),MATCH($D109,IMPORTRANGE(""17pNv02DXDpQT9S3w4-QeNym2QJy2BzMBqDXp-XtzJBM"", ""'SNG'!D3:D139""),0))"),363858395.09)</f>
        <v>363858395.08999997</v>
      </c>
      <c r="AA109" s="4" t="str">
        <f ca="1">IFERROR(__xludf.DUMMYFUNCTION("INDEX(IMPORTRANGE(""17pNv02DXDpQT9S3w4-QeNym2QJy2BzMBqDXp-XtzJBM"", ""'SNG'!BI3:BI139""),MATCH($D109,IMPORTRANGE(""17pNv02DXDpQT9S3w4-QeNym2QJy2BzMBqDXp-XtzJBM"", ""'SNG'!D3:D139""),0))"),"")</f>
        <v/>
      </c>
      <c r="AB109" s="36">
        <f ca="1">IFERROR(__xludf.DUMMYFUNCTION("INDEX(IMPORTRANGE(""17pNv02DXDpQT9S3w4-QeNym2QJy2BzMBqDXp-XtzJBM"", ""'SNG'!BJ3:BJ139""),MATCH($D109,IMPORTRANGE(""17pNv02DXDpQT9S3w4-QeNym2QJy2BzMBqDXp-XtzJBM"", ""'SNG'!D3:D139""),0))"),369148531.289999)</f>
        <v>369148531.28999901</v>
      </c>
      <c r="AC109" s="4" t="str">
        <f ca="1">IFERROR(__xludf.DUMMYFUNCTION("INDEX(IMPORTRANGE(""17pNv02DXDpQT9S3w4-QeNym2QJy2BzMBqDXp-XtzJBM"", ""'SNG'!BK3:BK139""),MATCH($D109,IMPORTRANGE(""17pNv02DXDpQT9S3w4-QeNym2QJy2BzMBqDXp-XtzJBM"", ""'SNG'!D3:D139""),0))"),"")</f>
        <v/>
      </c>
      <c r="AD109" s="36">
        <f ca="1">IFERROR(__xludf.DUMMYFUNCTION("INDEX(IMPORTRANGE(""17pNv02DXDpQT9S3w4-QeNym2QJy2BzMBqDXp-XtzJBM"", ""'SNG'!BL3:BL139""),MATCH($D109,IMPORTRANGE(""17pNv02DXDpQT9S3w4-QeNym2QJy2BzMBqDXp-XtzJBM"", ""'SNG'!D3:D139""),0))"),370556638)</f>
        <v>370556638</v>
      </c>
      <c r="AE109" s="36">
        <f ca="1">IFERROR(__xludf.DUMMYFUNCTION("INDEX(IMPORTRANGE(""17pNv02DXDpQT9S3w4-QeNym2QJy2BzMBqDXp-XtzJBM"", ""'SNG'!BM3:BM139""),MATCH($D109,IMPORTRANGE(""17pNv02DXDpQT9S3w4-QeNym2QJy2BzMBqDXp-XtzJBM"", ""'SNG'!D3:D139""),0))"),370198872)</f>
        <v>370198872</v>
      </c>
    </row>
    <row r="110" spans="1:31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2" t="s">
        <v>365</v>
      </c>
      <c r="J110" s="7" t="s">
        <v>215</v>
      </c>
      <c r="K110" s="181"/>
      <c r="L110" s="7" t="s">
        <v>216</v>
      </c>
      <c r="M110" s="181"/>
      <c r="N110" s="7" t="s">
        <v>217</v>
      </c>
      <c r="O110" s="7" t="s">
        <v>366</v>
      </c>
      <c r="P110" s="1" t="s">
        <v>218</v>
      </c>
      <c r="Q110" s="50">
        <v>363858395.08999997</v>
      </c>
      <c r="R110" s="50">
        <v>363858395.08999997</v>
      </c>
      <c r="S110" s="50" t="str">
        <f ca="1">IFERROR(__xludf.DUMMYFUNCTION("INDEX(IMPORTRANGE(""17pNv02DXDpQT9S3w4-QeNym2QJy2BzMBqDXp-XtzJBM"", ""'SNG'!BG3:BG139""),MATCH($D110,IMPORTRANGE(""17pNv02DXDpQT9S3w4-QeNym2QJy2BzMBqDXp-XtzJBM"", ""'SNG'!D3:D139""),0))"),"")</f>
        <v/>
      </c>
      <c r="T110" s="2"/>
      <c r="U110" s="36">
        <v>374500000</v>
      </c>
      <c r="V110" s="2"/>
      <c r="W110" s="36">
        <v>388611356.37</v>
      </c>
      <c r="X110" s="36">
        <f>(Y110-W110)/6*5+W110</f>
        <v>398925090.22833335</v>
      </c>
      <c r="Y110" s="349">
        <v>400987837</v>
      </c>
      <c r="Z110" s="36" t="str">
        <f ca="1">IFERROR(__xludf.DUMMYFUNCTION("INDEX(IMPORTRANGE(""17pNv02DXDpQT9S3w4-QeNym2QJy2BzMBqDXp-XtzJBM"", ""'SNG'!BH3:BH139""),MATCH($D110,IMPORTRANGE(""17pNv02DXDpQT9S3w4-QeNym2QJy2BzMBqDXp-XtzJBM"", ""'SNG'!D3:D139""),0))"),"")</f>
        <v/>
      </c>
      <c r="AA110" s="4" t="str">
        <f ca="1">IFERROR(__xludf.DUMMYFUNCTION("INDEX(IMPORTRANGE(""17pNv02DXDpQT9S3w4-QeNym2QJy2BzMBqDXp-XtzJBM"", ""'SNG'!BI3:BI139""),MATCH($D110,IMPORTRANGE(""17pNv02DXDpQT9S3w4-QeNym2QJy2BzMBqDXp-XtzJBM"", ""'SNG'!D3:D139""),0))"),"")</f>
        <v/>
      </c>
      <c r="AB110" s="36">
        <f ca="1">IFERROR(__xludf.DUMMYFUNCTION("INDEX(IMPORTRANGE(""17pNv02DXDpQT9S3w4-QeNym2QJy2BzMBqDXp-XtzJBM"", ""'SNG'!BJ3:BJ139""),MATCH($D110,IMPORTRANGE(""17pNv02DXDpQT9S3w4-QeNym2QJy2BzMBqDXp-XtzJBM"", ""'SNG'!D3:D139""),0))"),400400429.249999)</f>
        <v>400400429.24999899</v>
      </c>
      <c r="AC110" s="4" t="str">
        <f ca="1">IFERROR(__xludf.DUMMYFUNCTION("INDEX(IMPORTRANGE(""17pNv02DXDpQT9S3w4-QeNym2QJy2BzMBqDXp-XtzJBM"", ""'SNG'!BK3:BK139""),MATCH($D110,IMPORTRANGE(""17pNv02DXDpQT9S3w4-QeNym2QJy2BzMBqDXp-XtzJBM"", ""'SNG'!D3:D139""),0))"),"")</f>
        <v/>
      </c>
      <c r="AD110" s="36">
        <f ca="1">IFERROR(__xludf.DUMMYFUNCTION("INDEX(IMPORTRANGE(""17pNv02DXDpQT9S3w4-QeNym2QJy2BzMBqDXp-XtzJBM"", ""'SNG'!BL3:BL139""),MATCH($D110,IMPORTRANGE(""17pNv02DXDpQT9S3w4-QeNym2QJy2BzMBqDXp-XtzJBM"", ""'SNG'!D3:D139""),0))"),392822845)</f>
        <v>392822845</v>
      </c>
      <c r="AE110" s="36">
        <f ca="1">IFERROR(__xludf.DUMMYFUNCTION("INDEX(IMPORTRANGE(""17pNv02DXDpQT9S3w4-QeNym2QJy2BzMBqDXp-XtzJBM"", ""'SNG'!BM3:BM139""),MATCH($D110,IMPORTRANGE(""17pNv02DXDpQT9S3w4-QeNym2QJy2BzMBqDXp-XtzJBM"", ""'SNG'!D3:D139""),0))"),382129921)</f>
        <v>382129921</v>
      </c>
    </row>
    <row r="111" spans="1:31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7" t="s">
        <v>369</v>
      </c>
      <c r="P111" s="1" t="s">
        <v>218</v>
      </c>
      <c r="Q111" s="36">
        <v>2494247239.0900002</v>
      </c>
      <c r="R111" s="36">
        <v>2494247239.0900002</v>
      </c>
      <c r="S111" s="36">
        <f ca="1">IFERROR(__xludf.DUMMYFUNCTION("INDEX(IMPORTRANGE(""17pNv02DXDpQT9S3w4-QeNym2QJy2BzMBqDXp-XtzJBM"", ""'SNG'!BG3:BG139""),MATCH($D111,IMPORTRANGE(""17pNv02DXDpQT9S3w4-QeNym2QJy2BzMBqDXp-XtzJBM"", ""'SNG'!D3:D139""),0))"),1163794565.31)</f>
        <v>1163794565.3099999</v>
      </c>
      <c r="T111" s="13"/>
      <c r="U111" s="13"/>
      <c r="V111" s="13"/>
      <c r="W111" s="13"/>
      <c r="X111" s="336"/>
      <c r="Y111" s="13"/>
      <c r="Z111" s="36">
        <f ca="1">IFERROR(__xludf.DUMMYFUNCTION("INDEX(IMPORTRANGE(""17pNv02DXDpQT9S3w4-QeNym2QJy2BzMBqDXp-XtzJBM"", ""'SNG'!BH3:BH139""),MATCH($D111,IMPORTRANGE(""17pNv02DXDpQT9S3w4-QeNym2QJy2BzMBqDXp-XtzJBM"", ""'SNG'!D3:D139""),0))"),2494247239.09)</f>
        <v>2494247239.0900002</v>
      </c>
      <c r="AA111" s="4" t="str">
        <f ca="1">IFERROR(__xludf.DUMMYFUNCTION("INDEX(IMPORTRANGE(""17pNv02DXDpQT9S3w4-QeNym2QJy2BzMBqDXp-XtzJBM"", ""'SNG'!BI3:BI139""),MATCH($D111,IMPORTRANGE(""17pNv02DXDpQT9S3w4-QeNym2QJy2BzMBqDXp-XtzJBM"", ""'SNG'!D3:D139""),0))"),"")</f>
        <v/>
      </c>
      <c r="AB111" s="36">
        <f ca="1">IFERROR(__xludf.DUMMYFUNCTION("INDEX(IMPORTRANGE(""17pNv02DXDpQT9S3w4-QeNym2QJy2BzMBqDXp-XtzJBM"", ""'SNG'!BJ3:BJ139""),MATCH($D111,IMPORTRANGE(""17pNv02DXDpQT9S3w4-QeNym2QJy2BzMBqDXp-XtzJBM"", ""'SNG'!D3:D139""),0))"),2563033083.81)</f>
        <v>2563033083.8099999</v>
      </c>
      <c r="AC111" s="4" t="str">
        <f ca="1">IFERROR(__xludf.DUMMYFUNCTION("INDEX(IMPORTRANGE(""17pNv02DXDpQT9S3w4-QeNym2QJy2BzMBqDXp-XtzJBM"", ""'SNG'!BK3:BK139""),MATCH($D111,IMPORTRANGE(""17pNv02DXDpQT9S3w4-QeNym2QJy2BzMBqDXp-XtzJBM"", ""'SNG'!D3:D139""),0))"),"")</f>
        <v/>
      </c>
      <c r="AD111" s="36">
        <f ca="1">IFERROR(__xludf.DUMMYFUNCTION("INDEX(IMPORTRANGE(""17pNv02DXDpQT9S3w4-QeNym2QJy2BzMBqDXp-XtzJBM"", ""'SNG'!BL3:BL139""),MATCH($D111,IMPORTRANGE(""17pNv02DXDpQT9S3w4-QeNym2QJy2BzMBqDXp-XtzJBM"", ""'SNG'!D3:D139""),0))"),2657737050.41)</f>
        <v>2657737050.4099998</v>
      </c>
      <c r="AE111" s="36">
        <f ca="1">IFERROR(__xludf.DUMMYFUNCTION("INDEX(IMPORTRANGE(""17pNv02DXDpQT9S3w4-QeNym2QJy2BzMBqDXp-XtzJBM"", ""'SNG'!BM3:BM139""),MATCH($D111,IMPORTRANGE(""17pNv02DXDpQT9S3w4-QeNym2QJy2BzMBqDXp-XtzJBM"", ""'SNG'!D3:D139""),0))"),1190710399.24)</f>
        <v>1190710399.24</v>
      </c>
    </row>
    <row r="112" spans="1:31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2" t="s">
        <v>368</v>
      </c>
      <c r="J112" s="7" t="s">
        <v>215</v>
      </c>
      <c r="K112" s="13"/>
      <c r="L112" s="7" t="s">
        <v>216</v>
      </c>
      <c r="M112" s="13"/>
      <c r="N112" s="7" t="s">
        <v>217</v>
      </c>
      <c r="O112" s="7" t="s">
        <v>369</v>
      </c>
      <c r="P112" s="1" t="s">
        <v>218</v>
      </c>
      <c r="Q112" s="15">
        <f t="shared" ref="Q112:R112" si="27">Q104/Q111</f>
        <v>0.70997376864936457</v>
      </c>
      <c r="R112" s="15">
        <f t="shared" si="27"/>
        <v>0.70997376864936457</v>
      </c>
      <c r="S112" s="15">
        <f ca="1">IFERROR(__xludf.DUMMYFUNCTION("INDEX(IMPORTRANGE(""17pNv02DXDpQT9S3w4-QeNym2QJy2BzMBqDXp-XtzJBM"", ""'SNG'!BG3:BG139""),MATCH($D112,IMPORTRANGE(""17pNv02DXDpQT9S3w4-QeNym2QJy2BzMBqDXp-XtzJBM"", ""'SNG'!D3:D139""),0))"),0.666475009928743)</f>
        <v>0.66647500992874298</v>
      </c>
      <c r="T112" s="2"/>
      <c r="U112" s="15">
        <v>0.7</v>
      </c>
      <c r="V112" s="2"/>
      <c r="W112" s="15">
        <v>0.7</v>
      </c>
      <c r="X112" s="15">
        <f>(Y112-W112)/6*5+W112</f>
        <v>0.7</v>
      </c>
      <c r="Y112" s="15">
        <v>0.7</v>
      </c>
      <c r="Z112" s="15">
        <f ca="1">IFERROR(__xludf.DUMMYFUNCTION("INDEX(IMPORTRANGE(""17pNv02DXDpQT9S3w4-QeNym2QJy2BzMBqDXp-XtzJBM"", ""'SNG'!BH3:BH139""),MATCH($D112,IMPORTRANGE(""17pNv02DXDpQT9S3w4-QeNym2QJy2BzMBqDXp-XtzJBM"", ""'SNG'!D3:D139""),0))"),0.709973768649364)</f>
        <v>0.70997376864936401</v>
      </c>
      <c r="AA112" s="4" t="str">
        <f ca="1">IFERROR(__xludf.DUMMYFUNCTION("INDEX(IMPORTRANGE(""17pNv02DXDpQT9S3w4-QeNym2QJy2BzMBqDXp-XtzJBM"", ""'SNG'!BI3:BI139""),MATCH($D112,IMPORTRANGE(""17pNv02DXDpQT9S3w4-QeNym2QJy2BzMBqDXp-XtzJBM"", ""'SNG'!D3:D139""),0))"),"")</f>
        <v/>
      </c>
      <c r="AB112" s="15">
        <f ca="1">IFERROR(__xludf.DUMMYFUNCTION("INDEX(IMPORTRANGE(""17pNv02DXDpQT9S3w4-QeNym2QJy2BzMBqDXp-XtzJBM"", ""'SNG'!BJ3:BJ139""),MATCH($D112,IMPORTRANGE(""17pNv02DXDpQT9S3w4-QeNym2QJy2BzMBqDXp-XtzJBM"", ""'SNG'!D3:D139""),0))"),0.776790072686237)</f>
        <v>0.77679007268623701</v>
      </c>
      <c r="AC112" s="4" t="str">
        <f ca="1">IFERROR(__xludf.DUMMYFUNCTION("INDEX(IMPORTRANGE(""17pNv02DXDpQT9S3w4-QeNym2QJy2BzMBqDXp-XtzJBM"", ""'SNG'!BK3:BK139""),MATCH($D112,IMPORTRANGE(""17pNv02DXDpQT9S3w4-QeNym2QJy2BzMBqDXp-XtzJBM"", ""'SNG'!D3:D139""),0))"),"")</f>
        <v/>
      </c>
      <c r="AD112" s="15">
        <f ca="1">IFERROR(__xludf.DUMMYFUNCTION("INDEX(IMPORTRANGE(""17pNv02DXDpQT9S3w4-QeNym2QJy2BzMBqDXp-XtzJBM"", ""'SNG'!BL3:BL139""),MATCH($D112,IMPORTRANGE(""17pNv02DXDpQT9S3w4-QeNym2QJy2BzMBqDXp-XtzJBM"", ""'SNG'!D3:D139""),0))"),0.798444697063856)</f>
        <v>0.79844469706385601</v>
      </c>
      <c r="AE112" s="15">
        <f ca="1">IFERROR(__xludf.DUMMYFUNCTION("INDEX(IMPORTRANGE(""17pNv02DXDpQT9S3w4-QeNym2QJy2BzMBqDXp-XtzJBM"", ""'SNG'!BM3:BM139""),MATCH($D112,IMPORTRANGE(""17pNv02DXDpQT9S3w4-QeNym2QJy2BzMBqDXp-XtzJBM"", ""'SNG'!D3:D139""),0))"),0.79920498262835)</f>
        <v>0.79920498262835005</v>
      </c>
    </row>
    <row r="113" spans="1:31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81"/>
      <c r="I113" s="49">
        <v>44348</v>
      </c>
      <c r="J113" s="1" t="s">
        <v>254</v>
      </c>
      <c r="K113" s="13"/>
      <c r="L113" s="1" t="s">
        <v>255</v>
      </c>
      <c r="M113" s="13"/>
      <c r="N113" s="1" t="s">
        <v>256</v>
      </c>
      <c r="O113" s="348">
        <v>45444</v>
      </c>
      <c r="P113" s="1"/>
      <c r="Q113" s="30" t="s">
        <v>308</v>
      </c>
      <c r="R113" s="30" t="s">
        <v>308</v>
      </c>
      <c r="S113" s="30" t="str">
        <f ca="1">IFERROR(__xludf.DUMMYFUNCTION("INDEX(IMPORTRANGE(""17pNv02DXDpQT9S3w4-QeNym2QJy2BzMBqDXp-XtzJBM"", ""'SNG'!BG3:BG139""),MATCH($D113,IMPORTRANGE(""17pNv02DXDpQT9S3w4-QeNym2QJy2BzMBqDXp-XtzJBM"", ""'SNG'!D3:D139""),0))"),"Verde")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36" t="str">
        <f ca="1">IFERROR(__xludf.DUMMYFUNCTION("INDEX(IMPORTRANGE(""17pNv02DXDpQT9S3w4-QeNym2QJy2BzMBqDXp-XtzJBM"", ""'SNG'!BH3:BH139""),MATCH($D113,IMPORTRANGE(""17pNv02DXDpQT9S3w4-QeNym2QJy2BzMBqDXp-XtzJBM"", ""'SNG'!D3:D139""),0))"),"Verde")</f>
        <v>Verde</v>
      </c>
      <c r="AA113" s="4" t="str">
        <f ca="1">IFERROR(__xludf.DUMMYFUNCTION("INDEX(IMPORTRANGE(""17pNv02DXDpQT9S3w4-QeNym2QJy2BzMBqDXp-XtzJBM"", ""'SNG'!BI3:BI139""),MATCH($D113,IMPORTRANGE(""17pNv02DXDpQT9S3w4-QeNym2QJy2BzMBqDXp-XtzJBM"", ""'SNG'!D3:D139""),0))"),"")</f>
        <v/>
      </c>
      <c r="AB113" s="36" t="str">
        <f ca="1">IFERROR(__xludf.DUMMYFUNCTION("INDEX(IMPORTRANGE(""17pNv02DXDpQT9S3w4-QeNym2QJy2BzMBqDXp-XtzJBM"", ""'SNG'!BJ3:BJ139""),MATCH($D113,IMPORTRANGE(""17pNv02DXDpQT9S3w4-QeNym2QJy2BzMBqDXp-XtzJBM"", ""'SNG'!D3:D139""),0))"),"Verde")</f>
        <v>Verde</v>
      </c>
      <c r="AC113" s="4" t="str">
        <f ca="1">IFERROR(__xludf.DUMMYFUNCTION("INDEX(IMPORTRANGE(""17pNv02DXDpQT9S3w4-QeNym2QJy2BzMBqDXp-XtzJBM"", ""'SNG'!BK3:BK139""),MATCH($D113,IMPORTRANGE(""17pNv02DXDpQT9S3w4-QeNym2QJy2BzMBqDXp-XtzJBM"", ""'SNG'!D3:D139""),0))"),"")</f>
        <v/>
      </c>
      <c r="AD113" s="36" t="str">
        <f ca="1">IFERROR(__xludf.DUMMYFUNCTION("INDEX(IMPORTRANGE(""17pNv02DXDpQT9S3w4-QeNym2QJy2BzMBqDXp-XtzJBM"", ""'SNG'!BL3:BL139""),MATCH($D113,IMPORTRANGE(""17pNv02DXDpQT9S3w4-QeNym2QJy2BzMBqDXp-XtzJBM"", ""'SNG'!D3:D139""),0))"),"Verde")</f>
        <v>Verde</v>
      </c>
      <c r="AE113" s="36" t="str">
        <f ca="1">IFERROR(__xludf.DUMMYFUNCTION("INDEX(IMPORTRANGE(""17pNv02DXDpQT9S3w4-QeNym2QJy2BzMBqDXp-XtzJBM"", ""'SNG'!BM3:BM139""),MATCH($D113,IMPORTRANGE(""17pNv02DXDpQT9S3w4-QeNym2QJy2BzMBqDXp-XtzJBM"", ""'SNG'!D3:D139""),0))"),"Verde")</f>
        <v>Verde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5BE2-9656-2142-8C85-FD5E17A4DA25}">
  <dimension ref="A1:M39"/>
  <sheetViews>
    <sheetView topLeftCell="A35" workbookViewId="0">
      <selection activeCell="F3" sqref="F3"/>
    </sheetView>
  </sheetViews>
  <sheetFormatPr baseColWidth="10" defaultRowHeight="16"/>
  <cols>
    <col min="1" max="1" width="10.83203125" style="118"/>
    <col min="3" max="3" width="21.5" customWidth="1"/>
    <col min="7" max="7" width="13.1640625" customWidth="1"/>
    <col min="8" max="8" width="13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SNG'!$D$3:$AE$113,6,0)</f>
        <v>44469</v>
      </c>
      <c r="E2" s="212">
        <f ca="1">'BD EVA 5 SNG'!AA3</f>
        <v>462</v>
      </c>
      <c r="F2" s="75" t="str">
        <f>VLOOKUP(C2,'BD EVA 5 SNG'!$D$3:$AE$113,12,0)</f>
        <v>Ago 2024</v>
      </c>
      <c r="G2" s="212">
        <f ca="1">VLOOKUP(C2,'BD EVA 5 SNG'!$D$3:$AE$113,28,0)</f>
        <v>444</v>
      </c>
      <c r="H2" s="212">
        <f>VLOOKUP(C2,'BD EVA 5 SNG'!$D$3:$AE$113,21,0)</f>
        <v>547</v>
      </c>
      <c r="I2" s="78">
        <f ca="1">IF(G2&gt;=E2,G2/H2,0)</f>
        <v>0</v>
      </c>
      <c r="J2" s="72" t="s">
        <v>316</v>
      </c>
      <c r="K2" s="81">
        <v>2.7</v>
      </c>
      <c r="L2" s="81">
        <f t="shared" ref="L2:L39" ca="1" si="0">IF(I2&lt;0,0,IF(I2&gt;1,K2,I2*K2))</f>
        <v>0</v>
      </c>
      <c r="M2" s="124">
        <f ca="1">SUM(L2:L4)</f>
        <v>7.3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SNG'!$D$3:$AE$113,6,0)</f>
        <v>44469</v>
      </c>
      <c r="E3" s="207">
        <f ca="1">VLOOKUP(C3,'BD EVA 5 SNG'!$D$3:$AE$113,16,0)</f>
        <v>0.712996389891696</v>
      </c>
      <c r="F3" s="75" t="str">
        <f>VLOOKUP(C3,'BD EVA 5 SNG'!$D$3:$AE$113,12,0)</f>
        <v>Ago 2024</v>
      </c>
      <c r="G3" s="207">
        <f ca="1">VLOOKUP(C3,'BD EVA 5 SNG'!$D$3:$AE$113,28,0)</f>
        <v>1</v>
      </c>
      <c r="H3" s="207" t="str">
        <f>VLOOKUP(C3,'BD EVA 5 SNG'!$D$3:$AE$113,21,0)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SNG'!$D$3:$AE$113,6,0)</f>
        <v>44469</v>
      </c>
      <c r="E4" s="207">
        <f ca="1">VLOOKUP(C4,'BD EVA 5 SNG'!$D$3:$AE$113,16,0)</f>
        <v>3.06859205776173E-2</v>
      </c>
      <c r="F4" s="89" t="str">
        <f>VLOOKUP(C4,'BD EVA 5 SNG'!$D$3:$AE$113,12,0)</f>
        <v>Ago 2024</v>
      </c>
      <c r="G4" s="207">
        <f ca="1">VLOOKUP(C4,'BD EVA 5 SNG'!$D$3:$AE$113,28,0)</f>
        <v>6.9819819819819801E-2</v>
      </c>
      <c r="H4" s="207">
        <f>VLOOKUP(C4,'BD EVA 5 SNG'!$D$3:$AE$113,21,0)</f>
        <v>4.4666666666666667E-2</v>
      </c>
      <c r="I4" s="77">
        <f t="shared" ref="I4:I5" ca="1" si="1">G4/H4</f>
        <v>1.5631302944735777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SNG'!$D$3:$AE$113,6,0)</f>
        <v>octubre 20 - agosto 21</v>
      </c>
      <c r="E5" s="207">
        <f ca="1">VLOOKUP(C5,'BD EVA 5 SNG'!$D$3:$AE$113,16,0)</f>
        <v>0</v>
      </c>
      <c r="F5" s="75" t="str">
        <f>VLOOKUP(C5,'BD EVA 5 SNG'!$D$3:$AE$113,12,0)</f>
        <v>octubre 23 - agosto 24</v>
      </c>
      <c r="G5" s="207">
        <f ca="1">VLOOKUP(C5,'BD EVA 5 SNG'!$D$3:$AE$113,28,0)</f>
        <v>0.71339563862928301</v>
      </c>
      <c r="H5" s="207">
        <f>VLOOKUP(C5,'BD EVA 5 SNG'!$D$3:$AE$113,21,0)</f>
        <v>0.72499999999999998</v>
      </c>
      <c r="I5" s="77">
        <f t="shared" ca="1" si="1"/>
        <v>0.98399398431625251</v>
      </c>
      <c r="J5" s="75" t="s">
        <v>318</v>
      </c>
      <c r="K5" s="209">
        <v>1.6</v>
      </c>
      <c r="L5" s="209">
        <f t="shared" ca="1" si="0"/>
        <v>1.5743903749060042</v>
      </c>
      <c r="M5" s="130">
        <f ca="1">SUM(L5:L10)</f>
        <v>6.5743903749060042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SNG'!$D$3:$AE$113,6,0)</f>
        <v>octubre 20 - agosto 21</v>
      </c>
      <c r="E6" s="209">
        <f ca="1">VLOOKUP(C6,'BD EVA 5 SNG'!$D$3:$AE$113,16,0)</f>
        <v>8.8225841348931109</v>
      </c>
      <c r="F6" s="75" t="str">
        <f>VLOOKUP(C6,'BD EVA 5 SNG'!$D$3:$AE$113,12,0)</f>
        <v>octubre 23 - agosto 24</v>
      </c>
      <c r="G6" s="209">
        <f ca="1">VLOOKUP(C6,'BD EVA 5 SNG'!$D$3:$AE$113,28,0)</f>
        <v>10.639190275780001</v>
      </c>
      <c r="H6" s="209">
        <f ca="1">VLOOKUP(C6,'BD EVA 5 SNG'!$D$3:$AE$113,21,0)</f>
        <v>7.5923076923076929</v>
      </c>
      <c r="I6" s="78">
        <f t="shared" ref="I6:I10" ca="1" si="2">(G6-E6)/(H6-E6)</f>
        <v>-1.4765836994076744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SNG'!$D$3:$AE$113,6,0)</f>
        <v>octubre 20 - agosto 21</v>
      </c>
      <c r="E7" s="208">
        <f ca="1">VLOOKUP(C7,'BD EVA 5 SNG'!$D$3:$AE$113,16,0)</f>
        <v>196.19746623786099</v>
      </c>
      <c r="F7" s="75" t="str">
        <f>VLOOKUP(C7,'BD EVA 5 SNG'!$D$3:$AE$113,12,0)</f>
        <v>octubre 23 - agosto 24</v>
      </c>
      <c r="G7" s="208">
        <f ca="1">VLOOKUP(C7,'BD EVA 5 SNG'!$D$3:$AE$113,28,0)</f>
        <v>145.87966666598399</v>
      </c>
      <c r="H7" s="208">
        <f ca="1">VLOOKUP(C7,'BD EVA 5 SNG'!$D$3:$AE$113,21,0)</f>
        <v>182.31231231231229</v>
      </c>
      <c r="I7" s="78">
        <f t="shared" ca="1" si="2"/>
        <v>3.6238560869888641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SNG'!$D$3:$AE$113,6,0)</f>
        <v>octubre 20 - agosto 21</v>
      </c>
      <c r="E8" s="208">
        <f ca="1">VLOOKUP(C8,'BD EVA 5 SNG'!$D$3:$AE$113,16,0)</f>
        <v>398.06659370529599</v>
      </c>
      <c r="F8" s="75" t="str">
        <f>VLOOKUP(C8,'BD EVA 5 SNG'!$D$3:$AE$113,12,0)</f>
        <v>octubre 23 - agosto 24</v>
      </c>
      <c r="G8" s="208">
        <f ca="1">VLOOKUP(C8,'BD EVA 5 SNG'!$D$3:$AE$113,28,0)</f>
        <v>279.07414492623099</v>
      </c>
      <c r="H8" s="208">
        <f ca="1">VLOOKUP(C8,'BD EVA 5 SNG'!$D$3:$AE$113,21,0)</f>
        <v>334.40640038498526</v>
      </c>
      <c r="I8" s="78">
        <f t="shared" ca="1" si="2"/>
        <v>1.8691813922139091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SNG'!$D$3:$AE$113,6,0)</f>
        <v>octubre 20 - agosto 21</v>
      </c>
      <c r="E9" s="208">
        <f ca="1">VLOOKUP(C9,'BD EVA 5 SNG'!$D$3:$AE$113,16,0)</f>
        <v>73.311472930421303</v>
      </c>
      <c r="F9" s="75" t="str">
        <f>VLOOKUP(C9,'BD EVA 5 SNG'!$D$3:$AE$113,12,0)</f>
        <v>octubre 23 - agosto 24</v>
      </c>
      <c r="G9" s="208">
        <f ca="1">VLOOKUP(C9,'BD EVA 5 SNG'!$D$3:$AE$113,28,0)</f>
        <v>42.965960729111799</v>
      </c>
      <c r="H9" s="208">
        <f ca="1">VLOOKUP(C9,'BD EVA 5 SNG'!$D$3:$AE$113,21,0)</f>
        <v>72.370155038759663</v>
      </c>
      <c r="I9" s="78">
        <f t="shared" ca="1" si="2"/>
        <v>32.237262746321299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SNG'!$D$3:$AE$113,6,0)</f>
        <v>octubre 20 - agosto 21</v>
      </c>
      <c r="E10" s="208">
        <f ca="1">VLOOKUP(C10,'BD EVA 5 SNG'!$D$3:$AE$113,16,0)</f>
        <v>7.7722764997867797</v>
      </c>
      <c r="F10" s="89" t="str">
        <f>VLOOKUP(C10,'BD EVA 5 SNG'!$D$3:$AE$113,12,0)</f>
        <v>octubre 23 - agosto 24</v>
      </c>
      <c r="G10" s="208">
        <f ca="1">VLOOKUP(C10,'BD EVA 5 SNG'!$D$3:$AE$113,28,0)</f>
        <v>9.6161912108012295</v>
      </c>
      <c r="H10" s="208">
        <f ca="1">VLOOKUP(C10,'BD EVA 5 SNG'!$D$3:$AE$113,21,0)</f>
        <v>6.8585365853658464</v>
      </c>
      <c r="I10" s="78">
        <f t="shared" ca="1" si="2"/>
        <v>-2.0179863896861709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SNG'!$D$3:$AE$113,6,0)</f>
        <v>44469</v>
      </c>
      <c r="E11" s="78">
        <f ca="1">VLOOKUP(C11,'BD EVA 5 SNG'!$D$3:$AE$113,16,0)</f>
        <v>0</v>
      </c>
      <c r="F11" s="75" t="str">
        <f>VLOOKUP(C11,'BD EVA 5 SNG'!$D$3:$AE$113,12,0)</f>
        <v>Ago 2024</v>
      </c>
      <c r="G11" s="78">
        <f ca="1">VLOOKUP(C11,'BD EVA 5 SNG'!$D$3:$AE$113,28,0)</f>
        <v>0</v>
      </c>
      <c r="H11" s="78" t="str">
        <f>VLOOKUP(C11,'BD EVA 5 SNG'!$D$3:$AE$113,21,0)</f>
        <v>Sin meta</v>
      </c>
      <c r="I11" s="71">
        <v>0</v>
      </c>
      <c r="J11" s="89" t="s">
        <v>318</v>
      </c>
      <c r="K11" s="71">
        <v>1.1000000000000001</v>
      </c>
      <c r="L11" s="211">
        <f t="shared" si="0"/>
        <v>0</v>
      </c>
      <c r="M11" s="130">
        <f ca="1">SUM(L11:L15)</f>
        <v>8.9</v>
      </c>
    </row>
    <row r="12" spans="1:13" ht="91">
      <c r="A12" s="141" t="s">
        <v>119</v>
      </c>
      <c r="B12" s="72" t="s">
        <v>120</v>
      </c>
      <c r="C12" s="72" t="s">
        <v>333</v>
      </c>
      <c r="D12" s="75" t="str">
        <f>VLOOKUP(C12,'BD EVA 5 SNG'!$D$3:$AE$113,6,0)</f>
        <v>octubre 20 - agosto 21</v>
      </c>
      <c r="E12" s="210" t="str">
        <f ca="1">VLOOKUP(C12,'BD EVA 5 SNG'!$D$3:$AE$113,16,0)</f>
        <v/>
      </c>
      <c r="F12" s="75" t="str">
        <f>VLOOKUP(C12,'BD EVA 5 SNG'!$D$3:$AE$113,12,0)</f>
        <v>octubre 23 - agosto 24</v>
      </c>
      <c r="G12" s="210">
        <f ca="1">VLOOKUP(C12,'BD EVA 5 SNG'!$D$3:$AE$113,28,0)</f>
        <v>1.5880979411184201E-3</v>
      </c>
      <c r="H12" s="210">
        <f>VLOOKUP(C12,'BD EVA 5 SNG'!$D$3:$AE$113,21,0)</f>
        <v>1.5E-3</v>
      </c>
      <c r="I12" s="78">
        <f t="shared" ref="I12:I15" ca="1" si="3">G12/H12</f>
        <v>1.0587319607456134</v>
      </c>
      <c r="J12" s="75" t="s">
        <v>318</v>
      </c>
      <c r="K12" s="71">
        <v>1.1000000000000001</v>
      </c>
      <c r="L12" s="211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SNG'!$D$3:$AE$113,6,0)</f>
        <v>octubre 20 - agosto 21</v>
      </c>
      <c r="E13" s="212">
        <f ca="1">VLOOKUP(C13,'BD EVA 5 SNG'!$D$3:$AE$113,16,0)</f>
        <v>0</v>
      </c>
      <c r="F13" s="75" t="str">
        <f>VLOOKUP(C13,'BD EVA 5 SNG'!$D$3:$AE$113,12,0)</f>
        <v>octubre 21 - agosto 24</v>
      </c>
      <c r="G13" s="212">
        <f ca="1">VLOOKUP(C13,'BD EVA 5 SNG'!$D$3:$AE$113,28,0)</f>
        <v>3</v>
      </c>
      <c r="H13" s="212">
        <f>VLOOKUP(C13,'BD EVA 5 SNG'!$D$3:$AE$113,21,0)</f>
        <v>3</v>
      </c>
      <c r="I13" s="78">
        <f t="shared" ca="1" si="3"/>
        <v>1</v>
      </c>
      <c r="J13" s="75" t="s">
        <v>318</v>
      </c>
      <c r="K13" s="82">
        <v>2.35</v>
      </c>
      <c r="L13" s="211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SNG'!$D$3:$AE$113,6,0)</f>
        <v>octubre 20 - agosto 21</v>
      </c>
      <c r="E14" s="212">
        <f ca="1">VLOOKUP(C14,'BD EVA 5 SNG'!$D$3:$AE$113,16,0)</f>
        <v>744</v>
      </c>
      <c r="F14" s="75" t="str">
        <f>VLOOKUP(C14,'BD EVA 5 SNG'!$D$3:$AE$113,12,0)</f>
        <v>octubre 21 - agosto 24</v>
      </c>
      <c r="G14" s="212">
        <f ca="1">VLOOKUP(C14,'BD EVA 5 SNG'!$D$3:$AE$113,28,0)</f>
        <v>2575</v>
      </c>
      <c r="H14" s="212">
        <f>VLOOKUP(C14,'BD EVA 5 SNG'!$D$3:$AE$113,21,0)</f>
        <v>1050</v>
      </c>
      <c r="I14" s="78">
        <f t="shared" ca="1" si="3"/>
        <v>2.4523809523809526</v>
      </c>
      <c r="J14" s="75" t="s">
        <v>318</v>
      </c>
      <c r="K14" s="82">
        <v>2.35</v>
      </c>
      <c r="L14" s="211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SNG'!$D$3:$AE$113,6,0)</f>
        <v>octubre 20 - agosto 21</v>
      </c>
      <c r="E15" s="212">
        <f ca="1">VLOOKUP(C15,'BD EVA 5 SNG'!$D$3:$AE$113,16,0)</f>
        <v>36</v>
      </c>
      <c r="F15" s="89" t="str">
        <f>VLOOKUP(C15,'BD EVA 5 SNG'!$D$3:$AE$113,12,0)</f>
        <v>octubre 21 - agosto 24</v>
      </c>
      <c r="G15" s="212">
        <f ca="1">VLOOKUP(C15,'BD EVA 5 SNG'!$D$3:$AE$113,28,0)</f>
        <v>90</v>
      </c>
      <c r="H15" s="212">
        <f>VLOOKUP(C15,'BD EVA 5 SNG'!$D$3:$AE$113,21,0)</f>
        <v>87.5</v>
      </c>
      <c r="I15" s="78">
        <f t="shared" ca="1" si="3"/>
        <v>1.0285714285714285</v>
      </c>
      <c r="J15" s="75" t="s">
        <v>318</v>
      </c>
      <c r="K15" s="71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SNG'!$D$3:$AE$113,6,0)</f>
        <v>44469</v>
      </c>
      <c r="E16" s="213">
        <f ca="1">VLOOKUP(C16,'BD EVA 5 SNG'!$D$3:$AE$113,16,0)</f>
        <v>0.33333333333333298</v>
      </c>
      <c r="F16" s="75" t="str">
        <f>VLOOKUP(C16,'BD EVA 5 SNG'!$D$3:$AE$113,12,0)</f>
        <v>Ago 2024</v>
      </c>
      <c r="G16" s="213">
        <f ca="1">VLOOKUP(C16,'BD EVA 5 SNG'!$D$3:$AE$113,28,0)</f>
        <v>0.33333333333333298</v>
      </c>
      <c r="H16" s="213" t="str">
        <f>VLOOKUP(C16,'BD EVA 5 SNG'!$D$3:$AE$113,21,0)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0.33333333333333298</v>
      </c>
      <c r="J16" s="75" t="s">
        <v>318</v>
      </c>
      <c r="K16" s="171">
        <v>1.5</v>
      </c>
      <c r="L16" s="209">
        <f t="shared" ca="1" si="0"/>
        <v>0.49999999999999944</v>
      </c>
      <c r="M16" s="130">
        <f ca="1">SUM(L16:L23)</f>
        <v>7.6041766314431412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SNG'!$D$3:$AE$113,6,0)</f>
        <v>44469</v>
      </c>
      <c r="E17" s="212">
        <f ca="1">VLOOKUP(C17,'BD EVA 5 SNG'!$D$3:$AE$113,16,0)</f>
        <v>0</v>
      </c>
      <c r="F17" s="75" t="str">
        <f>VLOOKUP(C17,'BD EVA 5 SNG'!$D$3:$AE$113,12,0)</f>
        <v>Ago 2024</v>
      </c>
      <c r="G17" s="212">
        <f ca="1">VLOOKUP(C17,'BD EVA 5 SNG'!$D$3:$AE$113,28,0)</f>
        <v>0.5</v>
      </c>
      <c r="H17" s="212" t="str">
        <f>VLOOKUP(C17,'BD EVA 5 SNG'!$D$3:$AE$113,21,0)</f>
        <v>Actualizado al 2019</v>
      </c>
      <c r="I17" s="214">
        <f t="shared" ca="1" si="4"/>
        <v>0.5</v>
      </c>
      <c r="J17" s="75" t="s">
        <v>318</v>
      </c>
      <c r="K17" s="71">
        <v>1.5</v>
      </c>
      <c r="L17" s="209">
        <f t="shared" ca="1" si="0"/>
        <v>0.75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SNG'!$D$3:$AE$113,6,0)</f>
        <v>44469</v>
      </c>
      <c r="E18" s="207">
        <f ca="1">VLOOKUP(C18,'BD EVA 5 SNG'!$D$3:$AE$113,16,0)</f>
        <v>0</v>
      </c>
      <c r="F18" s="75" t="str">
        <f>VLOOKUP(C18,'BD EVA 5 SNG'!$D$3:$AE$113,12,0)</f>
        <v>Ago 2024</v>
      </c>
      <c r="G18" s="207">
        <f ca="1">VLOOKUP(C18,'BD EVA 5 SNG'!$D$3:$AE$113,28,0)</f>
        <v>0</v>
      </c>
      <c r="H18" s="207">
        <f>VLOOKUP(C18,'BD EVA 5 SNG'!$D$3:$AE$113,21,0)</f>
        <v>1</v>
      </c>
      <c r="I18" s="214">
        <f t="shared" ref="I18:I27" ca="1" si="5">G18/H18</f>
        <v>0</v>
      </c>
      <c r="J18" s="75" t="s">
        <v>318</v>
      </c>
      <c r="K18" s="71">
        <v>0.3</v>
      </c>
      <c r="L18" s="209">
        <f t="shared" ca="1" si="0"/>
        <v>0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SNG'!$D$3:$AE$113,6,0)</f>
        <v>44469</v>
      </c>
      <c r="E19" s="207">
        <f ca="1">VLOOKUP(C19,'BD EVA 5 SNG'!$D$3:$AE$113,16,0)</f>
        <v>1</v>
      </c>
      <c r="F19" s="75" t="str">
        <f>VLOOKUP(C19,'BD EVA 5 SNG'!$D$3:$AE$113,12,0)</f>
        <v>Ago 2024</v>
      </c>
      <c r="G19" s="207">
        <f ca="1">VLOOKUP(C19,'BD EVA 5 SNG'!$D$3:$AE$113,28,0)</f>
        <v>1</v>
      </c>
      <c r="H19" s="207">
        <f>VLOOKUP(C19,'BD EVA 5 SNG'!$D$3:$AE$113,21,0)</f>
        <v>1</v>
      </c>
      <c r="I19" s="214">
        <f t="shared" ca="1" si="5"/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SNG'!$D$3:$AE$113,6,0)</f>
        <v>44469</v>
      </c>
      <c r="E20" s="214">
        <f ca="1">VLOOKUP(C20,'BD EVA 5 SNG'!$D$3:$AE$113,16,0)</f>
        <v>1</v>
      </c>
      <c r="F20" s="75" t="str">
        <f>VLOOKUP(C20,'BD EVA 5 SNG'!$D$3:$AE$113,12,0)</f>
        <v>Ago 2024</v>
      </c>
      <c r="G20" s="214">
        <f ca="1">VLOOKUP(C20,'BD EVA 5 SNG'!$D$3:$AE$113,28,0)</f>
        <v>1</v>
      </c>
      <c r="H20" s="214">
        <f>VLOOKUP(C20,'BD EVA 5 SNG'!$D$3:$AE$113,21,0)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SNG'!$D$3:$AE$113,6,0)</f>
        <v>44469</v>
      </c>
      <c r="E21" s="207">
        <f ca="1">VLOOKUP(C21,'BD EVA 5 SNG'!$D$3:$AE$113,16,0)</f>
        <v>1</v>
      </c>
      <c r="F21" s="75" t="str">
        <f>VLOOKUP(C21,'BD EVA 5 SNG'!$D$3:$AE$113,12,0)</f>
        <v>Ago 2024</v>
      </c>
      <c r="G21" s="207">
        <f ca="1">VLOOKUP(C21,'BD EVA 5 SNG'!$D$3:$AE$113,28,0)</f>
        <v>1</v>
      </c>
      <c r="H21" s="207">
        <f>VLOOKUP(C21,'BD EVA 5 SNG'!$D$3:$AE$113,21,0)</f>
        <v>1</v>
      </c>
      <c r="I21" s="214">
        <f t="shared" ca="1" si="5"/>
        <v>1</v>
      </c>
      <c r="J21" s="75" t="s">
        <v>318</v>
      </c>
      <c r="K21" s="71">
        <v>0.9</v>
      </c>
      <c r="L21" s="209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SNG'!$D$3:$AE$113,6,0)</f>
        <v>44469</v>
      </c>
      <c r="E22" s="207">
        <f ca="1">VLOOKUP(C22,'BD EVA 5 SNG'!$D$3:$AE$113,16,0)</f>
        <v>0.60050254727103902</v>
      </c>
      <c r="F22" s="75" t="str">
        <f>VLOOKUP(C22,'BD EVA 5 SNG'!$D$3:$AE$113,12,0)</f>
        <v>Ago 2024</v>
      </c>
      <c r="G22" s="207">
        <f ca="1">VLOOKUP(C22,'BD EVA 5 SNG'!$D$3:$AE$113,28,0)</f>
        <v>0.76945108762876102</v>
      </c>
      <c r="H22" s="207">
        <f>VLOOKUP(C22,'BD EVA 5 SNG'!$D$3:$AE$113,21,0)</f>
        <v>1</v>
      </c>
      <c r="I22" s="214">
        <f t="shared" ca="1" si="5"/>
        <v>0.76945108762876102</v>
      </c>
      <c r="J22" s="75" t="s">
        <v>318</v>
      </c>
      <c r="K22" s="71">
        <v>1.5</v>
      </c>
      <c r="L22" s="209">
        <f t="shared" ca="1" si="0"/>
        <v>1.1541766314431414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SNG'!$D$3:$AE$113,6,0)</f>
        <v>octubre 20 - septiembre 21</v>
      </c>
      <c r="E23" s="208">
        <f ca="1">VLOOKUP(C23,'BD EVA 5 SNG'!$D$3:$AE$113,16,0)</f>
        <v>258.02999999999997</v>
      </c>
      <c r="F23" s="89" t="str">
        <f>VLOOKUP(C23,'BD EVA 5 SNG'!$D$3:$AE$113,12,0)</f>
        <v>octubre 23 - septiembre 24</v>
      </c>
      <c r="G23" s="208">
        <f ca="1">VLOOKUP(C23,'BD EVA 5 SNG'!$D$3:$AE$113,28,0)</f>
        <v>262.74</v>
      </c>
      <c r="H23" s="208">
        <f>VLOOKUP(C23,'BD EVA 5 SNG'!$D$3:$AE$113,21,0)</f>
        <v>261.88333333333333</v>
      </c>
      <c r="I23" s="214">
        <f t="shared" ca="1" si="5"/>
        <v>1.0032711767326419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SNG'!$D$3:$AE$113,6,0)</f>
        <v>44469</v>
      </c>
      <c r="E24" s="171">
        <f ca="1">VLOOKUP(C24,'BD EVA 5 SNG'!$D$3:$AE$113,16,0)</f>
        <v>1.8</v>
      </c>
      <c r="F24" s="75" t="str">
        <f>VLOOKUP(C24,'BD EVA 5 SNG'!$D$3:$AE$113,12,0)</f>
        <v>Ago 2024</v>
      </c>
      <c r="G24" s="171">
        <f ca="1">VLOOKUP(C24,'BD EVA 5 SNG'!$D$3:$AE$113,28,0)</f>
        <v>0</v>
      </c>
      <c r="H24" s="171">
        <f>VLOOKUP(C24,'BD EVA 5 SNG'!$D$3:$AE$113,21,0)</f>
        <v>22.1</v>
      </c>
      <c r="I24" s="214">
        <f t="shared" ca="1" si="5"/>
        <v>0</v>
      </c>
      <c r="J24" s="75" t="s">
        <v>318</v>
      </c>
      <c r="K24" s="171">
        <v>1.9450000000000001</v>
      </c>
      <c r="L24" s="82">
        <f t="shared" ca="1" si="0"/>
        <v>0</v>
      </c>
      <c r="M24" s="130">
        <f ca="1">SUM(L24:L28)</f>
        <v>7.3875489620301664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SNG'!$D$3:$AE$113,6,0)</f>
        <v>octubre 20 - agosto 21</v>
      </c>
      <c r="E25" s="212" t="str">
        <f ca="1">VLOOKUP(C25,'BD EVA 5 SNG'!$D$3:$AE$113,16,0)</f>
        <v/>
      </c>
      <c r="F25" s="75" t="str">
        <f>VLOOKUP(C25,'BD EVA 5 SNG'!$D$3:$AE$113,12,0)</f>
        <v>octubre 23 - agosto 24</v>
      </c>
      <c r="G25" s="212">
        <f ca="1">VLOOKUP(C25,'BD EVA 5 SNG'!$D$3:$AE$113,28,0)</f>
        <v>8795.0099999999893</v>
      </c>
      <c r="H25" s="212">
        <f>VLOOKUP(C25,'BD EVA 5 SNG'!$D$3:$AE$113,21,0)</f>
        <v>8689.0833333333321</v>
      </c>
      <c r="I25" s="214">
        <f t="shared" ca="1" si="5"/>
        <v>1.0121907757818709</v>
      </c>
      <c r="J25" s="75" t="s">
        <v>318</v>
      </c>
      <c r="K25" s="171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SNG'!$D$3:$AE$113,6,0)</f>
        <v>enero - agosto 2021</v>
      </c>
      <c r="E26" s="210">
        <f ca="1">VLOOKUP(C26,'BD EVA 5 SNG'!$D$3:$AE$113,16,0)</f>
        <v>1.0476037394151601</v>
      </c>
      <c r="F26" s="75" t="str">
        <f>VLOOKUP(C26,'BD EVA 5 SNG'!$D$3:$AE$113,12,0)</f>
        <v>enero- agosto 2024</v>
      </c>
      <c r="G26" s="210">
        <f ca="1">VLOOKUP(C26,'BD EVA 5 SNG'!$D$3:$AE$113,28,0)</f>
        <v>0.31326965235274901</v>
      </c>
      <c r="H26" s="210">
        <f>VLOOKUP(C26,'BD EVA 5 SNG'!$D$3:$AE$113,21,0)</f>
        <v>0.45916666666666667</v>
      </c>
      <c r="I26" s="214">
        <f t="shared" ca="1" si="5"/>
        <v>0.68225695612213944</v>
      </c>
      <c r="J26" s="75" t="s">
        <v>318</v>
      </c>
      <c r="K26" s="171">
        <v>2.1006</v>
      </c>
      <c r="L26" s="209">
        <f t="shared" ca="1" si="0"/>
        <v>1.4331489620301661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SNG'!$D$3:$AE$113,6,0)</f>
        <v>octubre 20 - agosto 21</v>
      </c>
      <c r="E27" s="212">
        <f ca="1">VLOOKUP(C27,'BD EVA 5 SNG'!$D$3:$AE$113,16,0)</f>
        <v>10</v>
      </c>
      <c r="F27" s="75" t="str">
        <f>VLOOKUP(C27,'BD EVA 5 SNG'!$D$3:$AE$113,12,0)</f>
        <v>octubre 23 - agosto 24</v>
      </c>
      <c r="G27" s="212">
        <f ca="1">VLOOKUP(C27,'BD EVA 5 SNG'!$D$3:$AE$113,28,0)</f>
        <v>16</v>
      </c>
      <c r="H27" s="212">
        <f>VLOOKUP(C27,'BD EVA 5 SNG'!$D$3:$AE$113,21,0)</f>
        <v>6</v>
      </c>
      <c r="I27" s="214">
        <f t="shared" ca="1" si="5"/>
        <v>2.6666666666666665</v>
      </c>
      <c r="J27" s="75" t="s">
        <v>318</v>
      </c>
      <c r="K27" s="171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SNG'!$D$3:$AE$113,6,0)</f>
        <v>octubre 18 - agosto 19</v>
      </c>
      <c r="E28" s="212">
        <f ca="1">VLOOKUP(C28,'BD EVA 5 SNG'!$D$3:$AE$113,16,0)</f>
        <v>10033</v>
      </c>
      <c r="F28" s="89" t="str">
        <f>VLOOKUP(C28,'BD EVA 5 SNG'!$D$3:$AE$113,12,0)</f>
        <v>octubre 23 - agosto 24</v>
      </c>
      <c r="G28" s="212">
        <f ca="1">VLOOKUP(C28,'BD EVA 5 SNG'!$D$3:$AE$113,28,0)</f>
        <v>8749</v>
      </c>
      <c r="H28" s="212">
        <f ca="1">VLOOKUP(C28,'BD EVA 5 SNG'!$D$3:$AE$113,21,0)</f>
        <v>9531.1185048454081</v>
      </c>
      <c r="I28" s="78">
        <f ca="1">(G28-E28)/(H28-E28)</f>
        <v>2.5583728676915976</v>
      </c>
      <c r="J28" s="89" t="s">
        <v>319</v>
      </c>
      <c r="K28" s="171">
        <v>2.2200000000000002</v>
      </c>
      <c r="L28" s="209">
        <f t="shared" ca="1" si="0"/>
        <v>2.2200000000000002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75" t="str">
        <f>VLOOKUP(C29,'BD EVA 5 SNG'!$D$3:$AE$113,6,0)</f>
        <v>octubre 20 - agosto 21</v>
      </c>
      <c r="E29" s="212">
        <f ca="1">VLOOKUP(C29,'BD EVA 5 SNG'!$D$3:$AE$113,16,0)</f>
        <v>0</v>
      </c>
      <c r="F29" s="75" t="str">
        <f>VLOOKUP(C29,'BD EVA 5 SNG'!$D$3:$AE$113,12,0)</f>
        <v>octubre 23 - agosto 24</v>
      </c>
      <c r="G29" s="212">
        <f ca="1">VLOOKUP(C29,'BD EVA 5 SNG'!$D$3:$AE$113,28,0)</f>
        <v>499</v>
      </c>
      <c r="H29" s="212">
        <f>VLOOKUP(C29,'BD EVA 5 SNG'!$D$3:$AE$113,21,0)</f>
        <v>115</v>
      </c>
      <c r="I29" s="78">
        <f t="shared" ref="I29:I33" ca="1" si="6">G29/H29</f>
        <v>4.339130434782609</v>
      </c>
      <c r="J29" s="75" t="s">
        <v>318</v>
      </c>
      <c r="K29" s="82">
        <v>2</v>
      </c>
      <c r="L29" s="209">
        <f t="shared" ca="1" si="0"/>
        <v>2</v>
      </c>
      <c r="M29" s="130">
        <f ca="1">SUM(L29:L33)</f>
        <v>9.8536272238399842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SNG'!$D$3:$AE$113,6,0)</f>
        <v>44469</v>
      </c>
      <c r="E30" s="212">
        <f ca="1">VLOOKUP(C30,'BD EVA 5 SNG'!$D$3:$AE$113,16,0)</f>
        <v>2</v>
      </c>
      <c r="F30" s="75" t="str">
        <f>VLOOKUP(C30,'BD EVA 5 SNG'!$D$3:$AE$113,12,0)</f>
        <v>Ago 2024</v>
      </c>
      <c r="G30" s="212">
        <f ca="1">VLOOKUP(C30,'BD EVA 5 SNG'!$D$3:$AE$113,28,0)</f>
        <v>78</v>
      </c>
      <c r="H30" s="212">
        <f>VLOOKUP(C30,'BD EVA 5 SNG'!$D$3:$AE$113,21,0)</f>
        <v>78.333333333333329</v>
      </c>
      <c r="I30" s="78">
        <f t="shared" ca="1" si="6"/>
        <v>0.99574468085106393</v>
      </c>
      <c r="J30" s="75" t="s">
        <v>318</v>
      </c>
      <c r="K30" s="82">
        <v>2</v>
      </c>
      <c r="L30" s="209">
        <f t="shared" ca="1" si="0"/>
        <v>1.9914893617021279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SNG'!$D$3:$AE$113,6,0)</f>
        <v>44440</v>
      </c>
      <c r="E31" s="212">
        <f ca="1">VLOOKUP(C31,'BD EVA 5 SNG'!$D$3:$AE$113,16,0)</f>
        <v>95.55</v>
      </c>
      <c r="F31" s="75">
        <f>VLOOKUP(C31,'BD EVA 5 SNG'!$D$3:$AE$113,12,0)</f>
        <v>45444</v>
      </c>
      <c r="G31" s="212">
        <f ca="1">VLOOKUP(C31,'BD EVA 5 SNG'!$D$3:$AE$113,28,0)</f>
        <v>100</v>
      </c>
      <c r="H31" s="212">
        <f>VLOOKUP(C31,'BD EVA 5 SNG'!$D$3:$AE$113,21,0)</f>
        <v>100</v>
      </c>
      <c r="I31" s="78">
        <f t="shared" ca="1" si="6"/>
        <v>1</v>
      </c>
      <c r="J31" s="75" t="s">
        <v>318</v>
      </c>
      <c r="K31" s="82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SNG'!$D$3:$AE$113,6,0)</f>
        <v>44440</v>
      </c>
      <c r="E32" s="209">
        <f ca="1">VLOOKUP(C32,'BD EVA 5 SNG'!$D$3:$AE$113,16,0)</f>
        <v>0</v>
      </c>
      <c r="F32" s="75" t="str">
        <f>VLOOKUP(C32,'BD EVA 5 SNG'!$D$3:$AE$113,12,0)</f>
        <v>Ago 2024</v>
      </c>
      <c r="G32" s="209">
        <f ca="1">VLOOKUP(C32,'BD EVA 5 SNG'!$D$3:$AE$113,28,0)</f>
        <v>3.77622377622377</v>
      </c>
      <c r="H32" s="209">
        <f>VLOOKUP(C32,'BD EVA 5 SNG'!$D$3:$AE$113,21,0)</f>
        <v>4</v>
      </c>
      <c r="I32" s="78">
        <f t="shared" ca="1" si="6"/>
        <v>0.94405594405594251</v>
      </c>
      <c r="J32" s="75" t="s">
        <v>318</v>
      </c>
      <c r="K32" s="82">
        <v>2</v>
      </c>
      <c r="L32" s="209">
        <f t="shared" ca="1" si="0"/>
        <v>1.888111888111885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SNG'!$D$3:$AE$113,6,0)</f>
        <v>44440</v>
      </c>
      <c r="E33" s="75" t="str">
        <f ca="1">VLOOKUP(C33,'BD EVA 5 SNG'!$D$3:$AE$113,16,0)</f>
        <v/>
      </c>
      <c r="F33" s="75" t="str">
        <f>VLOOKUP(C33,'BD EVA 5 SNG'!$D$3:$AE$113,12,0)</f>
        <v>Ago 2024</v>
      </c>
      <c r="G33" s="207">
        <f ca="1">VLOOKUP(C33,'BD EVA 5 SNG'!$D$3:$AE$113,28,0)</f>
        <v>0.493506493506493</v>
      </c>
      <c r="H33" s="207">
        <f>VLOOKUP(C33,'BD EVA 5 SNG'!$D$3:$AE$113,21,0)</f>
        <v>0.5</v>
      </c>
      <c r="I33" s="78">
        <f t="shared" ca="1" si="6"/>
        <v>0.98701298701298601</v>
      </c>
      <c r="J33" s="75" t="s">
        <v>318</v>
      </c>
      <c r="K33" s="82">
        <v>2</v>
      </c>
      <c r="L33" s="211">
        <f t="shared" ca="1" si="0"/>
        <v>1.974025974025972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SNG'!$D$3:$AE$113,6,0)</f>
        <v>enero - junio 2021</v>
      </c>
      <c r="E34" s="78">
        <f ca="1">VLOOKUP(C34,'BD EVA 5 SNG'!$D$3:$AE$113,16,0)</f>
        <v>0.32274765385314003</v>
      </c>
      <c r="F34" s="75" t="str">
        <f>VLOOKUP(C34,'BD EVA 5 SNG'!$D$3:$AE$113,12,0)</f>
        <v>enero- junio 2024</v>
      </c>
      <c r="G34" s="78">
        <f ca="1">VLOOKUP(C34,'BD EVA 5 SNG'!$D$3:$AE$113,28,0)</f>
        <v>0.36037473024884997</v>
      </c>
      <c r="H34" s="78">
        <f>VLOOKUP(C34,'BD EVA 5 SNG'!$D$3:$AE$113,21,0)</f>
        <v>0.28000000000000003</v>
      </c>
      <c r="I34" s="78">
        <f ca="1">(G34/H34)</f>
        <v>1.2870526080316069</v>
      </c>
      <c r="J34" s="75" t="s">
        <v>318</v>
      </c>
      <c r="K34" s="85">
        <v>2.1631999999999998</v>
      </c>
      <c r="L34" s="209">
        <f t="shared" ca="1" si="0"/>
        <v>2.1631999999999998</v>
      </c>
      <c r="M34" s="130">
        <f ca="1">SUM(L34:L39)</f>
        <v>9.719967880320322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SNG'!$D$3:$AE$113,6,0)</f>
        <v>enero - junio 2021</v>
      </c>
      <c r="E35" s="78">
        <f ca="1">VLOOKUP(C35,'BD EVA 5 SNG'!$D$3:$AE$113,16,0)</f>
        <v>0.36235692086544002</v>
      </c>
      <c r="F35" s="75" t="str">
        <f>VLOOKUP(C35,'BD EVA 5 SNG'!$D$3:$AE$113,12,0)</f>
        <v>enero- junio 2024</v>
      </c>
      <c r="G35" s="78">
        <f ca="1">VLOOKUP(C35,'BD EVA 5 SNG'!$D$3:$AE$113,28,0)</f>
        <v>0.57572366860289304</v>
      </c>
      <c r="H35" s="78">
        <f>VLOOKUP(C35,'BD EVA 5 SNG'!$D$3:$AE$113,21,0)</f>
        <v>0.36933333333333335</v>
      </c>
      <c r="I35" s="78">
        <f ca="1">G35/H35</f>
        <v>1.5588185973002517</v>
      </c>
      <c r="J35" s="75" t="s">
        <v>318</v>
      </c>
      <c r="K35" s="85">
        <v>1.3520000000000001</v>
      </c>
      <c r="L35" s="209">
        <f t="shared" ca="1" si="0"/>
        <v>1.3520000000000001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SNG'!$D$3:$AE$113,6,0)</f>
        <v>enero - agosto 2021</v>
      </c>
      <c r="E36" s="78">
        <f ca="1">VLOOKUP(C36,'BD EVA 5 SNG'!$D$3:$AE$113,16,0)</f>
        <v>0.59746134537811102</v>
      </c>
      <c r="F36" s="75" t="str">
        <f>VLOOKUP(C36,'BD EVA 5 SNG'!$D$3:$AE$113,12,0)</f>
        <v>enero- agosto 2024</v>
      </c>
      <c r="G36" s="78">
        <f ca="1">VLOOKUP(C36,'BD EVA 5 SNG'!$D$3:$AE$113,28,0)</f>
        <v>0.67852406077905603</v>
      </c>
      <c r="H36" s="78">
        <f>VLOOKUP(C36,'BD EVA 5 SNG'!$D$3:$AE$113,21,0)</f>
        <v>0.68916666666666659</v>
      </c>
      <c r="I36" s="78">
        <f ca="1">IF(G36&lt;E36,0,G36/H36)</f>
        <v>0.98455728287166544</v>
      </c>
      <c r="J36" s="72" t="s">
        <v>316</v>
      </c>
      <c r="K36" s="85">
        <v>2.1631999999999998</v>
      </c>
      <c r="L36" s="209">
        <f t="shared" ca="1" si="0"/>
        <v>2.1297943143079863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SNG'!$D$3:$AE$113,6,0)</f>
        <v>enero - agosto 2021</v>
      </c>
      <c r="E37" s="90" t="str">
        <f ca="1">VLOOKUP(C37,'BD EVA 5 SNG'!$D$3:$AE$113,16,0)</f>
        <v/>
      </c>
      <c r="F37" s="75" t="str">
        <f>VLOOKUP(C37,'BD EVA 5 SNG'!$D$3:$AE$113,12,0)</f>
        <v>enero- agosto 2024</v>
      </c>
      <c r="G37" s="90">
        <f ca="1">VLOOKUP(C37,'BD EVA 5 SNG'!$D$3:$AE$113,28,0)</f>
        <v>382129921</v>
      </c>
      <c r="H37" s="90">
        <f>VLOOKUP(C37,'BD EVA 5 SNG'!$D$3:$AE$113,21,0)</f>
        <v>398925090.22833335</v>
      </c>
      <c r="I37" s="78">
        <f ca="1">G37/H37</f>
        <v>0.95789893982672214</v>
      </c>
      <c r="J37" s="75" t="s">
        <v>318</v>
      </c>
      <c r="K37" s="85">
        <v>1.0815999999999999</v>
      </c>
      <c r="L37" s="209">
        <f t="shared" ca="1" si="0"/>
        <v>1.0360634933165827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75" t="str">
        <f>VLOOKUP(C38,'BD EVA 5 SNG'!$D$3:$AE$113,6,0)</f>
        <v>enero - junio 2021</v>
      </c>
      <c r="E38" s="78">
        <f ca="1">VLOOKUP(C38,'BD EVA 5 SNG'!$D$3:$AE$113,16,0)</f>
        <v>0.66647500992874298</v>
      </c>
      <c r="F38" s="75" t="str">
        <f>VLOOKUP(C38,'BD EVA 5 SNG'!$D$3:$AE$113,12,0)</f>
        <v>enero- junio 2024</v>
      </c>
      <c r="G38" s="78">
        <f ca="1">VLOOKUP(C38,'BD EVA 5 SNG'!$D$3:$AE$113,28,0)</f>
        <v>0.79920498262835005</v>
      </c>
      <c r="H38" s="78">
        <f>VLOOKUP(C38,'BD EVA 5 SNG'!$D$3:$AE$113,21,0)</f>
        <v>0.7</v>
      </c>
      <c r="I38" s="78">
        <f ca="1">(H38/G38)</f>
        <v>0.87587041524429177</v>
      </c>
      <c r="J38" s="89" t="s">
        <v>341</v>
      </c>
      <c r="K38" s="85">
        <v>1.62</v>
      </c>
      <c r="L38" s="209">
        <f t="shared" ca="1" si="0"/>
        <v>1.4189100726957529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SNG'!$D$3:$AE$113,6,0)</f>
        <v>44348</v>
      </c>
      <c r="E39" s="75" t="str">
        <f ca="1">VLOOKUP(C39,'BD EVA 5 SNG'!$D$3:$AE$113,16,0)</f>
        <v>Verde</v>
      </c>
      <c r="F39" s="75">
        <f>VLOOKUP(C39,'BD EVA 5 SNG'!$D$3:$AE$113,12,0)</f>
        <v>45444</v>
      </c>
      <c r="G39" s="75" t="str">
        <f ca="1">VLOOKUP(C39,'BD EVA 5 SNG'!$D$3:$AE$113,28,0)</f>
        <v>Verde</v>
      </c>
      <c r="H39" s="207" t="str">
        <f>VLOOKUP(C39,'BD EVA 5 SNG'!$D$3:$AE$113,21,0)</f>
        <v>Verde</v>
      </c>
      <c r="I39" s="76">
        <f ca="1">IF(G39="Verde",1,0)</f>
        <v>1</v>
      </c>
      <c r="J39" s="75" t="s">
        <v>318</v>
      </c>
      <c r="K39" s="85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6EF3C-B819-9A48-B909-7DFE9476A4C5}">
  <dimension ref="A1:L15"/>
  <sheetViews>
    <sheetView workbookViewId="0">
      <selection activeCell="A22" sqref="A22"/>
    </sheetView>
  </sheetViews>
  <sheetFormatPr baseColWidth="10" defaultRowHeight="16"/>
  <cols>
    <col min="1" max="1" width="22.5" customWidth="1"/>
    <col min="2" max="2" width="12.6640625" customWidth="1"/>
    <col min="4" max="4" width="12.5" customWidth="1"/>
    <col min="6" max="6" width="13" customWidth="1"/>
    <col min="8" max="8" width="13.1640625" customWidth="1"/>
    <col min="10" max="10" width="12.5" customWidth="1"/>
  </cols>
  <sheetData>
    <row r="1" spans="1:12" ht="22">
      <c r="A1" s="220" t="s">
        <v>376</v>
      </c>
    </row>
    <row r="2" spans="1:12">
      <c r="A2" s="221" t="s">
        <v>445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SNG'!M2</f>
        <v>9.6801786413477409</v>
      </c>
      <c r="D5" s="228">
        <v>8.5000000000000006E-2</v>
      </c>
      <c r="E5" s="229">
        <f ca="1">'EVA 2 SNG'!M2</f>
        <v>7.3</v>
      </c>
      <c r="F5" s="228">
        <v>0.1</v>
      </c>
      <c r="G5" s="229">
        <f ca="1">'EVA 3 SNG'!M2</f>
        <v>7.3</v>
      </c>
      <c r="H5" s="228">
        <v>8.5000000000000006E-2</v>
      </c>
      <c r="I5" s="229">
        <f ca="1">'EVA 4 SNG'!M2</f>
        <v>7.3</v>
      </c>
      <c r="J5" s="228">
        <v>8.5000000000000006E-2</v>
      </c>
      <c r="K5" s="229">
        <f ca="1">'EVA 5 SNG'!M2</f>
        <v>7.3</v>
      </c>
      <c r="L5" s="236">
        <f ca="1">AVERAGE(C5,E5,G5,I5,K5)</f>
        <v>7.776035728269548</v>
      </c>
    </row>
    <row r="6" spans="1:12">
      <c r="A6" s="222" t="s">
        <v>52</v>
      </c>
      <c r="B6" s="227">
        <v>0.22</v>
      </c>
      <c r="C6" s="229">
        <f ca="1">'EVA 1 SNG'!M5</f>
        <v>2.5681083283826451</v>
      </c>
      <c r="D6" s="228">
        <v>0.188</v>
      </c>
      <c r="E6" s="229">
        <f ca="1">'EVA 2 SNG'!M5</f>
        <v>6.187495436280412</v>
      </c>
      <c r="F6" s="228">
        <v>0.221</v>
      </c>
      <c r="G6" s="229">
        <f ca="1">'EVA 3 SNG'!M5</f>
        <v>5.8718631211413275</v>
      </c>
      <c r="H6" s="228">
        <v>0.188</v>
      </c>
      <c r="I6" s="229">
        <f ca="1">'EVA 4 SNG'!M5</f>
        <v>6.6000000000000005</v>
      </c>
      <c r="J6" s="228">
        <v>0.188</v>
      </c>
      <c r="K6" s="229">
        <f ca="1">'EVA 5 SNG'!M5</f>
        <v>6.5743903749060042</v>
      </c>
      <c r="L6" s="236">
        <f t="shared" ref="L6:L11" ca="1" si="0">AVERAGE(C6,E6,G6,I6,K6)</f>
        <v>5.5603714521420784</v>
      </c>
    </row>
    <row r="7" spans="1:12">
      <c r="A7" s="222" t="s">
        <v>119</v>
      </c>
      <c r="B7" s="227">
        <v>0.11</v>
      </c>
      <c r="C7" s="229">
        <f ca="1">'EVA 1 SNG'!M11</f>
        <v>10</v>
      </c>
      <c r="D7" s="228">
        <v>9.5000000000000001E-2</v>
      </c>
      <c r="E7" s="229">
        <f ca="1">'EVA 2 SNG'!M11</f>
        <v>8.9</v>
      </c>
      <c r="F7" s="228">
        <v>0.111</v>
      </c>
      <c r="G7" s="229">
        <f ca="1">'EVA 3 SNG'!M11</f>
        <v>8.9</v>
      </c>
      <c r="H7" s="228">
        <v>9.5000000000000001E-2</v>
      </c>
      <c r="I7" s="229">
        <f ca="1">'EVA 4 SNG'!M11</f>
        <v>8.9</v>
      </c>
      <c r="J7" s="228">
        <v>9.5000000000000001E-2</v>
      </c>
      <c r="K7" s="229">
        <f ca="1">'EVA 5 SNG'!M11</f>
        <v>8.9</v>
      </c>
      <c r="L7" s="236">
        <f t="shared" ca="1" si="0"/>
        <v>9.1199999999999992</v>
      </c>
    </row>
    <row r="8" spans="1:12">
      <c r="A8" s="222" t="s">
        <v>378</v>
      </c>
      <c r="B8" s="227">
        <v>0.24</v>
      </c>
      <c r="C8" s="229">
        <f ca="1">'EVA 1 SNG'!M15</f>
        <v>7.0302581939873976</v>
      </c>
      <c r="D8" s="228">
        <v>0.2</v>
      </c>
      <c r="E8" s="229">
        <f ca="1">'EVA 2 SNG'!M16</f>
        <v>7.3665234592593558</v>
      </c>
      <c r="F8" s="228">
        <v>0.23699999999999999</v>
      </c>
      <c r="G8" s="229">
        <f ca="1">'EVA 3 SNG'!M16</f>
        <v>7.563624342218918</v>
      </c>
      <c r="H8" s="228">
        <v>0.2</v>
      </c>
      <c r="I8" s="229">
        <f ca="1">'EVA 4 SNG'!M16</f>
        <v>7.6041766314431412</v>
      </c>
      <c r="J8" s="228">
        <v>0.2</v>
      </c>
      <c r="K8" s="229">
        <f ca="1">'EVA 5 SNG'!M16</f>
        <v>7.6041766314431412</v>
      </c>
      <c r="L8" s="236">
        <f t="shared" ca="1" si="0"/>
        <v>7.4337518516703911</v>
      </c>
    </row>
    <row r="9" spans="1:12">
      <c r="A9" s="222" t="s">
        <v>199</v>
      </c>
      <c r="B9" s="227">
        <v>0.17</v>
      </c>
      <c r="C9" s="229">
        <f ca="1">'EVA 1 SNG'!M23</f>
        <v>7.78</v>
      </c>
      <c r="D9" s="228">
        <v>0.14499999999999999</v>
      </c>
      <c r="E9" s="229">
        <f ca="1">'EVA 2 SNG'!M24</f>
        <v>8.8312500000000007</v>
      </c>
      <c r="F9" s="228">
        <v>0.17</v>
      </c>
      <c r="G9" s="229">
        <f ca="1">'EVA 3 SNG'!M24</f>
        <v>5.13</v>
      </c>
      <c r="H9" s="228">
        <v>0.14499999999999999</v>
      </c>
      <c r="I9" s="229">
        <f ca="1">'EVA 4 SNG'!M24</f>
        <v>8.3431481481481491</v>
      </c>
      <c r="J9" s="228">
        <v>0.14499999999999999</v>
      </c>
      <c r="K9" s="229">
        <f ca="1">'EVA 5 SNG'!M24</f>
        <v>7.3875489620301664</v>
      </c>
      <c r="L9" s="236">
        <f t="shared" ca="1" si="0"/>
        <v>7.4943894220356642</v>
      </c>
    </row>
    <row r="10" spans="1:12">
      <c r="A10" s="222" t="s">
        <v>243</v>
      </c>
      <c r="B10" s="227">
        <v>0.16</v>
      </c>
      <c r="C10" s="229">
        <f ca="1">'EVA 1 SNG'!M27</f>
        <v>7.1821754658385082</v>
      </c>
      <c r="D10" s="228">
        <v>0.13800000000000001</v>
      </c>
      <c r="E10" s="229">
        <f ca="1">'EVA 2 SNG'!M29</f>
        <v>9.2756717948717906</v>
      </c>
      <c r="F10" s="228">
        <v>0.161</v>
      </c>
      <c r="G10" s="229">
        <f ca="1">'EVA 3 SNG'!M28</f>
        <v>9.0159985602632631</v>
      </c>
      <c r="H10" s="228">
        <v>0.13800000000000001</v>
      </c>
      <c r="I10" s="229">
        <f ca="1">'EVA 4 SNG'!M29</f>
        <v>9.8131868131868067</v>
      </c>
      <c r="J10" s="228">
        <v>0.13800000000000001</v>
      </c>
      <c r="K10" s="229">
        <f ca="1">'EVA 5 SNG'!M29</f>
        <v>9.8536272238399842</v>
      </c>
      <c r="L10" s="236">
        <f t="shared" ca="1" si="0"/>
        <v>9.0281319716000716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SNG'!M34</f>
        <v>9.9418309906135907</v>
      </c>
      <c r="F11" s="232"/>
      <c r="G11" s="232"/>
      <c r="H11" s="228">
        <v>0.14899999999999999</v>
      </c>
      <c r="I11" s="229">
        <f ca="1">'EVA 4 SNG'!M34</f>
        <v>9.7996692099056872</v>
      </c>
      <c r="J11" s="228">
        <v>0.14899999999999999</v>
      </c>
      <c r="K11" s="229">
        <f ca="1">'EVA 5 SNG'!M34</f>
        <v>9.719967880320322</v>
      </c>
      <c r="L11" s="236">
        <f t="shared" ca="1" si="0"/>
        <v>9.8204893602798666</v>
      </c>
    </row>
    <row r="12" spans="1:12">
      <c r="A12" s="223" t="s">
        <v>392</v>
      </c>
      <c r="B12" s="234"/>
      <c r="C12" s="231">
        <f ca="1">SUMPRODUCT(B5:B10,C5:C10)</f>
        <v>6.7920117374700935</v>
      </c>
      <c r="D12" s="234"/>
      <c r="E12" s="231">
        <f ca="1">SUMPRODUCT(D5:D11,E5:E11)</f>
        <v>8.1444606091663214</v>
      </c>
      <c r="F12" s="234"/>
      <c r="G12" s="231">
        <f ca="1">SUMPRODUCT(F5:F10,G5:G10)</f>
        <v>7.131836487080502</v>
      </c>
      <c r="H12" s="234"/>
      <c r="I12" s="231">
        <f ca="1">SUMPRODUCT(H5:H11,I5:I11)</f>
        <v>8.2517623002658365</v>
      </c>
      <c r="J12" s="233"/>
      <c r="K12" s="231">
        <f ca="1">SUMPRODUCT(J5:J11,K5:K11)</f>
        <v>8.102091087322977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7.6844324442611454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B99AF-72D3-AA44-AC18-DF153F98A943}">
  <dimension ref="A1:AC109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138945</v>
      </c>
      <c r="Q2" s="5">
        <v>138945</v>
      </c>
      <c r="R2" s="13"/>
      <c r="S2" s="316"/>
      <c r="T2" s="316"/>
      <c r="U2" s="316"/>
      <c r="V2" s="316"/>
      <c r="W2" s="6"/>
      <c r="X2" s="5">
        <v>140470</v>
      </c>
      <c r="Y2" s="5">
        <v>140470</v>
      </c>
      <c r="Z2" s="5">
        <v>142218</v>
      </c>
      <c r="AA2" s="5">
        <v>142218</v>
      </c>
      <c r="AB2" s="5">
        <v>144201</v>
      </c>
      <c r="AC2" s="5">
        <v>144201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524</v>
      </c>
      <c r="Q3" s="12">
        <v>524</v>
      </c>
      <c r="R3" s="13">
        <v>550</v>
      </c>
      <c r="S3" s="13">
        <v>555</v>
      </c>
      <c r="T3" s="13">
        <v>560</v>
      </c>
      <c r="U3" s="13">
        <v>570</v>
      </c>
      <c r="V3" s="13">
        <v>600</v>
      </c>
      <c r="W3" s="13">
        <v>600</v>
      </c>
      <c r="X3" s="12">
        <v>537</v>
      </c>
      <c r="Y3" s="2">
        <f ca="1">IFERROR(__xludf.DUMMYFUNCTION("INDEX(IMPORTRANGE(""1y0FWgjbB0gVlqn-q5LMJbGIsqOrzru4yowQz67dz2yc"", ""'SPGG'!AM3:AM139""),MATCH(D3,IMPORTRANGE(""1y0FWgjbB0gVlqn-q5LMJbGIsqOrzru4yowQz67dz2yc"", ""'SPGG'!D3:D139""),0))"),553)</f>
        <v>553</v>
      </c>
      <c r="Z3" s="2"/>
      <c r="AA3" s="2"/>
      <c r="AB3" s="2"/>
      <c r="AC3" s="2"/>
    </row>
    <row r="4" spans="1:29">
      <c r="A4" s="7" t="s">
        <v>34</v>
      </c>
      <c r="B4" s="7" t="s">
        <v>40</v>
      </c>
      <c r="C4" s="1" t="s">
        <v>30</v>
      </c>
      <c r="D4" s="156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503</v>
      </c>
      <c r="Q4" s="12">
        <v>503</v>
      </c>
      <c r="R4" s="13"/>
      <c r="S4" s="13"/>
      <c r="T4" s="13"/>
      <c r="U4" s="13"/>
      <c r="V4" s="13"/>
      <c r="W4" s="4"/>
      <c r="X4" s="12">
        <v>534</v>
      </c>
      <c r="Y4" s="2">
        <f ca="1">IFERROR(__xludf.DUMMYFUNCTION("INDEX(IMPORTRANGE(""1y0FWgjbB0gVlqn-q5LMJbGIsqOrzru4yowQz67dz2yc"", ""'SPGG'!AM3:AM139""),MATCH(D4,IMPORTRANGE(""1y0FWgjbB0gVlqn-q5LMJbGIsqOrzru4yowQz67dz2yc"", ""'SPGG'!D3:D139""),0))"),546)</f>
        <v>546</v>
      </c>
      <c r="Z4" s="2"/>
      <c r="AA4" s="2"/>
      <c r="AB4" s="2"/>
      <c r="AC4" s="2"/>
    </row>
    <row r="5" spans="1:29">
      <c r="A5" s="7" t="s">
        <v>34</v>
      </c>
      <c r="B5" s="7" t="s">
        <v>40</v>
      </c>
      <c r="C5" s="1" t="s">
        <v>36</v>
      </c>
      <c r="D5" s="156" t="s">
        <v>43</v>
      </c>
      <c r="E5" s="7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0.95992366412213737</v>
      </c>
      <c r="Q5" s="15">
        <f t="shared" si="0"/>
        <v>0.95992366412213737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5">
        <f>X4/X3</f>
        <v>0.994413407821229</v>
      </c>
      <c r="Y5" s="15">
        <f ca="1">IFERROR(__xludf.DUMMYFUNCTION("INDEX(IMPORTRANGE(""1y0FWgjbB0gVlqn-q5LMJbGIsqOrzru4yowQz67dz2yc"", ""'SPGG'!AM3:AM139""),MATCH(D5,IMPORTRANGE(""1y0FWgjbB0gVlqn-q5LMJbGIsqOrzru4yowQz67dz2yc"", ""'SPGG'!D3:D139""),0))"),0.987341772151898)</f>
        <v>0.987341772151898</v>
      </c>
      <c r="Z5" s="2"/>
      <c r="AA5" s="2"/>
      <c r="AB5" s="2"/>
      <c r="AC5" s="2"/>
    </row>
    <row r="6" spans="1:29">
      <c r="A6" s="7" t="s">
        <v>34</v>
      </c>
      <c r="B6" s="7" t="s">
        <v>45</v>
      </c>
      <c r="C6" s="1" t="s">
        <v>30</v>
      </c>
      <c r="D6" s="156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18"/>
      <c r="Y6" s="2">
        <f ca="1">IFERROR(__xludf.DUMMYFUNCTION("INDEX(IMPORTRANGE(""1y0FWgjbB0gVlqn-q5LMJbGIsqOrzru4yowQz67dz2yc"", ""'SPGG'!AM3:AM139""),MATCH(D6,IMPORTRANGE(""1y0FWgjbB0gVlqn-q5LMJbGIsqOrzru4yowQz67dz2yc"", ""'SPGG'!D3:D139""),0))"),12)</f>
        <v>12</v>
      </c>
      <c r="Z6" s="2"/>
      <c r="AA6" s="2"/>
      <c r="AB6" s="2"/>
      <c r="AC6" s="2"/>
    </row>
    <row r="7" spans="1:29">
      <c r="A7" s="155" t="s">
        <v>34</v>
      </c>
      <c r="B7" s="155" t="s">
        <v>45</v>
      </c>
      <c r="C7" s="156" t="s">
        <v>30</v>
      </c>
      <c r="D7" s="156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7"/>
      <c r="Q7" s="18"/>
      <c r="R7" s="1"/>
      <c r="S7" s="1"/>
      <c r="T7" s="1"/>
      <c r="U7" s="1"/>
      <c r="V7" s="1"/>
      <c r="W7" s="2"/>
      <c r="X7" s="18"/>
      <c r="Y7" s="2">
        <f ca="1">IFERROR(__xludf.DUMMYFUNCTION("INDEX(IMPORTRANGE(""1y0FWgjbB0gVlqn-q5LMJbGIsqOrzru4yowQz67dz2yc"", ""'SPGG'!AM3:AM139""),MATCH(D7,IMPORTRANGE(""1y0FWgjbB0gVlqn-q5LMJbGIsqOrzru4yowQz67dz2yc"", ""'SPGG'!D3:D139""),0))"),0)</f>
        <v>0</v>
      </c>
      <c r="Z7" s="2"/>
      <c r="AA7" s="2"/>
      <c r="AB7" s="2"/>
      <c r="AC7" s="2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0">
        <v>1.2999999999999999E-2</v>
      </c>
      <c r="S8" s="20">
        <v>1.2999999999999999E-2</v>
      </c>
      <c r="T8" s="20">
        <v>1.2999999999999999E-2</v>
      </c>
      <c r="U8" s="20">
        <v>1.2999999999999999E-2</v>
      </c>
      <c r="V8" s="20">
        <v>1.2999999999999999E-2</v>
      </c>
      <c r="W8" s="20">
        <v>1.2999999999999999E-2</v>
      </c>
      <c r="X8" s="19">
        <f>X6/X3</f>
        <v>0</v>
      </c>
      <c r="Y8" s="15">
        <f ca="1">IFERROR(__xludf.DUMMYFUNCTION("INDEX(IMPORTRANGE(""1y0FWgjbB0gVlqn-q5LMJbGIsqOrzru4yowQz67dz2yc"", ""'SPGG'!AM3:AM139""),MATCH(D8,IMPORTRANGE(""1y0FWgjbB0gVlqn-q5LMJbGIsqOrzru4yowQz67dz2yc"", ""'SPGG'!D3:D139""),0))"),0.0216998191681736)</f>
        <v>2.1699819168173599E-2</v>
      </c>
      <c r="Z8" s="2"/>
      <c r="AA8" s="2"/>
      <c r="AB8" s="2"/>
      <c r="AC8" s="2"/>
    </row>
    <row r="9" spans="1:29">
      <c r="A9" s="7" t="s">
        <v>52</v>
      </c>
      <c r="B9" s="7" t="s">
        <v>53</v>
      </c>
      <c r="C9" s="1" t="s">
        <v>30</v>
      </c>
      <c r="D9" s="1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5">
        <v>41</v>
      </c>
      <c r="Q9" s="5">
        <v>88</v>
      </c>
      <c r="R9" s="13"/>
      <c r="S9" s="13"/>
      <c r="T9" s="13"/>
      <c r="U9" s="13"/>
      <c r="V9" s="13"/>
      <c r="W9" s="4"/>
      <c r="X9" s="5">
        <v>5</v>
      </c>
      <c r="Y9" s="5">
        <f ca="1">IFERROR(__xludf.DUMMYFUNCTION("INDEX(IMPORTRANGE(""1y0FWgjbB0gVlqn-q5LMJbGIsqOrzru4yowQz67dz2yc"", ""'SPGG'!AM3:AM139""),MATCH(D9,IMPORTRANGE(""1y0FWgjbB0gVlqn-q5LMJbGIsqOrzru4yowQz67dz2yc"", ""'SPGG'!D3:D139""),0))"),31)</f>
        <v>31</v>
      </c>
      <c r="Z9" s="2"/>
      <c r="AA9" s="2"/>
      <c r="AB9" s="2"/>
      <c r="AC9" s="2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5">
        <v>454</v>
      </c>
      <c r="Q10" s="5">
        <v>1002</v>
      </c>
      <c r="R10" s="13"/>
      <c r="S10" s="13"/>
      <c r="T10" s="13"/>
      <c r="U10" s="13"/>
      <c r="V10" s="13"/>
      <c r="W10" s="4"/>
      <c r="X10" s="5">
        <v>555</v>
      </c>
      <c r="Y10" s="5">
        <f ca="1">IFERROR(__xludf.DUMMYFUNCTION("INDEX(IMPORTRANGE(""1y0FWgjbB0gVlqn-q5LMJbGIsqOrzru4yowQz67dz2yc"", ""'SPGG'!AM3:AM139""),MATCH(D10,IMPORTRANGE(""1y0FWgjbB0gVlqn-q5LMJbGIsqOrzru4yowQz67dz2yc"", ""'SPGG'!D3:D139""),0))"),1370)</f>
        <v>1370</v>
      </c>
      <c r="Z10" s="2"/>
      <c r="AA10" s="2"/>
      <c r="AB10" s="2"/>
      <c r="AC10" s="2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9.0308370044052858E-2</v>
      </c>
      <c r="Q11" s="15">
        <f t="shared" si="2"/>
        <v>8.7824351297405193E-2</v>
      </c>
      <c r="R11" s="20">
        <v>4.0000000000000001E-3</v>
      </c>
      <c r="S11" s="20">
        <v>4.0000000000000001E-3</v>
      </c>
      <c r="T11" s="20">
        <v>4.0000000000000001E-3</v>
      </c>
      <c r="U11" s="20">
        <v>4.0000000000000001E-3</v>
      </c>
      <c r="V11" s="20">
        <v>4.0000000000000001E-3</v>
      </c>
      <c r="W11" s="322">
        <v>4.0000000000000002E-4</v>
      </c>
      <c r="X11" s="15">
        <f>X9/X10</f>
        <v>9.0090090090090089E-3</v>
      </c>
      <c r="Y11" s="15">
        <f ca="1">IFERROR(__xludf.DUMMYFUNCTION("INDEX(IMPORTRANGE(""1y0FWgjbB0gVlqn-q5LMJbGIsqOrzru4yowQz67dz2yc"", ""'SPGG'!AM3:AM139""),MATCH(D11,IMPORTRANGE(""1y0FWgjbB0gVlqn-q5LMJbGIsqOrzru4yowQz67dz2yc"", ""'SPGG'!D3:D139""),0))"),0.0226277372262773)</f>
        <v>2.2627737226277301E-2</v>
      </c>
      <c r="Z11" s="2"/>
      <c r="AA11" s="2"/>
      <c r="AB11" s="2"/>
      <c r="AC11" s="2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5">
        <v>6</v>
      </c>
      <c r="Q12" s="5">
        <v>9</v>
      </c>
      <c r="R12" s="13"/>
      <c r="S12" s="13"/>
      <c r="T12" s="13"/>
      <c r="U12" s="13"/>
      <c r="V12" s="13"/>
      <c r="W12" s="4"/>
      <c r="X12" s="5">
        <v>7</v>
      </c>
      <c r="Y12" s="5">
        <f ca="1">IFERROR(__xludf.DUMMYFUNCTION("INDEX(IMPORTRANGE(""1y0FWgjbB0gVlqn-q5LMJbGIsqOrzru4yowQz67dz2yc"", ""'SPGG'!AM3:AM139""),MATCH(D12,IMPORTRANGE(""1y0FWgjbB0gVlqn-q5LMJbGIsqOrzru4yowQz67dz2yc"", ""'SPGG'!D3:D139""),0))"),7)</f>
        <v>7</v>
      </c>
      <c r="Z12" s="2"/>
      <c r="AA12" s="2"/>
      <c r="AB12" s="2"/>
      <c r="AC12" s="2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4.3182554248083775</v>
      </c>
      <c r="Q13" s="23">
        <f t="shared" si="3"/>
        <v>6.4773831372125672</v>
      </c>
      <c r="R13" s="1">
        <v>5.85</v>
      </c>
      <c r="S13" s="1">
        <v>3.87</v>
      </c>
      <c r="T13" s="1">
        <v>5.85</v>
      </c>
      <c r="U13" s="1">
        <v>3.87</v>
      </c>
      <c r="V13" s="1">
        <v>5.85</v>
      </c>
      <c r="W13" s="2">
        <v>5.85</v>
      </c>
      <c r="X13" s="23">
        <f>(X12/X$2)*100000</f>
        <v>4.9832704492062367</v>
      </c>
      <c r="Y13" s="23">
        <f ca="1">IFERROR(__xludf.DUMMYFUNCTION("INDEX(IMPORTRANGE(""1y0FWgjbB0gVlqn-q5LMJbGIsqOrzru4yowQz67dz2yc"", ""'SPGG'!AM3:AM139""),MATCH(D13,IMPORTRANGE(""1y0FWgjbB0gVlqn-q5LMJbGIsqOrzru4yowQz67dz2yc"", ""'SPGG'!D3:D139""),0))"),4.98327044920623)</f>
        <v>4.9832704492062296</v>
      </c>
      <c r="Z13" s="2"/>
      <c r="AA13" s="2"/>
      <c r="AB13" s="2"/>
      <c r="AC13" s="2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5">
        <v>34</v>
      </c>
      <c r="Q14" s="5">
        <v>62</v>
      </c>
      <c r="R14" s="13"/>
      <c r="S14" s="13"/>
      <c r="T14" s="13"/>
      <c r="U14" s="13"/>
      <c r="V14" s="13"/>
      <c r="W14" s="4"/>
      <c r="X14" s="5">
        <v>16</v>
      </c>
      <c r="Y14" s="5">
        <f ca="1">IFERROR(__xludf.DUMMYFUNCTION("INDEX(IMPORTRANGE(""1y0FWgjbB0gVlqn-q5LMJbGIsqOrzru4yowQz67dz2yc"", ""'SPGG'!AM3:AM139""),MATCH(D14,IMPORTRANGE(""1y0FWgjbB0gVlqn-q5LMJbGIsqOrzru4yowQz67dz2yc"", ""'SPGG'!D3:D139""),0))"),40)</f>
        <v>40</v>
      </c>
      <c r="Z14" s="2"/>
      <c r="AA14" s="2"/>
      <c r="AB14" s="2"/>
      <c r="AC14" s="2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5">
        <v>23</v>
      </c>
      <c r="Q15" s="5">
        <v>42</v>
      </c>
      <c r="R15" s="13"/>
      <c r="S15" s="13"/>
      <c r="T15" s="13"/>
      <c r="U15" s="13"/>
      <c r="V15" s="13"/>
      <c r="W15" s="4"/>
      <c r="X15" s="5">
        <v>27</v>
      </c>
      <c r="Y15" s="5">
        <f ca="1">IFERROR(__xludf.DUMMYFUNCTION("INDEX(IMPORTRANGE(""1y0FWgjbB0gVlqn-q5LMJbGIsqOrzru4yowQz67dz2yc"", ""'SPGG'!AM3:AM139""),MATCH(D15,IMPORTRANGE(""1y0FWgjbB0gVlqn-q5LMJbGIsqOrzru4yowQz67dz2yc"", ""'SPGG'!D3:D139""),0))"),46)</f>
        <v>46</v>
      </c>
      <c r="Z15" s="2"/>
      <c r="AA15" s="2"/>
      <c r="AB15" s="2"/>
      <c r="AC15" s="2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5">
        <v>15</v>
      </c>
      <c r="Q16" s="5">
        <v>25</v>
      </c>
      <c r="R16" s="13"/>
      <c r="S16" s="13"/>
      <c r="T16" s="13"/>
      <c r="U16" s="13"/>
      <c r="V16" s="13"/>
      <c r="W16" s="4"/>
      <c r="X16" s="5">
        <v>6</v>
      </c>
      <c r="Y16" s="5">
        <f ca="1">IFERROR(__xludf.DUMMYFUNCTION("INDEX(IMPORTRANGE(""1y0FWgjbB0gVlqn-q5LMJbGIsqOrzru4yowQz67dz2yc"", ""'SPGG'!AM3:AM139""),MATCH(D16,IMPORTRANGE(""1y0FWgjbB0gVlqn-q5LMJbGIsqOrzru4yowQz67dz2yc"", ""'SPGG'!D3:D139""),0))"),18)</f>
        <v>18</v>
      </c>
      <c r="Z16" s="2"/>
      <c r="AA16" s="2"/>
      <c r="AB16" s="2"/>
      <c r="AC16" s="2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5">
        <v>16</v>
      </c>
      <c r="Q17" s="5">
        <v>29</v>
      </c>
      <c r="R17" s="13"/>
      <c r="S17" s="13"/>
      <c r="T17" s="13"/>
      <c r="U17" s="13"/>
      <c r="V17" s="13"/>
      <c r="W17" s="4"/>
      <c r="X17" s="5">
        <v>10</v>
      </c>
      <c r="Y17" s="5">
        <f ca="1">IFERROR(__xludf.DUMMYFUNCTION("INDEX(IMPORTRANGE(""1y0FWgjbB0gVlqn-q5LMJbGIsqOrzru4yowQz67dz2yc"", ""'SPGG'!AM3:AM139""),MATCH(D17,IMPORTRANGE(""1y0FWgjbB0gVlqn-q5LMJbGIsqOrzru4yowQz67dz2yc"", ""'SPGG'!D3:D139""),0))"),20)</f>
        <v>20</v>
      </c>
      <c r="Z17" s="2"/>
      <c r="AA17" s="2"/>
      <c r="AB17" s="2"/>
      <c r="AC17" s="2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63.33441289718953</v>
      </c>
      <c r="Q18" s="23">
        <f t="shared" si="4"/>
        <v>113.71405951995395</v>
      </c>
      <c r="R18" s="1">
        <v>103</v>
      </c>
      <c r="S18" s="1">
        <v>57</v>
      </c>
      <c r="T18" s="1">
        <v>103</v>
      </c>
      <c r="U18" s="1">
        <v>57</v>
      </c>
      <c r="V18" s="1">
        <v>103</v>
      </c>
      <c r="W18" s="2">
        <v>103</v>
      </c>
      <c r="X18" s="23">
        <f>(SUM(X14:X17)/X2)*100000</f>
        <v>42.001850929023988</v>
      </c>
      <c r="Y18" s="23">
        <f ca="1">IFERROR(__xludf.DUMMYFUNCTION("INDEX(IMPORTRANGE(""1y0FWgjbB0gVlqn-q5LMJbGIsqOrzru4yowQz67dz2yc"", ""'SPGG'!AM3:AM139""),MATCH(D18,IMPORTRANGE(""1y0FWgjbB0gVlqn-q5LMJbGIsqOrzru4yowQz67dz2yc"", ""'SPGG'!D3:D139""),0))"),88.2750765287961)</f>
        <v>88.275076528796106</v>
      </c>
      <c r="Z18" s="2"/>
      <c r="AA18" s="2"/>
      <c r="AB18" s="2"/>
      <c r="AC18" s="2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5">
        <v>129</v>
      </c>
      <c r="Q19" s="5">
        <v>299</v>
      </c>
      <c r="R19" s="13"/>
      <c r="S19" s="13"/>
      <c r="T19" s="13"/>
      <c r="U19" s="13"/>
      <c r="V19" s="13"/>
      <c r="W19" s="4"/>
      <c r="X19" s="5">
        <v>147</v>
      </c>
      <c r="Y19" s="5">
        <f ca="1">IFERROR(__xludf.DUMMYFUNCTION("INDEX(IMPORTRANGE(""1y0FWgjbB0gVlqn-q5LMJbGIsqOrzru4yowQz67dz2yc"", ""'SPGG'!AM3:AM139""),MATCH(D19,IMPORTRANGE(""1y0FWgjbB0gVlqn-q5LMJbGIsqOrzru4yowQz67dz2yc"", ""'SPGG'!D3:D139""),0))"),279)</f>
        <v>279</v>
      </c>
      <c r="Z19" s="2"/>
      <c r="AA19" s="2"/>
      <c r="AB19" s="2"/>
      <c r="AC19" s="2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92.842491633380106</v>
      </c>
      <c r="Q20" s="23">
        <f t="shared" si="5"/>
        <v>215.1930620029508</v>
      </c>
      <c r="R20" s="1">
        <v>214.5</v>
      </c>
      <c r="S20" s="1">
        <v>92.7</v>
      </c>
      <c r="T20" s="1">
        <v>213.7</v>
      </c>
      <c r="U20" s="1">
        <v>92.6</v>
      </c>
      <c r="V20" s="1">
        <v>213</v>
      </c>
      <c r="W20" s="1">
        <v>213</v>
      </c>
      <c r="X20" s="23">
        <f>(X19/X$2)*100000</f>
        <v>104.64867943333095</v>
      </c>
      <c r="Y20" s="23">
        <f ca="1">IFERROR(__xludf.DUMMYFUNCTION("INDEX(IMPORTRANGE(""1y0FWgjbB0gVlqn-q5LMJbGIsqOrzru4yowQz67dz2yc"", ""'SPGG'!AM3:AM139""),MATCH(D20,IMPORTRANGE(""1y0FWgjbB0gVlqn-q5LMJbGIsqOrzru4yowQz67dz2yc"", ""'SPGG'!D3:D139""),0))"),198.618922189791)</f>
        <v>198.61892218979099</v>
      </c>
      <c r="Z20" s="2"/>
      <c r="AA20" s="2"/>
      <c r="AB20" s="2"/>
      <c r="AC20" s="2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5">
        <v>38</v>
      </c>
      <c r="Q21" s="5">
        <v>75</v>
      </c>
      <c r="R21" s="13"/>
      <c r="S21" s="13"/>
      <c r="T21" s="13"/>
      <c r="U21" s="13"/>
      <c r="V21" s="13"/>
      <c r="W21" s="4"/>
      <c r="X21" s="5">
        <v>27</v>
      </c>
      <c r="Y21" s="5">
        <f ca="1">IFERROR(__xludf.DUMMYFUNCTION("INDEX(IMPORTRANGE(""1y0FWgjbB0gVlqn-q5LMJbGIsqOrzru4yowQz67dz2yc"", ""'SPGG'!AM3:AM139""),MATCH(D21,IMPORTRANGE(""1y0FWgjbB0gVlqn-q5LMJbGIsqOrzru4yowQz67dz2yc"", ""'SPGG'!D3:D139""),0))"),66)</f>
        <v>66</v>
      </c>
      <c r="Z21" s="2"/>
      <c r="AA21" s="2"/>
      <c r="AB21" s="2"/>
      <c r="AC21" s="2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27.348951023786391</v>
      </c>
      <c r="Q22" s="23">
        <f t="shared" si="6"/>
        <v>53.978192810104723</v>
      </c>
      <c r="R22" s="1">
        <v>53.8</v>
      </c>
      <c r="S22" s="1">
        <v>27.3</v>
      </c>
      <c r="T22" s="1">
        <v>53.6</v>
      </c>
      <c r="U22" s="1">
        <v>27.2</v>
      </c>
      <c r="V22" s="1">
        <v>53.4</v>
      </c>
      <c r="W22" s="2">
        <v>53.4</v>
      </c>
      <c r="X22" s="23">
        <f>(X21/X$2)*100000</f>
        <v>19.221186018366911</v>
      </c>
      <c r="Y22" s="23">
        <f ca="1">IFERROR(__xludf.DUMMYFUNCTION("INDEX(IMPORTRANGE(""1y0FWgjbB0gVlqn-q5LMJbGIsqOrzru4yowQz67dz2yc"", ""'SPGG'!AM3:AM139""),MATCH(D22,IMPORTRANGE(""1y0FWgjbB0gVlqn-q5LMJbGIsqOrzru4yowQz67dz2yc"", ""'SPGG'!D3:D139""),0))"),46.9851213782302)</f>
        <v>46.985121378230197</v>
      </c>
      <c r="Z22" s="2"/>
      <c r="AA22" s="2"/>
      <c r="AB22" s="2"/>
      <c r="AC22" s="2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5">
        <v>3</v>
      </c>
      <c r="Q23" s="5">
        <v>4</v>
      </c>
      <c r="R23" s="13"/>
      <c r="S23" s="13"/>
      <c r="T23" s="13"/>
      <c r="U23" s="13"/>
      <c r="V23" s="13"/>
      <c r="W23" s="4"/>
      <c r="X23" s="5">
        <v>1</v>
      </c>
      <c r="Y23" s="5">
        <f ca="1">IFERROR(__xludf.DUMMYFUNCTION("INDEX(IMPORTRANGE(""1y0FWgjbB0gVlqn-q5LMJbGIsqOrzru4yowQz67dz2yc"", ""'SPGG'!AM3:AM139""),MATCH(D23,IMPORTRANGE(""1y0FWgjbB0gVlqn-q5LMJbGIsqOrzru4yowQz67dz2yc"", ""'SPGG'!D3:D139""),0))"),3)</f>
        <v>3</v>
      </c>
      <c r="Z23" s="2"/>
      <c r="AA23" s="2"/>
      <c r="AB23" s="2"/>
      <c r="AC23" s="2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5">
        <v>1</v>
      </c>
      <c r="Q24" s="5">
        <v>5</v>
      </c>
      <c r="R24" s="13"/>
      <c r="S24" s="13"/>
      <c r="T24" s="13"/>
      <c r="U24" s="13"/>
      <c r="V24" s="13"/>
      <c r="W24" s="4"/>
      <c r="X24" s="5">
        <v>1</v>
      </c>
      <c r="Y24" s="5">
        <f ca="1">IFERROR(__xludf.DUMMYFUNCTION("INDEX(IMPORTRANGE(""1y0FWgjbB0gVlqn-q5LMJbGIsqOrzru4yowQz67dz2yc"", ""'SPGG'!AM3:AM139""),MATCH(D24,IMPORTRANGE(""1y0FWgjbB0gVlqn-q5LMJbGIsqOrzru4yowQz67dz2yc"", ""'SPGG'!D3:D139""),0))"),5)</f>
        <v>5</v>
      </c>
      <c r="Z24" s="2"/>
      <c r="AA24" s="2"/>
      <c r="AB24" s="2"/>
      <c r="AC24" s="2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5">
        <v>0</v>
      </c>
      <c r="Q25" s="5">
        <v>3</v>
      </c>
      <c r="R25" s="13"/>
      <c r="S25" s="13"/>
      <c r="T25" s="13"/>
      <c r="U25" s="13"/>
      <c r="V25" s="13"/>
      <c r="W25" s="4"/>
      <c r="X25" s="5">
        <v>1</v>
      </c>
      <c r="Y25" s="5">
        <f ca="1">IFERROR(__xludf.DUMMYFUNCTION("INDEX(IMPORTRANGE(""1y0FWgjbB0gVlqn-q5LMJbGIsqOrzru4yowQz67dz2yc"", ""'SPGG'!AM3:AM139""),MATCH(D25,IMPORTRANGE(""1y0FWgjbB0gVlqn-q5LMJbGIsqOrzru4yowQz67dz2yc"", ""'SPGG'!D3:D139""),0))"),2)</f>
        <v>2</v>
      </c>
      <c r="Z25" s="2"/>
      <c r="AA25" s="2"/>
      <c r="AB25" s="2"/>
      <c r="AC25" s="2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5">
        <v>0</v>
      </c>
      <c r="Q26" s="5">
        <v>0</v>
      </c>
      <c r="R26" s="13"/>
      <c r="S26" s="13"/>
      <c r="T26" s="13"/>
      <c r="U26" s="13"/>
      <c r="V26" s="13"/>
      <c r="W26" s="4"/>
      <c r="X26" s="5">
        <v>0</v>
      </c>
      <c r="Y26" s="5">
        <f ca="1">IFERROR(__xludf.DUMMYFUNCTION("INDEX(IMPORTRANGE(""1y0FWgjbB0gVlqn-q5LMJbGIsqOrzru4yowQz67dz2yc"", ""'SPGG'!AM3:AM139""),MATCH(D26,IMPORTRANGE(""1y0FWgjbB0gVlqn-q5LMJbGIsqOrzru4yowQz67dz2yc"", ""'SPGG'!D3:D139""),0))"),0)</f>
        <v>0</v>
      </c>
      <c r="Z26" s="2"/>
      <c r="AA26" s="2"/>
      <c r="AB26" s="2"/>
      <c r="AC26" s="2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5">
        <v>0</v>
      </c>
      <c r="Q27" s="5">
        <v>0</v>
      </c>
      <c r="R27" s="13"/>
      <c r="S27" s="13"/>
      <c r="T27" s="13"/>
      <c r="U27" s="13"/>
      <c r="V27" s="13"/>
      <c r="W27" s="4"/>
      <c r="X27" s="5">
        <v>0</v>
      </c>
      <c r="Y27" s="5">
        <f ca="1">IFERROR(__xludf.DUMMYFUNCTION("INDEX(IMPORTRANGE(""1y0FWgjbB0gVlqn-q5LMJbGIsqOrzru4yowQz67dz2yc"", ""'SPGG'!AM3:AM139""),MATCH(D27,IMPORTRANGE(""1y0FWgjbB0gVlqn-q5LMJbGIsqOrzru4yowQz67dz2yc"", ""'SPGG'!D3:D139""),0))"),1)</f>
        <v>1</v>
      </c>
      <c r="Z27" s="2"/>
      <c r="AA27" s="2"/>
      <c r="AB27" s="2"/>
      <c r="AC27" s="2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5">
        <v>0</v>
      </c>
      <c r="Q28" s="5">
        <v>0</v>
      </c>
      <c r="R28" s="13"/>
      <c r="S28" s="13"/>
      <c r="T28" s="13"/>
      <c r="U28" s="13"/>
      <c r="V28" s="13"/>
      <c r="W28" s="4"/>
      <c r="X28" s="5">
        <v>0</v>
      </c>
      <c r="Y28" s="5">
        <f ca="1">IFERROR(__xludf.DUMMYFUNCTION("INDEX(IMPORTRANGE(""1y0FWgjbB0gVlqn-q5LMJbGIsqOrzru4yowQz67dz2yc"", ""'SPGG'!AM3:AM139""),MATCH(D28,IMPORTRANGE(""1y0FWgjbB0gVlqn-q5LMJbGIsqOrzru4yowQz67dz2yc"", ""'SPGG'!D3:D139""),0))"),0)</f>
        <v>0</v>
      </c>
      <c r="Z28" s="2"/>
      <c r="AA28" s="2"/>
      <c r="AB28" s="2"/>
      <c r="AC28" s="2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5">
        <v>0</v>
      </c>
      <c r="Q29" s="5">
        <v>1</v>
      </c>
      <c r="R29" s="13"/>
      <c r="S29" s="13"/>
      <c r="T29" s="13"/>
      <c r="U29" s="13"/>
      <c r="V29" s="13"/>
      <c r="W29" s="4"/>
      <c r="X29" s="5">
        <v>2</v>
      </c>
      <c r="Y29" s="5">
        <f ca="1">IFERROR(__xludf.DUMMYFUNCTION("INDEX(IMPORTRANGE(""1y0FWgjbB0gVlqn-q5LMJbGIsqOrzru4yowQz67dz2yc"", ""'SPGG'!AM3:AM139""),MATCH(D29,IMPORTRANGE(""1y0FWgjbB0gVlqn-q5LMJbGIsqOrzru4yowQz67dz2yc"", ""'SPGG'!D3:D139""),0))"),3)</f>
        <v>3</v>
      </c>
      <c r="Z29" s="2"/>
      <c r="AA29" s="2"/>
      <c r="AB29" s="2"/>
      <c r="AC29" s="2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5">
        <v>1</v>
      </c>
      <c r="Q30" s="5">
        <v>2</v>
      </c>
      <c r="R30" s="13"/>
      <c r="S30" s="13"/>
      <c r="T30" s="13"/>
      <c r="U30" s="13"/>
      <c r="V30" s="13"/>
      <c r="W30" s="4"/>
      <c r="X30" s="5">
        <v>0</v>
      </c>
      <c r="Y30" s="5">
        <f ca="1">IFERROR(__xludf.DUMMYFUNCTION("INDEX(IMPORTRANGE(""1y0FWgjbB0gVlqn-q5LMJbGIsqOrzru4yowQz67dz2yc"", ""'SPGG'!AM3:AM139""),MATCH(D30,IMPORTRANGE(""1y0FWgjbB0gVlqn-q5LMJbGIsqOrzru4yowQz67dz2yc"", ""'SPGG'!D3:D139""),0))"),0)</f>
        <v>0</v>
      </c>
      <c r="Z30" s="2"/>
      <c r="AA30" s="2"/>
      <c r="AB30" s="2"/>
      <c r="AC30" s="2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5">
        <v>0</v>
      </c>
      <c r="Q31" s="5">
        <v>0</v>
      </c>
      <c r="R31" s="13"/>
      <c r="S31" s="13"/>
      <c r="T31" s="13"/>
      <c r="U31" s="13"/>
      <c r="V31" s="13"/>
      <c r="W31" s="4"/>
      <c r="X31" s="5">
        <v>0</v>
      </c>
      <c r="Y31" s="5">
        <f ca="1">IFERROR(__xludf.DUMMYFUNCTION("INDEX(IMPORTRANGE(""1y0FWgjbB0gVlqn-q5LMJbGIsqOrzru4yowQz67dz2yc"", ""'SPGG'!AM3:AM139""),MATCH(D31,IMPORTRANGE(""1y0FWgjbB0gVlqn-q5LMJbGIsqOrzru4yowQz67dz2yc"", ""'SPGG'!D3:D139""),0))"),0)</f>
        <v>0</v>
      </c>
      <c r="Z31" s="2"/>
      <c r="AA31" s="2"/>
      <c r="AB31" s="2"/>
      <c r="AC31" s="2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5">
        <v>0</v>
      </c>
      <c r="Q32" s="5">
        <v>0</v>
      </c>
      <c r="R32" s="13"/>
      <c r="S32" s="13"/>
      <c r="T32" s="13"/>
      <c r="U32" s="13"/>
      <c r="V32" s="13"/>
      <c r="W32" s="4"/>
      <c r="X32" s="5">
        <v>0</v>
      </c>
      <c r="Y32" s="5">
        <f ca="1">IFERROR(__xludf.DUMMYFUNCTION("INDEX(IMPORTRANGE(""1y0FWgjbB0gVlqn-q5LMJbGIsqOrzru4yowQz67dz2yc"", ""'SPGG'!AM3:AM139""),MATCH(D32,IMPORTRANGE(""1y0FWgjbB0gVlqn-q5LMJbGIsqOrzru4yowQz67dz2yc"", ""'SPGG'!D3:D139""),0))"),0)</f>
        <v>0</v>
      </c>
      <c r="Z32" s="2"/>
      <c r="AA32" s="2"/>
      <c r="AB32" s="2"/>
      <c r="AC32" s="2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5">
        <v>0</v>
      </c>
      <c r="Q33" s="5">
        <v>0</v>
      </c>
      <c r="R33" s="13"/>
      <c r="S33" s="13"/>
      <c r="T33" s="13"/>
      <c r="U33" s="13"/>
      <c r="V33" s="13"/>
      <c r="W33" s="4"/>
      <c r="X33" s="5">
        <v>0</v>
      </c>
      <c r="Y33" s="5">
        <f ca="1">IFERROR(__xludf.DUMMYFUNCTION("INDEX(IMPORTRANGE(""1y0FWgjbB0gVlqn-q5LMJbGIsqOrzru4yowQz67dz2yc"", ""'SPGG'!AM3:AM139""),MATCH(D33,IMPORTRANGE(""1y0FWgjbB0gVlqn-q5LMJbGIsqOrzru4yowQz67dz2yc"", ""'SPGG'!D3:D139""),0))"),0)</f>
        <v>0</v>
      </c>
      <c r="Z33" s="2"/>
      <c r="AA33" s="2"/>
      <c r="AB33" s="2"/>
      <c r="AC33" s="2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3.5985461873403146</v>
      </c>
      <c r="Q34" s="23">
        <f t="shared" si="7"/>
        <v>10.795638562020944</v>
      </c>
      <c r="R34" s="1">
        <v>10.8</v>
      </c>
      <c r="S34" s="1">
        <v>3.6</v>
      </c>
      <c r="T34" s="1">
        <v>10.7</v>
      </c>
      <c r="U34" s="1">
        <v>3.6</v>
      </c>
      <c r="V34" s="1">
        <v>10.7</v>
      </c>
      <c r="W34" s="2">
        <f>V34</f>
        <v>10.7</v>
      </c>
      <c r="X34" s="23">
        <f>(SUM(X23:X33)/X$2)*100000</f>
        <v>3.5594788922901688</v>
      </c>
      <c r="Y34" s="23">
        <f ca="1">IFERROR(__xludf.DUMMYFUNCTION("INDEX(IMPORTRANGE(""1y0FWgjbB0gVlqn-q5LMJbGIsqOrzru4yowQz67dz2yc"", ""'SPGG'!AM3:AM139""),MATCH(D34,IMPORTRANGE(""1y0FWgjbB0gVlqn-q5LMJbGIsqOrzru4yowQz67dz2yc"", ""'SPGG'!D3:D139""),0))"),9.96654089841247)</f>
        <v>9.9665408984124699</v>
      </c>
      <c r="Z34" s="2"/>
      <c r="AA34" s="2"/>
      <c r="AB34" s="2"/>
      <c r="AC34" s="2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1" t="s">
        <v>38</v>
      </c>
      <c r="F35" s="2" t="s">
        <v>122</v>
      </c>
      <c r="G35" s="10">
        <v>44469</v>
      </c>
      <c r="H35" s="10">
        <v>44469</v>
      </c>
      <c r="I35" s="49">
        <v>44651</v>
      </c>
      <c r="J35" s="49">
        <v>44834</v>
      </c>
      <c r="K35" s="49">
        <v>45016</v>
      </c>
      <c r="L35" s="49">
        <v>45199</v>
      </c>
      <c r="M35" s="49">
        <v>45382</v>
      </c>
      <c r="N35" s="49">
        <v>45565</v>
      </c>
      <c r="O35" s="49">
        <v>45565</v>
      </c>
      <c r="P35" s="12">
        <v>37730</v>
      </c>
      <c r="Q35" s="12">
        <v>37730</v>
      </c>
      <c r="R35" s="13"/>
      <c r="S35" s="13"/>
      <c r="T35" s="13"/>
      <c r="U35" s="13"/>
      <c r="V35" s="13"/>
      <c r="W35" s="4"/>
      <c r="X35" s="12">
        <v>37730</v>
      </c>
      <c r="Y35" s="12">
        <f ca="1">IFERROR(__xludf.DUMMYFUNCTION("INDEX(IMPORTRANGE(""1y0FWgjbB0gVlqn-q5LMJbGIsqOrzru4yowQz67dz2yc"", ""'SPGG'!AM3:AM139""),MATCH(D35,IMPORTRANGE(""1y0FWgjbB0gVlqn-q5LMJbGIsqOrzru4yowQz67dz2yc"", ""'SPGG'!D3:D139""),0))"),37730)</f>
        <v>37730</v>
      </c>
      <c r="Z35" s="2"/>
      <c r="AA35" s="2"/>
      <c r="AB35" s="2"/>
      <c r="AC35" s="2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1" t="s">
        <v>38</v>
      </c>
      <c r="F36" s="2" t="s">
        <v>124</v>
      </c>
      <c r="G36" s="10">
        <v>44469</v>
      </c>
      <c r="H36" s="10">
        <v>44469</v>
      </c>
      <c r="I36" s="49">
        <v>44651</v>
      </c>
      <c r="J36" s="49">
        <v>44834</v>
      </c>
      <c r="K36" s="49">
        <v>45016</v>
      </c>
      <c r="L36" s="49">
        <v>45199</v>
      </c>
      <c r="M36" s="49">
        <v>45382</v>
      </c>
      <c r="N36" s="49">
        <v>45565</v>
      </c>
      <c r="O36" s="49">
        <v>45565</v>
      </c>
      <c r="P36" s="12">
        <v>0</v>
      </c>
      <c r="Q36" s="12">
        <v>0</v>
      </c>
      <c r="R36" s="1"/>
      <c r="S36" s="1"/>
      <c r="T36" s="1"/>
      <c r="U36" s="1"/>
      <c r="V36" s="1"/>
      <c r="W36" s="492">
        <v>2171</v>
      </c>
      <c r="X36" s="12">
        <v>2171</v>
      </c>
      <c r="Y36" s="12">
        <f ca="1">IFERROR(__xludf.DUMMYFUNCTION("INDEX(IMPORTRANGE(""1y0FWgjbB0gVlqn-q5LMJbGIsqOrzru4yowQz67dz2yc"", ""'SPGG'!AM3:AM139""),MATCH(D36,IMPORTRANGE(""1y0FWgjbB0gVlqn-q5LMJbGIsqOrzru4yowQz67dz2yc"", ""'SPGG'!D3:D139""),0))"),2970)</f>
        <v>2970</v>
      </c>
      <c r="Z36" s="2"/>
      <c r="AA36" s="2"/>
      <c r="AB36" s="2"/>
      <c r="AC36" s="2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1" t="s">
        <v>38</v>
      </c>
      <c r="F37" s="2" t="s">
        <v>126</v>
      </c>
      <c r="G37" s="10">
        <v>44469</v>
      </c>
      <c r="H37" s="10">
        <v>44469</v>
      </c>
      <c r="I37" s="49">
        <v>44651</v>
      </c>
      <c r="J37" s="49">
        <v>44834</v>
      </c>
      <c r="K37" s="49">
        <v>45016</v>
      </c>
      <c r="L37" s="49">
        <v>45199</v>
      </c>
      <c r="M37" s="49">
        <v>45382</v>
      </c>
      <c r="N37" s="49">
        <v>45565</v>
      </c>
      <c r="O37" s="49">
        <v>45565</v>
      </c>
      <c r="P37" s="15">
        <f t="shared" ref="P37:Q37" si="8">P36/P35</f>
        <v>0</v>
      </c>
      <c r="Q37" s="15">
        <f t="shared" si="8"/>
        <v>0</v>
      </c>
      <c r="R37" s="47">
        <v>5.8000000000000003E-2</v>
      </c>
      <c r="S37" s="47">
        <v>5.8000000000000003E-2</v>
      </c>
      <c r="T37" s="47">
        <v>5.8000000000000003E-2</v>
      </c>
      <c r="U37" s="47">
        <v>5.8000000000000003E-2</v>
      </c>
      <c r="V37" s="47">
        <v>5.8000000000000003E-2</v>
      </c>
      <c r="W37" s="47">
        <v>5.8000000000000003E-2</v>
      </c>
      <c r="X37" s="15">
        <f>X36/X35</f>
        <v>5.7540418764908563E-2</v>
      </c>
      <c r="Y37" s="15">
        <f ca="1">IFERROR(__xludf.DUMMYFUNCTION("INDEX(IMPORTRANGE(""1y0FWgjbB0gVlqn-q5LMJbGIsqOrzru4yowQz67dz2yc"", ""'SPGG'!AM3:AM139""),MATCH(D37,IMPORTRANGE(""1y0FWgjbB0gVlqn-q5LMJbGIsqOrzru4yowQz67dz2yc"", ""'SPGG'!D3:D139""),0))"),0.0787172011661807)</f>
        <v>7.8717201166180695E-2</v>
      </c>
      <c r="Z37" s="2"/>
      <c r="AA37" s="2"/>
      <c r="AB37" s="2"/>
      <c r="AC37" s="2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9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12">
        <v>0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459">
        <v>1</v>
      </c>
      <c r="X38" s="12">
        <v>0</v>
      </c>
      <c r="Y38" s="12">
        <f ca="1">IFERROR(__xludf.DUMMYFUNCTION("INDEX(IMPORTRANGE(""1y0FWgjbB0gVlqn-q5LMJbGIsqOrzru4yowQz67dz2yc"", ""'SPGG'!AM3:AM139""),MATCH(D38,IMPORTRANGE(""1y0FWgjbB0gVlqn-q5LMJbGIsqOrzru4yowQz67dz2yc"", ""'SPGG'!D3:D139""),0))"),0)</f>
        <v>0</v>
      </c>
      <c r="Z38" s="2"/>
      <c r="AA38" s="2"/>
      <c r="AB38" s="2"/>
      <c r="AC38" s="2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9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1983</v>
      </c>
      <c r="Q39" s="12">
        <v>4249</v>
      </c>
      <c r="R39" s="28">
        <v>2000</v>
      </c>
      <c r="S39" s="1">
        <v>640</v>
      </c>
      <c r="T39" s="1">
        <v>710</v>
      </c>
      <c r="U39" s="1">
        <v>70</v>
      </c>
      <c r="V39" s="1">
        <v>111</v>
      </c>
      <c r="W39" s="459">
        <v>1825</v>
      </c>
      <c r="X39" s="12">
        <v>900</v>
      </c>
      <c r="Y39" s="12">
        <f ca="1">IFERROR(__xludf.DUMMYFUNCTION("INDEX(IMPORTRANGE(""1y0FWgjbB0gVlqn-q5LMJbGIsqOrzru4yowQz67dz2yc"", ""'SPGG'!AM3:AM139""),MATCH(D39,IMPORTRANGE(""1y0FWgjbB0gVlqn-q5LMJbGIsqOrzru4yowQz67dz2yc"", ""'SPGG'!D3:D139""),0))"),2171)</f>
        <v>2171</v>
      </c>
      <c r="Z39" s="2"/>
      <c r="AA39" s="2"/>
      <c r="AB39" s="2"/>
      <c r="AC39" s="2"/>
    </row>
    <row r="40" spans="1:29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0</v>
      </c>
      <c r="Q40" s="12">
        <v>0</v>
      </c>
      <c r="R40" s="1"/>
      <c r="S40" s="1"/>
      <c r="T40" s="1"/>
      <c r="U40" s="1"/>
      <c r="V40" s="1"/>
      <c r="W40" s="459">
        <v>4</v>
      </c>
      <c r="X40" s="12">
        <v>4</v>
      </c>
      <c r="Y40" s="12">
        <f ca="1">IFERROR(__xludf.DUMMYFUNCTION("INDEX(IMPORTRANGE(""1y0FWgjbB0gVlqn-q5LMJbGIsqOrzru4yowQz67dz2yc"", ""'SPGG'!AM3:AM139""),MATCH(D40,IMPORTRANGE(""1y0FWgjbB0gVlqn-q5LMJbGIsqOrzru4yowQz67dz2yc"", ""'SPGG'!D3:D139""),0))"),4)</f>
        <v>4</v>
      </c>
      <c r="Z40" s="2"/>
      <c r="AA40" s="2"/>
      <c r="AB40" s="2"/>
      <c r="AC40" s="2"/>
    </row>
    <row r="41" spans="1:29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12"/>
      <c r="R41" s="1"/>
      <c r="S41" s="1"/>
      <c r="T41" s="1"/>
      <c r="U41" s="1"/>
      <c r="V41" s="1"/>
      <c r="W41" s="459"/>
      <c r="X41" s="12"/>
      <c r="Y41" s="12">
        <f ca="1">IFERROR(__xludf.DUMMYFUNCTION("INDEX(IMPORTRANGE(""1y0FWgjbB0gVlqn-q5LMJbGIsqOrzru4yowQz67dz2yc"", ""'SPGG'!AM3:AM139""),MATCH(D41,IMPORTRANGE(""1y0FWgjbB0gVlqn-q5LMJbGIsqOrzru4yowQz67dz2yc"", ""'SPGG'!D3:D139""),0))"),1)</f>
        <v>1</v>
      </c>
      <c r="Z41" s="2"/>
      <c r="AA41" s="2"/>
      <c r="AB41" s="2"/>
      <c r="AC41" s="2"/>
    </row>
    <row r="42" spans="1:29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0</v>
      </c>
      <c r="Q42" s="12">
        <v>3</v>
      </c>
      <c r="R42" s="1"/>
      <c r="S42" s="1"/>
      <c r="T42" s="1"/>
      <c r="U42" s="1"/>
      <c r="V42" s="1"/>
      <c r="W42" s="459">
        <v>42</v>
      </c>
      <c r="X42" s="12">
        <v>35</v>
      </c>
      <c r="Y42" s="12">
        <f ca="1">IFERROR(__xludf.DUMMYFUNCTION("INDEX(IMPORTRANGE(""1y0FWgjbB0gVlqn-q5LMJbGIsqOrzru4yowQz67dz2yc"", ""'SPGG'!AM3:AM139""),MATCH(D42,IMPORTRANGE(""1y0FWgjbB0gVlqn-q5LMJbGIsqOrzru4yowQz67dz2yc"", ""'SPGG'!D3:D139""),0))"),38)</f>
        <v>38</v>
      </c>
      <c r="Z42" s="2"/>
      <c r="AA42" s="2"/>
      <c r="AB42" s="2"/>
      <c r="AC42" s="2"/>
    </row>
    <row r="43" spans="1:29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12"/>
      <c r="R43" s="1"/>
      <c r="S43" s="1"/>
      <c r="T43" s="1"/>
      <c r="U43" s="1"/>
      <c r="V43" s="1"/>
      <c r="W43" s="459"/>
      <c r="X43" s="12"/>
      <c r="Y43" s="12">
        <f ca="1">IFERROR(__xludf.DUMMYFUNCTION("INDEX(IMPORTRANGE(""1y0FWgjbB0gVlqn-q5LMJbGIsqOrzru4yowQz67dz2yc"", ""'SPGG'!AM3:AM139""),MATCH(D43,IMPORTRANGE(""1y0FWgjbB0gVlqn-q5LMJbGIsqOrzru4yowQz67dz2yc"", ""'SPGG'!D3:D139""),0))"),0)</f>
        <v>0</v>
      </c>
      <c r="Z43" s="2"/>
      <c r="AA43" s="2"/>
      <c r="AB43" s="2"/>
      <c r="AC43" s="2"/>
    </row>
    <row r="44" spans="1:29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f t="shared" ref="P44:Q44" si="9">P40+P42</f>
        <v>0</v>
      </c>
      <c r="Q44" s="12">
        <f t="shared" si="9"/>
        <v>3</v>
      </c>
      <c r="R44" s="13">
        <v>40</v>
      </c>
      <c r="S44" s="13">
        <v>1</v>
      </c>
      <c r="T44" s="13">
        <v>3</v>
      </c>
      <c r="U44" s="13">
        <v>1</v>
      </c>
      <c r="V44" s="13">
        <v>3</v>
      </c>
      <c r="W44" s="4">
        <v>46</v>
      </c>
      <c r="X44" s="12">
        <f>X40+X42</f>
        <v>39</v>
      </c>
      <c r="Y44" s="12">
        <f ca="1">IFERROR(__xludf.DUMMYFUNCTION("INDEX(IMPORTRANGE(""1y0FWgjbB0gVlqn-q5LMJbGIsqOrzru4yowQz67dz2yc"", ""'SPGG'!AM3:AM139""),MATCH(D44,IMPORTRANGE(""1y0FWgjbB0gVlqn-q5LMJbGIsqOrzru4yowQz67dz2yc"", ""'SPGG'!D3:D139""),0))"),43)</f>
        <v>43</v>
      </c>
      <c r="Z44" s="2"/>
      <c r="AA44" s="2"/>
      <c r="AB44" s="2"/>
      <c r="AC44" s="2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9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150</v>
      </c>
      <c r="Q45" s="30" t="s">
        <v>150</v>
      </c>
      <c r="R45" s="156" t="s">
        <v>151</v>
      </c>
      <c r="S45" s="156" t="s">
        <v>151</v>
      </c>
      <c r="T45" s="156" t="s">
        <v>151</v>
      </c>
      <c r="U45" s="156" t="s">
        <v>151</v>
      </c>
      <c r="V45" s="156" t="s">
        <v>151</v>
      </c>
      <c r="W45" s="156" t="s">
        <v>151</v>
      </c>
      <c r="X45" s="30" t="s">
        <v>150</v>
      </c>
      <c r="Y45" s="30" t="str">
        <f ca="1">IFERROR(__xludf.DUMMYFUNCTION("INDEX(IMPORTRANGE(""1y0FWgjbB0gVlqn-q5LMJbGIsqOrzru4yowQz67dz2yc"", ""'SPGG'!AM3:AM139""),MATCH(D45,IMPORTRANGE(""1y0FWgjbB0gVlqn-q5LMJbGIsqOrzru4yowQz67dz2yc"", ""'SPGG'!D3:D139""),0))"),"Sí")</f>
        <v>Sí</v>
      </c>
      <c r="Z45" s="2"/>
      <c r="AA45" s="2"/>
      <c r="AB45" s="2"/>
      <c r="AC45" s="2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9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153</v>
      </c>
      <c r="Q46" s="30" t="s">
        <v>153</v>
      </c>
      <c r="R46" s="156" t="s">
        <v>151</v>
      </c>
      <c r="S46" s="156" t="s">
        <v>151</v>
      </c>
      <c r="T46" s="156" t="s">
        <v>151</v>
      </c>
      <c r="U46" s="156" t="s">
        <v>151</v>
      </c>
      <c r="V46" s="156" t="s">
        <v>151</v>
      </c>
      <c r="W46" s="156" t="s">
        <v>151</v>
      </c>
      <c r="X46" s="30" t="s">
        <v>153</v>
      </c>
      <c r="Y46" s="30" t="str">
        <f ca="1">IFERROR(__xludf.DUMMYFUNCTION("INDEX(IMPORTRANGE(""1y0FWgjbB0gVlqn-q5LMJbGIsqOrzru4yowQz67dz2yc"", ""'SPGG'!AM3:AM139""),MATCH(D46,IMPORTRANGE(""1y0FWgjbB0gVlqn-q5LMJbGIsqOrzru4yowQz67dz2yc"", ""'SPGG'!D3:D139""),0))"),"Sí")</f>
        <v>Sí</v>
      </c>
      <c r="Z46" s="2"/>
      <c r="AA46" s="2"/>
      <c r="AB46" s="2"/>
      <c r="AC46" s="2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9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153</v>
      </c>
      <c r="Q47" s="30" t="s">
        <v>153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30" t="s">
        <v>153</v>
      </c>
      <c r="Y47" s="30" t="str">
        <f ca="1">IFERROR(__xludf.DUMMYFUNCTION("INDEX(IMPORTRANGE(""1y0FWgjbB0gVlqn-q5LMJbGIsqOrzru4yowQz67dz2yc"", ""'SPGG'!AM3:AM139""),MATCH(D47,IMPORTRANGE(""1y0FWgjbB0gVlqn-q5LMJbGIsqOrzru4yowQz67dz2yc"", ""'SPGG'!D3:D139""),0))"),"Sí")</f>
        <v>Sí</v>
      </c>
      <c r="Z47" s="2"/>
      <c r="AA47" s="2"/>
      <c r="AB47" s="2"/>
      <c r="AC47" s="2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23">
        <f t="shared" ref="P48:Q48" si="10">COUNTIF(P45:P47,"Sí")*(1/3)</f>
        <v>0.66666666666666663</v>
      </c>
      <c r="Q48" s="23">
        <f t="shared" si="10"/>
        <v>0.66666666666666663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23">
        <f>COUNTIF(X45:X47,"Sí")*(1/3)</f>
        <v>0.66666666666666663</v>
      </c>
      <c r="Y48" s="23">
        <f ca="1">IFERROR(__xludf.DUMMYFUNCTION("INDEX(IMPORTRANGE(""1y0FWgjbB0gVlqn-q5LMJbGIsqOrzru4yowQz67dz2yc"", ""'SPGG'!AM3:AM139""),MATCH(D48,IMPORTRANGE(""1y0FWgjbB0gVlqn-q5LMJbGIsqOrzru4yowQz67dz2yc"", ""'SPGG'!D3:D139""),0))"),1)</f>
        <v>1</v>
      </c>
      <c r="Z48" s="2"/>
      <c r="AA48" s="2"/>
      <c r="AB48" s="2"/>
      <c r="AC48" s="2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1</v>
      </c>
      <c r="Q49" s="12">
        <v>1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12">
        <v>1</v>
      </c>
      <c r="Y49" s="12">
        <f ca="1">IFERROR(__xludf.DUMMYFUNCTION("INDEX(IMPORTRANGE(""1y0FWgjbB0gVlqn-q5LMJbGIsqOrzru4yowQz67dz2yc"", ""'SPGG'!AM3:AM139""),MATCH(D49,IMPORTRANGE(""1y0FWgjbB0gVlqn-q5LMJbGIsqOrzru4yowQz67dz2yc"", ""'SPGG'!D3:D139""),0))"),1)</f>
        <v>1</v>
      </c>
      <c r="Z49" s="2"/>
      <c r="AA49" s="2"/>
      <c r="AB49" s="2"/>
      <c r="AC49" s="2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9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0</v>
      </c>
      <c r="Q50" s="12">
        <v>0</v>
      </c>
      <c r="R50" s="13"/>
      <c r="S50" s="13"/>
      <c r="T50" s="13"/>
      <c r="U50" s="13"/>
      <c r="V50" s="13"/>
      <c r="W50" s="4"/>
      <c r="X50" s="12">
        <v>0</v>
      </c>
      <c r="Y50" s="12">
        <f ca="1">IFERROR(__xludf.DUMMYFUNCTION("INDEX(IMPORTRANGE(""1y0FWgjbB0gVlqn-q5LMJbGIsqOrzru4yowQz67dz2yc"", ""'SPGG'!AM3:AM139""),MATCH(D50,IMPORTRANGE(""1y0FWgjbB0gVlqn-q5LMJbGIsqOrzru4yowQz67dz2yc"", ""'SPGG'!D3:D139""),0))"),0)</f>
        <v>0</v>
      </c>
      <c r="Z50" s="2"/>
      <c r="AA50" s="2"/>
      <c r="AB50" s="2"/>
      <c r="AC50" s="2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9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4"/>
      <c r="X51" s="12">
        <v>0</v>
      </c>
      <c r="Y51" s="12">
        <f ca="1">IFERROR(__xludf.DUMMYFUNCTION("INDEX(IMPORTRANGE(""1y0FWgjbB0gVlqn-q5LMJbGIsqOrzru4yowQz67dz2yc"", ""'SPGG'!AM3:AM139""),MATCH(D51,IMPORTRANGE(""1y0FWgjbB0gVlqn-q5LMJbGIsqOrzru4yowQz67dz2yc"", ""'SPGG'!D3:D139""),0))"),0)</f>
        <v>0</v>
      </c>
      <c r="Z51" s="2"/>
      <c r="AA51" s="2"/>
      <c r="AB51" s="2"/>
      <c r="AC51" s="2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9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tr">
        <f t="shared" ref="P52:Q52" si="11">IFERROR(P51/P50,"NA")</f>
        <v>NA</v>
      </c>
      <c r="Q52" s="30" t="str">
        <f t="shared" si="11"/>
        <v>NA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30" t="str">
        <f>IFERROR(X51/X50,"NA")</f>
        <v>NA</v>
      </c>
      <c r="Y52" s="30" t="str">
        <f ca="1">IFERROR(__xludf.DUMMYFUNCTION("INDEX(IMPORTRANGE(""1y0FWgjbB0gVlqn-q5LMJbGIsqOrzru4yowQz67dz2yc"", ""'SPGG'!AM3:AM139""),MATCH(D52,IMPORTRANGE(""1y0FWgjbB0gVlqn-q5LMJbGIsqOrzru4yowQz67dz2yc"", ""'SPGG'!D3:D139""),0))"),"NA")</f>
        <v>NA</v>
      </c>
      <c r="Z52" s="2"/>
      <c r="AA52" s="2"/>
      <c r="AB52" s="2"/>
      <c r="AC52" s="2"/>
    </row>
    <row r="53" spans="1:29">
      <c r="A53" s="7" t="s">
        <v>147</v>
      </c>
      <c r="B53" s="7" t="s">
        <v>168</v>
      </c>
      <c r="C53" s="1" t="s">
        <v>30</v>
      </c>
      <c r="D53" s="155" t="s">
        <v>169</v>
      </c>
      <c r="E53" s="7" t="s">
        <v>38</v>
      </c>
      <c r="F53" s="9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18932</v>
      </c>
      <c r="Q53" s="12">
        <v>18932</v>
      </c>
      <c r="R53" s="13"/>
      <c r="S53" s="13"/>
      <c r="T53" s="13"/>
      <c r="U53" s="13"/>
      <c r="V53" s="13"/>
      <c r="W53" s="4"/>
      <c r="X53" s="12">
        <v>18932</v>
      </c>
      <c r="Y53" s="12">
        <f ca="1">IFERROR(__xludf.DUMMYFUNCTION("INDEX(IMPORTRANGE(""1y0FWgjbB0gVlqn-q5LMJbGIsqOrzru4yowQz67dz2yc"", ""'SPGG'!AM3:AM139""),MATCH(D53,IMPORTRANGE(""1y0FWgjbB0gVlqn-q5LMJbGIsqOrzru4yowQz67dz2yc"", ""'SPGG'!D3:D139""),0))"),18932)</f>
        <v>18932</v>
      </c>
      <c r="Z53" s="2"/>
      <c r="AA53" s="2"/>
      <c r="AB53" s="2"/>
      <c r="AC53" s="2"/>
    </row>
    <row r="54" spans="1:29">
      <c r="A54" s="7" t="s">
        <v>147</v>
      </c>
      <c r="B54" s="7" t="s">
        <v>168</v>
      </c>
      <c r="C54" s="1" t="s">
        <v>30</v>
      </c>
      <c r="D54" s="155" t="s">
        <v>171</v>
      </c>
      <c r="E54" s="7" t="s">
        <v>38</v>
      </c>
      <c r="F54" s="9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18932</v>
      </c>
      <c r="Q54" s="12">
        <v>18932</v>
      </c>
      <c r="R54" s="13"/>
      <c r="S54" s="13"/>
      <c r="T54" s="13"/>
      <c r="U54" s="13"/>
      <c r="V54" s="13"/>
      <c r="W54" s="4"/>
      <c r="X54" s="12">
        <v>18932</v>
      </c>
      <c r="Y54" s="12">
        <f ca="1">IFERROR(__xludf.DUMMYFUNCTION("INDEX(IMPORTRANGE(""1y0FWgjbB0gVlqn-q5LMJbGIsqOrzru4yowQz67dz2yc"", ""'SPGG'!AM3:AM139""),MATCH(D54,IMPORTRANGE(""1y0FWgjbB0gVlqn-q5LMJbGIsqOrzru4yowQz67dz2yc"", ""'SPGG'!D3:D139""),0))"),18932)</f>
        <v>18932</v>
      </c>
      <c r="Z54" s="2"/>
      <c r="AA54" s="2"/>
      <c r="AB54" s="2"/>
      <c r="AC54" s="2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9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4">
        <f t="shared" ref="P55:Q55" si="12">P53/P54</f>
        <v>1</v>
      </c>
      <c r="Q55" s="14">
        <f t="shared" si="12"/>
        <v>1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4">
        <f>X53/X54</f>
        <v>1</v>
      </c>
      <c r="Y55" s="14">
        <f ca="1">IFERROR(__xludf.DUMMYFUNCTION("INDEX(IMPORTRANGE(""1y0FWgjbB0gVlqn-q5LMJbGIsqOrzru4yowQz67dz2yc"", ""'SPGG'!AM3:AM139""),MATCH(D55,IMPORTRANGE(""1y0FWgjbB0gVlqn-q5LMJbGIsqOrzru4yowQz67dz2yc"", ""'SPGG'!D3:D139""),0))"),1)</f>
        <v>1</v>
      </c>
      <c r="Z55" s="2"/>
      <c r="AA55" s="2"/>
      <c r="AB55" s="2"/>
      <c r="AC55" s="2"/>
    </row>
    <row r="56" spans="1:29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9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37730</v>
      </c>
      <c r="Q56" s="12">
        <v>37730</v>
      </c>
      <c r="R56" s="13"/>
      <c r="S56" s="13"/>
      <c r="T56" s="13"/>
      <c r="U56" s="13"/>
      <c r="V56" s="13"/>
      <c r="W56" s="4"/>
      <c r="X56" s="12">
        <v>37730</v>
      </c>
      <c r="Y56" s="12">
        <f ca="1">IFERROR(__xludf.DUMMYFUNCTION("INDEX(IMPORTRANGE(""1y0FWgjbB0gVlqn-q5LMJbGIsqOrzru4yowQz67dz2yc"", ""'SPGG'!AM3:AM139""),MATCH(D56,IMPORTRANGE(""1y0FWgjbB0gVlqn-q5LMJbGIsqOrzru4yowQz67dz2yc"", ""'SPGG'!D3:D139""),0))"),37730)</f>
        <v>37730</v>
      </c>
      <c r="Z56" s="2"/>
      <c r="AA56" s="2"/>
      <c r="AB56" s="2"/>
      <c r="AC56" s="2"/>
    </row>
    <row r="57" spans="1:29">
      <c r="A57" s="7" t="s">
        <v>147</v>
      </c>
      <c r="B57" s="7" t="s">
        <v>168</v>
      </c>
      <c r="C57" s="1" t="s">
        <v>36</v>
      </c>
      <c r="D57" s="7" t="s">
        <v>177</v>
      </c>
      <c r="E57" s="7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3">P56/P35</f>
        <v>1</v>
      </c>
      <c r="Q57" s="15">
        <f t="shared" si="13"/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X56/X35</f>
        <v>1</v>
      </c>
      <c r="Y57" s="15">
        <f ca="1">IFERROR(__xludf.DUMMYFUNCTION("INDEX(IMPORTRANGE(""1y0FWgjbB0gVlqn-q5LMJbGIsqOrzru4yowQz67dz2yc"", ""'SPGG'!AM3:AM139""),MATCH(D57,IMPORTRANGE(""1y0FWgjbB0gVlqn-q5LMJbGIsqOrzru4yowQz67dz2yc"", ""'SPGG'!D3:D139""),0))"),1)</f>
        <v>1</v>
      </c>
      <c r="Z57" s="2"/>
      <c r="AA57" s="2"/>
      <c r="AB57" s="2"/>
      <c r="AC57" s="2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9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7659036</v>
      </c>
      <c r="Q58" s="12">
        <v>7659036</v>
      </c>
      <c r="R58" s="13"/>
      <c r="S58" s="13"/>
      <c r="T58" s="13"/>
      <c r="U58" s="13"/>
      <c r="V58" s="13"/>
      <c r="W58" s="4"/>
      <c r="X58" s="12">
        <v>7659036</v>
      </c>
      <c r="Y58" s="12">
        <f ca="1">IFERROR(__xludf.DUMMYFUNCTION("INDEX(IMPORTRANGE(""1y0FWgjbB0gVlqn-q5LMJbGIsqOrzru4yowQz67dz2yc"", ""'SPGG'!AM3:AM139""),MATCH(D58,IMPORTRANGE(""1y0FWgjbB0gVlqn-q5LMJbGIsqOrzru4yowQz67dz2yc"", ""'SPGG'!D3:D139""),0))"),7659036)</f>
        <v>7659036</v>
      </c>
      <c r="Z58" s="2"/>
      <c r="AA58" s="2"/>
      <c r="AB58" s="2"/>
      <c r="AC58" s="2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9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7659036</v>
      </c>
      <c r="Q59" s="12">
        <v>7659036</v>
      </c>
      <c r="R59" s="13"/>
      <c r="S59" s="13"/>
      <c r="T59" s="13"/>
      <c r="U59" s="13"/>
      <c r="V59" s="13"/>
      <c r="W59" s="4"/>
      <c r="X59" s="12">
        <v>7659036</v>
      </c>
      <c r="Y59" s="12">
        <f ca="1">IFERROR(__xludf.DUMMYFUNCTION("INDEX(IMPORTRANGE(""1y0FWgjbB0gVlqn-q5LMJbGIsqOrzru4yowQz67dz2yc"", ""'SPGG'!AM3:AM139""),MATCH(D59,IMPORTRANGE(""1y0FWgjbB0gVlqn-q5LMJbGIsqOrzru4yowQz67dz2yc"", ""'SPGG'!D3:D139""),0))"),7659036)</f>
        <v>7659036</v>
      </c>
      <c r="Z59" s="2"/>
      <c r="AA59" s="2"/>
      <c r="AB59" s="2"/>
      <c r="AC59" s="2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9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1</v>
      </c>
      <c r="Q60" s="15">
        <f t="shared" si="14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1</v>
      </c>
      <c r="Y60" s="15">
        <f ca="1">IFERROR(__xludf.DUMMYFUNCTION("INDEX(IMPORTRANGE(""1y0FWgjbB0gVlqn-q5LMJbGIsqOrzru4yowQz67dz2yc"", ""'SPGG'!AM3:AM139""),MATCH(D60,IMPORTRANGE(""1y0FWgjbB0gVlqn-q5LMJbGIsqOrzru4yowQz67dz2yc"", ""'SPGG'!D3:D139""),0))"),1)</f>
        <v>1</v>
      </c>
      <c r="Z60" s="2"/>
      <c r="AA60" s="2"/>
      <c r="AB60" s="2"/>
      <c r="AC60" s="2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9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78745</v>
      </c>
      <c r="Q61" s="12">
        <v>78745</v>
      </c>
      <c r="R61" s="13"/>
      <c r="S61" s="13"/>
      <c r="T61" s="13"/>
      <c r="U61" s="13"/>
      <c r="V61" s="13"/>
      <c r="W61" s="4"/>
      <c r="X61" s="12">
        <v>78855</v>
      </c>
      <c r="Y61" s="12">
        <f ca="1">IFERROR(__xludf.DUMMYFUNCTION("INDEX(IMPORTRANGE(""1y0FWgjbB0gVlqn-q5LMJbGIsqOrzru4yowQz67dz2yc"", ""'SPGG'!AM3:AM139""),MATCH(D61,IMPORTRANGE(""1y0FWgjbB0gVlqn-q5LMJbGIsqOrzru4yowQz67dz2yc"", ""'SPGG'!D3:D139""),0))"),82516)</f>
        <v>82516</v>
      </c>
      <c r="Z61" s="2"/>
      <c r="AA61" s="2"/>
      <c r="AB61" s="2"/>
      <c r="AC61" s="2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9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88000</v>
      </c>
      <c r="Q62" s="12">
        <v>88000</v>
      </c>
      <c r="R62" s="13"/>
      <c r="S62" s="13"/>
      <c r="T62" s="13"/>
      <c r="U62" s="13"/>
      <c r="V62" s="13"/>
      <c r="W62" s="4"/>
      <c r="X62" s="12">
        <v>88000</v>
      </c>
      <c r="Y62" s="12">
        <f ca="1">IFERROR(__xludf.DUMMYFUNCTION("INDEX(IMPORTRANGE(""1y0FWgjbB0gVlqn-q5LMJbGIsqOrzru4yowQz67dz2yc"", ""'SPGG'!AM3:AM139""),MATCH(D62,IMPORTRANGE(""1y0FWgjbB0gVlqn-q5LMJbGIsqOrzru4yowQz67dz2yc"", ""'SPGG'!D3:D139""),0))"),88000)</f>
        <v>88000</v>
      </c>
      <c r="Z62" s="2"/>
      <c r="AA62" s="2"/>
      <c r="AB62" s="2"/>
      <c r="AC62" s="2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9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5">P61/P62</f>
        <v>0.89482954545454541</v>
      </c>
      <c r="Q63" s="15">
        <f t="shared" si="15"/>
        <v>0.89482954545454541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0.89607954545454549</v>
      </c>
      <c r="Y63" s="317">
        <f ca="1">IFERROR(__xludf.DUMMYFUNCTION("INDEX(IMPORTRANGE(""1y0FWgjbB0gVlqn-q5LMJbGIsqOrzru4yowQz67dz2yc"", ""'SPGG'!AM3:AM139""),MATCH(D63,IMPORTRANGE(""1y0FWgjbB0gVlqn-q5LMJbGIsqOrzru4yowQz67dz2yc"", ""'SPGG'!D3:D139""),0))"),0.937681818181818)</f>
        <v>0.93768181818181795</v>
      </c>
      <c r="Z63" s="2"/>
      <c r="AA63" s="2"/>
      <c r="AB63" s="2"/>
      <c r="AC63" s="2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9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23">
        <v>0</v>
      </c>
      <c r="Q64" s="23">
        <v>0</v>
      </c>
      <c r="R64" s="1"/>
      <c r="S64" s="1"/>
      <c r="T64" s="1"/>
      <c r="U64" s="1"/>
      <c r="V64" s="1"/>
      <c r="W64" s="2"/>
      <c r="X64" s="23">
        <v>0</v>
      </c>
      <c r="Y64" s="23">
        <f ca="1">IFERROR(__xludf.DUMMYFUNCTION("INDEX(IMPORTRANGE(""1y0FWgjbB0gVlqn-q5LMJbGIsqOrzru4yowQz67dz2yc"", ""'SPGG'!AM3:AM139""),MATCH(D64,IMPORTRANGE(""1y0FWgjbB0gVlqn-q5LMJbGIsqOrzru4yowQz67dz2yc"", ""'SPGG'!D3:D139""),0))"),1.207)</f>
        <v>1.2070000000000001</v>
      </c>
      <c r="Z64" s="2"/>
      <c r="AA64" s="2"/>
      <c r="AB64" s="2"/>
      <c r="AC64" s="2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9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23">
        <v>0.188</v>
      </c>
      <c r="Q65" s="23">
        <v>4.3849999999999998</v>
      </c>
      <c r="R65" s="1"/>
      <c r="S65" s="1"/>
      <c r="T65" s="1"/>
      <c r="U65" s="1"/>
      <c r="V65" s="1"/>
      <c r="W65" s="2">
        <v>2.37</v>
      </c>
      <c r="X65" s="23">
        <v>0.11</v>
      </c>
      <c r="Y65" s="23">
        <f ca="1">IFERROR(__xludf.DUMMYFUNCTION("INDEX(IMPORTRANGE(""1y0FWgjbB0gVlqn-q5LMJbGIsqOrzru4yowQz67dz2yc"", ""'SPGG'!AM3:AM139""),MATCH(D65,IMPORTRANGE(""1y0FWgjbB0gVlqn-q5LMJbGIsqOrzru4yowQz67dz2yc"", ""'SPGG'!D3:D139""),0))"),0.218)</f>
        <v>0.218</v>
      </c>
      <c r="Z65" s="2"/>
      <c r="AA65" s="2"/>
      <c r="AB65" s="2"/>
      <c r="AC65" s="2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9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30"/>
      <c r="Q66" s="2"/>
      <c r="R66" s="13"/>
      <c r="S66" s="13"/>
      <c r="T66" s="13"/>
      <c r="U66" s="13"/>
      <c r="V66" s="13"/>
      <c r="W66" s="4"/>
      <c r="X66" s="2"/>
      <c r="Y66" s="2" t="str">
        <f ca="1">IFERROR(__xludf.DUMMYFUNCTION("INDEX(IMPORTRANGE(""1y0FWgjbB0gVlqn-q5LMJbGIsqOrzru4yowQz67dz2yc"", ""'SPGG'!AM3:AM139""),MATCH(D66,IMPORTRANGE(""1y0FWgjbB0gVlqn-q5LMJbGIsqOrzru4yowQz67dz2yc"", ""'SPGG'!D3:D139""),0))"),"")</f>
        <v/>
      </c>
      <c r="Z66" s="2"/>
      <c r="AA66" s="2"/>
      <c r="AB66" s="2"/>
      <c r="AC66" s="2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9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f t="shared" ref="P67:Q67" si="16">P64+P65</f>
        <v>0.188</v>
      </c>
      <c r="Q67" s="23">
        <f t="shared" si="16"/>
        <v>4.3849999999999998</v>
      </c>
      <c r="R67" s="13">
        <v>0.9</v>
      </c>
      <c r="S67" s="13">
        <v>0.2</v>
      </c>
      <c r="T67" s="13">
        <v>0.83</v>
      </c>
      <c r="U67" s="13">
        <v>0.63</v>
      </c>
      <c r="V67" s="13">
        <v>1.23</v>
      </c>
      <c r="W67" s="4">
        <v>2.37</v>
      </c>
      <c r="X67" s="23">
        <f>X64+X65</f>
        <v>0.11</v>
      </c>
      <c r="Y67" s="23">
        <f ca="1">IFERROR(__xludf.DUMMYFUNCTION("INDEX(IMPORTRANGE(""1y0FWgjbB0gVlqn-q5LMJbGIsqOrzru4yowQz67dz2yc"", ""'SPGG'!AM3:AM139""),MATCH(D67,IMPORTRANGE(""1y0FWgjbB0gVlqn-q5LMJbGIsqOrzru4yowQz67dz2yc"", ""'SPGG'!D3:D139""),0))"),1.425)</f>
        <v>1.425</v>
      </c>
      <c r="Z67" s="2"/>
      <c r="AA67" s="2"/>
      <c r="AB67" s="2"/>
      <c r="AC67" s="2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9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23">
        <v>15.26</v>
      </c>
      <c r="Q68" s="23">
        <v>15.26</v>
      </c>
      <c r="R68" s="1">
        <v>19.010000000000002</v>
      </c>
      <c r="S68" s="1">
        <v>19.11</v>
      </c>
      <c r="T68" s="1">
        <v>19.510000000000002</v>
      </c>
      <c r="U68" s="1">
        <v>19.510000000000002</v>
      </c>
      <c r="V68" s="1">
        <v>20.9</v>
      </c>
      <c r="W68" s="23">
        <v>20.9</v>
      </c>
      <c r="X68" s="23">
        <v>23.06</v>
      </c>
      <c r="Y68" s="23">
        <f ca="1">IFERROR(__xludf.DUMMYFUNCTION("INDEX(IMPORTRANGE(""1y0FWgjbB0gVlqn-q5LMJbGIsqOrzru4yowQz67dz2yc"", ""'SPGG'!AM3:AM139""),MATCH(D68,IMPORTRANGE(""1y0FWgjbB0gVlqn-q5LMJbGIsqOrzru4yowQz67dz2yc"", ""'SPGG'!D3:D139""),0))"),26.1)</f>
        <v>26.1</v>
      </c>
      <c r="Z68" s="2"/>
      <c r="AA68" s="2"/>
      <c r="AB68" s="2"/>
      <c r="AC68" s="2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9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"/>
      <c r="S69" s="1"/>
      <c r="T69" s="1"/>
      <c r="U69" s="1"/>
      <c r="V69" s="1"/>
      <c r="W69" s="2"/>
      <c r="X69" s="12">
        <v>0</v>
      </c>
      <c r="Y69" s="12">
        <f ca="1">IFERROR(__xludf.DUMMYFUNCTION("INDEX(IMPORTRANGE(""1y0FWgjbB0gVlqn-q5LMJbGIsqOrzru4yowQz67dz2yc"", ""'SPGG'!AM3:AM139""),MATCH(D69,IMPORTRANGE(""1y0FWgjbB0gVlqn-q5LMJbGIsqOrzru4yowQz67dz2yc"", ""'SPGG'!D3:D139""),0))"),28)</f>
        <v>28</v>
      </c>
      <c r="Z69" s="2"/>
      <c r="AA69" s="2"/>
      <c r="AB69" s="2"/>
      <c r="AC69" s="2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"/>
      <c r="S70" s="1"/>
      <c r="T70" s="1"/>
      <c r="U70" s="1"/>
      <c r="V70" s="1"/>
      <c r="W70" s="9">
        <v>8261</v>
      </c>
      <c r="X70" s="12">
        <v>4162</v>
      </c>
      <c r="Y70" s="12">
        <f ca="1">IFERROR(__xludf.DUMMYFUNCTION("INDEX(IMPORTRANGE(""1y0FWgjbB0gVlqn-q5LMJbGIsqOrzru4yowQz67dz2yc"", ""'SPGG'!AM3:AM139""),MATCH(D70,IMPORTRANGE(""1y0FWgjbB0gVlqn-q5LMJbGIsqOrzru4yowQz67dz2yc"", ""'SPGG'!D3:D139""),0))"),4560.7)</f>
        <v>4560.7</v>
      </c>
      <c r="Z70" s="2"/>
      <c r="AA70" s="2"/>
      <c r="AB70" s="2"/>
      <c r="AC70" s="2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"/>
      <c r="S71" s="1"/>
      <c r="T71" s="1"/>
      <c r="U71" s="1"/>
      <c r="V71" s="1"/>
      <c r="W71" s="2"/>
      <c r="X71" s="12">
        <v>0</v>
      </c>
      <c r="Y71" s="12">
        <f ca="1">IFERROR(__xludf.DUMMYFUNCTION("INDEX(IMPORTRANGE(""1y0FWgjbB0gVlqn-q5LMJbGIsqOrzru4yowQz67dz2yc"", ""'SPGG'!AM3:AM139""),MATCH(D71,IMPORTRANGE(""1y0FWgjbB0gVlqn-q5LMJbGIsqOrzru4yowQz67dz2yc"", ""'SPGG'!D3:D139""),0))"),0)</f>
        <v>0</v>
      </c>
      <c r="Z71" s="2"/>
      <c r="AA71" s="2"/>
      <c r="AB71" s="2"/>
      <c r="AC71" s="2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3">
        <v>4265.7</v>
      </c>
      <c r="S72" s="13">
        <v>209</v>
      </c>
      <c r="T72" s="13">
        <v>200</v>
      </c>
      <c r="U72" s="13">
        <v>209</v>
      </c>
      <c r="V72" s="13">
        <v>200</v>
      </c>
      <c r="W72" s="4">
        <v>5500</v>
      </c>
      <c r="X72" s="12">
        <f>X69+X70+X71</f>
        <v>4162</v>
      </c>
      <c r="Y72" s="12">
        <f ca="1">IFERROR(__xludf.DUMMYFUNCTION("INDEX(IMPORTRANGE(""1y0FWgjbB0gVlqn-q5LMJbGIsqOrzru4yowQz67dz2yc"", ""'SPGG'!AM3:AM139""),MATCH(D72,IMPORTRANGE(""1y0FWgjbB0gVlqn-q5LMJbGIsqOrzru4yowQz67dz2yc"", ""'SPGG'!D3:D139""),0))"),4588.7)</f>
        <v>4588.7</v>
      </c>
      <c r="Z72" s="2"/>
      <c r="AA72" s="2"/>
      <c r="AB72" s="2"/>
      <c r="AC72" s="2"/>
    </row>
    <row r="73" spans="1:29">
      <c r="A73" s="7" t="s">
        <v>199</v>
      </c>
      <c r="B73" s="7" t="s">
        <v>200</v>
      </c>
      <c r="C73" s="1" t="s">
        <v>30</v>
      </c>
      <c r="D73" s="155" t="s">
        <v>211</v>
      </c>
      <c r="E73" s="7" t="s">
        <v>38</v>
      </c>
      <c r="F73" s="9" t="s">
        <v>212</v>
      </c>
      <c r="G73" s="155" t="s">
        <v>213</v>
      </c>
      <c r="H73" s="156" t="s">
        <v>214</v>
      </c>
      <c r="I73" s="7" t="s">
        <v>215</v>
      </c>
      <c r="J73" s="13"/>
      <c r="K73" s="7" t="s">
        <v>216</v>
      </c>
      <c r="L73" s="13"/>
      <c r="M73" s="7" t="s">
        <v>217</v>
      </c>
      <c r="N73" s="1" t="s">
        <v>218</v>
      </c>
      <c r="O73" s="1" t="s">
        <v>218</v>
      </c>
      <c r="P73" s="36">
        <v>218977806.03</v>
      </c>
      <c r="Q73" s="36">
        <v>218977806.03</v>
      </c>
      <c r="R73" s="13"/>
      <c r="S73" s="44"/>
      <c r="T73" s="13"/>
      <c r="U73" s="44"/>
      <c r="V73" s="44"/>
      <c r="W73" s="44"/>
      <c r="X73" s="36">
        <v>218977806.03</v>
      </c>
      <c r="Y73" s="178" t="str">
        <f ca="1">IFERROR(__xludf.DUMMYFUNCTION("INDEX(IMPORTRANGE(""1y0FWgjbB0gVlqn-q5LMJbGIsqOrzru4yowQz67dz2yc"", ""'SPGG'!AM3:AM139""),MATCH(D73,IMPORTRANGE(""1y0FWgjbB0gVlqn-q5LMJbGIsqOrzru4yowQz67dz2yc"", ""'SPGG'!D3:D139""),0))"),"")</f>
        <v/>
      </c>
      <c r="Z73" s="2"/>
      <c r="AA73" s="2"/>
      <c r="AB73" s="2"/>
      <c r="AC73" s="2"/>
    </row>
    <row r="74" spans="1:29">
      <c r="A74" s="7" t="s">
        <v>199</v>
      </c>
      <c r="B74" s="7" t="s">
        <v>200</v>
      </c>
      <c r="C74" s="1" t="s">
        <v>30</v>
      </c>
      <c r="D74" s="155" t="s">
        <v>219</v>
      </c>
      <c r="E74" s="7" t="s">
        <v>38</v>
      </c>
      <c r="F74" s="9" t="s">
        <v>220</v>
      </c>
      <c r="G74" s="155" t="s">
        <v>213</v>
      </c>
      <c r="H74" s="156" t="s">
        <v>214</v>
      </c>
      <c r="I74" s="7" t="s">
        <v>215</v>
      </c>
      <c r="J74" s="13"/>
      <c r="K74" s="7" t="s">
        <v>216</v>
      </c>
      <c r="L74" s="13"/>
      <c r="M74" s="7" t="s">
        <v>217</v>
      </c>
      <c r="N74" s="1" t="s">
        <v>218</v>
      </c>
      <c r="O74" s="1" t="s">
        <v>218</v>
      </c>
      <c r="P74" s="36">
        <v>131930760</v>
      </c>
      <c r="Q74" s="36">
        <v>131930759.79000001</v>
      </c>
      <c r="R74" s="13"/>
      <c r="S74" s="13"/>
      <c r="T74" s="13"/>
      <c r="U74" s="13"/>
      <c r="V74" s="13"/>
      <c r="W74" s="4"/>
      <c r="X74" s="36">
        <v>131930759.79000001</v>
      </c>
      <c r="Y74" s="178" t="str">
        <f ca="1">IFERROR(__xludf.DUMMYFUNCTION("INDEX(IMPORTRANGE(""1y0FWgjbB0gVlqn-q5LMJbGIsqOrzru4yowQz67dz2yc"", ""'SPGG'!AM3:AM139""),MATCH(D74,IMPORTRANGE(""1y0FWgjbB0gVlqn-q5LMJbGIsqOrzru4yowQz67dz2yc"", ""'SPGG'!D3:D139""),0))"),"")</f>
        <v/>
      </c>
      <c r="Z74" s="2"/>
      <c r="AA74" s="2"/>
      <c r="AB74" s="2"/>
      <c r="AC74" s="2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55" t="s">
        <v>213</v>
      </c>
      <c r="H75" s="156" t="s">
        <v>214</v>
      </c>
      <c r="I75" s="7" t="s">
        <v>215</v>
      </c>
      <c r="J75" s="13"/>
      <c r="K75" s="7" t="s">
        <v>216</v>
      </c>
      <c r="L75" s="13"/>
      <c r="M75" s="7" t="s">
        <v>217</v>
      </c>
      <c r="N75" s="1" t="s">
        <v>218</v>
      </c>
      <c r="O75" s="1" t="s">
        <v>218</v>
      </c>
      <c r="P75" s="467">
        <f t="shared" ref="P75:Q75" si="17">P74/P73</f>
        <v>0.60248461883815507</v>
      </c>
      <c r="Q75" s="467">
        <f t="shared" si="17"/>
        <v>0.60248461787915375</v>
      </c>
      <c r="R75" s="13"/>
      <c r="S75" s="37">
        <v>0.05</v>
      </c>
      <c r="T75" s="13"/>
      <c r="U75" s="37">
        <v>0.05</v>
      </c>
      <c r="V75" s="37">
        <v>0.05</v>
      </c>
      <c r="W75" s="37">
        <v>0.05</v>
      </c>
      <c r="X75" s="467">
        <f>X74/X73</f>
        <v>0.60248461787915375</v>
      </c>
      <c r="Y75" s="179" t="str">
        <f ca="1">IFERROR(__xludf.DUMMYFUNCTION("INDEX(IMPORTRANGE(""1y0FWgjbB0gVlqn-q5LMJbGIsqOrzru4yowQz67dz2yc"", ""'SPGG'!AM3:AM139""),MATCH(D75,IMPORTRANGE(""1y0FWgjbB0gVlqn-q5LMJbGIsqOrzru4yowQz67dz2yc"", ""'SPGG'!D3:D139""),0))"),"")</f>
        <v/>
      </c>
      <c r="Z75" s="2"/>
      <c r="AA75" s="2"/>
      <c r="AB75" s="2"/>
      <c r="AC75" s="2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5">
        <v>0</v>
      </c>
      <c r="Q76" s="5">
        <v>0</v>
      </c>
      <c r="R76" s="1"/>
      <c r="S76" s="1"/>
      <c r="T76" s="1"/>
      <c r="U76" s="1"/>
      <c r="V76" s="1"/>
      <c r="W76" s="2"/>
      <c r="X76" s="5">
        <v>4</v>
      </c>
      <c r="Y76" s="5">
        <f ca="1">IFERROR(__xludf.DUMMYFUNCTION("INDEX(IMPORTRANGE(""1y0FWgjbB0gVlqn-q5LMJbGIsqOrzru4yowQz67dz2yc"", ""'SPGG'!AM3:AM139""),MATCH(D76,IMPORTRANGE(""1y0FWgjbB0gVlqn-q5LMJbGIsqOrzru4yowQz67dz2yc"", ""'SPGG'!D3:D139""),0))"),4)</f>
        <v>4</v>
      </c>
      <c r="Z76" s="2"/>
      <c r="AA76" s="2"/>
      <c r="AB76" s="2"/>
      <c r="AC76" s="2"/>
    </row>
    <row r="77" spans="1:29">
      <c r="A77" s="7" t="s">
        <v>199</v>
      </c>
      <c r="B77" s="7" t="s">
        <v>200</v>
      </c>
      <c r="C77" s="1" t="s">
        <v>30</v>
      </c>
      <c r="D77" s="155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5">
        <v>92</v>
      </c>
      <c r="Q77" s="5">
        <v>242</v>
      </c>
      <c r="R77" s="1"/>
      <c r="S77" s="1"/>
      <c r="T77" s="1"/>
      <c r="U77" s="1"/>
      <c r="V77" s="1"/>
      <c r="W77" s="1"/>
      <c r="X77" s="5">
        <v>125</v>
      </c>
      <c r="Y77" s="5">
        <f ca="1">IFERROR(__xludf.DUMMYFUNCTION("INDEX(IMPORTRANGE(""1y0FWgjbB0gVlqn-q5LMJbGIsqOrzru4yowQz67dz2yc"", ""'SPGG'!AM3:AM139""),MATCH(D77,IMPORTRANGE(""1y0FWgjbB0gVlqn-q5LMJbGIsqOrzru4yowQz67dz2yc"", ""'SPGG'!D3:D139""),0))"),275)</f>
        <v>275</v>
      </c>
      <c r="Z77" s="2"/>
      <c r="AA77" s="2"/>
      <c r="AB77" s="2"/>
      <c r="AC77" s="2"/>
    </row>
    <row r="78" spans="1:29">
      <c r="A78" s="7" t="s">
        <v>199</v>
      </c>
      <c r="B78" s="7" t="s">
        <v>200</v>
      </c>
      <c r="C78" s="1" t="s">
        <v>36</v>
      </c>
      <c r="D78" s="155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f t="shared" ref="P78:Q78" si="18">P76+P77</f>
        <v>92</v>
      </c>
      <c r="Q78" s="12">
        <f t="shared" si="18"/>
        <v>242</v>
      </c>
      <c r="R78" s="13">
        <v>240</v>
      </c>
      <c r="S78" s="13">
        <v>80</v>
      </c>
      <c r="T78" s="13">
        <v>140</v>
      </c>
      <c r="U78" s="13">
        <v>80</v>
      </c>
      <c r="V78" s="13">
        <v>120</v>
      </c>
      <c r="W78" s="4">
        <v>500</v>
      </c>
      <c r="X78" s="12">
        <f>X76+X77</f>
        <v>129</v>
      </c>
      <c r="Y78" s="12">
        <f ca="1">IFERROR(__xludf.DUMMYFUNCTION("INDEX(IMPORTRANGE(""1y0FWgjbB0gVlqn-q5LMJbGIsqOrzru4yowQz67dz2yc"", ""'SPGG'!AM3:AM139""),MATCH(D78,IMPORTRANGE(""1y0FWgjbB0gVlqn-q5LMJbGIsqOrzru4yowQz67dz2yc"", ""'SPGG'!D3:D139""),0))"),279)</f>
        <v>279</v>
      </c>
      <c r="Z78" s="2"/>
      <c r="AA78" s="2"/>
      <c r="AB78" s="2"/>
      <c r="AC78" s="2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35</v>
      </c>
      <c r="Q79" s="12">
        <v>74</v>
      </c>
      <c r="R79" s="13"/>
      <c r="S79" s="13"/>
      <c r="T79" s="13"/>
      <c r="U79" s="13"/>
      <c r="V79" s="13"/>
      <c r="W79" s="4"/>
      <c r="X79" s="12">
        <v>33</v>
      </c>
      <c r="Y79" s="12">
        <f ca="1">IFERROR(__xludf.DUMMYFUNCTION("INDEX(IMPORTRANGE(""1y0FWgjbB0gVlqn-q5LMJbGIsqOrzru4yowQz67dz2yc"", ""'SPGG'!AM3:AM139""),MATCH(D79,IMPORTRANGE(""1y0FWgjbB0gVlqn-q5LMJbGIsqOrzru4yowQz67dz2yc"", ""'SPGG'!D3:D139""),0))"),66)</f>
        <v>66</v>
      </c>
      <c r="Z79" s="2"/>
      <c r="AA79" s="2"/>
      <c r="AB79" s="2"/>
      <c r="AC79" s="2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10</v>
      </c>
      <c r="Q80" s="12">
        <v>23</v>
      </c>
      <c r="R80" s="13"/>
      <c r="S80" s="13"/>
      <c r="T80" s="13"/>
      <c r="U80" s="13"/>
      <c r="V80" s="13"/>
      <c r="W80" s="4"/>
      <c r="X80" s="12">
        <v>21</v>
      </c>
      <c r="Y80" s="12">
        <f ca="1">IFERROR(__xludf.DUMMYFUNCTION("INDEX(IMPORTRANGE(""1y0FWgjbB0gVlqn-q5LMJbGIsqOrzru4yowQz67dz2yc"", ""'SPGG'!AM3:AM139""),MATCH(D80,IMPORTRANGE(""1y0FWgjbB0gVlqn-q5LMJbGIsqOrzru4yowQz67dz2yc"", ""'SPGG'!D3:D139""),0))"),32)</f>
        <v>32</v>
      </c>
      <c r="Z80" s="2"/>
      <c r="AA80" s="2"/>
      <c r="AB80" s="2"/>
      <c r="AC80" s="2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2730</v>
      </c>
      <c r="Q81" s="12">
        <v>4964</v>
      </c>
      <c r="R81" s="13"/>
      <c r="S81" s="13"/>
      <c r="T81" s="13"/>
      <c r="U81" s="13"/>
      <c r="V81" s="13"/>
      <c r="W81" s="4"/>
      <c r="X81" s="12">
        <v>2667</v>
      </c>
      <c r="Y81" s="12">
        <f ca="1">IFERROR(__xludf.DUMMYFUNCTION("INDEX(IMPORTRANGE(""1y0FWgjbB0gVlqn-q5LMJbGIsqOrzru4yowQz67dz2yc"", ""'SPGG'!AM3:AM139""),MATCH(D81,IMPORTRANGE(""1y0FWgjbB0gVlqn-q5LMJbGIsqOrzru4yowQz67dz2yc"", ""'SPGG'!D3:D139""),0))"),5494)</f>
        <v>5494</v>
      </c>
      <c r="Z81" s="2"/>
      <c r="AA81" s="2"/>
      <c r="AB81" s="2"/>
      <c r="AC81" s="2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112</v>
      </c>
      <c r="Q82" s="12">
        <v>227</v>
      </c>
      <c r="R82" s="13"/>
      <c r="S82" s="13"/>
      <c r="T82" s="13"/>
      <c r="U82" s="13"/>
      <c r="V82" s="13"/>
      <c r="W82" s="4"/>
      <c r="X82" s="12">
        <v>58</v>
      </c>
      <c r="Y82" s="12">
        <f ca="1">IFERROR(__xludf.DUMMYFUNCTION("INDEX(IMPORTRANGE(""1y0FWgjbB0gVlqn-q5LMJbGIsqOrzru4yowQz67dz2yc"", ""'SPGG'!AM3:AM139""),MATCH(D82,IMPORTRANGE(""1y0FWgjbB0gVlqn-q5LMJbGIsqOrzru4yowQz67dz2yc"", ""'SPGG'!D3:D139""),0))"),218)</f>
        <v>218</v>
      </c>
      <c r="Z82" s="2"/>
      <c r="AA82" s="2"/>
      <c r="AB82" s="2"/>
      <c r="AC82" s="2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602</v>
      </c>
      <c r="Q83" s="12">
        <v>1060</v>
      </c>
      <c r="R83" s="13"/>
      <c r="S83" s="13"/>
      <c r="T83" s="13"/>
      <c r="U83" s="13"/>
      <c r="V83" s="13"/>
      <c r="W83" s="4"/>
      <c r="X83" s="12">
        <v>0</v>
      </c>
      <c r="Y83" s="12">
        <f ca="1">IFERROR(__xludf.DUMMYFUNCTION("INDEX(IMPORTRANGE(""1y0FWgjbB0gVlqn-q5LMJbGIsqOrzru4yowQz67dz2yc"", ""'SPGG'!AM3:AM139""),MATCH(D83,IMPORTRANGE(""1y0FWgjbB0gVlqn-q5LMJbGIsqOrzru4yowQz67dz2yc"", ""'SPGG'!D3:D139""),0))"),0)</f>
        <v>0</v>
      </c>
      <c r="Z83" s="2"/>
      <c r="AA83" s="2"/>
      <c r="AB83" s="2"/>
      <c r="AC83" s="2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f t="shared" ref="P84:Q84" si="19">SUM(P79:P83)</f>
        <v>3489</v>
      </c>
      <c r="Q84" s="12">
        <f t="shared" si="19"/>
        <v>6348</v>
      </c>
      <c r="R84" s="28">
        <v>6317</v>
      </c>
      <c r="S84" s="28">
        <v>3472</v>
      </c>
      <c r="T84" s="28">
        <v>6317</v>
      </c>
      <c r="U84" s="28">
        <v>3472</v>
      </c>
      <c r="V84" s="28">
        <v>6317</v>
      </c>
      <c r="W84" s="12">
        <v>6285</v>
      </c>
      <c r="X84" s="12">
        <f>SUM(X79:X83)</f>
        <v>2779</v>
      </c>
      <c r="Y84" s="12">
        <f ca="1">IFERROR(__xludf.DUMMYFUNCTION("INDEX(IMPORTRANGE(""1y0FWgjbB0gVlqn-q5LMJbGIsqOrzru4yowQz67dz2yc"", ""'SPGG'!AM3:AM139""),MATCH(D84,IMPORTRANGE(""1y0FWgjbB0gVlqn-q5LMJbGIsqOrzru4yowQz67dz2yc"", ""'SPGG'!D3:D139""),0))"),5810)</f>
        <v>5810</v>
      </c>
      <c r="Z84" s="2"/>
      <c r="AA84" s="2"/>
      <c r="AB84" s="2"/>
      <c r="AC84" s="2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116</v>
      </c>
      <c r="Q85" s="12">
        <v>201</v>
      </c>
      <c r="R85" s="250">
        <v>74</v>
      </c>
      <c r="S85" s="250">
        <v>37</v>
      </c>
      <c r="T85" s="250">
        <v>74</v>
      </c>
      <c r="U85" s="250">
        <v>36</v>
      </c>
      <c r="V85" s="250">
        <v>73</v>
      </c>
      <c r="W85" s="12">
        <v>221</v>
      </c>
      <c r="X85" s="493">
        <v>35</v>
      </c>
      <c r="Y85" s="12">
        <f ca="1">IFERROR(__xludf.DUMMYFUNCTION("INDEX(IMPORTRANGE(""1y0FWgjbB0gVlqn-q5LMJbGIsqOrzru4yowQz67dz2yc"", ""'SPGG'!AM3:AM139""),MATCH(D85,IMPORTRANGE(""1y0FWgjbB0gVlqn-q5LMJbGIsqOrzru4yowQz67dz2yc"", ""'SPGG'!D3:D139""),0))"),106)</f>
        <v>106</v>
      </c>
      <c r="Z85" s="252"/>
      <c r="AA85" s="252"/>
      <c r="AB85" s="252"/>
      <c r="AC85" s="252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4"/>
      <c r="Q86" s="2">
        <v>37</v>
      </c>
      <c r="R86" s="1">
        <v>11</v>
      </c>
      <c r="S86" s="1">
        <v>11</v>
      </c>
      <c r="T86" s="1">
        <v>12</v>
      </c>
      <c r="U86" s="1">
        <v>13</v>
      </c>
      <c r="V86" s="1">
        <v>15</v>
      </c>
      <c r="W86" s="12">
        <v>15</v>
      </c>
      <c r="X86" s="12">
        <v>51</v>
      </c>
      <c r="Y86" s="12">
        <f ca="1">IFERROR(__xludf.DUMMYFUNCTION("INDEX(IMPORTRANGE(""1y0FWgjbB0gVlqn-q5LMJbGIsqOrzru4yowQz67dz2yc"", ""'SPGG'!AM3:AM139""),MATCH(D86,IMPORTRANGE(""1y0FWgjbB0gVlqn-q5LMJbGIsqOrzru4yowQz67dz2yc"", ""'SPGG'!D3:D139""),0))"),31)</f>
        <v>31</v>
      </c>
      <c r="Z86" s="2"/>
      <c r="AA86" s="2"/>
      <c r="AB86" s="2"/>
      <c r="AC86" s="2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98.4</v>
      </c>
      <c r="Q87" s="12">
        <v>98.4</v>
      </c>
      <c r="R87" s="1">
        <v>100</v>
      </c>
      <c r="S87" s="1">
        <v>100</v>
      </c>
      <c r="T87" s="1">
        <v>100</v>
      </c>
      <c r="U87" s="1">
        <v>100</v>
      </c>
      <c r="V87" s="1">
        <v>100</v>
      </c>
      <c r="W87" s="2">
        <v>100</v>
      </c>
      <c r="X87" s="12">
        <v>96.5</v>
      </c>
      <c r="Y87" s="12">
        <f ca="1">IFERROR(__xludf.DUMMYFUNCTION("INDEX(IMPORTRANGE(""1y0FWgjbB0gVlqn-q5LMJbGIsqOrzru4yowQz67dz2yc"", ""'SPGG'!AM3:AM139""),MATCH(D87,IMPORTRANGE(""1y0FWgjbB0gVlqn-q5LMJbGIsqOrzru4yowQz67dz2yc"", ""'SPGG'!D3:D139""),0))"),100)</f>
        <v>100</v>
      </c>
      <c r="Z87" s="252"/>
      <c r="AA87" s="252"/>
      <c r="AB87" s="252"/>
      <c r="AC87" s="252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12">
        <v>0</v>
      </c>
      <c r="R88" s="1">
        <v>4</v>
      </c>
      <c r="S88" s="1">
        <v>4</v>
      </c>
      <c r="T88" s="1">
        <v>4</v>
      </c>
      <c r="U88" s="1">
        <v>4</v>
      </c>
      <c r="V88" s="1">
        <v>4</v>
      </c>
      <c r="W88" s="2">
        <v>4</v>
      </c>
      <c r="X88" s="12">
        <v>0</v>
      </c>
      <c r="Y88" s="12">
        <f ca="1">IFERROR(__xludf.DUMMYFUNCTION("INDEX(IMPORTRANGE(""1y0FWgjbB0gVlqn-q5LMJbGIsqOrzru4yowQz67dz2yc"", ""'SPGG'!AM3:AM139""),MATCH(D88,IMPORTRANGE(""1y0FWgjbB0gVlqn-q5LMJbGIsqOrzru4yowQz67dz2yc"", ""'SPGG'!D3:D139""),0))"),4)</f>
        <v>4</v>
      </c>
      <c r="Z88" s="252"/>
      <c r="AA88" s="252"/>
      <c r="AB88" s="252"/>
      <c r="AC88" s="252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157"/>
      <c r="I89" s="11">
        <v>44651</v>
      </c>
      <c r="J89" s="181"/>
      <c r="K89" s="11">
        <v>45016</v>
      </c>
      <c r="L89" s="181"/>
      <c r="M89" s="11">
        <v>45382</v>
      </c>
      <c r="N89" s="181"/>
      <c r="O89" s="11">
        <v>45565</v>
      </c>
      <c r="P89" s="484"/>
      <c r="Q89" s="484"/>
      <c r="R89" s="181"/>
      <c r="S89" s="181"/>
      <c r="T89" s="181"/>
      <c r="U89" s="181"/>
      <c r="V89" s="181"/>
      <c r="W89" s="182"/>
      <c r="X89" s="2">
        <v>9</v>
      </c>
      <c r="Y89" s="2">
        <f ca="1">IFERROR(__xludf.DUMMYFUNCTION("INDEX(IMPORTRANGE(""1y0FWgjbB0gVlqn-q5LMJbGIsqOrzru4yowQz67dz2yc"", ""'SPGG'!AM3:AM139""),MATCH(D89,IMPORTRANGE(""1y0FWgjbB0gVlqn-q5LMJbGIsqOrzru4yowQz67dz2yc"", ""'SPGG'!D3:D139""),0))"),10)</f>
        <v>10</v>
      </c>
      <c r="Z89" s="252"/>
      <c r="AA89" s="252"/>
      <c r="AB89" s="252"/>
      <c r="AC89" s="252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158"/>
      <c r="I90" s="11">
        <v>44651</v>
      </c>
      <c r="J90" s="181"/>
      <c r="K90" s="11">
        <v>45016</v>
      </c>
      <c r="L90" s="181"/>
      <c r="M90" s="11">
        <v>45382</v>
      </c>
      <c r="N90" s="181"/>
      <c r="O90" s="11">
        <v>45565</v>
      </c>
      <c r="P90" s="484"/>
      <c r="Q90" s="484"/>
      <c r="R90" s="181"/>
      <c r="S90" s="181"/>
      <c r="T90" s="181"/>
      <c r="U90" s="181"/>
      <c r="V90" s="181"/>
      <c r="W90" s="182"/>
      <c r="X90" s="2">
        <v>15</v>
      </c>
      <c r="Y90" s="2">
        <f ca="1">IFERROR(__xludf.DUMMYFUNCTION("INDEX(IMPORTRANGE(""1y0FWgjbB0gVlqn-q5LMJbGIsqOrzru4yowQz67dz2yc"", ""'SPGG'!AM3:AM139""),MATCH(D90,IMPORTRANGE(""1y0FWgjbB0gVlqn-q5LMJbGIsqOrzru4yowQz67dz2yc"", ""'SPGG'!D3:D139""),0))"),13)</f>
        <v>13</v>
      </c>
      <c r="Z90" s="252"/>
      <c r="AA90" s="252"/>
      <c r="AB90" s="252"/>
      <c r="AC90" s="252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158"/>
      <c r="I91" s="11">
        <v>44651</v>
      </c>
      <c r="J91" s="181"/>
      <c r="K91" s="11">
        <v>45016</v>
      </c>
      <c r="L91" s="181"/>
      <c r="M91" s="11">
        <v>45382</v>
      </c>
      <c r="N91" s="181"/>
      <c r="O91" s="11">
        <v>45565</v>
      </c>
      <c r="P91" s="484"/>
      <c r="Q91" s="484"/>
      <c r="R91" s="181"/>
      <c r="S91" s="181"/>
      <c r="T91" s="181"/>
      <c r="U91" s="181"/>
      <c r="V91" s="181"/>
      <c r="W91" s="182"/>
      <c r="X91" s="2" t="s">
        <v>447</v>
      </c>
      <c r="Y91" s="2">
        <f ca="1">IFERROR(__xludf.DUMMYFUNCTION("INDEX(IMPORTRANGE(""1y0FWgjbB0gVlqn-q5LMJbGIsqOrzru4yowQz67dz2yc"", ""'SPGG'!AM3:AM139""),MATCH(D91,IMPORTRANGE(""1y0FWgjbB0gVlqn-q5LMJbGIsqOrzru4yowQz67dz2yc"", ""'SPGG'!D3:D139""),0))"),0)</f>
        <v>0</v>
      </c>
      <c r="Z91" s="252"/>
      <c r="AA91" s="252"/>
      <c r="AB91" s="252"/>
      <c r="AC91" s="252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158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484"/>
      <c r="Q92" s="484"/>
      <c r="R92" s="181"/>
      <c r="S92" s="181"/>
      <c r="T92" s="181"/>
      <c r="U92" s="181"/>
      <c r="V92" s="181"/>
      <c r="W92" s="182"/>
      <c r="X92" s="2">
        <v>0</v>
      </c>
      <c r="Y92" s="2">
        <f ca="1">IFERROR(__xludf.DUMMYFUNCTION("INDEX(IMPORTRANGE(""1y0FWgjbB0gVlqn-q5LMJbGIsqOrzru4yowQz67dz2yc"", ""'SPGG'!AM3:AM139""),MATCH(D92,IMPORTRANGE(""1y0FWgjbB0gVlqn-q5LMJbGIsqOrzru4yowQz67dz2yc"", ""'SPGG'!D3:D139""),0))"),0)</f>
        <v>0</v>
      </c>
      <c r="Z92" s="252"/>
      <c r="AA92" s="252"/>
      <c r="AB92" s="252"/>
      <c r="AC92" s="252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158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484"/>
      <c r="Q93" s="484"/>
      <c r="R93" s="181"/>
      <c r="S93" s="181"/>
      <c r="T93" s="181"/>
      <c r="U93" s="181"/>
      <c r="V93" s="181"/>
      <c r="W93" s="182"/>
      <c r="X93" s="2">
        <v>24</v>
      </c>
      <c r="Y93" s="2">
        <f ca="1">IFERROR(__xludf.DUMMYFUNCTION("INDEX(IMPORTRANGE(""1y0FWgjbB0gVlqn-q5LMJbGIsqOrzru4yowQz67dz2yc"", ""'SPGG'!AM3:AM139""),MATCH(D93,IMPORTRANGE(""1y0FWgjbB0gVlqn-q5LMJbGIsqOrzru4yowQz67dz2yc"", ""'SPGG'!D3:D139""),0))"),26)</f>
        <v>26</v>
      </c>
      <c r="Z93" s="252"/>
      <c r="AA93" s="252"/>
      <c r="AB93" s="252"/>
      <c r="AC93" s="252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158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484"/>
      <c r="Q94" s="484"/>
      <c r="R94" s="181"/>
      <c r="S94" s="181"/>
      <c r="T94" s="181"/>
      <c r="U94" s="181"/>
      <c r="V94" s="181"/>
      <c r="W94" s="182"/>
      <c r="X94" s="2">
        <v>58</v>
      </c>
      <c r="Y94" s="2">
        <f ca="1">IFERROR(__xludf.DUMMYFUNCTION("INDEX(IMPORTRANGE(""1y0FWgjbB0gVlqn-q5LMJbGIsqOrzru4yowQz67dz2yc"", ""'SPGG'!AM3:AM139""),MATCH(D94,IMPORTRANGE(""1y0FWgjbB0gVlqn-q5LMJbGIsqOrzru4yowQz67dz2yc"", ""'SPGG'!D3:D139""),0))"),57)</f>
        <v>57</v>
      </c>
      <c r="Z94" s="252"/>
      <c r="AA94" s="252"/>
      <c r="AB94" s="252"/>
      <c r="AC94" s="252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0">
        <v>44469</v>
      </c>
      <c r="H95" s="158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484"/>
      <c r="Q95" s="484"/>
      <c r="R95" s="181"/>
      <c r="S95" s="181"/>
      <c r="T95" s="181"/>
      <c r="U95" s="181"/>
      <c r="V95" s="181"/>
      <c r="W95" s="182"/>
      <c r="X95" s="15">
        <f>SUM(X89,X91,X93)/SUM(X90,X92,X94)</f>
        <v>0.45205479452054792</v>
      </c>
      <c r="Y95" s="15">
        <f ca="1">IFERROR(__xludf.DUMMYFUNCTION("INDEX(IMPORTRANGE(""1y0FWgjbB0gVlqn-q5LMJbGIsqOrzru4yowQz67dz2yc"", ""'SPGG'!AM3:AM139""),MATCH(D95,IMPORTRANGE(""1y0FWgjbB0gVlqn-q5LMJbGIsqOrzru4yowQz67dz2yc"", ""'SPGG'!D3:D139""),0))"),0.514285714285714)</f>
        <v>0.51428571428571401</v>
      </c>
      <c r="Z95" s="252"/>
      <c r="AA95" s="252"/>
      <c r="AB95" s="252"/>
      <c r="AC95" s="252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59" t="s">
        <v>213</v>
      </c>
      <c r="H96" s="156" t="s">
        <v>214</v>
      </c>
      <c r="I96" s="7" t="s">
        <v>215</v>
      </c>
      <c r="J96" s="13"/>
      <c r="K96" s="7" t="s">
        <v>216</v>
      </c>
      <c r="L96" s="13"/>
      <c r="M96" s="7" t="s">
        <v>217</v>
      </c>
      <c r="N96" s="1" t="s">
        <v>218</v>
      </c>
      <c r="O96" s="1" t="s">
        <v>218</v>
      </c>
      <c r="P96" s="494">
        <v>1461896000</v>
      </c>
      <c r="Q96" s="494">
        <v>1461896000</v>
      </c>
      <c r="R96" s="13"/>
      <c r="S96" s="13"/>
      <c r="T96" s="13"/>
      <c r="U96" s="13"/>
      <c r="V96" s="13"/>
      <c r="W96" s="4"/>
      <c r="X96" s="494">
        <v>1461896000</v>
      </c>
      <c r="Y96" s="495" t="str">
        <f ca="1">IFERROR(__xludf.DUMMYFUNCTION("INDEX(IMPORTRANGE(""1y0FWgjbB0gVlqn-q5LMJbGIsqOrzru4yowQz67dz2yc"", ""'SPGG'!AM3:AM139""),MATCH(D96,IMPORTRANGE(""1y0FWgjbB0gVlqn-q5LMJbGIsqOrzru4yowQz67dz2yc"", ""'SPGG'!D3:D139""),0))"),"")</f>
        <v/>
      </c>
      <c r="Z96" s="2"/>
      <c r="AA96" s="2"/>
      <c r="AB96" s="2"/>
      <c r="AC96" s="2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55" t="s">
        <v>213</v>
      </c>
      <c r="H97" s="156" t="s">
        <v>214</v>
      </c>
      <c r="I97" s="7" t="s">
        <v>215</v>
      </c>
      <c r="J97" s="13"/>
      <c r="K97" s="7" t="s">
        <v>216</v>
      </c>
      <c r="L97" s="13"/>
      <c r="M97" s="7" t="s">
        <v>217</v>
      </c>
      <c r="N97" s="1" t="s">
        <v>218</v>
      </c>
      <c r="O97" s="1" t="s">
        <v>218</v>
      </c>
      <c r="P97" s="494">
        <v>3092558000</v>
      </c>
      <c r="Q97" s="494">
        <v>3092558000</v>
      </c>
      <c r="R97" s="13"/>
      <c r="S97" s="13"/>
      <c r="T97" s="13"/>
      <c r="U97" s="13"/>
      <c r="V97" s="13"/>
      <c r="W97" s="4"/>
      <c r="X97" s="494">
        <v>3092558000</v>
      </c>
      <c r="Y97" s="495" t="str">
        <f ca="1">IFERROR(__xludf.DUMMYFUNCTION("INDEX(IMPORTRANGE(""1y0FWgjbB0gVlqn-q5LMJbGIsqOrzru4yowQz67dz2yc"", ""'SPGG'!AM3:AM139""),MATCH(D97,IMPORTRANGE(""1y0FWgjbB0gVlqn-q5LMJbGIsqOrzru4yowQz67dz2yc"", ""'SPGG'!D3:D139""),0))"),"")</f>
        <v/>
      </c>
      <c r="Z97" s="2"/>
      <c r="AA97" s="2"/>
      <c r="AB97" s="2"/>
      <c r="AC97" s="2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55" t="s">
        <v>213</v>
      </c>
      <c r="H98" s="156" t="s">
        <v>214</v>
      </c>
      <c r="I98" s="7" t="s">
        <v>215</v>
      </c>
      <c r="J98" s="13"/>
      <c r="K98" s="7" t="s">
        <v>216</v>
      </c>
      <c r="L98" s="13"/>
      <c r="M98" s="7" t="s">
        <v>217</v>
      </c>
      <c r="N98" s="1" t="s">
        <v>218</v>
      </c>
      <c r="O98" s="1" t="s">
        <v>218</v>
      </c>
      <c r="P98" s="15">
        <f t="shared" ref="P98:Q98" si="20">P96/P97</f>
        <v>0.47271417383279474</v>
      </c>
      <c r="Q98" s="15">
        <f t="shared" si="20"/>
        <v>0.47271417383279474</v>
      </c>
      <c r="R98" s="1"/>
      <c r="S98" s="1"/>
      <c r="T98" s="1"/>
      <c r="U98" s="1"/>
      <c r="V98" s="1"/>
      <c r="W98" s="496">
        <v>0.48</v>
      </c>
      <c r="X98" s="15">
        <f>X96/X97</f>
        <v>0.47271417383279474</v>
      </c>
      <c r="Y98" s="179" t="str">
        <f ca="1">IFERROR(__xludf.DUMMYFUNCTION("INDEX(IMPORTRANGE(""1y0FWgjbB0gVlqn-q5LMJbGIsqOrzru4yowQz67dz2yc"", ""'SPGG'!AM3:AM139""),MATCH(D98,IMPORTRANGE(""1y0FWgjbB0gVlqn-q5LMJbGIsqOrzru4yowQz67dz2yc"", ""'SPGG'!D3:D139""),0))"),"")</f>
        <v/>
      </c>
      <c r="Z98" s="2"/>
      <c r="AA98" s="2"/>
      <c r="AB98" s="2"/>
      <c r="AC98" s="2"/>
    </row>
    <row r="99" spans="1:29">
      <c r="A99" s="7" t="s">
        <v>275</v>
      </c>
      <c r="B99" s="7" t="s">
        <v>284</v>
      </c>
      <c r="C99" s="1" t="s">
        <v>30</v>
      </c>
      <c r="D99" s="155" t="s">
        <v>285</v>
      </c>
      <c r="E99" s="7" t="s">
        <v>278</v>
      </c>
      <c r="F99" s="9" t="s">
        <v>286</v>
      </c>
      <c r="G99" s="155" t="s">
        <v>213</v>
      </c>
      <c r="H99" s="156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36">
        <v>2295269000</v>
      </c>
      <c r="Q99" s="36">
        <v>2295269000</v>
      </c>
      <c r="R99" s="13"/>
      <c r="S99" s="13"/>
      <c r="T99" s="13"/>
      <c r="U99" s="13"/>
      <c r="V99" s="13"/>
      <c r="W99" s="4"/>
      <c r="X99" s="36">
        <v>2295269000</v>
      </c>
      <c r="Y99" s="178" t="str">
        <f ca="1">IFERROR(__xludf.DUMMYFUNCTION("INDEX(IMPORTRANGE(""1y0FWgjbB0gVlqn-q5LMJbGIsqOrzru4yowQz67dz2yc"", ""'SPGG'!AM3:AM139""),MATCH(D99,IMPORTRANGE(""1y0FWgjbB0gVlqn-q5LMJbGIsqOrzru4yowQz67dz2yc"", ""'SPGG'!D3:D139""),0))"),"")</f>
        <v/>
      </c>
      <c r="Z99" s="2"/>
      <c r="AA99" s="2"/>
      <c r="AB99" s="2"/>
      <c r="AC99" s="2"/>
    </row>
    <row r="100" spans="1:29">
      <c r="A100" s="7" t="s">
        <v>275</v>
      </c>
      <c r="B100" s="7" t="s">
        <v>276</v>
      </c>
      <c r="C100" s="1" t="s">
        <v>36</v>
      </c>
      <c r="D100" s="155" t="s">
        <v>287</v>
      </c>
      <c r="E100" s="7" t="s">
        <v>278</v>
      </c>
      <c r="F100" s="9" t="s">
        <v>288</v>
      </c>
      <c r="G100" s="155" t="s">
        <v>213</v>
      </c>
      <c r="H100" s="156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15">
        <f t="shared" ref="P100:Q100" si="21">P96/P99</f>
        <v>0.63691706723699926</v>
      </c>
      <c r="Q100" s="15">
        <f t="shared" si="21"/>
        <v>0.63691706723699926</v>
      </c>
      <c r="R100" s="1"/>
      <c r="S100" s="1"/>
      <c r="T100" s="1"/>
      <c r="U100" s="1"/>
      <c r="V100" s="1"/>
      <c r="W100" s="497">
        <v>0.68</v>
      </c>
      <c r="X100" s="15">
        <f>X96/X99</f>
        <v>0.63691706723699926</v>
      </c>
      <c r="Y100" s="179" t="str">
        <f ca="1">IFERROR(__xludf.DUMMYFUNCTION("INDEX(IMPORTRANGE(""1y0FWgjbB0gVlqn-q5LMJbGIsqOrzru4yowQz67dz2yc"", ""'SPGG'!AM3:AM139""),MATCH(D100,IMPORTRANGE(""1y0FWgjbB0gVlqn-q5LMJbGIsqOrzru4yowQz67dz2yc"", ""'SPGG'!D3:D139""),0))"),"")</f>
        <v/>
      </c>
      <c r="Z100" s="2"/>
      <c r="AA100" s="2"/>
      <c r="AB100" s="2"/>
      <c r="AC100" s="2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55" t="s">
        <v>254</v>
      </c>
      <c r="H101" s="155" t="s">
        <v>254</v>
      </c>
      <c r="I101" s="7" t="s">
        <v>254</v>
      </c>
      <c r="J101" s="13"/>
      <c r="K101" s="7" t="s">
        <v>255</v>
      </c>
      <c r="L101" s="13"/>
      <c r="M101" s="7" t="s">
        <v>256</v>
      </c>
      <c r="N101" s="260">
        <v>45536</v>
      </c>
      <c r="O101" s="1" t="s">
        <v>218</v>
      </c>
      <c r="P101" s="5">
        <v>66960</v>
      </c>
      <c r="Q101" s="5">
        <v>66960</v>
      </c>
      <c r="R101" s="13"/>
      <c r="S101" s="13"/>
      <c r="T101" s="13"/>
      <c r="U101" s="13"/>
      <c r="V101" s="13"/>
      <c r="W101" s="4"/>
      <c r="X101" s="5">
        <v>66960</v>
      </c>
      <c r="Y101" s="498" t="str">
        <f ca="1">IFERROR(__xludf.DUMMYFUNCTION("INDEX(IMPORTRANGE(""1y0FWgjbB0gVlqn-q5LMJbGIsqOrzru4yowQz67dz2yc"", ""'SPGG'!AM3:AM139""),MATCH(D101,IMPORTRANGE(""1y0FWgjbB0gVlqn-q5LMJbGIsqOrzru4yowQz67dz2yc"", ""'SPGG'!D3:D139""),0))"),"")</f>
        <v/>
      </c>
      <c r="Z101" s="2"/>
      <c r="AA101" s="2"/>
      <c r="AB101" s="2"/>
      <c r="AC101" s="2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55" t="s">
        <v>213</v>
      </c>
      <c r="H102" s="156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5">
        <v>53789</v>
      </c>
      <c r="Q102" s="5">
        <v>53789</v>
      </c>
      <c r="R102" s="1"/>
      <c r="S102" s="1"/>
      <c r="T102" s="1"/>
      <c r="U102" s="1"/>
      <c r="V102" s="1"/>
      <c r="W102" s="2"/>
      <c r="X102" s="5">
        <v>53789</v>
      </c>
      <c r="Y102" s="498" t="str">
        <f ca="1">IFERROR(__xludf.DUMMYFUNCTION("INDEX(IMPORTRANGE(""1y0FWgjbB0gVlqn-q5LMJbGIsqOrzru4yowQz67dz2yc"", ""'SPGG'!AM3:AM139""),MATCH(D102,IMPORTRANGE(""1y0FWgjbB0gVlqn-q5LMJbGIsqOrzru4yowQz67dz2yc"", ""'SPGG'!D3:D139""),0))"),"")</f>
        <v/>
      </c>
      <c r="Z102" s="2"/>
      <c r="AA102" s="2"/>
      <c r="AB102" s="2"/>
      <c r="AC102" s="2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55" t="s">
        <v>213</v>
      </c>
      <c r="H103" s="156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2">P102/P101</f>
        <v>0.80330047789725212</v>
      </c>
      <c r="Q103" s="15">
        <f t="shared" si="22"/>
        <v>0.80330047789725212</v>
      </c>
      <c r="R103" s="1"/>
      <c r="S103" s="1"/>
      <c r="T103" s="1"/>
      <c r="U103" s="1"/>
      <c r="V103" s="1"/>
      <c r="W103" s="2"/>
      <c r="X103" s="15">
        <f>X102/X101</f>
        <v>0.80330047789725212</v>
      </c>
      <c r="Y103" s="179" t="str">
        <f ca="1">IFERROR(__xludf.DUMMYFUNCTION("INDEX(IMPORTRANGE(""1y0FWgjbB0gVlqn-q5LMJbGIsqOrzru4yowQz67dz2yc"", ""'SPGG'!AM3:AM139""),MATCH(D103,IMPORTRANGE(""1y0FWgjbB0gVlqn-q5LMJbGIsqOrzru4yowQz67dz2yc"", ""'SPGG'!D3:D139""),0))"),"")</f>
        <v/>
      </c>
      <c r="Z103" s="2"/>
      <c r="AA103" s="2"/>
      <c r="AB103" s="2"/>
      <c r="AC103" s="2"/>
    </row>
    <row r="104" spans="1:29">
      <c r="A104" s="155" t="s">
        <v>275</v>
      </c>
      <c r="B104" s="155" t="s">
        <v>276</v>
      </c>
      <c r="C104" s="155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290"/>
      <c r="K104" s="155" t="s">
        <v>216</v>
      </c>
      <c r="L104" s="290"/>
      <c r="M104" s="155" t="s">
        <v>217</v>
      </c>
      <c r="N104" s="156" t="s">
        <v>218</v>
      </c>
      <c r="O104" s="156" t="s">
        <v>218</v>
      </c>
      <c r="P104" s="36"/>
      <c r="Q104" s="36"/>
      <c r="R104" s="1"/>
      <c r="S104" s="1"/>
      <c r="T104" s="1"/>
      <c r="U104" s="1"/>
      <c r="V104" s="1"/>
      <c r="W104" s="499"/>
      <c r="X104" s="500"/>
      <c r="Y104" s="178" t="str">
        <f ca="1">IFERROR(__xludf.DUMMYFUNCTION("INDEX(IMPORTRANGE(""1y0FWgjbB0gVlqn-q5LMJbGIsqOrzru4yowQz67dz2yc"", ""'SPGG'!AM3:AM139""),MATCH(D104,IMPORTRANGE(""1y0FWgjbB0gVlqn-q5LMJbGIsqOrzru4yowQz67dz2yc"", ""'SPGG'!D3:D139""),0))"),"")</f>
        <v/>
      </c>
      <c r="Z104" s="2"/>
      <c r="AA104" s="2"/>
      <c r="AB104" s="2"/>
      <c r="AC104" s="2"/>
    </row>
    <row r="105" spans="1:29">
      <c r="A105" s="155" t="s">
        <v>275</v>
      </c>
      <c r="B105" s="155" t="s">
        <v>276</v>
      </c>
      <c r="C105" s="155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290"/>
      <c r="K105" s="155" t="s">
        <v>216</v>
      </c>
      <c r="L105" s="290"/>
      <c r="M105" s="155" t="s">
        <v>217</v>
      </c>
      <c r="N105" s="156" t="s">
        <v>218</v>
      </c>
      <c r="O105" s="156" t="s">
        <v>218</v>
      </c>
      <c r="P105" s="36">
        <v>846769779</v>
      </c>
      <c r="Q105" s="36">
        <v>846769779</v>
      </c>
      <c r="R105" s="1"/>
      <c r="S105" s="1"/>
      <c r="T105" s="1"/>
      <c r="U105" s="1"/>
      <c r="V105" s="1"/>
      <c r="W105" s="499">
        <v>880000000</v>
      </c>
      <c r="X105" s="500">
        <v>846769779</v>
      </c>
      <c r="Y105" s="178" t="str">
        <f ca="1">IFERROR(__xludf.DUMMYFUNCTION("INDEX(IMPORTRANGE(""1y0FWgjbB0gVlqn-q5LMJbGIsqOrzru4yowQz67dz2yc"", ""'SPGG'!AM3:AM139""),MATCH(D105,IMPORTRANGE(""1y0FWgjbB0gVlqn-q5LMJbGIsqOrzru4yowQz67dz2yc"", ""'SPGG'!D3:D139""),0))"),"")</f>
        <v/>
      </c>
      <c r="Z105" s="2"/>
      <c r="AA105" s="2"/>
      <c r="AB105" s="2"/>
      <c r="AC105" s="2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55" t="s">
        <v>213</v>
      </c>
      <c r="H106" s="156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36">
        <v>3142218000</v>
      </c>
      <c r="Q106" s="36">
        <v>3142218000</v>
      </c>
      <c r="R106" s="13"/>
      <c r="S106" s="13"/>
      <c r="T106" s="13"/>
      <c r="U106" s="13"/>
      <c r="V106" s="13"/>
      <c r="W106" s="4"/>
      <c r="X106" s="36">
        <v>3142218000</v>
      </c>
      <c r="Y106" s="178" t="str">
        <f ca="1">IFERROR(__xludf.DUMMYFUNCTION("INDEX(IMPORTRANGE(""1y0FWgjbB0gVlqn-q5LMJbGIsqOrzru4yowQz67dz2yc"", ""'SPGG'!AM3:AM139""),MATCH(D106,IMPORTRANGE(""1y0FWgjbB0gVlqn-q5LMJbGIsqOrzru4yowQz67dz2yc"", ""'SPGG'!D3:D139""),0))"),"")</f>
        <v/>
      </c>
      <c r="Z106" s="2"/>
      <c r="AA106" s="2"/>
      <c r="AB106" s="2"/>
      <c r="AC106" s="2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55" t="s">
        <v>213</v>
      </c>
      <c r="H107" s="156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15">
        <f t="shared" ref="P107:Q107" si="23">P99/P106</f>
        <v>0.73046141292551947</v>
      </c>
      <c r="Q107" s="15">
        <f t="shared" si="23"/>
        <v>0.73046141292551947</v>
      </c>
      <c r="R107" s="1"/>
      <c r="S107" s="1"/>
      <c r="T107" s="1"/>
      <c r="U107" s="1"/>
      <c r="V107" s="1"/>
      <c r="W107" s="496">
        <v>0.74</v>
      </c>
      <c r="X107" s="15">
        <f>X99/X106</f>
        <v>0.73046141292551947</v>
      </c>
      <c r="Y107" s="179" t="str">
        <f ca="1">IFERROR(__xludf.DUMMYFUNCTION("INDEX(IMPORTRANGE(""1y0FWgjbB0gVlqn-q5LMJbGIsqOrzru4yowQz67dz2yc"", ""'SPGG'!AM3:AM139""),MATCH(D107,IMPORTRANGE(""1y0FWgjbB0gVlqn-q5LMJbGIsqOrzru4yowQz67dz2yc"", ""'SPGG'!D3:D139""),0))"),"")</f>
        <v/>
      </c>
      <c r="Z107" s="2"/>
      <c r="AA107" s="2"/>
      <c r="AB107" s="2"/>
      <c r="AC107" s="2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290"/>
      <c r="I108" s="1" t="s">
        <v>254</v>
      </c>
      <c r="J108" s="13"/>
      <c r="K108" s="1" t="s">
        <v>255</v>
      </c>
      <c r="L108" s="13"/>
      <c r="M108" s="1" t="s">
        <v>256</v>
      </c>
      <c r="N108" s="49">
        <v>45473</v>
      </c>
      <c r="O108" s="1"/>
      <c r="P108" s="2" t="s">
        <v>308</v>
      </c>
      <c r="Q108" s="2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2" t="s">
        <v>308</v>
      </c>
      <c r="X108" s="2" t="s">
        <v>308</v>
      </c>
      <c r="Y108" s="4" t="str">
        <f ca="1">IFERROR(__xludf.DUMMYFUNCTION("INDEX(IMPORTRANGE(""1y0FWgjbB0gVlqn-q5LMJbGIsqOrzru4yowQz67dz2yc"", ""'SPGG'!AM3:AM139""),MATCH(D108,IMPORTRANGE(""1y0FWgjbB0gVlqn-q5LMJbGIsqOrzru4yowQz67dz2yc"", ""'SPGG'!D3:D139""),0))"),"")</f>
        <v/>
      </c>
      <c r="Z108" s="2"/>
      <c r="AA108" s="2"/>
      <c r="AB108" s="2"/>
      <c r="AC108" s="2"/>
    </row>
    <row r="109" spans="1:29">
      <c r="A109" s="1"/>
      <c r="B109" s="1"/>
      <c r="C109" s="1"/>
      <c r="D109" s="1"/>
      <c r="E109" s="1"/>
      <c r="F109" s="1"/>
      <c r="G109" s="10" t="s">
        <v>307</v>
      </c>
      <c r="H109" s="290"/>
      <c r="I109" s="1"/>
      <c r="J109" s="1"/>
      <c r="K109" s="1"/>
      <c r="L109" s="1"/>
      <c r="M109" s="1"/>
      <c r="N109" s="1"/>
      <c r="O109" s="1"/>
      <c r="P109" s="2"/>
      <c r="Q109" s="2" t="s">
        <v>448</v>
      </c>
      <c r="R109" s="1"/>
      <c r="S109" s="1"/>
      <c r="T109" s="1"/>
      <c r="U109" s="1"/>
      <c r="V109" s="1"/>
      <c r="W109" s="2"/>
      <c r="X109" s="2"/>
      <c r="Y109" s="2"/>
      <c r="Z109" s="2"/>
      <c r="AA109" s="2"/>
      <c r="AB109" s="2"/>
      <c r="AC109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2E6C7-BA96-694B-8EE3-6D0793889F0A}">
  <dimension ref="A1:AC113"/>
  <sheetViews>
    <sheetView workbookViewId="0"/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3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48" t="s">
        <v>29</v>
      </c>
      <c r="B2" s="148" t="s">
        <v>29</v>
      </c>
      <c r="C2" s="148" t="s">
        <v>30</v>
      </c>
      <c r="D2" s="148" t="s">
        <v>31</v>
      </c>
      <c r="E2" s="148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5">
        <v>665734</v>
      </c>
      <c r="Q2" s="5">
        <v>665734</v>
      </c>
      <c r="R2" s="4"/>
      <c r="S2" s="6"/>
      <c r="T2" s="6"/>
      <c r="U2" s="6"/>
      <c r="V2" s="6"/>
      <c r="W2" s="6"/>
      <c r="X2" s="5">
        <v>685177</v>
      </c>
      <c r="Y2" s="5">
        <v>685177</v>
      </c>
      <c r="Z2" s="5">
        <v>693045</v>
      </c>
      <c r="AA2" s="5">
        <v>693045</v>
      </c>
      <c r="AB2" s="5">
        <v>699613</v>
      </c>
      <c r="AC2" s="5">
        <v>699613</v>
      </c>
    </row>
    <row r="3" spans="1:29">
      <c r="A3" s="149" t="s">
        <v>34</v>
      </c>
      <c r="B3" s="149" t="s">
        <v>35</v>
      </c>
      <c r="C3" s="148" t="s">
        <v>36</v>
      </c>
      <c r="D3" s="150" t="s">
        <v>37</v>
      </c>
      <c r="E3" s="14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835</v>
      </c>
      <c r="Q3" s="2">
        <v>835</v>
      </c>
      <c r="R3" s="4">
        <v>790</v>
      </c>
      <c r="S3" s="4">
        <v>840</v>
      </c>
      <c r="T3" s="4">
        <v>840</v>
      </c>
      <c r="U3" s="4">
        <v>890</v>
      </c>
      <c r="V3" s="4">
        <v>890</v>
      </c>
      <c r="W3" s="4">
        <v>890</v>
      </c>
      <c r="X3" s="2">
        <v>853</v>
      </c>
      <c r="Y3" s="2">
        <f ca="1">IFERROR(__xludf.DUMMYFUNCTION("INDEX(IMPORTRANGE(""1y0FWgjbB0gVlqn-q5LMJbGIsqOrzru4yowQz67dz2yc"", ""'APO'!BG3:BG139""),MATCH($D3,IMPORTRANGE(""1y0FWgjbB0gVlqn-q5LMJbGIsqOrzru4yowQz67dz2yc"", ""'APO'!D3:D139""),0))"),818)</f>
        <v>818</v>
      </c>
      <c r="Z3" s="2">
        <f ca="1">IFERROR(__xludf.DUMMYFUNCTION("INDEX(IMPORTRANGE(""1y0FWgjbB0gVlqn-q5LMJbGIsqOrzru4yowQz67dz2yc"", ""'APO'!BH3:BH139""),MATCH($D3,IMPORTRANGE(""1y0FWgjbB0gVlqn-q5LMJbGIsqOrzru4yowQz67dz2yc"", ""'APO'!D3:D139""),0))"),817)</f>
        <v>817</v>
      </c>
      <c r="AA3" s="2">
        <f ca="1">IFERROR(__xludf.DUMMYFUNCTION("INDEX(IMPORTRANGE(""1y0FWgjbB0gVlqn-q5LMJbGIsqOrzru4yowQz67dz2yc"", ""'APO'!BI3:BI139""),MATCH($D3,IMPORTRANGE(""1y0FWgjbB0gVlqn-q5LMJbGIsqOrzru4yowQz67dz2yc"", ""'APO'!D3:D139""),0))"),845)</f>
        <v>845</v>
      </c>
      <c r="AB3" s="2">
        <f ca="1">IFERROR(__xludf.DUMMYFUNCTION("INDEX(IMPORTRANGE(""1y0FWgjbB0gVlqn-q5LMJbGIsqOrzru4yowQz67dz2yc"", ""'APO'!BJ3:BJ139""),MATCH($D3,IMPORTRANGE(""1y0FWgjbB0gVlqn-q5LMJbGIsqOrzru4yowQz67dz2yc"", ""'APO'!D3:D139""),0))"),775)</f>
        <v>775</v>
      </c>
      <c r="AC3" s="2"/>
    </row>
    <row r="4" spans="1:29">
      <c r="A4" s="149" t="s">
        <v>34</v>
      </c>
      <c r="B4" s="149" t="s">
        <v>40</v>
      </c>
      <c r="C4" s="148" t="s">
        <v>30</v>
      </c>
      <c r="D4" s="150" t="s">
        <v>41</v>
      </c>
      <c r="E4" s="14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835</v>
      </c>
      <c r="Q4" s="2">
        <v>835</v>
      </c>
      <c r="R4" s="13"/>
      <c r="S4" s="13"/>
      <c r="T4" s="13"/>
      <c r="U4" s="13"/>
      <c r="V4" s="13"/>
      <c r="W4" s="13"/>
      <c r="X4" s="2">
        <v>853</v>
      </c>
      <c r="Y4" s="2">
        <f ca="1">IFERROR(__xludf.DUMMYFUNCTION("INDEX(IMPORTRANGE(""1y0FWgjbB0gVlqn-q5LMJbGIsqOrzru4yowQz67dz2yc"", ""'APO'!BG3:BG139""),MATCH($D4,IMPORTRANGE(""1y0FWgjbB0gVlqn-q5LMJbGIsqOrzru4yowQz67dz2yc"", ""'APO'!D3:D139""),0))"),787)</f>
        <v>787</v>
      </c>
      <c r="Z4" s="2">
        <f ca="1">IFERROR(__xludf.DUMMYFUNCTION("INDEX(IMPORTRANGE(""1y0FWgjbB0gVlqn-q5LMJbGIsqOrzru4yowQz67dz2yc"", ""'APO'!BH3:BH139""),MATCH($D4,IMPORTRANGE(""1y0FWgjbB0gVlqn-q5LMJbGIsqOrzru4yowQz67dz2yc"", ""'APO'!D3:D139""),0))"),817)</f>
        <v>817</v>
      </c>
      <c r="AA4" s="2">
        <f ca="1">IFERROR(__xludf.DUMMYFUNCTION("INDEX(IMPORTRANGE(""1y0FWgjbB0gVlqn-q5LMJbGIsqOrzru4yowQz67dz2yc"", ""'APO'!BI3:BI139""),MATCH($D4,IMPORTRANGE(""1y0FWgjbB0gVlqn-q5LMJbGIsqOrzru4yowQz67dz2yc"", ""'APO'!D3:D139""),0))"),836)</f>
        <v>836</v>
      </c>
      <c r="AB4" s="2">
        <f ca="1">IFERROR(__xludf.DUMMYFUNCTION("INDEX(IMPORTRANGE(""1y0FWgjbB0gVlqn-q5LMJbGIsqOrzru4yowQz67dz2yc"", ""'APO'!BJ3:BJ139""),MATCH($D4,IMPORTRANGE(""1y0FWgjbB0gVlqn-q5LMJbGIsqOrzru4yowQz67dz2yc"", ""'APO'!D3:D139""),0))"),768)</f>
        <v>768</v>
      </c>
      <c r="AC4" s="2"/>
    </row>
    <row r="5" spans="1:29">
      <c r="A5" s="149" t="s">
        <v>34</v>
      </c>
      <c r="B5" s="149" t="s">
        <v>40</v>
      </c>
      <c r="C5" s="148" t="s">
        <v>36</v>
      </c>
      <c r="D5" s="150" t="s">
        <v>43</v>
      </c>
      <c r="E5" s="149" t="s">
        <v>38</v>
      </c>
      <c r="F5" s="9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4">
        <f t="shared" ref="P5:Q5" si="0">P4/P3</f>
        <v>1</v>
      </c>
      <c r="Q5" s="14">
        <f t="shared" si="0"/>
        <v>1</v>
      </c>
      <c r="R5" s="2" t="s">
        <v>327</v>
      </c>
      <c r="S5" s="2" t="s">
        <v>327</v>
      </c>
      <c r="T5" s="2" t="s">
        <v>327</v>
      </c>
      <c r="U5" s="2" t="s">
        <v>327</v>
      </c>
      <c r="V5" s="2" t="s">
        <v>327</v>
      </c>
      <c r="W5" s="2" t="s">
        <v>327</v>
      </c>
      <c r="X5" s="15">
        <f>X4/X3</f>
        <v>1</v>
      </c>
      <c r="Y5" s="15">
        <f ca="1">IFERROR(__xludf.DUMMYFUNCTION("INDEX(IMPORTRANGE(""1y0FWgjbB0gVlqn-q5LMJbGIsqOrzru4yowQz67dz2yc"", ""'APO'!BG3:BG139""),MATCH($D5,IMPORTRANGE(""1y0FWgjbB0gVlqn-q5LMJbGIsqOrzru4yowQz67dz2yc"", ""'APO'!D3:D139""),0))"),0.962102689486552)</f>
        <v>0.96210268948655198</v>
      </c>
      <c r="Z5" s="15">
        <f ca="1">IFERROR(__xludf.DUMMYFUNCTION("INDEX(IMPORTRANGE(""1y0FWgjbB0gVlqn-q5LMJbGIsqOrzru4yowQz67dz2yc"", ""'APO'!BH3:BH139""),MATCH($D5,IMPORTRANGE(""1y0FWgjbB0gVlqn-q5LMJbGIsqOrzru4yowQz67dz2yc"", ""'APO'!D3:D139""),0))"),1)</f>
        <v>1</v>
      </c>
      <c r="AA5" s="15">
        <f ca="1">IFERROR(__xludf.DUMMYFUNCTION("INDEX(IMPORTRANGE(""1y0FWgjbB0gVlqn-q5LMJbGIsqOrzru4yowQz67dz2yc"", ""'APO'!BI3:BI139""),MATCH($D5,IMPORTRANGE(""1y0FWgjbB0gVlqn-q5LMJbGIsqOrzru4yowQz67dz2yc"", ""'APO'!D3:D139""),0))"),0.989349112426035)</f>
        <v>0.98934911242603496</v>
      </c>
      <c r="AB5" s="15">
        <f ca="1">IFERROR(__xludf.DUMMYFUNCTION("INDEX(IMPORTRANGE(""1y0FWgjbB0gVlqn-q5LMJbGIsqOrzru4yowQz67dz2yc"", ""'APO'!BJ3:BJ139""),MATCH($D5,IMPORTRANGE(""1y0FWgjbB0gVlqn-q5LMJbGIsqOrzru4yowQz67dz2yc"", ""'APO'!D3:D139""),0))"),0.990967741935483)</f>
        <v>0.99096774193548298</v>
      </c>
      <c r="AC5" s="15"/>
    </row>
    <row r="6" spans="1:29">
      <c r="A6" s="149" t="s">
        <v>34</v>
      </c>
      <c r="B6" s="149" t="s">
        <v>45</v>
      </c>
      <c r="C6" s="148" t="s">
        <v>30</v>
      </c>
      <c r="D6" s="148" t="s">
        <v>328</v>
      </c>
      <c r="E6" s="151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""'APO'!BG3:BG139""),MATCH($D6,IMPORTRANGE(""1y0FWgjbB0gVlqn-q5LMJbGIsqOrzru4yowQz67dz2yc"", ""'APO'!D3:D139""),0))"),5)</f>
        <v>5</v>
      </c>
      <c r="Z6" s="2">
        <f ca="1">IFERROR(__xludf.DUMMYFUNCTION("INDEX(IMPORTRANGE(""1y0FWgjbB0gVlqn-q5LMJbGIsqOrzru4yowQz67dz2yc"", ""'APO'!BH3:BH139""),MATCH($D6,IMPORTRANGE(""1y0FWgjbB0gVlqn-q5LMJbGIsqOrzru4yowQz67dz2yc"", ""'APO'!D3:D139""),0))"),7)</f>
        <v>7</v>
      </c>
      <c r="AA6" s="2">
        <f ca="1">IFERROR(__xludf.DUMMYFUNCTION("INDEX(IMPORTRANGE(""1y0FWgjbB0gVlqn-q5LMJbGIsqOrzru4yowQz67dz2yc"", ""'APO'!BI3:BI139""),MATCH($D6,IMPORTRANGE(""1y0FWgjbB0gVlqn-q5LMJbGIsqOrzru4yowQz67dz2yc"", ""'APO'!D3:D139""),0))"),8)</f>
        <v>8</v>
      </c>
      <c r="AB6" s="2">
        <f ca="1">IFERROR(__xludf.DUMMYFUNCTION("INDEX(IMPORTRANGE(""1y0FWgjbB0gVlqn-q5LMJbGIsqOrzru4yowQz67dz2yc"", ""'APO'!BJ3:BJ139""),MATCH($D6,IMPORTRANGE(""1y0FWgjbB0gVlqn-q5LMJbGIsqOrzru4yowQz67dz2yc"", ""'APO'!D3:D139""),0))"),8)</f>
        <v>8</v>
      </c>
      <c r="AC6" s="2"/>
    </row>
    <row r="7" spans="1:29">
      <c r="A7" s="149" t="s">
        <v>34</v>
      </c>
      <c r="B7" s="149" t="s">
        <v>45</v>
      </c>
      <c r="C7" s="148" t="s">
        <v>30</v>
      </c>
      <c r="D7" s="148" t="s">
        <v>329</v>
      </c>
      <c r="E7" s="151" t="s">
        <v>38</v>
      </c>
      <c r="F7" s="9" t="s">
        <v>49</v>
      </c>
      <c r="G7" s="10">
        <v>44469</v>
      </c>
      <c r="H7" s="10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9"/>
      <c r="Q7" s="19"/>
      <c r="R7" s="1"/>
      <c r="S7" s="1"/>
      <c r="T7" s="1"/>
      <c r="U7" s="1"/>
      <c r="V7" s="1"/>
      <c r="W7" s="1"/>
      <c r="X7" s="19"/>
      <c r="Y7" s="2">
        <f ca="1">IFERROR(__xludf.DUMMYFUNCTION("INDEX(IMPORTRANGE(""1y0FWgjbB0gVlqn-q5LMJbGIsqOrzru4yowQz67dz2yc"", ""'APO'!BG3:BG139""),MATCH($D7,IMPORTRANGE(""1y0FWgjbB0gVlqn-q5LMJbGIsqOrzru4yowQz67dz2yc"", ""'APO'!D3:D139""),0))"),4)</f>
        <v>4</v>
      </c>
      <c r="Z7" s="2">
        <f ca="1">IFERROR(__xludf.DUMMYFUNCTION("INDEX(IMPORTRANGE(""1y0FWgjbB0gVlqn-q5LMJbGIsqOrzru4yowQz67dz2yc"", ""'APO'!BH3:BH139""),MATCH($D7,IMPORTRANGE(""1y0FWgjbB0gVlqn-q5LMJbGIsqOrzru4yowQz67dz2yc"", ""'APO'!D3:D139""),0))"),3)</f>
        <v>3</v>
      </c>
      <c r="AA7" s="2">
        <f ca="1">IFERROR(__xludf.DUMMYFUNCTION("INDEX(IMPORTRANGE(""1y0FWgjbB0gVlqn-q5LMJbGIsqOrzru4yowQz67dz2yc"", ""'APO'!BI3:BI139""),MATCH($D7,IMPORTRANGE(""1y0FWgjbB0gVlqn-q5LMJbGIsqOrzru4yowQz67dz2yc"", ""'APO'!D3:D139""),0))"),3)</f>
        <v>3</v>
      </c>
      <c r="AB7" s="2">
        <f ca="1">IFERROR(__xludf.DUMMYFUNCTION("INDEX(IMPORTRANGE(""1y0FWgjbB0gVlqn-q5LMJbGIsqOrzru4yowQz67dz2yc"", ""'APO'!BJ3:BJ139""),MATCH($D7,IMPORTRANGE(""1y0FWgjbB0gVlqn-q5LMJbGIsqOrzru4yowQz67dz2yc"", ""'APO'!D3:D139""),0))"),3)</f>
        <v>3</v>
      </c>
      <c r="AC7" s="2"/>
    </row>
    <row r="8" spans="1:29">
      <c r="A8" s="149" t="s">
        <v>34</v>
      </c>
      <c r="B8" s="149" t="s">
        <v>45</v>
      </c>
      <c r="C8" s="148" t="s">
        <v>36</v>
      </c>
      <c r="D8" s="148" t="s">
        <v>50</v>
      </c>
      <c r="E8" s="15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3.3E-3</v>
      </c>
      <c r="S8" s="26">
        <v>3.3E-3</v>
      </c>
      <c r="T8" s="26">
        <v>6.7000000000000002E-3</v>
      </c>
      <c r="U8" s="26">
        <v>6.7000000000000002E-3</v>
      </c>
      <c r="V8" s="26">
        <v>0.01</v>
      </c>
      <c r="W8" s="26">
        <v>0.01</v>
      </c>
      <c r="X8" s="19">
        <f>X6/X3</f>
        <v>0</v>
      </c>
      <c r="Y8" s="15">
        <f ca="1">IFERROR(__xludf.DUMMYFUNCTION("INDEX(IMPORTRANGE(""1y0FWgjbB0gVlqn-q5LMJbGIsqOrzru4yowQz67dz2yc"", ""'APO'!BG3:BG139""),MATCH($D8,IMPORTRANGE(""1y0FWgjbB0gVlqn-q5LMJbGIsqOrzru4yowQz67dz2yc"", ""'APO'!D3:D139""),0))"),0.011002444987775)</f>
        <v>1.1002444987775001E-2</v>
      </c>
      <c r="Z8" s="15">
        <f ca="1">IFERROR(__xludf.DUMMYFUNCTION("INDEX(IMPORTRANGE(""1y0FWgjbB0gVlqn-q5LMJbGIsqOrzru4yowQz67dz2yc"", ""'APO'!BH3:BH139""),MATCH($D8,IMPORTRANGE(""1y0FWgjbB0gVlqn-q5LMJbGIsqOrzru4yowQz67dz2yc"", ""'APO'!D3:D139""),0))"),0.0122399020807833)</f>
        <v>1.2239902080783301E-2</v>
      </c>
      <c r="AA8" s="15">
        <f ca="1">IFERROR(__xludf.DUMMYFUNCTION("INDEX(IMPORTRANGE(""1y0FWgjbB0gVlqn-q5LMJbGIsqOrzru4yowQz67dz2yc"", ""'APO'!BI3:BI139""),MATCH($D8,IMPORTRANGE(""1y0FWgjbB0gVlqn-q5LMJbGIsqOrzru4yowQz67dz2yc"", ""'APO'!D3:D139""),0))"),0.0130177514792899)</f>
        <v>1.30177514792899E-2</v>
      </c>
      <c r="AB8" s="15">
        <f ca="1">IFERROR(__xludf.DUMMYFUNCTION("INDEX(IMPORTRANGE(""1y0FWgjbB0gVlqn-q5LMJbGIsqOrzru4yowQz67dz2yc"", ""'APO'!BJ3:BJ139""),MATCH($D8,IMPORTRANGE(""1y0FWgjbB0gVlqn-q5LMJbGIsqOrzru4yowQz67dz2yc"", ""'APO'!D3:D139""),0))"),0.0141935483870967)</f>
        <v>1.41935483870967E-2</v>
      </c>
      <c r="AC8" s="15"/>
    </row>
    <row r="9" spans="1:29">
      <c r="A9" s="149" t="s">
        <v>52</v>
      </c>
      <c r="B9" s="149" t="s">
        <v>53</v>
      </c>
      <c r="C9" s="148" t="s">
        <v>30</v>
      </c>
      <c r="D9" s="149" t="s">
        <v>54</v>
      </c>
      <c r="E9" s="14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0</v>
      </c>
      <c r="Q9" s="12">
        <v>0</v>
      </c>
      <c r="R9" s="13"/>
      <c r="S9" s="13"/>
      <c r="T9" s="13"/>
      <c r="U9" s="13"/>
      <c r="V9" s="13"/>
      <c r="W9" s="13"/>
      <c r="X9" s="12">
        <v>0</v>
      </c>
      <c r="Y9" s="2">
        <f ca="1">IFERROR(__xludf.DUMMYFUNCTION("INDEX(IMPORTRANGE(""1y0FWgjbB0gVlqn-q5LMJbGIsqOrzru4yowQz67dz2yc"", ""'APO'!BG3:BG139""),MATCH($D9,IMPORTRANGE(""1y0FWgjbB0gVlqn-q5LMJbGIsqOrzru4yowQz67dz2yc"", ""'APO'!D3:D139""),0))"),23)</f>
        <v>23</v>
      </c>
      <c r="Z9" s="2">
        <f ca="1">IFERROR(__xludf.DUMMYFUNCTION("INDEX(IMPORTRANGE(""1y0FWgjbB0gVlqn-q5LMJbGIsqOrzru4yowQz67dz2yc"", ""'APO'!BH3:BH139""),MATCH($D9,IMPORTRANGE(""1y0FWgjbB0gVlqn-q5LMJbGIsqOrzru4yowQz67dz2yc"", ""'APO'!D3:D139""),0))"),48)</f>
        <v>48</v>
      </c>
      <c r="AA9" s="2">
        <f ca="1">IFERROR(__xludf.DUMMYFUNCTION("INDEX(IMPORTRANGE(""1y0FWgjbB0gVlqn-q5LMJbGIsqOrzru4yowQz67dz2yc"", ""'APO'!BI3:BI139""),MATCH($D9,IMPORTRANGE(""1y0FWgjbB0gVlqn-q5LMJbGIsqOrzru4yowQz67dz2yc"", ""'APO'!D3:D139""),0))"),194)</f>
        <v>194</v>
      </c>
      <c r="AB9" s="2">
        <f ca="1">IFERROR(__xludf.DUMMYFUNCTION("INDEX(IMPORTRANGE(""1y0FWgjbB0gVlqn-q5LMJbGIsqOrzru4yowQz67dz2yc"", ""'APO'!BJ3:BJ139""),MATCH($D9,IMPORTRANGE(""1y0FWgjbB0gVlqn-q5LMJbGIsqOrzru4yowQz67dz2yc"", ""'APO'!D3:D139""),0))"),133)</f>
        <v>133</v>
      </c>
      <c r="AC9" s="2"/>
    </row>
    <row r="10" spans="1:29">
      <c r="A10" s="149" t="s">
        <v>52</v>
      </c>
      <c r="B10" s="149" t="s">
        <v>53</v>
      </c>
      <c r="C10" s="148" t="s">
        <v>30</v>
      </c>
      <c r="D10" s="149" t="s">
        <v>64</v>
      </c>
      <c r="E10" s="14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3313</v>
      </c>
      <c r="Q10" s="12">
        <v>6449</v>
      </c>
      <c r="R10" s="13"/>
      <c r="S10" s="13"/>
      <c r="T10" s="13"/>
      <c r="U10" s="13"/>
      <c r="V10" s="13"/>
      <c r="W10" s="13"/>
      <c r="X10" s="2">
        <v>3629</v>
      </c>
      <c r="Y10" s="2">
        <f ca="1">IFERROR(__xludf.DUMMYFUNCTION("INDEX(IMPORTRANGE(""1y0FWgjbB0gVlqn-q5LMJbGIsqOrzru4yowQz67dz2yc"", ""'APO'!BG3:BG139""),MATCH($D10,IMPORTRANGE(""1y0FWgjbB0gVlqn-q5LMJbGIsqOrzru4yowQz67dz2yc"", ""'APO'!D3:D139""),0))"),225)</f>
        <v>225</v>
      </c>
      <c r="Z10" s="2">
        <f ca="1">IFERROR(__xludf.DUMMYFUNCTION("INDEX(IMPORTRANGE(""1y0FWgjbB0gVlqn-q5LMJbGIsqOrzru4yowQz67dz2yc"", ""'APO'!BH3:BH139""),MATCH($D10,IMPORTRANGE(""1y0FWgjbB0gVlqn-q5LMJbGIsqOrzru4yowQz67dz2yc"", ""'APO'!D3:D139""),0))"),328)</f>
        <v>328</v>
      </c>
      <c r="AA10" s="2">
        <f ca="1">IFERROR(__xludf.DUMMYFUNCTION("INDEX(IMPORTRANGE(""1y0FWgjbB0gVlqn-q5LMJbGIsqOrzru4yowQz67dz2yc"", ""'APO'!BI3:BI139""),MATCH($D10,IMPORTRANGE(""1y0FWgjbB0gVlqn-q5LMJbGIsqOrzru4yowQz67dz2yc"", ""'APO'!D3:D139""),0))"),744)</f>
        <v>744</v>
      </c>
      <c r="AB10" s="2">
        <f ca="1">IFERROR(__xludf.DUMMYFUNCTION("INDEX(IMPORTRANGE(""1y0FWgjbB0gVlqn-q5LMJbGIsqOrzru4yowQz67dz2yc"", ""'APO'!BJ3:BJ139""),MATCH($D10,IMPORTRANGE(""1y0FWgjbB0gVlqn-q5LMJbGIsqOrzru4yowQz67dz2yc"", ""'APO'!D3:D139""),0))"),419)</f>
        <v>419</v>
      </c>
      <c r="AC10" s="2"/>
    </row>
    <row r="11" spans="1:29">
      <c r="A11" s="149" t="s">
        <v>52</v>
      </c>
      <c r="B11" s="149" t="s">
        <v>53</v>
      </c>
      <c r="C11" s="148" t="s">
        <v>36</v>
      </c>
      <c r="D11" s="149" t="s">
        <v>66</v>
      </c>
      <c r="E11" s="14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0</v>
      </c>
      <c r="Q11" s="15">
        <f t="shared" si="2"/>
        <v>0</v>
      </c>
      <c r="R11" s="15">
        <v>6.7000000000000004E-2</v>
      </c>
      <c r="S11" s="15">
        <v>0.13300000000000001</v>
      </c>
      <c r="T11" s="15">
        <v>0.2</v>
      </c>
      <c r="U11" s="15">
        <v>0.26700000000000002</v>
      </c>
      <c r="V11" s="15">
        <v>0.33300000000000002</v>
      </c>
      <c r="W11" s="15">
        <v>0.33329999999999999</v>
      </c>
      <c r="X11" s="15">
        <f>X9/X10</f>
        <v>0</v>
      </c>
      <c r="Y11" s="15">
        <f ca="1">IFERROR(__xludf.DUMMYFUNCTION("INDEX(IMPORTRANGE(""1y0FWgjbB0gVlqn-q5LMJbGIsqOrzru4yowQz67dz2yc"", ""'APO'!BG3:BG139""),MATCH($D11,IMPORTRANGE(""1y0FWgjbB0gVlqn-q5LMJbGIsqOrzru4yowQz67dz2yc"", ""'APO'!D3:D139""),0))"),0.102222222222222)</f>
        <v>0.10222222222222201</v>
      </c>
      <c r="Z11" s="15">
        <f ca="1">IFERROR(__xludf.DUMMYFUNCTION("INDEX(IMPORTRANGE(""1y0FWgjbB0gVlqn-q5LMJbGIsqOrzru4yowQz67dz2yc"", ""'APO'!BH3:BH139""),MATCH($D11,IMPORTRANGE(""1y0FWgjbB0gVlqn-q5LMJbGIsqOrzru4yowQz67dz2yc"", ""'APO'!D3:D139""),0))"),0.146341463414634)</f>
        <v>0.146341463414634</v>
      </c>
      <c r="AA11" s="15">
        <f ca="1">IFERROR(__xludf.DUMMYFUNCTION("INDEX(IMPORTRANGE(""1y0FWgjbB0gVlqn-q5LMJbGIsqOrzru4yowQz67dz2yc"", ""'APO'!BI3:BI139""),MATCH($D11,IMPORTRANGE(""1y0FWgjbB0gVlqn-q5LMJbGIsqOrzru4yowQz67dz2yc"", ""'APO'!D3:D139""),0))"),0.260752688172043)</f>
        <v>0.260752688172043</v>
      </c>
      <c r="AB11" s="15">
        <f ca="1">IFERROR(__xludf.DUMMYFUNCTION("INDEX(IMPORTRANGE(""1y0FWgjbB0gVlqn-q5LMJbGIsqOrzru4yowQz67dz2yc"", ""'APO'!BJ3:BJ139""),MATCH($D11,IMPORTRANGE(""1y0FWgjbB0gVlqn-q5LMJbGIsqOrzru4yowQz67dz2yc"", ""'APO'!D3:D139""),0))"),0.317422434367541)</f>
        <v>0.31742243436754097</v>
      </c>
      <c r="AC11" s="15"/>
    </row>
    <row r="12" spans="1:29">
      <c r="A12" s="149" t="s">
        <v>52</v>
      </c>
      <c r="B12" s="149" t="s">
        <v>68</v>
      </c>
      <c r="C12" s="148" t="s">
        <v>30</v>
      </c>
      <c r="D12" s="149" t="s">
        <v>69</v>
      </c>
      <c r="E12" s="149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30</v>
      </c>
      <c r="Q12" s="2">
        <v>92</v>
      </c>
      <c r="R12" s="13"/>
      <c r="S12" s="13"/>
      <c r="T12" s="13"/>
      <c r="U12" s="13"/>
      <c r="V12" s="13"/>
      <c r="W12" s="13"/>
      <c r="X12" s="2">
        <v>27</v>
      </c>
      <c r="Y12" s="2">
        <f ca="1">IFERROR(__xludf.DUMMYFUNCTION("INDEX(IMPORTRANGE(""1y0FWgjbB0gVlqn-q5LMJbGIsqOrzru4yowQz67dz2yc"", ""'APO'!BG3:BG139""),MATCH($D12,IMPORTRANGE(""1y0FWgjbB0gVlqn-q5LMJbGIsqOrzru4yowQz67dz2yc"", ""'APO'!D3:D139""),0))"),70)</f>
        <v>70</v>
      </c>
      <c r="Z12" s="2">
        <f ca="1">IFERROR(__xludf.DUMMYFUNCTION("INDEX(IMPORTRANGE(""1y0FWgjbB0gVlqn-q5LMJbGIsqOrzru4yowQz67dz2yc"", ""'APO'!BH3:BH139""),MATCH($D12,IMPORTRANGE(""1y0FWgjbB0gVlqn-q5LMJbGIsqOrzru4yowQz67dz2yc"", ""'APO'!D3:D139""),0))"),38)</f>
        <v>38</v>
      </c>
      <c r="AA12" s="2">
        <f ca="1">IFERROR(__xludf.DUMMYFUNCTION("INDEX(IMPORTRANGE(""1y0FWgjbB0gVlqn-q5LMJbGIsqOrzru4yowQz67dz2yc"", ""'APO'!BI3:BI139""),MATCH($D12,IMPORTRANGE(""1y0FWgjbB0gVlqn-q5LMJbGIsqOrzru4yowQz67dz2yc"", ""'APO'!D3:D139""),0))"),78)</f>
        <v>78</v>
      </c>
      <c r="AB12" s="2">
        <f ca="1">IFERROR(__xludf.DUMMYFUNCTION("INDEX(IMPORTRANGE(""1y0FWgjbB0gVlqn-q5LMJbGIsqOrzru4yowQz67dz2yc"", ""'APO'!BJ3:BJ139""),MATCH($D12,IMPORTRANGE(""1y0FWgjbB0gVlqn-q5LMJbGIsqOrzru4yowQz67dz2yc"", ""'APO'!D3:D139""),0))"),46)</f>
        <v>46</v>
      </c>
      <c r="AC12" s="2"/>
    </row>
    <row r="13" spans="1:29">
      <c r="A13" s="149" t="s">
        <v>52</v>
      </c>
      <c r="B13" s="149" t="s">
        <v>68</v>
      </c>
      <c r="C13" s="148" t="s">
        <v>36</v>
      </c>
      <c r="D13" s="149" t="s">
        <v>72</v>
      </c>
      <c r="E13" s="14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4.5063043197433208</v>
      </c>
      <c r="Q13" s="23">
        <f t="shared" si="3"/>
        <v>13.819333247212851</v>
      </c>
      <c r="R13" s="2">
        <v>13.3</v>
      </c>
      <c r="S13" s="2">
        <v>3.7</v>
      </c>
      <c r="T13" s="2">
        <v>12.6</v>
      </c>
      <c r="U13" s="2">
        <v>3.5</v>
      </c>
      <c r="V13" s="29">
        <v>12</v>
      </c>
      <c r="W13" s="2">
        <v>12</v>
      </c>
      <c r="X13" s="23">
        <f>(X12/X$2)*100000</f>
        <v>3.9405876145871797</v>
      </c>
      <c r="Y13" s="24">
        <f ca="1">IFERROR(__xludf.DUMMYFUNCTION("INDEX(IMPORTRANGE(""1y0FWgjbB0gVlqn-q5LMJbGIsqOrzru4yowQz67dz2yc"", ""'APO'!BG3:BG139""),MATCH($D13,IMPORTRANGE(""1y0FWgjbB0gVlqn-q5LMJbGIsqOrzru4yowQz67dz2yc"", ""'APO'!D3:D139""),0))"),10.2163382600408)</f>
        <v>10.2163382600408</v>
      </c>
      <c r="Z13" s="24">
        <f ca="1">IFERROR(__xludf.DUMMYFUNCTION("INDEX(IMPORTRANGE(""1y0FWgjbB0gVlqn-q5LMJbGIsqOrzru4yowQz67dz2yc"", ""'APO'!BH3:BH139""),MATCH($D13,IMPORTRANGE(""1y0FWgjbB0gVlqn-q5LMJbGIsqOrzru4yowQz67dz2yc"", ""'APO'!D3:D139""),0))"),5.48304944123397)</f>
        <v>5.4830494412339696</v>
      </c>
      <c r="AA13" s="24">
        <f ca="1">IFERROR(__xludf.DUMMYFUNCTION("INDEX(IMPORTRANGE(""1y0FWgjbB0gVlqn-q5LMJbGIsqOrzru4yowQz67dz2yc"", ""'APO'!BI3:BI139""),MATCH($D13,IMPORTRANGE(""1y0FWgjbB0gVlqn-q5LMJbGIsqOrzru4yowQz67dz2yc"", ""'APO'!D3:D139""),0))"),11.2546804320065)</f>
        <v>11.2546804320065</v>
      </c>
      <c r="AB13" s="24">
        <f ca="1">IFERROR(__xludf.DUMMYFUNCTION("INDEX(IMPORTRANGE(""1y0FWgjbB0gVlqn-q5LMJbGIsqOrzru4yowQz67dz2yc"", ""'APO'!BJ3:BJ139""),MATCH($D13,IMPORTRANGE(""1y0FWgjbB0gVlqn-q5LMJbGIsqOrzru4yowQz67dz2yc"", ""'APO'!D3:D139""),0))"),6.57506364232797)</f>
        <v>6.5750636423279696</v>
      </c>
      <c r="AC13" s="24"/>
    </row>
    <row r="14" spans="1:29">
      <c r="A14" s="149" t="s">
        <v>52</v>
      </c>
      <c r="B14" s="149" t="s">
        <v>68</v>
      </c>
      <c r="C14" s="148" t="s">
        <v>30</v>
      </c>
      <c r="D14" s="149" t="s">
        <v>75</v>
      </c>
      <c r="E14" s="14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12">
        <v>197</v>
      </c>
      <c r="Q14" s="12">
        <v>334</v>
      </c>
      <c r="R14" s="13"/>
      <c r="S14" s="13"/>
      <c r="T14" s="13"/>
      <c r="U14" s="13"/>
      <c r="V14" s="13"/>
      <c r="W14" s="13"/>
      <c r="X14" s="12">
        <v>112</v>
      </c>
      <c r="Y14" s="2">
        <f ca="1">IFERROR(__xludf.DUMMYFUNCTION("INDEX(IMPORTRANGE(""1y0FWgjbB0gVlqn-q5LMJbGIsqOrzru4yowQz67dz2yc"", ""'APO'!BG3:BG139""),MATCH($D14,IMPORTRANGE(""1y0FWgjbB0gVlqn-q5LMJbGIsqOrzru4yowQz67dz2yc"", ""'APO'!D3:D139""),0))"),235)</f>
        <v>235</v>
      </c>
      <c r="Z14" s="2">
        <f ca="1">IFERROR(__xludf.DUMMYFUNCTION("INDEX(IMPORTRANGE(""1y0FWgjbB0gVlqn-q5LMJbGIsqOrzru4yowQz67dz2yc"", ""'APO'!BH3:BH139""),MATCH($D14,IMPORTRANGE(""1y0FWgjbB0gVlqn-q5LMJbGIsqOrzru4yowQz67dz2yc"", ""'APO'!D3:D139""),0))"),112)</f>
        <v>112</v>
      </c>
      <c r="AA14" s="2">
        <f ca="1">IFERROR(__xludf.DUMMYFUNCTION("INDEX(IMPORTRANGE(""1y0FWgjbB0gVlqn-q5LMJbGIsqOrzru4yowQz67dz2yc"", ""'APO'!BI3:BI139""),MATCH($D14,IMPORTRANGE(""1y0FWgjbB0gVlqn-q5LMJbGIsqOrzru4yowQz67dz2yc"", ""'APO'!D3:D139""),0))"),241)</f>
        <v>241</v>
      </c>
      <c r="AB14" s="2">
        <f ca="1">IFERROR(__xludf.DUMMYFUNCTION("INDEX(IMPORTRANGE(""1y0FWgjbB0gVlqn-q5LMJbGIsqOrzru4yowQz67dz2yc"", ""'APO'!BJ3:BJ139""),MATCH($D14,IMPORTRANGE(""1y0FWgjbB0gVlqn-q5LMJbGIsqOrzru4yowQz67dz2yc"", ""'APO'!D3:D139""),0))"),105)</f>
        <v>105</v>
      </c>
      <c r="AC14" s="2"/>
    </row>
    <row r="15" spans="1:29">
      <c r="A15" s="149" t="s">
        <v>52</v>
      </c>
      <c r="B15" s="149" t="s">
        <v>68</v>
      </c>
      <c r="C15" s="148" t="s">
        <v>30</v>
      </c>
      <c r="D15" s="149" t="s">
        <v>78</v>
      </c>
      <c r="E15" s="14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12">
        <v>481</v>
      </c>
      <c r="Q15" s="12">
        <v>860</v>
      </c>
      <c r="R15" s="13"/>
      <c r="S15" s="13"/>
      <c r="T15" s="13"/>
      <c r="U15" s="13"/>
      <c r="V15" s="13"/>
      <c r="W15" s="13"/>
      <c r="X15" s="12">
        <v>389</v>
      </c>
      <c r="Y15" s="2">
        <f ca="1">IFERROR(__xludf.DUMMYFUNCTION("INDEX(IMPORTRANGE(""1y0FWgjbB0gVlqn-q5LMJbGIsqOrzru4yowQz67dz2yc"", ""'APO'!BG3:BG139""),MATCH($D15,IMPORTRANGE(""1y0FWgjbB0gVlqn-q5LMJbGIsqOrzru4yowQz67dz2yc"", ""'APO'!D3:D139""),0))"),747)</f>
        <v>747</v>
      </c>
      <c r="Z15" s="2">
        <f ca="1">IFERROR(__xludf.DUMMYFUNCTION("INDEX(IMPORTRANGE(""1y0FWgjbB0gVlqn-q5LMJbGIsqOrzru4yowQz67dz2yc"", ""'APO'!BH3:BH139""),MATCH($D15,IMPORTRANGE(""1y0FWgjbB0gVlqn-q5LMJbGIsqOrzru4yowQz67dz2yc"", ""'APO'!D3:D139""),0))"),292)</f>
        <v>292</v>
      </c>
      <c r="AA15" s="2">
        <f ca="1">IFERROR(__xludf.DUMMYFUNCTION("INDEX(IMPORTRANGE(""1y0FWgjbB0gVlqn-q5LMJbGIsqOrzru4yowQz67dz2yc"", ""'APO'!BI3:BI139""),MATCH($D15,IMPORTRANGE(""1y0FWgjbB0gVlqn-q5LMJbGIsqOrzru4yowQz67dz2yc"", ""'APO'!D3:D139""),0))"),619)</f>
        <v>619</v>
      </c>
      <c r="AB15" s="2">
        <f ca="1">IFERROR(__xludf.DUMMYFUNCTION("INDEX(IMPORTRANGE(""1y0FWgjbB0gVlqn-q5LMJbGIsqOrzru4yowQz67dz2yc"", ""'APO'!BJ3:BJ139""),MATCH($D15,IMPORTRANGE(""1y0FWgjbB0gVlqn-q5LMJbGIsqOrzru4yowQz67dz2yc"", ""'APO'!D3:D139""),0))"),389)</f>
        <v>389</v>
      </c>
      <c r="AC15" s="2"/>
    </row>
    <row r="16" spans="1:29">
      <c r="A16" s="149" t="s">
        <v>52</v>
      </c>
      <c r="B16" s="149" t="s">
        <v>68</v>
      </c>
      <c r="C16" s="148" t="s">
        <v>30</v>
      </c>
      <c r="D16" s="149" t="s">
        <v>80</v>
      </c>
      <c r="E16" s="14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12">
        <v>227</v>
      </c>
      <c r="Q16" s="12">
        <v>481</v>
      </c>
      <c r="R16" s="13"/>
      <c r="S16" s="13"/>
      <c r="T16" s="13"/>
      <c r="U16" s="13"/>
      <c r="V16" s="13"/>
      <c r="W16" s="13"/>
      <c r="X16" s="12">
        <v>188</v>
      </c>
      <c r="Y16" s="2">
        <f ca="1">IFERROR(__xludf.DUMMYFUNCTION("INDEX(IMPORTRANGE(""1y0FWgjbB0gVlqn-q5LMJbGIsqOrzru4yowQz67dz2yc"", ""'APO'!BG3:BG139""),MATCH($D16,IMPORTRANGE(""1y0FWgjbB0gVlqn-q5LMJbGIsqOrzru4yowQz67dz2yc"", ""'APO'!D3:D139""),0))"),341)</f>
        <v>341</v>
      </c>
      <c r="Z16" s="2">
        <f ca="1">IFERROR(__xludf.DUMMYFUNCTION("INDEX(IMPORTRANGE(""1y0FWgjbB0gVlqn-q5LMJbGIsqOrzru4yowQz67dz2yc"", ""'APO'!BH3:BH139""),MATCH($D16,IMPORTRANGE(""1y0FWgjbB0gVlqn-q5LMJbGIsqOrzru4yowQz67dz2yc"", ""'APO'!D3:D139""),0))"),167)</f>
        <v>167</v>
      </c>
      <c r="AA16" s="2">
        <f ca="1">IFERROR(__xludf.DUMMYFUNCTION("INDEX(IMPORTRANGE(""1y0FWgjbB0gVlqn-q5LMJbGIsqOrzru4yowQz67dz2yc"", ""'APO'!BI3:BI139""),MATCH($D16,IMPORTRANGE(""1y0FWgjbB0gVlqn-q5LMJbGIsqOrzru4yowQz67dz2yc"", ""'APO'!D3:D139""),0))"),305)</f>
        <v>305</v>
      </c>
      <c r="AB16" s="2">
        <f ca="1">IFERROR(__xludf.DUMMYFUNCTION("INDEX(IMPORTRANGE(""1y0FWgjbB0gVlqn-q5LMJbGIsqOrzru4yowQz67dz2yc"", ""'APO'!BJ3:BJ139""),MATCH($D16,IMPORTRANGE(""1y0FWgjbB0gVlqn-q5LMJbGIsqOrzru4yowQz67dz2yc"", ""'APO'!D3:D139""),0))"),116)</f>
        <v>116</v>
      </c>
      <c r="AC16" s="2"/>
    </row>
    <row r="17" spans="1:29">
      <c r="A17" s="149" t="s">
        <v>52</v>
      </c>
      <c r="B17" s="149" t="s">
        <v>68</v>
      </c>
      <c r="C17" s="148" t="s">
        <v>30</v>
      </c>
      <c r="D17" s="149" t="s">
        <v>82</v>
      </c>
      <c r="E17" s="14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12">
        <v>73</v>
      </c>
      <c r="Q17" s="12">
        <v>151</v>
      </c>
      <c r="R17" s="13"/>
      <c r="S17" s="13"/>
      <c r="T17" s="13"/>
      <c r="U17" s="13"/>
      <c r="V17" s="13"/>
      <c r="W17" s="13"/>
      <c r="X17" s="12">
        <v>45</v>
      </c>
      <c r="Y17" s="2">
        <f ca="1">IFERROR(__xludf.DUMMYFUNCTION("INDEX(IMPORTRANGE(""1y0FWgjbB0gVlqn-q5LMJbGIsqOrzru4yowQz67dz2yc"", ""'APO'!BG3:BG139""),MATCH($D17,IMPORTRANGE(""1y0FWgjbB0gVlqn-q5LMJbGIsqOrzru4yowQz67dz2yc"", ""'APO'!D3:D139""),0))"),86)</f>
        <v>86</v>
      </c>
      <c r="Z17" s="2">
        <f ca="1">IFERROR(__xludf.DUMMYFUNCTION("INDEX(IMPORTRANGE(""1y0FWgjbB0gVlqn-q5LMJbGIsqOrzru4yowQz67dz2yc"", ""'APO'!BH3:BH139""),MATCH($D17,IMPORTRANGE(""1y0FWgjbB0gVlqn-q5LMJbGIsqOrzru4yowQz67dz2yc"", ""'APO'!D3:D139""),0))"),52)</f>
        <v>52</v>
      </c>
      <c r="AA17" s="2">
        <f ca="1">IFERROR(__xludf.DUMMYFUNCTION("INDEX(IMPORTRANGE(""1y0FWgjbB0gVlqn-q5LMJbGIsqOrzru4yowQz67dz2yc"", ""'APO'!BI3:BI139""),MATCH($D17,IMPORTRANGE(""1y0FWgjbB0gVlqn-q5LMJbGIsqOrzru4yowQz67dz2yc"", ""'APO'!D3:D139""),0))"),92)</f>
        <v>92</v>
      </c>
      <c r="AB17" s="2">
        <f ca="1">IFERROR(__xludf.DUMMYFUNCTION("INDEX(IMPORTRANGE(""1y0FWgjbB0gVlqn-q5LMJbGIsqOrzru4yowQz67dz2yc"", ""'APO'!BJ3:BJ139""),MATCH($D17,IMPORTRANGE(""1y0FWgjbB0gVlqn-q5LMJbGIsqOrzru4yowQz67dz2yc"", ""'APO'!D3:D139""),0))"),48)</f>
        <v>48</v>
      </c>
      <c r="AC17" s="2"/>
    </row>
    <row r="18" spans="1:29">
      <c r="A18" s="149" t="s">
        <v>52</v>
      </c>
      <c r="B18" s="149" t="s">
        <v>68</v>
      </c>
      <c r="C18" s="148" t="s">
        <v>30</v>
      </c>
      <c r="D18" s="149" t="s">
        <v>342</v>
      </c>
      <c r="E18" s="149" t="str">
        <f>E17</f>
        <v>Secretaría de Seguridad Pública del Estado, CONAPO</v>
      </c>
      <c r="F18" s="9"/>
      <c r="G18" s="22" t="s">
        <v>343</v>
      </c>
      <c r="H18" s="22" t="s">
        <v>344</v>
      </c>
      <c r="I18" s="9" t="s">
        <v>345</v>
      </c>
      <c r="J18" s="9" t="s">
        <v>336</v>
      </c>
      <c r="K18" s="9" t="s">
        <v>346</v>
      </c>
      <c r="L18" s="9" t="s">
        <v>347</v>
      </c>
      <c r="M18" s="9" t="s">
        <v>348</v>
      </c>
      <c r="N18" s="9" t="s">
        <v>349</v>
      </c>
      <c r="O18" s="9" t="s">
        <v>349</v>
      </c>
      <c r="P18" s="12">
        <f t="shared" ref="P18:Q18" si="4">SUM(P14:P17)</f>
        <v>978</v>
      </c>
      <c r="Q18" s="12">
        <f t="shared" si="4"/>
        <v>1826</v>
      </c>
      <c r="R18" s="13"/>
      <c r="S18" s="13"/>
      <c r="T18" s="13"/>
      <c r="U18" s="13"/>
      <c r="V18" s="13"/>
      <c r="W18" s="13"/>
      <c r="X18" s="12">
        <f>SUM(X14:X17)</f>
        <v>734</v>
      </c>
      <c r="Y18" s="2">
        <f ca="1">IFERROR(__xludf.DUMMYFUNCTION("INDEX(IMPORTRANGE(""1y0FWgjbB0gVlqn-q5LMJbGIsqOrzru4yowQz67dz2yc"", ""'APO'!BG3:BG139""),MATCH($D18,IMPORTRANGE(""1y0FWgjbB0gVlqn-q5LMJbGIsqOrzru4yowQz67dz2yc"", ""'APO'!D3:D139""),0))"),1409)</f>
        <v>1409</v>
      </c>
      <c r="Z18" s="2">
        <f ca="1">IFERROR(__xludf.DUMMYFUNCTION("INDEX(IMPORTRANGE(""1y0FWgjbB0gVlqn-q5LMJbGIsqOrzru4yowQz67dz2yc"", ""'APO'!BH3:BH139""),MATCH($D18,IMPORTRANGE(""1y0FWgjbB0gVlqn-q5LMJbGIsqOrzru4yowQz67dz2yc"", ""'APO'!D3:D139""),0))"),623)</f>
        <v>623</v>
      </c>
      <c r="AA18" s="2">
        <f ca="1">IFERROR(__xludf.DUMMYFUNCTION("INDEX(IMPORTRANGE(""1y0FWgjbB0gVlqn-q5LMJbGIsqOrzru4yowQz67dz2yc"", ""'APO'!BI3:BI139""),MATCH($D18,IMPORTRANGE(""1y0FWgjbB0gVlqn-q5LMJbGIsqOrzru4yowQz67dz2yc"", ""'APO'!D3:D139""),0))"),1257)</f>
        <v>1257</v>
      </c>
      <c r="AB18" s="2">
        <f ca="1">IFERROR(__xludf.DUMMYFUNCTION("INDEX(IMPORTRANGE(""1y0FWgjbB0gVlqn-q5LMJbGIsqOrzru4yowQz67dz2yc"", ""'APO'!BJ3:BJ139""),MATCH($D18,IMPORTRANGE(""1y0FWgjbB0gVlqn-q5LMJbGIsqOrzru4yowQz67dz2yc"", ""'APO'!D3:D139""),0))"),658)</f>
        <v>658</v>
      </c>
      <c r="AC18" s="12"/>
    </row>
    <row r="19" spans="1:29">
      <c r="A19" s="149" t="s">
        <v>52</v>
      </c>
      <c r="B19" s="149" t="s">
        <v>68</v>
      </c>
      <c r="C19" s="148" t="s">
        <v>36</v>
      </c>
      <c r="D19" s="149" t="s">
        <v>84</v>
      </c>
      <c r="E19" s="149" t="s">
        <v>76</v>
      </c>
      <c r="F19" s="9" t="s">
        <v>85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5">(SUM(P14:P17)/P2)*100000</f>
        <v>146.90552082363226</v>
      </c>
      <c r="Q19" s="23">
        <f t="shared" si="5"/>
        <v>274.28372292837679</v>
      </c>
      <c r="R19" s="2">
        <v>261.2</v>
      </c>
      <c r="S19" s="2">
        <v>134.6</v>
      </c>
      <c r="T19" s="2">
        <v>252.5</v>
      </c>
      <c r="U19" s="2">
        <v>130</v>
      </c>
      <c r="V19" s="2">
        <v>244.27</v>
      </c>
      <c r="W19" s="2">
        <v>243.13</v>
      </c>
      <c r="X19" s="23">
        <f>(SUM(X14:X17)/X2)*100000</f>
        <v>107.12560404099963</v>
      </c>
      <c r="Y19" s="24">
        <f ca="1">IFERROR(__xludf.DUMMYFUNCTION("INDEX(IMPORTRANGE(""1y0FWgjbB0gVlqn-q5LMJbGIsqOrzru4yowQz67dz2yc"", ""'APO'!BG3:BG139""),MATCH($D19,IMPORTRANGE(""1y0FWgjbB0gVlqn-q5LMJbGIsqOrzru4yowQz67dz2yc"", ""'APO'!D3:D139""),0))"),205.640294405679)</f>
        <v>205.64029440567899</v>
      </c>
      <c r="Z19" s="24">
        <f ca="1">IFERROR(__xludf.DUMMYFUNCTION("INDEX(IMPORTRANGE(""1y0FWgjbB0gVlqn-q5LMJbGIsqOrzru4yowQz67dz2yc"", ""'APO'!BH3:BH139""),MATCH($D19,IMPORTRANGE(""1y0FWgjbB0gVlqn-q5LMJbGIsqOrzru4yowQz67dz2yc"", ""'APO'!D3:D139""),0))"),89.8931526812833)</f>
        <v>89.893152681283297</v>
      </c>
      <c r="AA19" s="24">
        <f ca="1">IFERROR(__xludf.DUMMYFUNCTION("INDEX(IMPORTRANGE(""1y0FWgjbB0gVlqn-q5LMJbGIsqOrzru4yowQz67dz2yc"", ""'APO'!BI3:BI139""),MATCH($D19,IMPORTRANGE(""1y0FWgjbB0gVlqn-q5LMJbGIsqOrzru4yowQz67dz2yc"", ""'APO'!D3:D139""),0))"),181.373503885029)</f>
        <v>181.37350388502901</v>
      </c>
      <c r="AB19" s="24">
        <f ca="1">IFERROR(__xludf.DUMMYFUNCTION("INDEX(IMPORTRANGE(""1y0FWgjbB0gVlqn-q5LMJbGIsqOrzru4yowQz67dz2yc"", ""'APO'!BJ3:BJ139""),MATCH($D19,IMPORTRANGE(""1y0FWgjbB0gVlqn-q5LMJbGIsqOrzru4yowQz67dz2yc"", ""'APO'!D3:D139""),0))"),94.0519973185175)</f>
        <v>94.051997318517493</v>
      </c>
      <c r="AC19" s="24"/>
    </row>
    <row r="20" spans="1:29">
      <c r="A20" s="149" t="s">
        <v>52</v>
      </c>
      <c r="B20" s="149" t="s">
        <v>86</v>
      </c>
      <c r="C20" s="148" t="s">
        <v>30</v>
      </c>
      <c r="D20" s="149" t="s">
        <v>87</v>
      </c>
      <c r="E20" s="149" t="s">
        <v>76</v>
      </c>
      <c r="F20" s="9" t="s">
        <v>88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2213</v>
      </c>
      <c r="Q20" s="12">
        <v>5571</v>
      </c>
      <c r="R20" s="13"/>
      <c r="S20" s="13"/>
      <c r="T20" s="13"/>
      <c r="U20" s="13"/>
      <c r="V20" s="13"/>
      <c r="W20" s="13"/>
      <c r="X20" s="12">
        <v>2488</v>
      </c>
      <c r="Y20" s="2">
        <f ca="1">IFERROR(__xludf.DUMMYFUNCTION("INDEX(IMPORTRANGE(""1y0FWgjbB0gVlqn-q5LMJbGIsqOrzru4yowQz67dz2yc"", ""'APO'!BG3:BG139""),MATCH($D20,IMPORTRANGE(""1y0FWgjbB0gVlqn-q5LMJbGIsqOrzru4yowQz67dz2yc"", ""'APO'!D3:D139""),0))"),5401)</f>
        <v>5401</v>
      </c>
      <c r="Z20" s="2">
        <f ca="1">IFERROR(__xludf.DUMMYFUNCTION("INDEX(IMPORTRANGE(""1y0FWgjbB0gVlqn-q5LMJbGIsqOrzru4yowQz67dz2yc"", ""'APO'!BH3:BH139""),MATCH($D20,IMPORTRANGE(""1y0FWgjbB0gVlqn-q5LMJbGIsqOrzru4yowQz67dz2yc"", ""'APO'!D3:D139""),0))"),2134)</f>
        <v>2134</v>
      </c>
      <c r="AA20" s="2">
        <f ca="1">IFERROR(__xludf.DUMMYFUNCTION("INDEX(IMPORTRANGE(""1y0FWgjbB0gVlqn-q5LMJbGIsqOrzru4yowQz67dz2yc"", ""'APO'!BI3:BI139""),MATCH($D20,IMPORTRANGE(""1y0FWgjbB0gVlqn-q5LMJbGIsqOrzru4yowQz67dz2yc"", ""'APO'!D3:D139""),0))"),4580)</f>
        <v>4580</v>
      </c>
      <c r="AB20" s="2">
        <f ca="1">IFERROR(__xludf.DUMMYFUNCTION("INDEX(IMPORTRANGE(""1y0FWgjbB0gVlqn-q5LMJbGIsqOrzru4yowQz67dz2yc"", ""'APO'!BJ3:BJ139""),MATCH($D20,IMPORTRANGE(""1y0FWgjbB0gVlqn-q5LMJbGIsqOrzru4yowQz67dz2yc"", ""'APO'!D3:D139""),0))"),1816)</f>
        <v>1816</v>
      </c>
      <c r="AC20" s="2"/>
    </row>
    <row r="21" spans="1:29">
      <c r="A21" s="149" t="s">
        <v>52</v>
      </c>
      <c r="B21" s="149" t="s">
        <v>86</v>
      </c>
      <c r="C21" s="148" t="s">
        <v>36</v>
      </c>
      <c r="D21" s="149" t="s">
        <v>89</v>
      </c>
      <c r="E21" s="149" t="s">
        <v>76</v>
      </c>
      <c r="F21" s="9" t="s">
        <v>90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6">(P20/P$2)*100000</f>
        <v>332.41504865306564</v>
      </c>
      <c r="Q21" s="23">
        <f t="shared" si="6"/>
        <v>836.82071217633472</v>
      </c>
      <c r="R21" s="2">
        <v>797.02</v>
      </c>
      <c r="S21" s="2">
        <v>309.79000000000002</v>
      </c>
      <c r="T21" s="2">
        <v>779.31</v>
      </c>
      <c r="U21" s="2">
        <v>298.02</v>
      </c>
      <c r="V21" s="2">
        <v>761.13</v>
      </c>
      <c r="W21" s="2">
        <v>757.56</v>
      </c>
      <c r="X21" s="23">
        <f>(X20/X$2)*100000</f>
        <v>363.11785129973714</v>
      </c>
      <c r="Y21" s="24">
        <f ca="1">IFERROR(__xludf.DUMMYFUNCTION("INDEX(IMPORTRANGE(""1y0FWgjbB0gVlqn-q5LMJbGIsqOrzru4yowQz67dz2yc"", ""'APO'!BG3:BG139""),MATCH($D21,IMPORTRANGE(""1y0FWgjbB0gVlqn-q5LMJbGIsqOrzru4yowQz67dz2yc"", ""'APO'!D3:D139""),0))"),788.263470606865)</f>
        <v>788.26347060686498</v>
      </c>
      <c r="Z21" s="24">
        <f ca="1">IFERROR(__xludf.DUMMYFUNCTION("INDEX(IMPORTRANGE(""1y0FWgjbB0gVlqn-q5LMJbGIsqOrzru4yowQz67dz2yc"", ""'APO'!BH3:BH139""),MATCH($D21,IMPORTRANGE(""1y0FWgjbB0gVlqn-q5LMJbGIsqOrzru4yowQz67dz2yc"", ""'APO'!D3:D139""),0))"),307.916513357718)</f>
        <v>307.91651335771797</v>
      </c>
      <c r="AA21" s="24">
        <f ca="1">IFERROR(__xludf.DUMMYFUNCTION("INDEX(IMPORTRANGE(""1y0FWgjbB0gVlqn-q5LMJbGIsqOrzru4yowQz67dz2yc"", ""'APO'!BI3:BI139""),MATCH($D21,IMPORTRANGE(""1y0FWgjbB0gVlqn-q5LMJbGIsqOrzru4yowQz67dz2yc"", ""'APO'!D3:D139""),0))"),660.851748443463)</f>
        <v>660.85174844346295</v>
      </c>
      <c r="AB21" s="24">
        <f ca="1">IFERROR(__xludf.DUMMYFUNCTION("INDEX(IMPORTRANGE(""1y0FWgjbB0gVlqn-q5LMJbGIsqOrzru4yowQz67dz2yc"", ""'APO'!BJ3:BJ139""),MATCH($D21,IMPORTRANGE(""1y0FWgjbB0gVlqn-q5LMJbGIsqOrzru4yowQz67dz2yc"", ""'APO'!D3:D139""),0))"),259.572077705817)</f>
        <v>259.57207770581698</v>
      </c>
      <c r="AC21" s="24"/>
    </row>
    <row r="22" spans="1:29">
      <c r="A22" s="149" t="s">
        <v>52</v>
      </c>
      <c r="B22" s="149" t="s">
        <v>86</v>
      </c>
      <c r="C22" s="148" t="s">
        <v>30</v>
      </c>
      <c r="D22" s="149" t="s">
        <v>91</v>
      </c>
      <c r="E22" s="149" t="s">
        <v>76</v>
      </c>
      <c r="F22" s="9" t="s">
        <v>92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367</v>
      </c>
      <c r="Q22" s="12">
        <v>810</v>
      </c>
      <c r="R22" s="13"/>
      <c r="S22" s="13"/>
      <c r="T22" s="13"/>
      <c r="U22" s="13"/>
      <c r="V22" s="13"/>
      <c r="W22" s="13"/>
      <c r="X22" s="12">
        <v>365</v>
      </c>
      <c r="Y22" s="2">
        <f ca="1">IFERROR(__xludf.DUMMYFUNCTION("INDEX(IMPORTRANGE(""1y0FWgjbB0gVlqn-q5LMJbGIsqOrzru4yowQz67dz2yc"", ""'APO'!BG3:BG139""),MATCH($D22,IMPORTRANGE(""1y0FWgjbB0gVlqn-q5LMJbGIsqOrzru4yowQz67dz2yc"", ""'APO'!D3:D139""),0))"),810)</f>
        <v>810</v>
      </c>
      <c r="Z22" s="2">
        <f ca="1">IFERROR(__xludf.DUMMYFUNCTION("INDEX(IMPORTRANGE(""1y0FWgjbB0gVlqn-q5LMJbGIsqOrzru4yowQz67dz2yc"", ""'APO'!BH3:BH139""),MATCH($D22,IMPORTRANGE(""1y0FWgjbB0gVlqn-q5LMJbGIsqOrzru4yowQz67dz2yc"", ""'APO'!D3:D139""),0))"),296)</f>
        <v>296</v>
      </c>
      <c r="AA22" s="2">
        <f ca="1">IFERROR(__xludf.DUMMYFUNCTION("INDEX(IMPORTRANGE(""1y0FWgjbB0gVlqn-q5LMJbGIsqOrzru4yowQz67dz2yc"", ""'APO'!BI3:BI139""),MATCH($D22,IMPORTRANGE(""1y0FWgjbB0gVlqn-q5LMJbGIsqOrzru4yowQz67dz2yc"", ""'APO'!D3:D139""),0))"),673)</f>
        <v>673</v>
      </c>
      <c r="AB22" s="2">
        <f ca="1">IFERROR(__xludf.DUMMYFUNCTION("INDEX(IMPORTRANGE(""1y0FWgjbB0gVlqn-q5LMJbGIsqOrzru4yowQz67dz2yc"", ""'APO'!BJ3:BJ139""),MATCH($D22,IMPORTRANGE(""1y0FWgjbB0gVlqn-q5LMJbGIsqOrzru4yowQz67dz2yc"", ""'APO'!D3:D139""),0))"),253)</f>
        <v>253</v>
      </c>
      <c r="AC22" s="2"/>
    </row>
    <row r="23" spans="1:29">
      <c r="A23" s="149" t="s">
        <v>52</v>
      </c>
      <c r="B23" s="149" t="s">
        <v>86</v>
      </c>
      <c r="C23" s="148" t="s">
        <v>36</v>
      </c>
      <c r="D23" s="149" t="s">
        <v>93</v>
      </c>
      <c r="E23" s="149" t="s">
        <v>76</v>
      </c>
      <c r="F23" s="9" t="s">
        <v>94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7">(P22/P$2)*100000</f>
        <v>55.127122844859954</v>
      </c>
      <c r="Q23" s="23">
        <f t="shared" si="7"/>
        <v>121.67021663306967</v>
      </c>
      <c r="R23" s="2">
        <v>116.46</v>
      </c>
      <c r="S23" s="2">
        <v>51.36</v>
      </c>
      <c r="T23" s="2">
        <v>112.97</v>
      </c>
      <c r="U23" s="2">
        <v>50.17</v>
      </c>
      <c r="V23" s="2">
        <v>110.77</v>
      </c>
      <c r="W23" s="2">
        <v>110.34</v>
      </c>
      <c r="X23" s="23">
        <f>(X22/X$2)*100000</f>
        <v>53.270906641641503</v>
      </c>
      <c r="Y23" s="24">
        <f ca="1">IFERROR(__xludf.DUMMYFUNCTION("INDEX(IMPORTRANGE(""1y0FWgjbB0gVlqn-q5LMJbGIsqOrzru4yowQz67dz2yc"", ""'APO'!BG3:BG139""),MATCH($D23,IMPORTRANGE(""1y0FWgjbB0gVlqn-q5LMJbGIsqOrzru4yowQz67dz2yc"", ""'APO'!D3:D139""),0))"),118.217628437615)</f>
        <v>118.21762843761501</v>
      </c>
      <c r="Z23" s="24">
        <f ca="1">IFERROR(__xludf.DUMMYFUNCTION("INDEX(IMPORTRANGE(""1y0FWgjbB0gVlqn-q5LMJbGIsqOrzru4yowQz67dz2yc"", ""'APO'!BH3:BH139""),MATCH($D23,IMPORTRANGE(""1y0FWgjbB0gVlqn-q5LMJbGIsqOrzru4yowQz67dz2yc"", ""'APO'!D3:D139""),0))"),42.7100693317172)</f>
        <v>42.7100693317172</v>
      </c>
      <c r="AA23" s="24">
        <f ca="1">IFERROR(__xludf.DUMMYFUNCTION("INDEX(IMPORTRANGE(""1y0FWgjbB0gVlqn-q5LMJbGIsqOrzru4yowQz67dz2yc"", ""'APO'!BI3:BI139""),MATCH($D23,IMPORTRANGE(""1y0FWgjbB0gVlqn-q5LMJbGIsqOrzru4yowQz67dz2yc"", ""'APO'!D3:D139""),0))"),97.107691419749)</f>
        <v>97.107691419749003</v>
      </c>
      <c r="AB23" s="24">
        <f ca="1">IFERROR(__xludf.DUMMYFUNCTION("INDEX(IMPORTRANGE(""1y0FWgjbB0gVlqn-q5LMJbGIsqOrzru4yowQz67dz2yc"", ""'APO'!BJ3:BJ139""),MATCH($D23,IMPORTRANGE(""1y0FWgjbB0gVlqn-q5LMJbGIsqOrzru4yowQz67dz2yc"", ""'APO'!D3:D139""),0))"),36.1628500328038)</f>
        <v>36.162850032803803</v>
      </c>
      <c r="AC23" s="24"/>
    </row>
    <row r="24" spans="1:29">
      <c r="A24" s="149" t="s">
        <v>52</v>
      </c>
      <c r="B24" s="149" t="s">
        <v>86</v>
      </c>
      <c r="C24" s="148" t="s">
        <v>30</v>
      </c>
      <c r="D24" s="149" t="s">
        <v>95</v>
      </c>
      <c r="E24" s="149" t="s">
        <v>76</v>
      </c>
      <c r="F24" s="9" t="s">
        <v>96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4</v>
      </c>
      <c r="Q24" s="12">
        <v>17</v>
      </c>
      <c r="R24" s="13"/>
      <c r="S24" s="13"/>
      <c r="T24" s="13"/>
      <c r="U24" s="13"/>
      <c r="V24" s="13"/>
      <c r="W24" s="13"/>
      <c r="X24" s="12">
        <v>7</v>
      </c>
      <c r="Y24" s="2">
        <f ca="1">IFERROR(__xludf.DUMMYFUNCTION("INDEX(IMPORTRANGE(""1y0FWgjbB0gVlqn-q5LMJbGIsqOrzru4yowQz67dz2yc"", ""'APO'!BG3:BG139""),MATCH($D24,IMPORTRANGE(""1y0FWgjbB0gVlqn-q5LMJbGIsqOrzru4yowQz67dz2yc"", ""'APO'!D3:D139""),0))"),23)</f>
        <v>23</v>
      </c>
      <c r="Z24" s="2">
        <f ca="1">IFERROR(__xludf.DUMMYFUNCTION("INDEX(IMPORTRANGE(""1y0FWgjbB0gVlqn-q5LMJbGIsqOrzru4yowQz67dz2yc"", ""'APO'!BH3:BH139""),MATCH($D24,IMPORTRANGE(""1y0FWgjbB0gVlqn-q5LMJbGIsqOrzru4yowQz67dz2yc"", ""'APO'!D3:D139""),0))"),10)</f>
        <v>10</v>
      </c>
      <c r="AA24" s="2">
        <f ca="1">IFERROR(__xludf.DUMMYFUNCTION("INDEX(IMPORTRANGE(""1y0FWgjbB0gVlqn-q5LMJbGIsqOrzru4yowQz67dz2yc"", ""'APO'!BI3:BI139""),MATCH($D24,IMPORTRANGE(""1y0FWgjbB0gVlqn-q5LMJbGIsqOrzru4yowQz67dz2yc"", ""'APO'!D3:D139""),0))"),28)</f>
        <v>28</v>
      </c>
      <c r="AB24" s="2">
        <f ca="1">IFERROR(__xludf.DUMMYFUNCTION("INDEX(IMPORTRANGE(""1y0FWgjbB0gVlqn-q5LMJbGIsqOrzru4yowQz67dz2yc"", ""'APO'!BJ3:BJ139""),MATCH($D24,IMPORTRANGE(""1y0FWgjbB0gVlqn-q5LMJbGIsqOrzru4yowQz67dz2yc"", ""'APO'!D3:D139""),0))"),19)</f>
        <v>19</v>
      </c>
      <c r="AC24" s="2"/>
    </row>
    <row r="25" spans="1:29">
      <c r="A25" s="149" t="s">
        <v>52</v>
      </c>
      <c r="B25" s="149" t="s">
        <v>86</v>
      </c>
      <c r="C25" s="148" t="s">
        <v>30</v>
      </c>
      <c r="D25" s="149" t="s">
        <v>97</v>
      </c>
      <c r="E25" s="149" t="s">
        <v>76</v>
      </c>
      <c r="F25" s="9" t="s">
        <v>98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17</v>
      </c>
      <c r="Q25" s="12">
        <v>31</v>
      </c>
      <c r="R25" s="13"/>
      <c r="S25" s="13"/>
      <c r="T25" s="13"/>
      <c r="U25" s="13"/>
      <c r="V25" s="13"/>
      <c r="W25" s="13"/>
      <c r="X25" s="12">
        <v>5</v>
      </c>
      <c r="Y25" s="2">
        <f ca="1">IFERROR(__xludf.DUMMYFUNCTION("INDEX(IMPORTRANGE(""1y0FWgjbB0gVlqn-q5LMJbGIsqOrzru4yowQz67dz2yc"", ""'APO'!BG3:BG139""),MATCH($D25,IMPORTRANGE(""1y0FWgjbB0gVlqn-q5LMJbGIsqOrzru4yowQz67dz2yc"", ""'APO'!D3:D139""),0))"),19)</f>
        <v>19</v>
      </c>
      <c r="Z25" s="2">
        <f ca="1">IFERROR(__xludf.DUMMYFUNCTION("INDEX(IMPORTRANGE(""1y0FWgjbB0gVlqn-q5LMJbGIsqOrzru4yowQz67dz2yc"", ""'APO'!BH3:BH139""),MATCH($D25,IMPORTRANGE(""1y0FWgjbB0gVlqn-q5LMJbGIsqOrzru4yowQz67dz2yc"", ""'APO'!D3:D139""),0))"),6)</f>
        <v>6</v>
      </c>
      <c r="AA25" s="2">
        <f ca="1">IFERROR(__xludf.DUMMYFUNCTION("INDEX(IMPORTRANGE(""1y0FWgjbB0gVlqn-q5LMJbGIsqOrzru4yowQz67dz2yc"", ""'APO'!BI3:BI139""),MATCH($D25,IMPORTRANGE(""1y0FWgjbB0gVlqn-q5LMJbGIsqOrzru4yowQz67dz2yc"", ""'APO'!D3:D139""),0))"),24)</f>
        <v>24</v>
      </c>
      <c r="AB25" s="2">
        <f ca="1">IFERROR(__xludf.DUMMYFUNCTION("INDEX(IMPORTRANGE(""1y0FWgjbB0gVlqn-q5LMJbGIsqOrzru4yowQz67dz2yc"", ""'APO'!BJ3:BJ139""),MATCH($D25,IMPORTRANGE(""1y0FWgjbB0gVlqn-q5LMJbGIsqOrzru4yowQz67dz2yc"", ""'APO'!D3:D139""),0))"),7)</f>
        <v>7</v>
      </c>
      <c r="AC25" s="2"/>
    </row>
    <row r="26" spans="1:29">
      <c r="A26" s="149" t="s">
        <v>52</v>
      </c>
      <c r="B26" s="149" t="s">
        <v>86</v>
      </c>
      <c r="C26" s="148" t="s">
        <v>30</v>
      </c>
      <c r="D26" s="149" t="s">
        <v>99</v>
      </c>
      <c r="E26" s="149" t="s">
        <v>76</v>
      </c>
      <c r="F26" s="9" t="s">
        <v>100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13</v>
      </c>
      <c r="Q26" s="12">
        <v>20</v>
      </c>
      <c r="R26" s="13"/>
      <c r="S26" s="13"/>
      <c r="T26" s="13"/>
      <c r="U26" s="13"/>
      <c r="V26" s="13"/>
      <c r="W26" s="13"/>
      <c r="X26" s="12">
        <v>2</v>
      </c>
      <c r="Y26" s="2">
        <f ca="1">IFERROR(__xludf.DUMMYFUNCTION("INDEX(IMPORTRANGE(""1y0FWgjbB0gVlqn-q5LMJbGIsqOrzru4yowQz67dz2yc"", ""'APO'!BG3:BG139""),MATCH($D26,IMPORTRANGE(""1y0FWgjbB0gVlqn-q5LMJbGIsqOrzru4yowQz67dz2yc"", ""'APO'!D3:D139""),0))"),7)</f>
        <v>7</v>
      </c>
      <c r="Z26" s="2">
        <f ca="1">IFERROR(__xludf.DUMMYFUNCTION("INDEX(IMPORTRANGE(""1y0FWgjbB0gVlqn-q5LMJbGIsqOrzru4yowQz67dz2yc"", ""'APO'!BH3:BH139""),MATCH($D26,IMPORTRANGE(""1y0FWgjbB0gVlqn-q5LMJbGIsqOrzru4yowQz67dz2yc"", ""'APO'!D3:D139""),0))"),7)</f>
        <v>7</v>
      </c>
      <c r="AA26" s="2">
        <f ca="1">IFERROR(__xludf.DUMMYFUNCTION("INDEX(IMPORTRANGE(""1y0FWgjbB0gVlqn-q5LMJbGIsqOrzru4yowQz67dz2yc"", ""'APO'!BI3:BI139""),MATCH($D26,IMPORTRANGE(""1y0FWgjbB0gVlqn-q5LMJbGIsqOrzru4yowQz67dz2yc"", ""'APO'!D3:D139""),0))"),10)</f>
        <v>10</v>
      </c>
      <c r="AB26" s="2">
        <f ca="1">IFERROR(__xludf.DUMMYFUNCTION("INDEX(IMPORTRANGE(""1y0FWgjbB0gVlqn-q5LMJbGIsqOrzru4yowQz67dz2yc"", ""'APO'!BJ3:BJ139""),MATCH($D26,IMPORTRANGE(""1y0FWgjbB0gVlqn-q5LMJbGIsqOrzru4yowQz67dz2yc"", ""'APO'!D3:D139""),0))"),3)</f>
        <v>3</v>
      </c>
      <c r="AC26" s="2"/>
    </row>
    <row r="27" spans="1:29">
      <c r="A27" s="149" t="s">
        <v>52</v>
      </c>
      <c r="B27" s="149" t="s">
        <v>86</v>
      </c>
      <c r="C27" s="148" t="s">
        <v>30</v>
      </c>
      <c r="D27" s="149" t="s">
        <v>101</v>
      </c>
      <c r="E27" s="149" t="s">
        <v>76</v>
      </c>
      <c r="F27" s="9" t="s">
        <v>102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13"/>
      <c r="S27" s="13"/>
      <c r="T27" s="13"/>
      <c r="U27" s="13"/>
      <c r="V27" s="13"/>
      <c r="W27" s="13"/>
      <c r="X27" s="12">
        <v>0</v>
      </c>
      <c r="Y27" s="2">
        <f ca="1">IFERROR(__xludf.DUMMYFUNCTION("INDEX(IMPORTRANGE(""1y0FWgjbB0gVlqn-q5LMJbGIsqOrzru4yowQz67dz2yc"", ""'APO'!BG3:BG139""),MATCH($D27,IMPORTRANGE(""1y0FWgjbB0gVlqn-q5LMJbGIsqOrzru4yowQz67dz2yc"", ""'APO'!D3:D139""),0))"),1)</f>
        <v>1</v>
      </c>
      <c r="Z27" s="2">
        <f ca="1">IFERROR(__xludf.DUMMYFUNCTION("INDEX(IMPORTRANGE(""1y0FWgjbB0gVlqn-q5LMJbGIsqOrzru4yowQz67dz2yc"", ""'APO'!BH3:BH139""),MATCH($D27,IMPORTRANGE(""1y0FWgjbB0gVlqn-q5LMJbGIsqOrzru4yowQz67dz2yc"", ""'APO'!D3:D139""),0))"),0)</f>
        <v>0</v>
      </c>
      <c r="AA27" s="2">
        <f ca="1">IFERROR(__xludf.DUMMYFUNCTION("INDEX(IMPORTRANGE(""1y0FWgjbB0gVlqn-q5LMJbGIsqOrzru4yowQz67dz2yc"", ""'APO'!BI3:BI139""),MATCH($D27,IMPORTRANGE(""1y0FWgjbB0gVlqn-q5LMJbGIsqOrzru4yowQz67dz2yc"", ""'APO'!D3:D139""),0))"),1)</f>
        <v>1</v>
      </c>
      <c r="AB27" s="2">
        <f ca="1">IFERROR(__xludf.DUMMYFUNCTION("INDEX(IMPORTRANGE(""1y0FWgjbB0gVlqn-q5LMJbGIsqOrzru4yowQz67dz2yc"", ""'APO'!BJ3:BJ139""),MATCH($D27,IMPORTRANGE(""1y0FWgjbB0gVlqn-q5LMJbGIsqOrzru4yowQz67dz2yc"", ""'APO'!D3:D139""),0))"),0)</f>
        <v>0</v>
      </c>
      <c r="AC27" s="2"/>
    </row>
    <row r="28" spans="1:29">
      <c r="A28" s="149" t="s">
        <v>52</v>
      </c>
      <c r="B28" s="149" t="s">
        <v>86</v>
      </c>
      <c r="C28" s="148" t="s">
        <v>30</v>
      </c>
      <c r="D28" s="149" t="s">
        <v>103</v>
      </c>
      <c r="E28" s="149" t="s">
        <v>76</v>
      </c>
      <c r="F28" s="9" t="s">
        <v>104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2</v>
      </c>
      <c r="R28" s="13"/>
      <c r="S28" s="13"/>
      <c r="T28" s="13"/>
      <c r="U28" s="13"/>
      <c r="V28" s="13"/>
      <c r="W28" s="13"/>
      <c r="X28" s="12">
        <v>0</v>
      </c>
      <c r="Y28" s="2">
        <f ca="1">IFERROR(__xludf.DUMMYFUNCTION("INDEX(IMPORTRANGE(""1y0FWgjbB0gVlqn-q5LMJbGIsqOrzru4yowQz67dz2yc"", ""'APO'!BG3:BG139""),MATCH($D28,IMPORTRANGE(""1y0FWgjbB0gVlqn-q5LMJbGIsqOrzru4yowQz67dz2yc"", ""'APO'!D3:D139""),0))"),1)</f>
        <v>1</v>
      </c>
      <c r="Z28" s="2">
        <f ca="1">IFERROR(__xludf.DUMMYFUNCTION("INDEX(IMPORTRANGE(""1y0FWgjbB0gVlqn-q5LMJbGIsqOrzru4yowQz67dz2yc"", ""'APO'!BH3:BH139""),MATCH($D28,IMPORTRANGE(""1y0FWgjbB0gVlqn-q5LMJbGIsqOrzru4yowQz67dz2yc"", ""'APO'!D3:D139""),0))"),0)</f>
        <v>0</v>
      </c>
      <c r="AA28" s="2">
        <f ca="1">IFERROR(__xludf.DUMMYFUNCTION("INDEX(IMPORTRANGE(""1y0FWgjbB0gVlqn-q5LMJbGIsqOrzru4yowQz67dz2yc"", ""'APO'!BI3:BI139""),MATCH($D28,IMPORTRANGE(""1y0FWgjbB0gVlqn-q5LMJbGIsqOrzru4yowQz67dz2yc"", ""'APO'!D3:D139""),0))"),0)</f>
        <v>0</v>
      </c>
      <c r="AB28" s="2">
        <f ca="1">IFERROR(__xludf.DUMMYFUNCTION("INDEX(IMPORTRANGE(""1y0FWgjbB0gVlqn-q5LMJbGIsqOrzru4yowQz67dz2yc"", ""'APO'!BJ3:BJ139""),MATCH($D28,IMPORTRANGE(""1y0FWgjbB0gVlqn-q5LMJbGIsqOrzru4yowQz67dz2yc"", ""'APO'!D3:D139""),0))"),0)</f>
        <v>0</v>
      </c>
      <c r="AC28" s="2"/>
    </row>
    <row r="29" spans="1:29">
      <c r="A29" s="149" t="s">
        <v>52</v>
      </c>
      <c r="B29" s="149" t="s">
        <v>86</v>
      </c>
      <c r="C29" s="148" t="s">
        <v>30</v>
      </c>
      <c r="D29" s="149" t="s">
        <v>105</v>
      </c>
      <c r="E29" s="149" t="s">
        <v>76</v>
      </c>
      <c r="F29" s="9" t="s">
        <v>106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13"/>
      <c r="S29" s="13"/>
      <c r="T29" s="13"/>
      <c r="U29" s="13"/>
      <c r="V29" s="13"/>
      <c r="W29" s="13"/>
      <c r="X29" s="12">
        <v>0</v>
      </c>
      <c r="Y29" s="2">
        <f ca="1">IFERROR(__xludf.DUMMYFUNCTION("INDEX(IMPORTRANGE(""1y0FWgjbB0gVlqn-q5LMJbGIsqOrzru4yowQz67dz2yc"", ""'APO'!BG3:BG139""),MATCH($D29,IMPORTRANGE(""1y0FWgjbB0gVlqn-q5LMJbGIsqOrzru4yowQz67dz2yc"", ""'APO'!D3:D139""),0))"),0)</f>
        <v>0</v>
      </c>
      <c r="Z29" s="2">
        <f ca="1">IFERROR(__xludf.DUMMYFUNCTION("INDEX(IMPORTRANGE(""1y0FWgjbB0gVlqn-q5LMJbGIsqOrzru4yowQz67dz2yc"", ""'APO'!BH3:BH139""),MATCH($D29,IMPORTRANGE(""1y0FWgjbB0gVlqn-q5LMJbGIsqOrzru4yowQz67dz2yc"", ""'APO'!D3:D139""),0))"),0)</f>
        <v>0</v>
      </c>
      <c r="AA29" s="2">
        <f ca="1">IFERROR(__xludf.DUMMYFUNCTION("INDEX(IMPORTRANGE(""1y0FWgjbB0gVlqn-q5LMJbGIsqOrzru4yowQz67dz2yc"", ""'APO'!BI3:BI139""),MATCH($D29,IMPORTRANGE(""1y0FWgjbB0gVlqn-q5LMJbGIsqOrzru4yowQz67dz2yc"", ""'APO'!D3:D139""),0))"),0)</f>
        <v>0</v>
      </c>
      <c r="AB29" s="2">
        <f ca="1">IFERROR(__xludf.DUMMYFUNCTION("INDEX(IMPORTRANGE(""1y0FWgjbB0gVlqn-q5LMJbGIsqOrzru4yowQz67dz2yc"", ""'APO'!BJ3:BJ139""),MATCH($D29,IMPORTRANGE(""1y0FWgjbB0gVlqn-q5LMJbGIsqOrzru4yowQz67dz2yc"", ""'APO'!D3:D139""),0))"),0)</f>
        <v>0</v>
      </c>
      <c r="AC29" s="2"/>
    </row>
    <row r="30" spans="1:29">
      <c r="A30" s="149" t="s">
        <v>52</v>
      </c>
      <c r="B30" s="149" t="s">
        <v>86</v>
      </c>
      <c r="C30" s="148" t="s">
        <v>30</v>
      </c>
      <c r="D30" s="149" t="s">
        <v>107</v>
      </c>
      <c r="E30" s="149" t="s">
        <v>76</v>
      </c>
      <c r="F30" s="9" t="s">
        <v>108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3</v>
      </c>
      <c r="Q30" s="12">
        <v>10</v>
      </c>
      <c r="R30" s="13"/>
      <c r="S30" s="13"/>
      <c r="T30" s="13"/>
      <c r="U30" s="13"/>
      <c r="V30" s="13"/>
      <c r="W30" s="13"/>
      <c r="X30" s="12">
        <v>4</v>
      </c>
      <c r="Y30" s="2">
        <f ca="1">IFERROR(__xludf.DUMMYFUNCTION("INDEX(IMPORTRANGE(""1y0FWgjbB0gVlqn-q5LMJbGIsqOrzru4yowQz67dz2yc"", ""'APO'!BG3:BG139""),MATCH($D30,IMPORTRANGE(""1y0FWgjbB0gVlqn-q5LMJbGIsqOrzru4yowQz67dz2yc"", ""'APO'!D3:D139""),0))"),11)</f>
        <v>11</v>
      </c>
      <c r="Z30" s="2">
        <f ca="1">IFERROR(__xludf.DUMMYFUNCTION("INDEX(IMPORTRANGE(""1y0FWgjbB0gVlqn-q5LMJbGIsqOrzru4yowQz67dz2yc"", ""'APO'!BH3:BH139""),MATCH($D30,IMPORTRANGE(""1y0FWgjbB0gVlqn-q5LMJbGIsqOrzru4yowQz67dz2yc"", ""'APO'!D3:D139""),0))"),1)</f>
        <v>1</v>
      </c>
      <c r="AA30" s="2">
        <f ca="1">IFERROR(__xludf.DUMMYFUNCTION("INDEX(IMPORTRANGE(""1y0FWgjbB0gVlqn-q5LMJbGIsqOrzru4yowQz67dz2yc"", ""'APO'!BI3:BI139""),MATCH($D30,IMPORTRANGE(""1y0FWgjbB0gVlqn-q5LMJbGIsqOrzru4yowQz67dz2yc"", ""'APO'!D3:D139""),0))"),5)</f>
        <v>5</v>
      </c>
      <c r="AB30" s="2">
        <f ca="1">IFERROR(__xludf.DUMMYFUNCTION("INDEX(IMPORTRANGE(""1y0FWgjbB0gVlqn-q5LMJbGIsqOrzru4yowQz67dz2yc"", ""'APO'!BJ3:BJ139""),MATCH($D30,IMPORTRANGE(""1y0FWgjbB0gVlqn-q5LMJbGIsqOrzru4yowQz67dz2yc"", ""'APO'!D3:D139""),0))"),2)</f>
        <v>2</v>
      </c>
      <c r="AC30" s="2"/>
    </row>
    <row r="31" spans="1:29">
      <c r="A31" s="149" t="s">
        <v>52</v>
      </c>
      <c r="B31" s="149" t="s">
        <v>86</v>
      </c>
      <c r="C31" s="148" t="s">
        <v>30</v>
      </c>
      <c r="D31" s="149" t="s">
        <v>109</v>
      </c>
      <c r="E31" s="149" t="s">
        <v>76</v>
      </c>
      <c r="F31" s="9" t="s">
        <v>110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1</v>
      </c>
      <c r="Q31" s="12">
        <v>1</v>
      </c>
      <c r="R31" s="13"/>
      <c r="S31" s="13"/>
      <c r="T31" s="13"/>
      <c r="U31" s="13"/>
      <c r="V31" s="13"/>
      <c r="W31" s="13"/>
      <c r="X31" s="12">
        <v>2</v>
      </c>
      <c r="Y31" s="2">
        <f ca="1">IFERROR(__xludf.DUMMYFUNCTION("INDEX(IMPORTRANGE(""1y0FWgjbB0gVlqn-q5LMJbGIsqOrzru4yowQz67dz2yc"", ""'APO'!BG3:BG139""),MATCH($D31,IMPORTRANGE(""1y0FWgjbB0gVlqn-q5LMJbGIsqOrzru4yowQz67dz2yc"", ""'APO'!D3:D139""),0))"),3)</f>
        <v>3</v>
      </c>
      <c r="Z31" s="2">
        <f ca="1">IFERROR(__xludf.DUMMYFUNCTION("INDEX(IMPORTRANGE(""1y0FWgjbB0gVlqn-q5LMJbGIsqOrzru4yowQz67dz2yc"", ""'APO'!BH3:BH139""),MATCH($D31,IMPORTRANGE(""1y0FWgjbB0gVlqn-q5LMJbGIsqOrzru4yowQz67dz2yc"", ""'APO'!D3:D139""),0))"),0)</f>
        <v>0</v>
      </c>
      <c r="AA31" s="2">
        <f ca="1">IFERROR(__xludf.DUMMYFUNCTION("INDEX(IMPORTRANGE(""1y0FWgjbB0gVlqn-q5LMJbGIsqOrzru4yowQz67dz2yc"", ""'APO'!BI3:BI139""),MATCH($D31,IMPORTRANGE(""1y0FWgjbB0gVlqn-q5LMJbGIsqOrzru4yowQz67dz2yc"", ""'APO'!D3:D139""),0))"),0)</f>
        <v>0</v>
      </c>
      <c r="AB31" s="2">
        <f ca="1">IFERROR(__xludf.DUMMYFUNCTION("INDEX(IMPORTRANGE(""1y0FWgjbB0gVlqn-q5LMJbGIsqOrzru4yowQz67dz2yc"", ""'APO'!BJ3:BJ139""),MATCH($D31,IMPORTRANGE(""1y0FWgjbB0gVlqn-q5LMJbGIsqOrzru4yowQz67dz2yc"", ""'APO'!D3:D139""),0))"),0)</f>
        <v>0</v>
      </c>
      <c r="AC31" s="2"/>
    </row>
    <row r="32" spans="1:29">
      <c r="A32" s="149" t="s">
        <v>52</v>
      </c>
      <c r="B32" s="149" t="s">
        <v>86</v>
      </c>
      <c r="C32" s="148" t="s">
        <v>30</v>
      </c>
      <c r="D32" s="149" t="s">
        <v>111</v>
      </c>
      <c r="E32" s="149" t="s">
        <v>76</v>
      </c>
      <c r="F32" s="9" t="s">
        <v>112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0</v>
      </c>
      <c r="Y32" s="2">
        <f ca="1">IFERROR(__xludf.DUMMYFUNCTION("INDEX(IMPORTRANGE(""1y0FWgjbB0gVlqn-q5LMJbGIsqOrzru4yowQz67dz2yc"", ""'APO'!BG3:BG139""),MATCH($D32,IMPORTRANGE(""1y0FWgjbB0gVlqn-q5LMJbGIsqOrzru4yowQz67dz2yc"", ""'APO'!D3:D139""),0))"),0)</f>
        <v>0</v>
      </c>
      <c r="Z32" s="2">
        <f ca="1">IFERROR(__xludf.DUMMYFUNCTION("INDEX(IMPORTRANGE(""1y0FWgjbB0gVlqn-q5LMJbGIsqOrzru4yowQz67dz2yc"", ""'APO'!BH3:BH139""),MATCH($D32,IMPORTRANGE(""1y0FWgjbB0gVlqn-q5LMJbGIsqOrzru4yowQz67dz2yc"", ""'APO'!D3:D139""),0))"),0)</f>
        <v>0</v>
      </c>
      <c r="AA32" s="2">
        <f ca="1">IFERROR(__xludf.DUMMYFUNCTION("INDEX(IMPORTRANGE(""1y0FWgjbB0gVlqn-q5LMJbGIsqOrzru4yowQz67dz2yc"", ""'APO'!BI3:BI139""),MATCH($D32,IMPORTRANGE(""1y0FWgjbB0gVlqn-q5LMJbGIsqOrzru4yowQz67dz2yc"", ""'APO'!D3:D139""),0))"),0)</f>
        <v>0</v>
      </c>
      <c r="AB32" s="2">
        <f ca="1">IFERROR(__xludf.DUMMYFUNCTION("INDEX(IMPORTRANGE(""1y0FWgjbB0gVlqn-q5LMJbGIsqOrzru4yowQz67dz2yc"", ""'APO'!BJ3:BJ139""),MATCH($D32,IMPORTRANGE(""1y0FWgjbB0gVlqn-q5LMJbGIsqOrzru4yowQz67dz2yc"", ""'APO'!D3:D139""),0))"),0)</f>
        <v>0</v>
      </c>
      <c r="AC32" s="2"/>
    </row>
    <row r="33" spans="1:29">
      <c r="A33" s="149" t="s">
        <v>52</v>
      </c>
      <c r="B33" s="149" t="s">
        <v>86</v>
      </c>
      <c r="C33" s="148" t="s">
        <v>30</v>
      </c>
      <c r="D33" s="149" t="s">
        <v>113</v>
      </c>
      <c r="E33" s="149" t="s">
        <v>76</v>
      </c>
      <c r="F33" s="9" t="s">
        <v>114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1</v>
      </c>
      <c r="Q33" s="12">
        <v>6</v>
      </c>
      <c r="R33" s="13"/>
      <c r="S33" s="13"/>
      <c r="T33" s="13"/>
      <c r="U33" s="13"/>
      <c r="V33" s="13"/>
      <c r="W33" s="13"/>
      <c r="X33" s="12">
        <v>2</v>
      </c>
      <c r="Y33" s="2">
        <f ca="1">IFERROR(__xludf.DUMMYFUNCTION("INDEX(IMPORTRANGE(""1y0FWgjbB0gVlqn-q5LMJbGIsqOrzru4yowQz67dz2yc"", ""'APO'!BG3:BG139""),MATCH($D33,IMPORTRANGE(""1y0FWgjbB0gVlqn-q5LMJbGIsqOrzru4yowQz67dz2yc"", ""'APO'!D3:D139""),0))"),2)</f>
        <v>2</v>
      </c>
      <c r="Z33" s="2">
        <f ca="1">IFERROR(__xludf.DUMMYFUNCTION("INDEX(IMPORTRANGE(""1y0FWgjbB0gVlqn-q5LMJbGIsqOrzru4yowQz67dz2yc"", ""'APO'!BH3:BH139""),MATCH($D33,IMPORTRANGE(""1y0FWgjbB0gVlqn-q5LMJbGIsqOrzru4yowQz67dz2yc"", ""'APO'!D3:D139""),0))"),4)</f>
        <v>4</v>
      </c>
      <c r="AA33" s="2">
        <f ca="1">IFERROR(__xludf.DUMMYFUNCTION("INDEX(IMPORTRANGE(""1y0FWgjbB0gVlqn-q5LMJbGIsqOrzru4yowQz67dz2yc"", ""'APO'!BI3:BI139""),MATCH($D33,IMPORTRANGE(""1y0FWgjbB0gVlqn-q5LMJbGIsqOrzru4yowQz67dz2yc"", ""'APO'!D3:D139""),0))"),6)</f>
        <v>6</v>
      </c>
      <c r="AB33" s="2">
        <f ca="1">IFERROR(__xludf.DUMMYFUNCTION("INDEX(IMPORTRANGE(""1y0FWgjbB0gVlqn-q5LMJbGIsqOrzru4yowQz67dz2yc"", ""'APO'!BJ3:BJ139""),MATCH($D33,IMPORTRANGE(""1y0FWgjbB0gVlqn-q5LMJbGIsqOrzru4yowQz67dz2yc"", ""'APO'!D3:D139""),0))"),1)</f>
        <v>1</v>
      </c>
      <c r="AC33" s="2"/>
    </row>
    <row r="34" spans="1:29">
      <c r="A34" s="149" t="s">
        <v>52</v>
      </c>
      <c r="B34" s="149" t="s">
        <v>86</v>
      </c>
      <c r="C34" s="148" t="s">
        <v>30</v>
      </c>
      <c r="D34" s="149" t="s">
        <v>115</v>
      </c>
      <c r="E34" s="149" t="s">
        <v>76</v>
      </c>
      <c r="F34" s="2" t="s">
        <v>116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1</v>
      </c>
      <c r="Q34" s="12">
        <v>1</v>
      </c>
      <c r="R34" s="13"/>
      <c r="S34" s="13"/>
      <c r="T34" s="13"/>
      <c r="U34" s="13"/>
      <c r="V34" s="13"/>
      <c r="W34" s="13"/>
      <c r="X34" s="12">
        <v>0</v>
      </c>
      <c r="Y34" s="2">
        <f ca="1">IFERROR(__xludf.DUMMYFUNCTION("INDEX(IMPORTRANGE(""1y0FWgjbB0gVlqn-q5LMJbGIsqOrzru4yowQz67dz2yc"", ""'APO'!BG3:BG139""),MATCH($D34,IMPORTRANGE(""1y0FWgjbB0gVlqn-q5LMJbGIsqOrzru4yowQz67dz2yc"", ""'APO'!D3:D139""),0))"),1)</f>
        <v>1</v>
      </c>
      <c r="Z34" s="2">
        <f ca="1">IFERROR(__xludf.DUMMYFUNCTION("INDEX(IMPORTRANGE(""1y0FWgjbB0gVlqn-q5LMJbGIsqOrzru4yowQz67dz2yc"", ""'APO'!BH3:BH139""),MATCH($D34,IMPORTRANGE(""1y0FWgjbB0gVlqn-q5LMJbGIsqOrzru4yowQz67dz2yc"", ""'APO'!D3:D139""),0))"),1)</f>
        <v>1</v>
      </c>
      <c r="AA34" s="2">
        <f ca="1">IFERROR(__xludf.DUMMYFUNCTION("INDEX(IMPORTRANGE(""1y0FWgjbB0gVlqn-q5LMJbGIsqOrzru4yowQz67dz2yc"", ""'APO'!BI3:BI139""),MATCH($D34,IMPORTRANGE(""1y0FWgjbB0gVlqn-q5LMJbGIsqOrzru4yowQz67dz2yc"", ""'APO'!D3:D139""),0))"),1)</f>
        <v>1</v>
      </c>
      <c r="AB34" s="2">
        <f ca="1">IFERROR(__xludf.DUMMYFUNCTION("INDEX(IMPORTRANGE(""1y0FWgjbB0gVlqn-q5LMJbGIsqOrzru4yowQz67dz2yc"", ""'APO'!BJ3:BJ139""),MATCH($D34,IMPORTRANGE(""1y0FWgjbB0gVlqn-q5LMJbGIsqOrzru4yowQz67dz2yc"", ""'APO'!D3:D139""),0))"),0)</f>
        <v>0</v>
      </c>
      <c r="AC34" s="2"/>
    </row>
    <row r="35" spans="1:29">
      <c r="A35" s="149" t="s">
        <v>52</v>
      </c>
      <c r="B35" s="149" t="s">
        <v>86</v>
      </c>
      <c r="C35" s="148" t="s">
        <v>30</v>
      </c>
      <c r="D35" s="149" t="s">
        <v>350</v>
      </c>
      <c r="E35" s="149" t="s">
        <v>76</v>
      </c>
      <c r="F35" s="2"/>
      <c r="G35" s="22" t="s">
        <v>343</v>
      </c>
      <c r="H35" s="22" t="s">
        <v>344</v>
      </c>
      <c r="I35" s="9" t="s">
        <v>345</v>
      </c>
      <c r="J35" s="9" t="s">
        <v>336</v>
      </c>
      <c r="K35" s="9" t="s">
        <v>346</v>
      </c>
      <c r="L35" s="9" t="s">
        <v>347</v>
      </c>
      <c r="M35" s="9" t="s">
        <v>348</v>
      </c>
      <c r="N35" s="9" t="s">
        <v>349</v>
      </c>
      <c r="O35" s="9" t="s">
        <v>349</v>
      </c>
      <c r="P35" s="12">
        <f t="shared" ref="P35:Q35" si="8">SUM(P24:P34)</f>
        <v>41</v>
      </c>
      <c r="Q35" s="12">
        <f t="shared" si="8"/>
        <v>89</v>
      </c>
      <c r="R35" s="13"/>
      <c r="S35" s="13"/>
      <c r="T35" s="13"/>
      <c r="U35" s="13"/>
      <c r="V35" s="13"/>
      <c r="W35" s="13"/>
      <c r="X35" s="12">
        <f>SUM(X24:X34)</f>
        <v>22</v>
      </c>
      <c r="Y35" s="2">
        <f ca="1">IFERROR(__xludf.DUMMYFUNCTION("INDEX(IMPORTRANGE(""1y0FWgjbB0gVlqn-q5LMJbGIsqOrzru4yowQz67dz2yc"", ""'APO'!BG3:BG139""),MATCH($D35,IMPORTRANGE(""1y0FWgjbB0gVlqn-q5LMJbGIsqOrzru4yowQz67dz2yc"", ""'APO'!D3:D139""),0))"),68)</f>
        <v>68</v>
      </c>
      <c r="Z35" s="2">
        <f ca="1">IFERROR(__xludf.DUMMYFUNCTION("INDEX(IMPORTRANGE(""1y0FWgjbB0gVlqn-q5LMJbGIsqOrzru4yowQz67dz2yc"", ""'APO'!BH3:BH139""),MATCH($D35,IMPORTRANGE(""1y0FWgjbB0gVlqn-q5LMJbGIsqOrzru4yowQz67dz2yc"", ""'APO'!D3:D139""),0))"),29)</f>
        <v>29</v>
      </c>
      <c r="AA35" s="2">
        <f ca="1">IFERROR(__xludf.DUMMYFUNCTION("INDEX(IMPORTRANGE(""1y0FWgjbB0gVlqn-q5LMJbGIsqOrzru4yowQz67dz2yc"", ""'APO'!BI3:BI139""),MATCH($D35,IMPORTRANGE(""1y0FWgjbB0gVlqn-q5LMJbGIsqOrzru4yowQz67dz2yc"", ""'APO'!D3:D139""),0))"),75)</f>
        <v>75</v>
      </c>
      <c r="AB35" s="2">
        <f ca="1">IFERROR(__xludf.DUMMYFUNCTION("INDEX(IMPORTRANGE(""1y0FWgjbB0gVlqn-q5LMJbGIsqOrzru4yowQz67dz2yc"", ""'APO'!BJ3:BJ139""),MATCH($D35,IMPORTRANGE(""1y0FWgjbB0gVlqn-q5LMJbGIsqOrzru4yowQz67dz2yc"", ""'APO'!D3:D139""),0))"),32)</f>
        <v>32</v>
      </c>
      <c r="AC35" s="24"/>
    </row>
    <row r="36" spans="1:29">
      <c r="A36" s="149" t="s">
        <v>52</v>
      </c>
      <c r="B36" s="149" t="s">
        <v>86</v>
      </c>
      <c r="C36" s="148" t="s">
        <v>36</v>
      </c>
      <c r="D36" s="149" t="s">
        <v>117</v>
      </c>
      <c r="E36" s="149" t="s">
        <v>76</v>
      </c>
      <c r="F36" s="2" t="s">
        <v>118</v>
      </c>
      <c r="G36" s="22" t="s">
        <v>56</v>
      </c>
      <c r="H36" s="2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9">(SUM(P24:P34)/P$2)*100000</f>
        <v>6.1586159036492054</v>
      </c>
      <c r="Q36" s="23">
        <f t="shared" si="9"/>
        <v>13.368702815238519</v>
      </c>
      <c r="R36" s="2">
        <v>12.55</v>
      </c>
      <c r="S36" s="2">
        <v>5.77</v>
      </c>
      <c r="T36" s="2">
        <v>12.26</v>
      </c>
      <c r="U36" s="2">
        <v>5.43</v>
      </c>
      <c r="V36" s="24">
        <v>11.86</v>
      </c>
      <c r="W36" s="2">
        <v>11.72</v>
      </c>
      <c r="X36" s="23">
        <f>(SUM(X24:X34)/X$2)*100000</f>
        <v>3.2108491674414057</v>
      </c>
      <c r="Y36" s="24">
        <f ca="1">IFERROR(__xludf.DUMMYFUNCTION("INDEX(IMPORTRANGE(""1y0FWgjbB0gVlqn-q5LMJbGIsqOrzru4yowQz67dz2yc"", ""'APO'!BG3:BG139""),MATCH($D36,IMPORTRANGE(""1y0FWgjbB0gVlqn-q5LMJbGIsqOrzru4yowQz67dz2yc"", ""'APO'!D3:D139""),0))"),9.92444288118252)</f>
        <v>9.9244428811825198</v>
      </c>
      <c r="Z36" s="24">
        <f ca="1">IFERROR(__xludf.DUMMYFUNCTION("INDEX(IMPORTRANGE(""1y0FWgjbB0gVlqn-q5LMJbGIsqOrzru4yowQz67dz2yc"", ""'APO'!BH3:BH139""),MATCH($D36,IMPORTRANGE(""1y0FWgjbB0gVlqn-q5LMJbGIsqOrzru4yowQz67dz2yc"", ""'APO'!D3:D139""),0))"),4.18443246831013)</f>
        <v>4.1844324683101304</v>
      </c>
      <c r="AA36" s="24">
        <f ca="1">IFERROR(__xludf.DUMMYFUNCTION("INDEX(IMPORTRANGE(""1y0FWgjbB0gVlqn-q5LMJbGIsqOrzru4yowQz67dz2yc"", ""'APO'!BI3:BI139""),MATCH($D36,IMPORTRANGE(""1y0FWgjbB0gVlqn-q5LMJbGIsqOrzru4yowQz67dz2yc"", ""'APO'!D3:D139""),0))"),10.8218081076986)</f>
        <v>10.821808107698599</v>
      </c>
      <c r="AB36" s="24">
        <f ca="1">IFERROR(__xludf.DUMMYFUNCTION("INDEX(IMPORTRANGE(""1y0FWgjbB0gVlqn-q5LMJbGIsqOrzru4yowQz67dz2yc"", ""'APO'!BJ3:BJ139""),MATCH($D36,IMPORTRANGE(""1y0FWgjbB0gVlqn-q5LMJbGIsqOrzru4yowQz67dz2yc"", ""'APO'!D3:D139""),0))"),4.57395731640206)</f>
        <v>4.5739573164020602</v>
      </c>
      <c r="AC36" s="24"/>
    </row>
    <row r="37" spans="1:29">
      <c r="A37" s="149" t="s">
        <v>119</v>
      </c>
      <c r="B37" s="149" t="s">
        <v>120</v>
      </c>
      <c r="C37" s="148" t="s">
        <v>30</v>
      </c>
      <c r="D37" s="148" t="s">
        <v>121</v>
      </c>
      <c r="E37" s="149" t="s">
        <v>38</v>
      </c>
      <c r="F37" s="2" t="s">
        <v>122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208236</v>
      </c>
      <c r="Q37" s="12">
        <v>208236</v>
      </c>
      <c r="R37" s="13"/>
      <c r="S37" s="13"/>
      <c r="T37" s="13"/>
      <c r="U37" s="13"/>
      <c r="V37" s="13"/>
      <c r="W37" s="13"/>
      <c r="X37" s="12">
        <v>208236</v>
      </c>
      <c r="Y37" s="12">
        <f ca="1">IFERROR(__xludf.DUMMYFUNCTION("INDEX(IMPORTRANGE(""1y0FWgjbB0gVlqn-q5LMJbGIsqOrzru4yowQz67dz2yc"", ""'APO'!BG3:BG139""),MATCH($D37,IMPORTRANGE(""1y0FWgjbB0gVlqn-q5LMJbGIsqOrzru4yowQz67dz2yc"", ""'APO'!D3:D139""),0))"),211206)</f>
        <v>211206</v>
      </c>
      <c r="Z37" s="12">
        <f ca="1">IFERROR(__xludf.DUMMYFUNCTION("INDEX(IMPORTRANGE(""1y0FWgjbB0gVlqn-q5LMJbGIsqOrzru4yowQz67dz2yc"", ""'APO'!BH3:BH139""),MATCH($D37,IMPORTRANGE(""1y0FWgjbB0gVlqn-q5LMJbGIsqOrzru4yowQz67dz2yc"", ""'APO'!D3:D139""),0))"),212648)</f>
        <v>212648</v>
      </c>
      <c r="AA37" s="12">
        <f ca="1">IFERROR(__xludf.DUMMYFUNCTION("INDEX(IMPORTRANGE(""1y0FWgjbB0gVlqn-q5LMJbGIsqOrzru4yowQz67dz2yc"", ""'APO'!BI3:BI139""),MATCH($D37,IMPORTRANGE(""1y0FWgjbB0gVlqn-q5LMJbGIsqOrzru4yowQz67dz2yc"", ""'APO'!D3:D139""),0))"),213729)</f>
        <v>213729</v>
      </c>
      <c r="AB37" s="2">
        <f ca="1">IFERROR(__xludf.DUMMYFUNCTION("INDEX(IMPORTRANGE(""1y0FWgjbB0gVlqn-q5LMJbGIsqOrzru4yowQz67dz2yc"", ""'APO'!BJ3:BJ139""),MATCH($D37,IMPORTRANGE(""1y0FWgjbB0gVlqn-q5LMJbGIsqOrzru4yowQz67dz2yc"", ""'APO'!D3:D139""),0))"),215031)</f>
        <v>215031</v>
      </c>
      <c r="AC37" s="12"/>
    </row>
    <row r="38" spans="1:29">
      <c r="A38" s="149" t="s">
        <v>119</v>
      </c>
      <c r="B38" s="149" t="s">
        <v>120</v>
      </c>
      <c r="C38" s="148" t="s">
        <v>30</v>
      </c>
      <c r="D38" s="148" t="s">
        <v>123</v>
      </c>
      <c r="E38" s="149" t="s">
        <v>38</v>
      </c>
      <c r="F38" s="2" t="s">
        <v>124</v>
      </c>
      <c r="G38" s="10">
        <v>44469</v>
      </c>
      <c r="H38" s="10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0</v>
      </c>
      <c r="Q38" s="2">
        <v>0</v>
      </c>
      <c r="R38" s="13"/>
      <c r="S38" s="13"/>
      <c r="T38" s="13"/>
      <c r="U38" s="13"/>
      <c r="V38" s="13"/>
      <c r="W38" s="13"/>
      <c r="X38" s="2">
        <v>0</v>
      </c>
      <c r="Y38" s="2">
        <f ca="1">IFERROR(__xludf.DUMMYFUNCTION("INDEX(IMPORTRANGE(""1y0FWgjbB0gVlqn-q5LMJbGIsqOrzru4yowQz67dz2yc"", ""'APO'!BG3:BG139""),MATCH($D38,IMPORTRANGE(""1y0FWgjbB0gVlqn-q5LMJbGIsqOrzru4yowQz67dz2yc"", ""'APO'!D3:D139""),0))"),0)</f>
        <v>0</v>
      </c>
      <c r="Z38" s="2">
        <f ca="1">IFERROR(__xludf.DUMMYFUNCTION("INDEX(IMPORTRANGE(""1y0FWgjbB0gVlqn-q5LMJbGIsqOrzru4yowQz67dz2yc"", ""'APO'!BH3:BH139""),MATCH($D38,IMPORTRANGE(""1y0FWgjbB0gVlqn-q5LMJbGIsqOrzru4yowQz67dz2yc"", ""'APO'!D3:D139""),0))"),0)</f>
        <v>0</v>
      </c>
      <c r="AA38" s="2">
        <f ca="1">IFERROR(__xludf.DUMMYFUNCTION("INDEX(IMPORTRANGE(""1y0FWgjbB0gVlqn-q5LMJbGIsqOrzru4yowQz67dz2yc"", ""'APO'!BI3:BI139""),MATCH($D38,IMPORTRANGE(""1y0FWgjbB0gVlqn-q5LMJbGIsqOrzru4yowQz67dz2yc"", ""'APO'!D3:D139""),0))"),0)</f>
        <v>0</v>
      </c>
      <c r="AB38" s="2">
        <f ca="1">IFERROR(__xludf.DUMMYFUNCTION("INDEX(IMPORTRANGE(""1y0FWgjbB0gVlqn-q5LMJbGIsqOrzru4yowQz67dz2yc"", ""'APO'!BJ3:BJ139""),MATCH($D38,IMPORTRANGE(""1y0FWgjbB0gVlqn-q5LMJbGIsqOrzru4yowQz67dz2yc"", ""'APO'!D3:D139""),0))"),24)</f>
        <v>24</v>
      </c>
      <c r="AC38" s="2"/>
    </row>
    <row r="39" spans="1:29">
      <c r="A39" s="149" t="s">
        <v>119</v>
      </c>
      <c r="B39" s="149" t="s">
        <v>120</v>
      </c>
      <c r="C39" s="148" t="s">
        <v>36</v>
      </c>
      <c r="D39" s="148" t="s">
        <v>125</v>
      </c>
      <c r="E39" s="149" t="s">
        <v>38</v>
      </c>
      <c r="F39" s="2" t="s">
        <v>126</v>
      </c>
      <c r="G39" s="10">
        <v>44469</v>
      </c>
      <c r="H39" s="10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26">
        <f t="shared" ref="P39:Q39" si="10">P38/P37</f>
        <v>0</v>
      </c>
      <c r="Q39" s="26">
        <f t="shared" si="10"/>
        <v>0</v>
      </c>
      <c r="R39" s="54">
        <v>1.9E-3</v>
      </c>
      <c r="S39" s="54">
        <v>3.7000000000000002E-3</v>
      </c>
      <c r="T39" s="54">
        <v>5.5999999999999999E-3</v>
      </c>
      <c r="U39" s="54">
        <v>7.4000000000000003E-3</v>
      </c>
      <c r="V39" s="54">
        <v>9.2999999999999992E-3</v>
      </c>
      <c r="W39" s="54">
        <v>9.2999999999999992E-3</v>
      </c>
      <c r="X39" s="15">
        <f>X38/X37</f>
        <v>0</v>
      </c>
      <c r="Y39" s="2">
        <f ca="1">IFERROR(__xludf.DUMMYFUNCTION("INDEX(IMPORTRANGE(""1y0FWgjbB0gVlqn-q5LMJbGIsqOrzru4yowQz67dz2yc"", ""'APO'!BG3:BG139""),MATCH($D39,IMPORTRANGE(""1y0FWgjbB0gVlqn-q5LMJbGIsqOrzru4yowQz67dz2yc"", ""'APO'!D3:D139""),0))"),0)</f>
        <v>0</v>
      </c>
      <c r="Z39" s="15">
        <f ca="1">IFERROR(__xludf.DUMMYFUNCTION("INDEX(IMPORTRANGE(""1y0FWgjbB0gVlqn-q5LMJbGIsqOrzru4yowQz67dz2yc"", ""'APO'!BH3:BH139""),MATCH($D39,IMPORTRANGE(""1y0FWgjbB0gVlqn-q5LMJbGIsqOrzru4yowQz67dz2yc"", ""'APO'!D3:D139""),0))"),0)</f>
        <v>0</v>
      </c>
      <c r="AA39" s="15">
        <f ca="1">IFERROR(__xludf.DUMMYFUNCTION("INDEX(IMPORTRANGE(""1y0FWgjbB0gVlqn-q5LMJbGIsqOrzru4yowQz67dz2yc"", ""'APO'!BI3:BI139""),MATCH($D39,IMPORTRANGE(""1y0FWgjbB0gVlqn-q5LMJbGIsqOrzru4yowQz67dz2yc"", ""'APO'!D3:D139""),0))"),0)</f>
        <v>0</v>
      </c>
      <c r="AB39" s="15">
        <f ca="1">IFERROR(__xludf.DUMMYFUNCTION("INDEX(IMPORTRANGE(""1y0FWgjbB0gVlqn-q5LMJbGIsqOrzru4yowQz67dz2yc"", ""'APO'!BJ3:BJ139""),MATCH($D39,IMPORTRANGE(""1y0FWgjbB0gVlqn-q5LMJbGIsqOrzru4yowQz67dz2yc"", ""'APO'!D3:D139""),0))"),0.000111611814110523)</f>
        <v>1.11611814110523E-4</v>
      </c>
      <c r="AC39" s="15"/>
    </row>
    <row r="40" spans="1:29">
      <c r="A40" s="149" t="s">
        <v>119</v>
      </c>
      <c r="B40" s="149" t="s">
        <v>120</v>
      </c>
      <c r="C40" s="148" t="s">
        <v>30</v>
      </c>
      <c r="D40" s="149" t="s">
        <v>330</v>
      </c>
      <c r="E40" s="149" t="s">
        <v>38</v>
      </c>
      <c r="F40" s="2" t="s">
        <v>176</v>
      </c>
      <c r="G40" s="22" t="s">
        <v>56</v>
      </c>
      <c r="H40" s="2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2"/>
      <c r="R40" s="1"/>
      <c r="S40" s="1"/>
      <c r="T40" s="2">
        <v>3600</v>
      </c>
      <c r="U40" s="2">
        <v>2500</v>
      </c>
      <c r="V40" s="2">
        <v>100</v>
      </c>
      <c r="W40" s="2"/>
      <c r="X40" s="2"/>
      <c r="Y40" s="2" t="str">
        <f ca="1">IFERROR(__xludf.DUMMYFUNCTION("INDEX(IMPORTRANGE(""1y0FWgjbB0gVlqn-q5LMJbGIsqOrzru4yowQz67dz2yc"", ""'APO'!BG3:BG139""),MATCH($D40,IMPORTRANGE(""1y0FWgjbB0gVlqn-q5LMJbGIsqOrzru4yowQz67dz2yc"", ""'APO'!D3:D139""),0))"),"")</f>
        <v/>
      </c>
      <c r="Z40" s="24">
        <f ca="1">IFERROR(__xludf.DUMMYFUNCTION("INDEX(IMPORTRANGE(""1y0FWgjbB0gVlqn-q5LMJbGIsqOrzru4yowQz67dz2yc"", ""'APO'!BH3:BH139""),MATCH($D40,IMPORTRANGE(""1y0FWgjbB0gVlqn-q5LMJbGIsqOrzru4yowQz67dz2yc"", ""'APO'!D3:D139""),0))"),114.66)</f>
        <v>114.66</v>
      </c>
      <c r="AA40" s="24">
        <f ca="1">IFERROR(__xludf.DUMMYFUNCTION("INDEX(IMPORTRANGE(""1y0FWgjbB0gVlqn-q5LMJbGIsqOrzru4yowQz67dz2yc"", ""'APO'!BI3:BI139""),MATCH($D40,IMPORTRANGE(""1y0FWgjbB0gVlqn-q5LMJbGIsqOrzru4yowQz67dz2yc"", ""'APO'!D3:D139""),0))"),204.5861)</f>
        <v>204.58609999999999</v>
      </c>
      <c r="AB40" s="2">
        <f ca="1">IFERROR(__xludf.DUMMYFUNCTION("INDEX(IMPORTRANGE(""1y0FWgjbB0gVlqn-q5LMJbGIsqOrzru4yowQz67dz2yc"", ""'APO'!BJ3:BJ139""),MATCH($D40,IMPORTRANGE(""1y0FWgjbB0gVlqn-q5LMJbGIsqOrzru4yowQz67dz2yc"", ""'APO'!D3:D139""),0))"),1592.43)</f>
        <v>1592.43</v>
      </c>
      <c r="AC40" s="24"/>
    </row>
    <row r="41" spans="1:29">
      <c r="A41" s="149" t="s">
        <v>119</v>
      </c>
      <c r="B41" s="149" t="s">
        <v>120</v>
      </c>
      <c r="C41" s="148" t="s">
        <v>30</v>
      </c>
      <c r="D41" s="149" t="s">
        <v>331</v>
      </c>
      <c r="E41" s="149" t="s">
        <v>38</v>
      </c>
      <c r="F41" s="2" t="s">
        <v>332</v>
      </c>
      <c r="G41" s="22" t="s">
        <v>56</v>
      </c>
      <c r="H41" s="2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2"/>
      <c r="R41" s="1"/>
      <c r="S41" s="1"/>
      <c r="T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U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V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W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X41" s="2"/>
      <c r="Y41" s="2" t="str">
        <f ca="1">IFERROR(__xludf.DUMMYFUNCTION("INDEX(IMPORTRANGE(""1y0FWgjbB0gVlqn-q5LMJbGIsqOrzru4yowQz67dz2yc"", ""'APO'!BG3:BG139""),MATCH($D41,IMPORTRANGE(""1y0FWgjbB0gVlqn-q5LMJbGIsqOrzru4yowQz67dz2yc"", ""'APO'!D3:D139""),0))"),"")</f>
        <v/>
      </c>
      <c r="Z41" s="24">
        <f ca="1">IFERROR(__xludf.DUMMYFUNCTION("INDEX(IMPORTRANGE(""1y0FWgjbB0gVlqn-q5LMJbGIsqOrzru4yowQz67dz2yc"", ""'APO'!BH3:BH139""),MATCH($D41,IMPORTRANGE(""1y0FWgjbB0gVlqn-q5LMJbGIsqOrzru4yowQz67dz2yc"", ""'APO'!D3:D139""),0))"),209010.84)</f>
        <v>209010.84</v>
      </c>
      <c r="AA41" s="24">
        <f ca="1">IFERROR(__xludf.DUMMYFUNCTION("INDEX(IMPORTRANGE(""1y0FWgjbB0gVlqn-q5LMJbGIsqOrzru4yowQz67dz2yc"", ""'APO'!BI3:BI139""),MATCH($D41,IMPORTRANGE(""1y0FWgjbB0gVlqn-q5LMJbGIsqOrzru4yowQz67dz2yc"", ""'APO'!D3:D139""),0))"),420757.35)</f>
        <v>420757.35</v>
      </c>
      <c r="AB41" s="2">
        <f ca="1">IFERROR(__xludf.DUMMYFUNCTION("INDEX(IMPORTRANGE(""1y0FWgjbB0gVlqn-q5LMJbGIsqOrzru4yowQz67dz2yc"", ""'APO'!BJ3:BJ139""),MATCH($D41,IMPORTRANGE(""1y0FWgjbB0gVlqn-q5LMJbGIsqOrzru4yowQz67dz2yc"", ""'APO'!D3:D139""),0))"),116863.76)</f>
        <v>116863.76</v>
      </c>
      <c r="AC41" s="24"/>
    </row>
    <row r="42" spans="1:29">
      <c r="A42" s="149" t="s">
        <v>119</v>
      </c>
      <c r="B42" s="149" t="s">
        <v>120</v>
      </c>
      <c r="C42" s="148" t="s">
        <v>36</v>
      </c>
      <c r="D42" s="149" t="s">
        <v>333</v>
      </c>
      <c r="E42" s="149" t="s">
        <v>38</v>
      </c>
      <c r="F42" s="2" t="s">
        <v>334</v>
      </c>
      <c r="G42" s="22" t="s">
        <v>56</v>
      </c>
      <c r="H42" s="2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2"/>
      <c r="R42" s="2"/>
      <c r="S42" s="152">
        <v>5.4858398731855249E-4</v>
      </c>
      <c r="T42" s="176">
        <f>(S42*1.1)</f>
        <v>6.0344238605040783E-4</v>
      </c>
      <c r="U42" s="176">
        <f t="shared" ref="U42:W42" ca="1" si="11">U40/U41</f>
        <v>5.9416668538291731E-3</v>
      </c>
      <c r="V42" s="176">
        <f t="shared" ca="1" si="11"/>
        <v>2.3766667415316692E-4</v>
      </c>
      <c r="W42" s="176">
        <f t="shared" ca="1" si="11"/>
        <v>0</v>
      </c>
      <c r="X42" s="2"/>
      <c r="Y42" s="2" t="str">
        <f ca="1">IFERROR(__xludf.DUMMYFUNCTION("INDEX(IMPORTRANGE(""1y0FWgjbB0gVlqn-q5LMJbGIsqOrzru4yowQz67dz2yc"", ""'APO'!BG3:BG139""),MATCH($D42,IMPORTRANGE(""1y0FWgjbB0gVlqn-q5LMJbGIsqOrzru4yowQz67dz2yc"", ""'APO'!D3:D139""),0))"),"")</f>
        <v/>
      </c>
      <c r="Z42" s="26">
        <f ca="1">IFERROR(__xludf.DUMMYFUNCTION("INDEX(IMPORTRANGE(""1y0FWgjbB0gVlqn-q5LMJbGIsqOrzru4yowQz67dz2yc"", ""'APO'!BH3:BH139""),MATCH($D42,IMPORTRANGE(""1y0FWgjbB0gVlqn-q5LMJbGIsqOrzru4yowQz67dz2yc"", ""'APO'!D3:D139""),0))"),0.000548583987318552)</f>
        <v>5.4858398731855195E-4</v>
      </c>
      <c r="AA42" s="26">
        <f ca="1">IFERROR(__xludf.DUMMYFUNCTION("INDEX(IMPORTRANGE(""1y0FWgjbB0gVlqn-q5LMJbGIsqOrzru4yowQz67dz2yc"", ""'APO'!BI3:BI139""),MATCH($D42,IMPORTRANGE(""1y0FWgjbB0gVlqn-q5LMJbGIsqOrzru4yowQz67dz2yc"", ""'APO'!D3:D139""),0))"),0.000486232979649672)</f>
        <v>4.86232979649672E-4</v>
      </c>
      <c r="AB42" s="26">
        <f ca="1">IFERROR(__xludf.DUMMYFUNCTION("INDEX(IMPORTRANGE(""1y0FWgjbB0gVlqn-q5LMJbGIsqOrzru4yowQz67dz2yc"", ""'APO'!BJ3:BJ139""),MATCH($D42,IMPORTRANGE(""1y0FWgjbB0gVlqn-q5LMJbGIsqOrzru4yowQz67dz2yc"", ""'APO'!D3:D139""),0))"),0.0136263799829818)</f>
        <v>1.3626379982981799E-2</v>
      </c>
      <c r="AC42" s="26"/>
    </row>
    <row r="43" spans="1:29">
      <c r="A43" s="149" t="s">
        <v>119</v>
      </c>
      <c r="B43" s="149" t="s">
        <v>127</v>
      </c>
      <c r="C43" s="148" t="s">
        <v>36</v>
      </c>
      <c r="D43" s="149" t="s">
        <v>128</v>
      </c>
      <c r="E43" s="149" t="s">
        <v>38</v>
      </c>
      <c r="F43" s="2" t="s">
        <v>129</v>
      </c>
      <c r="G43" s="22" t="s">
        <v>56</v>
      </c>
      <c r="H43" s="2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2" t="s">
        <v>132</v>
      </c>
      <c r="O43" s="2" t="s">
        <v>132</v>
      </c>
      <c r="P43" s="12">
        <v>0</v>
      </c>
      <c r="Q43" s="2">
        <v>0</v>
      </c>
      <c r="R43" s="2">
        <v>1</v>
      </c>
      <c r="S43" s="2">
        <v>1</v>
      </c>
      <c r="T43" s="2">
        <v>1</v>
      </c>
      <c r="U43" s="2">
        <v>1</v>
      </c>
      <c r="V43" s="2">
        <v>1</v>
      </c>
      <c r="W43" s="2">
        <v>1</v>
      </c>
      <c r="X43" s="2">
        <v>1</v>
      </c>
      <c r="Y43" s="2">
        <f ca="1">IFERROR(__xludf.DUMMYFUNCTION("INDEX(IMPORTRANGE(""1y0FWgjbB0gVlqn-q5LMJbGIsqOrzru4yowQz67dz2yc"", ""'APO'!BG3:BG139""),MATCH($D43,IMPORTRANGE(""1y0FWgjbB0gVlqn-q5LMJbGIsqOrzru4yowQz67dz2yc"", ""'APO'!D3:D139""),0))"),2)</f>
        <v>2</v>
      </c>
      <c r="Z43" s="2">
        <f ca="1">IFERROR(__xludf.DUMMYFUNCTION("INDEX(IMPORTRANGE(""1y0FWgjbB0gVlqn-q5LMJbGIsqOrzru4yowQz67dz2yc"", ""'APO'!BH3:BH139""),MATCH($D43,IMPORTRANGE(""1y0FWgjbB0gVlqn-q5LMJbGIsqOrzru4yowQz67dz2yc"", ""'APO'!D3:D139""),0))"),2)</f>
        <v>2</v>
      </c>
      <c r="AA43" s="2">
        <f ca="1">IFERROR(__xludf.DUMMYFUNCTION("INDEX(IMPORTRANGE(""1y0FWgjbB0gVlqn-q5LMJbGIsqOrzru4yowQz67dz2yc"", ""'APO'!BI3:BI139""),MATCH($D43,IMPORTRANGE(""1y0FWgjbB0gVlqn-q5LMJbGIsqOrzru4yowQz67dz2yc"", ""'APO'!D3:D139""),0))"),2)</f>
        <v>2</v>
      </c>
      <c r="AB43" s="2">
        <f ca="1">IFERROR(__xludf.DUMMYFUNCTION("INDEX(IMPORTRANGE(""1y0FWgjbB0gVlqn-q5LMJbGIsqOrzru4yowQz67dz2yc"", ""'APO'!BJ3:BJ139""),MATCH($D43,IMPORTRANGE(""1y0FWgjbB0gVlqn-q5LMJbGIsqOrzru4yowQz67dz2yc"", ""'APO'!D3:D139""),0))"),3)</f>
        <v>3</v>
      </c>
      <c r="AC43" s="2"/>
    </row>
    <row r="44" spans="1:29">
      <c r="A44" s="149" t="s">
        <v>119</v>
      </c>
      <c r="B44" s="149" t="s">
        <v>133</v>
      </c>
      <c r="C44" s="148" t="s">
        <v>36</v>
      </c>
      <c r="D44" s="149" t="s">
        <v>134</v>
      </c>
      <c r="E44" s="149" t="s">
        <v>38</v>
      </c>
      <c r="F44" s="2" t="s">
        <v>135</v>
      </c>
      <c r="G44" s="22" t="s">
        <v>56</v>
      </c>
      <c r="H44" s="2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2" t="s">
        <v>132</v>
      </c>
      <c r="O44" s="2" t="s">
        <v>132</v>
      </c>
      <c r="P44" s="12">
        <v>348</v>
      </c>
      <c r="Q44" s="12">
        <v>1074</v>
      </c>
      <c r="R44" s="12">
        <v>1859</v>
      </c>
      <c r="S44" s="12">
        <v>2644</v>
      </c>
      <c r="T44" s="12">
        <v>3430</v>
      </c>
      <c r="U44" s="12">
        <v>4215</v>
      </c>
      <c r="V44" s="12">
        <v>5000</v>
      </c>
      <c r="W44" s="12">
        <v>5000</v>
      </c>
      <c r="X44" s="12">
        <v>599</v>
      </c>
      <c r="Y44" s="2">
        <f ca="1">IFERROR(__xludf.DUMMYFUNCTION("INDEX(IMPORTRANGE(""1y0FWgjbB0gVlqn-q5LMJbGIsqOrzru4yowQz67dz2yc"", ""'APO'!BG3:BG139""),MATCH($D44,IMPORTRANGE(""1y0FWgjbB0gVlqn-q5LMJbGIsqOrzru4yowQz67dz2yc"", ""'APO'!D3:D139""),0))"),2539)</f>
        <v>2539</v>
      </c>
      <c r="Z44" s="2">
        <f ca="1">IFERROR(__xludf.DUMMYFUNCTION("INDEX(IMPORTRANGE(""1y0FWgjbB0gVlqn-q5LMJbGIsqOrzru4yowQz67dz2yc"", ""'APO'!BH3:BH139""),MATCH($D44,IMPORTRANGE(""1y0FWgjbB0gVlqn-q5LMJbGIsqOrzru4yowQz67dz2yc"", ""'APO'!D3:D139""),0))"),8722)</f>
        <v>8722</v>
      </c>
      <c r="AA44" s="2">
        <f ca="1">IFERROR(__xludf.DUMMYFUNCTION("INDEX(IMPORTRANGE(""1y0FWgjbB0gVlqn-q5LMJbGIsqOrzru4yowQz67dz2yc"", ""'APO'!BI3:BI139""),MATCH($D44,IMPORTRANGE(""1y0FWgjbB0gVlqn-q5LMJbGIsqOrzru4yowQz67dz2yc"", ""'APO'!D3:D139""),0))"),15046)</f>
        <v>15046</v>
      </c>
      <c r="AB44" s="2">
        <f ca="1">IFERROR(__xludf.DUMMYFUNCTION("INDEX(IMPORTRANGE(""1y0FWgjbB0gVlqn-q5LMJbGIsqOrzru4yowQz67dz2yc"", ""'APO'!BJ3:BJ139""),MATCH($D44,IMPORTRANGE(""1y0FWgjbB0gVlqn-q5LMJbGIsqOrzru4yowQz67dz2yc"", ""'APO'!D3:D139""),0))"),19572)</f>
        <v>19572</v>
      </c>
      <c r="AC44" s="2"/>
    </row>
    <row r="45" spans="1:29">
      <c r="A45" s="151" t="s">
        <v>119</v>
      </c>
      <c r="B45" s="151" t="s">
        <v>136</v>
      </c>
      <c r="C45" s="150" t="s">
        <v>30</v>
      </c>
      <c r="D45" s="151" t="s">
        <v>137</v>
      </c>
      <c r="E45" s="151" t="s">
        <v>38</v>
      </c>
      <c r="F45" s="22" t="s">
        <v>138</v>
      </c>
      <c r="G45" s="22" t="s">
        <v>56</v>
      </c>
      <c r="H45" s="2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2" t="s">
        <v>132</v>
      </c>
      <c r="O45" s="2" t="s">
        <v>132</v>
      </c>
      <c r="P45" s="12">
        <v>0</v>
      </c>
      <c r="Q45" s="2">
        <v>0</v>
      </c>
      <c r="R45" s="13"/>
      <c r="S45" s="13"/>
      <c r="T45" s="13"/>
      <c r="U45" s="13"/>
      <c r="V45" s="13"/>
      <c r="W45" s="13"/>
      <c r="X45" s="2">
        <v>2</v>
      </c>
      <c r="Y45" s="2">
        <f ca="1">IFERROR(__xludf.DUMMYFUNCTION("INDEX(IMPORTRANGE(""1y0FWgjbB0gVlqn-q5LMJbGIsqOrzru4yowQz67dz2yc"", ""'APO'!BG3:BG139""),MATCH($D45,IMPORTRANGE(""1y0FWgjbB0gVlqn-q5LMJbGIsqOrzru4yowQz67dz2yc"", ""'APO'!D3:D139""),0))"),6)</f>
        <v>6</v>
      </c>
      <c r="Z45" s="2">
        <f ca="1">IFERROR(__xludf.DUMMYFUNCTION("INDEX(IMPORTRANGE(""1y0FWgjbB0gVlqn-q5LMJbGIsqOrzru4yowQz67dz2yc"", ""'APO'!BH3:BH139""),MATCH($D45,IMPORTRANGE(""1y0FWgjbB0gVlqn-q5LMJbGIsqOrzru4yowQz67dz2yc"", ""'APO'!D3:D139""),0))"),9)</f>
        <v>9</v>
      </c>
      <c r="AA45" s="2">
        <f ca="1">IFERROR(__xludf.DUMMYFUNCTION("INDEX(IMPORTRANGE(""1y0FWgjbB0gVlqn-q5LMJbGIsqOrzru4yowQz67dz2yc"", ""'APO'!BI3:BI139""),MATCH($D45,IMPORTRANGE(""1y0FWgjbB0gVlqn-q5LMJbGIsqOrzru4yowQz67dz2yc"", ""'APO'!D3:D139""),0))"),9)</f>
        <v>9</v>
      </c>
      <c r="AB45" s="2">
        <f ca="1">IFERROR(__xludf.DUMMYFUNCTION("INDEX(IMPORTRANGE(""1y0FWgjbB0gVlqn-q5LMJbGIsqOrzru4yowQz67dz2yc"", ""'APO'!BJ3:BJ139""),MATCH($D45,IMPORTRANGE(""1y0FWgjbB0gVlqn-q5LMJbGIsqOrzru4yowQz67dz2yc"", ""'APO'!D3:D139""),0))"),9)</f>
        <v>9</v>
      </c>
      <c r="AC45" s="2"/>
    </row>
    <row r="46" spans="1:29">
      <c r="A46" s="151" t="s">
        <v>119</v>
      </c>
      <c r="B46" s="151" t="s">
        <v>136</v>
      </c>
      <c r="C46" s="150" t="s">
        <v>30</v>
      </c>
      <c r="D46" s="151" t="s">
        <v>139</v>
      </c>
      <c r="E46" s="151" t="s">
        <v>38</v>
      </c>
      <c r="F46" s="22" t="s">
        <v>140</v>
      </c>
      <c r="G46" s="22" t="s">
        <v>56</v>
      </c>
      <c r="H46" s="2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2" t="s">
        <v>132</v>
      </c>
      <c r="O46" s="2" t="s">
        <v>132</v>
      </c>
      <c r="P46" s="12"/>
      <c r="Q46" s="2"/>
      <c r="R46" s="13"/>
      <c r="S46" s="13"/>
      <c r="T46" s="13"/>
      <c r="U46" s="13"/>
      <c r="V46" s="13"/>
      <c r="W46" s="13"/>
      <c r="X46" s="2"/>
      <c r="Y46" s="2">
        <f ca="1">IFERROR(__xludf.DUMMYFUNCTION("INDEX(IMPORTRANGE(""1y0FWgjbB0gVlqn-q5LMJbGIsqOrzru4yowQz67dz2yc"", ""'APO'!BG3:BG139""),MATCH($D46,IMPORTRANGE(""1y0FWgjbB0gVlqn-q5LMJbGIsqOrzru4yowQz67dz2yc"", ""'APO'!D3:D139""),0))"),0)</f>
        <v>0</v>
      </c>
      <c r="Z46" s="2">
        <f ca="1">IFERROR(__xludf.DUMMYFUNCTION("INDEX(IMPORTRANGE(""1y0FWgjbB0gVlqn-q5LMJbGIsqOrzru4yowQz67dz2yc"", ""'APO'!BH3:BH139""),MATCH($D46,IMPORTRANGE(""1y0FWgjbB0gVlqn-q5LMJbGIsqOrzru4yowQz67dz2yc"", ""'APO'!D3:D139""),0))"),0)</f>
        <v>0</v>
      </c>
      <c r="AA46" s="2">
        <f ca="1">IFERROR(__xludf.DUMMYFUNCTION("INDEX(IMPORTRANGE(""1y0FWgjbB0gVlqn-q5LMJbGIsqOrzru4yowQz67dz2yc"", ""'APO'!BI3:BI139""),MATCH($D46,IMPORTRANGE(""1y0FWgjbB0gVlqn-q5LMJbGIsqOrzru4yowQz67dz2yc"", ""'APO'!D3:D139""),0))"),0)</f>
        <v>0</v>
      </c>
      <c r="AB46" s="2">
        <f ca="1">IFERROR(__xludf.DUMMYFUNCTION("INDEX(IMPORTRANGE(""1y0FWgjbB0gVlqn-q5LMJbGIsqOrzru4yowQz67dz2yc"", ""'APO'!BJ3:BJ139""),MATCH($D46,IMPORTRANGE(""1y0FWgjbB0gVlqn-q5LMJbGIsqOrzru4yowQz67dz2yc"", ""'APO'!D3:D139""),0))"),0)</f>
        <v>0</v>
      </c>
      <c r="AC46" s="2"/>
    </row>
    <row r="47" spans="1:29">
      <c r="A47" s="151" t="s">
        <v>119</v>
      </c>
      <c r="B47" s="151" t="s">
        <v>136</v>
      </c>
      <c r="C47" s="150" t="s">
        <v>30</v>
      </c>
      <c r="D47" s="151" t="s">
        <v>141</v>
      </c>
      <c r="E47" s="151" t="s">
        <v>38</v>
      </c>
      <c r="F47" s="22" t="s">
        <v>142</v>
      </c>
      <c r="G47" s="22" t="s">
        <v>56</v>
      </c>
      <c r="H47" s="2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2" t="s">
        <v>132</v>
      </c>
      <c r="O47" s="2" t="s">
        <v>132</v>
      </c>
      <c r="P47" s="12">
        <v>1</v>
      </c>
      <c r="Q47" s="2">
        <v>1</v>
      </c>
      <c r="R47" s="13"/>
      <c r="S47" s="13"/>
      <c r="T47" s="13"/>
      <c r="U47" s="13"/>
      <c r="V47" s="13"/>
      <c r="W47" s="13"/>
      <c r="X47" s="2">
        <v>0</v>
      </c>
      <c r="Y47" s="2">
        <f ca="1">IFERROR(__xludf.DUMMYFUNCTION("INDEX(IMPORTRANGE(""1y0FWgjbB0gVlqn-q5LMJbGIsqOrzru4yowQz67dz2yc"", ""'APO'!BG3:BG139""),MATCH($D47,IMPORTRANGE(""1y0FWgjbB0gVlqn-q5LMJbGIsqOrzru4yowQz67dz2yc"", ""'APO'!D3:D139""),0))"),0)</f>
        <v>0</v>
      </c>
      <c r="Z47" s="2">
        <f ca="1">IFERROR(__xludf.DUMMYFUNCTION("INDEX(IMPORTRANGE(""1y0FWgjbB0gVlqn-q5LMJbGIsqOrzru4yowQz67dz2yc"", ""'APO'!BH3:BH139""),MATCH($D47,IMPORTRANGE(""1y0FWgjbB0gVlqn-q5LMJbGIsqOrzru4yowQz67dz2yc"", ""'APO'!D3:D139""),0))"),0)</f>
        <v>0</v>
      </c>
      <c r="AA47" s="2">
        <f ca="1">IFERROR(__xludf.DUMMYFUNCTION("INDEX(IMPORTRANGE(""1y0FWgjbB0gVlqn-q5LMJbGIsqOrzru4yowQz67dz2yc"", ""'APO'!BI3:BI139""),MATCH($D47,IMPORTRANGE(""1y0FWgjbB0gVlqn-q5LMJbGIsqOrzru4yowQz67dz2yc"", ""'APO'!D3:D139""),0))"),1)</f>
        <v>1</v>
      </c>
      <c r="AB47" s="2">
        <f ca="1">IFERROR(__xludf.DUMMYFUNCTION("INDEX(IMPORTRANGE(""1y0FWgjbB0gVlqn-q5LMJbGIsqOrzru4yowQz67dz2yc"", ""'APO'!BJ3:BJ139""),MATCH($D47,IMPORTRANGE(""1y0FWgjbB0gVlqn-q5LMJbGIsqOrzru4yowQz67dz2yc"", ""'APO'!D3:D139""),0))"),2)</f>
        <v>2</v>
      </c>
      <c r="AC47" s="2"/>
    </row>
    <row r="48" spans="1:29">
      <c r="A48" s="151" t="s">
        <v>119</v>
      </c>
      <c r="B48" s="151" t="s">
        <v>136</v>
      </c>
      <c r="C48" s="150" t="s">
        <v>30</v>
      </c>
      <c r="D48" s="151" t="s">
        <v>143</v>
      </c>
      <c r="E48" s="151" t="s">
        <v>38</v>
      </c>
      <c r="F48" s="22" t="s">
        <v>144</v>
      </c>
      <c r="G48" s="22" t="s">
        <v>56</v>
      </c>
      <c r="H48" s="2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2" t="s">
        <v>132</v>
      </c>
      <c r="O48" s="2" t="s">
        <v>132</v>
      </c>
      <c r="P48" s="12"/>
      <c r="Q48" s="12"/>
      <c r="R48" s="13"/>
      <c r="S48" s="13"/>
      <c r="T48" s="13"/>
      <c r="U48" s="13"/>
      <c r="V48" s="13"/>
      <c r="W48" s="13"/>
      <c r="X48" s="12"/>
      <c r="Y48" s="2">
        <f ca="1">IFERROR(__xludf.DUMMYFUNCTION("INDEX(IMPORTRANGE(""1y0FWgjbB0gVlqn-q5LMJbGIsqOrzru4yowQz67dz2yc"", ""'APO'!BG3:BG139""),MATCH($D48,IMPORTRANGE(""1y0FWgjbB0gVlqn-q5LMJbGIsqOrzru4yowQz67dz2yc"", ""'APO'!D3:D139""),0))"),0)</f>
        <v>0</v>
      </c>
      <c r="Z48" s="2">
        <f ca="1">IFERROR(__xludf.DUMMYFUNCTION("INDEX(IMPORTRANGE(""1y0FWgjbB0gVlqn-q5LMJbGIsqOrzru4yowQz67dz2yc"", ""'APO'!BH3:BH139""),MATCH($D48,IMPORTRANGE(""1y0FWgjbB0gVlqn-q5LMJbGIsqOrzru4yowQz67dz2yc"", ""'APO'!D3:D139""),0))"),0)</f>
        <v>0</v>
      </c>
      <c r="AA48" s="2">
        <f ca="1">IFERROR(__xludf.DUMMYFUNCTION("INDEX(IMPORTRANGE(""1y0FWgjbB0gVlqn-q5LMJbGIsqOrzru4yowQz67dz2yc"", ""'APO'!BI3:BI139""),MATCH($D48,IMPORTRANGE(""1y0FWgjbB0gVlqn-q5LMJbGIsqOrzru4yowQz67dz2yc"", ""'APO'!D3:D139""),0))"),0)</f>
        <v>0</v>
      </c>
      <c r="AB48" s="2">
        <f ca="1">IFERROR(__xludf.DUMMYFUNCTION("INDEX(IMPORTRANGE(""1y0FWgjbB0gVlqn-q5LMJbGIsqOrzru4yowQz67dz2yc"", ""'APO'!BJ3:BJ139""),MATCH($D48,IMPORTRANGE(""1y0FWgjbB0gVlqn-q5LMJbGIsqOrzru4yowQz67dz2yc"", ""'APO'!D3:D139""),0))"),0)</f>
        <v>0</v>
      </c>
      <c r="AC48" s="2"/>
    </row>
    <row r="49" spans="1:29">
      <c r="A49" s="151" t="s">
        <v>119</v>
      </c>
      <c r="B49" s="151" t="s">
        <v>136</v>
      </c>
      <c r="C49" s="150" t="s">
        <v>36</v>
      </c>
      <c r="D49" s="151" t="s">
        <v>145</v>
      </c>
      <c r="E49" s="151" t="s">
        <v>38</v>
      </c>
      <c r="F49" s="22" t="s">
        <v>146</v>
      </c>
      <c r="G49" s="22" t="s">
        <v>56</v>
      </c>
      <c r="H49" s="2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2" t="s">
        <v>132</v>
      </c>
      <c r="O49" s="2" t="s">
        <v>132</v>
      </c>
      <c r="P49" s="12">
        <f t="shared" ref="P49:Q49" si="12">P45+P47</f>
        <v>1</v>
      </c>
      <c r="Q49" s="12">
        <f t="shared" si="12"/>
        <v>1</v>
      </c>
      <c r="R49" s="29">
        <v>11</v>
      </c>
      <c r="S49" s="29">
        <f>5+R49</f>
        <v>16</v>
      </c>
      <c r="T49" s="29">
        <f>S49+5</f>
        <v>21</v>
      </c>
      <c r="U49" s="29">
        <f>5+T49</f>
        <v>26</v>
      </c>
      <c r="V49" s="29">
        <f>U49+6</f>
        <v>32</v>
      </c>
      <c r="W49" s="2">
        <v>32</v>
      </c>
      <c r="X49" s="12">
        <f>X45+X47</f>
        <v>2</v>
      </c>
      <c r="Y49" s="2">
        <f ca="1">IFERROR(__xludf.DUMMYFUNCTION("INDEX(IMPORTRANGE(""1y0FWgjbB0gVlqn-q5LMJbGIsqOrzru4yowQz67dz2yc"", ""'APO'!BG3:BG139""),MATCH($D49,IMPORTRANGE(""1y0FWgjbB0gVlqn-q5LMJbGIsqOrzru4yowQz67dz2yc"", ""'APO'!D3:D139""),0))"),6)</f>
        <v>6</v>
      </c>
      <c r="Z49" s="2">
        <f ca="1">IFERROR(__xludf.DUMMYFUNCTION("INDEX(IMPORTRANGE(""1y0FWgjbB0gVlqn-q5LMJbGIsqOrzru4yowQz67dz2yc"", ""'APO'!BH3:BH139""),MATCH($D49,IMPORTRANGE(""1y0FWgjbB0gVlqn-q5LMJbGIsqOrzru4yowQz67dz2yc"", ""'APO'!D3:D139""),0))"),9)</f>
        <v>9</v>
      </c>
      <c r="AA49" s="2">
        <f ca="1">IFERROR(__xludf.DUMMYFUNCTION("INDEX(IMPORTRANGE(""1y0FWgjbB0gVlqn-q5LMJbGIsqOrzru4yowQz67dz2yc"", ""'APO'!BI3:BI139""),MATCH($D49,IMPORTRANGE(""1y0FWgjbB0gVlqn-q5LMJbGIsqOrzru4yowQz67dz2yc"", ""'APO'!D3:D139""),0))"),10)</f>
        <v>10</v>
      </c>
      <c r="AB49" s="2">
        <f ca="1">IFERROR(__xludf.DUMMYFUNCTION("INDEX(IMPORTRANGE(""1y0FWgjbB0gVlqn-q5LMJbGIsqOrzru4yowQz67dz2yc"", ""'APO'!BJ3:BJ139""),MATCH($D49,IMPORTRANGE(""1y0FWgjbB0gVlqn-q5LMJbGIsqOrzru4yowQz67dz2yc"", ""'APO'!D3:D139""),0))"),11)</f>
        <v>11</v>
      </c>
      <c r="AC49" s="2"/>
    </row>
    <row r="50" spans="1:29">
      <c r="A50" s="149" t="s">
        <v>147</v>
      </c>
      <c r="B50" s="149" t="s">
        <v>148</v>
      </c>
      <c r="C50" s="148" t="s">
        <v>30</v>
      </c>
      <c r="D50" s="149" t="s">
        <v>149</v>
      </c>
      <c r="E50" s="149" t="s">
        <v>38</v>
      </c>
      <c r="F50" s="2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 t="s">
        <v>150</v>
      </c>
      <c r="Q50" s="2" t="s">
        <v>150</v>
      </c>
      <c r="R50" s="2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2" t="s">
        <v>150</v>
      </c>
      <c r="Y50" s="2" t="str">
        <f ca="1">IFERROR(__xludf.DUMMYFUNCTION("INDEX(IMPORTRANGE(""1y0FWgjbB0gVlqn-q5LMJbGIsqOrzru4yowQz67dz2yc"", ""'APO'!BG3:BG139""),MATCH($D50,IMPORTRANGE(""1y0FWgjbB0gVlqn-q5LMJbGIsqOrzru4yowQz67dz2yc"", ""'APO'!D3:D139""),0))"),"Sí")</f>
        <v>Sí</v>
      </c>
      <c r="Z50" s="2" t="str">
        <f ca="1">IFERROR(__xludf.DUMMYFUNCTION("INDEX(IMPORTRANGE(""1y0FWgjbB0gVlqn-q5LMJbGIsqOrzru4yowQz67dz2yc"", ""'APO'!BH3:BH139""),MATCH($D50,IMPORTRANGE(""1y0FWgjbB0gVlqn-q5LMJbGIsqOrzru4yowQz67dz2yc"", ""'APO'!D3:D139""),0))"),"Sí")</f>
        <v>Sí</v>
      </c>
      <c r="AA50" s="2" t="str">
        <f ca="1">IFERROR(__xludf.DUMMYFUNCTION("INDEX(IMPORTRANGE(""1y0FWgjbB0gVlqn-q5LMJbGIsqOrzru4yowQz67dz2yc"", ""'APO'!BI3:BI139""),MATCH($D50,IMPORTRANGE(""1y0FWgjbB0gVlqn-q5LMJbGIsqOrzru4yowQz67dz2yc"", ""'APO'!D3:D139""),0))"),"Sí")</f>
        <v>Sí</v>
      </c>
      <c r="AB50" s="2" t="str">
        <f ca="1">IFERROR(__xludf.DUMMYFUNCTION("INDEX(IMPORTRANGE(""1y0FWgjbB0gVlqn-q5LMJbGIsqOrzru4yowQz67dz2yc"", ""'APO'!BJ3:BJ139""),MATCH($D50,IMPORTRANGE(""1y0FWgjbB0gVlqn-q5LMJbGIsqOrzru4yowQz67dz2yc"", ""'APO'!D3:D139""),0))"),"Sí")</f>
        <v>Sí</v>
      </c>
      <c r="AC50" s="2"/>
    </row>
    <row r="51" spans="1:29">
      <c r="A51" s="149" t="s">
        <v>147</v>
      </c>
      <c r="B51" s="149" t="s">
        <v>148</v>
      </c>
      <c r="C51" s="148" t="s">
        <v>30</v>
      </c>
      <c r="D51" s="149" t="s">
        <v>152</v>
      </c>
      <c r="E51" s="149" t="s">
        <v>38</v>
      </c>
      <c r="F51" s="2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 t="s">
        <v>153</v>
      </c>
      <c r="Q51" s="2" t="s">
        <v>153</v>
      </c>
      <c r="R51" s="2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2" t="s">
        <v>153</v>
      </c>
      <c r="Y51" s="2" t="str">
        <f ca="1">IFERROR(__xludf.DUMMYFUNCTION("INDEX(IMPORTRANGE(""1y0FWgjbB0gVlqn-q5LMJbGIsqOrzru4yowQz67dz2yc"", ""'APO'!BG3:BG139""),MATCH($D51,IMPORTRANGE(""1y0FWgjbB0gVlqn-q5LMJbGIsqOrzru4yowQz67dz2yc"", ""'APO'!D3:D139""),0))"),"Sí")</f>
        <v>Sí</v>
      </c>
      <c r="Z51" s="2" t="str">
        <f ca="1">IFERROR(__xludf.DUMMYFUNCTION("INDEX(IMPORTRANGE(""1y0FWgjbB0gVlqn-q5LMJbGIsqOrzru4yowQz67dz2yc"", ""'APO'!BH3:BH139""),MATCH($D51,IMPORTRANGE(""1y0FWgjbB0gVlqn-q5LMJbGIsqOrzru4yowQz67dz2yc"", ""'APO'!D3:D139""),0))"),"Sí")</f>
        <v>Sí</v>
      </c>
      <c r="AA51" s="2" t="str">
        <f ca="1">IFERROR(__xludf.DUMMYFUNCTION("INDEX(IMPORTRANGE(""1y0FWgjbB0gVlqn-q5LMJbGIsqOrzru4yowQz67dz2yc"", ""'APO'!BI3:BI139""),MATCH($D51,IMPORTRANGE(""1y0FWgjbB0gVlqn-q5LMJbGIsqOrzru4yowQz67dz2yc"", ""'APO'!D3:D139""),0))"),"Sí")</f>
        <v>Sí</v>
      </c>
      <c r="AB51" s="2" t="str">
        <f ca="1">IFERROR(__xludf.DUMMYFUNCTION("INDEX(IMPORTRANGE(""1y0FWgjbB0gVlqn-q5LMJbGIsqOrzru4yowQz67dz2yc"", ""'APO'!BJ3:BJ139""),MATCH($D51,IMPORTRANGE(""1y0FWgjbB0gVlqn-q5LMJbGIsqOrzru4yowQz67dz2yc"", ""'APO'!D3:D139""),0))"),"Sí")</f>
        <v>Sí</v>
      </c>
      <c r="AC51" s="2"/>
    </row>
    <row r="52" spans="1:29">
      <c r="A52" s="149" t="s">
        <v>147</v>
      </c>
      <c r="B52" s="149" t="s">
        <v>148</v>
      </c>
      <c r="C52" s="148" t="s">
        <v>30</v>
      </c>
      <c r="D52" s="149" t="s">
        <v>154</v>
      </c>
      <c r="E52" s="149" t="s">
        <v>38</v>
      </c>
      <c r="F52" s="2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 t="s">
        <v>153</v>
      </c>
      <c r="Q52" s="2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2" t="s">
        <v>153</v>
      </c>
      <c r="Y52" s="2" t="str">
        <f ca="1">IFERROR(__xludf.DUMMYFUNCTION("INDEX(IMPORTRANGE(""1y0FWgjbB0gVlqn-q5LMJbGIsqOrzru4yowQz67dz2yc"", ""'APO'!BG3:BG139""),MATCH($D52,IMPORTRANGE(""1y0FWgjbB0gVlqn-q5LMJbGIsqOrzru4yowQz67dz2yc"", ""'APO'!D3:D139""),0))"),"Sí")</f>
        <v>Sí</v>
      </c>
      <c r="Z52" s="2" t="str">
        <f ca="1">IFERROR(__xludf.DUMMYFUNCTION("INDEX(IMPORTRANGE(""1y0FWgjbB0gVlqn-q5LMJbGIsqOrzru4yowQz67dz2yc"", ""'APO'!BH3:BH139""),MATCH($D52,IMPORTRANGE(""1y0FWgjbB0gVlqn-q5LMJbGIsqOrzru4yowQz67dz2yc"", ""'APO'!D3:D139""),0))"),"Sí")</f>
        <v>Sí</v>
      </c>
      <c r="AA52" s="2" t="str">
        <f ca="1">IFERROR(__xludf.DUMMYFUNCTION("INDEX(IMPORTRANGE(""1y0FWgjbB0gVlqn-q5LMJbGIsqOrzru4yowQz67dz2yc"", ""'APO'!BI3:BI139""),MATCH($D52,IMPORTRANGE(""1y0FWgjbB0gVlqn-q5LMJbGIsqOrzru4yowQz67dz2yc"", ""'APO'!D3:D139""),0))"),"Sí")</f>
        <v>Sí</v>
      </c>
      <c r="AB52" s="2" t="str">
        <f ca="1">IFERROR(__xludf.DUMMYFUNCTION("INDEX(IMPORTRANGE(""1y0FWgjbB0gVlqn-q5LMJbGIsqOrzru4yowQz67dz2yc"", ""'APO'!BJ3:BJ139""),MATCH($D52,IMPORTRANGE(""1y0FWgjbB0gVlqn-q5LMJbGIsqOrzru4yowQz67dz2yc"", ""'APO'!D3:D139""),0))"),"Sí")</f>
        <v>Sí</v>
      </c>
      <c r="AC52" s="2"/>
    </row>
    <row r="53" spans="1:29">
      <c r="A53" s="149" t="s">
        <v>147</v>
      </c>
      <c r="B53" s="149" t="s">
        <v>148</v>
      </c>
      <c r="C53" s="148" t="s">
        <v>36</v>
      </c>
      <c r="D53" s="149" t="s">
        <v>156</v>
      </c>
      <c r="E53" s="149" t="s">
        <v>38</v>
      </c>
      <c r="F53" s="2"/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30">
        <f t="shared" ref="P53:Q53" si="13">COUNTIF(P50:P52,"Sí")*(1/3)</f>
        <v>0.66666666666666663</v>
      </c>
      <c r="Q53" s="30">
        <f t="shared" si="13"/>
        <v>0.66666666666666663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30">
        <f>COUNTIF(X50:X52,"Sí")*(1/3)</f>
        <v>0.66666666666666663</v>
      </c>
      <c r="Y53" s="2">
        <f ca="1">IFERROR(__xludf.DUMMYFUNCTION("INDEX(IMPORTRANGE(""1y0FWgjbB0gVlqn-q5LMJbGIsqOrzru4yowQz67dz2yc"", ""'APO'!BG3:BG139""),MATCH($D53,IMPORTRANGE(""1y0FWgjbB0gVlqn-q5LMJbGIsqOrzru4yowQz67dz2yc"", ""'APO'!D3:D139""),0))"),1)</f>
        <v>1</v>
      </c>
      <c r="Z53" s="2">
        <f ca="1">IFERROR(__xludf.DUMMYFUNCTION("INDEX(IMPORTRANGE(""1y0FWgjbB0gVlqn-q5LMJbGIsqOrzru4yowQz67dz2yc"", ""'APO'!BH3:BH139""),MATCH($D53,IMPORTRANGE(""1y0FWgjbB0gVlqn-q5LMJbGIsqOrzru4yowQz67dz2yc"", ""'APO'!D3:D139""),0))"),1)</f>
        <v>1</v>
      </c>
      <c r="AA53" s="2">
        <f ca="1">IFERROR(__xludf.DUMMYFUNCTION("INDEX(IMPORTRANGE(""1y0FWgjbB0gVlqn-q5LMJbGIsqOrzru4yowQz67dz2yc"", ""'APO'!BI3:BI139""),MATCH($D53,IMPORTRANGE(""1y0FWgjbB0gVlqn-q5LMJbGIsqOrzru4yowQz67dz2yc"", ""'APO'!D3:D139""),0))"),1)</f>
        <v>1</v>
      </c>
      <c r="AB53" s="2">
        <f ca="1">IFERROR(__xludf.DUMMYFUNCTION("INDEX(IMPORTRANGE(""1y0FWgjbB0gVlqn-q5LMJbGIsqOrzru4yowQz67dz2yc"", ""'APO'!BJ3:BJ139""),MATCH($D53,IMPORTRANGE(""1y0FWgjbB0gVlqn-q5LMJbGIsqOrzru4yowQz67dz2yc"", ""'APO'!D3:D139""),0))"),1)</f>
        <v>1</v>
      </c>
      <c r="AC53" s="2"/>
    </row>
    <row r="54" spans="1:29">
      <c r="A54" s="149" t="s">
        <v>147</v>
      </c>
      <c r="B54" s="149" t="s">
        <v>148</v>
      </c>
      <c r="C54" s="148" t="s">
        <v>36</v>
      </c>
      <c r="D54" s="149" t="s">
        <v>351</v>
      </c>
      <c r="E54" s="149" t="s">
        <v>38</v>
      </c>
      <c r="F54" s="2"/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2">
        <v>1</v>
      </c>
      <c r="Y54" s="2">
        <f ca="1">IFERROR(__xludf.DUMMYFUNCTION("INDEX(IMPORTRANGE(""1y0FWgjbB0gVlqn-q5LMJbGIsqOrzru4yowQz67dz2yc"", ""'APO'!BG3:BG139""),MATCH($D54,IMPORTRANGE(""1y0FWgjbB0gVlqn-q5LMJbGIsqOrzru4yowQz67dz2yc"", ""'APO'!D3:D139""),0))"),1)</f>
        <v>1</v>
      </c>
      <c r="Z54" s="2">
        <f ca="1">IFERROR(__xludf.DUMMYFUNCTION("INDEX(IMPORTRANGE(""1y0FWgjbB0gVlqn-q5LMJbGIsqOrzru4yowQz67dz2yc"", ""'APO'!BH3:BH139""),MATCH($D54,IMPORTRANGE(""1y0FWgjbB0gVlqn-q5LMJbGIsqOrzru4yowQz67dz2yc"", ""'APO'!D3:D139""),0))"),1)</f>
        <v>1</v>
      </c>
      <c r="AA54" s="2">
        <f ca="1">IFERROR(__xludf.DUMMYFUNCTION("INDEX(IMPORTRANGE(""1y0FWgjbB0gVlqn-q5LMJbGIsqOrzru4yowQz67dz2yc"", ""'APO'!BI3:BI139""),MATCH($D54,IMPORTRANGE(""1y0FWgjbB0gVlqn-q5LMJbGIsqOrzru4yowQz67dz2yc"", ""'APO'!D3:D139""),0))"),1)</f>
        <v>1</v>
      </c>
      <c r="AB54" s="2">
        <f ca="1">IFERROR(__xludf.DUMMYFUNCTION("INDEX(IMPORTRANGE(""1y0FWgjbB0gVlqn-q5LMJbGIsqOrzru4yowQz67dz2yc"", ""'APO'!BJ3:BJ139""),MATCH($D54,IMPORTRANGE(""1y0FWgjbB0gVlqn-q5LMJbGIsqOrzru4yowQz67dz2yc"", ""'APO'!D3:D139""),0))"),1)</f>
        <v>1</v>
      </c>
      <c r="AC54" s="2"/>
    </row>
    <row r="55" spans="1:29">
      <c r="A55" s="149" t="s">
        <v>147</v>
      </c>
      <c r="B55" s="149" t="s">
        <v>148</v>
      </c>
      <c r="C55" s="148" t="s">
        <v>30</v>
      </c>
      <c r="D55" s="149" t="s">
        <v>162</v>
      </c>
      <c r="E55" s="149" t="s">
        <v>38</v>
      </c>
      <c r="F55" s="2" t="s">
        <v>163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1</v>
      </c>
      <c r="Q55" s="12">
        <v>1</v>
      </c>
      <c r="R55" s="13"/>
      <c r="S55" s="13"/>
      <c r="T55" s="13"/>
      <c r="U55" s="13"/>
      <c r="V55" s="13"/>
      <c r="W55" s="13"/>
      <c r="X55" s="12">
        <v>2</v>
      </c>
      <c r="Y55" s="2">
        <f ca="1">IFERROR(__xludf.DUMMYFUNCTION("INDEX(IMPORTRANGE(""1y0FWgjbB0gVlqn-q5LMJbGIsqOrzru4yowQz67dz2yc"", ""'APO'!BG3:BG139""),MATCH($D55,IMPORTRANGE(""1y0FWgjbB0gVlqn-q5LMJbGIsqOrzru4yowQz67dz2yc"", ""'APO'!D3:D139""),0))"),2)</f>
        <v>2</v>
      </c>
      <c r="Z55" s="2">
        <f ca="1">IFERROR(__xludf.DUMMYFUNCTION("INDEX(IMPORTRANGE(""1y0FWgjbB0gVlqn-q5LMJbGIsqOrzru4yowQz67dz2yc"", ""'APO'!BH3:BH139""),MATCH($D55,IMPORTRANGE(""1y0FWgjbB0gVlqn-q5LMJbGIsqOrzru4yowQz67dz2yc"", ""'APO'!D3:D139""),0))"),2)</f>
        <v>2</v>
      </c>
      <c r="AA55" s="2">
        <f ca="1">IFERROR(__xludf.DUMMYFUNCTION("INDEX(IMPORTRANGE(""1y0FWgjbB0gVlqn-q5LMJbGIsqOrzru4yowQz67dz2yc"", ""'APO'!BI3:BI139""),MATCH($D55,IMPORTRANGE(""1y0FWgjbB0gVlqn-q5LMJbGIsqOrzru4yowQz67dz2yc"", ""'APO'!D3:D139""),0))"),2)</f>
        <v>2</v>
      </c>
      <c r="AB55" s="2">
        <f ca="1">IFERROR(__xludf.DUMMYFUNCTION("INDEX(IMPORTRANGE(""1y0FWgjbB0gVlqn-q5LMJbGIsqOrzru4yowQz67dz2yc"", ""'APO'!BJ3:BJ139""),MATCH($D55,IMPORTRANGE(""1y0FWgjbB0gVlqn-q5LMJbGIsqOrzru4yowQz67dz2yc"", ""'APO'!D3:D139""),0))"),2)</f>
        <v>2</v>
      </c>
      <c r="AC55" s="2"/>
    </row>
    <row r="56" spans="1:29">
      <c r="A56" s="149" t="s">
        <v>147</v>
      </c>
      <c r="B56" s="149" t="s">
        <v>148</v>
      </c>
      <c r="C56" s="148" t="s">
        <v>30</v>
      </c>
      <c r="D56" s="149" t="s">
        <v>164</v>
      </c>
      <c r="E56" s="149" t="s">
        <v>38</v>
      </c>
      <c r="F56" s="2" t="s">
        <v>165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13"/>
      <c r="X56" s="12">
        <v>1</v>
      </c>
      <c r="Y56" s="2">
        <f ca="1">IFERROR(__xludf.DUMMYFUNCTION("INDEX(IMPORTRANGE(""1y0FWgjbB0gVlqn-q5LMJbGIsqOrzru4yowQz67dz2yc"", ""'APO'!BG3:BG139""),MATCH($D56,IMPORTRANGE(""1y0FWgjbB0gVlqn-q5LMJbGIsqOrzru4yowQz67dz2yc"", ""'APO'!D3:D139""),0))"),0)</f>
        <v>0</v>
      </c>
      <c r="Z56" s="2">
        <f ca="1">IFERROR(__xludf.DUMMYFUNCTION("INDEX(IMPORTRANGE(""1y0FWgjbB0gVlqn-q5LMJbGIsqOrzru4yowQz67dz2yc"", ""'APO'!BH3:BH139""),MATCH($D56,IMPORTRANGE(""1y0FWgjbB0gVlqn-q5LMJbGIsqOrzru4yowQz67dz2yc"", ""'APO'!D3:D139""),0))"),0)</f>
        <v>0</v>
      </c>
      <c r="AA56" s="2">
        <f ca="1">IFERROR(__xludf.DUMMYFUNCTION("INDEX(IMPORTRANGE(""1y0FWgjbB0gVlqn-q5LMJbGIsqOrzru4yowQz67dz2yc"", ""'APO'!BI3:BI139""),MATCH($D56,IMPORTRANGE(""1y0FWgjbB0gVlqn-q5LMJbGIsqOrzru4yowQz67dz2yc"", ""'APO'!D3:D139""),0))"),0)</f>
        <v>0</v>
      </c>
      <c r="AB56" s="2">
        <f ca="1">IFERROR(__xludf.DUMMYFUNCTION("INDEX(IMPORTRANGE(""1y0FWgjbB0gVlqn-q5LMJbGIsqOrzru4yowQz67dz2yc"", ""'APO'!BJ3:BJ139""),MATCH($D56,IMPORTRANGE(""1y0FWgjbB0gVlqn-q5LMJbGIsqOrzru4yowQz67dz2yc"", ""'APO'!D3:D139""),0))"),0)</f>
        <v>0</v>
      </c>
      <c r="AC56" s="2"/>
    </row>
    <row r="57" spans="1:29">
      <c r="A57" s="149" t="s">
        <v>147</v>
      </c>
      <c r="B57" s="149" t="s">
        <v>148</v>
      </c>
      <c r="C57" s="148" t="s">
        <v>36</v>
      </c>
      <c r="D57" s="149" t="s">
        <v>166</v>
      </c>
      <c r="E57" s="149" t="s">
        <v>38</v>
      </c>
      <c r="F57" s="2" t="s">
        <v>167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4">
        <f t="shared" ref="P57:Q57" si="14">P56/P55</f>
        <v>0</v>
      </c>
      <c r="Q57" s="14">
        <f t="shared" si="14"/>
        <v>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X56/X55</f>
        <v>0.5</v>
      </c>
      <c r="Y57" s="15">
        <f ca="1">IFERROR(__xludf.DUMMYFUNCTION("INDEX(IMPORTRANGE(""1y0FWgjbB0gVlqn-q5LMJbGIsqOrzru4yowQz67dz2yc"", ""'APO'!BG3:BG139""),MATCH($D57,IMPORTRANGE(""1y0FWgjbB0gVlqn-q5LMJbGIsqOrzru4yowQz67dz2yc"", ""'APO'!D3:D139""),0))"),0)</f>
        <v>0</v>
      </c>
      <c r="Z57" s="15">
        <f ca="1">IFERROR(__xludf.DUMMYFUNCTION("INDEX(IMPORTRANGE(""1y0FWgjbB0gVlqn-q5LMJbGIsqOrzru4yowQz67dz2yc"", ""'APO'!BH3:BH139""),MATCH($D57,IMPORTRANGE(""1y0FWgjbB0gVlqn-q5LMJbGIsqOrzru4yowQz67dz2yc"", ""'APO'!D3:D139""),0))"),0)</f>
        <v>0</v>
      </c>
      <c r="AA57" s="15">
        <f ca="1">IFERROR(__xludf.DUMMYFUNCTION("INDEX(IMPORTRANGE(""1y0FWgjbB0gVlqn-q5LMJbGIsqOrzru4yowQz67dz2yc"", ""'APO'!BI3:BI139""),MATCH($D57,IMPORTRANGE(""1y0FWgjbB0gVlqn-q5LMJbGIsqOrzru4yowQz67dz2yc"", ""'APO'!D3:D139""),0))"),0)</f>
        <v>0</v>
      </c>
      <c r="AB57" s="15">
        <f ca="1">IFERROR(__xludf.DUMMYFUNCTION("INDEX(IMPORTRANGE(""1y0FWgjbB0gVlqn-q5LMJbGIsqOrzru4yowQz67dz2yc"", ""'APO'!BJ3:BJ139""),MATCH($D57,IMPORTRANGE(""1y0FWgjbB0gVlqn-q5LMJbGIsqOrzru4yowQz67dz2yc"", ""'APO'!D3:D139""),0))"),0)</f>
        <v>0</v>
      </c>
      <c r="AC57" s="15"/>
    </row>
    <row r="58" spans="1:29">
      <c r="A58" s="149" t="s">
        <v>147</v>
      </c>
      <c r="B58" s="149" t="s">
        <v>168</v>
      </c>
      <c r="C58" s="148" t="s">
        <v>30</v>
      </c>
      <c r="D58" s="149" t="s">
        <v>169</v>
      </c>
      <c r="E58" s="149" t="s">
        <v>38</v>
      </c>
      <c r="F58" s="2" t="s">
        <v>170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52390</v>
      </c>
      <c r="Q58" s="12">
        <v>52390</v>
      </c>
      <c r="R58" s="13"/>
      <c r="S58" s="13"/>
      <c r="T58" s="13"/>
      <c r="U58" s="13"/>
      <c r="V58" s="13"/>
      <c r="W58" s="13"/>
      <c r="X58" s="12">
        <v>52800</v>
      </c>
      <c r="Y58" s="12">
        <f ca="1">IFERROR(__xludf.DUMMYFUNCTION("INDEX(IMPORTRANGE(""1y0FWgjbB0gVlqn-q5LMJbGIsqOrzru4yowQz67dz2yc"", ""'APO'!BG3:BG139""),MATCH($D58,IMPORTRANGE(""1y0FWgjbB0gVlqn-q5LMJbGIsqOrzru4yowQz67dz2yc"", ""'APO'!D3:D139""),0))"),53950)</f>
        <v>53950</v>
      </c>
      <c r="Z58" s="12">
        <f ca="1">IFERROR(__xludf.DUMMYFUNCTION("INDEX(IMPORTRANGE(""1y0FWgjbB0gVlqn-q5LMJbGIsqOrzru4yowQz67dz2yc"", ""'APO'!BH3:BH139""),MATCH($D58,IMPORTRANGE(""1y0FWgjbB0gVlqn-q5LMJbGIsqOrzru4yowQz67dz2yc"", ""'APO'!D3:D139""),0))"),54080)</f>
        <v>54080</v>
      </c>
      <c r="AA58" s="12">
        <f ca="1">IFERROR(__xludf.DUMMYFUNCTION("INDEX(IMPORTRANGE(""1y0FWgjbB0gVlqn-q5LMJbGIsqOrzru4yowQz67dz2yc"", ""'APO'!BI3:BI139""),MATCH($D58,IMPORTRANGE(""1y0FWgjbB0gVlqn-q5LMJbGIsqOrzru4yowQz67dz2yc"", ""'APO'!D3:D139""),0))"),54170)</f>
        <v>54170</v>
      </c>
      <c r="AB58" s="2">
        <f ca="1">IFERROR(__xludf.DUMMYFUNCTION("INDEX(IMPORTRANGE(""1y0FWgjbB0gVlqn-q5LMJbGIsqOrzru4yowQz67dz2yc"", ""'APO'!BJ3:BJ139""),MATCH($D58,IMPORTRANGE(""1y0FWgjbB0gVlqn-q5LMJbGIsqOrzru4yowQz67dz2yc"", ""'APO'!D3:D139""),0))"),54600)</f>
        <v>54600</v>
      </c>
      <c r="AC58" s="12"/>
    </row>
    <row r="59" spans="1:29">
      <c r="A59" s="149" t="s">
        <v>147</v>
      </c>
      <c r="B59" s="149" t="s">
        <v>168</v>
      </c>
      <c r="C59" s="148" t="s">
        <v>30</v>
      </c>
      <c r="D59" s="149" t="s">
        <v>171</v>
      </c>
      <c r="E59" s="149" t="s">
        <v>38</v>
      </c>
      <c r="F59" s="2" t="s">
        <v>172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52500</v>
      </c>
      <c r="Q59" s="12">
        <v>52500</v>
      </c>
      <c r="R59" s="13"/>
      <c r="S59" s="13"/>
      <c r="T59" s="13"/>
      <c r="U59" s="13"/>
      <c r="V59" s="13"/>
      <c r="W59" s="13"/>
      <c r="X59" s="12">
        <v>53200</v>
      </c>
      <c r="Y59" s="12">
        <f ca="1">IFERROR(__xludf.DUMMYFUNCTION("INDEX(IMPORTRANGE(""1y0FWgjbB0gVlqn-q5LMJbGIsqOrzru4yowQz67dz2yc"", ""'APO'!BG3:BG139""),MATCH($D59,IMPORTRANGE(""1y0FWgjbB0gVlqn-q5LMJbGIsqOrzru4yowQz67dz2yc"", ""'APO'!D3:D139""),0))"),54800)</f>
        <v>54800</v>
      </c>
      <c r="Z59" s="12">
        <f ca="1">IFERROR(__xludf.DUMMYFUNCTION("INDEX(IMPORTRANGE(""1y0FWgjbB0gVlqn-q5LMJbGIsqOrzru4yowQz67dz2yc"", ""'APO'!BH3:BH139""),MATCH($D59,IMPORTRANGE(""1y0FWgjbB0gVlqn-q5LMJbGIsqOrzru4yowQz67dz2yc"", ""'APO'!D3:D139""),0))"),55100)</f>
        <v>55100</v>
      </c>
      <c r="AA59" s="12">
        <f ca="1">IFERROR(__xludf.DUMMYFUNCTION("INDEX(IMPORTRANGE(""1y0FWgjbB0gVlqn-q5LMJbGIsqOrzru4yowQz67dz2yc"", ""'APO'!BI3:BI139""),MATCH($D59,IMPORTRANGE(""1y0FWgjbB0gVlqn-q5LMJbGIsqOrzru4yowQz67dz2yc"", ""'APO'!D3:D139""),0))"),55225)</f>
        <v>55225</v>
      </c>
      <c r="AB59" s="2">
        <f ca="1">IFERROR(__xludf.DUMMYFUNCTION("INDEX(IMPORTRANGE(""1y0FWgjbB0gVlqn-q5LMJbGIsqOrzru4yowQz67dz2yc"", ""'APO'!BJ3:BJ139""),MATCH($D59,IMPORTRANGE(""1y0FWgjbB0gVlqn-q5LMJbGIsqOrzru4yowQz67dz2yc"", ""'APO'!D3:D139""),0))"),55355)</f>
        <v>55355</v>
      </c>
      <c r="AC59" s="12"/>
    </row>
    <row r="60" spans="1:29">
      <c r="A60" s="149" t="s">
        <v>147</v>
      </c>
      <c r="B60" s="149" t="s">
        <v>168</v>
      </c>
      <c r="C60" s="148" t="s">
        <v>36</v>
      </c>
      <c r="D60" s="149" t="s">
        <v>173</v>
      </c>
      <c r="E60" s="149" t="s">
        <v>38</v>
      </c>
      <c r="F60" s="2" t="s">
        <v>174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5">P58/P59</f>
        <v>0.99790476190476185</v>
      </c>
      <c r="Q60" s="15">
        <f t="shared" si="15"/>
        <v>0.99790476190476185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0.99248120300751874</v>
      </c>
      <c r="Y60" s="15">
        <f ca="1">IFERROR(__xludf.DUMMYFUNCTION("INDEX(IMPORTRANGE(""1y0FWgjbB0gVlqn-q5LMJbGIsqOrzru4yowQz67dz2yc"", ""'APO'!BG3:BG139""),MATCH($D60,IMPORTRANGE(""1y0FWgjbB0gVlqn-q5LMJbGIsqOrzru4yowQz67dz2yc"", ""'APO'!D3:D139""),0))"),0.98448905109489)</f>
        <v>0.98448905109489004</v>
      </c>
      <c r="Z60" s="15">
        <f ca="1">IFERROR(__xludf.DUMMYFUNCTION("INDEX(IMPORTRANGE(""1y0FWgjbB0gVlqn-q5LMJbGIsqOrzru4yowQz67dz2yc"", ""'APO'!BH3:BH139""),MATCH($D60,IMPORTRANGE(""1y0FWgjbB0gVlqn-q5LMJbGIsqOrzru4yowQz67dz2yc"", ""'APO'!D3:D139""),0))"),0.981488203266787)</f>
        <v>0.98148820326678698</v>
      </c>
      <c r="AA60" s="15">
        <f ca="1">IFERROR(__xludf.DUMMYFUNCTION("INDEX(IMPORTRANGE(""1y0FWgjbB0gVlqn-q5LMJbGIsqOrzru4yowQz67dz2yc"", ""'APO'!BI3:BI139""),MATCH($D60,IMPORTRANGE(""1y0FWgjbB0gVlqn-q5LMJbGIsqOrzru4yowQz67dz2yc"", ""'APO'!D3:D139""),0))"),0.980896333182435)</f>
        <v>0.98089633318243497</v>
      </c>
      <c r="AB60" s="15">
        <f ca="1">IFERROR(__xludf.DUMMYFUNCTION("INDEX(IMPORTRANGE(""1y0FWgjbB0gVlqn-q5LMJbGIsqOrzru4yowQz67dz2yc"", ""'APO'!BJ3:BJ139""),MATCH($D60,IMPORTRANGE(""1y0FWgjbB0gVlqn-q5LMJbGIsqOrzru4yowQz67dz2yc"", ""'APO'!D3:D139""),0))"),0.986360762352091)</f>
        <v>0.98636076235209103</v>
      </c>
      <c r="AC60" s="15"/>
    </row>
    <row r="61" spans="1:29">
      <c r="A61" s="149" t="s">
        <v>147</v>
      </c>
      <c r="B61" s="149" t="s">
        <v>168</v>
      </c>
      <c r="C61" s="148" t="s">
        <v>30</v>
      </c>
      <c r="D61" s="148" t="s">
        <v>175</v>
      </c>
      <c r="E61" s="149" t="s">
        <v>38</v>
      </c>
      <c r="F61" s="2" t="s">
        <v>176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208236</v>
      </c>
      <c r="Q61" s="12">
        <v>208236</v>
      </c>
      <c r="R61" s="13"/>
      <c r="S61" s="13"/>
      <c r="T61" s="13"/>
      <c r="U61" s="13"/>
      <c r="V61" s="13"/>
      <c r="W61" s="13"/>
      <c r="X61" s="12">
        <v>208236</v>
      </c>
      <c r="Y61" s="12">
        <f ca="1">IFERROR(__xludf.DUMMYFUNCTION("INDEX(IMPORTRANGE(""1y0FWgjbB0gVlqn-q5LMJbGIsqOrzru4yowQz67dz2yc"", ""'APO'!BG3:BG139""),MATCH($D61,IMPORTRANGE(""1y0FWgjbB0gVlqn-q5LMJbGIsqOrzru4yowQz67dz2yc"", ""'APO'!D3:D139""),0))"),211206)</f>
        <v>211206</v>
      </c>
      <c r="Z61" s="12">
        <f ca="1">IFERROR(__xludf.DUMMYFUNCTION("INDEX(IMPORTRANGE(""1y0FWgjbB0gVlqn-q5LMJbGIsqOrzru4yowQz67dz2yc"", ""'APO'!BH3:BH139""),MATCH($D61,IMPORTRANGE(""1y0FWgjbB0gVlqn-q5LMJbGIsqOrzru4yowQz67dz2yc"", ""'APO'!D3:D139""),0))"),212648)</f>
        <v>212648</v>
      </c>
      <c r="AA61" s="12">
        <f ca="1">IFERROR(__xludf.DUMMYFUNCTION("INDEX(IMPORTRANGE(""1y0FWgjbB0gVlqn-q5LMJbGIsqOrzru4yowQz67dz2yc"", ""'APO'!BI3:BI139""),MATCH($D61,IMPORTRANGE(""1y0FWgjbB0gVlqn-q5LMJbGIsqOrzru4yowQz67dz2yc"", ""'APO'!D3:D139""),0))"),213729)</f>
        <v>213729</v>
      </c>
      <c r="AB61" s="2">
        <f ca="1">IFERROR(__xludf.DUMMYFUNCTION("INDEX(IMPORTRANGE(""1y0FWgjbB0gVlqn-q5LMJbGIsqOrzru4yowQz67dz2yc"", ""'APO'!BJ3:BJ139""),MATCH($D61,IMPORTRANGE(""1y0FWgjbB0gVlqn-q5LMJbGIsqOrzru4yowQz67dz2yc"", ""'APO'!D3:D139""),0))"),215031)</f>
        <v>215031</v>
      </c>
      <c r="AC61" s="12"/>
    </row>
    <row r="62" spans="1:29">
      <c r="A62" s="149" t="s">
        <v>147</v>
      </c>
      <c r="B62" s="149" t="s">
        <v>168</v>
      </c>
      <c r="C62" s="148" t="s">
        <v>36</v>
      </c>
      <c r="D62" s="148" t="s">
        <v>177</v>
      </c>
      <c r="E62" s="149" t="s">
        <v>38</v>
      </c>
      <c r="F62" s="2" t="s">
        <v>178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4">
        <f t="shared" ref="P62:Q62" si="16">P61/P37</f>
        <v>1</v>
      </c>
      <c r="Q62" s="14">
        <f t="shared" si="16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4">
        <f>X61/X37</f>
        <v>1</v>
      </c>
      <c r="Y62" s="14">
        <f ca="1">IFERROR(__xludf.DUMMYFUNCTION("INDEX(IMPORTRANGE(""1y0FWgjbB0gVlqn-q5LMJbGIsqOrzru4yowQz67dz2yc"", ""'APO'!BG3:BG139""),MATCH($D62,IMPORTRANGE(""1y0FWgjbB0gVlqn-q5LMJbGIsqOrzru4yowQz67dz2yc"", ""'APO'!D3:D139""),0))"),1)</f>
        <v>1</v>
      </c>
      <c r="Z62" s="14">
        <f ca="1">IFERROR(__xludf.DUMMYFUNCTION("INDEX(IMPORTRANGE(""1y0FWgjbB0gVlqn-q5LMJbGIsqOrzru4yowQz67dz2yc"", ""'APO'!BH3:BH139""),MATCH($D62,IMPORTRANGE(""1y0FWgjbB0gVlqn-q5LMJbGIsqOrzru4yowQz67dz2yc"", ""'APO'!D3:D139""),0))"),1)</f>
        <v>1</v>
      </c>
      <c r="AA62" s="14">
        <f ca="1">IFERROR(__xludf.DUMMYFUNCTION("INDEX(IMPORTRANGE(""1y0FWgjbB0gVlqn-q5LMJbGIsqOrzru4yowQz67dz2yc"", ""'APO'!BI3:BI139""),MATCH($D62,IMPORTRANGE(""1y0FWgjbB0gVlqn-q5LMJbGIsqOrzru4yowQz67dz2yc"", ""'APO'!D3:D139""),0))"),1)</f>
        <v>1</v>
      </c>
      <c r="AB62" s="14">
        <f ca="1">IFERROR(__xludf.DUMMYFUNCTION("INDEX(IMPORTRANGE(""1y0FWgjbB0gVlqn-q5LMJbGIsqOrzru4yowQz67dz2yc"", ""'APO'!BJ3:BJ139""),MATCH($D62,IMPORTRANGE(""1y0FWgjbB0gVlqn-q5LMJbGIsqOrzru4yowQz67dz2yc"", ""'APO'!D3:D139""),0))"),1)</f>
        <v>1</v>
      </c>
      <c r="AC62" s="14"/>
    </row>
    <row r="63" spans="1:29">
      <c r="A63" s="149" t="s">
        <v>147</v>
      </c>
      <c r="B63" s="149" t="s">
        <v>168</v>
      </c>
      <c r="C63" s="148" t="s">
        <v>30</v>
      </c>
      <c r="D63" s="149" t="s">
        <v>179</v>
      </c>
      <c r="E63" s="149" t="s">
        <v>38</v>
      </c>
      <c r="F63" s="2" t="s">
        <v>180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518511</v>
      </c>
      <c r="Q63" s="12">
        <v>518511</v>
      </c>
      <c r="R63" s="13"/>
      <c r="S63" s="13"/>
      <c r="T63" s="13"/>
      <c r="U63" s="13"/>
      <c r="V63" s="13"/>
      <c r="W63" s="13"/>
      <c r="X63" s="12">
        <v>559131</v>
      </c>
      <c r="Y63" s="12">
        <f ca="1">IFERROR(__xludf.DUMMYFUNCTION("INDEX(IMPORTRANGE(""1y0FWgjbB0gVlqn-q5LMJbGIsqOrzru4yowQz67dz2yc"", ""'APO'!BG3:BG139""),MATCH($D63,IMPORTRANGE(""1y0FWgjbB0gVlqn-q5LMJbGIsqOrzru4yowQz67dz2yc"", ""'APO'!D3:D139""),0))"),620815)</f>
        <v>620815</v>
      </c>
      <c r="Z63" s="12">
        <f ca="1">IFERROR(__xludf.DUMMYFUNCTION("INDEX(IMPORTRANGE(""1y0FWgjbB0gVlqn-q5LMJbGIsqOrzru4yowQz67dz2yc"", ""'APO'!BH3:BH139""),MATCH($D63,IMPORTRANGE(""1y0FWgjbB0gVlqn-q5LMJbGIsqOrzru4yowQz67dz2yc"", ""'APO'!D3:D139""),0))"),679920)</f>
        <v>679920</v>
      </c>
      <c r="AA63" s="12">
        <f ca="1">IFERROR(__xludf.DUMMYFUNCTION("INDEX(IMPORTRANGE(""1y0FWgjbB0gVlqn-q5LMJbGIsqOrzru4yowQz67dz2yc"", ""'APO'!BI3:BI139""),MATCH($D63,IMPORTRANGE(""1y0FWgjbB0gVlqn-q5LMJbGIsqOrzru4yowQz67dz2yc"", ""'APO'!D3:D139""),0))"),812057)</f>
        <v>812057</v>
      </c>
      <c r="AB63" s="2">
        <f ca="1">IFERROR(__xludf.DUMMYFUNCTION("INDEX(IMPORTRANGE(""1y0FWgjbB0gVlqn-q5LMJbGIsqOrzru4yowQz67dz2yc"", ""'APO'!BJ3:BJ139""),MATCH($D63,IMPORTRANGE(""1y0FWgjbB0gVlqn-q5LMJbGIsqOrzru4yowQz67dz2yc"", ""'APO'!D3:D139""),0))"),870223)</f>
        <v>870223</v>
      </c>
      <c r="AC63" s="12"/>
    </row>
    <row r="64" spans="1:29">
      <c r="A64" s="149" t="s">
        <v>147</v>
      </c>
      <c r="B64" s="149" t="s">
        <v>168</v>
      </c>
      <c r="C64" s="148" t="s">
        <v>30</v>
      </c>
      <c r="D64" s="149" t="s">
        <v>181</v>
      </c>
      <c r="E64" s="149" t="s">
        <v>38</v>
      </c>
      <c r="F64" s="2" t="s">
        <v>182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987831</v>
      </c>
      <c r="Q64" s="12">
        <v>987831</v>
      </c>
      <c r="R64" s="13"/>
      <c r="S64" s="13"/>
      <c r="T64" s="13"/>
      <c r="U64" s="13"/>
      <c r="V64" s="13"/>
      <c r="W64" s="13"/>
      <c r="X64" s="12">
        <v>987831</v>
      </c>
      <c r="Y64" s="12">
        <f ca="1">IFERROR(__xludf.DUMMYFUNCTION("INDEX(IMPORTRANGE(""1y0FWgjbB0gVlqn-q5LMJbGIsqOrzru4yowQz67dz2yc"", ""'APO'!BG3:BG139""),MATCH($D64,IMPORTRANGE(""1y0FWgjbB0gVlqn-q5LMJbGIsqOrzru4yowQz67dz2yc"", ""'APO'!D3:D139""),0))"),1028451)</f>
        <v>1028451</v>
      </c>
      <c r="Z64" s="12">
        <f ca="1">IFERROR(__xludf.DUMMYFUNCTION("INDEX(IMPORTRANGE(""1y0FWgjbB0gVlqn-q5LMJbGIsqOrzru4yowQz67dz2yc"", ""'APO'!BH3:BH139""),MATCH($D64,IMPORTRANGE(""1y0FWgjbB0gVlqn-q5LMJbGIsqOrzru4yowQz67dz2yc"", ""'APO'!D3:D139""),0))"),1028546)</f>
        <v>1028546</v>
      </c>
      <c r="AA64" s="12">
        <f ca="1">IFERROR(__xludf.DUMMYFUNCTION("INDEX(IMPORTRANGE(""1y0FWgjbB0gVlqn-q5LMJbGIsqOrzru4yowQz67dz2yc"", ""'APO'!BI3:BI139""),MATCH($D64,IMPORTRANGE(""1y0FWgjbB0gVlqn-q5LMJbGIsqOrzru4yowQz67dz2yc"", ""'APO'!D3:D139""),0))"),1087556)</f>
        <v>1087556</v>
      </c>
      <c r="AB64" s="2">
        <f ca="1">IFERROR(__xludf.DUMMYFUNCTION("INDEX(IMPORTRANGE(""1y0FWgjbB0gVlqn-q5LMJbGIsqOrzru4yowQz67dz2yc"", ""'APO'!BJ3:BJ139""),MATCH($D64,IMPORTRANGE(""1y0FWgjbB0gVlqn-q5LMJbGIsqOrzru4yowQz67dz2yc"", ""'APO'!D3:D139""),0))"),1087556)</f>
        <v>1087556</v>
      </c>
      <c r="AC64" s="12"/>
    </row>
    <row r="65" spans="1:29">
      <c r="A65" s="149" t="s">
        <v>147</v>
      </c>
      <c r="B65" s="149" t="s">
        <v>168</v>
      </c>
      <c r="C65" s="148" t="s">
        <v>36</v>
      </c>
      <c r="D65" s="149" t="s">
        <v>183</v>
      </c>
      <c r="E65" s="149" t="s">
        <v>38</v>
      </c>
      <c r="F65" s="2" t="s">
        <v>184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7">P63/P64</f>
        <v>0.52489848972141995</v>
      </c>
      <c r="Q65" s="15">
        <f t="shared" si="17"/>
        <v>0.52489848972141995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0.56601888379692478</v>
      </c>
      <c r="Y65" s="15">
        <f ca="1">IFERROR(__xludf.DUMMYFUNCTION("INDEX(IMPORTRANGE(""1y0FWgjbB0gVlqn-q5LMJbGIsqOrzru4yowQz67dz2yc"", ""'APO'!BG3:BG139""),MATCH($D65,IMPORTRANGE(""1y0FWgjbB0gVlqn-q5LMJbGIsqOrzru4yowQz67dz2yc"", ""'APO'!D3:D139""),0))"),0.603640815167664)</f>
        <v>0.60364081516766399</v>
      </c>
      <c r="Z65" s="15">
        <f ca="1">IFERROR(__xludf.DUMMYFUNCTION("INDEX(IMPORTRANGE(""1y0FWgjbB0gVlqn-q5LMJbGIsqOrzru4yowQz67dz2yc"", ""'APO'!BH3:BH139""),MATCH($D65,IMPORTRANGE(""1y0FWgjbB0gVlqn-q5LMJbGIsqOrzru4yowQz67dz2yc"", ""'APO'!D3:D139""),0))"),0.661049675950322)</f>
        <v>0.66104967595032205</v>
      </c>
      <c r="AA65" s="15">
        <f ca="1">IFERROR(__xludf.DUMMYFUNCTION("INDEX(IMPORTRANGE(""1y0FWgjbB0gVlqn-q5LMJbGIsqOrzru4yowQz67dz2yc"", ""'APO'!BI3:BI139""),MATCH($D65,IMPORTRANGE(""1y0FWgjbB0gVlqn-q5LMJbGIsqOrzru4yowQz67dz2yc"", ""'APO'!D3:D139""),0))"),0.746680630698557)</f>
        <v>0.74668063069855695</v>
      </c>
      <c r="AB65" s="15">
        <f ca="1">IFERROR(__xludf.DUMMYFUNCTION("INDEX(IMPORTRANGE(""1y0FWgjbB0gVlqn-q5LMJbGIsqOrzru4yowQz67dz2yc"", ""'APO'!BJ3:BJ139""),MATCH($D65,IMPORTRANGE(""1y0FWgjbB0gVlqn-q5LMJbGIsqOrzru4yowQz67dz2yc"", ""'APO'!D3:D139""),0))"),0.800163853631445)</f>
        <v>0.80016385363144504</v>
      </c>
      <c r="AC65" s="15"/>
    </row>
    <row r="66" spans="1:29">
      <c r="A66" s="149" t="s">
        <v>147</v>
      </c>
      <c r="B66" s="149" t="s">
        <v>168</v>
      </c>
      <c r="C66" s="148" t="s">
        <v>30</v>
      </c>
      <c r="D66" s="149" t="s">
        <v>185</v>
      </c>
      <c r="E66" s="149" t="s">
        <v>38</v>
      </c>
      <c r="F66" s="2" t="s">
        <v>186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22977</v>
      </c>
      <c r="Q66" s="12">
        <v>22977</v>
      </c>
      <c r="R66" s="13"/>
      <c r="S66" s="13"/>
      <c r="T66" s="13"/>
      <c r="U66" s="13"/>
      <c r="V66" s="13"/>
      <c r="W66" s="13"/>
      <c r="X66" s="12">
        <v>22977</v>
      </c>
      <c r="Y66" s="12">
        <f ca="1">IFERROR(__xludf.DUMMYFUNCTION("INDEX(IMPORTRANGE(""1y0FWgjbB0gVlqn-q5LMJbGIsqOrzru4yowQz67dz2yc"", ""'APO'!BG3:BG139""),MATCH($D66,IMPORTRANGE(""1y0FWgjbB0gVlqn-q5LMJbGIsqOrzru4yowQz67dz2yc"", ""'APO'!D3:D139""),0))"),23377)</f>
        <v>23377</v>
      </c>
      <c r="Z66" s="12">
        <f ca="1">IFERROR(__xludf.DUMMYFUNCTION("INDEX(IMPORTRANGE(""1y0FWgjbB0gVlqn-q5LMJbGIsqOrzru4yowQz67dz2yc"", ""'APO'!BH3:BH139""),MATCH($D66,IMPORTRANGE(""1y0FWgjbB0gVlqn-q5LMJbGIsqOrzru4yowQz67dz2yc"", ""'APO'!D3:D139""),0))"),23504.5)</f>
        <v>23504.5</v>
      </c>
      <c r="AA66" s="12">
        <f ca="1">IFERROR(__xludf.DUMMYFUNCTION("INDEX(IMPORTRANGE(""1y0FWgjbB0gVlqn-q5LMJbGIsqOrzru4yowQz67dz2yc"", ""'APO'!BI3:BI139""),MATCH($D66,IMPORTRANGE(""1y0FWgjbB0gVlqn-q5LMJbGIsqOrzru4yowQz67dz2yc"", ""'APO'!D3:D139""),0))"),24325)</f>
        <v>24325</v>
      </c>
      <c r="AB66" s="2">
        <f ca="1">IFERROR(__xludf.DUMMYFUNCTION("INDEX(IMPORTRANGE(""1y0FWgjbB0gVlqn-q5LMJbGIsqOrzru4yowQz67dz2yc"", ""'APO'!BJ3:BJ139""),MATCH($D66,IMPORTRANGE(""1y0FWgjbB0gVlqn-q5LMJbGIsqOrzru4yowQz67dz2yc"", ""'APO'!D3:D139""),0))"),26712)</f>
        <v>26712</v>
      </c>
      <c r="AC66" s="12"/>
    </row>
    <row r="67" spans="1:29">
      <c r="A67" s="149" t="s">
        <v>147</v>
      </c>
      <c r="B67" s="149" t="s">
        <v>168</v>
      </c>
      <c r="C67" s="148" t="s">
        <v>30</v>
      </c>
      <c r="D67" s="149" t="s">
        <v>187</v>
      </c>
      <c r="E67" s="149" t="s">
        <v>38</v>
      </c>
      <c r="F67" s="2" t="s">
        <v>188</v>
      </c>
      <c r="G67" s="10">
        <v>44469</v>
      </c>
      <c r="H67" s="10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32977</v>
      </c>
      <c r="Q67" s="12">
        <v>32977</v>
      </c>
      <c r="R67" s="13"/>
      <c r="S67" s="13"/>
      <c r="T67" s="13"/>
      <c r="U67" s="13"/>
      <c r="V67" s="13"/>
      <c r="W67" s="13"/>
      <c r="X67" s="12">
        <v>32977</v>
      </c>
      <c r="Y67" s="12">
        <f ca="1">IFERROR(__xludf.DUMMYFUNCTION("INDEX(IMPORTRANGE(""1y0FWgjbB0gVlqn-q5LMJbGIsqOrzru4yowQz67dz2yc"", ""'APO'!BG3:BG139""),MATCH($D67,IMPORTRANGE(""1y0FWgjbB0gVlqn-q5LMJbGIsqOrzru4yowQz67dz2yc"", ""'APO'!D3:D139""),0))"),32977)</f>
        <v>32977</v>
      </c>
      <c r="Z67" s="12">
        <f ca="1">IFERROR(__xludf.DUMMYFUNCTION("INDEX(IMPORTRANGE(""1y0FWgjbB0gVlqn-q5LMJbGIsqOrzru4yowQz67dz2yc"", ""'APO'!BH3:BH139""),MATCH($D67,IMPORTRANGE(""1y0FWgjbB0gVlqn-q5LMJbGIsqOrzru4yowQz67dz2yc"", ""'APO'!D3:D139""),0))"),32977)</f>
        <v>32977</v>
      </c>
      <c r="AA67" s="12">
        <f ca="1">IFERROR(__xludf.DUMMYFUNCTION("INDEX(IMPORTRANGE(""1y0FWgjbB0gVlqn-q5LMJbGIsqOrzru4yowQz67dz2yc"", ""'APO'!BI3:BI139""),MATCH($D67,IMPORTRANGE(""1y0FWgjbB0gVlqn-q5LMJbGIsqOrzru4yowQz67dz2yc"", ""'APO'!D3:D139""),0))"),32977)</f>
        <v>32977</v>
      </c>
      <c r="AB67" s="2">
        <f ca="1">IFERROR(__xludf.DUMMYFUNCTION("INDEX(IMPORTRANGE(""1y0FWgjbB0gVlqn-q5LMJbGIsqOrzru4yowQz67dz2yc"", ""'APO'!BJ3:BJ139""),MATCH($D67,IMPORTRANGE(""1y0FWgjbB0gVlqn-q5LMJbGIsqOrzru4yowQz67dz2yc"", ""'APO'!D3:D139""),0))"),32977)</f>
        <v>32977</v>
      </c>
      <c r="AC67" s="12"/>
    </row>
    <row r="68" spans="1:29">
      <c r="A68" s="149" t="s">
        <v>147</v>
      </c>
      <c r="B68" s="149" t="s">
        <v>168</v>
      </c>
      <c r="C68" s="148" t="s">
        <v>36</v>
      </c>
      <c r="D68" s="149" t="s">
        <v>189</v>
      </c>
      <c r="E68" s="149" t="s">
        <v>38</v>
      </c>
      <c r="F68" s="2" t="s">
        <v>190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8">P66/P67</f>
        <v>0.69675834672650638</v>
      </c>
      <c r="Q68" s="15">
        <f t="shared" si="18"/>
        <v>0.69675834672650638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0.69675834672650638</v>
      </c>
      <c r="Y68" s="15">
        <f ca="1">IFERROR(__xludf.DUMMYFUNCTION("INDEX(IMPORTRANGE(""1y0FWgjbB0gVlqn-q5LMJbGIsqOrzru4yowQz67dz2yc"", ""'APO'!BG3:BG139""),MATCH($D68,IMPORTRANGE(""1y0FWgjbB0gVlqn-q5LMJbGIsqOrzru4yowQz67dz2yc"", ""'APO'!D3:D139""),0))"),0.708888012857446)</f>
        <v>0.70888801285744596</v>
      </c>
      <c r="Z68" s="15">
        <f ca="1">IFERROR(__xludf.DUMMYFUNCTION("INDEX(IMPORTRANGE(""1y0FWgjbB0gVlqn-q5LMJbGIsqOrzru4yowQz67dz2yc"", ""'APO'!BH3:BH139""),MATCH($D68,IMPORTRANGE(""1y0FWgjbB0gVlqn-q5LMJbGIsqOrzru4yowQz67dz2yc"", ""'APO'!D3:D139""),0))"),0.712754343936683)</f>
        <v>0.71275434393668302</v>
      </c>
      <c r="AA68" s="15">
        <f ca="1">IFERROR(__xludf.DUMMYFUNCTION("INDEX(IMPORTRANGE(""1y0FWgjbB0gVlqn-q5LMJbGIsqOrzru4yowQz67dz2yc"", ""'APO'!BI3:BI139""),MATCH($D68,IMPORTRANGE(""1y0FWgjbB0gVlqn-q5LMJbGIsqOrzru4yowQz67dz2yc"", ""'APO'!D3:D139""),0))"),0.737635321587773)</f>
        <v>0.73763532158777301</v>
      </c>
      <c r="AB68" s="15">
        <f ca="1">IFERROR(__xludf.DUMMYFUNCTION("INDEX(IMPORTRANGE(""1y0FWgjbB0gVlqn-q5LMJbGIsqOrzru4yowQz67dz2yc"", ""'APO'!BJ3:BJ139""),MATCH($D68,IMPORTRANGE(""1y0FWgjbB0gVlqn-q5LMJbGIsqOrzru4yowQz67dz2yc"", ""'APO'!D3:D139""),0))"),0.810019104224156)</f>
        <v>0.81001910422415602</v>
      </c>
      <c r="AC68" s="15"/>
    </row>
    <row r="69" spans="1:29">
      <c r="A69" s="149" t="s">
        <v>147</v>
      </c>
      <c r="B69" s="149" t="s">
        <v>168</v>
      </c>
      <c r="C69" s="148" t="s">
        <v>30</v>
      </c>
      <c r="D69" s="149" t="s">
        <v>191</v>
      </c>
      <c r="E69" s="149" t="s">
        <v>38</v>
      </c>
      <c r="F69" s="2" t="s">
        <v>192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2">
        <v>0</v>
      </c>
      <c r="Q69" s="24">
        <v>1.75</v>
      </c>
      <c r="R69" s="1"/>
      <c r="S69" s="1"/>
      <c r="T69" s="1"/>
      <c r="U69" s="1"/>
      <c r="V69" s="1"/>
      <c r="W69" s="1"/>
      <c r="X69" s="24">
        <v>10.209999999999999</v>
      </c>
      <c r="Y69" s="24">
        <f ca="1">IFERROR(__xludf.DUMMYFUNCTION("INDEX(IMPORTRANGE(""1y0FWgjbB0gVlqn-q5LMJbGIsqOrzru4yowQz67dz2yc"", ""'APO'!BG3:BG139""),MATCH($D69,IMPORTRANGE(""1y0FWgjbB0gVlqn-q5LMJbGIsqOrzru4yowQz67dz2yc"", ""'APO'!D3:D139""),0))"),19.81)</f>
        <v>19.809999999999999</v>
      </c>
      <c r="Z69" s="2">
        <f ca="1">IFERROR(__xludf.DUMMYFUNCTION("INDEX(IMPORTRANGE(""1y0FWgjbB0gVlqn-q5LMJbGIsqOrzru4yowQz67dz2yc"", ""'APO'!BH3:BH139""),MATCH($D69,IMPORTRANGE(""1y0FWgjbB0gVlqn-q5LMJbGIsqOrzru4yowQz67dz2yc"", ""'APO'!D3:D139""),0))"),7.1)</f>
        <v>7.1</v>
      </c>
      <c r="AA69" s="2">
        <f ca="1">IFERROR(__xludf.DUMMYFUNCTION("INDEX(IMPORTRANGE(""1y0FWgjbB0gVlqn-q5LMJbGIsqOrzru4yowQz67dz2yc"", ""'APO'!BI3:BI139""),MATCH($D69,IMPORTRANGE(""1y0FWgjbB0gVlqn-q5LMJbGIsqOrzru4yowQz67dz2yc"", ""'APO'!D3:D139""),0))"),14.2999999999999)</f>
        <v>14.299999999999899</v>
      </c>
      <c r="AB69" s="2">
        <f ca="1">IFERROR(__xludf.DUMMYFUNCTION("INDEX(IMPORTRANGE(""1y0FWgjbB0gVlqn-q5LMJbGIsqOrzru4yowQz67dz2yc"", ""'APO'!BJ3:BJ139""),MATCH($D69,IMPORTRANGE(""1y0FWgjbB0gVlqn-q5LMJbGIsqOrzru4yowQz67dz2yc"", ""'APO'!D3:D139""),0))"),10)</f>
        <v>10</v>
      </c>
      <c r="AC69" s="2"/>
    </row>
    <row r="70" spans="1:29">
      <c r="A70" s="149" t="s">
        <v>147</v>
      </c>
      <c r="B70" s="149" t="s">
        <v>168</v>
      </c>
      <c r="C70" s="148" t="s">
        <v>30</v>
      </c>
      <c r="D70" s="149" t="s">
        <v>193</v>
      </c>
      <c r="E70" s="149" t="s">
        <v>38</v>
      </c>
      <c r="F70" s="2" t="s">
        <v>194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2">
        <v>1.4</v>
      </c>
      <c r="R70" s="1"/>
      <c r="S70" s="1"/>
      <c r="T70" s="1"/>
      <c r="U70" s="1"/>
      <c r="V70" s="1"/>
      <c r="W70" s="1"/>
      <c r="X70" s="2">
        <v>8.4</v>
      </c>
      <c r="Y70" s="2">
        <f ca="1">IFERROR(__xludf.DUMMYFUNCTION("INDEX(IMPORTRANGE(""1y0FWgjbB0gVlqn-q5LMJbGIsqOrzru4yowQz67dz2yc"", ""'APO'!BG3:BG139""),MATCH($D70,IMPORTRANGE(""1y0FWgjbB0gVlqn-q5LMJbGIsqOrzru4yowQz67dz2yc"", ""'APO'!D3:D139""),0))"),8.4)</f>
        <v>8.4</v>
      </c>
      <c r="Z70" s="2">
        <f ca="1">IFERROR(__xludf.DUMMYFUNCTION("INDEX(IMPORTRANGE(""1y0FWgjbB0gVlqn-q5LMJbGIsqOrzru4yowQz67dz2yc"", ""'APO'!BH3:BH139""),MATCH($D70,IMPORTRANGE(""1y0FWgjbB0gVlqn-q5LMJbGIsqOrzru4yowQz67dz2yc"", ""'APO'!D3:D139""),0))"),0)</f>
        <v>0</v>
      </c>
      <c r="AA70" s="2">
        <f ca="1">IFERROR(__xludf.DUMMYFUNCTION("INDEX(IMPORTRANGE(""1y0FWgjbB0gVlqn-q5LMJbGIsqOrzru4yowQz67dz2yc"", ""'APO'!BI3:BI139""),MATCH($D70,IMPORTRANGE(""1y0FWgjbB0gVlqn-q5LMJbGIsqOrzru4yowQz67dz2yc"", ""'APO'!D3:D139""),0))"),0)</f>
        <v>0</v>
      </c>
      <c r="AB70" s="2">
        <f ca="1">IFERROR(__xludf.DUMMYFUNCTION("INDEX(IMPORTRANGE(""1y0FWgjbB0gVlqn-q5LMJbGIsqOrzru4yowQz67dz2yc"", ""'APO'!BJ3:BJ139""),MATCH($D70,IMPORTRANGE(""1y0FWgjbB0gVlqn-q5LMJbGIsqOrzru4yowQz67dz2yc"", ""'APO'!D3:D139""),0))"),0)</f>
        <v>0</v>
      </c>
      <c r="AC70" s="2"/>
    </row>
    <row r="71" spans="1:29">
      <c r="A71" s="149" t="s">
        <v>147</v>
      </c>
      <c r="B71" s="149" t="s">
        <v>168</v>
      </c>
      <c r="C71" s="148" t="s">
        <v>30</v>
      </c>
      <c r="D71" s="149" t="s">
        <v>195</v>
      </c>
      <c r="E71" s="149" t="s">
        <v>38</v>
      </c>
      <c r="F71" s="2" t="s">
        <v>196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13"/>
      <c r="S71" s="13"/>
      <c r="T71" s="13"/>
      <c r="U71" s="13"/>
      <c r="V71" s="13"/>
      <c r="W71" s="13"/>
      <c r="X71" s="12">
        <v>0</v>
      </c>
      <c r="Y71" s="2" t="str">
        <f ca="1">IFERROR(__xludf.DUMMYFUNCTION("INDEX(IMPORTRANGE(""1y0FWgjbB0gVlqn-q5LMJbGIsqOrzru4yowQz67dz2yc"", ""'APO'!BG3:BG139""),MATCH($D71,IMPORTRANGE(""1y0FWgjbB0gVlqn-q5LMJbGIsqOrzru4yowQz67dz2yc"", ""'APO'!D3:D139""),0))"),"")</f>
        <v/>
      </c>
      <c r="Z71" s="177" t="str">
        <f ca="1">IFERROR(__xludf.DUMMYFUNCTION("INDEX(IMPORTRANGE(""1y0FWgjbB0gVlqn-q5LMJbGIsqOrzru4yowQz67dz2yc"", ""'APO'!BH3:BH139""),MATCH($D71,IMPORTRANGE(""1y0FWgjbB0gVlqn-q5LMJbGIsqOrzru4yowQz67dz2yc"", ""'APO'!D3:D139""),0))"),"http://apodaca.gob.mx/dwfiles/_NuevaTransparencia_/informacion_interes/Alcalde%20Como%20Vamos/Servicios%20Publicos/PROGRAMA%20DE%20MANTENIMIENTO%20PREVENTIVO%20DRENAJES%20PLUVIALES%20DE%20APODACA%20NL.pdf")</f>
        <v>http://apodaca.gob.mx/dwfiles/_NuevaTransparencia_/informacion_interes/Alcalde%20Como%20Vamos/Servicios%20Publicos/PROGRAMA%20DE%20MANTENIMIENTO%20PREVENTIVO%20DRENAJES%20PLUVIALES%20DE%20APODACA%20NL.pdf</v>
      </c>
      <c r="AA71" s="2" t="str">
        <f ca="1">IFERROR(__xludf.DUMMYFUNCTION("INDEX(IMPORTRANGE(""1y0FWgjbB0gVlqn-q5LMJbGIsqOrzru4yowQz67dz2yc"", ""'APO'!BI3:BI139""),MATCH($D71,IMPORTRANGE(""1y0FWgjbB0gVlqn-q5LMJbGIsqOrzru4yowQz67dz2yc"", ""'APO'!D3:D139""),0))"),"")</f>
        <v/>
      </c>
      <c r="AB71" s="190" t="str">
        <f ca="1">IFERROR(__xludf.DUMMYFUNCTION("INDEX(IMPORTRANGE(""1y0FWgjbB0gVlqn-q5LMJbGIsqOrzru4yowQz67dz2yc"", ""'APO'!BJ3:BJ139""),MATCH($D71,IMPORTRANGE(""1y0FWgjbB0gVlqn-q5LMJbGIsqOrzru4yowQz67dz2yc"", ""'APO'!D3:D139""),0))"),"https://apodaca.gob.mx/dwfiles/_NuevaTransparencia_/informacion_interes/Alcalde%20Como%20Vamos/Servicios%20Publicos/PROGRAMA%20DE%20MANTENIMIENTO%20PREVENTIVO%20DRENAJES%20PLUVIALES%20DE%20APODACA%20NL.pdf					")</f>
        <v xml:space="preserve">https://apodaca.gob.mx/dwfiles/_NuevaTransparencia_/informacion_interes/Alcalde%20Como%20Vamos/Servicios%20Publicos/PROGRAMA%20DE%20MANTENIMIENTO%20PREVENTIVO%20DRENAJES%20PLUVIALES%20DE%20APODACA%20NL.pdf					</v>
      </c>
      <c r="AC71" s="2"/>
    </row>
    <row r="72" spans="1:29">
      <c r="A72" s="149" t="s">
        <v>147</v>
      </c>
      <c r="B72" s="149" t="s">
        <v>168</v>
      </c>
      <c r="C72" s="148" t="s">
        <v>36</v>
      </c>
      <c r="D72" s="149" t="s">
        <v>197</v>
      </c>
      <c r="E72" s="149" t="s">
        <v>38</v>
      </c>
      <c r="F72" s="2" t="s">
        <v>198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2">
        <v>0</v>
      </c>
      <c r="Q72" s="23">
        <v>3.15</v>
      </c>
      <c r="R72" s="4">
        <f>57/3</f>
        <v>19</v>
      </c>
      <c r="S72" s="4">
        <f>T72/2</f>
        <v>9.5</v>
      </c>
      <c r="T72" s="4">
        <f>57/3</f>
        <v>19</v>
      </c>
      <c r="U72" s="4">
        <f>V72/2</f>
        <v>9.5</v>
      </c>
      <c r="V72" s="4">
        <f>57/3</f>
        <v>19</v>
      </c>
      <c r="W72" s="4">
        <v>57</v>
      </c>
      <c r="X72" s="23">
        <v>18.61</v>
      </c>
      <c r="Y72" s="2">
        <f ca="1">IFERROR(__xludf.DUMMYFUNCTION("INDEX(IMPORTRANGE(""1y0FWgjbB0gVlqn-q5LMJbGIsqOrzru4yowQz67dz2yc"", ""'APO'!BG3:BG139""),MATCH($D72,IMPORTRANGE(""1y0FWgjbB0gVlqn-q5LMJbGIsqOrzru4yowQz67dz2yc"", ""'APO'!D3:D139""),0))"),28.21)</f>
        <v>28.21</v>
      </c>
      <c r="Z72" s="2">
        <f ca="1">IFERROR(__xludf.DUMMYFUNCTION("INDEX(IMPORTRANGE(""1y0FWgjbB0gVlqn-q5LMJbGIsqOrzru4yowQz67dz2yc"", ""'APO'!BH3:BH139""),MATCH($D72,IMPORTRANGE(""1y0FWgjbB0gVlqn-q5LMJbGIsqOrzru4yowQz67dz2yc"", ""'APO'!D3:D139""),0))"),7.1)</f>
        <v>7.1</v>
      </c>
      <c r="AA72" s="2">
        <f ca="1">IFERROR(__xludf.DUMMYFUNCTION("INDEX(IMPORTRANGE(""1y0FWgjbB0gVlqn-q5LMJbGIsqOrzru4yowQz67dz2yc"", ""'APO'!BI3:BI139""),MATCH($D72,IMPORTRANGE(""1y0FWgjbB0gVlqn-q5LMJbGIsqOrzru4yowQz67dz2yc"", ""'APO'!D3:D139""),0))"),14.2999999999999)</f>
        <v>14.299999999999899</v>
      </c>
      <c r="AB72" s="2">
        <f ca="1">IFERROR(__xludf.DUMMYFUNCTION("INDEX(IMPORTRANGE(""1y0FWgjbB0gVlqn-q5LMJbGIsqOrzru4yowQz67dz2yc"", ""'APO'!BJ3:BJ139""),MATCH($D72,IMPORTRANGE(""1y0FWgjbB0gVlqn-q5LMJbGIsqOrzru4yowQz67dz2yc"", ""'APO'!D3:D139""),0))"),10)</f>
        <v>10</v>
      </c>
      <c r="AC72" s="2"/>
    </row>
    <row r="73" spans="1:29">
      <c r="A73" s="149" t="s">
        <v>199</v>
      </c>
      <c r="B73" s="149" t="s">
        <v>200</v>
      </c>
      <c r="C73" s="148" t="s">
        <v>36</v>
      </c>
      <c r="D73" s="149" t="s">
        <v>201</v>
      </c>
      <c r="E73" s="149" t="s">
        <v>38</v>
      </c>
      <c r="F73" s="2" t="s">
        <v>202</v>
      </c>
      <c r="G73" s="10">
        <v>44469</v>
      </c>
      <c r="H73" s="10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12">
        <v>6.0339999999999998</v>
      </c>
      <c r="Q73" s="12">
        <v>6.0339999999999998</v>
      </c>
      <c r="R73" s="23">
        <f t="shared" ref="R73:W73" si="19">+Q73+2/5</f>
        <v>6.4340000000000002</v>
      </c>
      <c r="S73" s="23">
        <f t="shared" si="19"/>
        <v>6.8340000000000005</v>
      </c>
      <c r="T73" s="23">
        <f t="shared" si="19"/>
        <v>7.2340000000000009</v>
      </c>
      <c r="U73" s="23">
        <f t="shared" si="19"/>
        <v>7.6340000000000012</v>
      </c>
      <c r="V73" s="23">
        <f t="shared" si="19"/>
        <v>8.0340000000000007</v>
      </c>
      <c r="W73" s="23">
        <f t="shared" si="19"/>
        <v>8.4340000000000011</v>
      </c>
      <c r="X73" s="23">
        <v>6.0339999999999998</v>
      </c>
      <c r="Y73" s="23">
        <f ca="1">IFERROR(__xludf.DUMMYFUNCTION("INDEX(IMPORTRANGE(""1y0FWgjbB0gVlqn-q5LMJbGIsqOrzru4yowQz67dz2yc"", ""'APO'!BG3:BG139""),MATCH($D73,IMPORTRANGE(""1y0FWgjbB0gVlqn-q5LMJbGIsqOrzru4yowQz67dz2yc"", ""'APO'!D3:D139""),0))"),9.53)</f>
        <v>9.5299999999999994</v>
      </c>
      <c r="Z73" s="2">
        <f ca="1">IFERROR(__xludf.DUMMYFUNCTION("INDEX(IMPORTRANGE(""1y0FWgjbB0gVlqn-q5LMJbGIsqOrzru4yowQz67dz2yc"", ""'APO'!BH3:BH139""),MATCH($D73,IMPORTRANGE(""1y0FWgjbB0gVlqn-q5LMJbGIsqOrzru4yowQz67dz2yc"", ""'APO'!D3:D139""),0))"),9.5)</f>
        <v>9.5</v>
      </c>
      <c r="AA73" s="2">
        <f ca="1">IFERROR(__xludf.DUMMYFUNCTION("INDEX(IMPORTRANGE(""1y0FWgjbB0gVlqn-q5LMJbGIsqOrzru4yowQz67dz2yc"", ""'APO'!BI3:BI139""),MATCH($D73,IMPORTRANGE(""1y0FWgjbB0gVlqn-q5LMJbGIsqOrzru4yowQz67dz2yc"", ""'APO'!D3:D139""),0))"),0)</f>
        <v>0</v>
      </c>
      <c r="AB73" s="2">
        <f ca="1">IFERROR(__xludf.DUMMYFUNCTION("INDEX(IMPORTRANGE(""1y0FWgjbB0gVlqn-q5LMJbGIsqOrzru4yowQz67dz2yc"", ""'APO'!BJ3:BJ139""),MATCH($D73,IMPORTRANGE(""1y0FWgjbB0gVlqn-q5LMJbGIsqOrzru4yowQz67dz2yc"", ""'APO'!D3:D139""),0))"),2.6)</f>
        <v>2.6</v>
      </c>
      <c r="AC73" s="2"/>
    </row>
    <row r="74" spans="1:29">
      <c r="A74" s="149" t="s">
        <v>199</v>
      </c>
      <c r="B74" s="149" t="s">
        <v>200</v>
      </c>
      <c r="C74" s="148" t="s">
        <v>30</v>
      </c>
      <c r="D74" s="149" t="s">
        <v>203</v>
      </c>
      <c r="E74" s="149" t="s">
        <v>38</v>
      </c>
      <c r="F74" s="2" t="s">
        <v>204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13"/>
      <c r="Q74" s="13"/>
      <c r="R74" s="1"/>
      <c r="S74" s="1"/>
      <c r="T74" s="1"/>
      <c r="U74" s="1"/>
      <c r="V74" s="1"/>
      <c r="W74" s="191"/>
      <c r="X74" s="12">
        <v>10081</v>
      </c>
      <c r="Y74" s="12">
        <f ca="1">IFERROR(__xludf.DUMMYFUNCTION("INDEX(IMPORTRANGE(""1y0FWgjbB0gVlqn-q5LMJbGIsqOrzru4yowQz67dz2yc"", ""'APO'!BG3:BG139""),MATCH($D74,IMPORTRANGE(""1y0FWgjbB0gVlqn-q5LMJbGIsqOrzru4yowQz67dz2yc"", ""'APO'!D3:D139""),0))"),12599)</f>
        <v>12599</v>
      </c>
      <c r="Z74" s="12">
        <f ca="1">IFERROR(__xludf.DUMMYFUNCTION("INDEX(IMPORTRANGE(""1y0FWgjbB0gVlqn-q5LMJbGIsqOrzru4yowQz67dz2yc"", ""'APO'!BH3:BH139""),MATCH($D74,IMPORTRANGE(""1y0FWgjbB0gVlqn-q5LMJbGIsqOrzru4yowQz67dz2yc"", ""'APO'!D3:D139""),0))"),2400)</f>
        <v>2400</v>
      </c>
      <c r="AA74" s="12">
        <f ca="1">IFERROR(__xludf.DUMMYFUNCTION("INDEX(IMPORTRANGE(""1y0FWgjbB0gVlqn-q5LMJbGIsqOrzru4yowQz67dz2yc"", ""'APO'!BI3:BI139""),MATCH($D74,IMPORTRANGE(""1y0FWgjbB0gVlqn-q5LMJbGIsqOrzru4yowQz67dz2yc"", ""'APO'!D3:D139""),0))"),2400)</f>
        <v>2400</v>
      </c>
      <c r="AB74" s="2">
        <f ca="1">IFERROR(__xludf.DUMMYFUNCTION("INDEX(IMPORTRANGE(""1y0FWgjbB0gVlqn-q5LMJbGIsqOrzru4yowQz67dz2yc"", ""'APO'!BJ3:BJ139""),MATCH($D74,IMPORTRANGE(""1y0FWgjbB0gVlqn-q5LMJbGIsqOrzru4yowQz67dz2yc"", ""'APO'!D3:D139""),0))"),438.15)</f>
        <v>438.15</v>
      </c>
      <c r="AC74" s="12"/>
    </row>
    <row r="75" spans="1:29">
      <c r="A75" s="149" t="s">
        <v>199</v>
      </c>
      <c r="B75" s="149" t="s">
        <v>200</v>
      </c>
      <c r="C75" s="148" t="s">
        <v>30</v>
      </c>
      <c r="D75" s="149" t="s">
        <v>205</v>
      </c>
      <c r="E75" s="149" t="s">
        <v>38</v>
      </c>
      <c r="F75" s="9" t="s">
        <v>206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13"/>
      <c r="Q75" s="13"/>
      <c r="R75" s="1"/>
      <c r="S75" s="1"/>
      <c r="T75" s="1"/>
      <c r="U75" s="1"/>
      <c r="V75" s="1"/>
      <c r="W75" s="1"/>
      <c r="X75" s="12">
        <v>0</v>
      </c>
      <c r="Y75" s="2">
        <f ca="1">IFERROR(__xludf.DUMMYFUNCTION("INDEX(IMPORTRANGE(""1y0FWgjbB0gVlqn-q5LMJbGIsqOrzru4yowQz67dz2yc"", ""'APO'!BG3:BG139""),MATCH($D75,IMPORTRANGE(""1y0FWgjbB0gVlqn-q5LMJbGIsqOrzru4yowQz67dz2yc"", ""'APO'!D3:D139""),0))"),0)</f>
        <v>0</v>
      </c>
      <c r="Z75" s="2">
        <f ca="1">IFERROR(__xludf.DUMMYFUNCTION("INDEX(IMPORTRANGE(""1y0FWgjbB0gVlqn-q5LMJbGIsqOrzru4yowQz67dz2yc"", ""'APO'!BH3:BH139""),MATCH($D75,IMPORTRANGE(""1y0FWgjbB0gVlqn-q5LMJbGIsqOrzru4yowQz67dz2yc"", ""'APO'!D3:D139""),0))"),0)</f>
        <v>0</v>
      </c>
      <c r="AA75" s="2">
        <f ca="1">IFERROR(__xludf.DUMMYFUNCTION("INDEX(IMPORTRANGE(""1y0FWgjbB0gVlqn-q5LMJbGIsqOrzru4yowQz67dz2yc"", ""'APO'!BI3:BI139""),MATCH($D75,IMPORTRANGE(""1y0FWgjbB0gVlqn-q5LMJbGIsqOrzru4yowQz67dz2yc"", ""'APO'!D3:D139""),0))"),0)</f>
        <v>0</v>
      </c>
      <c r="AB75" s="2">
        <f ca="1">IFERROR(__xludf.DUMMYFUNCTION("INDEX(IMPORTRANGE(""1y0FWgjbB0gVlqn-q5LMJbGIsqOrzru4yowQz67dz2yc"", ""'APO'!BJ3:BJ139""),MATCH($D75,IMPORTRANGE(""1y0FWgjbB0gVlqn-q5LMJbGIsqOrzru4yowQz67dz2yc"", ""'APO'!D3:D139""),0))"),0)</f>
        <v>0</v>
      </c>
      <c r="AC75" s="2"/>
    </row>
    <row r="76" spans="1:29">
      <c r="A76" s="149" t="s">
        <v>199</v>
      </c>
      <c r="B76" s="149" t="s">
        <v>200</v>
      </c>
      <c r="C76" s="148" t="s">
        <v>30</v>
      </c>
      <c r="D76" s="149" t="s">
        <v>207</v>
      </c>
      <c r="E76" s="149" t="s">
        <v>38</v>
      </c>
      <c r="F76" s="9" t="s">
        <v>208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3"/>
      <c r="Q76" s="13"/>
      <c r="R76" s="1"/>
      <c r="S76" s="1"/>
      <c r="T76" s="1"/>
      <c r="U76" s="1"/>
      <c r="V76" s="1"/>
      <c r="W76" s="1"/>
      <c r="X76" s="12">
        <v>133</v>
      </c>
      <c r="Y76" s="2">
        <f ca="1">IFERROR(__xludf.DUMMYFUNCTION("INDEX(IMPORTRANGE(""1y0FWgjbB0gVlqn-q5LMJbGIsqOrzru4yowQz67dz2yc"", ""'APO'!BG3:BG139""),MATCH($D76,IMPORTRANGE(""1y0FWgjbB0gVlqn-q5LMJbGIsqOrzru4yowQz67dz2yc"", ""'APO'!D3:D139""),0))"),1907)</f>
        <v>1907</v>
      </c>
      <c r="Z76" s="2">
        <f ca="1">IFERROR(__xludf.DUMMYFUNCTION("INDEX(IMPORTRANGE(""1y0FWgjbB0gVlqn-q5LMJbGIsqOrzru4yowQz67dz2yc"", ""'APO'!BH3:BH139""),MATCH($D76,IMPORTRANGE(""1y0FWgjbB0gVlqn-q5LMJbGIsqOrzru4yowQz67dz2yc"", ""'APO'!D3:D139""),0))"),399)</f>
        <v>399</v>
      </c>
      <c r="AA76" s="2">
        <f ca="1">IFERROR(__xludf.DUMMYFUNCTION("INDEX(IMPORTRANGE(""1y0FWgjbB0gVlqn-q5LMJbGIsqOrzru4yowQz67dz2yc"", ""'APO'!BI3:BI139""),MATCH($D76,IMPORTRANGE(""1y0FWgjbB0gVlqn-q5LMJbGIsqOrzru4yowQz67dz2yc"", ""'APO'!D3:D139""),0))"),1582)</f>
        <v>1582</v>
      </c>
      <c r="AB76" s="2">
        <f ca="1">IFERROR(__xludf.DUMMYFUNCTION("INDEX(IMPORTRANGE(""1y0FWgjbB0gVlqn-q5LMJbGIsqOrzru4yowQz67dz2yc"", ""'APO'!BJ3:BJ139""),MATCH($D76,IMPORTRANGE(""1y0FWgjbB0gVlqn-q5LMJbGIsqOrzru4yowQz67dz2yc"", ""'APO'!D3:D139""),0))"),430)</f>
        <v>430</v>
      </c>
      <c r="AC76" s="2"/>
    </row>
    <row r="77" spans="1:29">
      <c r="A77" s="149" t="s">
        <v>199</v>
      </c>
      <c r="B77" s="149" t="s">
        <v>200</v>
      </c>
      <c r="C77" s="148" t="s">
        <v>36</v>
      </c>
      <c r="D77" s="149" t="s">
        <v>209</v>
      </c>
      <c r="E77" s="149" t="s">
        <v>38</v>
      </c>
      <c r="F77" s="9" t="s">
        <v>210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4"/>
      <c r="Q77" s="4"/>
      <c r="R77" s="2">
        <f>$W$77/3</f>
        <v>1350</v>
      </c>
      <c r="S77" s="2">
        <f>T77/2</f>
        <v>675</v>
      </c>
      <c r="T77" s="2">
        <f>$W$77/3</f>
        <v>1350</v>
      </c>
      <c r="U77" s="2">
        <f>V77/2</f>
        <v>675</v>
      </c>
      <c r="V77" s="2">
        <f>$W$77/3</f>
        <v>1350</v>
      </c>
      <c r="W77" s="35">
        <v>4050</v>
      </c>
      <c r="X77" s="12">
        <f>SUM(X74:X76)</f>
        <v>10214</v>
      </c>
      <c r="Y77" s="12">
        <f ca="1">IFERROR(__xludf.DUMMYFUNCTION("INDEX(IMPORTRANGE(""1y0FWgjbB0gVlqn-q5LMJbGIsqOrzru4yowQz67dz2yc"", ""'APO'!BG3:BG139""),MATCH($D77,IMPORTRANGE(""1y0FWgjbB0gVlqn-q5LMJbGIsqOrzru4yowQz67dz2yc"", ""'APO'!D3:D139""),0))"),14506)</f>
        <v>14506</v>
      </c>
      <c r="Z77" s="12">
        <f ca="1">IFERROR(__xludf.DUMMYFUNCTION("INDEX(IMPORTRANGE(""1y0FWgjbB0gVlqn-q5LMJbGIsqOrzru4yowQz67dz2yc"", ""'APO'!BH3:BH139""),MATCH($D77,IMPORTRANGE(""1y0FWgjbB0gVlqn-q5LMJbGIsqOrzru4yowQz67dz2yc"", ""'APO'!D3:D139""),0))"),2799)</f>
        <v>2799</v>
      </c>
      <c r="AA77" s="12">
        <f ca="1">IFERROR(__xludf.DUMMYFUNCTION("INDEX(IMPORTRANGE(""1y0FWgjbB0gVlqn-q5LMJbGIsqOrzru4yowQz67dz2yc"", ""'APO'!BI3:BI139""),MATCH($D77,IMPORTRANGE(""1y0FWgjbB0gVlqn-q5LMJbGIsqOrzru4yowQz67dz2yc"", ""'APO'!D3:D139""),0))"),3982)</f>
        <v>3982</v>
      </c>
      <c r="AB77" s="12">
        <f ca="1">IFERROR(__xludf.DUMMYFUNCTION("INDEX(IMPORTRANGE(""1y0FWgjbB0gVlqn-q5LMJbGIsqOrzru4yowQz67dz2yc"", ""'APO'!BJ3:BJ139""),MATCH($D77,IMPORTRANGE(""1y0FWgjbB0gVlqn-q5LMJbGIsqOrzru4yowQz67dz2yc"", ""'APO'!D3:D139""),0))"),868.15)</f>
        <v>868.15</v>
      </c>
      <c r="AC77" s="12"/>
    </row>
    <row r="78" spans="1:29">
      <c r="A78" s="149" t="s">
        <v>199</v>
      </c>
      <c r="B78" s="149" t="s">
        <v>200</v>
      </c>
      <c r="C78" s="148" t="s">
        <v>30</v>
      </c>
      <c r="D78" s="149" t="s">
        <v>211</v>
      </c>
      <c r="E78" s="149" t="s">
        <v>38</v>
      </c>
      <c r="F78" s="9" t="s">
        <v>212</v>
      </c>
      <c r="G78" s="16" t="s">
        <v>213</v>
      </c>
      <c r="H78" s="8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2" t="s">
        <v>218</v>
      </c>
      <c r="O78" s="2" t="s">
        <v>218</v>
      </c>
      <c r="P78" s="36">
        <v>155199137.53</v>
      </c>
      <c r="Q78" s="36">
        <v>155199137.53</v>
      </c>
      <c r="R78" s="13"/>
      <c r="S78" s="13"/>
      <c r="T78" s="13"/>
      <c r="U78" s="13"/>
      <c r="V78" s="13"/>
      <c r="W78" s="13"/>
      <c r="X78" s="36">
        <v>155199137.53</v>
      </c>
      <c r="Y78" s="4" t="str">
        <f ca="1">IFERROR(__xludf.DUMMYFUNCTION("INDEX(IMPORTRANGE(""1y0FWgjbB0gVlqn-q5LMJbGIsqOrzru4yowQz67dz2yc"", ""'APO'!BG3:BG139""),MATCH($D78,IMPORTRANGE(""1y0FWgjbB0gVlqn-q5LMJbGIsqOrzru4yowQz67dz2yc"", ""'APO'!D3:D139""),0))"),"")</f>
        <v/>
      </c>
      <c r="Z78" s="36">
        <f ca="1">IFERROR(__xludf.DUMMYFUNCTION("INDEX(IMPORTRANGE(""1y0FWgjbB0gVlqn-q5LMJbGIsqOrzru4yowQz67dz2yc"", ""'APO'!BH3:BH139""),MATCH($D78,IMPORTRANGE(""1y0FWgjbB0gVlqn-q5LMJbGIsqOrzru4yowQz67dz2yc"", ""'APO'!D3:D139""),0))"),158563355.41)</f>
        <v>158563355.41</v>
      </c>
      <c r="AA78" s="178" t="str">
        <f ca="1">IFERROR(__xludf.DUMMYFUNCTION("INDEX(IMPORTRANGE(""1y0FWgjbB0gVlqn-q5LMJbGIsqOrzru4yowQz67dz2yc"", ""'APO'!BI3:BI139""),MATCH($D78,IMPORTRANGE(""1y0FWgjbB0gVlqn-q5LMJbGIsqOrzru4yowQz67dz2yc"", ""'APO'!D3:D139""),0))"),"")</f>
        <v/>
      </c>
      <c r="AB78" s="2">
        <f ca="1">IFERROR(__xludf.DUMMYFUNCTION("INDEX(IMPORTRANGE(""1y0FWgjbB0gVlqn-q5LMJbGIsqOrzru4yowQz67dz2yc"", ""'APO'!BJ3:BJ139""),MATCH($D78,IMPORTRANGE(""1y0FWgjbB0gVlqn-q5LMJbGIsqOrzru4yowQz67dz2yc"", ""'APO'!D3:D139""),0))"),384429281.539999)</f>
        <v>384429281.53999901</v>
      </c>
      <c r="AC78" s="36"/>
    </row>
    <row r="79" spans="1:29">
      <c r="A79" s="149" t="s">
        <v>199</v>
      </c>
      <c r="B79" s="149" t="s">
        <v>200</v>
      </c>
      <c r="C79" s="148" t="s">
        <v>30</v>
      </c>
      <c r="D79" s="149" t="s">
        <v>219</v>
      </c>
      <c r="E79" s="149" t="s">
        <v>38</v>
      </c>
      <c r="F79" s="9" t="s">
        <v>220</v>
      </c>
      <c r="G79" s="16" t="s">
        <v>213</v>
      </c>
      <c r="H79" s="8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2" t="s">
        <v>218</v>
      </c>
      <c r="O79" s="2" t="s">
        <v>218</v>
      </c>
      <c r="P79" s="36">
        <v>23239909.559999999</v>
      </c>
      <c r="Q79" s="36">
        <v>23239909.559999999</v>
      </c>
      <c r="R79" s="13"/>
      <c r="S79" s="13"/>
      <c r="T79" s="13"/>
      <c r="U79" s="13"/>
      <c r="V79" s="13"/>
      <c r="W79" s="13"/>
      <c r="X79" s="36">
        <v>23239909.559999999</v>
      </c>
      <c r="Y79" s="4" t="str">
        <f ca="1">IFERROR(__xludf.DUMMYFUNCTION("INDEX(IMPORTRANGE(""1y0FWgjbB0gVlqn-q5LMJbGIsqOrzru4yowQz67dz2yc"", ""'APO'!BG3:BG139""),MATCH($D79,IMPORTRANGE(""1y0FWgjbB0gVlqn-q5LMJbGIsqOrzru4yowQz67dz2yc"", ""'APO'!D3:D139""),0))"),"")</f>
        <v/>
      </c>
      <c r="Z79" s="36">
        <f ca="1">IFERROR(__xludf.DUMMYFUNCTION("INDEX(IMPORTRANGE(""1y0FWgjbB0gVlqn-q5LMJbGIsqOrzru4yowQz67dz2yc"", ""'APO'!BH3:BH139""),MATCH($D79,IMPORTRANGE(""1y0FWgjbB0gVlqn-q5LMJbGIsqOrzru4yowQz67dz2yc"", ""'APO'!D3:D139""),0))"),83291575.22)</f>
        <v>83291575.219999999</v>
      </c>
      <c r="AA79" s="178" t="str">
        <f ca="1">IFERROR(__xludf.DUMMYFUNCTION("INDEX(IMPORTRANGE(""1y0FWgjbB0gVlqn-q5LMJbGIsqOrzru4yowQz67dz2yc"", ""'APO'!BI3:BI139""),MATCH($D79,IMPORTRANGE(""1y0FWgjbB0gVlqn-q5LMJbGIsqOrzru4yowQz67dz2yc"", ""'APO'!D3:D139""),0))"),"")</f>
        <v/>
      </c>
      <c r="AB79" s="2">
        <f ca="1">IFERROR(__xludf.DUMMYFUNCTION("INDEX(IMPORTRANGE(""1y0FWgjbB0gVlqn-q5LMJbGIsqOrzru4yowQz67dz2yc"", ""'APO'!BJ3:BJ139""),MATCH($D79,IMPORTRANGE(""1y0FWgjbB0gVlqn-q5LMJbGIsqOrzru4yowQz67dz2yc"", ""'APO'!D3:D139""),0))"),70425468.03)</f>
        <v>70425468.030000001</v>
      </c>
      <c r="AC79" s="36"/>
    </row>
    <row r="80" spans="1:29">
      <c r="A80" s="149" t="s">
        <v>199</v>
      </c>
      <c r="B80" s="149" t="s">
        <v>200</v>
      </c>
      <c r="C80" s="148" t="s">
        <v>36</v>
      </c>
      <c r="D80" s="149" t="s">
        <v>221</v>
      </c>
      <c r="E80" s="149" t="s">
        <v>38</v>
      </c>
      <c r="F80" s="9" t="s">
        <v>222</v>
      </c>
      <c r="G80" s="21" t="s">
        <v>213</v>
      </c>
      <c r="H80" s="22" t="s">
        <v>214</v>
      </c>
      <c r="I80" s="9" t="s">
        <v>215</v>
      </c>
      <c r="J80" s="4"/>
      <c r="K80" s="9" t="s">
        <v>216</v>
      </c>
      <c r="L80" s="4"/>
      <c r="M80" s="9" t="s">
        <v>217</v>
      </c>
      <c r="N80" s="2" t="s">
        <v>218</v>
      </c>
      <c r="O80" s="2" t="s">
        <v>218</v>
      </c>
      <c r="P80" s="15">
        <f t="shared" ref="P80:Q80" si="20">P79/P78</f>
        <v>0.14974251745121794</v>
      </c>
      <c r="Q80" s="15">
        <f t="shared" si="20"/>
        <v>0.14974251745121794</v>
      </c>
      <c r="R80" s="2"/>
      <c r="S80" s="14">
        <v>0.16</v>
      </c>
      <c r="T80" s="2"/>
      <c r="U80" s="14">
        <v>0.17</v>
      </c>
      <c r="V80" s="14">
        <v>0.18</v>
      </c>
      <c r="W80" s="14">
        <v>0.18</v>
      </c>
      <c r="X80" s="15">
        <f>X79/X78</f>
        <v>0.14974251745121794</v>
      </c>
      <c r="Y80" s="4" t="str">
        <f ca="1">IFERROR(__xludf.DUMMYFUNCTION("INDEX(IMPORTRANGE(""1y0FWgjbB0gVlqn-q5LMJbGIsqOrzru4yowQz67dz2yc"", ""'APO'!BG3:BG139""),MATCH($D80,IMPORTRANGE(""1y0FWgjbB0gVlqn-q5LMJbGIsqOrzru4yowQz67dz2yc"", ""'APO'!D3:D139""),0))"),"")</f>
        <v/>
      </c>
      <c r="Z80" s="15">
        <f ca="1">IFERROR(__xludf.DUMMYFUNCTION("INDEX(IMPORTRANGE(""1y0FWgjbB0gVlqn-q5LMJbGIsqOrzru4yowQz67dz2yc"", ""'APO'!BH3:BH139""),MATCH($D80,IMPORTRANGE(""1y0FWgjbB0gVlqn-q5LMJbGIsqOrzru4yowQz67dz2yc"", ""'APO'!D3:D139""),0))"),0.525288929492136)</f>
        <v>0.52528892949213601</v>
      </c>
      <c r="AA80" s="179" t="str">
        <f ca="1">IFERROR(__xludf.DUMMYFUNCTION("INDEX(IMPORTRANGE(""1y0FWgjbB0gVlqn-q5LMJbGIsqOrzru4yowQz67dz2yc"", ""'APO'!BI3:BI139""),MATCH($D80,IMPORTRANGE(""1y0FWgjbB0gVlqn-q5LMJbGIsqOrzru4yowQz67dz2yc"", ""'APO'!D3:D139""),0))"),"")</f>
        <v/>
      </c>
      <c r="AB80" s="15">
        <f ca="1">IFERROR(__xludf.DUMMYFUNCTION("INDEX(IMPORTRANGE(""1y0FWgjbB0gVlqn-q5LMJbGIsqOrzru4yowQz67dz2yc"", ""'APO'!BJ3:BJ139""),MATCH($D80,IMPORTRANGE(""1y0FWgjbB0gVlqn-q5LMJbGIsqOrzru4yowQz67dz2yc"", ""'APO'!D3:D139""),0))"),0.183194859007305)</f>
        <v>0.18319485900730501</v>
      </c>
      <c r="AC80" s="15"/>
    </row>
    <row r="81" spans="1:29">
      <c r="A81" s="149" t="s">
        <v>199</v>
      </c>
      <c r="B81" s="149" t="s">
        <v>200</v>
      </c>
      <c r="C81" s="148" t="s">
        <v>30</v>
      </c>
      <c r="D81" s="149" t="s">
        <v>223</v>
      </c>
      <c r="E81" s="149" t="s">
        <v>38</v>
      </c>
      <c r="F81" s="9" t="s">
        <v>224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3</v>
      </c>
      <c r="Q81" s="12">
        <v>6</v>
      </c>
      <c r="R81" s="1"/>
      <c r="S81" s="1"/>
      <c r="T81" s="1"/>
      <c r="U81" s="1"/>
      <c r="V81" s="1"/>
      <c r="W81" s="1"/>
      <c r="X81" s="12">
        <v>1</v>
      </c>
      <c r="Y81" s="2">
        <f ca="1">IFERROR(__xludf.DUMMYFUNCTION("INDEX(IMPORTRANGE(""1y0FWgjbB0gVlqn-q5LMJbGIsqOrzru4yowQz67dz2yc"", ""'APO'!BG3:BG139""),MATCH($D81,IMPORTRANGE(""1y0FWgjbB0gVlqn-q5LMJbGIsqOrzru4yowQz67dz2yc"", ""'APO'!D3:D139""),0))"),13)</f>
        <v>13</v>
      </c>
      <c r="Z81" s="2">
        <f ca="1">IFERROR(__xludf.DUMMYFUNCTION("INDEX(IMPORTRANGE(""1y0FWgjbB0gVlqn-q5LMJbGIsqOrzru4yowQz67dz2yc"", ""'APO'!BH3:BH139""),MATCH($D81,IMPORTRANGE(""1y0FWgjbB0gVlqn-q5LMJbGIsqOrzru4yowQz67dz2yc"", ""'APO'!D3:D139""),0))"),5)</f>
        <v>5</v>
      </c>
      <c r="AA81" s="2">
        <f ca="1">IFERROR(__xludf.DUMMYFUNCTION("INDEX(IMPORTRANGE(""1y0FWgjbB0gVlqn-q5LMJbGIsqOrzru4yowQz67dz2yc"", ""'APO'!BI3:BI139""),MATCH($D81,IMPORTRANGE(""1y0FWgjbB0gVlqn-q5LMJbGIsqOrzru4yowQz67dz2yc"", ""'APO'!D3:D139""),0))"),25)</f>
        <v>25</v>
      </c>
      <c r="AB81" s="2">
        <f ca="1">IFERROR(__xludf.DUMMYFUNCTION("INDEX(IMPORTRANGE(""1y0FWgjbB0gVlqn-q5LMJbGIsqOrzru4yowQz67dz2yc"", ""'APO'!BJ3:BJ139""),MATCH($D81,IMPORTRANGE(""1y0FWgjbB0gVlqn-q5LMJbGIsqOrzru4yowQz67dz2yc"", ""'APO'!D3:D139""),0))"),8)</f>
        <v>8</v>
      </c>
      <c r="AC81" s="2"/>
    </row>
    <row r="82" spans="1:29">
      <c r="A82" s="149" t="s">
        <v>199</v>
      </c>
      <c r="B82" s="149" t="s">
        <v>200</v>
      </c>
      <c r="C82" s="148" t="s">
        <v>30</v>
      </c>
      <c r="D82" s="149" t="s">
        <v>225</v>
      </c>
      <c r="E82" s="149" t="s">
        <v>38</v>
      </c>
      <c r="F82" s="9" t="s">
        <v>182</v>
      </c>
      <c r="G82" s="22" t="s">
        <v>56</v>
      </c>
      <c r="H82" s="2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1</v>
      </c>
      <c r="Q82" s="12">
        <v>4</v>
      </c>
      <c r="R82" s="1"/>
      <c r="S82" s="1"/>
      <c r="T82" s="1"/>
      <c r="U82" s="1"/>
      <c r="V82" s="1"/>
      <c r="W82" s="1"/>
      <c r="X82" s="12">
        <v>2</v>
      </c>
      <c r="Y82" s="2">
        <f ca="1">IFERROR(__xludf.DUMMYFUNCTION("INDEX(IMPORTRANGE(""1y0FWgjbB0gVlqn-q5LMJbGIsqOrzru4yowQz67dz2yc"", ""'APO'!BG3:BG139""),MATCH($D82,IMPORTRANGE(""1y0FWgjbB0gVlqn-q5LMJbGIsqOrzru4yowQz67dz2yc"", ""'APO'!D3:D139""),0))"),5)</f>
        <v>5</v>
      </c>
      <c r="Z82" s="2">
        <f ca="1">IFERROR(__xludf.DUMMYFUNCTION("INDEX(IMPORTRANGE(""1y0FWgjbB0gVlqn-q5LMJbGIsqOrzru4yowQz67dz2yc"", ""'APO'!BH3:BH139""),MATCH($D82,IMPORTRANGE(""1y0FWgjbB0gVlqn-q5LMJbGIsqOrzru4yowQz67dz2yc"", ""'APO'!D3:D139""),0))"),0)</f>
        <v>0</v>
      </c>
      <c r="AA82" s="2">
        <f ca="1">IFERROR(__xludf.DUMMYFUNCTION("INDEX(IMPORTRANGE(""1y0FWgjbB0gVlqn-q5LMJbGIsqOrzru4yowQz67dz2yc"", ""'APO'!BI3:BI139""),MATCH($D82,IMPORTRANGE(""1y0FWgjbB0gVlqn-q5LMJbGIsqOrzru4yowQz67dz2yc"", ""'APO'!D3:D139""),0))"),3)</f>
        <v>3</v>
      </c>
      <c r="AB82" s="2">
        <f ca="1">IFERROR(__xludf.DUMMYFUNCTION("INDEX(IMPORTRANGE(""1y0FWgjbB0gVlqn-q5LMJbGIsqOrzru4yowQz67dz2yc"", ""'APO'!BJ3:BJ139""),MATCH($D82,IMPORTRANGE(""1y0FWgjbB0gVlqn-q5LMJbGIsqOrzru4yowQz67dz2yc"", ""'APO'!D3:D139""),0))"),4)</f>
        <v>4</v>
      </c>
      <c r="AC82" s="2"/>
    </row>
    <row r="83" spans="1:29">
      <c r="A83" s="149" t="s">
        <v>199</v>
      </c>
      <c r="B83" s="149" t="s">
        <v>200</v>
      </c>
      <c r="C83" s="148" t="s">
        <v>36</v>
      </c>
      <c r="D83" s="149" t="s">
        <v>226</v>
      </c>
      <c r="E83" s="149" t="s">
        <v>38</v>
      </c>
      <c r="F83" s="9" t="s">
        <v>227</v>
      </c>
      <c r="G83" s="22" t="s">
        <v>56</v>
      </c>
      <c r="H83" s="2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1">P81+P82</f>
        <v>4</v>
      </c>
      <c r="Q83" s="12">
        <f t="shared" si="21"/>
        <v>10</v>
      </c>
      <c r="R83" s="4">
        <v>8</v>
      </c>
      <c r="S83" s="4">
        <v>4</v>
      </c>
      <c r="T83" s="4">
        <v>8</v>
      </c>
      <c r="U83" s="4">
        <v>4</v>
      </c>
      <c r="V83" s="4">
        <v>9</v>
      </c>
      <c r="W83" s="4">
        <v>25</v>
      </c>
      <c r="X83" s="12">
        <f>X81+X82</f>
        <v>3</v>
      </c>
      <c r="Y83" s="2">
        <f ca="1">IFERROR(__xludf.DUMMYFUNCTION("INDEX(IMPORTRANGE(""1y0FWgjbB0gVlqn-q5LMJbGIsqOrzru4yowQz67dz2yc"", ""'APO'!BG3:BG139""),MATCH($D83,IMPORTRANGE(""1y0FWgjbB0gVlqn-q5LMJbGIsqOrzru4yowQz67dz2yc"", ""'APO'!D3:D139""),0))"),18)</f>
        <v>18</v>
      </c>
      <c r="Z83" s="2">
        <f ca="1">IFERROR(__xludf.DUMMYFUNCTION("INDEX(IMPORTRANGE(""1y0FWgjbB0gVlqn-q5LMJbGIsqOrzru4yowQz67dz2yc"", ""'APO'!BH3:BH139""),MATCH($D83,IMPORTRANGE(""1y0FWgjbB0gVlqn-q5LMJbGIsqOrzru4yowQz67dz2yc"", ""'APO'!D3:D139""),0))"),5)</f>
        <v>5</v>
      </c>
      <c r="AA83" s="2">
        <f ca="1">IFERROR(__xludf.DUMMYFUNCTION("INDEX(IMPORTRANGE(""1y0FWgjbB0gVlqn-q5LMJbGIsqOrzru4yowQz67dz2yc"", ""'APO'!BI3:BI139""),MATCH($D83,IMPORTRANGE(""1y0FWgjbB0gVlqn-q5LMJbGIsqOrzru4yowQz67dz2yc"", ""'APO'!D3:D139""),0))"),28)</f>
        <v>28</v>
      </c>
      <c r="AB83" s="2">
        <f ca="1">IFERROR(__xludf.DUMMYFUNCTION("INDEX(IMPORTRANGE(""1y0FWgjbB0gVlqn-q5LMJbGIsqOrzru4yowQz67dz2yc"", ""'APO'!BJ3:BJ139""),MATCH($D83,IMPORTRANGE(""1y0FWgjbB0gVlqn-q5LMJbGIsqOrzru4yowQz67dz2yc"", ""'APO'!D3:D139""),0))"),12)</f>
        <v>12</v>
      </c>
      <c r="AC83" s="2"/>
    </row>
    <row r="84" spans="1:29">
      <c r="A84" s="149" t="s">
        <v>199</v>
      </c>
      <c r="B84" s="149" t="s">
        <v>228</v>
      </c>
      <c r="C84" s="148" t="s">
        <v>30</v>
      </c>
      <c r="D84" s="149" t="s">
        <v>229</v>
      </c>
      <c r="E84" s="149" t="s">
        <v>38</v>
      </c>
      <c r="F84" s="9" t="s">
        <v>230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67</v>
      </c>
      <c r="Q84" s="12">
        <v>66</v>
      </c>
      <c r="R84" s="13"/>
      <c r="S84" s="13"/>
      <c r="T84" s="13"/>
      <c r="U84" s="13"/>
      <c r="V84" s="13"/>
      <c r="W84" s="13"/>
      <c r="X84" s="12">
        <v>37</v>
      </c>
      <c r="Y84" s="2">
        <f ca="1">IFERROR(__xludf.DUMMYFUNCTION("INDEX(IMPORTRANGE(""1y0FWgjbB0gVlqn-q5LMJbGIsqOrzru4yowQz67dz2yc"", ""'APO'!BG3:BG139""),MATCH($D84,IMPORTRANGE(""1y0FWgjbB0gVlqn-q5LMJbGIsqOrzru4yowQz67dz2yc"", ""'APO'!D3:D139""),0))"),68)</f>
        <v>68</v>
      </c>
      <c r="Z84" s="2">
        <f ca="1">IFERROR(__xludf.DUMMYFUNCTION("INDEX(IMPORTRANGE(""1y0FWgjbB0gVlqn-q5LMJbGIsqOrzru4yowQz67dz2yc"", ""'APO'!BH3:BH139""),MATCH($D84,IMPORTRANGE(""1y0FWgjbB0gVlqn-q5LMJbGIsqOrzru4yowQz67dz2yc"", ""'APO'!D3:D139""),0))"),53)</f>
        <v>53</v>
      </c>
      <c r="AA84" s="2">
        <f ca="1">IFERROR(__xludf.DUMMYFUNCTION("INDEX(IMPORTRANGE(""1y0FWgjbB0gVlqn-q5LMJbGIsqOrzru4yowQz67dz2yc"", ""'APO'!BI3:BI139""),MATCH($D84,IMPORTRANGE(""1y0FWgjbB0gVlqn-q5LMJbGIsqOrzru4yowQz67dz2yc"", ""'APO'!D3:D139""),0))"),66)</f>
        <v>66</v>
      </c>
      <c r="AB84" s="2">
        <f ca="1">IFERROR(__xludf.DUMMYFUNCTION("INDEX(IMPORTRANGE(""1y0FWgjbB0gVlqn-q5LMJbGIsqOrzru4yowQz67dz2yc"", ""'APO'!BJ3:BJ139""),MATCH($D84,IMPORTRANGE(""1y0FWgjbB0gVlqn-q5LMJbGIsqOrzru4yowQz67dz2yc"", ""'APO'!D3:D139""),0))"),43)</f>
        <v>43</v>
      </c>
      <c r="AC84" s="2"/>
    </row>
    <row r="85" spans="1:29">
      <c r="A85" s="149" t="s">
        <v>199</v>
      </c>
      <c r="B85" s="149" t="s">
        <v>228</v>
      </c>
      <c r="C85" s="148" t="s">
        <v>30</v>
      </c>
      <c r="D85" s="149" t="s">
        <v>233</v>
      </c>
      <c r="E85" s="149" t="s">
        <v>38</v>
      </c>
      <c r="F85" s="9" t="s">
        <v>234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18</v>
      </c>
      <c r="Q85" s="12">
        <v>25</v>
      </c>
      <c r="R85" s="13"/>
      <c r="S85" s="13"/>
      <c r="T85" s="13"/>
      <c r="U85" s="13"/>
      <c r="V85" s="13"/>
      <c r="W85" s="13"/>
      <c r="X85" s="12">
        <v>3</v>
      </c>
      <c r="Y85" s="2">
        <f ca="1">IFERROR(__xludf.DUMMYFUNCTION("INDEX(IMPORTRANGE(""1y0FWgjbB0gVlqn-q5LMJbGIsqOrzru4yowQz67dz2yc"", ""'APO'!BG3:BG139""),MATCH($D85,IMPORTRANGE(""1y0FWgjbB0gVlqn-q5LMJbGIsqOrzru4yowQz67dz2yc"", ""'APO'!D3:D139""),0))"),4)</f>
        <v>4</v>
      </c>
      <c r="Z85" s="2">
        <f ca="1">IFERROR(__xludf.DUMMYFUNCTION("INDEX(IMPORTRANGE(""1y0FWgjbB0gVlqn-q5LMJbGIsqOrzru4yowQz67dz2yc"", ""'APO'!BH3:BH139""),MATCH($D85,IMPORTRANGE(""1y0FWgjbB0gVlqn-q5LMJbGIsqOrzru4yowQz67dz2yc"", ""'APO'!D3:D139""),0))"),3)</f>
        <v>3</v>
      </c>
      <c r="AA85" s="2">
        <f ca="1">IFERROR(__xludf.DUMMYFUNCTION("INDEX(IMPORTRANGE(""1y0FWgjbB0gVlqn-q5LMJbGIsqOrzru4yowQz67dz2yc"", ""'APO'!BI3:BI139""),MATCH($D85,IMPORTRANGE(""1y0FWgjbB0gVlqn-q5LMJbGIsqOrzru4yowQz67dz2yc"", ""'APO'!D3:D139""),0))"),3)</f>
        <v>3</v>
      </c>
      <c r="AB85" s="2">
        <f ca="1">IFERROR(__xludf.DUMMYFUNCTION("INDEX(IMPORTRANGE(""1y0FWgjbB0gVlqn-q5LMJbGIsqOrzru4yowQz67dz2yc"", ""'APO'!BJ3:BJ139""),MATCH($D85,IMPORTRANGE(""1y0FWgjbB0gVlqn-q5LMJbGIsqOrzru4yowQz67dz2yc"", ""'APO'!D3:D139""),0))"),3)</f>
        <v>3</v>
      </c>
      <c r="AC85" s="2"/>
    </row>
    <row r="86" spans="1:29">
      <c r="A86" s="149" t="s">
        <v>199</v>
      </c>
      <c r="B86" s="149" t="s">
        <v>228</v>
      </c>
      <c r="C86" s="148" t="s">
        <v>30</v>
      </c>
      <c r="D86" s="149" t="s">
        <v>235</v>
      </c>
      <c r="E86" s="149" t="s">
        <v>38</v>
      </c>
      <c r="F86" s="9" t="s">
        <v>236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1583</v>
      </c>
      <c r="Q86" s="12">
        <v>2794</v>
      </c>
      <c r="R86" s="13"/>
      <c r="S86" s="13"/>
      <c r="T86" s="13"/>
      <c r="U86" s="13"/>
      <c r="V86" s="13"/>
      <c r="W86" s="13"/>
      <c r="X86" s="12">
        <v>880</v>
      </c>
      <c r="Y86" s="2">
        <f ca="1">IFERROR(__xludf.DUMMYFUNCTION("INDEX(IMPORTRANGE(""1y0FWgjbB0gVlqn-q5LMJbGIsqOrzru4yowQz67dz2yc"", ""'APO'!BG3:BG139""),MATCH($D86,IMPORTRANGE(""1y0FWgjbB0gVlqn-q5LMJbGIsqOrzru4yowQz67dz2yc"", ""'APO'!D3:D139""),0))"),1949)</f>
        <v>1949</v>
      </c>
      <c r="Z86" s="2">
        <f ca="1">IFERROR(__xludf.DUMMYFUNCTION("INDEX(IMPORTRANGE(""1y0FWgjbB0gVlqn-q5LMJbGIsqOrzru4yowQz67dz2yc"", ""'APO'!BH3:BH139""),MATCH($D86,IMPORTRANGE(""1y0FWgjbB0gVlqn-q5LMJbGIsqOrzru4yowQz67dz2yc"", ""'APO'!D3:D139""),0))"),1470)</f>
        <v>1470</v>
      </c>
      <c r="AA86" s="2">
        <f ca="1">IFERROR(__xludf.DUMMYFUNCTION("INDEX(IMPORTRANGE(""1y0FWgjbB0gVlqn-q5LMJbGIsqOrzru4yowQz67dz2yc"", ""'APO'!BI3:BI139""),MATCH($D86,IMPORTRANGE(""1y0FWgjbB0gVlqn-q5LMJbGIsqOrzru4yowQz67dz2yc"", ""'APO'!D3:D139""),0))"),2906)</f>
        <v>2906</v>
      </c>
      <c r="AB86" s="2">
        <f ca="1">IFERROR(__xludf.DUMMYFUNCTION("INDEX(IMPORTRANGE(""1y0FWgjbB0gVlqn-q5LMJbGIsqOrzru4yowQz67dz2yc"", ""'APO'!BJ3:BJ139""),MATCH($D86,IMPORTRANGE(""1y0FWgjbB0gVlqn-q5LMJbGIsqOrzru4yowQz67dz2yc"", ""'APO'!D3:D139""),0))"),1630)</f>
        <v>1630</v>
      </c>
      <c r="AC86" s="2"/>
    </row>
    <row r="87" spans="1:29">
      <c r="A87" s="149" t="s">
        <v>199</v>
      </c>
      <c r="B87" s="149" t="s">
        <v>228</v>
      </c>
      <c r="C87" s="148" t="s">
        <v>30</v>
      </c>
      <c r="D87" s="149" t="s">
        <v>237</v>
      </c>
      <c r="E87" s="149" t="s">
        <v>38</v>
      </c>
      <c r="F87" s="9" t="s">
        <v>238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70</v>
      </c>
      <c r="Q87" s="12">
        <v>123</v>
      </c>
      <c r="R87" s="13"/>
      <c r="S87" s="13"/>
      <c r="T87" s="13"/>
      <c r="U87" s="13"/>
      <c r="V87" s="13"/>
      <c r="W87" s="13"/>
      <c r="X87" s="12">
        <v>34</v>
      </c>
      <c r="Y87" s="2">
        <f ca="1">IFERROR(__xludf.DUMMYFUNCTION("INDEX(IMPORTRANGE(""1y0FWgjbB0gVlqn-q5LMJbGIsqOrzru4yowQz67dz2yc"", ""'APO'!BG3:BG139""),MATCH($D87,IMPORTRANGE(""1y0FWgjbB0gVlqn-q5LMJbGIsqOrzru4yowQz67dz2yc"", ""'APO'!D3:D139""),0))"),93)</f>
        <v>93</v>
      </c>
      <c r="Z87" s="2">
        <f ca="1">IFERROR(__xludf.DUMMYFUNCTION("INDEX(IMPORTRANGE(""1y0FWgjbB0gVlqn-q5LMJbGIsqOrzru4yowQz67dz2yc"", ""'APO'!BH3:BH139""),MATCH($D87,IMPORTRANGE(""1y0FWgjbB0gVlqn-q5LMJbGIsqOrzru4yowQz67dz2yc"", ""'APO'!D3:D139""),0))"),106)</f>
        <v>106</v>
      </c>
      <c r="AA87" s="2">
        <f ca="1">IFERROR(__xludf.DUMMYFUNCTION("INDEX(IMPORTRANGE(""1y0FWgjbB0gVlqn-q5LMJbGIsqOrzru4yowQz67dz2yc"", ""'APO'!BI3:BI139""),MATCH($D87,IMPORTRANGE(""1y0FWgjbB0gVlqn-q5LMJbGIsqOrzru4yowQz67dz2yc"", ""'APO'!D3:D139""),0))"),237)</f>
        <v>237</v>
      </c>
      <c r="AB87" s="2">
        <f ca="1">IFERROR(__xludf.DUMMYFUNCTION("INDEX(IMPORTRANGE(""1y0FWgjbB0gVlqn-q5LMJbGIsqOrzru4yowQz67dz2yc"", ""'APO'!BJ3:BJ139""),MATCH($D87,IMPORTRANGE(""1y0FWgjbB0gVlqn-q5LMJbGIsqOrzru4yowQz67dz2yc"", ""'APO'!D3:D139""),0))"),128)</f>
        <v>128</v>
      </c>
      <c r="AC87" s="2"/>
    </row>
    <row r="88" spans="1:29">
      <c r="A88" s="149" t="s">
        <v>199</v>
      </c>
      <c r="B88" s="149" t="s">
        <v>228</v>
      </c>
      <c r="C88" s="148" t="s">
        <v>30</v>
      </c>
      <c r="D88" s="149" t="s">
        <v>239</v>
      </c>
      <c r="E88" s="149" t="s">
        <v>38</v>
      </c>
      <c r="F88" s="9" t="s">
        <v>240</v>
      </c>
      <c r="G88" s="22" t="s">
        <v>231</v>
      </c>
      <c r="H88" s="2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519</v>
      </c>
      <c r="Q88" s="12">
        <v>1150</v>
      </c>
      <c r="R88" s="13"/>
      <c r="S88" s="13"/>
      <c r="T88" s="13"/>
      <c r="U88" s="13"/>
      <c r="V88" s="13"/>
      <c r="W88" s="13"/>
      <c r="X88" s="12">
        <v>139</v>
      </c>
      <c r="Y88" s="2">
        <f ca="1">IFERROR(__xludf.DUMMYFUNCTION("INDEX(IMPORTRANGE(""1y0FWgjbB0gVlqn-q5LMJbGIsqOrzru4yowQz67dz2yc"", ""'APO'!BG3:BG139""),MATCH($D88,IMPORTRANGE(""1y0FWgjbB0gVlqn-q5LMJbGIsqOrzru4yowQz67dz2yc"", ""'APO'!D3:D139""),0))"),324)</f>
        <v>324</v>
      </c>
      <c r="Z88" s="2">
        <f ca="1">IFERROR(__xludf.DUMMYFUNCTION("INDEX(IMPORTRANGE(""1y0FWgjbB0gVlqn-q5LMJbGIsqOrzru4yowQz67dz2yc"", ""'APO'!BH3:BH139""),MATCH($D88,IMPORTRANGE(""1y0FWgjbB0gVlqn-q5LMJbGIsqOrzru4yowQz67dz2yc"", ""'APO'!D3:D139""),0))"),426)</f>
        <v>426</v>
      </c>
      <c r="AA88" s="2">
        <f ca="1">IFERROR(__xludf.DUMMYFUNCTION("INDEX(IMPORTRANGE(""1y0FWgjbB0gVlqn-q5LMJbGIsqOrzru4yowQz67dz2yc"", ""'APO'!BI3:BI139""),MATCH($D88,IMPORTRANGE(""1y0FWgjbB0gVlqn-q5LMJbGIsqOrzru4yowQz67dz2yc"", ""'APO'!D3:D139""),0))"),710)</f>
        <v>710</v>
      </c>
      <c r="AB88" s="2">
        <f ca="1">IFERROR(__xludf.DUMMYFUNCTION("INDEX(IMPORTRANGE(""1y0FWgjbB0gVlqn-q5LMJbGIsqOrzru4yowQz67dz2yc"", ""'APO'!BJ3:BJ139""),MATCH($D88,IMPORTRANGE(""1y0FWgjbB0gVlqn-q5LMJbGIsqOrzru4yowQz67dz2yc"", ""'APO'!D3:D139""),0))"),311)</f>
        <v>311</v>
      </c>
      <c r="AC88" s="2"/>
    </row>
    <row r="89" spans="1:29">
      <c r="A89" s="149" t="s">
        <v>199</v>
      </c>
      <c r="B89" s="149" t="s">
        <v>228</v>
      </c>
      <c r="C89" s="148" t="s">
        <v>36</v>
      </c>
      <c r="D89" s="149" t="s">
        <v>241</v>
      </c>
      <c r="E89" s="149" t="s">
        <v>38</v>
      </c>
      <c r="F89" s="2" t="s">
        <v>242</v>
      </c>
      <c r="G89" s="22" t="s">
        <v>231</v>
      </c>
      <c r="H89" s="2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2">SUM(P84:P88)</f>
        <v>2257</v>
      </c>
      <c r="Q89" s="12">
        <f t="shared" si="22"/>
        <v>4158</v>
      </c>
      <c r="R89" s="22">
        <v>4038</v>
      </c>
      <c r="S89" s="22">
        <v>2212</v>
      </c>
      <c r="T89" s="22">
        <v>3928</v>
      </c>
      <c r="U89" s="22">
        <v>2167</v>
      </c>
      <c r="V89" s="22">
        <v>3806</v>
      </c>
      <c r="W89" s="2">
        <v>3798</v>
      </c>
      <c r="X89" s="12">
        <f>SUM(X84:X88)</f>
        <v>1093</v>
      </c>
      <c r="Y89" s="12">
        <f ca="1">IFERROR(__xludf.DUMMYFUNCTION("INDEX(IMPORTRANGE(""1y0FWgjbB0gVlqn-q5LMJbGIsqOrzru4yowQz67dz2yc"", ""'APO'!BG3:BG139""),MATCH($D89,IMPORTRANGE(""1y0FWgjbB0gVlqn-q5LMJbGIsqOrzru4yowQz67dz2yc"", ""'APO'!D3:D139""),0))"),2438)</f>
        <v>2438</v>
      </c>
      <c r="Z89" s="12">
        <f ca="1">IFERROR(__xludf.DUMMYFUNCTION("INDEX(IMPORTRANGE(""1y0FWgjbB0gVlqn-q5LMJbGIsqOrzru4yowQz67dz2yc"", ""'APO'!BH3:BH139""),MATCH($D89,IMPORTRANGE(""1y0FWgjbB0gVlqn-q5LMJbGIsqOrzru4yowQz67dz2yc"", ""'APO'!D3:D139""),0))"),2058)</f>
        <v>2058</v>
      </c>
      <c r="AA89" s="12">
        <f ca="1">IFERROR(__xludf.DUMMYFUNCTION("INDEX(IMPORTRANGE(""1y0FWgjbB0gVlqn-q5LMJbGIsqOrzru4yowQz67dz2yc"", ""'APO'!BI3:BI139""),MATCH($D89,IMPORTRANGE(""1y0FWgjbB0gVlqn-q5LMJbGIsqOrzru4yowQz67dz2yc"", ""'APO'!D3:D139""),0))"),3922)</f>
        <v>3922</v>
      </c>
      <c r="AB89" s="12">
        <f ca="1">IFERROR(__xludf.DUMMYFUNCTION("INDEX(IMPORTRANGE(""1y0FWgjbB0gVlqn-q5LMJbGIsqOrzru4yowQz67dz2yc"", ""'APO'!BJ3:BJ139""),MATCH($D89,IMPORTRANGE(""1y0FWgjbB0gVlqn-q5LMJbGIsqOrzru4yowQz67dz2yc"", ""'APO'!D3:D139""),0))"),2115)</f>
        <v>2115</v>
      </c>
      <c r="AC89" s="12"/>
    </row>
    <row r="90" spans="1:29">
      <c r="A90" s="149" t="s">
        <v>243</v>
      </c>
      <c r="B90" s="149" t="s">
        <v>244</v>
      </c>
      <c r="C90" s="148" t="s">
        <v>36</v>
      </c>
      <c r="D90" s="149" t="s">
        <v>338</v>
      </c>
      <c r="E90" s="149" t="s">
        <v>38</v>
      </c>
      <c r="F90" s="9" t="s">
        <v>246</v>
      </c>
      <c r="G90" s="22" t="s">
        <v>56</v>
      </c>
      <c r="H90" s="2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3</v>
      </c>
      <c r="Q90" s="2">
        <v>3</v>
      </c>
      <c r="R90" s="22">
        <v>5</v>
      </c>
      <c r="S90" s="57">
        <v>3</v>
      </c>
      <c r="T90" s="22">
        <v>7</v>
      </c>
      <c r="U90" s="22">
        <v>5</v>
      </c>
      <c r="V90" s="22">
        <v>10</v>
      </c>
      <c r="W90" s="22">
        <v>10</v>
      </c>
      <c r="X90" s="2">
        <v>3</v>
      </c>
      <c r="Y90" s="2">
        <f ca="1">IFERROR(__xludf.DUMMYFUNCTION("INDEX(IMPORTRANGE(""1y0FWgjbB0gVlqn-q5LMJbGIsqOrzru4yowQz67dz2yc"", ""'APO'!BG3:BG139""),MATCH($D90,IMPORTRANGE(""1y0FWgjbB0gVlqn-q5LMJbGIsqOrzru4yowQz67dz2yc"", ""'APO'!D3:D139""),0))"),6)</f>
        <v>6</v>
      </c>
      <c r="Z90" s="2">
        <f ca="1">IFERROR(__xludf.DUMMYFUNCTION("INDEX(IMPORTRANGE(""1y0FWgjbB0gVlqn-q5LMJbGIsqOrzru4yowQz67dz2yc"", ""'APO'!BH3:BH139""),MATCH($D90,IMPORTRANGE(""1y0FWgjbB0gVlqn-q5LMJbGIsqOrzru4yowQz67dz2yc"", ""'APO'!D3:D139""),0))"),7)</f>
        <v>7</v>
      </c>
      <c r="AA90" s="2">
        <f ca="1">IFERROR(__xludf.DUMMYFUNCTION("INDEX(IMPORTRANGE(""1y0FWgjbB0gVlqn-q5LMJbGIsqOrzru4yowQz67dz2yc"", ""'APO'!BI3:BI139""),MATCH($D90,IMPORTRANGE(""1y0FWgjbB0gVlqn-q5LMJbGIsqOrzru4yowQz67dz2yc"", ""'APO'!D3:D139""),0))"),14)</f>
        <v>14</v>
      </c>
      <c r="AB90" s="2">
        <f ca="1">IFERROR(__xludf.DUMMYFUNCTION("INDEX(IMPORTRANGE(""1y0FWgjbB0gVlqn-q5LMJbGIsqOrzru4yowQz67dz2yc"", ""'APO'!BJ3:BJ139""),MATCH($D90,IMPORTRANGE(""1y0FWgjbB0gVlqn-q5LMJbGIsqOrzru4yowQz67dz2yc"", ""'APO'!D3:D139""),0))"),5)</f>
        <v>5</v>
      </c>
      <c r="AC90" s="2"/>
    </row>
    <row r="91" spans="1:29">
      <c r="A91" s="149" t="s">
        <v>243</v>
      </c>
      <c r="B91" s="149" t="s">
        <v>247</v>
      </c>
      <c r="C91" s="148" t="s">
        <v>36</v>
      </c>
      <c r="D91" s="149" t="s">
        <v>248</v>
      </c>
      <c r="E91" s="149" t="s">
        <v>38</v>
      </c>
      <c r="F91" s="9" t="s">
        <v>249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3</v>
      </c>
      <c r="Q91" s="2">
        <v>3</v>
      </c>
      <c r="R91" s="2">
        <v>4</v>
      </c>
      <c r="S91" s="2">
        <v>5</v>
      </c>
      <c r="T91" s="2">
        <v>5</v>
      </c>
      <c r="U91" s="2">
        <v>6</v>
      </c>
      <c r="V91" s="2">
        <v>6</v>
      </c>
      <c r="W91" s="2">
        <v>6</v>
      </c>
      <c r="X91" s="2">
        <v>5</v>
      </c>
      <c r="Y91" s="2">
        <f ca="1">IFERROR(__xludf.DUMMYFUNCTION("INDEX(IMPORTRANGE(""1y0FWgjbB0gVlqn-q5LMJbGIsqOrzru4yowQz67dz2yc"", ""'APO'!BG3:BG139""),MATCH($D91,IMPORTRANGE(""1y0FWgjbB0gVlqn-q5LMJbGIsqOrzru4yowQz67dz2yc"", ""'APO'!D3:D139""),0))"),5)</f>
        <v>5</v>
      </c>
      <c r="Z91" s="2">
        <f ca="1">IFERROR(__xludf.DUMMYFUNCTION("INDEX(IMPORTRANGE(""1y0FWgjbB0gVlqn-q5LMJbGIsqOrzru4yowQz67dz2yc"", ""'APO'!BH3:BH139""),MATCH($D91,IMPORTRANGE(""1y0FWgjbB0gVlqn-q5LMJbGIsqOrzru4yowQz67dz2yc"", ""'APO'!D3:D139""),0))"),5)</f>
        <v>5</v>
      </c>
      <c r="AA91" s="2">
        <f ca="1">IFERROR(__xludf.DUMMYFUNCTION("INDEX(IMPORTRANGE(""1y0FWgjbB0gVlqn-q5LMJbGIsqOrzru4yowQz67dz2yc"", ""'APO'!BI3:BI139""),MATCH($D91,IMPORTRANGE(""1y0FWgjbB0gVlqn-q5LMJbGIsqOrzru4yowQz67dz2yc"", ""'APO'!D3:D139""),0))"),6)</f>
        <v>6</v>
      </c>
      <c r="AB91" s="2">
        <f ca="1">IFERROR(__xludf.DUMMYFUNCTION("INDEX(IMPORTRANGE(""1y0FWgjbB0gVlqn-q5LMJbGIsqOrzru4yowQz67dz2yc"", ""'APO'!BJ3:BJ139""),MATCH($D91,IMPORTRANGE(""1y0FWgjbB0gVlqn-q5LMJbGIsqOrzru4yowQz67dz2yc"", ""'APO'!D3:D139""),0))"),6)</f>
        <v>6</v>
      </c>
      <c r="AC91" s="2"/>
    </row>
    <row r="92" spans="1:29">
      <c r="A92" s="149" t="s">
        <v>243</v>
      </c>
      <c r="B92" s="149" t="s">
        <v>250</v>
      </c>
      <c r="C92" s="148" t="s">
        <v>36</v>
      </c>
      <c r="D92" s="149" t="s">
        <v>251</v>
      </c>
      <c r="E92" s="149" t="s">
        <v>252</v>
      </c>
      <c r="F92" s="9" t="s">
        <v>253</v>
      </c>
      <c r="G92" s="10">
        <v>44469</v>
      </c>
      <c r="H92" s="10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f ca="1">IFERROR(__xludf.DUMMYFUNCTION("INDEX(IMPORTRANGE(""1y0FWgjbB0gVlqn-q5LMJbGIsqOrzru4yowQz67dz2yc"", ""'APO'!BG3:BG139""),MATCH($D92,IMPORTRANGE(""1y0FWgjbB0gVlqn-q5LMJbGIsqOrzru4yowQz67dz2yc"", ""'APO'!D3:D139""),0))"),100)</f>
        <v>100</v>
      </c>
      <c r="Z92" s="2">
        <f ca="1">IFERROR(__xludf.DUMMYFUNCTION("INDEX(IMPORTRANGE(""1y0FWgjbB0gVlqn-q5LMJbGIsqOrzru4yowQz67dz2yc"", ""'APO'!BH3:BH139""),MATCH($D92,IMPORTRANGE(""1y0FWgjbB0gVlqn-q5LMJbGIsqOrzru4yowQz67dz2yc"", ""'APO'!D3:D139""),0))"),100)</f>
        <v>100</v>
      </c>
      <c r="AA92" s="2">
        <f ca="1">IFERROR(__xludf.DUMMYFUNCTION("INDEX(IMPORTRANGE(""1y0FWgjbB0gVlqn-q5LMJbGIsqOrzru4yowQz67dz2yc"", ""'APO'!BI3:BI139""),MATCH($D92,IMPORTRANGE(""1y0FWgjbB0gVlqn-q5LMJbGIsqOrzru4yowQz67dz2yc"", ""'APO'!D3:D139""),0))"),100)</f>
        <v>100</v>
      </c>
      <c r="AB92" s="2">
        <f ca="1">IFERROR(__xludf.DUMMYFUNCTION("INDEX(IMPORTRANGE(""1y0FWgjbB0gVlqn-q5LMJbGIsqOrzru4yowQz67dz2yc"", ""'APO'!BJ3:BJ139""),MATCH($D92,IMPORTRANGE(""1y0FWgjbB0gVlqn-q5LMJbGIsqOrzru4yowQz67dz2yc"", ""'APO'!D3:D139""),0))"),100)</f>
        <v>100</v>
      </c>
      <c r="AC92" s="2"/>
    </row>
    <row r="93" spans="1:29">
      <c r="A93" s="149" t="s">
        <v>243</v>
      </c>
      <c r="B93" s="149" t="s">
        <v>257</v>
      </c>
      <c r="C93" s="148" t="s">
        <v>36</v>
      </c>
      <c r="D93" s="149" t="s">
        <v>258</v>
      </c>
      <c r="E93" s="149" t="s">
        <v>38</v>
      </c>
      <c r="F93" s="9" t="s">
        <v>259</v>
      </c>
      <c r="G93" s="10">
        <v>44469</v>
      </c>
      <c r="H93" s="10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4">
        <f ca="1">IFERROR(__xludf.DUMMYFUNCTION("INDEX(IMPORTRANGE(""1y0FWgjbB0gVlqn-q5LMJbGIsqOrzru4yowQz67dz2yc"", ""'APO'!BG3:BG139""),MATCH($D93,IMPORTRANGE(""1y0FWgjbB0gVlqn-q5LMJbGIsqOrzru4yowQz67dz2yc"", ""'APO'!D3:D139""),0))"),3.17045454545454)</f>
        <v>3.1704545454545401</v>
      </c>
      <c r="Z93" s="24">
        <f ca="1">IFERROR(__xludf.DUMMYFUNCTION("INDEX(IMPORTRANGE(""1y0FWgjbB0gVlqn-q5LMJbGIsqOrzru4yowQz67dz2yc"", ""'APO'!BH3:BH139""),MATCH($D93,IMPORTRANGE(""1y0FWgjbB0gVlqn-q5LMJbGIsqOrzru4yowQz67dz2yc"", ""'APO'!D3:D139""),0))"),2.85849444672974)</f>
        <v>2.8584944467297402</v>
      </c>
      <c r="AA93" s="24">
        <f ca="1">IFERROR(__xludf.DUMMYFUNCTION("INDEX(IMPORTRANGE(""1y0FWgjbB0gVlqn-q5LMJbGIsqOrzru4yowQz67dz2yc"", ""'APO'!BI3:BI139""),MATCH($D93,IMPORTRANGE(""1y0FWgjbB0gVlqn-q5LMJbGIsqOrzru4yowQz67dz2yc"", ""'APO'!D3:D139""),0))"),2.96750308515014)</f>
        <v>2.9675030851501401</v>
      </c>
      <c r="AB93" s="24">
        <f ca="1">IFERROR(__xludf.DUMMYFUNCTION("INDEX(IMPORTRANGE(""1y0FWgjbB0gVlqn-q5LMJbGIsqOrzru4yowQz67dz2yc"", ""'APO'!BJ3:BJ139""),MATCH($D93,IMPORTRANGE(""1y0FWgjbB0gVlqn-q5LMJbGIsqOrzru4yowQz67dz2yc"", ""'APO'!D3:D139""),0))"),3.22912381735911)</f>
        <v>3.2291238173591101</v>
      </c>
      <c r="AC93" s="24"/>
    </row>
    <row r="94" spans="1:29">
      <c r="A94" s="149" t="s">
        <v>243</v>
      </c>
      <c r="B94" s="149" t="s">
        <v>260</v>
      </c>
      <c r="C94" s="148" t="s">
        <v>30</v>
      </c>
      <c r="D94" s="149" t="s">
        <v>261</v>
      </c>
      <c r="E94" s="149" t="s">
        <v>38</v>
      </c>
      <c r="F94" s="9" t="s">
        <v>262</v>
      </c>
      <c r="G94" s="10">
        <v>44469</v>
      </c>
      <c r="H94" s="42"/>
      <c r="I94" s="11">
        <v>44651</v>
      </c>
      <c r="J94" s="13"/>
      <c r="K94" s="11">
        <v>45016</v>
      </c>
      <c r="L94" s="13"/>
      <c r="M94" s="11">
        <v>45382</v>
      </c>
      <c r="N94" s="4"/>
      <c r="O94" s="11">
        <v>45565</v>
      </c>
      <c r="P94" s="13"/>
      <c r="Q94" s="13"/>
      <c r="R94" s="13"/>
      <c r="S94" s="13"/>
      <c r="T94" s="13"/>
      <c r="U94" s="13"/>
      <c r="V94" s="13"/>
      <c r="W94" s="13"/>
      <c r="X94" s="2">
        <v>5</v>
      </c>
      <c r="Y94" s="2">
        <f ca="1">IFERROR(__xludf.DUMMYFUNCTION("INDEX(IMPORTRANGE(""1y0FWgjbB0gVlqn-q5LMJbGIsqOrzru4yowQz67dz2yc"", ""'APO'!BG3:BG139""),MATCH($D94,IMPORTRANGE(""1y0FWgjbB0gVlqn-q5LMJbGIsqOrzru4yowQz67dz2yc"", ""'APO'!D3:D139""),0))"),5)</f>
        <v>5</v>
      </c>
      <c r="Z94" s="2">
        <f ca="1">IFERROR(__xludf.DUMMYFUNCTION("INDEX(IMPORTRANGE(""1y0FWgjbB0gVlqn-q5LMJbGIsqOrzru4yowQz67dz2yc"", ""'APO'!BH3:BH139""),MATCH($D94,IMPORTRANGE(""1y0FWgjbB0gVlqn-q5LMJbGIsqOrzru4yowQz67dz2yc"", ""'APO'!D3:D139""),0))"),6)</f>
        <v>6</v>
      </c>
      <c r="AA94" s="2" t="str">
        <f ca="1">IFERROR(__xludf.DUMMYFUNCTION("INDEX(IMPORTRANGE(""1y0FWgjbB0gVlqn-q5LMJbGIsqOrzru4yowQz67dz2yc"", ""'APO'!BI3:BI139""),MATCH($D94,IMPORTRANGE(""1y0FWgjbB0gVlqn-q5LMJbGIsqOrzru4yowQz67dz2yc"", ""'APO'!D3:D139""),0))"),"")</f>
        <v/>
      </c>
      <c r="AB94" s="2">
        <f ca="1">IFERROR(__xludf.DUMMYFUNCTION("INDEX(IMPORTRANGE(""1y0FWgjbB0gVlqn-q5LMJbGIsqOrzru4yowQz67dz2yc"", ""'APO'!BJ3:BJ139""),MATCH($D94,IMPORTRANGE(""1y0FWgjbB0gVlqn-q5LMJbGIsqOrzru4yowQz67dz2yc"", ""'APO'!D3:D139""),0))"),6)</f>
        <v>6</v>
      </c>
      <c r="AC94" s="2"/>
    </row>
    <row r="95" spans="1:29">
      <c r="A95" s="149" t="s">
        <v>243</v>
      </c>
      <c r="B95" s="149" t="s">
        <v>260</v>
      </c>
      <c r="C95" s="148" t="s">
        <v>30</v>
      </c>
      <c r="D95" s="149" t="s">
        <v>263</v>
      </c>
      <c r="E95" s="149" t="s">
        <v>38</v>
      </c>
      <c r="F95" s="9" t="s">
        <v>264</v>
      </c>
      <c r="G95" s="10">
        <v>44469</v>
      </c>
      <c r="H95" s="43"/>
      <c r="I95" s="11">
        <v>44651</v>
      </c>
      <c r="J95" s="13"/>
      <c r="K95" s="11">
        <v>45016</v>
      </c>
      <c r="L95" s="13"/>
      <c r="M95" s="11">
        <v>45382</v>
      </c>
      <c r="N95" s="4"/>
      <c r="O95" s="11">
        <v>45565</v>
      </c>
      <c r="P95" s="13"/>
      <c r="Q95" s="13"/>
      <c r="R95" s="13"/>
      <c r="S95" s="13"/>
      <c r="T95" s="13"/>
      <c r="U95" s="13"/>
      <c r="V95" s="13"/>
      <c r="W95" s="13"/>
      <c r="X95" s="2">
        <v>17</v>
      </c>
      <c r="Y95" s="2">
        <f ca="1">IFERROR(__xludf.DUMMYFUNCTION("INDEX(IMPORTRANGE(""1y0FWgjbB0gVlqn-q5LMJbGIsqOrzru4yowQz67dz2yc"", ""'APO'!BG3:BG139""),MATCH($D95,IMPORTRANGE(""1y0FWgjbB0gVlqn-q5LMJbGIsqOrzru4yowQz67dz2yc"", ""'APO'!D3:D139""),0))"),17)</f>
        <v>17</v>
      </c>
      <c r="Z95" s="2">
        <f ca="1">IFERROR(__xludf.DUMMYFUNCTION("INDEX(IMPORTRANGE(""1y0FWgjbB0gVlqn-q5LMJbGIsqOrzru4yowQz67dz2yc"", ""'APO'!BH3:BH139""),MATCH($D95,IMPORTRANGE(""1y0FWgjbB0gVlqn-q5LMJbGIsqOrzru4yowQz67dz2yc"", ""'APO'!D3:D139""),0))"),17)</f>
        <v>17</v>
      </c>
      <c r="AA95" s="2">
        <f ca="1">IFERROR(__xludf.DUMMYFUNCTION("INDEX(IMPORTRANGE(""1y0FWgjbB0gVlqn-q5LMJbGIsqOrzru4yowQz67dz2yc"", ""'APO'!BI3:BI139""),MATCH($D95,IMPORTRANGE(""1y0FWgjbB0gVlqn-q5LMJbGIsqOrzru4yowQz67dz2yc"", ""'APO'!D3:D139""),0))"),0)</f>
        <v>0</v>
      </c>
      <c r="AB95" s="2">
        <f ca="1">IFERROR(__xludf.DUMMYFUNCTION("INDEX(IMPORTRANGE(""1y0FWgjbB0gVlqn-q5LMJbGIsqOrzru4yowQz67dz2yc"", ""'APO'!BJ3:BJ139""),MATCH($D95,IMPORTRANGE(""1y0FWgjbB0gVlqn-q5LMJbGIsqOrzru4yowQz67dz2yc"", ""'APO'!D3:D139""),0))"),17)</f>
        <v>17</v>
      </c>
      <c r="AC95" s="2"/>
    </row>
    <row r="96" spans="1:29">
      <c r="A96" s="149" t="s">
        <v>243</v>
      </c>
      <c r="B96" s="149" t="s">
        <v>260</v>
      </c>
      <c r="C96" s="148" t="s">
        <v>30</v>
      </c>
      <c r="D96" s="149" t="s">
        <v>265</v>
      </c>
      <c r="E96" s="149" t="s">
        <v>38</v>
      </c>
      <c r="F96" s="9" t="s">
        <v>266</v>
      </c>
      <c r="G96" s="10">
        <v>44469</v>
      </c>
      <c r="H96" s="43"/>
      <c r="I96" s="11">
        <v>44651</v>
      </c>
      <c r="J96" s="13"/>
      <c r="K96" s="11">
        <v>45016</v>
      </c>
      <c r="L96" s="13"/>
      <c r="M96" s="11">
        <v>45382</v>
      </c>
      <c r="N96" s="4"/>
      <c r="O96" s="11">
        <v>45565</v>
      </c>
      <c r="P96" s="13"/>
      <c r="Q96" s="13"/>
      <c r="R96" s="13"/>
      <c r="S96" s="13"/>
      <c r="T96" s="13"/>
      <c r="U96" s="13"/>
      <c r="V96" s="13"/>
      <c r="W96" s="13"/>
      <c r="X96" s="2">
        <v>4</v>
      </c>
      <c r="Y96" s="2">
        <f ca="1">IFERROR(__xludf.DUMMYFUNCTION("INDEX(IMPORTRANGE(""1y0FWgjbB0gVlqn-q5LMJbGIsqOrzru4yowQz67dz2yc"", ""'APO'!BG3:BG139""),MATCH($D96,IMPORTRANGE(""1y0FWgjbB0gVlqn-q5LMJbGIsqOrzru4yowQz67dz2yc"", ""'APO'!D3:D139""),0))"),4)</f>
        <v>4</v>
      </c>
      <c r="Z96" s="2">
        <f ca="1">IFERROR(__xludf.DUMMYFUNCTION("INDEX(IMPORTRANGE(""1y0FWgjbB0gVlqn-q5LMJbGIsqOrzru4yowQz67dz2yc"", ""'APO'!BH3:BH139""),MATCH($D96,IMPORTRANGE(""1y0FWgjbB0gVlqn-q5LMJbGIsqOrzru4yowQz67dz2yc"", ""'APO'!D3:D139""),0))"),4)</f>
        <v>4</v>
      </c>
      <c r="AA96" s="2" t="str">
        <f ca="1">IFERROR(__xludf.DUMMYFUNCTION("INDEX(IMPORTRANGE(""1y0FWgjbB0gVlqn-q5LMJbGIsqOrzru4yowQz67dz2yc"", ""'APO'!BI3:BI139""),MATCH($D96,IMPORTRANGE(""1y0FWgjbB0gVlqn-q5LMJbGIsqOrzru4yowQz67dz2yc"", ""'APO'!D3:D139""),0))"),"")</f>
        <v/>
      </c>
      <c r="AB96" s="2">
        <f ca="1">IFERROR(__xludf.DUMMYFUNCTION("INDEX(IMPORTRANGE(""1y0FWgjbB0gVlqn-q5LMJbGIsqOrzru4yowQz67dz2yc"", ""'APO'!BJ3:BJ139""),MATCH($D96,IMPORTRANGE(""1y0FWgjbB0gVlqn-q5LMJbGIsqOrzru4yowQz67dz2yc"", ""'APO'!D3:D139""),0))"),4)</f>
        <v>4</v>
      </c>
      <c r="AC96" s="2"/>
    </row>
    <row r="97" spans="1:29">
      <c r="A97" s="149" t="s">
        <v>243</v>
      </c>
      <c r="B97" s="149" t="s">
        <v>260</v>
      </c>
      <c r="C97" s="148" t="s">
        <v>30</v>
      </c>
      <c r="D97" s="149" t="s">
        <v>267</v>
      </c>
      <c r="E97" s="149" t="s">
        <v>38</v>
      </c>
      <c r="F97" s="9" t="s">
        <v>268</v>
      </c>
      <c r="G97" s="10">
        <v>44469</v>
      </c>
      <c r="H97" s="43"/>
      <c r="I97" s="11">
        <v>44651</v>
      </c>
      <c r="J97" s="13"/>
      <c r="K97" s="11">
        <v>45016</v>
      </c>
      <c r="L97" s="13"/>
      <c r="M97" s="11">
        <v>45382</v>
      </c>
      <c r="N97" s="4"/>
      <c r="O97" s="11">
        <v>45565</v>
      </c>
      <c r="P97" s="13"/>
      <c r="Q97" s="13"/>
      <c r="R97" s="13"/>
      <c r="S97" s="13"/>
      <c r="T97" s="13"/>
      <c r="U97" s="13"/>
      <c r="V97" s="13"/>
      <c r="W97" s="13"/>
      <c r="X97" s="2">
        <v>9</v>
      </c>
      <c r="Y97" s="2">
        <f ca="1">IFERROR(__xludf.DUMMYFUNCTION("INDEX(IMPORTRANGE(""1y0FWgjbB0gVlqn-q5LMJbGIsqOrzru4yowQz67dz2yc"", ""'APO'!BG3:BG139""),MATCH($D97,IMPORTRANGE(""1y0FWgjbB0gVlqn-q5LMJbGIsqOrzru4yowQz67dz2yc"", ""'APO'!D3:D139""),0))"),11)</f>
        <v>11</v>
      </c>
      <c r="Z97" s="2">
        <f ca="1">IFERROR(__xludf.DUMMYFUNCTION("INDEX(IMPORTRANGE(""1y0FWgjbB0gVlqn-q5LMJbGIsqOrzru4yowQz67dz2yc"", ""'APO'!BH3:BH139""),MATCH($D97,IMPORTRANGE(""1y0FWgjbB0gVlqn-q5LMJbGIsqOrzru4yowQz67dz2yc"", ""'APO'!D3:D139""),0))"),11)</f>
        <v>11</v>
      </c>
      <c r="AA97" s="2">
        <f ca="1">IFERROR(__xludf.DUMMYFUNCTION("INDEX(IMPORTRANGE(""1y0FWgjbB0gVlqn-q5LMJbGIsqOrzru4yowQz67dz2yc"", ""'APO'!BI3:BI139""),MATCH($D97,IMPORTRANGE(""1y0FWgjbB0gVlqn-q5LMJbGIsqOrzru4yowQz67dz2yc"", ""'APO'!D3:D139""),0))"),0)</f>
        <v>0</v>
      </c>
      <c r="AB97" s="2">
        <f ca="1">IFERROR(__xludf.DUMMYFUNCTION("INDEX(IMPORTRANGE(""1y0FWgjbB0gVlqn-q5LMJbGIsqOrzru4yowQz67dz2yc"", ""'APO'!BJ3:BJ139""),MATCH($D97,IMPORTRANGE(""1y0FWgjbB0gVlqn-q5LMJbGIsqOrzru4yowQz67dz2yc"", ""'APO'!D3:D139""),0))"),10)</f>
        <v>10</v>
      </c>
      <c r="AC97" s="2"/>
    </row>
    <row r="98" spans="1:29">
      <c r="A98" s="149" t="s">
        <v>243</v>
      </c>
      <c r="B98" s="149" t="s">
        <v>260</v>
      </c>
      <c r="C98" s="148" t="s">
        <v>30</v>
      </c>
      <c r="D98" s="149" t="s">
        <v>269</v>
      </c>
      <c r="E98" s="149" t="s">
        <v>38</v>
      </c>
      <c r="F98" s="9" t="s">
        <v>270</v>
      </c>
      <c r="G98" s="10">
        <v>44469</v>
      </c>
      <c r="H98" s="43"/>
      <c r="I98" s="11">
        <v>44651</v>
      </c>
      <c r="J98" s="13"/>
      <c r="K98" s="11">
        <v>45016</v>
      </c>
      <c r="L98" s="13"/>
      <c r="M98" s="11">
        <v>45382</v>
      </c>
      <c r="N98" s="4"/>
      <c r="O98" s="11">
        <v>45565</v>
      </c>
      <c r="P98" s="13"/>
      <c r="Q98" s="13"/>
      <c r="R98" s="13"/>
      <c r="S98" s="13"/>
      <c r="T98" s="13"/>
      <c r="U98" s="13"/>
      <c r="V98" s="13"/>
      <c r="W98" s="13"/>
      <c r="X98" s="2">
        <v>22</v>
      </c>
      <c r="Y98" s="2">
        <f ca="1">IFERROR(__xludf.DUMMYFUNCTION("INDEX(IMPORTRANGE(""1y0FWgjbB0gVlqn-q5LMJbGIsqOrzru4yowQz67dz2yc"", ""'APO'!BG3:BG139""),MATCH($D98,IMPORTRANGE(""1y0FWgjbB0gVlqn-q5LMJbGIsqOrzru4yowQz67dz2yc"", ""'APO'!D3:D139""),0))"),27)</f>
        <v>27</v>
      </c>
      <c r="Z98" s="2">
        <f ca="1">IFERROR(__xludf.DUMMYFUNCTION("INDEX(IMPORTRANGE(""1y0FWgjbB0gVlqn-q5LMJbGIsqOrzru4yowQz67dz2yc"", ""'APO'!BH3:BH139""),MATCH($D98,IMPORTRANGE(""1y0FWgjbB0gVlqn-q5LMJbGIsqOrzru4yowQz67dz2yc"", ""'APO'!D3:D139""),0))"),28)</f>
        <v>28</v>
      </c>
      <c r="AA98" s="2" t="str">
        <f ca="1">IFERROR(__xludf.DUMMYFUNCTION("INDEX(IMPORTRANGE(""1y0FWgjbB0gVlqn-q5LMJbGIsqOrzru4yowQz67dz2yc"", ""'APO'!BI3:BI139""),MATCH($D98,IMPORTRANGE(""1y0FWgjbB0gVlqn-q5LMJbGIsqOrzru4yowQz67dz2yc"", ""'APO'!D3:D139""),0))"),"")</f>
        <v/>
      </c>
      <c r="AB98" s="2">
        <f ca="1">IFERROR(__xludf.DUMMYFUNCTION("INDEX(IMPORTRANGE(""1y0FWgjbB0gVlqn-q5LMJbGIsqOrzru4yowQz67dz2yc"", ""'APO'!BJ3:BJ139""),MATCH($D98,IMPORTRANGE(""1y0FWgjbB0gVlqn-q5LMJbGIsqOrzru4yowQz67dz2yc"", ""'APO'!D3:D139""),0))"),28)</f>
        <v>28</v>
      </c>
      <c r="AC98" s="2"/>
    </row>
    <row r="99" spans="1:29">
      <c r="A99" s="149" t="s">
        <v>243</v>
      </c>
      <c r="B99" s="149" t="s">
        <v>260</v>
      </c>
      <c r="C99" s="148" t="s">
        <v>30</v>
      </c>
      <c r="D99" s="149" t="s">
        <v>271</v>
      </c>
      <c r="E99" s="149" t="s">
        <v>38</v>
      </c>
      <c r="F99" s="9" t="s">
        <v>272</v>
      </c>
      <c r="G99" s="10">
        <v>44469</v>
      </c>
      <c r="H99" s="43"/>
      <c r="I99" s="11">
        <v>44651</v>
      </c>
      <c r="J99" s="13"/>
      <c r="K99" s="11">
        <v>45016</v>
      </c>
      <c r="L99" s="13"/>
      <c r="M99" s="11">
        <v>45382</v>
      </c>
      <c r="N99" s="4"/>
      <c r="O99" s="11">
        <v>45565</v>
      </c>
      <c r="P99" s="13"/>
      <c r="Q99" s="13"/>
      <c r="R99" s="13"/>
      <c r="S99" s="13"/>
      <c r="T99" s="13"/>
      <c r="U99" s="13"/>
      <c r="V99" s="13"/>
      <c r="W99" s="13"/>
      <c r="X99" s="2">
        <v>67</v>
      </c>
      <c r="Y99" s="2">
        <f ca="1">IFERROR(__xludf.DUMMYFUNCTION("INDEX(IMPORTRANGE(""1y0FWgjbB0gVlqn-q5LMJbGIsqOrzru4yowQz67dz2yc"", ""'APO'!BG3:BG139""),MATCH($D99,IMPORTRANGE(""1y0FWgjbB0gVlqn-q5LMJbGIsqOrzru4yowQz67dz2yc"", ""'APO'!D3:D139""),0))"),73)</f>
        <v>73</v>
      </c>
      <c r="Z99" s="2">
        <f ca="1">IFERROR(__xludf.DUMMYFUNCTION("INDEX(IMPORTRANGE(""1y0FWgjbB0gVlqn-q5LMJbGIsqOrzru4yowQz67dz2yc"", ""'APO'!BH3:BH139""),MATCH($D99,IMPORTRANGE(""1y0FWgjbB0gVlqn-q5LMJbGIsqOrzru4yowQz67dz2yc"", ""'APO'!D3:D139""),0))"),73)</f>
        <v>73</v>
      </c>
      <c r="AA99" s="2">
        <f ca="1">IFERROR(__xludf.DUMMYFUNCTION("INDEX(IMPORTRANGE(""1y0FWgjbB0gVlqn-q5LMJbGIsqOrzru4yowQz67dz2yc"", ""'APO'!BI3:BI139""),MATCH($D99,IMPORTRANGE(""1y0FWgjbB0gVlqn-q5LMJbGIsqOrzru4yowQz67dz2yc"", ""'APO'!D3:D139""),0))"),0)</f>
        <v>0</v>
      </c>
      <c r="AB99" s="2">
        <f ca="1">IFERROR(__xludf.DUMMYFUNCTION("INDEX(IMPORTRANGE(""1y0FWgjbB0gVlqn-q5LMJbGIsqOrzru4yowQz67dz2yc"", ""'APO'!BJ3:BJ139""),MATCH($D99,IMPORTRANGE(""1y0FWgjbB0gVlqn-q5LMJbGIsqOrzru4yowQz67dz2yc"", ""'APO'!D3:D139""),0))"),71)</f>
        <v>71</v>
      </c>
      <c r="AC99" s="2"/>
    </row>
    <row r="100" spans="1:29">
      <c r="A100" s="149" t="s">
        <v>243</v>
      </c>
      <c r="B100" s="149" t="s">
        <v>260</v>
      </c>
      <c r="C100" s="148" t="s">
        <v>36</v>
      </c>
      <c r="D100" s="149" t="s">
        <v>273</v>
      </c>
      <c r="E100" s="149" t="s">
        <v>38</v>
      </c>
      <c r="F100" s="9" t="s">
        <v>274</v>
      </c>
      <c r="G100" s="10">
        <v>44469</v>
      </c>
      <c r="H100" s="59"/>
      <c r="I100" s="11">
        <v>44651</v>
      </c>
      <c r="J100" s="4"/>
      <c r="K100" s="11">
        <v>45016</v>
      </c>
      <c r="L100" s="4"/>
      <c r="M100" s="11">
        <v>45382</v>
      </c>
      <c r="N100" s="4"/>
      <c r="O100" s="11">
        <v>45565</v>
      </c>
      <c r="P100" s="4"/>
      <c r="Q100" s="4"/>
      <c r="R100" s="60">
        <v>0.5</v>
      </c>
      <c r="S100" s="60">
        <v>0.5</v>
      </c>
      <c r="T100" s="60">
        <v>0.5</v>
      </c>
      <c r="U100" s="60">
        <v>0.5</v>
      </c>
      <c r="V100" s="60">
        <v>0.5</v>
      </c>
      <c r="W100" s="60">
        <v>0.5</v>
      </c>
      <c r="X100" s="15">
        <f>SUM(X94,X96,X98)/SUM(X95,X97,X99)</f>
        <v>0.33333333333333331</v>
      </c>
      <c r="Y100" s="15">
        <f ca="1">IFERROR(__xludf.DUMMYFUNCTION("INDEX(IMPORTRANGE(""1y0FWgjbB0gVlqn-q5LMJbGIsqOrzru4yowQz67dz2yc"", ""'APO'!BG3:BG139""),MATCH($D100,IMPORTRANGE(""1y0FWgjbB0gVlqn-q5LMJbGIsqOrzru4yowQz67dz2yc"", ""'APO'!D3:D139""),0))"),0.356435643564356)</f>
        <v>0.35643564356435598</v>
      </c>
      <c r="Z100" s="15">
        <f ca="1">IFERROR(__xludf.DUMMYFUNCTION("INDEX(IMPORTRANGE(""1y0FWgjbB0gVlqn-q5LMJbGIsqOrzru4yowQz67dz2yc"", ""'APO'!BH3:BH139""),MATCH($D100,IMPORTRANGE(""1y0FWgjbB0gVlqn-q5LMJbGIsqOrzru4yowQz67dz2yc"", ""'APO'!D3:D139""),0))"),0.376237623762376)</f>
        <v>0.37623762376237602</v>
      </c>
      <c r="AA100" s="24" t="str">
        <f ca="1">IFERROR(__xludf.DUMMYFUNCTION("INDEX(IMPORTRANGE(""1y0FWgjbB0gVlqn-q5LMJbGIsqOrzru4yowQz67dz2yc"", ""'APO'!BI3:BI139""),MATCH($D100,IMPORTRANGE(""1y0FWgjbB0gVlqn-q5LMJbGIsqOrzru4yowQz67dz2yc"", ""'APO'!D3:D139""),0))"),"")</f>
        <v/>
      </c>
      <c r="AB100" s="15">
        <f ca="1">IFERROR(__xludf.DUMMYFUNCTION("INDEX(IMPORTRANGE(""1y0FWgjbB0gVlqn-q5LMJbGIsqOrzru4yowQz67dz2yc"", ""'APO'!BJ3:BJ139""),MATCH($D100,IMPORTRANGE(""1y0FWgjbB0gVlqn-q5LMJbGIsqOrzru4yowQz67dz2yc"", ""'APO'!D3:D139""),0))"),0.387755102040816)</f>
        <v>0.38775510204081598</v>
      </c>
      <c r="AC100" s="15"/>
    </row>
    <row r="101" spans="1:29">
      <c r="A101" s="149" t="s">
        <v>275</v>
      </c>
      <c r="B101" s="149" t="s">
        <v>276</v>
      </c>
      <c r="C101" s="148" t="s">
        <v>30</v>
      </c>
      <c r="D101" s="149" t="s">
        <v>277</v>
      </c>
      <c r="E101" s="149" t="s">
        <v>278</v>
      </c>
      <c r="F101" s="9" t="s">
        <v>279</v>
      </c>
      <c r="G101" s="45" t="s">
        <v>213</v>
      </c>
      <c r="H101" s="8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2" t="s">
        <v>218</v>
      </c>
      <c r="O101" s="2" t="s">
        <v>218</v>
      </c>
      <c r="P101" s="36">
        <v>1031576851.17</v>
      </c>
      <c r="Q101" s="36">
        <v>1031576851.17</v>
      </c>
      <c r="R101" s="13"/>
      <c r="S101" s="13"/>
      <c r="T101" s="13"/>
      <c r="U101" s="13"/>
      <c r="V101" s="13"/>
      <c r="W101" s="13"/>
      <c r="X101" s="36">
        <v>1031576851.17</v>
      </c>
      <c r="Y101" s="4" t="str">
        <f ca="1">IFERROR(__xludf.DUMMYFUNCTION("INDEX(IMPORTRANGE(""1y0FWgjbB0gVlqn-q5LMJbGIsqOrzru4yowQz67dz2yc"", ""'APO'!BG3:BG139""),MATCH($D101,IMPORTRANGE(""1y0FWgjbB0gVlqn-q5LMJbGIsqOrzru4yowQz67dz2yc"", ""'APO'!D3:D139""),0))"),"")</f>
        <v/>
      </c>
      <c r="Z101" s="36">
        <f ca="1">IFERROR(__xludf.DUMMYFUNCTION("INDEX(IMPORTRANGE(""1y0FWgjbB0gVlqn-q5LMJbGIsqOrzru4yowQz67dz2yc"", ""'APO'!BH3:BH139""),MATCH($D101,IMPORTRANGE(""1y0FWgjbB0gVlqn-q5LMJbGIsqOrzru4yowQz67dz2yc"", ""'APO'!D3:D139""),0))"),1176864063.45)</f>
        <v>1176864063.45</v>
      </c>
      <c r="AA101" s="178" t="str">
        <f ca="1">IFERROR(__xludf.DUMMYFUNCTION("INDEX(IMPORTRANGE(""1y0FWgjbB0gVlqn-q5LMJbGIsqOrzru4yowQz67dz2yc"", ""'APO'!BI3:BI139""),MATCH($D101,IMPORTRANGE(""1y0FWgjbB0gVlqn-q5LMJbGIsqOrzru4yowQz67dz2yc"", ""'APO'!D3:D139""),0))"),"")</f>
        <v/>
      </c>
      <c r="AB101" s="2">
        <f ca="1">IFERROR(__xludf.DUMMYFUNCTION("INDEX(IMPORTRANGE(""1y0FWgjbB0gVlqn-q5LMJbGIsqOrzru4yowQz67dz2yc"", ""'APO'!BJ3:BJ139""),MATCH($D101,IMPORTRANGE(""1y0FWgjbB0gVlqn-q5LMJbGIsqOrzru4yowQz67dz2yc"", ""'APO'!D3:D139""),0))"),1219259045.16)</f>
        <v>1219259045.1600001</v>
      </c>
      <c r="AC101" s="36"/>
    </row>
    <row r="102" spans="1:29">
      <c r="A102" s="149" t="s">
        <v>275</v>
      </c>
      <c r="B102" s="149" t="s">
        <v>276</v>
      </c>
      <c r="C102" s="148" t="s">
        <v>30</v>
      </c>
      <c r="D102" s="149" t="s">
        <v>280</v>
      </c>
      <c r="E102" s="149" t="s">
        <v>278</v>
      </c>
      <c r="F102" s="9" t="s">
        <v>281</v>
      </c>
      <c r="G102" s="16" t="s">
        <v>213</v>
      </c>
      <c r="H102" s="8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2" t="s">
        <v>218</v>
      </c>
      <c r="O102" s="2" t="s">
        <v>218</v>
      </c>
      <c r="P102" s="36">
        <v>2318688211.6999998</v>
      </c>
      <c r="Q102" s="36">
        <v>2318688211.6999998</v>
      </c>
      <c r="R102" s="13"/>
      <c r="S102" s="13"/>
      <c r="T102" s="13"/>
      <c r="U102" s="13"/>
      <c r="V102" s="13"/>
      <c r="W102" s="13"/>
      <c r="X102" s="36">
        <v>2318688211.6999998</v>
      </c>
      <c r="Y102" s="4" t="str">
        <f ca="1">IFERROR(__xludf.DUMMYFUNCTION("INDEX(IMPORTRANGE(""1y0FWgjbB0gVlqn-q5LMJbGIsqOrzru4yowQz67dz2yc"", ""'APO'!BG3:BG139""),MATCH($D102,IMPORTRANGE(""1y0FWgjbB0gVlqn-q5LMJbGIsqOrzru4yowQz67dz2yc"", ""'APO'!D3:D139""),0))"),"")</f>
        <v/>
      </c>
      <c r="Z102" s="36">
        <f ca="1">IFERROR(__xludf.DUMMYFUNCTION("INDEX(IMPORTRANGE(""1y0FWgjbB0gVlqn-q5LMJbGIsqOrzru4yowQz67dz2yc"", ""'APO'!BH3:BH139""),MATCH($D102,IMPORTRANGE(""1y0FWgjbB0gVlqn-q5LMJbGIsqOrzru4yowQz67dz2yc"", ""'APO'!D3:D139""),0))"),2800159859.21)</f>
        <v>2800159859.21</v>
      </c>
      <c r="AA102" s="178" t="str">
        <f ca="1">IFERROR(__xludf.DUMMYFUNCTION("INDEX(IMPORTRANGE(""1y0FWgjbB0gVlqn-q5LMJbGIsqOrzru4yowQz67dz2yc"", ""'APO'!BI3:BI139""),MATCH($D102,IMPORTRANGE(""1y0FWgjbB0gVlqn-q5LMJbGIsqOrzru4yowQz67dz2yc"", ""'APO'!D3:D139""),0))"),"")</f>
        <v/>
      </c>
      <c r="AB102" s="2">
        <f ca="1">IFERROR(__xludf.DUMMYFUNCTION("INDEX(IMPORTRANGE(""1y0FWgjbB0gVlqn-q5LMJbGIsqOrzru4yowQz67dz2yc"", ""'APO'!BJ3:BJ139""),MATCH($D102,IMPORTRANGE(""1y0FWgjbB0gVlqn-q5LMJbGIsqOrzru4yowQz67dz2yc"", ""'APO'!D3:D139""),0))"),3247874097.24)</f>
        <v>3247874097.2399998</v>
      </c>
      <c r="AC102" s="36"/>
    </row>
    <row r="103" spans="1:29">
      <c r="A103" s="149" t="s">
        <v>275</v>
      </c>
      <c r="B103" s="149" t="s">
        <v>276</v>
      </c>
      <c r="C103" s="148" t="s">
        <v>36</v>
      </c>
      <c r="D103" s="149" t="s">
        <v>282</v>
      </c>
      <c r="E103" s="149" t="s">
        <v>278</v>
      </c>
      <c r="F103" s="9" t="s">
        <v>283</v>
      </c>
      <c r="G103" s="21" t="s">
        <v>213</v>
      </c>
      <c r="H103" s="22" t="s">
        <v>214</v>
      </c>
      <c r="I103" s="9" t="s">
        <v>215</v>
      </c>
      <c r="J103" s="4"/>
      <c r="K103" s="9" t="s">
        <v>216</v>
      </c>
      <c r="L103" s="4"/>
      <c r="M103" s="9" t="s">
        <v>217</v>
      </c>
      <c r="N103" s="2" t="s">
        <v>218</v>
      </c>
      <c r="O103" s="2" t="s">
        <v>218</v>
      </c>
      <c r="P103" s="15">
        <f t="shared" ref="P103:Q103" si="23">P101/P102</f>
        <v>0.44489675065612877</v>
      </c>
      <c r="Q103" s="15">
        <f t="shared" si="23"/>
        <v>0.44489675065612877</v>
      </c>
      <c r="R103" s="2"/>
      <c r="S103" s="15">
        <f>P103+($W$103-$P$103)/3</f>
        <v>0.46326450043741918</v>
      </c>
      <c r="T103" s="2"/>
      <c r="U103" s="15">
        <f>S103+($W$103-$P$103)/3</f>
        <v>0.48163225021870959</v>
      </c>
      <c r="V103" s="14">
        <v>0.5</v>
      </c>
      <c r="W103" s="14">
        <v>0.5</v>
      </c>
      <c r="X103" s="15">
        <f>X101/X102</f>
        <v>0.44489675065612877</v>
      </c>
      <c r="Y103" s="4" t="str">
        <f ca="1">IFERROR(__xludf.DUMMYFUNCTION("INDEX(IMPORTRANGE(""1y0FWgjbB0gVlqn-q5LMJbGIsqOrzru4yowQz67dz2yc"", ""'APO'!BG3:BG139""),MATCH($D103,IMPORTRANGE(""1y0FWgjbB0gVlqn-q5LMJbGIsqOrzru4yowQz67dz2yc"", ""'APO'!D3:D139""),0))"),"")</f>
        <v/>
      </c>
      <c r="Z103" s="15">
        <f ca="1">IFERROR(__xludf.DUMMYFUNCTION("INDEX(IMPORTRANGE(""1y0FWgjbB0gVlqn-q5LMJbGIsqOrzru4yowQz67dz2yc"", ""'APO'!BH3:BH139""),MATCH($D103,IMPORTRANGE(""1y0FWgjbB0gVlqn-q5LMJbGIsqOrzru4yowQz67dz2yc"", ""'APO'!D3:D139""),0))"),0.420284598959298)</f>
        <v>0.42028459895929798</v>
      </c>
      <c r="AA103" s="179" t="str">
        <f ca="1">IFERROR(__xludf.DUMMYFUNCTION("INDEX(IMPORTRANGE(""1y0FWgjbB0gVlqn-q5LMJbGIsqOrzru4yowQz67dz2yc"", ""'APO'!BI3:BI139""),MATCH($D103,IMPORTRANGE(""1y0FWgjbB0gVlqn-q5LMJbGIsqOrzru4yowQz67dz2yc"", ""'APO'!D3:D139""),0))"),"")</f>
        <v/>
      </c>
      <c r="AB103" s="15">
        <f ca="1">IFERROR(__xludf.DUMMYFUNCTION("INDEX(IMPORTRANGE(""1y0FWgjbB0gVlqn-q5LMJbGIsqOrzru4yowQz67dz2yc"", ""'APO'!BJ3:BJ139""),MATCH($D103,IMPORTRANGE(""1y0FWgjbB0gVlqn-q5LMJbGIsqOrzru4yowQz67dz2yc"", ""'APO'!D3:D139""),0))"),0.375402188833646)</f>
        <v>0.37540218883364601</v>
      </c>
      <c r="AC103" s="15"/>
    </row>
    <row r="104" spans="1:29">
      <c r="A104" s="149" t="s">
        <v>275</v>
      </c>
      <c r="B104" s="149" t="s">
        <v>284</v>
      </c>
      <c r="C104" s="148" t="s">
        <v>30</v>
      </c>
      <c r="D104" s="149" t="s">
        <v>285</v>
      </c>
      <c r="E104" s="149" t="s">
        <v>278</v>
      </c>
      <c r="F104" s="9" t="s">
        <v>286</v>
      </c>
      <c r="G104" s="16" t="s">
        <v>213</v>
      </c>
      <c r="H104" s="8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2" t="s">
        <v>218</v>
      </c>
      <c r="O104" s="2" t="s">
        <v>218</v>
      </c>
      <c r="P104" s="36">
        <v>1903248572.6500001</v>
      </c>
      <c r="Q104" s="36">
        <v>1903248572.6500001</v>
      </c>
      <c r="R104" s="13"/>
      <c r="S104" s="13"/>
      <c r="T104" s="13"/>
      <c r="U104" s="13"/>
      <c r="V104" s="13"/>
      <c r="W104" s="13"/>
      <c r="X104" s="36">
        <v>1903248572.6500001</v>
      </c>
      <c r="Y104" s="4" t="str">
        <f ca="1">IFERROR(__xludf.DUMMYFUNCTION("INDEX(IMPORTRANGE(""1y0FWgjbB0gVlqn-q5LMJbGIsqOrzru4yowQz67dz2yc"", ""'APO'!BG3:BG139""),MATCH($D104,IMPORTRANGE(""1y0FWgjbB0gVlqn-q5LMJbGIsqOrzru4yowQz67dz2yc"", ""'APO'!D3:D139""),0))"),"")</f>
        <v/>
      </c>
      <c r="Z104" s="36">
        <f ca="1">IFERROR(__xludf.DUMMYFUNCTION("INDEX(IMPORTRANGE(""1y0FWgjbB0gVlqn-q5LMJbGIsqOrzru4yowQz67dz2yc"", ""'APO'!BH3:BH139""),MATCH($D104,IMPORTRANGE(""1y0FWgjbB0gVlqn-q5LMJbGIsqOrzru4yowQz67dz2yc"", ""'APO'!D3:D139""),0))"),2230428654.02)</f>
        <v>2230428654.02</v>
      </c>
      <c r="AA104" s="178" t="str">
        <f ca="1">IFERROR(__xludf.DUMMYFUNCTION("INDEX(IMPORTRANGE(""1y0FWgjbB0gVlqn-q5LMJbGIsqOrzru4yowQz67dz2yc"", ""'APO'!BI3:BI139""),MATCH($D104,IMPORTRANGE(""1y0FWgjbB0gVlqn-q5LMJbGIsqOrzru4yowQz67dz2yc"", ""'APO'!D3:D139""),0))"),"")</f>
        <v/>
      </c>
      <c r="AB104" s="2">
        <f ca="1">IFERROR(__xludf.DUMMYFUNCTION("INDEX(IMPORTRANGE(""1y0FWgjbB0gVlqn-q5LMJbGIsqOrzru4yowQz67dz2yc"", ""'APO'!BJ3:BJ139""),MATCH($D104,IMPORTRANGE(""1y0FWgjbB0gVlqn-q5LMJbGIsqOrzru4yowQz67dz2yc"", ""'APO'!D3:D139""),0))"),2425041049.23)</f>
        <v>2425041049.23</v>
      </c>
      <c r="AC104" s="36"/>
    </row>
    <row r="105" spans="1:29">
      <c r="A105" s="149" t="s">
        <v>275</v>
      </c>
      <c r="B105" s="149" t="s">
        <v>276</v>
      </c>
      <c r="C105" s="148" t="s">
        <v>36</v>
      </c>
      <c r="D105" s="149" t="s">
        <v>287</v>
      </c>
      <c r="E105" s="149" t="s">
        <v>278</v>
      </c>
      <c r="F105" s="9" t="s">
        <v>288</v>
      </c>
      <c r="G105" s="21" t="s">
        <v>213</v>
      </c>
      <c r="H105" s="22" t="s">
        <v>214</v>
      </c>
      <c r="I105" s="9" t="s">
        <v>215</v>
      </c>
      <c r="J105" s="4"/>
      <c r="K105" s="9" t="s">
        <v>216</v>
      </c>
      <c r="L105" s="4"/>
      <c r="M105" s="9" t="s">
        <v>217</v>
      </c>
      <c r="N105" s="2" t="s">
        <v>218</v>
      </c>
      <c r="O105" s="2" t="s">
        <v>218</v>
      </c>
      <c r="P105" s="15">
        <f t="shared" ref="P105:Q105" si="24">P101/P104</f>
        <v>0.54200847224788795</v>
      </c>
      <c r="Q105" s="15">
        <f t="shared" si="24"/>
        <v>0.54200847224788795</v>
      </c>
      <c r="R105" s="2"/>
      <c r="S105" s="15">
        <v>0.55800000000000005</v>
      </c>
      <c r="T105" s="2"/>
      <c r="U105" s="15">
        <v>0.57399999999999995</v>
      </c>
      <c r="V105" s="14">
        <v>0.59</v>
      </c>
      <c r="W105" s="14">
        <f>V105</f>
        <v>0.59</v>
      </c>
      <c r="X105" s="15">
        <f>X101/X104</f>
        <v>0.54200847224788795</v>
      </c>
      <c r="Y105" s="4" t="str">
        <f ca="1">IFERROR(__xludf.DUMMYFUNCTION("INDEX(IMPORTRANGE(""1y0FWgjbB0gVlqn-q5LMJbGIsqOrzru4yowQz67dz2yc"", ""'APO'!BG3:BG139""),MATCH($D105,IMPORTRANGE(""1y0FWgjbB0gVlqn-q5LMJbGIsqOrzru4yowQz67dz2yc"", ""'APO'!D3:D139""),0))"),"")</f>
        <v/>
      </c>
      <c r="Z105" s="15">
        <f ca="1">IFERROR(__xludf.DUMMYFUNCTION("INDEX(IMPORTRANGE(""1y0FWgjbB0gVlqn-q5LMJbGIsqOrzru4yowQz67dz2yc"", ""'APO'!BH3:BH139""),MATCH($D105,IMPORTRANGE(""1y0FWgjbB0gVlqn-q5LMJbGIsqOrzru4yowQz67dz2yc"", ""'APO'!D3:D139""),0))"),0.527640308659452)</f>
        <v>0.527640308659452</v>
      </c>
      <c r="AA105" s="179" t="str">
        <f ca="1">IFERROR(__xludf.DUMMYFUNCTION("INDEX(IMPORTRANGE(""1y0FWgjbB0gVlqn-q5LMJbGIsqOrzru4yowQz67dz2yc"", ""'APO'!BI3:BI139""),MATCH($D105,IMPORTRANGE(""1y0FWgjbB0gVlqn-q5LMJbGIsqOrzru4yowQz67dz2yc"", ""'APO'!D3:D139""),0))"),"")</f>
        <v/>
      </c>
      <c r="AB105" s="15">
        <f ca="1">IFERROR(__xludf.DUMMYFUNCTION("INDEX(IMPORTRANGE(""1y0FWgjbB0gVlqn-q5LMJbGIsqOrzru4yowQz67dz2yc"", ""'APO'!BJ3:BJ139""),MATCH($D105,IMPORTRANGE(""1y0FWgjbB0gVlqn-q5LMJbGIsqOrzru4yowQz67dz2yc"", ""'APO'!D3:D139""),0))"),0.502778724321858)</f>
        <v>0.50277872432185799</v>
      </c>
      <c r="AC105" s="15"/>
    </row>
    <row r="106" spans="1:29">
      <c r="A106" s="149" t="s">
        <v>275</v>
      </c>
      <c r="B106" s="149" t="s">
        <v>276</v>
      </c>
      <c r="C106" s="148" t="s">
        <v>30</v>
      </c>
      <c r="D106" s="149" t="s">
        <v>289</v>
      </c>
      <c r="E106" s="149" t="s">
        <v>38</v>
      </c>
      <c r="F106" s="9" t="s">
        <v>112</v>
      </c>
      <c r="G106" s="16" t="s">
        <v>254</v>
      </c>
      <c r="H106" s="16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49">
        <v>45536</v>
      </c>
      <c r="O106" s="2" t="s">
        <v>218</v>
      </c>
      <c r="P106" s="12">
        <v>250305</v>
      </c>
      <c r="Q106" s="12">
        <v>250305</v>
      </c>
      <c r="R106" s="13"/>
      <c r="S106" s="13"/>
      <c r="T106" s="13"/>
      <c r="U106" s="13"/>
      <c r="V106" s="13"/>
      <c r="W106" s="13"/>
      <c r="X106" s="12">
        <v>250305</v>
      </c>
      <c r="Y106" s="4" t="str">
        <f ca="1">IFERROR(__xludf.DUMMYFUNCTION("INDEX(IMPORTRANGE(""1y0FWgjbB0gVlqn-q5LMJbGIsqOrzru4yowQz67dz2yc"", ""'APO'!BG3:BG139""),MATCH($D106,IMPORTRANGE(""1y0FWgjbB0gVlqn-q5LMJbGIsqOrzru4yowQz67dz2yc"", ""'APO'!D3:D139""),0))"),"")</f>
        <v/>
      </c>
      <c r="Z106" s="12">
        <f ca="1">IFERROR(__xludf.DUMMYFUNCTION("INDEX(IMPORTRANGE(""1y0FWgjbB0gVlqn-q5LMJbGIsqOrzru4yowQz67dz2yc"", ""'APO'!BH3:BH139""),MATCH($D106,IMPORTRANGE(""1y0FWgjbB0gVlqn-q5LMJbGIsqOrzru4yowQz67dz2yc"", ""'APO'!D3:D139""),0))"),252942)</f>
        <v>252942</v>
      </c>
      <c r="AA106" s="6" t="str">
        <f ca="1">IFERROR(__xludf.DUMMYFUNCTION("INDEX(IMPORTRANGE(""1y0FWgjbB0gVlqn-q5LMJbGIsqOrzru4yowQz67dz2yc"", ""'APO'!BI3:BI139""),MATCH($D106,IMPORTRANGE(""1y0FWgjbB0gVlqn-q5LMJbGIsqOrzru4yowQz67dz2yc"", ""'APO'!D3:D139""),0))"),"")</f>
        <v/>
      </c>
      <c r="AB106" s="2">
        <f ca="1">IFERROR(__xludf.DUMMYFUNCTION("INDEX(IMPORTRANGE(""1y0FWgjbB0gVlqn-q5LMJbGIsqOrzru4yowQz67dz2yc"", ""'APO'!BJ3:BJ139""),MATCH($D106,IMPORTRANGE(""1y0FWgjbB0gVlqn-q5LMJbGIsqOrzru4yowQz67dz2yc"", ""'APO'!D3:D139""),0))"),259020)</f>
        <v>259020</v>
      </c>
      <c r="AC106" s="12"/>
    </row>
    <row r="107" spans="1:29">
      <c r="A107" s="149" t="s">
        <v>275</v>
      </c>
      <c r="B107" s="149" t="s">
        <v>276</v>
      </c>
      <c r="C107" s="148" t="s">
        <v>30</v>
      </c>
      <c r="D107" s="149" t="s">
        <v>290</v>
      </c>
      <c r="E107" s="149" t="s">
        <v>38</v>
      </c>
      <c r="F107" s="9" t="s">
        <v>291</v>
      </c>
      <c r="G107" s="16" t="s">
        <v>213</v>
      </c>
      <c r="H107" s="8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2" t="s">
        <v>218</v>
      </c>
      <c r="O107" s="2" t="s">
        <v>218</v>
      </c>
      <c r="P107" s="12">
        <v>124005</v>
      </c>
      <c r="Q107" s="12">
        <v>124005</v>
      </c>
      <c r="R107" s="13"/>
      <c r="S107" s="13"/>
      <c r="T107" s="13"/>
      <c r="U107" s="13"/>
      <c r="V107" s="13"/>
      <c r="W107" s="13"/>
      <c r="X107" s="12">
        <v>124005</v>
      </c>
      <c r="Y107" s="4" t="str">
        <f ca="1">IFERROR(__xludf.DUMMYFUNCTION("INDEX(IMPORTRANGE(""1y0FWgjbB0gVlqn-q5LMJbGIsqOrzru4yowQz67dz2yc"", ""'APO'!BG3:BG139""),MATCH($D107,IMPORTRANGE(""1y0FWgjbB0gVlqn-q5LMJbGIsqOrzru4yowQz67dz2yc"", ""'APO'!D3:D139""),0))"),"")</f>
        <v/>
      </c>
      <c r="Z107" s="12">
        <f ca="1">IFERROR(__xludf.DUMMYFUNCTION("INDEX(IMPORTRANGE(""1y0FWgjbB0gVlqn-q5LMJbGIsqOrzru4yowQz67dz2yc"", ""'APO'!BH3:BH139""),MATCH($D107,IMPORTRANGE(""1y0FWgjbB0gVlqn-q5LMJbGIsqOrzru4yowQz67dz2yc"", ""'APO'!D3:D139""),0))"),129385)</f>
        <v>129385</v>
      </c>
      <c r="AA107" s="6" t="str">
        <f ca="1">IFERROR(__xludf.DUMMYFUNCTION("INDEX(IMPORTRANGE(""1y0FWgjbB0gVlqn-q5LMJbGIsqOrzru4yowQz67dz2yc"", ""'APO'!BI3:BI139""),MATCH($D107,IMPORTRANGE(""1y0FWgjbB0gVlqn-q5LMJbGIsqOrzru4yowQz67dz2yc"", ""'APO'!D3:D139""),0))"),"")</f>
        <v/>
      </c>
      <c r="AB107" s="2">
        <f ca="1">IFERROR(__xludf.DUMMYFUNCTION("INDEX(IMPORTRANGE(""1y0FWgjbB0gVlqn-q5LMJbGIsqOrzru4yowQz67dz2yc"", ""'APO'!BJ3:BJ139""),MATCH($D107,IMPORTRANGE(""1y0FWgjbB0gVlqn-q5LMJbGIsqOrzru4yowQz67dz2yc"", ""'APO'!D3:D139""),0))"),129170)</f>
        <v>129170</v>
      </c>
      <c r="AC107" s="12"/>
    </row>
    <row r="108" spans="1:29">
      <c r="A108" s="149" t="s">
        <v>275</v>
      </c>
      <c r="B108" s="149" t="s">
        <v>276</v>
      </c>
      <c r="C108" s="148" t="s">
        <v>36</v>
      </c>
      <c r="D108" s="149" t="s">
        <v>292</v>
      </c>
      <c r="E108" s="149" t="s">
        <v>38</v>
      </c>
      <c r="F108" s="9" t="s">
        <v>293</v>
      </c>
      <c r="G108" s="21" t="s">
        <v>213</v>
      </c>
      <c r="H108" s="22" t="s">
        <v>214</v>
      </c>
      <c r="I108" s="9" t="s">
        <v>215</v>
      </c>
      <c r="J108" s="4"/>
      <c r="K108" s="9" t="s">
        <v>216</v>
      </c>
      <c r="L108" s="4"/>
      <c r="M108" s="9" t="s">
        <v>217</v>
      </c>
      <c r="N108" s="2" t="s">
        <v>218</v>
      </c>
      <c r="O108" s="2" t="s">
        <v>218</v>
      </c>
      <c r="P108" s="15">
        <f t="shared" ref="P108:Q108" si="25">P107/P106</f>
        <v>0.49541559297656856</v>
      </c>
      <c r="Q108" s="15">
        <f t="shared" si="25"/>
        <v>0.49541559297656856</v>
      </c>
      <c r="R108" s="2"/>
      <c r="S108" s="15">
        <v>0.50700000000000001</v>
      </c>
      <c r="T108" s="15"/>
      <c r="U108" s="15">
        <v>0.51800000000000002</v>
      </c>
      <c r="V108" s="15">
        <v>0.53</v>
      </c>
      <c r="W108" s="14">
        <v>0.53</v>
      </c>
      <c r="X108" s="15">
        <f>X107/X106</f>
        <v>0.49541559297656856</v>
      </c>
      <c r="Y108" s="4" t="str">
        <f ca="1">IFERROR(__xludf.DUMMYFUNCTION("INDEX(IMPORTRANGE(""1y0FWgjbB0gVlqn-q5LMJbGIsqOrzru4yowQz67dz2yc"", ""'APO'!BG3:BG139""),MATCH($D108,IMPORTRANGE(""1y0FWgjbB0gVlqn-q5LMJbGIsqOrzru4yowQz67dz2yc"", ""'APO'!D3:D139""),0))"),"")</f>
        <v/>
      </c>
      <c r="Z108" s="15">
        <f ca="1">IFERROR(__xludf.DUMMYFUNCTION("INDEX(IMPORTRANGE(""1y0FWgjbB0gVlqn-q5LMJbGIsqOrzru4yowQz67dz2yc"", ""'APO'!BH3:BH139""),MATCH($D108,IMPORTRANGE(""1y0FWgjbB0gVlqn-q5LMJbGIsqOrzru4yowQz67dz2yc"", ""'APO'!D3:D139""),0))"),0.51152042760791)</f>
        <v>0.51152042760791006</v>
      </c>
      <c r="AA108" s="179" t="str">
        <f ca="1">IFERROR(__xludf.DUMMYFUNCTION("INDEX(IMPORTRANGE(""1y0FWgjbB0gVlqn-q5LMJbGIsqOrzru4yowQz67dz2yc"", ""'APO'!BI3:BI139""),MATCH($D108,IMPORTRANGE(""1y0FWgjbB0gVlqn-q5LMJbGIsqOrzru4yowQz67dz2yc"", ""'APO'!D3:D139""),0))"),"")</f>
        <v/>
      </c>
      <c r="AB108" s="15">
        <f ca="1">IFERROR(__xludf.DUMMYFUNCTION("INDEX(IMPORTRANGE(""1y0FWgjbB0gVlqn-q5LMJbGIsqOrzru4yowQz67dz2yc"", ""'APO'!BJ3:BJ139""),MATCH($D108,IMPORTRANGE(""1y0FWgjbB0gVlqn-q5LMJbGIsqOrzru4yowQz67dz2yc"", ""'APO'!D3:D139""),0))"),0.498687360049417)</f>
        <v>0.49868736004941699</v>
      </c>
      <c r="AC108" s="15"/>
    </row>
    <row r="109" spans="1:29">
      <c r="A109" s="149" t="s">
        <v>275</v>
      </c>
      <c r="B109" s="149" t="s">
        <v>276</v>
      </c>
      <c r="C109" s="151" t="s">
        <v>30</v>
      </c>
      <c r="D109" s="149" t="s">
        <v>294</v>
      </c>
      <c r="E109" s="149" t="s">
        <v>38</v>
      </c>
      <c r="F109" s="9" t="s">
        <v>295</v>
      </c>
      <c r="G109" s="16" t="s">
        <v>213</v>
      </c>
      <c r="H109" s="8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2" t="s">
        <v>218</v>
      </c>
      <c r="O109" s="2" t="s">
        <v>218</v>
      </c>
      <c r="P109" s="50"/>
      <c r="Q109" s="50"/>
      <c r="R109" s="1"/>
      <c r="S109" s="1"/>
      <c r="T109" s="1"/>
      <c r="U109" s="1"/>
      <c r="V109" s="1"/>
      <c r="W109" s="1"/>
      <c r="X109" s="50"/>
      <c r="Y109" s="4" t="str">
        <f ca="1">IFERROR(__xludf.DUMMYFUNCTION("INDEX(IMPORTRANGE(""1y0FWgjbB0gVlqn-q5LMJbGIsqOrzru4yowQz67dz2yc"", ""'APO'!BG3:BG139""),MATCH($D109,IMPORTRANGE(""1y0FWgjbB0gVlqn-q5LMJbGIsqOrzru4yowQz67dz2yc"", ""'APO'!D3:D139""),0))"),"")</f>
        <v/>
      </c>
      <c r="Z109" s="50">
        <f ca="1">IFERROR(__xludf.DUMMYFUNCTION("INDEX(IMPORTRANGE(""1y0FWgjbB0gVlqn-q5LMJbGIsqOrzru4yowQz67dz2yc"", ""'APO'!BH3:BH139""),MATCH($D109,IMPORTRANGE(""1y0FWgjbB0gVlqn-q5LMJbGIsqOrzru4yowQz67dz2yc"", ""'APO'!D3:D139""),0))"),351120632.049999)</f>
        <v>351120632.049999</v>
      </c>
      <c r="AA109" s="184" t="str">
        <f ca="1">IFERROR(__xludf.DUMMYFUNCTION("INDEX(IMPORTRANGE(""1y0FWgjbB0gVlqn-q5LMJbGIsqOrzru4yowQz67dz2yc"", ""'APO'!BI3:BI139""),MATCH($D109,IMPORTRANGE(""1y0FWgjbB0gVlqn-q5LMJbGIsqOrzru4yowQz67dz2yc"", ""'APO'!D3:D139""),0))"),"")</f>
        <v/>
      </c>
      <c r="AB109" s="2">
        <f ca="1">IFERROR(__xludf.DUMMYFUNCTION("INDEX(IMPORTRANGE(""1y0FWgjbB0gVlqn-q5LMJbGIsqOrzru4yowQz67dz2yc"", ""'APO'!BJ3:BJ139""),MATCH($D109,IMPORTRANGE(""1y0FWgjbB0gVlqn-q5LMJbGIsqOrzru4yowQz67dz2yc"", ""'APO'!D3:D139""),0))"),351899629.529999)</f>
        <v>351899629.52999902</v>
      </c>
      <c r="AC109" s="50"/>
    </row>
    <row r="110" spans="1:29">
      <c r="A110" s="149" t="s">
        <v>275</v>
      </c>
      <c r="B110" s="149" t="s">
        <v>276</v>
      </c>
      <c r="C110" s="151" t="s">
        <v>36</v>
      </c>
      <c r="D110" s="149" t="s">
        <v>296</v>
      </c>
      <c r="E110" s="149" t="s">
        <v>38</v>
      </c>
      <c r="F110" s="9" t="s">
        <v>297</v>
      </c>
      <c r="G110" s="21" t="s">
        <v>213</v>
      </c>
      <c r="H110" s="22" t="s">
        <v>214</v>
      </c>
      <c r="I110" s="9" t="s">
        <v>215</v>
      </c>
      <c r="J110" s="4"/>
      <c r="K110" s="9" t="s">
        <v>216</v>
      </c>
      <c r="L110" s="4"/>
      <c r="M110" s="9" t="s">
        <v>217</v>
      </c>
      <c r="N110" s="2" t="s">
        <v>218</v>
      </c>
      <c r="O110" s="2" t="s">
        <v>218</v>
      </c>
      <c r="P110" s="50">
        <v>325523993.34999996</v>
      </c>
      <c r="Q110" s="50">
        <v>325523993.34999996</v>
      </c>
      <c r="R110" s="2"/>
      <c r="S110" s="36">
        <v>328825456.89999998</v>
      </c>
      <c r="T110" s="2"/>
      <c r="U110" s="36">
        <v>332126920.5</v>
      </c>
      <c r="V110" s="36">
        <v>335428384</v>
      </c>
      <c r="W110" s="36">
        <v>335428384</v>
      </c>
      <c r="X110" s="50">
        <v>325523993.34999996</v>
      </c>
      <c r="Y110" s="4" t="str">
        <f ca="1">IFERROR(__xludf.DUMMYFUNCTION("INDEX(IMPORTRANGE(""1y0FWgjbB0gVlqn-q5LMJbGIsqOrzru4yowQz67dz2yc"", ""'APO'!BG3:BG139""),MATCH($D110,IMPORTRANGE(""1y0FWgjbB0gVlqn-q5LMJbGIsqOrzru4yowQz67dz2yc"", ""'APO'!D3:D139""),0))"),"")</f>
        <v/>
      </c>
      <c r="Z110" s="50">
        <f ca="1">IFERROR(__xludf.DUMMYFUNCTION("INDEX(IMPORTRANGE(""1y0FWgjbB0gVlqn-q5LMJbGIsqOrzru4yowQz67dz2yc"", ""'APO'!BH3:BH139""),MATCH($D110,IMPORTRANGE(""1y0FWgjbB0gVlqn-q5LMJbGIsqOrzru4yowQz67dz2yc"", ""'APO'!D3:D139""),0))"),369978124.259999)</f>
        <v>369978124.25999898</v>
      </c>
      <c r="AA110" s="184" t="str">
        <f ca="1">IFERROR(__xludf.DUMMYFUNCTION("INDEX(IMPORTRANGE(""1y0FWgjbB0gVlqn-q5LMJbGIsqOrzru4yowQz67dz2yc"", ""'APO'!BI3:BI139""),MATCH($D110,IMPORTRANGE(""1y0FWgjbB0gVlqn-q5LMJbGIsqOrzru4yowQz67dz2yc"", ""'APO'!D3:D139""),0))"),"")</f>
        <v/>
      </c>
      <c r="AB110" s="50">
        <f ca="1">IFERROR(__xludf.DUMMYFUNCTION("INDEX(IMPORTRANGE(""1y0FWgjbB0gVlqn-q5LMJbGIsqOrzru4yowQz67dz2yc"", ""'APO'!BJ3:BJ139""),MATCH($D110,IMPORTRANGE(""1y0FWgjbB0gVlqn-q5LMJbGIsqOrzru4yowQz67dz2yc"", ""'APO'!D3:D139""),0))"),370066435.4)</f>
        <v>370066435.39999998</v>
      </c>
      <c r="AC110" s="50"/>
    </row>
    <row r="111" spans="1:29">
      <c r="A111" s="149" t="s">
        <v>275</v>
      </c>
      <c r="B111" s="149" t="s">
        <v>298</v>
      </c>
      <c r="C111" s="148" t="s">
        <v>30</v>
      </c>
      <c r="D111" s="149" t="s">
        <v>299</v>
      </c>
      <c r="E111" s="149" t="s">
        <v>278</v>
      </c>
      <c r="F111" s="9" t="s">
        <v>300</v>
      </c>
      <c r="G111" s="16" t="s">
        <v>213</v>
      </c>
      <c r="H111" s="8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2" t="s">
        <v>218</v>
      </c>
      <c r="O111" s="2" t="s">
        <v>218</v>
      </c>
      <c r="P111" s="50">
        <v>2328307996.9899998</v>
      </c>
      <c r="Q111" s="50">
        <v>2328307996.9899998</v>
      </c>
      <c r="R111" s="13"/>
      <c r="S111" s="13"/>
      <c r="T111" s="13"/>
      <c r="U111" s="13"/>
      <c r="V111" s="13"/>
      <c r="W111" s="13"/>
      <c r="X111" s="50">
        <v>2328307996.9899998</v>
      </c>
      <c r="Y111" s="4" t="str">
        <f ca="1">IFERROR(__xludf.DUMMYFUNCTION("INDEX(IMPORTRANGE(""1y0FWgjbB0gVlqn-q5LMJbGIsqOrzru4yowQz67dz2yc"", ""'APO'!BG3:BG139""),MATCH($D111,IMPORTRANGE(""1y0FWgjbB0gVlqn-q5LMJbGIsqOrzru4yowQz67dz2yc"", ""'APO'!D3:D139""),0))"),"")</f>
        <v/>
      </c>
      <c r="Z111" s="50">
        <f ca="1">IFERROR(__xludf.DUMMYFUNCTION("INDEX(IMPORTRANGE(""1y0FWgjbB0gVlqn-q5LMJbGIsqOrzru4yowQz67dz2yc"", ""'APO'!BH3:BH139""),MATCH($D111,IMPORTRANGE(""1y0FWgjbB0gVlqn-q5LMJbGIsqOrzru4yowQz67dz2yc"", ""'APO'!D3:D139""),0))"),2737154294.2)</f>
        <v>2737154294.1999998</v>
      </c>
      <c r="AA111" s="184" t="str">
        <f ca="1">IFERROR(__xludf.DUMMYFUNCTION("INDEX(IMPORTRANGE(""1y0FWgjbB0gVlqn-q5LMJbGIsqOrzru4yowQz67dz2yc"", ""'APO'!BI3:BI139""),MATCH($D111,IMPORTRANGE(""1y0FWgjbB0gVlqn-q5LMJbGIsqOrzru4yowQz67dz2yc"", ""'APO'!D3:D139""),0))"),"")</f>
        <v/>
      </c>
      <c r="AB111" s="2">
        <f ca="1">IFERROR(__xludf.DUMMYFUNCTION("INDEX(IMPORTRANGE(""1y0FWgjbB0gVlqn-q5LMJbGIsqOrzru4yowQz67dz2yc"", ""'APO'!BJ3:BJ139""),MATCH($D111,IMPORTRANGE(""1y0FWgjbB0gVlqn-q5LMJbGIsqOrzru4yowQz67dz2yc"", ""'APO'!D3:D139""),0))"),3152162349.76)</f>
        <v>3152162349.7600002</v>
      </c>
      <c r="AC111" s="50"/>
    </row>
    <row r="112" spans="1:29">
      <c r="A112" s="149" t="s">
        <v>275</v>
      </c>
      <c r="B112" s="149" t="s">
        <v>298</v>
      </c>
      <c r="C112" s="148" t="s">
        <v>36</v>
      </c>
      <c r="D112" s="149" t="s">
        <v>301</v>
      </c>
      <c r="E112" s="149" t="s">
        <v>278</v>
      </c>
      <c r="F112" s="9" t="s">
        <v>302</v>
      </c>
      <c r="G112" s="21" t="s">
        <v>213</v>
      </c>
      <c r="H112" s="22" t="s">
        <v>214</v>
      </c>
      <c r="I112" s="9" t="s">
        <v>215</v>
      </c>
      <c r="J112" s="4"/>
      <c r="K112" s="9" t="s">
        <v>216</v>
      </c>
      <c r="L112" s="4"/>
      <c r="M112" s="9" t="s">
        <v>217</v>
      </c>
      <c r="N112" s="2" t="s">
        <v>218</v>
      </c>
      <c r="O112" s="2" t="s">
        <v>218</v>
      </c>
      <c r="P112" s="15">
        <f t="shared" ref="P112:Q112" si="26">P104/P111</f>
        <v>0.81743848971462973</v>
      </c>
      <c r="Q112" s="15">
        <f t="shared" si="26"/>
        <v>0.81743848971462973</v>
      </c>
      <c r="R112" s="2"/>
      <c r="S112" s="14">
        <v>0.8</v>
      </c>
      <c r="T112" s="2"/>
      <c r="U112" s="14">
        <v>0.8</v>
      </c>
      <c r="V112" s="14">
        <v>0.8</v>
      </c>
      <c r="W112" s="14">
        <v>0.8</v>
      </c>
      <c r="X112" s="15">
        <f>X104/X111</f>
        <v>0.81743848971462973</v>
      </c>
      <c r="Y112" s="4" t="str">
        <f ca="1">IFERROR(__xludf.DUMMYFUNCTION("INDEX(IMPORTRANGE(""1y0FWgjbB0gVlqn-q5LMJbGIsqOrzru4yowQz67dz2yc"", ""'APO'!BG3:BG139""),MATCH($D112,IMPORTRANGE(""1y0FWgjbB0gVlqn-q5LMJbGIsqOrzru4yowQz67dz2yc"", ""'APO'!D3:D139""),0))"),"")</f>
        <v/>
      </c>
      <c r="Z112" s="15">
        <f ca="1">IFERROR(__xludf.DUMMYFUNCTION("INDEX(IMPORTRANGE(""1y0FWgjbB0gVlqn-q5LMJbGIsqOrzru4yowQz67dz2yc"", ""'APO'!BH3:BH139""),MATCH($D112,IMPORTRANGE(""1y0FWgjbB0gVlqn-q5LMJbGIsqOrzru4yowQz67dz2yc"", ""'APO'!D3:D139""),0))"),0.814871364302061)</f>
        <v>0.81487136430206097</v>
      </c>
      <c r="AA112" s="179" t="str">
        <f ca="1">IFERROR(__xludf.DUMMYFUNCTION("INDEX(IMPORTRANGE(""1y0FWgjbB0gVlqn-q5LMJbGIsqOrzru4yowQz67dz2yc"", ""'APO'!BI3:BI139""),MATCH($D112,IMPORTRANGE(""1y0FWgjbB0gVlqn-q5LMJbGIsqOrzru4yowQz67dz2yc"", ""'APO'!D3:D139""),0))"),"")</f>
        <v/>
      </c>
      <c r="AB112" s="15">
        <f ca="1">IFERROR(__xludf.DUMMYFUNCTION("INDEX(IMPORTRANGE(""1y0FWgjbB0gVlqn-q5LMJbGIsqOrzru4yowQz67dz2yc"", ""'APO'!BJ3:BJ139""),MATCH($D112,IMPORTRANGE(""1y0FWgjbB0gVlqn-q5LMJbGIsqOrzru4yowQz67dz2yc"", ""'APO'!D3:D139""),0))"),0.769326189501196)</f>
        <v>0.76932618950119602</v>
      </c>
      <c r="AC112" s="15"/>
    </row>
    <row r="113" spans="1:29">
      <c r="A113" s="149" t="s">
        <v>275</v>
      </c>
      <c r="B113" s="149" t="s">
        <v>303</v>
      </c>
      <c r="C113" s="148" t="s">
        <v>36</v>
      </c>
      <c r="D113" s="149" t="s">
        <v>304</v>
      </c>
      <c r="E113" s="149" t="s">
        <v>305</v>
      </c>
      <c r="F113" s="9" t="s">
        <v>306</v>
      </c>
      <c r="G113" s="10" t="s">
        <v>307</v>
      </c>
      <c r="H113" s="59"/>
      <c r="I113" s="2" t="s">
        <v>254</v>
      </c>
      <c r="J113" s="4"/>
      <c r="K113" s="2" t="s">
        <v>255</v>
      </c>
      <c r="L113" s="4"/>
      <c r="M113" s="2" t="s">
        <v>256</v>
      </c>
      <c r="N113" s="49">
        <v>45473</v>
      </c>
      <c r="O113" s="2"/>
      <c r="P113" s="12" t="s">
        <v>308</v>
      </c>
      <c r="Q113" s="12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12" t="s">
        <v>308</v>
      </c>
      <c r="Y113" s="4" t="str">
        <f ca="1">IFERROR(__xludf.DUMMYFUNCTION("INDEX(IMPORTRANGE(""1y0FWgjbB0gVlqn-q5LMJbGIsqOrzru4yowQz67dz2yc"", ""'APO'!BG3:BG139""),MATCH($D113,IMPORTRANGE(""1y0FWgjbB0gVlqn-q5LMJbGIsqOrzru4yowQz67dz2yc"", ""'APO'!D3:D139""),0))"),"")</f>
        <v/>
      </c>
      <c r="Z113" s="15" t="str">
        <f ca="1">IFERROR(__xludf.DUMMYFUNCTION("INDEX(IMPORTRANGE(""1y0FWgjbB0gVlqn-q5LMJbGIsqOrzru4yowQz67dz2yc"", ""'APO'!BH3:BH139""),MATCH($D113,IMPORTRANGE(""1y0FWgjbB0gVlqn-q5LMJbGIsqOrzru4yowQz67dz2yc"", ""'APO'!D3:D139""),0))"),"Verde")</f>
        <v>Verde</v>
      </c>
      <c r="AA113" s="179" t="str">
        <f ca="1">IFERROR(__xludf.DUMMYFUNCTION("INDEX(IMPORTRANGE(""1y0FWgjbB0gVlqn-q5LMJbGIsqOrzru4yowQz67dz2yc"", ""'APO'!BI3:BI139""),MATCH($D113,IMPORTRANGE(""1y0FWgjbB0gVlqn-q5LMJbGIsqOrzru4yowQz67dz2yc"", ""'APO'!D3:D139""),0))"),"")</f>
        <v/>
      </c>
      <c r="AB113" s="15" t="str">
        <f ca="1">IFERROR(__xludf.DUMMYFUNCTION("INDEX(IMPORTRANGE(""1y0FWgjbB0gVlqn-q5LMJbGIsqOrzru4yowQz67dz2yc"", ""'APO'!BJ3:BJ139""),MATCH($D113,IMPORTRANGE(""1y0FWgjbB0gVlqn-q5LMJbGIsqOrzru4yowQz67dz2yc"", ""'APO'!D3:D139""),0))"),"Verde")</f>
        <v>Verde</v>
      </c>
      <c r="AC113" s="15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B298-FEF9-4C41-B63F-1280E65DBB3F}">
  <dimension ref="A1:M30"/>
  <sheetViews>
    <sheetView workbookViewId="0"/>
  </sheetViews>
  <sheetFormatPr baseColWidth="10" defaultRowHeight="16"/>
  <cols>
    <col min="1" max="1" width="10.83203125" style="118"/>
    <col min="3" max="3" width="19" customWidth="1"/>
    <col min="4" max="4" width="12.33203125" customWidth="1"/>
    <col min="5" max="5" width="12.1640625" customWidth="1"/>
    <col min="7" max="7" width="11.6640625" customWidth="1"/>
    <col min="8" max="8" width="11.8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37">
        <f>VLOOKUP(C2,'BD EVA 1 SPGG'!$D$3:$Q$108,14,0)</f>
        <v>524</v>
      </c>
      <c r="F2" s="75">
        <v>44834</v>
      </c>
      <c r="G2" s="123">
        <f ca="1">VLOOKUP(C2,'BD EVA 1 SPGG'!$D$3:$Y$108,22,0)</f>
        <v>553</v>
      </c>
      <c r="H2" s="123">
        <f>VLOOKUP(C2,'BD EVA 1 SPGG'!$D$3:$R$108,15,0)</f>
        <v>550</v>
      </c>
      <c r="I2" s="80">
        <f ca="1">IF(G2&gt;=H2,G2/H2,0)</f>
        <v>1.0054545454545454</v>
      </c>
      <c r="J2" s="72" t="s">
        <v>316</v>
      </c>
      <c r="K2" s="81">
        <v>2.7</v>
      </c>
      <c r="L2" s="81">
        <f t="shared" ref="L2:L30" ca="1" si="0">IF(I2&lt;0,0,IF(I2&gt;1,K2,I2*K2))</f>
        <v>2.7</v>
      </c>
      <c r="M2" s="124">
        <f ca="1">SUM(L2:L4)</f>
        <v>9.9518987341772132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SPGG'!$D$3:$Q$108,14,0)</f>
        <v>0.95992366412213737</v>
      </c>
      <c r="F3" s="75">
        <v>44834</v>
      </c>
      <c r="G3" s="126">
        <f ca="1">VLOOKUP(C3,'BD EVA 1 SPGG'!$D$3:$Y$108,22,0)</f>
        <v>0.987341772151898</v>
      </c>
      <c r="H3" s="125">
        <f>VLOOKUP(C3,'BD EVA 1 SPGG'!$D$3:$R$108,15,0)</f>
        <v>1</v>
      </c>
      <c r="I3" s="77">
        <f t="shared" ref="I3:I5" ca="1" si="1">G3/H3</f>
        <v>0.987341772151898</v>
      </c>
      <c r="J3" s="75" t="s">
        <v>318</v>
      </c>
      <c r="K3" s="81">
        <v>3.8</v>
      </c>
      <c r="L3" s="81">
        <f t="shared" ca="1" si="0"/>
        <v>3.7518987341772121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SPGG'!$D$3:$Q$108,14,0)</f>
        <v>0</v>
      </c>
      <c r="F4" s="75">
        <v>44834</v>
      </c>
      <c r="G4" s="126">
        <f ca="1">VLOOKUP(C4,'BD EVA 1 SPGG'!$D$3:$Y$108,22,0)</f>
        <v>2.1699819168173599E-2</v>
      </c>
      <c r="H4" s="128">
        <f>VLOOKUP(C4,'BD EVA 1 SPGG'!$D$3:$R$108,15,0)</f>
        <v>1.2999999999999999E-2</v>
      </c>
      <c r="I4" s="77">
        <f t="shared" ca="1" si="1"/>
        <v>1.6692168590902769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SPGG'!$D$3:$Q$108,14,0)</f>
        <v>8.7824351297405193E-2</v>
      </c>
      <c r="F5" s="72" t="s">
        <v>59</v>
      </c>
      <c r="G5" s="501">
        <f ca="1">VLOOKUP(C5,'BD EVA 1 SPGG'!$D$3:$Y$108,22,0)</f>
        <v>2.2627737226277301E-2</v>
      </c>
      <c r="H5" s="502">
        <f>VLOOKUP(C5,'BD EVA 1 SPGG'!$D$3:$R$108,15,0)</f>
        <v>4.0000000000000001E-3</v>
      </c>
      <c r="I5" s="503">
        <f t="shared" ca="1" si="1"/>
        <v>5.6569343065693252</v>
      </c>
      <c r="J5" s="75" t="s">
        <v>318</v>
      </c>
      <c r="K5" s="504"/>
      <c r="L5" s="504">
        <f t="shared" ca="1" si="0"/>
        <v>0</v>
      </c>
      <c r="M5" s="130">
        <f ca="1">SUM(L5:L10)</f>
        <v>10.014000000000001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SPGG'!$D$3:$Q$108,14,0)</f>
        <v>6.4773831372125672</v>
      </c>
      <c r="F6" s="72" t="s">
        <v>59</v>
      </c>
      <c r="G6" s="132">
        <f ca="1">VLOOKUP(C6,'BD EVA 1 SPGG'!$D$3:$Y$108,22,0)</f>
        <v>4.9832704492062296</v>
      </c>
      <c r="H6" s="123">
        <f>VLOOKUP(C6,'BD EVA 1 SPGG'!$D$3:$R$108,15,0)</f>
        <v>5.85</v>
      </c>
      <c r="I6" s="78">
        <f t="shared" ref="I6:I9" ca="1" si="2">(G6-E6)/(H6-E6)</f>
        <v>2.381499596314633</v>
      </c>
      <c r="J6" s="71" t="s">
        <v>319</v>
      </c>
      <c r="K6" s="129">
        <f>3.5*0.488+1.6/5</f>
        <v>2.028</v>
      </c>
      <c r="L6" s="129">
        <f t="shared" ca="1" si="0"/>
        <v>2.028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SPGG'!$D$3:$Q$108,14,0)</f>
        <v>113.71405951995395</v>
      </c>
      <c r="F7" s="72" t="s">
        <v>59</v>
      </c>
      <c r="G7" s="131">
        <f ca="1">VLOOKUP(C7,'BD EVA 1 SPGG'!$D$3:$Y$108,22,0)</f>
        <v>88.275076528796106</v>
      </c>
      <c r="H7" s="123">
        <f>VLOOKUP(C7,'BD EVA 1 SPGG'!$D$3:$R$108,15,0)</f>
        <v>103</v>
      </c>
      <c r="I7" s="78">
        <f t="shared" ca="1" si="2"/>
        <v>2.3743552053057089</v>
      </c>
      <c r="J7" s="71" t="s">
        <v>319</v>
      </c>
      <c r="K7" s="129">
        <f>3.25*0.488+1.6/5</f>
        <v>1.9059999999999999</v>
      </c>
      <c r="L7" s="129">
        <f t="shared" ca="1" si="0"/>
        <v>1.9059999999999999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SPGG'!$D$3:$Q$108,14,0)</f>
        <v>215.1930620029508</v>
      </c>
      <c r="F8" s="72" t="s">
        <v>59</v>
      </c>
      <c r="G8" s="131">
        <f ca="1">VLOOKUP(C8,'BD EVA 1 SPGG'!$D$3:$Y$108,22,0)</f>
        <v>198.61892218979099</v>
      </c>
      <c r="H8" s="123">
        <f>VLOOKUP(C8,'BD EVA 1 SPGG'!$D$3:$R$108,15,0)</f>
        <v>214.5</v>
      </c>
      <c r="I8" s="78">
        <f t="shared" ca="1" si="2"/>
        <v>23.914368040079204</v>
      </c>
      <c r="J8" s="71" t="s">
        <v>319</v>
      </c>
      <c r="K8" s="129">
        <f t="shared" ref="K8:K10" si="3">10/3*0.512+1.6/5</f>
        <v>2.0266666666666668</v>
      </c>
      <c r="L8" s="129">
        <f t="shared" ca="1" si="0"/>
        <v>2.0266666666666668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SPGG'!$D$3:$Q$108,14,0)</f>
        <v>53.978192810104723</v>
      </c>
      <c r="F9" s="72" t="s">
        <v>59</v>
      </c>
      <c r="G9" s="131">
        <f ca="1">VLOOKUP(C9,'BD EVA 1 SPGG'!$D$3:$Y$108,22,0)</f>
        <v>46.985121378230197</v>
      </c>
      <c r="H9" s="123">
        <f>VLOOKUP(C9,'BD EVA 1 SPGG'!$D$3:$R$108,15,0)</f>
        <v>53.8</v>
      </c>
      <c r="I9" s="78">
        <f t="shared" ca="1" si="2"/>
        <v>39.244408502030076</v>
      </c>
      <c r="J9" s="71" t="s">
        <v>319</v>
      </c>
      <c r="K9" s="129">
        <f t="shared" si="3"/>
        <v>2.0266666666666668</v>
      </c>
      <c r="L9" s="129">
        <f t="shared" ca="1" si="0"/>
        <v>2.0266666666666668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9">
        <f>VLOOKUP(C10,'BD EVA 1 SPGG'!$D$3:$Q$108,14,0)</f>
        <v>10.795638562020944</v>
      </c>
      <c r="F10" s="72" t="s">
        <v>59</v>
      </c>
      <c r="G10" s="131">
        <f ca="1">VLOOKUP(C10,'BD EVA 1 SPGG'!$D$3:$Y$108,22,0)</f>
        <v>9.9665408984124699</v>
      </c>
      <c r="H10" s="129">
        <f>VLOOKUP(C10,'BD EVA 1 SPGG'!$D$3:$R$108,15,0)</f>
        <v>10.8</v>
      </c>
      <c r="I10" s="78">
        <f ca="1">H10/G10</f>
        <v>1.0836257142857146</v>
      </c>
      <c r="J10" s="71" t="s">
        <v>319</v>
      </c>
      <c r="K10" s="129">
        <f t="shared" si="3"/>
        <v>2.0266666666666668</v>
      </c>
      <c r="L10" s="129">
        <f t="shared" ca="1" si="0"/>
        <v>2.0266666666666668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26">
        <f>VLOOKUP(C11,'BD EVA 1 SPGG'!$D$3:$Q$108,14,0)</f>
        <v>0</v>
      </c>
      <c r="F11" s="75">
        <v>44834</v>
      </c>
      <c r="G11" s="126">
        <f ca="1">VLOOKUP(C11,'BD EVA 1 SPGG'!$D$3:$Y$108,22,0)</f>
        <v>7.8717201166180695E-2</v>
      </c>
      <c r="H11" s="126">
        <f>VLOOKUP(C11,'BD EVA 1 SPGG'!$D$3:$R$108,15,0)</f>
        <v>5.8000000000000003E-2</v>
      </c>
      <c r="I11" s="77">
        <f t="shared" ref="I11:I14" ca="1" si="4">G11/H11</f>
        <v>1.3571931235548396</v>
      </c>
      <c r="J11" s="75" t="s">
        <v>318</v>
      </c>
      <c r="K11" s="71">
        <v>2.1</v>
      </c>
      <c r="L11" s="129">
        <f t="shared" ca="1" si="0"/>
        <v>2.1</v>
      </c>
      <c r="M11" s="130">
        <f ca="1">SUM(L11:L14)</f>
        <v>7.6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SPGG'!$D$3:$Q$108,14,0)</f>
        <v>0</v>
      </c>
      <c r="F12" s="71" t="s">
        <v>59</v>
      </c>
      <c r="G12" s="137">
        <f ca="1">VLOOKUP(C12,'BD EVA 1 SPGG'!$D$3:$Y$108,22,0)</f>
        <v>0</v>
      </c>
      <c r="H12" s="123">
        <f>VLOOKUP(C12,'BD EVA 1 SPGG'!$D$3:$R$108,15,0)</f>
        <v>1</v>
      </c>
      <c r="I12" s="78">
        <f t="shared" ca="1" si="4"/>
        <v>0</v>
      </c>
      <c r="J12" s="75" t="s">
        <v>318</v>
      </c>
      <c r="K12" s="71">
        <v>2.4</v>
      </c>
      <c r="L12" s="129">
        <f t="shared" ca="1" si="0"/>
        <v>0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SPGG'!$D$3:$Q$108,14,0)</f>
        <v>4249</v>
      </c>
      <c r="F13" s="71" t="s">
        <v>59</v>
      </c>
      <c r="G13" s="137">
        <f ca="1">VLOOKUP(C13,'BD EVA 1 SPGG'!$D$3:$Y$108,22,0)</f>
        <v>2171</v>
      </c>
      <c r="H13" s="137">
        <f>VLOOKUP(C13,'BD EVA 1 SPGG'!$D$3:$R$108,15,0)</f>
        <v>2000</v>
      </c>
      <c r="I13" s="78">
        <f t="shared" ca="1" si="4"/>
        <v>1.0854999999999999</v>
      </c>
      <c r="J13" s="75" t="s">
        <v>318</v>
      </c>
      <c r="K13" s="71">
        <v>2.4</v>
      </c>
      <c r="L13" s="129">
        <f t="shared" ca="1" si="0"/>
        <v>2.4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SPGG'!$D$3:$Q$108,14,0)</f>
        <v>3</v>
      </c>
      <c r="F14" s="71" t="s">
        <v>59</v>
      </c>
      <c r="G14" s="137">
        <f ca="1">VLOOKUP(C14,'BD EVA 1 SPGG'!$D$3:$Y$108,22,0)</f>
        <v>43</v>
      </c>
      <c r="H14" s="123">
        <f>VLOOKUP(C14,'BD EVA 1 SPGG'!$D$3:$R$108,15,0)</f>
        <v>40</v>
      </c>
      <c r="I14" s="78">
        <f t="shared" ca="1" si="4"/>
        <v>1.075</v>
      </c>
      <c r="J14" s="75" t="s">
        <v>318</v>
      </c>
      <c r="K14" s="71">
        <v>3.1</v>
      </c>
      <c r="L14" s="129">
        <f t="shared" ca="1" si="0"/>
        <v>3.1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1">
        <f>VLOOKUP(C15,'BD EVA 1 SPGG'!$D$3:$Q$108,14,0)</f>
        <v>0.66666666666666663</v>
      </c>
      <c r="F15" s="75">
        <v>44834</v>
      </c>
      <c r="G15" s="131">
        <f ca="1">VLOOKUP(C15,'BD EVA 1 SPGG'!$D$3:$Y$108,22,0)</f>
        <v>1</v>
      </c>
      <c r="H15" s="123" t="str">
        <f>VLOOKUP(C15,'BD EVA 1 SPGG'!$D$3:$R$108,15,0)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5">G15/1</f>
        <v>1</v>
      </c>
      <c r="J15" s="75" t="s">
        <v>318</v>
      </c>
      <c r="K15" s="71">
        <v>1.5</v>
      </c>
      <c r="L15" s="129">
        <f t="shared" ca="1" si="0"/>
        <v>1.5</v>
      </c>
      <c r="M15" s="130">
        <f ca="1">SUM(L15:L22)</f>
        <v>9.9065227272727281</v>
      </c>
    </row>
    <row r="16" spans="1:13" ht="52">
      <c r="A16" s="121" t="s">
        <v>147</v>
      </c>
      <c r="B16" s="72" t="s">
        <v>148</v>
      </c>
      <c r="C16" s="72" t="s">
        <v>158</v>
      </c>
      <c r="D16" s="75">
        <v>44469</v>
      </c>
      <c r="E16" s="137">
        <f>VLOOKUP(C16,'BD EVA 1 SPGG'!$D$3:$Q$108,14,0)</f>
        <v>1</v>
      </c>
      <c r="F16" s="75">
        <v>44834</v>
      </c>
      <c r="G16" s="137">
        <f ca="1">VLOOKUP(C16,'BD EVA 1 SPGG'!$D$3:$Y$108,22,0)</f>
        <v>1</v>
      </c>
      <c r="H16" s="123" t="str">
        <f>VLOOKUP(C16,'BD EVA 1 SPGG'!$D$3:$R$108,15,0)</f>
        <v>Actualizado al 2017</v>
      </c>
      <c r="I16" s="125">
        <f t="shared" ca="1" si="5"/>
        <v>1</v>
      </c>
      <c r="J16" s="75" t="s">
        <v>318</v>
      </c>
      <c r="K16" s="71">
        <v>1.5</v>
      </c>
      <c r="L16" s="129">
        <f t="shared" ca="1" si="0"/>
        <v>1.5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39" t="str">
        <f>VLOOKUP(C17,'BD EVA 1 SPGG'!$D$3:$Q$108,14,0)</f>
        <v>NA</v>
      </c>
      <c r="F17" s="75">
        <v>44834</v>
      </c>
      <c r="G17" s="139" t="str">
        <f ca="1">VLOOKUP(C17,'BD EVA 1 SPGG'!$D$3:$Y$108,22,0)</f>
        <v>NA</v>
      </c>
      <c r="H17" s="125">
        <f>VLOOKUP(C17,'BD EVA 1 SPGG'!$D$3:$R$108,15,0)</f>
        <v>1</v>
      </c>
      <c r="I17" s="125">
        <f ca="1">IF(G17="NA",1,G17/H17)</f>
        <v>1</v>
      </c>
      <c r="J17" s="75" t="s">
        <v>318</v>
      </c>
      <c r="K17" s="71">
        <v>0.3</v>
      </c>
      <c r="L17" s="129">
        <f t="shared" ca="1" si="0"/>
        <v>0.3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5">
        <f>VLOOKUP(C18,'BD EVA 1 SPGG'!$D$3:$Q$108,14,0)</f>
        <v>1</v>
      </c>
      <c r="F18" s="75">
        <v>44834</v>
      </c>
      <c r="G18" s="125">
        <f ca="1">VLOOKUP(C18,'BD EVA 1 SPGG'!$D$3:$Y$108,22,0)</f>
        <v>1</v>
      </c>
      <c r="H18" s="125">
        <f>VLOOKUP(C18,'BD EVA 1 SPGG'!$D$3:$R$108,15,0)</f>
        <v>1</v>
      </c>
      <c r="I18" s="125">
        <f t="shared" ref="I18:I25" ca="1" si="6">G18/H18</f>
        <v>1</v>
      </c>
      <c r="J18" s="75" t="s">
        <v>318</v>
      </c>
      <c r="K18" s="71">
        <v>1.5</v>
      </c>
      <c r="L18" s="129">
        <f t="shared" ca="1" si="0"/>
        <v>1.5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6">
        <f>VLOOKUP(C19,'BD EVA 1 SPGG'!$D$3:$Q$108,14,0)</f>
        <v>1</v>
      </c>
      <c r="F19" s="75">
        <v>44834</v>
      </c>
      <c r="G19" s="126">
        <f ca="1">VLOOKUP(C19,'BD EVA 1 SPGG'!$D$3:$Y$108,22,0)</f>
        <v>1</v>
      </c>
      <c r="H19" s="125">
        <f>VLOOKUP(C19,'BD EVA 1 SPGG'!$D$3:$R$108,15,0)</f>
        <v>1</v>
      </c>
      <c r="I19" s="125">
        <f t="shared" ca="1" si="6"/>
        <v>1</v>
      </c>
      <c r="J19" s="75" t="s">
        <v>318</v>
      </c>
      <c r="K19" s="71">
        <v>1.5</v>
      </c>
      <c r="L19" s="12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6">
        <f>VLOOKUP(C20,'BD EVA 1 SPGG'!$D$3:$Q$108,14,0)</f>
        <v>1</v>
      </c>
      <c r="F20" s="75">
        <v>44834</v>
      </c>
      <c r="G20" s="126">
        <f ca="1">VLOOKUP(C20,'BD EVA 1 SPGG'!$D$3:$Y$108,22,0)</f>
        <v>1</v>
      </c>
      <c r="H20" s="125">
        <f>VLOOKUP(C20,'BD EVA 1 SPGG'!$D$3:$R$108,15,0)</f>
        <v>1</v>
      </c>
      <c r="I20" s="125">
        <f t="shared" ca="1" si="6"/>
        <v>1</v>
      </c>
      <c r="J20" s="75" t="s">
        <v>318</v>
      </c>
      <c r="K20" s="71">
        <v>0.9</v>
      </c>
      <c r="L20" s="129">
        <f t="shared" ca="1" si="0"/>
        <v>0.9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SPGG'!$D$3:$Q$108,14,0)</f>
        <v>0.89482954545454541</v>
      </c>
      <c r="F21" s="75">
        <v>44834</v>
      </c>
      <c r="G21" s="126">
        <f ca="1">VLOOKUP(C21,'BD EVA 1 SPGG'!$D$3:$Y$108,22,0)</f>
        <v>0.93768181818181795</v>
      </c>
      <c r="H21" s="125">
        <f>VLOOKUP(C21,'BD EVA 1 SPGG'!$D$3:$R$108,15,0)</f>
        <v>1</v>
      </c>
      <c r="I21" s="125">
        <f t="shared" ca="1" si="6"/>
        <v>0.93768181818181795</v>
      </c>
      <c r="J21" s="75" t="s">
        <v>318</v>
      </c>
      <c r="K21" s="71">
        <v>1.5</v>
      </c>
      <c r="L21" s="129">
        <f t="shared" ca="1" si="0"/>
        <v>1.406522727272727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31">
        <f>VLOOKUP(C22,'BD EVA 1 SPGG'!$D$3:$Q$108,14,0)</f>
        <v>4.3849999999999998</v>
      </c>
      <c r="F22" s="71" t="s">
        <v>59</v>
      </c>
      <c r="G22" s="131">
        <f ca="1">VLOOKUP(C22,'BD EVA 1 SPGG'!$D$3:$Y$108,22,0)</f>
        <v>1.425</v>
      </c>
      <c r="H22" s="123">
        <f>VLOOKUP(C22,'BD EVA 1 SPGG'!$D$3:$R$108,15,0)</f>
        <v>0.9</v>
      </c>
      <c r="I22" s="125">
        <f t="shared" ca="1" si="6"/>
        <v>1.5833333333333333</v>
      </c>
      <c r="J22" s="75" t="s">
        <v>318</v>
      </c>
      <c r="K22" s="71">
        <v>1.3</v>
      </c>
      <c r="L22" s="129">
        <f t="shared" ca="1" si="0"/>
        <v>1.3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1">
        <f>VLOOKUP(C23,'BD EVA 1 SPGG'!$D$3:$Q$108,14,0)</f>
        <v>15.26</v>
      </c>
      <c r="F23" s="75">
        <v>44834</v>
      </c>
      <c r="G23" s="140">
        <f ca="1">VLOOKUP(C23,'BD EVA 1 SPGG'!$D$3:$Y$108,22,0)</f>
        <v>26.1</v>
      </c>
      <c r="H23" s="123">
        <f>VLOOKUP(C23,'BD EVA 1 SPGG'!$D$3:$R$108,15,0)</f>
        <v>19.010000000000002</v>
      </c>
      <c r="I23" s="125">
        <f t="shared" ca="1" si="6"/>
        <v>1.3729615991583377</v>
      </c>
      <c r="J23" s="75" t="s">
        <v>318</v>
      </c>
      <c r="K23" s="82">
        <v>2.645</v>
      </c>
      <c r="L23" s="129">
        <f t="shared" ca="1" si="0"/>
        <v>2.645</v>
      </c>
      <c r="M23" s="130">
        <f ca="1">SUM(L23:L26)</f>
        <v>10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39">
        <f>VLOOKUP(C24,'BD EVA 1 SPGG'!$D$3:$Q$108,14,0)</f>
        <v>0</v>
      </c>
      <c r="F24" s="71" t="s">
        <v>59</v>
      </c>
      <c r="G24" s="137">
        <f ca="1">VLOOKUP(C24,'BD EVA 1 SPGG'!$D$3:$Y$108,22,0)</f>
        <v>4588.7</v>
      </c>
      <c r="H24" s="137">
        <f>VLOOKUP(C24,'BD EVA 1 SPGG'!$D$3:$R$108,15,0)</f>
        <v>4265.7</v>
      </c>
      <c r="I24" s="125">
        <f t="shared" ca="1" si="6"/>
        <v>1.0757202803760226</v>
      </c>
      <c r="J24" s="75" t="s">
        <v>318</v>
      </c>
      <c r="K24" s="82">
        <v>2.3340000000000001</v>
      </c>
      <c r="L24" s="129">
        <f t="shared" ca="1" si="0"/>
        <v>2.3340000000000001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37">
        <f>VLOOKUP(C25,'BD EVA 1 SPGG'!$D$3:$Q$108,14,0)</f>
        <v>242</v>
      </c>
      <c r="F25" s="71" t="s">
        <v>59</v>
      </c>
      <c r="G25" s="137">
        <f ca="1">VLOOKUP(C25,'BD EVA 1 SPGG'!$D$3:$Y$108,22,0)</f>
        <v>279</v>
      </c>
      <c r="H25" s="123">
        <f>VLOOKUP(C25,'BD EVA 1 SPGG'!$D$3:$R$108,15,0)</f>
        <v>240</v>
      </c>
      <c r="I25" s="125">
        <f t="shared" ca="1" si="6"/>
        <v>1.1625000000000001</v>
      </c>
      <c r="J25" s="75" t="s">
        <v>318</v>
      </c>
      <c r="K25" s="82">
        <v>2.8010000000000002</v>
      </c>
      <c r="L25" s="129">
        <f t="shared" ca="1" si="0"/>
        <v>2.8010000000000002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SPGG'!$D$3:$Q$108,14,0)</f>
        <v>6348</v>
      </c>
      <c r="F26" s="71" t="s">
        <v>59</v>
      </c>
      <c r="G26" s="137">
        <f ca="1">VLOOKUP(C26,'BD EVA 1 SPGG'!$D$3:$Y$108,22,0)</f>
        <v>5810</v>
      </c>
      <c r="H26" s="137">
        <f>VLOOKUP(C26,'BD EVA 1 SPGG'!$D$3:$R$108,15,0)</f>
        <v>6317</v>
      </c>
      <c r="I26" s="78">
        <f ca="1">(G26-E26)/(H26-E26)</f>
        <v>17.35483870967742</v>
      </c>
      <c r="J26" s="71" t="s">
        <v>319</v>
      </c>
      <c r="K26" s="82">
        <v>2.2200000000000002</v>
      </c>
      <c r="L26" s="129">
        <f t="shared" ca="1" si="0"/>
        <v>2.2200000000000002</v>
      </c>
      <c r="M26" s="127"/>
    </row>
    <row r="27" spans="1:13" ht="208">
      <c r="A27" s="121" t="s">
        <v>243</v>
      </c>
      <c r="B27" s="72" t="s">
        <v>244</v>
      </c>
      <c r="C27" s="72" t="s">
        <v>245</v>
      </c>
      <c r="D27" s="71" t="s">
        <v>57</v>
      </c>
      <c r="E27" s="137">
        <f>VLOOKUP(C27,'BD EVA 1 SPGG'!$D$3:$Q$108,14,0)</f>
        <v>201</v>
      </c>
      <c r="F27" s="71" t="s">
        <v>59</v>
      </c>
      <c r="G27" s="137">
        <f ca="1">VLOOKUP(C27,'BD EVA 1 SPGG'!$D$3:$Y$108,22,0)</f>
        <v>106</v>
      </c>
      <c r="H27" s="123">
        <f>VLOOKUP(C27,'BD EVA 1 SPGG'!$D$3:$R$108,15,0)</f>
        <v>74</v>
      </c>
      <c r="I27" s="78">
        <f t="shared" ref="I27:I30" ca="1" si="7">G27/H27</f>
        <v>1.4324324324324325</v>
      </c>
      <c r="J27" s="75" t="s">
        <v>318</v>
      </c>
      <c r="K27" s="71">
        <v>2.5</v>
      </c>
      <c r="L27" s="129">
        <f t="shared" ca="1" si="0"/>
        <v>2.5</v>
      </c>
      <c r="M27" s="130">
        <f ca="1">SUM(L27:L30)</f>
        <v>10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23">
        <f>VLOOKUP(C28,'BD EVA 1 SPGG'!$D$3:$Q$108,14,0)</f>
        <v>37</v>
      </c>
      <c r="F28" s="75">
        <v>44834</v>
      </c>
      <c r="G28" s="137">
        <f ca="1">VLOOKUP(C28,'BD EVA 1 SPGG'!$D$3:$Y$108,22,0)</f>
        <v>31</v>
      </c>
      <c r="H28" s="123">
        <f>VLOOKUP(C28,'BD EVA 1 SPGG'!$D$3:$R$108,15,0)</f>
        <v>11</v>
      </c>
      <c r="I28" s="78">
        <f t="shared" ca="1" si="7"/>
        <v>2.8181818181818183</v>
      </c>
      <c r="J28" s="75" t="s">
        <v>318</v>
      </c>
      <c r="K28" s="71">
        <v>2.5</v>
      </c>
      <c r="L28" s="129">
        <f t="shared" ca="1" si="0"/>
        <v>2.5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37">
        <f>VLOOKUP(C29,'BD EVA 1 SPGG'!$D$3:$Q$108,14,0)</f>
        <v>98.4</v>
      </c>
      <c r="F29" s="75">
        <v>44713</v>
      </c>
      <c r="G29" s="137">
        <f ca="1">VLOOKUP(C29,'BD EVA 1 SPGG'!$D$3:$Y$108,22,0)</f>
        <v>100</v>
      </c>
      <c r="H29" s="123">
        <f>VLOOKUP(C29,'BD EVA 1 SPGG'!$D$3:$R$108,15,0)</f>
        <v>100</v>
      </c>
      <c r="I29" s="78">
        <f t="shared" ca="1" si="7"/>
        <v>1</v>
      </c>
      <c r="J29" s="75" t="s">
        <v>318</v>
      </c>
      <c r="K29" s="71">
        <v>2.5</v>
      </c>
      <c r="L29" s="129">
        <f t="shared" ca="1" si="0"/>
        <v>2.5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SPGG'!$D$3:$Q$108,14,0)</f>
        <v>0</v>
      </c>
      <c r="F30" s="75">
        <v>44834</v>
      </c>
      <c r="G30" s="137">
        <f ca="1">VLOOKUP(C30,'BD EVA 1 SPGG'!$D$3:$Y$108,22,0)</f>
        <v>4</v>
      </c>
      <c r="H30" s="123">
        <f>VLOOKUP(C30,'BD EVA 1 SPGG'!$D$3:$R$108,15,0)</f>
        <v>4</v>
      </c>
      <c r="I30" s="78">
        <f t="shared" ca="1" si="7"/>
        <v>1</v>
      </c>
      <c r="J30" s="75" t="s">
        <v>318</v>
      </c>
      <c r="K30" s="71">
        <v>2.5</v>
      </c>
      <c r="L30" s="129">
        <f t="shared" ca="1" si="0"/>
        <v>2.5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4F3D-FA84-1943-96BA-08709E78CAB8}">
  <dimension ref="A1:AC112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138945</v>
      </c>
      <c r="Q2" s="5">
        <v>138945</v>
      </c>
      <c r="R2" s="13"/>
      <c r="S2" s="316"/>
      <c r="T2" s="316"/>
      <c r="U2" s="316"/>
      <c r="V2" s="316"/>
      <c r="W2" s="6"/>
      <c r="X2" s="5">
        <v>140470</v>
      </c>
      <c r="Y2" s="5">
        <v>140470</v>
      </c>
      <c r="Z2" s="5">
        <v>142218</v>
      </c>
      <c r="AA2" s="5">
        <v>142218</v>
      </c>
      <c r="AB2" s="5">
        <v>144201</v>
      </c>
      <c r="AC2" s="5">
        <v>144201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524</v>
      </c>
      <c r="Q3" s="12">
        <v>524</v>
      </c>
      <c r="R3" s="4">
        <v>550</v>
      </c>
      <c r="S3" s="4">
        <v>555</v>
      </c>
      <c r="T3" s="4">
        <v>560</v>
      </c>
      <c r="U3" s="4">
        <v>570</v>
      </c>
      <c r="V3" s="4">
        <v>600</v>
      </c>
      <c r="W3" s="4">
        <v>600</v>
      </c>
      <c r="X3" s="12">
        <v>537</v>
      </c>
      <c r="Y3" s="5">
        <f ca="1">IFERROR(__xludf.DUMMYFUNCTION("INDEX(IMPORTRANGE(""1y0FWgjbB0gVlqn-q5LMJbGIsqOrzru4yowQz67dz2yc"", ""'SPGG'!BH3:BH139""),MATCH(D3,IMPORTRANGE(""1y0FWgjbB0gVlqn-q5LMJbGIsqOrzru4yowQz67dz2yc"", ""'SPGG'!D3:D139""),0))"),553)</f>
        <v>553</v>
      </c>
      <c r="Z3" s="5">
        <f ca="1">IFERROR(__xludf.DUMMYFUNCTION("INDEX(IMPORTRANGE(""1y0FWgjbB0gVlqn-q5LMJbGIsqOrzru4yowQz67dz2yc"", ""'SPGG'!BI3:BI139""),MATCH(D3,IMPORTRANGE(""1y0FWgjbB0gVlqn-q5LMJbGIsqOrzru4yowQz67dz2yc"", ""'SPGG'!D3:D139""),0))"),588)</f>
        <v>588</v>
      </c>
      <c r="AA3" s="2"/>
      <c r="AB3" s="2"/>
      <c r="AC3" s="2"/>
    </row>
    <row r="4" spans="1:29">
      <c r="A4" s="7" t="s">
        <v>34</v>
      </c>
      <c r="B4" s="7" t="s">
        <v>40</v>
      </c>
      <c r="C4" s="1" t="s">
        <v>30</v>
      </c>
      <c r="D4" s="1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503</v>
      </c>
      <c r="Q4" s="12">
        <v>503</v>
      </c>
      <c r="R4" s="13"/>
      <c r="S4" s="13"/>
      <c r="T4" s="13"/>
      <c r="U4" s="13"/>
      <c r="V4" s="13"/>
      <c r="W4" s="4"/>
      <c r="X4" s="12">
        <v>534</v>
      </c>
      <c r="Y4" s="5">
        <f ca="1">IFERROR(__xludf.DUMMYFUNCTION("INDEX(IMPORTRANGE(""1y0FWgjbB0gVlqn-q5LMJbGIsqOrzru4yowQz67dz2yc"", ""'SPGG'!BH3:BH139""),MATCH(D4,IMPORTRANGE(""1y0FWgjbB0gVlqn-q5LMJbGIsqOrzru4yowQz67dz2yc"", ""'SPGG'!D3:D139""),0))"),546)</f>
        <v>546</v>
      </c>
      <c r="Z4" s="5">
        <f ca="1">IFERROR(__xludf.DUMMYFUNCTION("INDEX(IMPORTRANGE(""1y0FWgjbB0gVlqn-q5LMJbGIsqOrzru4yowQz67dz2yc"", ""'SPGG'!BI3:BI139""),MATCH(D4,IMPORTRANGE(""1y0FWgjbB0gVlqn-q5LMJbGIsqOrzru4yowQz67dz2yc"", ""'SPGG'!D3:D139""),0))"),571)</f>
        <v>571</v>
      </c>
      <c r="AA4" s="2"/>
      <c r="AB4" s="2"/>
      <c r="AC4" s="2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0.95992366412213737</v>
      </c>
      <c r="Q5" s="15">
        <f t="shared" si="0"/>
        <v>0.95992366412213737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0.994413407821229</v>
      </c>
      <c r="Y5" s="505">
        <f ca="1">IFERROR(__xludf.DUMMYFUNCTION("INDEX(IMPORTRANGE(""1y0FWgjbB0gVlqn-q5LMJbGIsqOrzru4yowQz67dz2yc"", ""'SPGG'!BH3:BH139""),MATCH(D5,IMPORTRANGE(""1y0FWgjbB0gVlqn-q5LMJbGIsqOrzru4yowQz67dz2yc"", ""'SPGG'!D3:D139""),0))"),0.987341772151898)</f>
        <v>0.987341772151898</v>
      </c>
      <c r="Z5" s="505">
        <f ca="1">IFERROR(__xludf.DUMMYFUNCTION("INDEX(IMPORTRANGE(""1y0FWgjbB0gVlqn-q5LMJbGIsqOrzru4yowQz67dz2yc"", ""'SPGG'!BI3:BI139""),MATCH(D5,IMPORTRANGE(""1y0FWgjbB0gVlqn-q5LMJbGIsqOrzru4yowQz67dz2yc"", ""'SPGG'!D3:D139""),0))"),0.971088435374149)</f>
        <v>0.97108843537414902</v>
      </c>
      <c r="AA5" s="2"/>
      <c r="AB5" s="2"/>
      <c r="AC5" s="2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18"/>
      <c r="Y6" s="5">
        <f ca="1">IFERROR(__xludf.DUMMYFUNCTION("INDEX(IMPORTRANGE(""1y0FWgjbB0gVlqn-q5LMJbGIsqOrzru4yowQz67dz2yc"", ""'SPGG'!BH3:BH139""),MATCH(D6,IMPORTRANGE(""1y0FWgjbB0gVlqn-q5LMJbGIsqOrzru4yowQz67dz2yc"", ""'SPGG'!D3:D139""),0))"),12)</f>
        <v>12</v>
      </c>
      <c r="Z6" s="5">
        <f ca="1">IFERROR(__xludf.DUMMYFUNCTION("INDEX(IMPORTRANGE(""1y0FWgjbB0gVlqn-q5LMJbGIsqOrzru4yowQz67dz2yc"", ""'SPGG'!BI3:BI139""),MATCH(D6,IMPORTRANGE(""1y0FWgjbB0gVlqn-q5LMJbGIsqOrzru4yowQz67dz2yc"", ""'SPGG'!D3:D139""),0))"),8)</f>
        <v>8</v>
      </c>
      <c r="AA6" s="2"/>
      <c r="AB6" s="2"/>
      <c r="AC6" s="2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7"/>
      <c r="Q7" s="18"/>
      <c r="R7" s="1"/>
      <c r="S7" s="1"/>
      <c r="T7" s="1"/>
      <c r="U7" s="1"/>
      <c r="V7" s="1"/>
      <c r="W7" s="2"/>
      <c r="X7" s="18"/>
      <c r="Y7" s="5">
        <f ca="1">IFERROR(__xludf.DUMMYFUNCTION("INDEX(IMPORTRANGE(""1y0FWgjbB0gVlqn-q5LMJbGIsqOrzru4yowQz67dz2yc"", ""'SPGG'!BH3:BH139""),MATCH(D7,IMPORTRANGE(""1y0FWgjbB0gVlqn-q5LMJbGIsqOrzru4yowQz67dz2yc"", ""'SPGG'!D3:D139""),0))"),0)</f>
        <v>0</v>
      </c>
      <c r="Z7" s="5">
        <f ca="1">IFERROR(__xludf.DUMMYFUNCTION("INDEX(IMPORTRANGE(""1y0FWgjbB0gVlqn-q5LMJbGIsqOrzru4yowQz67dz2yc"", ""'SPGG'!BI3:BI139""),MATCH(D7,IMPORTRANGE(""1y0FWgjbB0gVlqn-q5LMJbGIsqOrzru4yowQz67dz2yc"", ""'SPGG'!D3:D139""),0))"),0)</f>
        <v>0</v>
      </c>
      <c r="AA7" s="2"/>
      <c r="AB7" s="2"/>
      <c r="AC7" s="2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1.2999999999999999E-2</v>
      </c>
      <c r="S8" s="26">
        <v>1.2999999999999999E-2</v>
      </c>
      <c r="T8" s="26">
        <v>1.2999999999999999E-2</v>
      </c>
      <c r="U8" s="26">
        <v>1.2999999999999999E-2</v>
      </c>
      <c r="V8" s="26">
        <v>1.2999999999999999E-2</v>
      </c>
      <c r="W8" s="26">
        <v>1.2999999999999999E-2</v>
      </c>
      <c r="X8" s="19">
        <f>X6/X3</f>
        <v>0</v>
      </c>
      <c r="Y8" s="505">
        <f ca="1">IFERROR(__xludf.DUMMYFUNCTION("INDEX(IMPORTRANGE(""1y0FWgjbB0gVlqn-q5LMJbGIsqOrzru4yowQz67dz2yc"", ""'SPGG'!BH3:BH139""),MATCH(D8,IMPORTRANGE(""1y0FWgjbB0gVlqn-q5LMJbGIsqOrzru4yowQz67dz2yc"", ""'SPGG'!D3:D139""),0))"),0.0216998191681736)</f>
        <v>2.1699819168173599E-2</v>
      </c>
      <c r="Z8" s="505">
        <f ca="1">IFERROR(__xludf.DUMMYFUNCTION("INDEX(IMPORTRANGE(""1y0FWgjbB0gVlqn-q5LMJbGIsqOrzru4yowQz67dz2yc"", ""'SPGG'!BI3:BI139""),MATCH(D8,IMPORTRANGE(""1y0FWgjbB0gVlqn-q5LMJbGIsqOrzru4yowQz67dz2yc"", ""'SPGG'!D3:D139""),0))"),0.0136054421768707)</f>
        <v>1.3605442176870699E-2</v>
      </c>
      <c r="AA8" s="2"/>
      <c r="AB8" s="2"/>
      <c r="AC8" s="2"/>
    </row>
    <row r="9" spans="1:29">
      <c r="A9" s="7" t="s">
        <v>52</v>
      </c>
      <c r="B9" s="7" t="s">
        <v>53</v>
      </c>
      <c r="C9" s="1" t="s">
        <v>30</v>
      </c>
      <c r="D9" s="1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5">
        <v>41</v>
      </c>
      <c r="Q9" s="5">
        <v>88</v>
      </c>
      <c r="R9" s="13"/>
      <c r="S9" s="13"/>
      <c r="T9" s="13"/>
      <c r="U9" s="13"/>
      <c r="V9" s="13"/>
      <c r="W9" s="4"/>
      <c r="X9" s="5">
        <v>5</v>
      </c>
      <c r="Y9" s="5">
        <f ca="1">IFERROR(__xludf.DUMMYFUNCTION("INDEX(IMPORTRANGE(""1y0FWgjbB0gVlqn-q5LMJbGIsqOrzru4yowQz67dz2yc"", ""'SPGG'!BH3:BH139""),MATCH(D9,IMPORTRANGE(""1y0FWgjbB0gVlqn-q5LMJbGIsqOrzru4yowQz67dz2yc"", ""'SPGG'!D3:D139""),0))"),31)</f>
        <v>31</v>
      </c>
      <c r="Z9" s="5">
        <f ca="1">IFERROR(__xludf.DUMMYFUNCTION("INDEX(IMPORTRANGE(""1y0FWgjbB0gVlqn-q5LMJbGIsqOrzru4yowQz67dz2yc"", ""'SPGG'!BI3:BI139""),MATCH(D9,IMPORTRANGE(""1y0FWgjbB0gVlqn-q5LMJbGIsqOrzru4yowQz67dz2yc"", ""'SPGG'!D3:D139""),0))"),35)</f>
        <v>35</v>
      </c>
      <c r="AA9" s="2"/>
      <c r="AB9" s="2"/>
      <c r="AC9" s="2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5">
        <v>454</v>
      </c>
      <c r="Q10" s="5">
        <v>1002</v>
      </c>
      <c r="R10" s="13"/>
      <c r="S10" s="13"/>
      <c r="T10" s="13"/>
      <c r="U10" s="13"/>
      <c r="V10" s="13"/>
      <c r="W10" s="4"/>
      <c r="X10" s="5">
        <v>555</v>
      </c>
      <c r="Y10" s="5">
        <f ca="1">IFERROR(__xludf.DUMMYFUNCTION("INDEX(IMPORTRANGE(""1y0FWgjbB0gVlqn-q5LMJbGIsqOrzru4yowQz67dz2yc"", ""'SPGG'!BH3:BH139""),MATCH(D10,IMPORTRANGE(""1y0FWgjbB0gVlqn-q5LMJbGIsqOrzru4yowQz67dz2yc"", ""'SPGG'!D3:D139""),0))"),1370)</f>
        <v>1370</v>
      </c>
      <c r="Z10" s="5">
        <f ca="1">IFERROR(__xludf.DUMMYFUNCTION("INDEX(IMPORTRANGE(""1y0FWgjbB0gVlqn-q5LMJbGIsqOrzru4yowQz67dz2yc"", ""'SPGG'!BI3:BI139""),MATCH(D10,IMPORTRANGE(""1y0FWgjbB0gVlqn-q5LMJbGIsqOrzru4yowQz67dz2yc"", ""'SPGG'!D3:D139""),0))"),505)</f>
        <v>505</v>
      </c>
      <c r="AA10" s="2"/>
      <c r="AB10" s="2"/>
      <c r="AC10" s="2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9.0308370044052858E-2</v>
      </c>
      <c r="Q11" s="15">
        <f t="shared" si="2"/>
        <v>8.7824351297405193E-2</v>
      </c>
      <c r="R11" s="26">
        <v>4.0000000000000001E-3</v>
      </c>
      <c r="S11" s="26">
        <v>4.0000000000000001E-3</v>
      </c>
      <c r="T11" s="26">
        <v>4.0000000000000001E-3</v>
      </c>
      <c r="U11" s="26">
        <v>4.0000000000000001E-3</v>
      </c>
      <c r="V11" s="26">
        <v>4.0000000000000001E-3</v>
      </c>
      <c r="W11" s="26">
        <v>4.0000000000000001E-3</v>
      </c>
      <c r="X11" s="15">
        <f>X9/X10</f>
        <v>9.0090090090090089E-3</v>
      </c>
      <c r="Y11" s="505">
        <f ca="1">IFERROR(__xludf.DUMMYFUNCTION("INDEX(IMPORTRANGE(""1y0FWgjbB0gVlqn-q5LMJbGIsqOrzru4yowQz67dz2yc"", ""'SPGG'!BH3:BH139""),MATCH(D11,IMPORTRANGE(""1y0FWgjbB0gVlqn-q5LMJbGIsqOrzru4yowQz67dz2yc"", ""'SPGG'!D3:D139""),0))"),0.0226277372262773)</f>
        <v>2.2627737226277301E-2</v>
      </c>
      <c r="Z11" s="505">
        <f ca="1">IFERROR(__xludf.DUMMYFUNCTION("INDEX(IMPORTRANGE(""1y0FWgjbB0gVlqn-q5LMJbGIsqOrzru4yowQz67dz2yc"", ""'SPGG'!BI3:BI139""),MATCH(D11,IMPORTRANGE(""1y0FWgjbB0gVlqn-q5LMJbGIsqOrzru4yowQz67dz2yc"", ""'SPGG'!D3:D139""),0))"),0.0693069306930693)</f>
        <v>6.9306930693069299E-2</v>
      </c>
      <c r="AA11" s="2"/>
      <c r="AB11" s="2"/>
      <c r="AC11" s="2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5">
        <v>6</v>
      </c>
      <c r="Q12" s="5">
        <v>9</v>
      </c>
      <c r="R12" s="13"/>
      <c r="S12" s="13"/>
      <c r="T12" s="13"/>
      <c r="U12" s="13"/>
      <c r="V12" s="13"/>
      <c r="W12" s="4"/>
      <c r="X12" s="5">
        <v>7</v>
      </c>
      <c r="Y12" s="5">
        <f ca="1">IFERROR(__xludf.DUMMYFUNCTION("INDEX(IMPORTRANGE(""1y0FWgjbB0gVlqn-q5LMJbGIsqOrzru4yowQz67dz2yc"", ""'SPGG'!BH3:BH139""),MATCH(D12,IMPORTRANGE(""1y0FWgjbB0gVlqn-q5LMJbGIsqOrzru4yowQz67dz2yc"", ""'SPGG'!D3:D139""),0))"),7)</f>
        <v>7</v>
      </c>
      <c r="Z12" s="5">
        <f ca="1">IFERROR(__xludf.DUMMYFUNCTION("INDEX(IMPORTRANGE(""1y0FWgjbB0gVlqn-q5LMJbGIsqOrzru4yowQz67dz2yc"", ""'SPGG'!BI3:BI139""),MATCH(D12,IMPORTRANGE(""1y0FWgjbB0gVlqn-q5LMJbGIsqOrzru4yowQz67dz2yc"", ""'SPGG'!D3:D139""),0))"),3)</f>
        <v>3</v>
      </c>
      <c r="AA12" s="2"/>
      <c r="AB12" s="2"/>
      <c r="AC12" s="2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4.3182554248083775</v>
      </c>
      <c r="Q13" s="23">
        <f t="shared" si="3"/>
        <v>6.4773831372125672</v>
      </c>
      <c r="R13" s="2">
        <v>5.85</v>
      </c>
      <c r="S13" s="2">
        <v>3.87</v>
      </c>
      <c r="T13" s="2">
        <v>5.85</v>
      </c>
      <c r="U13" s="2">
        <v>3.87</v>
      </c>
      <c r="V13" s="2">
        <v>5.85</v>
      </c>
      <c r="W13" s="2">
        <v>5.85</v>
      </c>
      <c r="X13" s="23">
        <f>(X12/X$2)*100000</f>
        <v>4.9832704492062367</v>
      </c>
      <c r="Y13" s="478">
        <f ca="1">IFERROR(__xludf.DUMMYFUNCTION("INDEX(IMPORTRANGE(""1y0FWgjbB0gVlqn-q5LMJbGIsqOrzru4yowQz67dz2yc"", ""'SPGG'!BH3:BH139""),MATCH(D13,IMPORTRANGE(""1y0FWgjbB0gVlqn-q5LMJbGIsqOrzru4yowQz67dz2yc"", ""'SPGG'!D3:D139""),0))"),4.98327044920623)</f>
        <v>4.9832704492062296</v>
      </c>
      <c r="Z13" s="478">
        <f ca="1">IFERROR(__xludf.DUMMYFUNCTION("INDEX(IMPORTRANGE(""1y0FWgjbB0gVlqn-q5LMJbGIsqOrzru4yowQz67dz2yc"", ""'SPGG'!BI3:BI139""),MATCH(D13,IMPORTRANGE(""1y0FWgjbB0gVlqn-q5LMJbGIsqOrzru4yowQz67dz2yc"", ""'SPGG'!D3:D139""),0))"),2.10943762392946)</f>
        <v>2.1094376239294599</v>
      </c>
      <c r="AA13" s="2"/>
      <c r="AB13" s="2"/>
      <c r="AC13" s="2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5">
        <v>34</v>
      </c>
      <c r="Q14" s="5">
        <v>62</v>
      </c>
      <c r="R14" s="13"/>
      <c r="S14" s="13"/>
      <c r="T14" s="13"/>
      <c r="U14" s="13"/>
      <c r="V14" s="13"/>
      <c r="W14" s="4"/>
      <c r="X14" s="5">
        <v>16</v>
      </c>
      <c r="Y14" s="5">
        <f ca="1">IFERROR(__xludf.DUMMYFUNCTION("INDEX(IMPORTRANGE(""1y0FWgjbB0gVlqn-q5LMJbGIsqOrzru4yowQz67dz2yc"", ""'SPGG'!BH3:BH139""),MATCH(D14,IMPORTRANGE(""1y0FWgjbB0gVlqn-q5LMJbGIsqOrzru4yowQz67dz2yc"", ""'SPGG'!D3:D139""),0))"),40)</f>
        <v>40</v>
      </c>
      <c r="Z14" s="5">
        <f ca="1">IFERROR(__xludf.DUMMYFUNCTION("INDEX(IMPORTRANGE(""1y0FWgjbB0gVlqn-q5LMJbGIsqOrzru4yowQz67dz2yc"", ""'SPGG'!BI3:BI139""),MATCH(D14,IMPORTRANGE(""1y0FWgjbB0gVlqn-q5LMJbGIsqOrzru4yowQz67dz2yc"", ""'SPGG'!D3:D139""),0))"),19)</f>
        <v>19</v>
      </c>
      <c r="AA14" s="2"/>
      <c r="AB14" s="2"/>
      <c r="AC14" s="2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5">
        <v>23</v>
      </c>
      <c r="Q15" s="5">
        <v>42</v>
      </c>
      <c r="R15" s="13"/>
      <c r="S15" s="13"/>
      <c r="T15" s="13"/>
      <c r="U15" s="13"/>
      <c r="V15" s="13"/>
      <c r="W15" s="4"/>
      <c r="X15" s="5">
        <v>27</v>
      </c>
      <c r="Y15" s="5">
        <f ca="1">IFERROR(__xludf.DUMMYFUNCTION("INDEX(IMPORTRANGE(""1y0FWgjbB0gVlqn-q5LMJbGIsqOrzru4yowQz67dz2yc"", ""'SPGG'!BH3:BH139""),MATCH(D15,IMPORTRANGE(""1y0FWgjbB0gVlqn-q5LMJbGIsqOrzru4yowQz67dz2yc"", ""'SPGG'!D3:D139""),0))"),46)</f>
        <v>46</v>
      </c>
      <c r="Z15" s="5">
        <f ca="1">IFERROR(__xludf.DUMMYFUNCTION("INDEX(IMPORTRANGE(""1y0FWgjbB0gVlqn-q5LMJbGIsqOrzru4yowQz67dz2yc"", ""'SPGG'!BI3:BI139""),MATCH(D15,IMPORTRANGE(""1y0FWgjbB0gVlqn-q5LMJbGIsqOrzru4yowQz67dz2yc"", ""'SPGG'!D3:D139""),0))"),30)</f>
        <v>30</v>
      </c>
      <c r="AA15" s="2"/>
      <c r="AB15" s="2"/>
      <c r="AC15" s="2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5">
        <v>15</v>
      </c>
      <c r="Q16" s="5">
        <v>25</v>
      </c>
      <c r="R16" s="13"/>
      <c r="S16" s="13"/>
      <c r="T16" s="13"/>
      <c r="U16" s="13"/>
      <c r="V16" s="13"/>
      <c r="W16" s="4"/>
      <c r="X16" s="5">
        <v>6</v>
      </c>
      <c r="Y16" s="5">
        <f ca="1">IFERROR(__xludf.DUMMYFUNCTION("INDEX(IMPORTRANGE(""1y0FWgjbB0gVlqn-q5LMJbGIsqOrzru4yowQz67dz2yc"", ""'SPGG'!BH3:BH139""),MATCH(D16,IMPORTRANGE(""1y0FWgjbB0gVlqn-q5LMJbGIsqOrzru4yowQz67dz2yc"", ""'SPGG'!D3:D139""),0))"),18)</f>
        <v>18</v>
      </c>
      <c r="Z16" s="5">
        <f ca="1">IFERROR(__xludf.DUMMYFUNCTION("INDEX(IMPORTRANGE(""1y0FWgjbB0gVlqn-q5LMJbGIsqOrzru4yowQz67dz2yc"", ""'SPGG'!BI3:BI139""),MATCH(D16,IMPORTRANGE(""1y0FWgjbB0gVlqn-q5LMJbGIsqOrzru4yowQz67dz2yc"", ""'SPGG'!D3:D139""),0))"),8)</f>
        <v>8</v>
      </c>
      <c r="AA16" s="2"/>
      <c r="AB16" s="2"/>
      <c r="AC16" s="2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5">
        <v>16</v>
      </c>
      <c r="Q17" s="5">
        <v>29</v>
      </c>
      <c r="R17" s="13"/>
      <c r="S17" s="13"/>
      <c r="T17" s="13"/>
      <c r="U17" s="13"/>
      <c r="V17" s="13"/>
      <c r="W17" s="4"/>
      <c r="X17" s="5">
        <v>10</v>
      </c>
      <c r="Y17" s="5">
        <f ca="1">IFERROR(__xludf.DUMMYFUNCTION("INDEX(IMPORTRANGE(""1y0FWgjbB0gVlqn-q5LMJbGIsqOrzru4yowQz67dz2yc"", ""'SPGG'!BH3:BH139""),MATCH(D17,IMPORTRANGE(""1y0FWgjbB0gVlqn-q5LMJbGIsqOrzru4yowQz67dz2yc"", ""'SPGG'!D3:D139""),0))"),20)</f>
        <v>20</v>
      </c>
      <c r="Z17" s="5">
        <f ca="1">IFERROR(__xludf.DUMMYFUNCTION("INDEX(IMPORTRANGE(""1y0FWgjbB0gVlqn-q5LMJbGIsqOrzru4yowQz67dz2yc"", ""'SPGG'!BI3:BI139""),MATCH(D17,IMPORTRANGE(""1y0FWgjbB0gVlqn-q5LMJbGIsqOrzru4yowQz67dz2yc"", ""'SPGG'!D3:D139""),0))"),6)</f>
        <v>6</v>
      </c>
      <c r="AA17" s="2"/>
      <c r="AB17" s="2"/>
      <c r="AC17" s="2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9" t="s">
        <v>76</v>
      </c>
      <c r="F18" s="9" t="s">
        <v>85</v>
      </c>
      <c r="G18" s="2" t="s">
        <v>56</v>
      </c>
      <c r="H18" s="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63.33441289718953</v>
      </c>
      <c r="Q18" s="23">
        <f t="shared" si="4"/>
        <v>113.71405951995395</v>
      </c>
      <c r="R18" s="2">
        <v>103</v>
      </c>
      <c r="S18" s="2">
        <v>57</v>
      </c>
      <c r="T18" s="2">
        <v>103</v>
      </c>
      <c r="U18" s="2">
        <v>57</v>
      </c>
      <c r="V18" s="2">
        <v>103</v>
      </c>
      <c r="W18" s="2">
        <v>103</v>
      </c>
      <c r="X18" s="23">
        <f>(SUM(X14:X17)/X2)*100000</f>
        <v>42.001850929023988</v>
      </c>
      <c r="Y18" s="478">
        <f ca="1">IFERROR(__xludf.DUMMYFUNCTION("INDEX(IMPORTRANGE(""1y0FWgjbB0gVlqn-q5LMJbGIsqOrzru4yowQz67dz2yc"", ""'SPGG'!BH3:BH139""),MATCH(D18,IMPORTRANGE(""1y0FWgjbB0gVlqn-q5LMJbGIsqOrzru4yowQz67dz2yc"", ""'SPGG'!D3:D139""),0))"),88.2750765287961)</f>
        <v>88.275076528796106</v>
      </c>
      <c r="Z18" s="478">
        <f ca="1">IFERROR(__xludf.DUMMYFUNCTION("INDEX(IMPORTRANGE(""1y0FWgjbB0gVlqn-q5LMJbGIsqOrzru4yowQz67dz2yc"", ""'SPGG'!BI3:BI139""),MATCH(D18,IMPORTRANGE(""1y0FWgjbB0gVlqn-q5LMJbGIsqOrzru4yowQz67dz2yc"", ""'SPGG'!D3:D139""),0))"),44.2981901025186)</f>
        <v>44.298190102518603</v>
      </c>
      <c r="AA18" s="2"/>
      <c r="AB18" s="2"/>
      <c r="AC18" s="2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9" t="s">
        <v>76</v>
      </c>
      <c r="F19" s="9" t="s">
        <v>88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5">
        <v>129</v>
      </c>
      <c r="Q19" s="5">
        <v>299</v>
      </c>
      <c r="R19" s="13"/>
      <c r="S19" s="13"/>
      <c r="T19" s="13"/>
      <c r="U19" s="13"/>
      <c r="V19" s="13"/>
      <c r="W19" s="4"/>
      <c r="X19" s="5">
        <v>147</v>
      </c>
      <c r="Y19" s="5">
        <f ca="1">IFERROR(__xludf.DUMMYFUNCTION("INDEX(IMPORTRANGE(""1y0FWgjbB0gVlqn-q5LMJbGIsqOrzru4yowQz67dz2yc"", ""'SPGG'!BH3:BH139""),MATCH(D19,IMPORTRANGE(""1y0FWgjbB0gVlqn-q5LMJbGIsqOrzru4yowQz67dz2yc"", ""'SPGG'!D3:D139""),0))"),279)</f>
        <v>279</v>
      </c>
      <c r="Z19" s="5">
        <f ca="1">IFERROR(__xludf.DUMMYFUNCTION("INDEX(IMPORTRANGE(""1y0FWgjbB0gVlqn-q5LMJbGIsqOrzru4yowQz67dz2yc"", ""'SPGG'!BI3:BI139""),MATCH(D19,IMPORTRANGE(""1y0FWgjbB0gVlqn-q5LMJbGIsqOrzru4yowQz67dz2yc"", ""'SPGG'!D3:D139""),0))"),99)</f>
        <v>99</v>
      </c>
      <c r="AA19" s="2"/>
      <c r="AB19" s="2"/>
      <c r="AC19" s="2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9" t="s">
        <v>76</v>
      </c>
      <c r="F20" s="9" t="s">
        <v>90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92.842491633380106</v>
      </c>
      <c r="Q20" s="23">
        <f t="shared" si="5"/>
        <v>215.1930620029508</v>
      </c>
      <c r="R20" s="2">
        <v>214.5</v>
      </c>
      <c r="S20" s="2">
        <v>92.7</v>
      </c>
      <c r="T20" s="2">
        <v>213.7</v>
      </c>
      <c r="U20" s="2">
        <v>92.6</v>
      </c>
      <c r="V20" s="2">
        <v>213</v>
      </c>
      <c r="W20" s="2">
        <v>213</v>
      </c>
      <c r="X20" s="23">
        <f>(X19/X$2)*100000</f>
        <v>104.64867943333095</v>
      </c>
      <c r="Y20" s="478">
        <f ca="1">IFERROR(__xludf.DUMMYFUNCTION("INDEX(IMPORTRANGE(""1y0FWgjbB0gVlqn-q5LMJbGIsqOrzru4yowQz67dz2yc"", ""'SPGG'!BH3:BH139""),MATCH(D20,IMPORTRANGE(""1y0FWgjbB0gVlqn-q5LMJbGIsqOrzru4yowQz67dz2yc"", ""'SPGG'!D3:D139""),0))"),198.618922189791)</f>
        <v>198.61892218979099</v>
      </c>
      <c r="Z20" s="478">
        <f ca="1">IFERROR(__xludf.DUMMYFUNCTION("INDEX(IMPORTRANGE(""1y0FWgjbB0gVlqn-q5LMJbGIsqOrzru4yowQz67dz2yc"", ""'SPGG'!BI3:BI139""),MATCH(D20,IMPORTRANGE(""1y0FWgjbB0gVlqn-q5LMJbGIsqOrzru4yowQz67dz2yc"", ""'SPGG'!D3:D139""),0))"),69.6114415896722)</f>
        <v>69.611441589672197</v>
      </c>
      <c r="AA20" s="2"/>
      <c r="AB20" s="2"/>
      <c r="AC20" s="2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9" t="s">
        <v>76</v>
      </c>
      <c r="F21" s="9" t="s">
        <v>92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5">
        <v>38</v>
      </c>
      <c r="Q21" s="5">
        <v>75</v>
      </c>
      <c r="R21" s="13"/>
      <c r="S21" s="13"/>
      <c r="T21" s="13"/>
      <c r="U21" s="13"/>
      <c r="V21" s="13"/>
      <c r="W21" s="4"/>
      <c r="X21" s="5">
        <v>27</v>
      </c>
      <c r="Y21" s="5">
        <f ca="1">IFERROR(__xludf.DUMMYFUNCTION("INDEX(IMPORTRANGE(""1y0FWgjbB0gVlqn-q5LMJbGIsqOrzru4yowQz67dz2yc"", ""'SPGG'!BH3:BH139""),MATCH(D21,IMPORTRANGE(""1y0FWgjbB0gVlqn-q5LMJbGIsqOrzru4yowQz67dz2yc"", ""'SPGG'!D3:D139""),0))"),66)</f>
        <v>66</v>
      </c>
      <c r="Z21" s="5">
        <f ca="1">IFERROR(__xludf.DUMMYFUNCTION("INDEX(IMPORTRANGE(""1y0FWgjbB0gVlqn-q5LMJbGIsqOrzru4yowQz67dz2yc"", ""'SPGG'!BI3:BI139""),MATCH(D21,IMPORTRANGE(""1y0FWgjbB0gVlqn-q5LMJbGIsqOrzru4yowQz67dz2yc"", ""'SPGG'!D3:D139""),0))"),24)</f>
        <v>24</v>
      </c>
      <c r="AA21" s="2"/>
      <c r="AB21" s="2"/>
      <c r="AC21" s="2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9" t="s">
        <v>76</v>
      </c>
      <c r="F22" s="9" t="s">
        <v>94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27.348951023786391</v>
      </c>
      <c r="Q22" s="23">
        <f t="shared" si="6"/>
        <v>53.978192810104723</v>
      </c>
      <c r="R22" s="2">
        <v>53.8</v>
      </c>
      <c r="S22" s="2">
        <v>27.3</v>
      </c>
      <c r="T22" s="2">
        <v>53.6</v>
      </c>
      <c r="U22" s="2">
        <v>27.2</v>
      </c>
      <c r="V22" s="2">
        <v>53.4</v>
      </c>
      <c r="W22" s="2">
        <v>53.4</v>
      </c>
      <c r="X22" s="23">
        <f>(X21/X$2)*100000</f>
        <v>19.221186018366911</v>
      </c>
      <c r="Y22" s="478">
        <f ca="1">IFERROR(__xludf.DUMMYFUNCTION("INDEX(IMPORTRANGE(""1y0FWgjbB0gVlqn-q5LMJbGIsqOrzru4yowQz67dz2yc"", ""'SPGG'!BH3:BH139""),MATCH(D22,IMPORTRANGE(""1y0FWgjbB0gVlqn-q5LMJbGIsqOrzru4yowQz67dz2yc"", ""'SPGG'!D3:D139""),0))"),46.9851213782302)</f>
        <v>46.985121378230197</v>
      </c>
      <c r="Z22" s="478">
        <f ca="1">IFERROR(__xludf.DUMMYFUNCTION("INDEX(IMPORTRANGE(""1y0FWgjbB0gVlqn-q5LMJbGIsqOrzru4yowQz67dz2yc"", ""'SPGG'!BI3:BI139""),MATCH(D22,IMPORTRANGE(""1y0FWgjbB0gVlqn-q5LMJbGIsqOrzru4yowQz67dz2yc"", ""'SPGG'!D3:D139""),0))"),16.8755009914356)</f>
        <v>16.875500991435601</v>
      </c>
      <c r="AA22" s="2"/>
      <c r="AB22" s="2"/>
      <c r="AC22" s="2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9" t="s">
        <v>76</v>
      </c>
      <c r="F23" s="9" t="s">
        <v>96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5">
        <v>3</v>
      </c>
      <c r="Q23" s="5">
        <v>4</v>
      </c>
      <c r="R23" s="13"/>
      <c r="S23" s="13"/>
      <c r="T23" s="13"/>
      <c r="U23" s="13"/>
      <c r="V23" s="13"/>
      <c r="W23" s="4"/>
      <c r="X23" s="5">
        <v>1</v>
      </c>
      <c r="Y23" s="5">
        <f ca="1">IFERROR(__xludf.DUMMYFUNCTION("INDEX(IMPORTRANGE(""1y0FWgjbB0gVlqn-q5LMJbGIsqOrzru4yowQz67dz2yc"", ""'SPGG'!BH3:BH139""),MATCH(D23,IMPORTRANGE(""1y0FWgjbB0gVlqn-q5LMJbGIsqOrzru4yowQz67dz2yc"", ""'SPGG'!D3:D139""),0))"),3)</f>
        <v>3</v>
      </c>
      <c r="Z23" s="5">
        <f ca="1">IFERROR(__xludf.DUMMYFUNCTION("INDEX(IMPORTRANGE(""1y0FWgjbB0gVlqn-q5LMJbGIsqOrzru4yowQz67dz2yc"", ""'SPGG'!BI3:BI139""),MATCH(D23,IMPORTRANGE(""1y0FWgjbB0gVlqn-q5LMJbGIsqOrzru4yowQz67dz2yc"", ""'SPGG'!D3:D139""),0))"),2)</f>
        <v>2</v>
      </c>
      <c r="AA23" s="2"/>
      <c r="AB23" s="2"/>
      <c r="AC23" s="2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9" t="s">
        <v>76</v>
      </c>
      <c r="F24" s="9" t="s">
        <v>98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5">
        <v>1</v>
      </c>
      <c r="Q24" s="5">
        <v>5</v>
      </c>
      <c r="R24" s="13"/>
      <c r="S24" s="13"/>
      <c r="T24" s="13"/>
      <c r="U24" s="13"/>
      <c r="V24" s="13"/>
      <c r="W24" s="4"/>
      <c r="X24" s="5">
        <v>1</v>
      </c>
      <c r="Y24" s="5">
        <f ca="1">IFERROR(__xludf.DUMMYFUNCTION("INDEX(IMPORTRANGE(""1y0FWgjbB0gVlqn-q5LMJbGIsqOrzru4yowQz67dz2yc"", ""'SPGG'!BH3:BH139""),MATCH(D24,IMPORTRANGE(""1y0FWgjbB0gVlqn-q5LMJbGIsqOrzru4yowQz67dz2yc"", ""'SPGG'!D3:D139""),0))"),5)</f>
        <v>5</v>
      </c>
      <c r="Z24" s="5">
        <f ca="1">IFERROR(__xludf.DUMMYFUNCTION("INDEX(IMPORTRANGE(""1y0FWgjbB0gVlqn-q5LMJbGIsqOrzru4yowQz67dz2yc"", ""'SPGG'!BI3:BI139""),MATCH(D24,IMPORTRANGE(""1y0FWgjbB0gVlqn-q5LMJbGIsqOrzru4yowQz67dz2yc"", ""'SPGG'!D3:D139""),0))"),2)</f>
        <v>2</v>
      </c>
      <c r="AA24" s="2"/>
      <c r="AB24" s="2"/>
      <c r="AC24" s="2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9" t="s">
        <v>76</v>
      </c>
      <c r="F25" s="9" t="s">
        <v>100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5">
        <v>0</v>
      </c>
      <c r="Q25" s="5">
        <v>3</v>
      </c>
      <c r="R25" s="13"/>
      <c r="S25" s="13"/>
      <c r="T25" s="13"/>
      <c r="U25" s="13"/>
      <c r="V25" s="13"/>
      <c r="W25" s="4"/>
      <c r="X25" s="5">
        <v>1</v>
      </c>
      <c r="Y25" s="5">
        <f ca="1">IFERROR(__xludf.DUMMYFUNCTION("INDEX(IMPORTRANGE(""1y0FWgjbB0gVlqn-q5LMJbGIsqOrzru4yowQz67dz2yc"", ""'SPGG'!BH3:BH139""),MATCH(D25,IMPORTRANGE(""1y0FWgjbB0gVlqn-q5LMJbGIsqOrzru4yowQz67dz2yc"", ""'SPGG'!D3:D139""),0))"),2)</f>
        <v>2</v>
      </c>
      <c r="Z25" s="5">
        <f ca="1">IFERROR(__xludf.DUMMYFUNCTION("INDEX(IMPORTRANGE(""1y0FWgjbB0gVlqn-q5LMJbGIsqOrzru4yowQz67dz2yc"", ""'SPGG'!BI3:BI139""),MATCH(D25,IMPORTRANGE(""1y0FWgjbB0gVlqn-q5LMJbGIsqOrzru4yowQz67dz2yc"", ""'SPGG'!D3:D139""),0))"),0)</f>
        <v>0</v>
      </c>
      <c r="AA25" s="2"/>
      <c r="AB25" s="2"/>
      <c r="AC25" s="2"/>
    </row>
    <row r="26" spans="1:29">
      <c r="A26" s="7" t="s">
        <v>52</v>
      </c>
      <c r="B26" s="7" t="s">
        <v>86</v>
      </c>
      <c r="C26" s="1" t="s">
        <v>30</v>
      </c>
      <c r="D26" s="7" t="s">
        <v>101</v>
      </c>
      <c r="E26" s="9" t="s">
        <v>76</v>
      </c>
      <c r="F26" s="9" t="s">
        <v>102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5">
        <v>0</v>
      </c>
      <c r="Q26" s="5">
        <v>0</v>
      </c>
      <c r="R26" s="13"/>
      <c r="S26" s="13"/>
      <c r="T26" s="13"/>
      <c r="U26" s="13"/>
      <c r="V26" s="13"/>
      <c r="W26" s="4"/>
      <c r="X26" s="5">
        <v>0</v>
      </c>
      <c r="Y26" s="5">
        <f ca="1">IFERROR(__xludf.DUMMYFUNCTION("INDEX(IMPORTRANGE(""1y0FWgjbB0gVlqn-q5LMJbGIsqOrzru4yowQz67dz2yc"", ""'SPGG'!BH3:BH139""),MATCH(D26,IMPORTRANGE(""1y0FWgjbB0gVlqn-q5LMJbGIsqOrzru4yowQz67dz2yc"", ""'SPGG'!D3:D139""),0))"),0)</f>
        <v>0</v>
      </c>
      <c r="Z26" s="5">
        <f ca="1">IFERROR(__xludf.DUMMYFUNCTION("INDEX(IMPORTRANGE(""1y0FWgjbB0gVlqn-q5LMJbGIsqOrzru4yowQz67dz2yc"", ""'SPGG'!BI3:BI139""),MATCH(D26,IMPORTRANGE(""1y0FWgjbB0gVlqn-q5LMJbGIsqOrzru4yowQz67dz2yc"", ""'SPGG'!D3:D139""),0))"),0)</f>
        <v>0</v>
      </c>
      <c r="AA26" s="2"/>
      <c r="AB26" s="2"/>
      <c r="AC26" s="2"/>
    </row>
    <row r="27" spans="1:29">
      <c r="A27" s="7" t="s">
        <v>52</v>
      </c>
      <c r="B27" s="7" t="s">
        <v>86</v>
      </c>
      <c r="C27" s="1" t="s">
        <v>30</v>
      </c>
      <c r="D27" s="7" t="s">
        <v>103</v>
      </c>
      <c r="E27" s="9" t="s">
        <v>76</v>
      </c>
      <c r="F27" s="9" t="s">
        <v>104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5">
        <v>0</v>
      </c>
      <c r="Q27" s="5">
        <v>0</v>
      </c>
      <c r="R27" s="13"/>
      <c r="S27" s="13"/>
      <c r="T27" s="13"/>
      <c r="U27" s="13"/>
      <c r="V27" s="13"/>
      <c r="W27" s="4"/>
      <c r="X27" s="5">
        <v>0</v>
      </c>
      <c r="Y27" s="5">
        <f ca="1">IFERROR(__xludf.DUMMYFUNCTION("INDEX(IMPORTRANGE(""1y0FWgjbB0gVlqn-q5LMJbGIsqOrzru4yowQz67dz2yc"", ""'SPGG'!BH3:BH139""),MATCH(D27,IMPORTRANGE(""1y0FWgjbB0gVlqn-q5LMJbGIsqOrzru4yowQz67dz2yc"", ""'SPGG'!D3:D139""),0))"),1)</f>
        <v>1</v>
      </c>
      <c r="Z27" s="5">
        <f ca="1">IFERROR(__xludf.DUMMYFUNCTION("INDEX(IMPORTRANGE(""1y0FWgjbB0gVlqn-q5LMJbGIsqOrzru4yowQz67dz2yc"", ""'SPGG'!BI3:BI139""),MATCH(D27,IMPORTRANGE(""1y0FWgjbB0gVlqn-q5LMJbGIsqOrzru4yowQz67dz2yc"", ""'SPGG'!D3:D139""),0))"),0)</f>
        <v>0</v>
      </c>
      <c r="AA27" s="2"/>
      <c r="AB27" s="2"/>
      <c r="AC27" s="2"/>
    </row>
    <row r="28" spans="1:29">
      <c r="A28" s="7" t="s">
        <v>52</v>
      </c>
      <c r="B28" s="7" t="s">
        <v>86</v>
      </c>
      <c r="C28" s="1" t="s">
        <v>30</v>
      </c>
      <c r="D28" s="7" t="s">
        <v>105</v>
      </c>
      <c r="E28" s="9" t="s">
        <v>76</v>
      </c>
      <c r="F28" s="9" t="s">
        <v>106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5">
        <v>0</v>
      </c>
      <c r="Q28" s="5">
        <v>0</v>
      </c>
      <c r="R28" s="13"/>
      <c r="S28" s="13"/>
      <c r="T28" s="13"/>
      <c r="U28" s="13"/>
      <c r="V28" s="13"/>
      <c r="W28" s="4"/>
      <c r="X28" s="5">
        <v>0</v>
      </c>
      <c r="Y28" s="5">
        <f ca="1">IFERROR(__xludf.DUMMYFUNCTION("INDEX(IMPORTRANGE(""1y0FWgjbB0gVlqn-q5LMJbGIsqOrzru4yowQz67dz2yc"", ""'SPGG'!BH3:BH139""),MATCH(D28,IMPORTRANGE(""1y0FWgjbB0gVlqn-q5LMJbGIsqOrzru4yowQz67dz2yc"", ""'SPGG'!D3:D139""),0))"),0)</f>
        <v>0</v>
      </c>
      <c r="Z28" s="5">
        <f ca="1">IFERROR(__xludf.DUMMYFUNCTION("INDEX(IMPORTRANGE(""1y0FWgjbB0gVlqn-q5LMJbGIsqOrzru4yowQz67dz2yc"", ""'SPGG'!BI3:BI139""),MATCH(D28,IMPORTRANGE(""1y0FWgjbB0gVlqn-q5LMJbGIsqOrzru4yowQz67dz2yc"", ""'SPGG'!D3:D139""),0))"),0)</f>
        <v>0</v>
      </c>
      <c r="AA28" s="2"/>
      <c r="AB28" s="2"/>
      <c r="AC28" s="2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9" t="s">
        <v>76</v>
      </c>
      <c r="F29" s="9" t="s">
        <v>108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5">
        <v>0</v>
      </c>
      <c r="Q29" s="5">
        <v>1</v>
      </c>
      <c r="R29" s="13"/>
      <c r="S29" s="13"/>
      <c r="T29" s="13"/>
      <c r="U29" s="13"/>
      <c r="V29" s="13"/>
      <c r="W29" s="4"/>
      <c r="X29" s="5">
        <v>2</v>
      </c>
      <c r="Y29" s="5">
        <f ca="1">IFERROR(__xludf.DUMMYFUNCTION("INDEX(IMPORTRANGE(""1y0FWgjbB0gVlqn-q5LMJbGIsqOrzru4yowQz67dz2yc"", ""'SPGG'!BH3:BH139""),MATCH(D29,IMPORTRANGE(""1y0FWgjbB0gVlqn-q5LMJbGIsqOrzru4yowQz67dz2yc"", ""'SPGG'!D3:D139""),0))"),3)</f>
        <v>3</v>
      </c>
      <c r="Z29" s="5">
        <f ca="1">IFERROR(__xludf.DUMMYFUNCTION("INDEX(IMPORTRANGE(""1y0FWgjbB0gVlqn-q5LMJbGIsqOrzru4yowQz67dz2yc"", ""'SPGG'!BI3:BI139""),MATCH(D29,IMPORTRANGE(""1y0FWgjbB0gVlqn-q5LMJbGIsqOrzru4yowQz67dz2yc"", ""'SPGG'!D3:D139""),0))"),0)</f>
        <v>0</v>
      </c>
      <c r="AA29" s="2"/>
      <c r="AB29" s="2"/>
      <c r="AC29" s="2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9" t="s">
        <v>76</v>
      </c>
      <c r="F30" s="9" t="s">
        <v>110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5">
        <v>1</v>
      </c>
      <c r="Q30" s="5">
        <v>2</v>
      </c>
      <c r="R30" s="13"/>
      <c r="S30" s="13"/>
      <c r="T30" s="13"/>
      <c r="U30" s="13"/>
      <c r="V30" s="13"/>
      <c r="W30" s="4"/>
      <c r="X30" s="5">
        <v>0</v>
      </c>
      <c r="Y30" s="5">
        <f ca="1">IFERROR(__xludf.DUMMYFUNCTION("INDEX(IMPORTRANGE(""1y0FWgjbB0gVlqn-q5LMJbGIsqOrzru4yowQz67dz2yc"", ""'SPGG'!BH3:BH139""),MATCH(D30,IMPORTRANGE(""1y0FWgjbB0gVlqn-q5LMJbGIsqOrzru4yowQz67dz2yc"", ""'SPGG'!D3:D139""),0))"),0)</f>
        <v>0</v>
      </c>
      <c r="Z30" s="5">
        <f ca="1">IFERROR(__xludf.DUMMYFUNCTION("INDEX(IMPORTRANGE(""1y0FWgjbB0gVlqn-q5LMJbGIsqOrzru4yowQz67dz2yc"", ""'SPGG'!BI3:BI139""),MATCH(D30,IMPORTRANGE(""1y0FWgjbB0gVlqn-q5LMJbGIsqOrzru4yowQz67dz2yc"", ""'SPGG'!D3:D139""),0))"),0)</f>
        <v>0</v>
      </c>
      <c r="AA30" s="2"/>
      <c r="AB30" s="2"/>
      <c r="AC30" s="2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9" t="s">
        <v>76</v>
      </c>
      <c r="F31" s="9" t="s">
        <v>112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5">
        <v>0</v>
      </c>
      <c r="Q31" s="5">
        <v>0</v>
      </c>
      <c r="R31" s="13"/>
      <c r="S31" s="13"/>
      <c r="T31" s="13"/>
      <c r="U31" s="13"/>
      <c r="V31" s="13"/>
      <c r="W31" s="4"/>
      <c r="X31" s="5">
        <v>0</v>
      </c>
      <c r="Y31" s="5">
        <f ca="1">IFERROR(__xludf.DUMMYFUNCTION("INDEX(IMPORTRANGE(""1y0FWgjbB0gVlqn-q5LMJbGIsqOrzru4yowQz67dz2yc"", ""'SPGG'!BH3:BH139""),MATCH(D31,IMPORTRANGE(""1y0FWgjbB0gVlqn-q5LMJbGIsqOrzru4yowQz67dz2yc"", ""'SPGG'!D3:D139""),0))"),0)</f>
        <v>0</v>
      </c>
      <c r="Z31" s="5">
        <f ca="1">IFERROR(__xludf.DUMMYFUNCTION("INDEX(IMPORTRANGE(""1y0FWgjbB0gVlqn-q5LMJbGIsqOrzru4yowQz67dz2yc"", ""'SPGG'!BI3:BI139""),MATCH(D31,IMPORTRANGE(""1y0FWgjbB0gVlqn-q5LMJbGIsqOrzru4yowQz67dz2yc"", ""'SPGG'!D3:D139""),0))"),0)</f>
        <v>0</v>
      </c>
      <c r="AA31" s="2"/>
      <c r="AB31" s="2"/>
      <c r="AC31" s="2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9" t="s">
        <v>76</v>
      </c>
      <c r="F32" s="9" t="s">
        <v>114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5">
        <v>0</v>
      </c>
      <c r="Q32" s="5">
        <v>0</v>
      </c>
      <c r="R32" s="13"/>
      <c r="S32" s="13"/>
      <c r="T32" s="13"/>
      <c r="U32" s="13"/>
      <c r="V32" s="13"/>
      <c r="W32" s="4"/>
      <c r="X32" s="5">
        <v>0</v>
      </c>
      <c r="Y32" s="5">
        <f ca="1">IFERROR(__xludf.DUMMYFUNCTION("INDEX(IMPORTRANGE(""1y0FWgjbB0gVlqn-q5LMJbGIsqOrzru4yowQz67dz2yc"", ""'SPGG'!BH3:BH139""),MATCH(D32,IMPORTRANGE(""1y0FWgjbB0gVlqn-q5LMJbGIsqOrzru4yowQz67dz2yc"", ""'SPGG'!D3:D139""),0))"),0)</f>
        <v>0</v>
      </c>
      <c r="Z32" s="5">
        <f ca="1">IFERROR(__xludf.DUMMYFUNCTION("INDEX(IMPORTRANGE(""1y0FWgjbB0gVlqn-q5LMJbGIsqOrzru4yowQz67dz2yc"", ""'SPGG'!BI3:BI139""),MATCH(D32,IMPORTRANGE(""1y0FWgjbB0gVlqn-q5LMJbGIsqOrzru4yowQz67dz2yc"", ""'SPGG'!D3:D139""),0))"),0)</f>
        <v>0</v>
      </c>
      <c r="AA32" s="2"/>
      <c r="AB32" s="2"/>
      <c r="AC32" s="2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9" t="s">
        <v>76</v>
      </c>
      <c r="F33" s="9" t="s">
        <v>116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5">
        <v>0</v>
      </c>
      <c r="Q33" s="5">
        <v>0</v>
      </c>
      <c r="R33" s="13"/>
      <c r="S33" s="13"/>
      <c r="T33" s="13"/>
      <c r="U33" s="13"/>
      <c r="V33" s="13"/>
      <c r="W33" s="4"/>
      <c r="X33" s="5">
        <v>0</v>
      </c>
      <c r="Y33" s="5">
        <f ca="1">IFERROR(__xludf.DUMMYFUNCTION("INDEX(IMPORTRANGE(""1y0FWgjbB0gVlqn-q5LMJbGIsqOrzru4yowQz67dz2yc"", ""'SPGG'!BH3:BH139""),MATCH(D33,IMPORTRANGE(""1y0FWgjbB0gVlqn-q5LMJbGIsqOrzru4yowQz67dz2yc"", ""'SPGG'!D3:D139""),0))"),0)</f>
        <v>0</v>
      </c>
      <c r="Z33" s="5">
        <f ca="1">IFERROR(__xludf.DUMMYFUNCTION("INDEX(IMPORTRANGE(""1y0FWgjbB0gVlqn-q5LMJbGIsqOrzru4yowQz67dz2yc"", ""'SPGG'!BI3:BI139""),MATCH(D33,IMPORTRANGE(""1y0FWgjbB0gVlqn-q5LMJbGIsqOrzru4yowQz67dz2yc"", ""'SPGG'!D3:D139""),0))"),0)</f>
        <v>0</v>
      </c>
      <c r="AA33" s="2"/>
      <c r="AB33" s="2"/>
      <c r="AC33" s="2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9" t="s">
        <v>76</v>
      </c>
      <c r="F34" s="9" t="s">
        <v>118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3.5985461873403146</v>
      </c>
      <c r="Q34" s="23">
        <f t="shared" si="7"/>
        <v>10.795638562020944</v>
      </c>
      <c r="R34" s="2">
        <v>10.8</v>
      </c>
      <c r="S34" s="24">
        <v>3.597</v>
      </c>
      <c r="T34" s="2">
        <v>10.7</v>
      </c>
      <c r="U34" s="24">
        <v>3.597</v>
      </c>
      <c r="V34" s="2">
        <v>10.7</v>
      </c>
      <c r="W34" s="2">
        <f>V34</f>
        <v>10.7</v>
      </c>
      <c r="X34" s="23">
        <f>(SUM(X23:X33)/X$2)*100000</f>
        <v>3.5594788922901688</v>
      </c>
      <c r="Y34" s="478">
        <f ca="1">IFERROR(__xludf.DUMMYFUNCTION("INDEX(IMPORTRANGE(""1y0FWgjbB0gVlqn-q5LMJbGIsqOrzru4yowQz67dz2yc"", ""'SPGG'!BH3:BH139""),MATCH(D34,IMPORTRANGE(""1y0FWgjbB0gVlqn-q5LMJbGIsqOrzru4yowQz67dz2yc"", ""'SPGG'!D3:D139""),0))"),9.96654089841247)</f>
        <v>9.9665408984124699</v>
      </c>
      <c r="Z34" s="478">
        <f ca="1">IFERROR(__xludf.DUMMYFUNCTION("INDEX(IMPORTRANGE(""1y0FWgjbB0gVlqn-q5LMJbGIsqOrzru4yowQz67dz2yc"", ""'SPGG'!BI3:BI139""),MATCH(D34,IMPORTRANGE(""1y0FWgjbB0gVlqn-q5LMJbGIsqOrzru4yowQz67dz2yc"", ""'SPGG'!D3:D139""),0))"),2.81258349857261)</f>
        <v>2.8125834985726099</v>
      </c>
      <c r="AA34" s="2"/>
      <c r="AB34" s="2"/>
      <c r="AC34" s="2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2" t="s">
        <v>38</v>
      </c>
      <c r="F35" s="2" t="s">
        <v>122</v>
      </c>
      <c r="G35" s="11">
        <v>44469</v>
      </c>
      <c r="H35" s="11">
        <v>44469</v>
      </c>
      <c r="I35" s="49">
        <v>44651</v>
      </c>
      <c r="J35" s="49">
        <v>44834</v>
      </c>
      <c r="K35" s="49">
        <v>45016</v>
      </c>
      <c r="L35" s="49">
        <v>45199</v>
      </c>
      <c r="M35" s="49">
        <v>45382</v>
      </c>
      <c r="N35" s="49">
        <v>45565</v>
      </c>
      <c r="O35" s="49">
        <v>45565</v>
      </c>
      <c r="P35" s="12">
        <v>37730</v>
      </c>
      <c r="Q35" s="12">
        <v>37730</v>
      </c>
      <c r="R35" s="13"/>
      <c r="S35" s="13"/>
      <c r="T35" s="13"/>
      <c r="U35" s="13"/>
      <c r="V35" s="13"/>
      <c r="W35" s="4"/>
      <c r="X35" s="12">
        <v>37730</v>
      </c>
      <c r="Y35" s="5">
        <f ca="1">IFERROR(__xludf.DUMMYFUNCTION("INDEX(IMPORTRANGE(""1y0FWgjbB0gVlqn-q5LMJbGIsqOrzru4yowQz67dz2yc"", ""'SPGG'!BH3:BH139""),MATCH(D35,IMPORTRANGE(""1y0FWgjbB0gVlqn-q5LMJbGIsqOrzru4yowQz67dz2yc"", ""'SPGG'!D3:D139""),0))"),37730)</f>
        <v>37730</v>
      </c>
      <c r="Z35" s="5">
        <f ca="1">IFERROR(__xludf.DUMMYFUNCTION("INDEX(IMPORTRANGE(""1y0FWgjbB0gVlqn-q5LMJbGIsqOrzru4yowQz67dz2yc"", ""'SPGG'!BI3:BI139""),MATCH(D35,IMPORTRANGE(""1y0FWgjbB0gVlqn-q5LMJbGIsqOrzru4yowQz67dz2yc"", ""'SPGG'!D3:D139""),0))"),37730)</f>
        <v>37730</v>
      </c>
      <c r="AA35" s="2"/>
      <c r="AB35" s="2"/>
      <c r="AC35" s="2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2" t="s">
        <v>38</v>
      </c>
      <c r="F36" s="2" t="s">
        <v>124</v>
      </c>
      <c r="G36" s="11">
        <v>44469</v>
      </c>
      <c r="H36" s="11">
        <v>44469</v>
      </c>
      <c r="I36" s="49">
        <v>44651</v>
      </c>
      <c r="J36" s="49">
        <v>44834</v>
      </c>
      <c r="K36" s="49">
        <v>45016</v>
      </c>
      <c r="L36" s="49">
        <v>45199</v>
      </c>
      <c r="M36" s="49">
        <v>45382</v>
      </c>
      <c r="N36" s="49">
        <v>45565</v>
      </c>
      <c r="O36" s="49">
        <v>45565</v>
      </c>
      <c r="P36" s="12">
        <v>0</v>
      </c>
      <c r="Q36" s="12">
        <v>0</v>
      </c>
      <c r="R36" s="1"/>
      <c r="S36" s="1"/>
      <c r="T36" s="1"/>
      <c r="U36" s="1"/>
      <c r="V36" s="1"/>
      <c r="W36" s="492">
        <v>2171</v>
      </c>
      <c r="X36" s="12">
        <v>2171</v>
      </c>
      <c r="Y36" s="5">
        <f ca="1">IFERROR(__xludf.DUMMYFUNCTION("INDEX(IMPORTRANGE(""1y0FWgjbB0gVlqn-q5LMJbGIsqOrzru4yowQz67dz2yc"", ""'SPGG'!BH3:BH139""),MATCH(D36,IMPORTRANGE(""1y0FWgjbB0gVlqn-q5LMJbGIsqOrzru4yowQz67dz2yc"", ""'SPGG'!D3:D139""),0))"),2970)</f>
        <v>2970</v>
      </c>
      <c r="Z36" s="5">
        <f ca="1">IFERROR(__xludf.DUMMYFUNCTION("INDEX(IMPORTRANGE(""1y0FWgjbB0gVlqn-q5LMJbGIsqOrzru4yowQz67dz2yc"", ""'SPGG'!BI3:BI139""),MATCH(D36,IMPORTRANGE(""1y0FWgjbB0gVlqn-q5LMJbGIsqOrzru4yowQz67dz2yc"", ""'SPGG'!D3:D139""),0))"),5567)</f>
        <v>5567</v>
      </c>
      <c r="AA36" s="2"/>
      <c r="AB36" s="2"/>
      <c r="AC36" s="2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2" t="s">
        <v>38</v>
      </c>
      <c r="F37" s="2" t="s">
        <v>126</v>
      </c>
      <c r="G37" s="11">
        <v>44469</v>
      </c>
      <c r="H37" s="11">
        <v>44469</v>
      </c>
      <c r="I37" s="49">
        <v>44651</v>
      </c>
      <c r="J37" s="49">
        <v>44834</v>
      </c>
      <c r="K37" s="49">
        <v>45016</v>
      </c>
      <c r="L37" s="49">
        <v>45199</v>
      </c>
      <c r="M37" s="49">
        <v>45382</v>
      </c>
      <c r="N37" s="49">
        <v>45565</v>
      </c>
      <c r="O37" s="49">
        <v>45565</v>
      </c>
      <c r="P37" s="15">
        <f t="shared" ref="P37:Q37" si="8">P36/P35</f>
        <v>0</v>
      </c>
      <c r="Q37" s="15">
        <f t="shared" si="8"/>
        <v>0</v>
      </c>
      <c r="R37" s="15">
        <v>5.8000000000000003E-2</v>
      </c>
      <c r="S37" s="15">
        <v>5.8000000000000003E-2</v>
      </c>
      <c r="T37" s="15">
        <v>5.8000000000000003E-2</v>
      </c>
      <c r="U37" s="15">
        <v>5.8000000000000003E-2</v>
      </c>
      <c r="V37" s="15">
        <v>5.8000000000000003E-2</v>
      </c>
      <c r="W37" s="15">
        <v>5.8000000000000003E-2</v>
      </c>
      <c r="X37" s="15">
        <f>X36/X35</f>
        <v>5.7540418764908563E-2</v>
      </c>
      <c r="Y37" s="505">
        <f ca="1">IFERROR(__xludf.DUMMYFUNCTION("INDEX(IMPORTRANGE(""1y0FWgjbB0gVlqn-q5LMJbGIsqOrzru4yowQz67dz2yc"", ""'SPGG'!BH3:BH139""),MATCH(D37,IMPORTRANGE(""1y0FWgjbB0gVlqn-q5LMJbGIsqOrzru4yowQz67dz2yc"", ""'SPGG'!D3:D139""),0))"),0.0787172011661807)</f>
        <v>7.8717201166180695E-2</v>
      </c>
      <c r="Z37" s="5">
        <f ca="1">IFERROR(__xludf.DUMMYFUNCTION("INDEX(IMPORTRANGE(""1y0FWgjbB0gVlqn-q5LMJbGIsqOrzru4yowQz67dz2yc"", ""'SPGG'!BI3:BI139""),MATCH(D37,IMPORTRANGE(""1y0FWgjbB0gVlqn-q5LMJbGIsqOrzru4yowQz67dz2yc"", ""'SPGG'!D3:D139""),0))"),0.147548369997349)</f>
        <v>0.14754836999734899</v>
      </c>
      <c r="AA37" s="2"/>
      <c r="AB37" s="2"/>
      <c r="AC37" s="2"/>
    </row>
    <row r="38" spans="1:29">
      <c r="A38" s="7" t="s">
        <v>119</v>
      </c>
      <c r="B38" s="7" t="s">
        <v>120</v>
      </c>
      <c r="C38" s="1" t="s">
        <v>30</v>
      </c>
      <c r="D38" s="7" t="s">
        <v>330</v>
      </c>
      <c r="E38" s="9" t="s">
        <v>38</v>
      </c>
      <c r="F38" s="2" t="s">
        <v>176</v>
      </c>
      <c r="G38" s="2" t="s">
        <v>56</v>
      </c>
      <c r="H38" s="2" t="s">
        <v>57</v>
      </c>
      <c r="I38" s="9" t="s">
        <v>58</v>
      </c>
      <c r="J38" s="9" t="s">
        <v>59</v>
      </c>
      <c r="K38" s="9" t="s">
        <v>60</v>
      </c>
      <c r="L38" s="9" t="s">
        <v>61</v>
      </c>
      <c r="M38" s="9" t="s">
        <v>62</v>
      </c>
      <c r="N38" s="9" t="s">
        <v>63</v>
      </c>
      <c r="O38" s="9" t="s">
        <v>63</v>
      </c>
      <c r="P38" s="12"/>
      <c r="Q38" s="12"/>
      <c r="R38" s="1"/>
      <c r="S38" s="1"/>
      <c r="T38" s="1"/>
      <c r="U38" s="1"/>
      <c r="V38" s="1"/>
      <c r="W38" s="459"/>
      <c r="X38" s="12"/>
      <c r="Y38" s="5"/>
      <c r="Z38" s="5"/>
      <c r="AA38" s="2"/>
      <c r="AB38" s="2"/>
      <c r="AC38" s="2"/>
    </row>
    <row r="39" spans="1:29">
      <c r="A39" s="7" t="s">
        <v>119</v>
      </c>
      <c r="B39" s="7" t="s">
        <v>120</v>
      </c>
      <c r="C39" s="1" t="s">
        <v>30</v>
      </c>
      <c r="D39" s="7" t="s">
        <v>331</v>
      </c>
      <c r="E39" s="9" t="s">
        <v>38</v>
      </c>
      <c r="F39" s="2" t="s">
        <v>332</v>
      </c>
      <c r="G39" s="2" t="s">
        <v>56</v>
      </c>
      <c r="H39" s="2" t="s">
        <v>57</v>
      </c>
      <c r="I39" s="9" t="s">
        <v>58</v>
      </c>
      <c r="J39" s="9" t="s">
        <v>59</v>
      </c>
      <c r="K39" s="9" t="s">
        <v>60</v>
      </c>
      <c r="L39" s="9" t="s">
        <v>61</v>
      </c>
      <c r="M39" s="9" t="s">
        <v>62</v>
      </c>
      <c r="N39" s="9" t="s">
        <v>63</v>
      </c>
      <c r="O39" s="9" t="s">
        <v>63</v>
      </c>
      <c r="P39" s="12"/>
      <c r="Q39" s="12"/>
      <c r="R39" s="1"/>
      <c r="S39" s="1"/>
      <c r="T39" s="1"/>
      <c r="U39" s="1"/>
      <c r="V39" s="1"/>
      <c r="W39" s="459"/>
      <c r="X39" s="12"/>
      <c r="Y39" s="5"/>
      <c r="Z39" s="5"/>
      <c r="AA39" s="2"/>
      <c r="AB39" s="2"/>
      <c r="AC39" s="2"/>
    </row>
    <row r="40" spans="1:29">
      <c r="A40" s="7" t="s">
        <v>119</v>
      </c>
      <c r="B40" s="7" t="s">
        <v>120</v>
      </c>
      <c r="C40" s="1" t="s">
        <v>36</v>
      </c>
      <c r="D40" s="7" t="s">
        <v>333</v>
      </c>
      <c r="E40" s="9" t="s">
        <v>38</v>
      </c>
      <c r="F40" s="2" t="s">
        <v>334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2"/>
      <c r="S40" s="26">
        <v>9.9000000000000008E-3</v>
      </c>
      <c r="T40" s="26">
        <v>1.04E-2</v>
      </c>
      <c r="U40" s="26">
        <v>9.9000000000000008E-3</v>
      </c>
      <c r="V40" s="26">
        <v>1.04E-2</v>
      </c>
      <c r="W40" s="26">
        <f>V40</f>
        <v>1.04E-2</v>
      </c>
      <c r="X40" s="12"/>
      <c r="Y40" s="5"/>
      <c r="Z40" s="506">
        <f ca="1">IFERROR(__xludf.DUMMYFUNCTION("INDEX(IMPORTRANGE(""1y0FWgjbB0gVlqn-q5LMJbGIsqOrzru4yowQz67dz2yc"", ""'SPGG'!BI3:BI139""),MATCH(D40,IMPORTRANGE(""1y0FWgjbB0gVlqn-q5LMJbGIsqOrzru4yowQz67dz2yc"", ""'SPGG'!D3:D139""),0))"),0.00994318472432213)</f>
        <v>9.9431847243221308E-3</v>
      </c>
      <c r="AA40" s="2"/>
      <c r="AB40" s="2"/>
      <c r="AC40" s="2"/>
    </row>
    <row r="41" spans="1:29">
      <c r="A41" s="7" t="s">
        <v>119</v>
      </c>
      <c r="B41" s="7" t="s">
        <v>127</v>
      </c>
      <c r="C41" s="1" t="s">
        <v>36</v>
      </c>
      <c r="D41" s="7" t="s">
        <v>128</v>
      </c>
      <c r="E41" s="9" t="s">
        <v>38</v>
      </c>
      <c r="F41" s="9" t="s">
        <v>129</v>
      </c>
      <c r="G41" s="2" t="s">
        <v>56</v>
      </c>
      <c r="H41" s="2" t="s">
        <v>57</v>
      </c>
      <c r="I41" s="2" t="s">
        <v>58</v>
      </c>
      <c r="J41" s="2" t="s">
        <v>59</v>
      </c>
      <c r="K41" s="2" t="s">
        <v>335</v>
      </c>
      <c r="L41" s="2" t="s">
        <v>336</v>
      </c>
      <c r="M41" s="2" t="s">
        <v>337</v>
      </c>
      <c r="N41" s="12" t="s">
        <v>132</v>
      </c>
      <c r="O41" s="12" t="s">
        <v>132</v>
      </c>
      <c r="P41" s="12">
        <v>0</v>
      </c>
      <c r="Q41" s="12">
        <v>0</v>
      </c>
      <c r="R41" s="2">
        <v>1</v>
      </c>
      <c r="S41" s="2">
        <v>1</v>
      </c>
      <c r="T41" s="2">
        <v>1</v>
      </c>
      <c r="U41" s="2">
        <v>1</v>
      </c>
      <c r="V41" s="2">
        <v>1</v>
      </c>
      <c r="W41" s="2">
        <v>1</v>
      </c>
      <c r="X41" s="12">
        <v>0</v>
      </c>
      <c r="Y41" s="5">
        <f ca="1">IFERROR(__xludf.DUMMYFUNCTION("INDEX(IMPORTRANGE(""1y0FWgjbB0gVlqn-q5LMJbGIsqOrzru4yowQz67dz2yc"", ""'SPGG'!BH3:BH139""),MATCH(D41,IMPORTRANGE(""1y0FWgjbB0gVlqn-q5LMJbGIsqOrzru4yowQz67dz2yc"", ""'SPGG'!D3:D139""),0))"),0)</f>
        <v>0</v>
      </c>
      <c r="Z41" s="5">
        <f ca="1">IFERROR(__xludf.DUMMYFUNCTION("INDEX(IMPORTRANGE(""1y0FWgjbB0gVlqn-q5LMJbGIsqOrzru4yowQz67dz2yc"", ""'SPGG'!BI3:BI139""),MATCH(D41,IMPORTRANGE(""1y0FWgjbB0gVlqn-q5LMJbGIsqOrzru4yowQz67dz2yc"", ""'SPGG'!D3:D139""),0))"),1)</f>
        <v>1</v>
      </c>
      <c r="AA41" s="2"/>
      <c r="AB41" s="2"/>
      <c r="AC41" s="2"/>
    </row>
    <row r="42" spans="1:29">
      <c r="A42" s="7" t="s">
        <v>119</v>
      </c>
      <c r="B42" s="7" t="s">
        <v>133</v>
      </c>
      <c r="C42" s="1" t="s">
        <v>36</v>
      </c>
      <c r="D42" s="7" t="s">
        <v>134</v>
      </c>
      <c r="E42" s="9" t="s">
        <v>38</v>
      </c>
      <c r="F42" s="9" t="s">
        <v>135</v>
      </c>
      <c r="G42" s="2" t="s">
        <v>56</v>
      </c>
      <c r="H42" s="2" t="s">
        <v>57</v>
      </c>
      <c r="I42" s="2" t="s">
        <v>58</v>
      </c>
      <c r="J42" s="2" t="s">
        <v>59</v>
      </c>
      <c r="K42" s="2" t="s">
        <v>335</v>
      </c>
      <c r="L42" s="2" t="s">
        <v>336</v>
      </c>
      <c r="M42" s="2" t="s">
        <v>337</v>
      </c>
      <c r="N42" s="12" t="s">
        <v>132</v>
      </c>
      <c r="O42" s="12" t="s">
        <v>132</v>
      </c>
      <c r="P42" s="12">
        <v>1983</v>
      </c>
      <c r="Q42" s="12">
        <v>4249</v>
      </c>
      <c r="R42" s="12">
        <v>2000</v>
      </c>
      <c r="S42" s="12">
        <f>640+R42</f>
        <v>2640</v>
      </c>
      <c r="T42" s="12">
        <f>710-640+S42</f>
        <v>2710</v>
      </c>
      <c r="U42" s="12">
        <f>70+T42</f>
        <v>2780</v>
      </c>
      <c r="V42" s="12">
        <f>3000-U42+U42</f>
        <v>3000</v>
      </c>
      <c r="W42" s="12">
        <f>V42</f>
        <v>3000</v>
      </c>
      <c r="X42" s="12">
        <v>900</v>
      </c>
      <c r="Y42" s="5">
        <f ca="1">IFERROR(__xludf.DUMMYFUNCTION("INDEX(IMPORTRANGE(""1y0FWgjbB0gVlqn-q5LMJbGIsqOrzru4yowQz67dz2yc"", ""'SPGG'!BH3:BH139""),MATCH(D42,IMPORTRANGE(""1y0FWgjbB0gVlqn-q5LMJbGIsqOrzru4yowQz67dz2yc"", ""'SPGG'!D3:D139""),0))"),2171)</f>
        <v>2171</v>
      </c>
      <c r="Z42" s="5">
        <f ca="1">IFERROR(__xludf.DUMMYFUNCTION("INDEX(IMPORTRANGE(""1y0FWgjbB0gVlqn-q5LMJbGIsqOrzru4yowQz67dz2yc"", ""'SPGG'!BI3:BI139""),MATCH(D42,IMPORTRANGE(""1y0FWgjbB0gVlqn-q5LMJbGIsqOrzru4yowQz67dz2yc"", ""'SPGG'!D3:D139""),0))"),2983)</f>
        <v>2983</v>
      </c>
      <c r="AA42" s="2"/>
      <c r="AB42" s="2"/>
      <c r="AC42" s="2"/>
    </row>
    <row r="43" spans="1:29">
      <c r="A43" s="7" t="s">
        <v>119</v>
      </c>
      <c r="B43" s="7" t="s">
        <v>136</v>
      </c>
      <c r="C43" s="1" t="s">
        <v>30</v>
      </c>
      <c r="D43" s="7" t="s">
        <v>137</v>
      </c>
      <c r="E43" s="9" t="s">
        <v>38</v>
      </c>
      <c r="F43" s="2" t="s">
        <v>138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1"/>
      <c r="S43" s="1"/>
      <c r="T43" s="1"/>
      <c r="U43" s="1"/>
      <c r="V43" s="1"/>
      <c r="W43" s="459">
        <v>4</v>
      </c>
      <c r="X43" s="12">
        <v>4</v>
      </c>
      <c r="Y43" s="5">
        <f ca="1">IFERROR(__xludf.DUMMYFUNCTION("INDEX(IMPORTRANGE(""1y0FWgjbB0gVlqn-q5LMJbGIsqOrzru4yowQz67dz2yc"", ""'SPGG'!BH3:BH139""),MATCH(D43,IMPORTRANGE(""1y0FWgjbB0gVlqn-q5LMJbGIsqOrzru4yowQz67dz2yc"", ""'SPGG'!D3:D139""),0))"),4)</f>
        <v>4</v>
      </c>
      <c r="Z43" s="5">
        <f ca="1">IFERROR(__xludf.DUMMYFUNCTION("INDEX(IMPORTRANGE(""1y0FWgjbB0gVlqn-q5LMJbGIsqOrzru4yowQz67dz2yc"", ""'SPGG'!BI3:BI139""),MATCH(D43,IMPORTRANGE(""1y0FWgjbB0gVlqn-q5LMJbGIsqOrzru4yowQz67dz2yc"", ""'SPGG'!D3:D139""),0))"),4)</f>
        <v>4</v>
      </c>
      <c r="AA43" s="2"/>
      <c r="AB43" s="2"/>
      <c r="AC43" s="2"/>
    </row>
    <row r="44" spans="1:29">
      <c r="A44" s="7" t="s">
        <v>119</v>
      </c>
      <c r="B44" s="7" t="s">
        <v>136</v>
      </c>
      <c r="C44" s="1" t="s">
        <v>30</v>
      </c>
      <c r="D44" s="7" t="s">
        <v>139</v>
      </c>
      <c r="E44" s="9" t="s">
        <v>38</v>
      </c>
      <c r="F44" s="2" t="s">
        <v>140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/>
      <c r="Q44" s="12"/>
      <c r="R44" s="1"/>
      <c r="S44" s="1"/>
      <c r="T44" s="1"/>
      <c r="U44" s="1"/>
      <c r="V44" s="1"/>
      <c r="W44" s="459"/>
      <c r="X44" s="12"/>
      <c r="Y44" s="5">
        <f ca="1">IFERROR(__xludf.DUMMYFUNCTION("INDEX(IMPORTRANGE(""1y0FWgjbB0gVlqn-q5LMJbGIsqOrzru4yowQz67dz2yc"", ""'SPGG'!BH3:BH139""),MATCH(D44,IMPORTRANGE(""1y0FWgjbB0gVlqn-q5LMJbGIsqOrzru4yowQz67dz2yc"", ""'SPGG'!D3:D139""),0))"),1)</f>
        <v>1</v>
      </c>
      <c r="Z44" s="5">
        <f ca="1">IFERROR(__xludf.DUMMYFUNCTION("INDEX(IMPORTRANGE(""1y0FWgjbB0gVlqn-q5LMJbGIsqOrzru4yowQz67dz2yc"", ""'SPGG'!BI3:BI139""),MATCH(D44,IMPORTRANGE(""1y0FWgjbB0gVlqn-q5LMJbGIsqOrzru4yowQz67dz2yc"", ""'SPGG'!D3:D139""),0))"),1)</f>
        <v>1</v>
      </c>
      <c r="AA44" s="2"/>
      <c r="AB44" s="2"/>
      <c r="AC44" s="2"/>
    </row>
    <row r="45" spans="1:29">
      <c r="A45" s="7" t="s">
        <v>119</v>
      </c>
      <c r="B45" s="7" t="s">
        <v>136</v>
      </c>
      <c r="C45" s="1" t="s">
        <v>30</v>
      </c>
      <c r="D45" s="7" t="s">
        <v>141</v>
      </c>
      <c r="E45" s="9" t="s">
        <v>38</v>
      </c>
      <c r="F45" s="2" t="s">
        <v>142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3</v>
      </c>
      <c r="R45" s="1"/>
      <c r="S45" s="1"/>
      <c r="T45" s="1"/>
      <c r="U45" s="1"/>
      <c r="V45" s="1"/>
      <c r="W45" s="459">
        <v>42</v>
      </c>
      <c r="X45" s="12">
        <v>35</v>
      </c>
      <c r="Y45" s="5">
        <f ca="1">IFERROR(__xludf.DUMMYFUNCTION("INDEX(IMPORTRANGE(""1y0FWgjbB0gVlqn-q5LMJbGIsqOrzru4yowQz67dz2yc"", ""'SPGG'!BH3:BH139""),MATCH(D45,IMPORTRANGE(""1y0FWgjbB0gVlqn-q5LMJbGIsqOrzru4yowQz67dz2yc"", ""'SPGG'!D3:D139""),0))"),38)</f>
        <v>38</v>
      </c>
      <c r="Z45" s="5">
        <f ca="1">IFERROR(__xludf.DUMMYFUNCTION("INDEX(IMPORTRANGE(""1y0FWgjbB0gVlqn-q5LMJbGIsqOrzru4yowQz67dz2yc"", ""'SPGG'!BI3:BI139""),MATCH(D45,IMPORTRANGE(""1y0FWgjbB0gVlqn-q5LMJbGIsqOrzru4yowQz67dz2yc"", ""'SPGG'!D3:D139""),0))"),43)</f>
        <v>43</v>
      </c>
      <c r="AA45" s="2"/>
      <c r="AB45" s="2"/>
      <c r="AC45" s="2"/>
    </row>
    <row r="46" spans="1:29">
      <c r="A46" s="7" t="s">
        <v>119</v>
      </c>
      <c r="B46" s="7" t="s">
        <v>136</v>
      </c>
      <c r="C46" s="1" t="s">
        <v>30</v>
      </c>
      <c r="D46" s="7" t="s">
        <v>143</v>
      </c>
      <c r="E46" s="9" t="s">
        <v>38</v>
      </c>
      <c r="F46" s="2" t="s">
        <v>144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"/>
      <c r="S46" s="1"/>
      <c r="T46" s="1"/>
      <c r="U46" s="1"/>
      <c r="V46" s="1"/>
      <c r="W46" s="459"/>
      <c r="X46" s="12"/>
      <c r="Y46" s="5">
        <f ca="1">IFERROR(__xludf.DUMMYFUNCTION("INDEX(IMPORTRANGE(""1y0FWgjbB0gVlqn-q5LMJbGIsqOrzru4yowQz67dz2yc"", ""'SPGG'!BH3:BH139""),MATCH(D46,IMPORTRANGE(""1y0FWgjbB0gVlqn-q5LMJbGIsqOrzru4yowQz67dz2yc"", ""'SPGG'!D3:D139""),0))"),0)</f>
        <v>0</v>
      </c>
      <c r="Z46" s="5">
        <f ca="1">IFERROR(__xludf.DUMMYFUNCTION("INDEX(IMPORTRANGE(""1y0FWgjbB0gVlqn-q5LMJbGIsqOrzru4yowQz67dz2yc"", ""'SPGG'!BI3:BI139""),MATCH(D46,IMPORTRANGE(""1y0FWgjbB0gVlqn-q5LMJbGIsqOrzru4yowQz67dz2yc"", ""'SPGG'!D3:D139""),0))"),0)</f>
        <v>0</v>
      </c>
      <c r="AA46" s="2"/>
      <c r="AB46" s="2"/>
      <c r="AC46" s="2"/>
    </row>
    <row r="47" spans="1:29">
      <c r="A47" s="7" t="s">
        <v>119</v>
      </c>
      <c r="B47" s="7" t="s">
        <v>136</v>
      </c>
      <c r="C47" s="1" t="s">
        <v>36</v>
      </c>
      <c r="D47" s="7" t="s">
        <v>145</v>
      </c>
      <c r="E47" s="9" t="s">
        <v>38</v>
      </c>
      <c r="F47" s="2" t="s">
        <v>146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f t="shared" ref="P47:Q47" si="9">P43+P45</f>
        <v>0</v>
      </c>
      <c r="Q47" s="12">
        <f t="shared" si="9"/>
        <v>3</v>
      </c>
      <c r="R47" s="4">
        <v>40</v>
      </c>
      <c r="S47" s="4">
        <f>R47+1</f>
        <v>41</v>
      </c>
      <c r="T47" s="4">
        <f>S47+2</f>
        <v>43</v>
      </c>
      <c r="U47" s="4">
        <f>T47+1</f>
        <v>44</v>
      </c>
      <c r="V47" s="4">
        <f>U47+2</f>
        <v>46</v>
      </c>
      <c r="W47" s="4">
        <v>46</v>
      </c>
      <c r="X47" s="12">
        <f>X43+X45</f>
        <v>39</v>
      </c>
      <c r="Y47" s="5">
        <f ca="1">IFERROR(__xludf.DUMMYFUNCTION("INDEX(IMPORTRANGE(""1y0FWgjbB0gVlqn-q5LMJbGIsqOrzru4yowQz67dz2yc"", ""'SPGG'!BH3:BH139""),MATCH(D47,IMPORTRANGE(""1y0FWgjbB0gVlqn-q5LMJbGIsqOrzru4yowQz67dz2yc"", ""'SPGG'!D3:D139""),0))"),43)</f>
        <v>43</v>
      </c>
      <c r="Z47" s="5">
        <f ca="1">IFERROR(__xludf.DUMMYFUNCTION("INDEX(IMPORTRANGE(""1y0FWgjbB0gVlqn-q5LMJbGIsqOrzru4yowQz67dz2yc"", ""'SPGG'!BI3:BI139""),MATCH(D47,IMPORTRANGE(""1y0FWgjbB0gVlqn-q5LMJbGIsqOrzru4yowQz67dz2yc"", ""'SPGG'!D3:D139""),0))"),48)</f>
        <v>48</v>
      </c>
      <c r="AA47" s="2"/>
      <c r="AB47" s="2"/>
      <c r="AC47" s="2"/>
    </row>
    <row r="48" spans="1:29">
      <c r="A48" s="7" t="s">
        <v>147</v>
      </c>
      <c r="B48" s="7" t="s">
        <v>148</v>
      </c>
      <c r="C48" s="1" t="s">
        <v>30</v>
      </c>
      <c r="D48" s="7" t="s">
        <v>149</v>
      </c>
      <c r="E48" s="9" t="s">
        <v>38</v>
      </c>
      <c r="F48" s="9"/>
      <c r="G48" s="11">
        <v>44469</v>
      </c>
      <c r="H48" s="11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150</v>
      </c>
      <c r="Q48" s="30" t="s">
        <v>150</v>
      </c>
      <c r="R48" s="1" t="s">
        <v>151</v>
      </c>
      <c r="S48" s="1" t="s">
        <v>151</v>
      </c>
      <c r="T48" s="1" t="s">
        <v>151</v>
      </c>
      <c r="U48" s="1" t="s">
        <v>151</v>
      </c>
      <c r="V48" s="1" t="s">
        <v>151</v>
      </c>
      <c r="W48" s="1" t="s">
        <v>151</v>
      </c>
      <c r="X48" s="30" t="s">
        <v>150</v>
      </c>
      <c r="Y48" s="5" t="str">
        <f ca="1">IFERROR(__xludf.DUMMYFUNCTION("INDEX(IMPORTRANGE(""1y0FWgjbB0gVlqn-q5LMJbGIsqOrzru4yowQz67dz2yc"", ""'SPGG'!BH3:BH139""),MATCH(D48,IMPORTRANGE(""1y0FWgjbB0gVlqn-q5LMJbGIsqOrzru4yowQz67dz2yc"", ""'SPGG'!D3:D139""),0))"),"Sí")</f>
        <v>Sí</v>
      </c>
      <c r="Z48" s="5" t="str">
        <f ca="1">IFERROR(__xludf.DUMMYFUNCTION("INDEX(IMPORTRANGE(""1y0FWgjbB0gVlqn-q5LMJbGIsqOrzru4yowQz67dz2yc"", ""'SPGG'!BI3:BI139""),MATCH(D48,IMPORTRANGE(""1y0FWgjbB0gVlqn-q5LMJbGIsqOrzru4yowQz67dz2yc"", ""'SPGG'!D3:D139""),0))"),"Sí")</f>
        <v>Sí</v>
      </c>
      <c r="AA48" s="2"/>
      <c r="AB48" s="2"/>
      <c r="AC48" s="2"/>
    </row>
    <row r="49" spans="1:29">
      <c r="A49" s="7" t="s">
        <v>147</v>
      </c>
      <c r="B49" s="7" t="s">
        <v>148</v>
      </c>
      <c r="C49" s="1" t="s">
        <v>30</v>
      </c>
      <c r="D49" s="7" t="s">
        <v>152</v>
      </c>
      <c r="E49" s="9" t="s">
        <v>38</v>
      </c>
      <c r="F49" s="9"/>
      <c r="G49" s="11">
        <v>44469</v>
      </c>
      <c r="H49" s="11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153</v>
      </c>
      <c r="Q49" s="30" t="s">
        <v>153</v>
      </c>
      <c r="R49" s="1" t="s">
        <v>151</v>
      </c>
      <c r="S49" s="1" t="s">
        <v>151</v>
      </c>
      <c r="T49" s="1" t="s">
        <v>151</v>
      </c>
      <c r="U49" s="1" t="s">
        <v>151</v>
      </c>
      <c r="V49" s="1" t="s">
        <v>151</v>
      </c>
      <c r="W49" s="1" t="s">
        <v>151</v>
      </c>
      <c r="X49" s="30" t="s">
        <v>153</v>
      </c>
      <c r="Y49" s="5" t="str">
        <f ca="1">IFERROR(__xludf.DUMMYFUNCTION("INDEX(IMPORTRANGE(""1y0FWgjbB0gVlqn-q5LMJbGIsqOrzru4yowQz67dz2yc"", ""'SPGG'!BH3:BH139""),MATCH(D49,IMPORTRANGE(""1y0FWgjbB0gVlqn-q5LMJbGIsqOrzru4yowQz67dz2yc"", ""'SPGG'!D3:D139""),0))"),"Sí")</f>
        <v>Sí</v>
      </c>
      <c r="Z49" s="5" t="str">
        <f ca="1">IFERROR(__xludf.DUMMYFUNCTION("INDEX(IMPORTRANGE(""1y0FWgjbB0gVlqn-q5LMJbGIsqOrzru4yowQz67dz2yc"", ""'SPGG'!BI3:BI139""),MATCH(D49,IMPORTRANGE(""1y0FWgjbB0gVlqn-q5LMJbGIsqOrzru4yowQz67dz2yc"", ""'SPGG'!D3:D139""),0))"),"Sí")</f>
        <v>Sí</v>
      </c>
      <c r="AA49" s="2"/>
      <c r="AB49" s="2"/>
      <c r="AC49" s="2"/>
    </row>
    <row r="50" spans="1:29">
      <c r="A50" s="7" t="s">
        <v>147</v>
      </c>
      <c r="B50" s="7" t="s">
        <v>148</v>
      </c>
      <c r="C50" s="1" t="s">
        <v>30</v>
      </c>
      <c r="D50" s="7" t="s">
        <v>154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153</v>
      </c>
      <c r="Q50" s="30" t="s">
        <v>153</v>
      </c>
      <c r="R50" s="2" t="s">
        <v>155</v>
      </c>
      <c r="S50" s="1" t="s">
        <v>155</v>
      </c>
      <c r="T50" s="1" t="s">
        <v>155</v>
      </c>
      <c r="U50" s="1" t="s">
        <v>155</v>
      </c>
      <c r="V50" s="1" t="s">
        <v>155</v>
      </c>
      <c r="W50" s="2" t="s">
        <v>155</v>
      </c>
      <c r="X50" s="30" t="s">
        <v>153</v>
      </c>
      <c r="Y50" s="5" t="str">
        <f ca="1">IFERROR(__xludf.DUMMYFUNCTION("INDEX(IMPORTRANGE(""1y0FWgjbB0gVlqn-q5LMJbGIsqOrzru4yowQz67dz2yc"", ""'SPGG'!BH3:BH139""),MATCH(D50,IMPORTRANGE(""1y0FWgjbB0gVlqn-q5LMJbGIsqOrzru4yowQz67dz2yc"", ""'SPGG'!D3:D139""),0))"),"Sí")</f>
        <v>Sí</v>
      </c>
      <c r="Z50" s="5" t="str">
        <f ca="1">IFERROR(__xludf.DUMMYFUNCTION("INDEX(IMPORTRANGE(""1y0FWgjbB0gVlqn-q5LMJbGIsqOrzru4yowQz67dz2yc"", ""'SPGG'!BI3:BI139""),MATCH(D50,IMPORTRANGE(""1y0FWgjbB0gVlqn-q5LMJbGIsqOrzru4yowQz67dz2yc"", ""'SPGG'!D3:D139""),0))"),"Sí")</f>
        <v>Sí</v>
      </c>
      <c r="AA50" s="2"/>
      <c r="AB50" s="2"/>
      <c r="AC50" s="2"/>
    </row>
    <row r="51" spans="1:29">
      <c r="A51" s="7" t="s">
        <v>147</v>
      </c>
      <c r="B51" s="7" t="s">
        <v>148</v>
      </c>
      <c r="C51" s="1" t="s">
        <v>36</v>
      </c>
      <c r="D51" s="7" t="s">
        <v>156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23">
        <f t="shared" ref="P51:Q51" si="10">COUNTIF(P48:P50,"Sí")*(1/3)</f>
        <v>0.66666666666666663</v>
      </c>
      <c r="Q51" s="23">
        <f t="shared" si="10"/>
        <v>0.66666666666666663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23">
        <f>COUNTIF(X48:X50,"Sí")*(1/3)</f>
        <v>0.66666666666666663</v>
      </c>
      <c r="Y51" s="5">
        <f ca="1">IFERROR(__xludf.DUMMYFUNCTION("INDEX(IMPORTRANGE(""1y0FWgjbB0gVlqn-q5LMJbGIsqOrzru4yowQz67dz2yc"", ""'SPGG'!BH3:BH139""),MATCH(D51,IMPORTRANGE(""1y0FWgjbB0gVlqn-q5LMJbGIsqOrzru4yowQz67dz2yc"", ""'SPGG'!D3:D139""),0))"),1)</f>
        <v>1</v>
      </c>
      <c r="Z51" s="5">
        <f ca="1">IFERROR(__xludf.DUMMYFUNCTION("INDEX(IMPORTRANGE(""1y0FWgjbB0gVlqn-q5LMJbGIsqOrzru4yowQz67dz2yc"", ""'SPGG'!BI3:BI139""),MATCH(D51,IMPORTRANGE(""1y0FWgjbB0gVlqn-q5LMJbGIsqOrzru4yowQz67dz2yc"", ""'SPGG'!D3:D139""),0))"),1)</f>
        <v>1</v>
      </c>
      <c r="AA51" s="2"/>
      <c r="AB51" s="2"/>
      <c r="AC51" s="2"/>
    </row>
    <row r="52" spans="1:29">
      <c r="A52" s="7" t="s">
        <v>147</v>
      </c>
      <c r="B52" s="7" t="s">
        <v>148</v>
      </c>
      <c r="C52" s="1" t="s">
        <v>36</v>
      </c>
      <c r="D52" s="7" t="s">
        <v>158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1</v>
      </c>
      <c r="Q52" s="12">
        <v>1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12">
        <v>1</v>
      </c>
      <c r="Y52" s="5">
        <f ca="1">IFERROR(__xludf.DUMMYFUNCTION("INDEX(IMPORTRANGE(""1y0FWgjbB0gVlqn-q5LMJbGIsqOrzru4yowQz67dz2yc"", ""'SPGG'!BH3:BH139""),MATCH(D52,IMPORTRANGE(""1y0FWgjbB0gVlqn-q5LMJbGIsqOrzru4yowQz67dz2yc"", ""'SPGG'!D3:D139""),0))"),1)</f>
        <v>1</v>
      </c>
      <c r="Z52" s="5">
        <f ca="1">IFERROR(__xludf.DUMMYFUNCTION("INDEX(IMPORTRANGE(""1y0FWgjbB0gVlqn-q5LMJbGIsqOrzru4yowQz67dz2yc"", ""'SPGG'!BI3:BI139""),MATCH(D52,IMPORTRANGE(""1y0FWgjbB0gVlqn-q5LMJbGIsqOrzru4yowQz67dz2yc"", ""'SPGG'!D3:D139""),0))"),1)</f>
        <v>1</v>
      </c>
      <c r="AA52" s="2"/>
      <c r="AB52" s="2"/>
      <c r="AC52" s="2"/>
    </row>
    <row r="53" spans="1:29">
      <c r="A53" s="7" t="s">
        <v>147</v>
      </c>
      <c r="B53" s="7" t="s">
        <v>148</v>
      </c>
      <c r="C53" s="1" t="s">
        <v>30</v>
      </c>
      <c r="D53" s="7" t="s">
        <v>162</v>
      </c>
      <c r="E53" s="9" t="s">
        <v>38</v>
      </c>
      <c r="F53" s="9" t="s">
        <v>163</v>
      </c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0</v>
      </c>
      <c r="Q53" s="12">
        <v>0</v>
      </c>
      <c r="R53" s="13"/>
      <c r="S53" s="13"/>
      <c r="T53" s="13"/>
      <c r="U53" s="13"/>
      <c r="V53" s="13"/>
      <c r="W53" s="4"/>
      <c r="X53" s="12">
        <v>0</v>
      </c>
      <c r="Y53" s="5">
        <f ca="1">IFERROR(__xludf.DUMMYFUNCTION("INDEX(IMPORTRANGE(""1y0FWgjbB0gVlqn-q5LMJbGIsqOrzru4yowQz67dz2yc"", ""'SPGG'!BH3:BH139""),MATCH(D53,IMPORTRANGE(""1y0FWgjbB0gVlqn-q5LMJbGIsqOrzru4yowQz67dz2yc"", ""'SPGG'!D3:D139""),0))"),0)</f>
        <v>0</v>
      </c>
      <c r="Z53" s="5">
        <f ca="1">IFERROR(__xludf.DUMMYFUNCTION("INDEX(IMPORTRANGE(""1y0FWgjbB0gVlqn-q5LMJbGIsqOrzru4yowQz67dz2yc"", ""'SPGG'!BI3:BI139""),MATCH(D53,IMPORTRANGE(""1y0FWgjbB0gVlqn-q5LMJbGIsqOrzru4yowQz67dz2yc"", ""'SPGG'!D3:D139""),0))"),0)</f>
        <v>0</v>
      </c>
      <c r="AA53" s="2"/>
      <c r="AB53" s="2"/>
      <c r="AC53" s="2"/>
    </row>
    <row r="54" spans="1:29">
      <c r="A54" s="7" t="s">
        <v>147</v>
      </c>
      <c r="B54" s="7" t="s">
        <v>148</v>
      </c>
      <c r="C54" s="1" t="s">
        <v>30</v>
      </c>
      <c r="D54" s="7" t="s">
        <v>164</v>
      </c>
      <c r="E54" s="9" t="s">
        <v>38</v>
      </c>
      <c r="F54" s="9" t="s">
        <v>165</v>
      </c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13"/>
      <c r="S54" s="13"/>
      <c r="T54" s="13"/>
      <c r="U54" s="13"/>
      <c r="V54" s="13"/>
      <c r="W54" s="4"/>
      <c r="X54" s="12">
        <v>0</v>
      </c>
      <c r="Y54" s="5">
        <f ca="1">IFERROR(__xludf.DUMMYFUNCTION("INDEX(IMPORTRANGE(""1y0FWgjbB0gVlqn-q5LMJbGIsqOrzru4yowQz67dz2yc"", ""'SPGG'!BH3:BH139""),MATCH(D54,IMPORTRANGE(""1y0FWgjbB0gVlqn-q5LMJbGIsqOrzru4yowQz67dz2yc"", ""'SPGG'!D3:D139""),0))"),0)</f>
        <v>0</v>
      </c>
      <c r="Z54" s="5">
        <f ca="1">IFERROR(__xludf.DUMMYFUNCTION("INDEX(IMPORTRANGE(""1y0FWgjbB0gVlqn-q5LMJbGIsqOrzru4yowQz67dz2yc"", ""'SPGG'!BI3:BI139""),MATCH(D54,IMPORTRANGE(""1y0FWgjbB0gVlqn-q5LMJbGIsqOrzru4yowQz67dz2yc"", ""'SPGG'!D3:D139""),0))"),0)</f>
        <v>0</v>
      </c>
      <c r="AA54" s="2"/>
      <c r="AB54" s="2"/>
      <c r="AC54" s="2"/>
    </row>
    <row r="55" spans="1:29">
      <c r="A55" s="7" t="s">
        <v>147</v>
      </c>
      <c r="B55" s="7" t="s">
        <v>148</v>
      </c>
      <c r="C55" s="1" t="s">
        <v>36</v>
      </c>
      <c r="D55" s="7" t="s">
        <v>166</v>
      </c>
      <c r="E55" s="9" t="s">
        <v>38</v>
      </c>
      <c r="F55" s="9" t="s">
        <v>167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30" t="str">
        <f t="shared" ref="P55:Q55" si="11">IFERROR(P54/P53,"NA")</f>
        <v>NA</v>
      </c>
      <c r="Q55" s="30" t="str">
        <f t="shared" si="11"/>
        <v>NA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30" t="str">
        <f>IFERROR(X54/X53,"NA")</f>
        <v>NA</v>
      </c>
      <c r="Y55" s="5" t="str">
        <f ca="1">IFERROR(__xludf.DUMMYFUNCTION("INDEX(IMPORTRANGE(""1y0FWgjbB0gVlqn-q5LMJbGIsqOrzru4yowQz67dz2yc"", ""'SPGG'!BH3:BH139""),MATCH(D55,IMPORTRANGE(""1y0FWgjbB0gVlqn-q5LMJbGIsqOrzru4yowQz67dz2yc"", ""'SPGG'!D3:D139""),0))"),"NA")</f>
        <v>NA</v>
      </c>
      <c r="Z55" s="5" t="str">
        <f ca="1">IFERROR(__xludf.DUMMYFUNCTION("INDEX(IMPORTRANGE(""1y0FWgjbB0gVlqn-q5LMJbGIsqOrzru4yowQz67dz2yc"", ""'SPGG'!BI3:BI139""),MATCH(D55,IMPORTRANGE(""1y0FWgjbB0gVlqn-q5LMJbGIsqOrzru4yowQz67dz2yc"", ""'SPGG'!D3:D139""),0))"),"NA")</f>
        <v>NA</v>
      </c>
      <c r="AA55" s="2"/>
      <c r="AB55" s="2"/>
      <c r="AC55" s="2"/>
    </row>
    <row r="56" spans="1:29">
      <c r="A56" s="7" t="s">
        <v>147</v>
      </c>
      <c r="B56" s="7" t="s">
        <v>168</v>
      </c>
      <c r="C56" s="1" t="s">
        <v>30</v>
      </c>
      <c r="D56" s="7" t="s">
        <v>169</v>
      </c>
      <c r="E56" s="9" t="s">
        <v>38</v>
      </c>
      <c r="F56" s="9" t="s">
        <v>170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18932</v>
      </c>
      <c r="Q56" s="12">
        <v>18932</v>
      </c>
      <c r="R56" s="13"/>
      <c r="S56" s="13"/>
      <c r="T56" s="13"/>
      <c r="U56" s="13"/>
      <c r="V56" s="13"/>
      <c r="W56" s="4"/>
      <c r="X56" s="12">
        <v>18932</v>
      </c>
      <c r="Y56" s="5">
        <f ca="1">IFERROR(__xludf.DUMMYFUNCTION("INDEX(IMPORTRANGE(""1y0FWgjbB0gVlqn-q5LMJbGIsqOrzru4yowQz67dz2yc"", ""'SPGG'!BH3:BH139""),MATCH(D56,IMPORTRANGE(""1y0FWgjbB0gVlqn-q5LMJbGIsqOrzru4yowQz67dz2yc"", ""'SPGG'!D3:D139""),0))"),18932)</f>
        <v>18932</v>
      </c>
      <c r="Z56" s="5">
        <f ca="1">IFERROR(__xludf.DUMMYFUNCTION("INDEX(IMPORTRANGE(""1y0FWgjbB0gVlqn-q5LMJbGIsqOrzru4yowQz67dz2yc"", ""'SPGG'!BI3:BI139""),MATCH(D56,IMPORTRANGE(""1y0FWgjbB0gVlqn-q5LMJbGIsqOrzru4yowQz67dz2yc"", ""'SPGG'!D3:D139""),0))"),18932)</f>
        <v>18932</v>
      </c>
      <c r="AA56" s="2"/>
      <c r="AB56" s="2"/>
      <c r="AC56" s="2"/>
    </row>
    <row r="57" spans="1:29">
      <c r="A57" s="7" t="s">
        <v>147</v>
      </c>
      <c r="B57" s="7" t="s">
        <v>168</v>
      </c>
      <c r="C57" s="1" t="s">
        <v>30</v>
      </c>
      <c r="D57" s="7" t="s">
        <v>171</v>
      </c>
      <c r="E57" s="9" t="s">
        <v>38</v>
      </c>
      <c r="F57" s="9" t="s">
        <v>172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18932</v>
      </c>
      <c r="Q57" s="12">
        <v>18932</v>
      </c>
      <c r="R57" s="13"/>
      <c r="S57" s="13"/>
      <c r="T57" s="13"/>
      <c r="U57" s="13"/>
      <c r="V57" s="13"/>
      <c r="W57" s="4"/>
      <c r="X57" s="12">
        <v>18932</v>
      </c>
      <c r="Y57" s="5">
        <f ca="1">IFERROR(__xludf.DUMMYFUNCTION("INDEX(IMPORTRANGE(""1y0FWgjbB0gVlqn-q5LMJbGIsqOrzru4yowQz67dz2yc"", ""'SPGG'!BH3:BH139""),MATCH(D57,IMPORTRANGE(""1y0FWgjbB0gVlqn-q5LMJbGIsqOrzru4yowQz67dz2yc"", ""'SPGG'!D3:D139""),0))"),18932)</f>
        <v>18932</v>
      </c>
      <c r="Z57" s="5">
        <f ca="1">IFERROR(__xludf.DUMMYFUNCTION("INDEX(IMPORTRANGE(""1y0FWgjbB0gVlqn-q5LMJbGIsqOrzru4yowQz67dz2yc"", ""'SPGG'!BI3:BI139""),MATCH(D57,IMPORTRANGE(""1y0FWgjbB0gVlqn-q5LMJbGIsqOrzru4yowQz67dz2yc"", ""'SPGG'!D3:D139""),0))"),18932)</f>
        <v>18932</v>
      </c>
      <c r="AA57" s="2"/>
      <c r="AB57" s="2"/>
      <c r="AC57" s="2"/>
    </row>
    <row r="58" spans="1:29">
      <c r="A58" s="7" t="s">
        <v>147</v>
      </c>
      <c r="B58" s="7" t="s">
        <v>168</v>
      </c>
      <c r="C58" s="1" t="s">
        <v>36</v>
      </c>
      <c r="D58" s="7" t="s">
        <v>173</v>
      </c>
      <c r="E58" s="9" t="s">
        <v>38</v>
      </c>
      <c r="F58" s="9" t="s">
        <v>174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4">
        <f t="shared" ref="P58:Q58" si="12">P56/P57</f>
        <v>1</v>
      </c>
      <c r="Q58" s="14">
        <f t="shared" si="12"/>
        <v>1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5">
        <f>X56/X57</f>
        <v>1</v>
      </c>
      <c r="Y58" s="505">
        <f ca="1">IFERROR(__xludf.DUMMYFUNCTION("INDEX(IMPORTRANGE(""1y0FWgjbB0gVlqn-q5LMJbGIsqOrzru4yowQz67dz2yc"", ""'SPGG'!BH3:BH139""),MATCH(D58,IMPORTRANGE(""1y0FWgjbB0gVlqn-q5LMJbGIsqOrzru4yowQz67dz2yc"", ""'SPGG'!D3:D139""),0))"),1)</f>
        <v>1</v>
      </c>
      <c r="Z58" s="505">
        <f ca="1">IFERROR(__xludf.DUMMYFUNCTION("INDEX(IMPORTRANGE(""1y0FWgjbB0gVlqn-q5LMJbGIsqOrzru4yowQz67dz2yc"", ""'SPGG'!BI3:BI139""),MATCH(D58,IMPORTRANGE(""1y0FWgjbB0gVlqn-q5LMJbGIsqOrzru4yowQz67dz2yc"", ""'SPGG'!D3:D139""),0))"),1)</f>
        <v>1</v>
      </c>
      <c r="AA58" s="2"/>
      <c r="AB58" s="2"/>
      <c r="AC58" s="2"/>
    </row>
    <row r="59" spans="1:29">
      <c r="A59" s="7" t="s">
        <v>147</v>
      </c>
      <c r="B59" s="7" t="s">
        <v>168</v>
      </c>
      <c r="C59" s="1" t="s">
        <v>30</v>
      </c>
      <c r="D59" s="7" t="s">
        <v>175</v>
      </c>
      <c r="E59" s="9" t="s">
        <v>38</v>
      </c>
      <c r="F59" s="9" t="s">
        <v>176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37730</v>
      </c>
      <c r="Q59" s="12">
        <v>37730</v>
      </c>
      <c r="R59" s="13"/>
      <c r="S59" s="13"/>
      <c r="T59" s="13"/>
      <c r="U59" s="13"/>
      <c r="V59" s="13"/>
      <c r="W59" s="4"/>
      <c r="X59" s="12">
        <v>37730</v>
      </c>
      <c r="Y59" s="5">
        <f ca="1">IFERROR(__xludf.DUMMYFUNCTION("INDEX(IMPORTRANGE(""1y0FWgjbB0gVlqn-q5LMJbGIsqOrzru4yowQz67dz2yc"", ""'SPGG'!BH3:BH139""),MATCH(D59,IMPORTRANGE(""1y0FWgjbB0gVlqn-q5LMJbGIsqOrzru4yowQz67dz2yc"", ""'SPGG'!D3:D139""),0))"),37730)</f>
        <v>37730</v>
      </c>
      <c r="Z59" s="5">
        <f ca="1">IFERROR(__xludf.DUMMYFUNCTION("INDEX(IMPORTRANGE(""1y0FWgjbB0gVlqn-q5LMJbGIsqOrzru4yowQz67dz2yc"", ""'SPGG'!BI3:BI139""),MATCH(D59,IMPORTRANGE(""1y0FWgjbB0gVlqn-q5LMJbGIsqOrzru4yowQz67dz2yc"", ""'SPGG'!D3:D139""),0))"),37730)</f>
        <v>37730</v>
      </c>
      <c r="AA59" s="2"/>
      <c r="AB59" s="2"/>
      <c r="AC59" s="2"/>
    </row>
    <row r="60" spans="1:29">
      <c r="A60" s="7" t="s">
        <v>147</v>
      </c>
      <c r="B60" s="7" t="s">
        <v>168</v>
      </c>
      <c r="C60" s="1" t="s">
        <v>36</v>
      </c>
      <c r="D60" s="7" t="s">
        <v>177</v>
      </c>
      <c r="E60" s="9" t="s">
        <v>38</v>
      </c>
      <c r="F60" s="2" t="s">
        <v>178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3">P59/P35</f>
        <v>1</v>
      </c>
      <c r="Q60" s="15">
        <f t="shared" si="13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X59/X35</f>
        <v>1</v>
      </c>
      <c r="Y60" s="505">
        <f ca="1">IFERROR(__xludf.DUMMYFUNCTION("INDEX(IMPORTRANGE(""1y0FWgjbB0gVlqn-q5LMJbGIsqOrzru4yowQz67dz2yc"", ""'SPGG'!BH3:BH139""),MATCH(D60,IMPORTRANGE(""1y0FWgjbB0gVlqn-q5LMJbGIsqOrzru4yowQz67dz2yc"", ""'SPGG'!D3:D139""),0))"),1)</f>
        <v>1</v>
      </c>
      <c r="Z60" s="505">
        <f ca="1">IFERROR(__xludf.DUMMYFUNCTION("INDEX(IMPORTRANGE(""1y0FWgjbB0gVlqn-q5LMJbGIsqOrzru4yowQz67dz2yc"", ""'SPGG'!BI3:BI139""),MATCH(D60,IMPORTRANGE(""1y0FWgjbB0gVlqn-q5LMJbGIsqOrzru4yowQz67dz2yc"", ""'SPGG'!D3:D139""),0))"),1)</f>
        <v>1</v>
      </c>
      <c r="AA60" s="2"/>
      <c r="AB60" s="2"/>
      <c r="AC60" s="2"/>
    </row>
    <row r="61" spans="1:29">
      <c r="A61" s="7" t="s">
        <v>147</v>
      </c>
      <c r="B61" s="7" t="s">
        <v>168</v>
      </c>
      <c r="C61" s="1" t="s">
        <v>30</v>
      </c>
      <c r="D61" s="7" t="s">
        <v>179</v>
      </c>
      <c r="E61" s="9" t="s">
        <v>38</v>
      </c>
      <c r="F61" s="9" t="s">
        <v>180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7659036</v>
      </c>
      <c r="Q61" s="12">
        <v>7659036</v>
      </c>
      <c r="R61" s="13"/>
      <c r="S61" s="13"/>
      <c r="T61" s="13"/>
      <c r="U61" s="13"/>
      <c r="V61" s="13"/>
      <c r="W61" s="4"/>
      <c r="X61" s="12">
        <v>7659036</v>
      </c>
      <c r="Y61" s="5">
        <f ca="1">IFERROR(__xludf.DUMMYFUNCTION("INDEX(IMPORTRANGE(""1y0FWgjbB0gVlqn-q5LMJbGIsqOrzru4yowQz67dz2yc"", ""'SPGG'!BH3:BH139""),MATCH(D61,IMPORTRANGE(""1y0FWgjbB0gVlqn-q5LMJbGIsqOrzru4yowQz67dz2yc"", ""'SPGG'!D3:D139""),0))"),7659036)</f>
        <v>7659036</v>
      </c>
      <c r="Z61" s="5">
        <f ca="1">IFERROR(__xludf.DUMMYFUNCTION("INDEX(IMPORTRANGE(""1y0FWgjbB0gVlqn-q5LMJbGIsqOrzru4yowQz67dz2yc"", ""'SPGG'!BI3:BI139""),MATCH(D61,IMPORTRANGE(""1y0FWgjbB0gVlqn-q5LMJbGIsqOrzru4yowQz67dz2yc"", ""'SPGG'!D3:D139""),0))"),7659036)</f>
        <v>7659036</v>
      </c>
      <c r="AA61" s="2"/>
      <c r="AB61" s="2"/>
      <c r="AC61" s="2"/>
    </row>
    <row r="62" spans="1:29">
      <c r="A62" s="7" t="s">
        <v>147</v>
      </c>
      <c r="B62" s="7" t="s">
        <v>168</v>
      </c>
      <c r="C62" s="1" t="s">
        <v>30</v>
      </c>
      <c r="D62" s="7" t="s">
        <v>181</v>
      </c>
      <c r="E62" s="9" t="s">
        <v>38</v>
      </c>
      <c r="F62" s="9" t="s">
        <v>182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2">
        <v>7659036</v>
      </c>
      <c r="Q62" s="12">
        <v>7659036</v>
      </c>
      <c r="R62" s="13"/>
      <c r="S62" s="13"/>
      <c r="T62" s="13"/>
      <c r="U62" s="13"/>
      <c r="V62" s="13"/>
      <c r="W62" s="4"/>
      <c r="X62" s="12">
        <v>7659036</v>
      </c>
      <c r="Y62" s="5">
        <f ca="1">IFERROR(__xludf.DUMMYFUNCTION("INDEX(IMPORTRANGE(""1y0FWgjbB0gVlqn-q5LMJbGIsqOrzru4yowQz67dz2yc"", ""'SPGG'!BH3:BH139""),MATCH(D62,IMPORTRANGE(""1y0FWgjbB0gVlqn-q5LMJbGIsqOrzru4yowQz67dz2yc"", ""'SPGG'!D3:D139""),0))"),7659036)</f>
        <v>7659036</v>
      </c>
      <c r="Z62" s="5">
        <f ca="1">IFERROR(__xludf.DUMMYFUNCTION("INDEX(IMPORTRANGE(""1y0FWgjbB0gVlqn-q5LMJbGIsqOrzru4yowQz67dz2yc"", ""'SPGG'!BI3:BI139""),MATCH(D62,IMPORTRANGE(""1y0FWgjbB0gVlqn-q5LMJbGIsqOrzru4yowQz67dz2yc"", ""'SPGG'!D3:D139""),0))"),7659036)</f>
        <v>7659036</v>
      </c>
      <c r="AA62" s="2"/>
      <c r="AB62" s="2"/>
      <c r="AC62" s="2"/>
    </row>
    <row r="63" spans="1:29">
      <c r="A63" s="7" t="s">
        <v>147</v>
      </c>
      <c r="B63" s="7" t="s">
        <v>168</v>
      </c>
      <c r="C63" s="1" t="s">
        <v>36</v>
      </c>
      <c r="D63" s="7" t="s">
        <v>183</v>
      </c>
      <c r="E63" s="9" t="s">
        <v>38</v>
      </c>
      <c r="F63" s="9" t="s">
        <v>184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4">P61/P62</f>
        <v>1</v>
      </c>
      <c r="Q63" s="15">
        <f t="shared" si="14"/>
        <v>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1</v>
      </c>
      <c r="Y63" s="505">
        <f ca="1">IFERROR(__xludf.DUMMYFUNCTION("INDEX(IMPORTRANGE(""1y0FWgjbB0gVlqn-q5LMJbGIsqOrzru4yowQz67dz2yc"", ""'SPGG'!BH3:BH139""),MATCH(D63,IMPORTRANGE(""1y0FWgjbB0gVlqn-q5LMJbGIsqOrzru4yowQz67dz2yc"", ""'SPGG'!D3:D139""),0))"),1)</f>
        <v>1</v>
      </c>
      <c r="Z63" s="505">
        <f ca="1">IFERROR(__xludf.DUMMYFUNCTION("INDEX(IMPORTRANGE(""1y0FWgjbB0gVlqn-q5LMJbGIsqOrzru4yowQz67dz2yc"", ""'SPGG'!BI3:BI139""),MATCH(D63,IMPORTRANGE(""1y0FWgjbB0gVlqn-q5LMJbGIsqOrzru4yowQz67dz2yc"", ""'SPGG'!D3:D139""),0))"),1)</f>
        <v>1</v>
      </c>
      <c r="AA63" s="2"/>
      <c r="AB63" s="2"/>
      <c r="AC63" s="2"/>
    </row>
    <row r="64" spans="1:29">
      <c r="A64" s="7" t="s">
        <v>147</v>
      </c>
      <c r="B64" s="7" t="s">
        <v>168</v>
      </c>
      <c r="C64" s="1" t="s">
        <v>30</v>
      </c>
      <c r="D64" s="7" t="s">
        <v>185</v>
      </c>
      <c r="E64" s="9" t="s">
        <v>38</v>
      </c>
      <c r="F64" s="9" t="s">
        <v>186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78745</v>
      </c>
      <c r="Q64" s="12">
        <v>78745</v>
      </c>
      <c r="R64" s="13"/>
      <c r="S64" s="13"/>
      <c r="T64" s="13"/>
      <c r="U64" s="13"/>
      <c r="V64" s="13"/>
      <c r="W64" s="4"/>
      <c r="X64" s="12">
        <v>78855</v>
      </c>
      <c r="Y64" s="5">
        <f ca="1">IFERROR(__xludf.DUMMYFUNCTION("INDEX(IMPORTRANGE(""1y0FWgjbB0gVlqn-q5LMJbGIsqOrzru4yowQz67dz2yc"", ""'SPGG'!BH3:BH139""),MATCH(D64,IMPORTRANGE(""1y0FWgjbB0gVlqn-q5LMJbGIsqOrzru4yowQz67dz2yc"", ""'SPGG'!D3:D139""),0))"),82516)</f>
        <v>82516</v>
      </c>
      <c r="Z64" s="5">
        <f ca="1">IFERROR(__xludf.DUMMYFUNCTION("INDEX(IMPORTRANGE(""1y0FWgjbB0gVlqn-q5LMJbGIsqOrzru4yowQz67dz2yc"", ""'SPGG'!BI3:BI139""),MATCH(D64,IMPORTRANGE(""1y0FWgjbB0gVlqn-q5LMJbGIsqOrzru4yowQz67dz2yc"", ""'SPGG'!D3:D139""),0))"),83518)</f>
        <v>83518</v>
      </c>
      <c r="AA64" s="2"/>
      <c r="AB64" s="2"/>
      <c r="AC64" s="2"/>
    </row>
    <row r="65" spans="1:29">
      <c r="A65" s="7" t="s">
        <v>147</v>
      </c>
      <c r="B65" s="7" t="s">
        <v>168</v>
      </c>
      <c r="C65" s="1" t="s">
        <v>30</v>
      </c>
      <c r="D65" s="7" t="s">
        <v>187</v>
      </c>
      <c r="E65" s="9" t="s">
        <v>38</v>
      </c>
      <c r="F65" s="9" t="s">
        <v>188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2">
        <v>88000</v>
      </c>
      <c r="Q65" s="12">
        <v>88000</v>
      </c>
      <c r="R65" s="13"/>
      <c r="S65" s="13"/>
      <c r="T65" s="13"/>
      <c r="U65" s="13"/>
      <c r="V65" s="13"/>
      <c r="W65" s="4"/>
      <c r="X65" s="12">
        <v>88000</v>
      </c>
      <c r="Y65" s="5">
        <f ca="1">IFERROR(__xludf.DUMMYFUNCTION("INDEX(IMPORTRANGE(""1y0FWgjbB0gVlqn-q5LMJbGIsqOrzru4yowQz67dz2yc"", ""'SPGG'!BH3:BH139""),MATCH(D65,IMPORTRANGE(""1y0FWgjbB0gVlqn-q5LMJbGIsqOrzru4yowQz67dz2yc"", ""'SPGG'!D3:D139""),0))"),88000)</f>
        <v>88000</v>
      </c>
      <c r="Z65" s="5">
        <f ca="1">IFERROR(__xludf.DUMMYFUNCTION("INDEX(IMPORTRANGE(""1y0FWgjbB0gVlqn-q5LMJbGIsqOrzru4yowQz67dz2yc"", ""'SPGG'!BI3:BI139""),MATCH(D65,IMPORTRANGE(""1y0FWgjbB0gVlqn-q5LMJbGIsqOrzru4yowQz67dz2yc"", ""'SPGG'!D3:D139""),0))"),88000)</f>
        <v>88000</v>
      </c>
      <c r="AA65" s="2"/>
      <c r="AB65" s="2"/>
      <c r="AC65" s="2"/>
    </row>
    <row r="66" spans="1:29">
      <c r="A66" s="7" t="s">
        <v>147</v>
      </c>
      <c r="B66" s="7" t="s">
        <v>168</v>
      </c>
      <c r="C66" s="1" t="s">
        <v>36</v>
      </c>
      <c r="D66" s="7" t="s">
        <v>189</v>
      </c>
      <c r="E66" s="9" t="s">
        <v>38</v>
      </c>
      <c r="F66" s="9" t="s">
        <v>190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5">P64/P65</f>
        <v>0.89482954545454541</v>
      </c>
      <c r="Q66" s="15">
        <f t="shared" si="15"/>
        <v>0.89482954545454541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0.89607954545454549</v>
      </c>
      <c r="Y66" s="505">
        <f ca="1">IFERROR(__xludf.DUMMYFUNCTION("INDEX(IMPORTRANGE(""1y0FWgjbB0gVlqn-q5LMJbGIsqOrzru4yowQz67dz2yc"", ""'SPGG'!BH3:BH139""),MATCH(D66,IMPORTRANGE(""1y0FWgjbB0gVlqn-q5LMJbGIsqOrzru4yowQz67dz2yc"", ""'SPGG'!D3:D139""),0))"),0.937681818181818)</f>
        <v>0.93768181818181795</v>
      </c>
      <c r="Z66" s="505">
        <f ca="1">IFERROR(__xludf.DUMMYFUNCTION("INDEX(IMPORTRANGE(""1y0FWgjbB0gVlqn-q5LMJbGIsqOrzru4yowQz67dz2yc"", ""'SPGG'!BI3:BI139""),MATCH(D66,IMPORTRANGE(""1y0FWgjbB0gVlqn-q5LMJbGIsqOrzru4yowQz67dz2yc"", ""'SPGG'!D3:D139""),0))"),0.949068181818181)</f>
        <v>0.94906818181818098</v>
      </c>
      <c r="AA66" s="2"/>
      <c r="AB66" s="2"/>
      <c r="AC66" s="2"/>
    </row>
    <row r="67" spans="1:29">
      <c r="A67" s="7" t="s">
        <v>147</v>
      </c>
      <c r="B67" s="7" t="s">
        <v>168</v>
      </c>
      <c r="C67" s="1" t="s">
        <v>30</v>
      </c>
      <c r="D67" s="7" t="s">
        <v>191</v>
      </c>
      <c r="E67" s="9" t="s">
        <v>38</v>
      </c>
      <c r="F67" s="9" t="s">
        <v>192</v>
      </c>
      <c r="G67" s="2" t="s">
        <v>56</v>
      </c>
      <c r="H67" s="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23">
        <v>0</v>
      </c>
      <c r="Q67" s="23">
        <v>0</v>
      </c>
      <c r="R67" s="1"/>
      <c r="S67" s="1"/>
      <c r="T67" s="1"/>
      <c r="U67" s="1"/>
      <c r="V67" s="1"/>
      <c r="W67" s="2"/>
      <c r="X67" s="23">
        <v>0</v>
      </c>
      <c r="Y67" s="478">
        <f ca="1">IFERROR(__xludf.DUMMYFUNCTION("INDEX(IMPORTRANGE(""1y0FWgjbB0gVlqn-q5LMJbGIsqOrzru4yowQz67dz2yc"", ""'SPGG'!BH3:BH139""),MATCH(D67,IMPORTRANGE(""1y0FWgjbB0gVlqn-q5LMJbGIsqOrzru4yowQz67dz2yc"", ""'SPGG'!D3:D139""),0))"),1.207)</f>
        <v>1.2070000000000001</v>
      </c>
      <c r="Z67" s="5">
        <f ca="1">IFERROR(__xludf.DUMMYFUNCTION("INDEX(IMPORTRANGE(""1y0FWgjbB0gVlqn-q5LMJbGIsqOrzru4yowQz67dz2yc"", ""'SPGG'!BI3:BI139""),MATCH(D67,IMPORTRANGE(""1y0FWgjbB0gVlqn-q5LMJbGIsqOrzru4yowQz67dz2yc"", ""'SPGG'!D3:D139""),0))"),1.32)</f>
        <v>1.32</v>
      </c>
      <c r="AA67" s="2"/>
      <c r="AB67" s="2"/>
      <c r="AC67" s="2"/>
    </row>
    <row r="68" spans="1:29">
      <c r="A68" s="7" t="s">
        <v>147</v>
      </c>
      <c r="B68" s="7" t="s">
        <v>168</v>
      </c>
      <c r="C68" s="1" t="s">
        <v>30</v>
      </c>
      <c r="D68" s="7" t="s">
        <v>193</v>
      </c>
      <c r="E68" s="9" t="s">
        <v>38</v>
      </c>
      <c r="F68" s="9" t="s">
        <v>194</v>
      </c>
      <c r="G68" s="2" t="s">
        <v>56</v>
      </c>
      <c r="H68" s="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23">
        <v>0.188</v>
      </c>
      <c r="Q68" s="23">
        <v>4.3849999999999998</v>
      </c>
      <c r="R68" s="1"/>
      <c r="S68" s="1"/>
      <c r="T68" s="1"/>
      <c r="U68" s="1"/>
      <c r="V68" s="1"/>
      <c r="W68" s="2">
        <v>2.37</v>
      </c>
      <c r="X68" s="23">
        <v>0.11</v>
      </c>
      <c r="Y68" s="478">
        <f ca="1">IFERROR(__xludf.DUMMYFUNCTION("INDEX(IMPORTRANGE(""1y0FWgjbB0gVlqn-q5LMJbGIsqOrzru4yowQz67dz2yc"", ""'SPGG'!BH3:BH139""),MATCH(D68,IMPORTRANGE(""1y0FWgjbB0gVlqn-q5LMJbGIsqOrzru4yowQz67dz2yc"", ""'SPGG'!D3:D139""),0))"),0.218)</f>
        <v>0.218</v>
      </c>
      <c r="Z68" s="5">
        <f ca="1">IFERROR(__xludf.DUMMYFUNCTION("INDEX(IMPORTRANGE(""1y0FWgjbB0gVlqn-q5LMJbGIsqOrzru4yowQz67dz2yc"", ""'SPGG'!BI3:BI139""),MATCH(D68,IMPORTRANGE(""1y0FWgjbB0gVlqn-q5LMJbGIsqOrzru4yowQz67dz2yc"", ""'SPGG'!D3:D139""),0))"),0)</f>
        <v>0</v>
      </c>
      <c r="AA68" s="2"/>
      <c r="AB68" s="2"/>
      <c r="AC68" s="2"/>
    </row>
    <row r="69" spans="1:29">
      <c r="A69" s="7" t="s">
        <v>147</v>
      </c>
      <c r="B69" s="7" t="s">
        <v>168</v>
      </c>
      <c r="C69" s="1" t="s">
        <v>30</v>
      </c>
      <c r="D69" s="7" t="s">
        <v>195</v>
      </c>
      <c r="E69" s="9" t="s">
        <v>38</v>
      </c>
      <c r="F69" s="9" t="s">
        <v>196</v>
      </c>
      <c r="G69" s="11">
        <v>44469</v>
      </c>
      <c r="H69" s="11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30"/>
      <c r="Q69" s="2"/>
      <c r="R69" s="13"/>
      <c r="S69" s="13"/>
      <c r="T69" s="13"/>
      <c r="U69" s="13"/>
      <c r="V69" s="13"/>
      <c r="W69" s="4"/>
      <c r="X69" s="2"/>
      <c r="Y69" s="5" t="str">
        <f ca="1">IFERROR(__xludf.DUMMYFUNCTION("INDEX(IMPORTRANGE(""1y0FWgjbB0gVlqn-q5LMJbGIsqOrzru4yowQz67dz2yc"", ""'SPGG'!BH3:BH139""),MATCH(D69,IMPORTRANGE(""1y0FWgjbB0gVlqn-q5LMJbGIsqOrzru4yowQz67dz2yc"", ""'SPGG'!D3:D139""),0))"),"")</f>
        <v/>
      </c>
      <c r="Z69" s="5" t="str">
        <f ca="1">IFERROR(__xludf.DUMMYFUNCTION("INDEX(IMPORTRANGE(""1y0FWgjbB0gVlqn-q5LMJbGIsqOrzru4yowQz67dz2yc"", ""'SPGG'!BI3:BI139""),MATCH(D69,IMPORTRANGE(""1y0FWgjbB0gVlqn-q5LMJbGIsqOrzru4yowQz67dz2yc"", ""'SPGG'!D3:D139""),0))"),"")</f>
        <v/>
      </c>
      <c r="AA69" s="2"/>
      <c r="AB69" s="2"/>
      <c r="AC69" s="2"/>
    </row>
    <row r="70" spans="1:29">
      <c r="A70" s="7" t="s">
        <v>147</v>
      </c>
      <c r="B70" s="7" t="s">
        <v>168</v>
      </c>
      <c r="C70" s="1" t="s">
        <v>36</v>
      </c>
      <c r="D70" s="7" t="s">
        <v>197</v>
      </c>
      <c r="E70" s="9" t="s">
        <v>38</v>
      </c>
      <c r="F70" s="9" t="s">
        <v>198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f t="shared" ref="P70:Q70" si="16">P67+P68</f>
        <v>0.188</v>
      </c>
      <c r="Q70" s="23">
        <f t="shared" si="16"/>
        <v>4.3849999999999998</v>
      </c>
      <c r="R70" s="4">
        <v>0.9</v>
      </c>
      <c r="S70" s="4">
        <v>0.2</v>
      </c>
      <c r="T70" s="4">
        <v>0.83</v>
      </c>
      <c r="U70" s="4">
        <v>0.63</v>
      </c>
      <c r="V70" s="4">
        <v>1.23</v>
      </c>
      <c r="W70" s="4">
        <v>2.37</v>
      </c>
      <c r="X70" s="23">
        <f>X67+X68</f>
        <v>0.11</v>
      </c>
      <c r="Y70" s="478">
        <f ca="1">IFERROR(__xludf.DUMMYFUNCTION("INDEX(IMPORTRANGE(""1y0FWgjbB0gVlqn-q5LMJbGIsqOrzru4yowQz67dz2yc"", ""'SPGG'!BH3:BH139""),MATCH(D70,IMPORTRANGE(""1y0FWgjbB0gVlqn-q5LMJbGIsqOrzru4yowQz67dz2yc"", ""'SPGG'!D3:D139""),0))"),1.425)</f>
        <v>1.425</v>
      </c>
      <c r="Z70" s="5">
        <f ca="1">IFERROR(__xludf.DUMMYFUNCTION("INDEX(IMPORTRANGE(""1y0FWgjbB0gVlqn-q5LMJbGIsqOrzru4yowQz67dz2yc"", ""'SPGG'!BI3:BI139""),MATCH(D70,IMPORTRANGE(""1y0FWgjbB0gVlqn-q5LMJbGIsqOrzru4yowQz67dz2yc"", ""'SPGG'!D3:D139""),0))"),1.32)</f>
        <v>1.32</v>
      </c>
      <c r="AA70" s="2"/>
      <c r="AB70" s="2"/>
      <c r="AC70" s="2"/>
    </row>
    <row r="71" spans="1:29">
      <c r="A71" s="7" t="s">
        <v>199</v>
      </c>
      <c r="B71" s="7" t="s">
        <v>200</v>
      </c>
      <c r="C71" s="1" t="s">
        <v>36</v>
      </c>
      <c r="D71" s="7" t="s">
        <v>201</v>
      </c>
      <c r="E71" s="9" t="s">
        <v>38</v>
      </c>
      <c r="F71" s="9" t="s">
        <v>202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23">
        <v>15.26</v>
      </c>
      <c r="Q71" s="23">
        <v>15.26</v>
      </c>
      <c r="R71" s="2">
        <v>19.010000000000002</v>
      </c>
      <c r="S71" s="2">
        <v>19.11</v>
      </c>
      <c r="T71" s="2">
        <v>19.510000000000002</v>
      </c>
      <c r="U71" s="2">
        <v>19.510000000000002</v>
      </c>
      <c r="V71" s="2">
        <v>20.9</v>
      </c>
      <c r="W71" s="23">
        <v>20.9</v>
      </c>
      <c r="X71" s="23">
        <v>23.06</v>
      </c>
      <c r="Y71" s="478">
        <f ca="1">IFERROR(__xludf.DUMMYFUNCTION("INDEX(IMPORTRANGE(""1y0FWgjbB0gVlqn-q5LMJbGIsqOrzru4yowQz67dz2yc"", ""'SPGG'!BH3:BH139""),MATCH(D71,IMPORTRANGE(""1y0FWgjbB0gVlqn-q5LMJbGIsqOrzru4yowQz67dz2yc"", ""'SPGG'!D3:D139""),0))"),26.1)</f>
        <v>26.1</v>
      </c>
      <c r="Z71" s="5">
        <f ca="1">IFERROR(__xludf.DUMMYFUNCTION("INDEX(IMPORTRANGE(""1y0FWgjbB0gVlqn-q5LMJbGIsqOrzru4yowQz67dz2yc"", ""'SPGG'!BI3:BI139""),MATCH(D71,IMPORTRANGE(""1y0FWgjbB0gVlqn-q5LMJbGIsqOrzru4yowQz67dz2yc"", ""'SPGG'!D3:D139""),0))"),19.01)</f>
        <v>19.010000000000002</v>
      </c>
      <c r="AA71" s="2"/>
      <c r="AB71" s="2"/>
      <c r="AC71" s="2"/>
    </row>
    <row r="72" spans="1:29">
      <c r="A72" s="7" t="s">
        <v>199</v>
      </c>
      <c r="B72" s="7" t="s">
        <v>200</v>
      </c>
      <c r="C72" s="1" t="s">
        <v>30</v>
      </c>
      <c r="D72" s="7" t="s">
        <v>203</v>
      </c>
      <c r="E72" s="9" t="s">
        <v>38</v>
      </c>
      <c r="F72" s="9" t="s">
        <v>204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1"/>
      <c r="S72" s="1"/>
      <c r="T72" s="1"/>
      <c r="U72" s="1"/>
      <c r="V72" s="1"/>
      <c r="W72" s="2"/>
      <c r="X72" s="12">
        <v>0</v>
      </c>
      <c r="Y72" s="5">
        <f ca="1">IFERROR(__xludf.DUMMYFUNCTION("INDEX(IMPORTRANGE(""1y0FWgjbB0gVlqn-q5LMJbGIsqOrzru4yowQz67dz2yc"", ""'SPGG'!BH3:BH139""),MATCH(D72,IMPORTRANGE(""1y0FWgjbB0gVlqn-q5LMJbGIsqOrzru4yowQz67dz2yc"", ""'SPGG'!D3:D139""),0))"),28)</f>
        <v>28</v>
      </c>
      <c r="Z72" s="5">
        <f ca="1">IFERROR(__xludf.DUMMYFUNCTION("INDEX(IMPORTRANGE(""1y0FWgjbB0gVlqn-q5LMJbGIsqOrzru4yowQz67dz2yc"", ""'SPGG'!BI3:BI139""),MATCH(D72,IMPORTRANGE(""1y0FWgjbB0gVlqn-q5LMJbGIsqOrzru4yowQz67dz2yc"", ""'SPGG'!D3:D139""),0))"),0)</f>
        <v>0</v>
      </c>
      <c r="AA72" s="2"/>
      <c r="AB72" s="2"/>
      <c r="AC72" s="2"/>
    </row>
    <row r="73" spans="1:29">
      <c r="A73" s="7" t="s">
        <v>199</v>
      </c>
      <c r="B73" s="7" t="s">
        <v>200</v>
      </c>
      <c r="C73" s="1" t="s">
        <v>30</v>
      </c>
      <c r="D73" s="7" t="s">
        <v>205</v>
      </c>
      <c r="E73" s="9" t="s">
        <v>38</v>
      </c>
      <c r="F73" s="9" t="s">
        <v>206</v>
      </c>
      <c r="G73" s="2" t="s">
        <v>56</v>
      </c>
      <c r="H73" s="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1"/>
      <c r="S73" s="1"/>
      <c r="T73" s="1"/>
      <c r="U73" s="1"/>
      <c r="V73" s="1"/>
      <c r="W73" s="9">
        <v>8261</v>
      </c>
      <c r="X73" s="12">
        <v>4162</v>
      </c>
      <c r="Y73" s="5">
        <f ca="1">IFERROR(__xludf.DUMMYFUNCTION("INDEX(IMPORTRANGE(""1y0FWgjbB0gVlqn-q5LMJbGIsqOrzru4yowQz67dz2yc"", ""'SPGG'!BH3:BH139""),MATCH(D73,IMPORTRANGE(""1y0FWgjbB0gVlqn-q5LMJbGIsqOrzru4yowQz67dz2yc"", ""'SPGG'!D3:D139""),0))"),4560.7)</f>
        <v>4560.7</v>
      </c>
      <c r="Z73" s="5">
        <f ca="1">IFERROR(__xludf.DUMMYFUNCTION("INDEX(IMPORTRANGE(""1y0FWgjbB0gVlqn-q5LMJbGIsqOrzru4yowQz67dz2yc"", ""'SPGG'!BI3:BI139""),MATCH(D73,IMPORTRANGE(""1y0FWgjbB0gVlqn-q5LMJbGIsqOrzru4yowQz67dz2yc"", ""'SPGG'!D3:D139""),0))"),431)</f>
        <v>431</v>
      </c>
      <c r="AA73" s="2"/>
      <c r="AB73" s="2"/>
      <c r="AC73" s="2"/>
    </row>
    <row r="74" spans="1:29">
      <c r="A74" s="7" t="s">
        <v>199</v>
      </c>
      <c r="B74" s="7" t="s">
        <v>200</v>
      </c>
      <c r="C74" s="1" t="s">
        <v>30</v>
      </c>
      <c r="D74" s="7" t="s">
        <v>207</v>
      </c>
      <c r="E74" s="9" t="s">
        <v>38</v>
      </c>
      <c r="F74" s="9" t="s">
        <v>208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2"/>
      <c r="X74" s="12">
        <v>0</v>
      </c>
      <c r="Y74" s="5">
        <f ca="1">IFERROR(__xludf.DUMMYFUNCTION("INDEX(IMPORTRANGE(""1y0FWgjbB0gVlqn-q5LMJbGIsqOrzru4yowQz67dz2yc"", ""'SPGG'!BH3:BH139""),MATCH(D74,IMPORTRANGE(""1y0FWgjbB0gVlqn-q5LMJbGIsqOrzru4yowQz67dz2yc"", ""'SPGG'!D3:D139""),0))"),0)</f>
        <v>0</v>
      </c>
      <c r="Z74" s="5">
        <f ca="1">IFERROR(__xludf.DUMMYFUNCTION("INDEX(IMPORTRANGE(""1y0FWgjbB0gVlqn-q5LMJbGIsqOrzru4yowQz67dz2yc"", ""'SPGG'!BI3:BI139""),MATCH(D74,IMPORTRANGE(""1y0FWgjbB0gVlqn-q5LMJbGIsqOrzru4yowQz67dz2yc"", ""'SPGG'!D3:D139""),0))"),0)</f>
        <v>0</v>
      </c>
      <c r="AA74" s="2"/>
      <c r="AB74" s="2"/>
      <c r="AC74" s="2"/>
    </row>
    <row r="75" spans="1:29">
      <c r="A75" s="7" t="s">
        <v>199</v>
      </c>
      <c r="B75" s="7" t="s">
        <v>200</v>
      </c>
      <c r="C75" s="1" t="s">
        <v>36</v>
      </c>
      <c r="D75" s="7" t="s">
        <v>209</v>
      </c>
      <c r="E75" s="9" t="s">
        <v>38</v>
      </c>
      <c r="F75" s="9" t="s">
        <v>210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4">
        <v>4265.7</v>
      </c>
      <c r="S75" s="4">
        <v>209</v>
      </c>
      <c r="T75" s="4">
        <v>200</v>
      </c>
      <c r="U75" s="4">
        <v>209</v>
      </c>
      <c r="V75" s="4">
        <v>200</v>
      </c>
      <c r="W75" s="4">
        <v>5500</v>
      </c>
      <c r="X75" s="12">
        <f>X72+X73+X74</f>
        <v>4162</v>
      </c>
      <c r="Y75" s="5">
        <f ca="1">IFERROR(__xludf.DUMMYFUNCTION("INDEX(IMPORTRANGE(""1y0FWgjbB0gVlqn-q5LMJbGIsqOrzru4yowQz67dz2yc"", ""'SPGG'!BH3:BH139""),MATCH(D75,IMPORTRANGE(""1y0FWgjbB0gVlqn-q5LMJbGIsqOrzru4yowQz67dz2yc"", ""'SPGG'!D3:D139""),0))"),4588.7)</f>
        <v>4588.7</v>
      </c>
      <c r="Z75" s="5">
        <f ca="1">IFERROR(__xludf.DUMMYFUNCTION("INDEX(IMPORTRANGE(""1y0FWgjbB0gVlqn-q5LMJbGIsqOrzru4yowQz67dz2yc"", ""'SPGG'!BI3:BI139""),MATCH(D75,IMPORTRANGE(""1y0FWgjbB0gVlqn-q5LMJbGIsqOrzru4yowQz67dz2yc"", ""'SPGG'!D3:D139""),0))"),431)</f>
        <v>431</v>
      </c>
      <c r="AA75" s="2"/>
      <c r="AB75" s="2"/>
      <c r="AC75" s="2"/>
    </row>
    <row r="76" spans="1:29">
      <c r="A76" s="7" t="s">
        <v>199</v>
      </c>
      <c r="B76" s="7" t="s">
        <v>200</v>
      </c>
      <c r="C76" s="1" t="s">
        <v>30</v>
      </c>
      <c r="D76" s="7" t="s">
        <v>211</v>
      </c>
      <c r="E76" s="9" t="s">
        <v>38</v>
      </c>
      <c r="F76" s="9" t="s">
        <v>212</v>
      </c>
      <c r="G76" s="7" t="s">
        <v>213</v>
      </c>
      <c r="H76" s="1" t="s">
        <v>214</v>
      </c>
      <c r="I76" s="7" t="s">
        <v>215</v>
      </c>
      <c r="J76" s="13"/>
      <c r="K76" s="7" t="s">
        <v>216</v>
      </c>
      <c r="L76" s="13"/>
      <c r="M76" s="7" t="s">
        <v>217</v>
      </c>
      <c r="N76" s="1" t="s">
        <v>218</v>
      </c>
      <c r="O76" s="1" t="s">
        <v>218</v>
      </c>
      <c r="P76" s="36">
        <v>218977806.03</v>
      </c>
      <c r="Q76" s="36">
        <v>218977806.03</v>
      </c>
      <c r="R76" s="13"/>
      <c r="S76" s="44"/>
      <c r="T76" s="13"/>
      <c r="U76" s="44"/>
      <c r="V76" s="44"/>
      <c r="W76" s="44"/>
      <c r="X76" s="36">
        <v>218977806.03</v>
      </c>
      <c r="Y76" s="498" t="str">
        <f ca="1">IFERROR(__xludf.DUMMYFUNCTION("INDEX(IMPORTRANGE(""1y0FWgjbB0gVlqn-q5LMJbGIsqOrzru4yowQz67dz2yc"", ""'SPGG'!BH3:BH139""),MATCH(D76,IMPORTRANGE(""1y0FWgjbB0gVlqn-q5LMJbGIsqOrzru4yowQz67dz2yc"", ""'SPGG'!D3:D139""),0))"),"")</f>
        <v/>
      </c>
      <c r="Z76" s="5">
        <f ca="1">IFERROR(__xludf.DUMMYFUNCTION("INDEX(IMPORTRANGE(""1y0FWgjbB0gVlqn-q5LMJbGIsqOrzru4yowQz67dz2yc"", ""'SPGG'!BI3:BI139""),MATCH(D76,IMPORTRANGE(""1y0FWgjbB0gVlqn-q5LMJbGIsqOrzru4yowQz67dz2yc"", ""'SPGG'!D3:D139""),0))"),114143754.509999)</f>
        <v>114143754.50999901</v>
      </c>
      <c r="AA76" s="2"/>
      <c r="AB76" s="2"/>
      <c r="AC76" s="2"/>
    </row>
    <row r="77" spans="1:29">
      <c r="A77" s="7" t="s">
        <v>199</v>
      </c>
      <c r="B77" s="7" t="s">
        <v>200</v>
      </c>
      <c r="C77" s="1" t="s">
        <v>30</v>
      </c>
      <c r="D77" s="7" t="s">
        <v>219</v>
      </c>
      <c r="E77" s="9" t="s">
        <v>38</v>
      </c>
      <c r="F77" s="9" t="s">
        <v>220</v>
      </c>
      <c r="G77" s="7" t="s">
        <v>213</v>
      </c>
      <c r="H77" s="1" t="s">
        <v>214</v>
      </c>
      <c r="I77" s="7" t="s">
        <v>215</v>
      </c>
      <c r="J77" s="13"/>
      <c r="K77" s="7" t="s">
        <v>216</v>
      </c>
      <c r="L77" s="13"/>
      <c r="M77" s="7" t="s">
        <v>217</v>
      </c>
      <c r="N77" s="1" t="s">
        <v>218</v>
      </c>
      <c r="O77" s="1" t="s">
        <v>218</v>
      </c>
      <c r="P77" s="36">
        <v>131930760</v>
      </c>
      <c r="Q77" s="36">
        <v>131930759.79000001</v>
      </c>
      <c r="R77" s="13"/>
      <c r="S77" s="13"/>
      <c r="T77" s="13"/>
      <c r="U77" s="13"/>
      <c r="V77" s="13"/>
      <c r="W77" s="4"/>
      <c r="X77" s="36">
        <v>131930759.79000001</v>
      </c>
      <c r="Y77" s="498" t="str">
        <f ca="1">IFERROR(__xludf.DUMMYFUNCTION("INDEX(IMPORTRANGE(""1y0FWgjbB0gVlqn-q5LMJbGIsqOrzru4yowQz67dz2yc"", ""'SPGG'!BH3:BH139""),MATCH(D77,IMPORTRANGE(""1y0FWgjbB0gVlqn-q5LMJbGIsqOrzru4yowQz67dz2yc"", ""'SPGG'!D3:D139""),0))"),"")</f>
        <v/>
      </c>
      <c r="Z77" s="5">
        <f ca="1">IFERROR(__xludf.DUMMYFUNCTION("INDEX(IMPORTRANGE(""1y0FWgjbB0gVlqn-q5LMJbGIsqOrzru4yowQz67dz2yc"", ""'SPGG'!BI3:BI139""),MATCH(D77,IMPORTRANGE(""1y0FWgjbB0gVlqn-q5LMJbGIsqOrzru4yowQz67dz2yc"", ""'SPGG'!D3:D139""),0))"),7403921.82)</f>
        <v>7403921.8200000003</v>
      </c>
      <c r="AA77" s="2"/>
      <c r="AB77" s="2"/>
      <c r="AC77" s="2"/>
    </row>
    <row r="78" spans="1:29">
      <c r="A78" s="7" t="s">
        <v>199</v>
      </c>
      <c r="B78" s="7" t="s">
        <v>200</v>
      </c>
      <c r="C78" s="1" t="s">
        <v>36</v>
      </c>
      <c r="D78" s="7" t="s">
        <v>221</v>
      </c>
      <c r="E78" s="9" t="s">
        <v>38</v>
      </c>
      <c r="F78" s="9" t="s">
        <v>222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467">
        <f t="shared" ref="P78:Q78" si="17">P77/P76</f>
        <v>0.60248461883815507</v>
      </c>
      <c r="Q78" s="467">
        <f t="shared" si="17"/>
        <v>0.60248461787915375</v>
      </c>
      <c r="R78" s="4"/>
      <c r="S78" s="14">
        <v>0.06</v>
      </c>
      <c r="T78" s="4"/>
      <c r="U78" s="14">
        <v>0.05</v>
      </c>
      <c r="V78" s="14">
        <v>0.05</v>
      </c>
      <c r="W78" s="14">
        <v>0.05</v>
      </c>
      <c r="X78" s="467">
        <f>X77/X76</f>
        <v>0.60248461787915375</v>
      </c>
      <c r="Y78" s="498" t="str">
        <f ca="1">IFERROR(__xludf.DUMMYFUNCTION("INDEX(IMPORTRANGE(""1y0FWgjbB0gVlqn-q5LMJbGIsqOrzru4yowQz67dz2yc"", ""'SPGG'!BH3:BH139""),MATCH(D78,IMPORTRANGE(""1y0FWgjbB0gVlqn-q5LMJbGIsqOrzru4yowQz67dz2yc"", ""'SPGG'!D3:D139""),0))"),"")</f>
        <v/>
      </c>
      <c r="Z78" s="5">
        <f ca="1">IFERROR(__xludf.DUMMYFUNCTION("INDEX(IMPORTRANGE(""1y0FWgjbB0gVlqn-q5LMJbGIsqOrzru4yowQz67dz2yc"", ""'SPGG'!BI3:BI139""),MATCH(D78,IMPORTRANGE(""1y0FWgjbB0gVlqn-q5LMJbGIsqOrzru4yowQz67dz2yc"", ""'SPGG'!D3:D139""),0))"),0.0648648877179815)</f>
        <v>6.4864887717981504E-2</v>
      </c>
      <c r="AA78" s="2"/>
      <c r="AB78" s="2"/>
      <c r="AC78" s="2"/>
    </row>
    <row r="79" spans="1:29">
      <c r="A79" s="7" t="s">
        <v>199</v>
      </c>
      <c r="B79" s="7" t="s">
        <v>200</v>
      </c>
      <c r="C79" s="1" t="s">
        <v>30</v>
      </c>
      <c r="D79" s="7" t="s">
        <v>223</v>
      </c>
      <c r="E79" s="9" t="s">
        <v>38</v>
      </c>
      <c r="F79" s="9" t="s">
        <v>224</v>
      </c>
      <c r="G79" s="2" t="s">
        <v>56</v>
      </c>
      <c r="H79" s="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5">
        <v>0</v>
      </c>
      <c r="Q79" s="5">
        <v>0</v>
      </c>
      <c r="R79" s="1"/>
      <c r="S79" s="1"/>
      <c r="T79" s="1"/>
      <c r="U79" s="1"/>
      <c r="V79" s="1"/>
      <c r="W79" s="2"/>
      <c r="X79" s="5">
        <v>4</v>
      </c>
      <c r="Y79" s="5">
        <f ca="1">IFERROR(__xludf.DUMMYFUNCTION("INDEX(IMPORTRANGE(""1y0FWgjbB0gVlqn-q5LMJbGIsqOrzru4yowQz67dz2yc"", ""'SPGG'!BH3:BH139""),MATCH(D79,IMPORTRANGE(""1y0FWgjbB0gVlqn-q5LMJbGIsqOrzru4yowQz67dz2yc"", ""'SPGG'!D3:D139""),0))"),4)</f>
        <v>4</v>
      </c>
      <c r="Z79" s="5">
        <f ca="1">IFERROR(__xludf.DUMMYFUNCTION("INDEX(IMPORTRANGE(""1y0FWgjbB0gVlqn-q5LMJbGIsqOrzru4yowQz67dz2yc"", ""'SPGG'!BI3:BI139""),MATCH(D79,IMPORTRANGE(""1y0FWgjbB0gVlqn-q5LMJbGIsqOrzru4yowQz67dz2yc"", ""'SPGG'!D3:D139""),0))"),86)</f>
        <v>86</v>
      </c>
      <c r="AA79" s="2"/>
      <c r="AB79" s="2"/>
      <c r="AC79" s="2"/>
    </row>
    <row r="80" spans="1:29">
      <c r="A80" s="7" t="s">
        <v>199</v>
      </c>
      <c r="B80" s="7" t="s">
        <v>200</v>
      </c>
      <c r="C80" s="1" t="s">
        <v>30</v>
      </c>
      <c r="D80" s="7" t="s">
        <v>225</v>
      </c>
      <c r="E80" s="9" t="s">
        <v>38</v>
      </c>
      <c r="F80" s="9" t="s">
        <v>182</v>
      </c>
      <c r="G80" s="2" t="s">
        <v>56</v>
      </c>
      <c r="H80" s="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5">
        <v>92</v>
      </c>
      <c r="Q80" s="5">
        <v>242</v>
      </c>
      <c r="R80" s="1"/>
      <c r="S80" s="1"/>
      <c r="T80" s="1"/>
      <c r="U80" s="1"/>
      <c r="V80" s="1"/>
      <c r="W80" s="1"/>
      <c r="X80" s="5">
        <v>125</v>
      </c>
      <c r="Y80" s="5">
        <f ca="1">IFERROR(__xludf.DUMMYFUNCTION("INDEX(IMPORTRANGE(""1y0FWgjbB0gVlqn-q5LMJbGIsqOrzru4yowQz67dz2yc"", ""'SPGG'!BH3:BH139""),MATCH(D80,IMPORTRANGE(""1y0FWgjbB0gVlqn-q5LMJbGIsqOrzru4yowQz67dz2yc"", ""'SPGG'!D3:D139""),0))"),275)</f>
        <v>275</v>
      </c>
      <c r="Z80" s="5">
        <f ca="1">IFERROR(__xludf.DUMMYFUNCTION("INDEX(IMPORTRANGE(""1y0FWgjbB0gVlqn-q5LMJbGIsqOrzru4yowQz67dz2yc"", ""'SPGG'!BI3:BI139""),MATCH(D80,IMPORTRANGE(""1y0FWgjbB0gVlqn-q5LMJbGIsqOrzru4yowQz67dz2yc"", ""'SPGG'!D3:D139""),0))"),34)</f>
        <v>34</v>
      </c>
      <c r="AA80" s="2"/>
      <c r="AB80" s="2"/>
      <c r="AC80" s="2"/>
    </row>
    <row r="81" spans="1:29">
      <c r="A81" s="7" t="s">
        <v>199</v>
      </c>
      <c r="B81" s="7" t="s">
        <v>200</v>
      </c>
      <c r="C81" s="1" t="s">
        <v>36</v>
      </c>
      <c r="D81" s="7" t="s">
        <v>226</v>
      </c>
      <c r="E81" s="9" t="s">
        <v>38</v>
      </c>
      <c r="F81" s="9" t="s">
        <v>227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f t="shared" ref="P81:Q81" si="18">P79+P80</f>
        <v>92</v>
      </c>
      <c r="Q81" s="12">
        <f t="shared" si="18"/>
        <v>242</v>
      </c>
      <c r="R81" s="4">
        <v>240</v>
      </c>
      <c r="S81" s="4">
        <v>80</v>
      </c>
      <c r="T81" s="4">
        <v>140</v>
      </c>
      <c r="U81" s="4">
        <v>80</v>
      </c>
      <c r="V81" s="4">
        <v>120</v>
      </c>
      <c r="W81" s="4">
        <v>500</v>
      </c>
      <c r="X81" s="12">
        <f>X79+X80</f>
        <v>129</v>
      </c>
      <c r="Y81" s="5">
        <f ca="1">IFERROR(__xludf.DUMMYFUNCTION("INDEX(IMPORTRANGE(""1y0FWgjbB0gVlqn-q5LMJbGIsqOrzru4yowQz67dz2yc"", ""'SPGG'!BH3:BH139""),MATCH(D81,IMPORTRANGE(""1y0FWgjbB0gVlqn-q5LMJbGIsqOrzru4yowQz67dz2yc"", ""'SPGG'!D3:D139""),0))"),279)</f>
        <v>279</v>
      </c>
      <c r="Z81" s="5">
        <f ca="1">IFERROR(__xludf.DUMMYFUNCTION("INDEX(IMPORTRANGE(""1y0FWgjbB0gVlqn-q5LMJbGIsqOrzru4yowQz67dz2yc"", ""'SPGG'!BI3:BI139""),MATCH(D81,IMPORTRANGE(""1y0FWgjbB0gVlqn-q5LMJbGIsqOrzru4yowQz67dz2yc"", ""'SPGG'!D3:D139""),0))"),120)</f>
        <v>120</v>
      </c>
      <c r="AA81" s="2"/>
      <c r="AB81" s="2"/>
      <c r="AC81" s="2"/>
    </row>
    <row r="82" spans="1:29">
      <c r="A82" s="7" t="s">
        <v>199</v>
      </c>
      <c r="B82" s="7" t="s">
        <v>228</v>
      </c>
      <c r="C82" s="1" t="s">
        <v>30</v>
      </c>
      <c r="D82" s="7" t="s">
        <v>229</v>
      </c>
      <c r="E82" s="9" t="s">
        <v>38</v>
      </c>
      <c r="F82" s="9" t="s">
        <v>230</v>
      </c>
      <c r="G82" s="2" t="s">
        <v>231</v>
      </c>
      <c r="H82" s="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35</v>
      </c>
      <c r="Q82" s="12">
        <v>74</v>
      </c>
      <c r="R82" s="13"/>
      <c r="S82" s="13"/>
      <c r="T82" s="13"/>
      <c r="U82" s="13"/>
      <c r="V82" s="13"/>
      <c r="W82" s="4"/>
      <c r="X82" s="12">
        <v>33</v>
      </c>
      <c r="Y82" s="5">
        <f ca="1">IFERROR(__xludf.DUMMYFUNCTION("INDEX(IMPORTRANGE(""1y0FWgjbB0gVlqn-q5LMJbGIsqOrzru4yowQz67dz2yc"", ""'SPGG'!BH3:BH139""),MATCH(D82,IMPORTRANGE(""1y0FWgjbB0gVlqn-q5LMJbGIsqOrzru4yowQz67dz2yc"", ""'SPGG'!D3:D139""),0))"),66)</f>
        <v>66</v>
      </c>
      <c r="Z82" s="5">
        <f ca="1">IFERROR(__xludf.DUMMYFUNCTION("INDEX(IMPORTRANGE(""1y0FWgjbB0gVlqn-q5LMJbGIsqOrzru4yowQz67dz2yc"", ""'SPGG'!BI3:BI139""),MATCH(D82,IMPORTRANGE(""1y0FWgjbB0gVlqn-q5LMJbGIsqOrzru4yowQz67dz2yc"", ""'SPGG'!D3:D139""),0))"),44)</f>
        <v>44</v>
      </c>
      <c r="AA82" s="2"/>
      <c r="AB82" s="2"/>
      <c r="AC82" s="2"/>
    </row>
    <row r="83" spans="1:29">
      <c r="A83" s="7" t="s">
        <v>199</v>
      </c>
      <c r="B83" s="7" t="s">
        <v>228</v>
      </c>
      <c r="C83" s="1" t="s">
        <v>30</v>
      </c>
      <c r="D83" s="7" t="s">
        <v>233</v>
      </c>
      <c r="E83" s="9" t="s">
        <v>38</v>
      </c>
      <c r="F83" s="9" t="s">
        <v>234</v>
      </c>
      <c r="G83" s="2" t="s">
        <v>231</v>
      </c>
      <c r="H83" s="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10</v>
      </c>
      <c r="Q83" s="12">
        <v>23</v>
      </c>
      <c r="R83" s="13"/>
      <c r="S83" s="13"/>
      <c r="T83" s="13"/>
      <c r="U83" s="13"/>
      <c r="V83" s="13"/>
      <c r="W83" s="4"/>
      <c r="X83" s="12">
        <v>21</v>
      </c>
      <c r="Y83" s="5">
        <f ca="1">IFERROR(__xludf.DUMMYFUNCTION("INDEX(IMPORTRANGE(""1y0FWgjbB0gVlqn-q5LMJbGIsqOrzru4yowQz67dz2yc"", ""'SPGG'!BH3:BH139""),MATCH(D83,IMPORTRANGE(""1y0FWgjbB0gVlqn-q5LMJbGIsqOrzru4yowQz67dz2yc"", ""'SPGG'!D3:D139""),0))"),32)</f>
        <v>32</v>
      </c>
      <c r="Z83" s="5">
        <f ca="1">IFERROR(__xludf.DUMMYFUNCTION("INDEX(IMPORTRANGE(""1y0FWgjbB0gVlqn-q5LMJbGIsqOrzru4yowQz67dz2yc"", ""'SPGG'!BI3:BI139""),MATCH(D83,IMPORTRANGE(""1y0FWgjbB0gVlqn-q5LMJbGIsqOrzru4yowQz67dz2yc"", ""'SPGG'!D3:D139""),0))"),8)</f>
        <v>8</v>
      </c>
      <c r="AA83" s="2"/>
      <c r="AB83" s="2"/>
      <c r="AC83" s="2"/>
    </row>
    <row r="84" spans="1:29">
      <c r="A84" s="7" t="s">
        <v>199</v>
      </c>
      <c r="B84" s="7" t="s">
        <v>228</v>
      </c>
      <c r="C84" s="1" t="s">
        <v>30</v>
      </c>
      <c r="D84" s="7" t="s">
        <v>235</v>
      </c>
      <c r="E84" s="9" t="s">
        <v>38</v>
      </c>
      <c r="F84" s="9" t="s">
        <v>236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2730</v>
      </c>
      <c r="Q84" s="12">
        <v>4964</v>
      </c>
      <c r="R84" s="13"/>
      <c r="S84" s="13"/>
      <c r="T84" s="13"/>
      <c r="U84" s="13"/>
      <c r="V84" s="13"/>
      <c r="W84" s="4"/>
      <c r="X84" s="12">
        <v>2667</v>
      </c>
      <c r="Y84" s="5">
        <f ca="1">IFERROR(__xludf.DUMMYFUNCTION("INDEX(IMPORTRANGE(""1y0FWgjbB0gVlqn-q5LMJbGIsqOrzru4yowQz67dz2yc"", ""'SPGG'!BH3:BH139""),MATCH(D84,IMPORTRANGE(""1y0FWgjbB0gVlqn-q5LMJbGIsqOrzru4yowQz67dz2yc"", ""'SPGG'!D3:D139""),0))"),5494)</f>
        <v>5494</v>
      </c>
      <c r="Z84" s="5">
        <f ca="1">IFERROR(__xludf.DUMMYFUNCTION("INDEX(IMPORTRANGE(""1y0FWgjbB0gVlqn-q5LMJbGIsqOrzru4yowQz67dz2yc"", ""'SPGG'!BI3:BI139""),MATCH(D84,IMPORTRANGE(""1y0FWgjbB0gVlqn-q5LMJbGIsqOrzru4yowQz67dz2yc"", ""'SPGG'!D3:D139""),0))"),3233)</f>
        <v>3233</v>
      </c>
      <c r="AA84" s="2"/>
      <c r="AB84" s="2"/>
      <c r="AC84" s="2"/>
    </row>
    <row r="85" spans="1:29">
      <c r="A85" s="7" t="s">
        <v>199</v>
      </c>
      <c r="B85" s="7" t="s">
        <v>228</v>
      </c>
      <c r="C85" s="1" t="s">
        <v>30</v>
      </c>
      <c r="D85" s="7" t="s">
        <v>237</v>
      </c>
      <c r="E85" s="9" t="s">
        <v>38</v>
      </c>
      <c r="F85" s="9" t="s">
        <v>238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112</v>
      </c>
      <c r="Q85" s="12">
        <v>227</v>
      </c>
      <c r="R85" s="13"/>
      <c r="S85" s="13"/>
      <c r="T85" s="13"/>
      <c r="U85" s="13"/>
      <c r="V85" s="13"/>
      <c r="W85" s="4"/>
      <c r="X85" s="12">
        <v>58</v>
      </c>
      <c r="Y85" s="5">
        <f ca="1">IFERROR(__xludf.DUMMYFUNCTION("INDEX(IMPORTRANGE(""1y0FWgjbB0gVlqn-q5LMJbGIsqOrzru4yowQz67dz2yc"", ""'SPGG'!BH3:BH139""),MATCH(D85,IMPORTRANGE(""1y0FWgjbB0gVlqn-q5LMJbGIsqOrzru4yowQz67dz2yc"", ""'SPGG'!D3:D139""),0))"),218)</f>
        <v>218</v>
      </c>
      <c r="Z85" s="5">
        <f ca="1">IFERROR(__xludf.DUMMYFUNCTION("INDEX(IMPORTRANGE(""1y0FWgjbB0gVlqn-q5LMJbGIsqOrzru4yowQz67dz2yc"", ""'SPGG'!BI3:BI139""),MATCH(D85,IMPORTRANGE(""1y0FWgjbB0gVlqn-q5LMJbGIsqOrzru4yowQz67dz2yc"", ""'SPGG'!D3:D139""),0))"),161)</f>
        <v>161</v>
      </c>
      <c r="AA85" s="2"/>
      <c r="AB85" s="2"/>
      <c r="AC85" s="2"/>
    </row>
    <row r="86" spans="1:29">
      <c r="A86" s="7" t="s">
        <v>199</v>
      </c>
      <c r="B86" s="7" t="s">
        <v>228</v>
      </c>
      <c r="C86" s="1" t="s">
        <v>30</v>
      </c>
      <c r="D86" s="7" t="s">
        <v>239</v>
      </c>
      <c r="E86" s="9" t="s">
        <v>38</v>
      </c>
      <c r="F86" s="9" t="s">
        <v>240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602</v>
      </c>
      <c r="Q86" s="12">
        <v>1060</v>
      </c>
      <c r="R86" s="13"/>
      <c r="S86" s="13"/>
      <c r="T86" s="13"/>
      <c r="U86" s="13"/>
      <c r="V86" s="13"/>
      <c r="W86" s="4"/>
      <c r="X86" s="12">
        <v>0</v>
      </c>
      <c r="Y86" s="5">
        <f ca="1">IFERROR(__xludf.DUMMYFUNCTION("INDEX(IMPORTRANGE(""1y0FWgjbB0gVlqn-q5LMJbGIsqOrzru4yowQz67dz2yc"", ""'SPGG'!BH3:BH139""),MATCH(D86,IMPORTRANGE(""1y0FWgjbB0gVlqn-q5LMJbGIsqOrzru4yowQz67dz2yc"", ""'SPGG'!D3:D139""),0))"),0)</f>
        <v>0</v>
      </c>
      <c r="Z86" s="5">
        <f ca="1">IFERROR(__xludf.DUMMYFUNCTION("INDEX(IMPORTRANGE(""1y0FWgjbB0gVlqn-q5LMJbGIsqOrzru4yowQz67dz2yc"", ""'SPGG'!BI3:BI139""),MATCH(D86,IMPORTRANGE(""1y0FWgjbB0gVlqn-q5LMJbGIsqOrzru4yowQz67dz2yc"", ""'SPGG'!D3:D139""),0))"),0)</f>
        <v>0</v>
      </c>
      <c r="AA86" s="2"/>
      <c r="AB86" s="2"/>
      <c r="AC86" s="2"/>
    </row>
    <row r="87" spans="1:29">
      <c r="A87" s="7" t="s">
        <v>199</v>
      </c>
      <c r="B87" s="7" t="s">
        <v>228</v>
      </c>
      <c r="C87" s="1" t="s">
        <v>36</v>
      </c>
      <c r="D87" s="7" t="s">
        <v>241</v>
      </c>
      <c r="E87" s="9" t="s">
        <v>38</v>
      </c>
      <c r="F87" s="2" t="s">
        <v>242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f t="shared" ref="P87:Q87" si="19">SUM(P82:P86)</f>
        <v>3489</v>
      </c>
      <c r="Q87" s="12">
        <f t="shared" si="19"/>
        <v>6348</v>
      </c>
      <c r="R87" s="12">
        <v>6317</v>
      </c>
      <c r="S87" s="12">
        <v>3472</v>
      </c>
      <c r="T87" s="12">
        <v>6317</v>
      </c>
      <c r="U87" s="12">
        <v>3472</v>
      </c>
      <c r="V87" s="12">
        <v>6317</v>
      </c>
      <c r="W87" s="12">
        <v>6285</v>
      </c>
      <c r="X87" s="12">
        <f>SUM(X82:X86)</f>
        <v>2779</v>
      </c>
      <c r="Y87" s="5">
        <f ca="1">IFERROR(__xludf.DUMMYFUNCTION("INDEX(IMPORTRANGE(""1y0FWgjbB0gVlqn-q5LMJbGIsqOrzru4yowQz67dz2yc"", ""'SPGG'!BH3:BH139""),MATCH(D87,IMPORTRANGE(""1y0FWgjbB0gVlqn-q5LMJbGIsqOrzru4yowQz67dz2yc"", ""'SPGG'!D3:D139""),0))"),5810)</f>
        <v>5810</v>
      </c>
      <c r="Z87" s="5">
        <f ca="1">IFERROR(__xludf.DUMMYFUNCTION("INDEX(IMPORTRANGE(""1y0FWgjbB0gVlqn-q5LMJbGIsqOrzru4yowQz67dz2yc"", ""'SPGG'!BI3:BI139""),MATCH(D87,IMPORTRANGE(""1y0FWgjbB0gVlqn-q5LMJbGIsqOrzru4yowQz67dz2yc"", ""'SPGG'!D3:D139""),0))"),3446)</f>
        <v>3446</v>
      </c>
      <c r="AA87" s="2"/>
      <c r="AB87" s="2"/>
      <c r="AC87" s="2"/>
    </row>
    <row r="88" spans="1:29">
      <c r="A88" s="7" t="s">
        <v>243</v>
      </c>
      <c r="B88" s="7" t="s">
        <v>244</v>
      </c>
      <c r="C88" s="1" t="s">
        <v>36</v>
      </c>
      <c r="D88" s="7" t="s">
        <v>338</v>
      </c>
      <c r="E88" s="9" t="s">
        <v>38</v>
      </c>
      <c r="F88" s="9" t="s">
        <v>246</v>
      </c>
      <c r="G88" s="2" t="s">
        <v>56</v>
      </c>
      <c r="H88" s="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116</v>
      </c>
      <c r="Q88" s="12">
        <v>201</v>
      </c>
      <c r="R88" s="2">
        <v>74</v>
      </c>
      <c r="S88" s="2">
        <v>37</v>
      </c>
      <c r="T88" s="2">
        <v>74</v>
      </c>
      <c r="U88" s="2">
        <v>36</v>
      </c>
      <c r="V88" s="2">
        <v>73</v>
      </c>
      <c r="W88" s="12">
        <v>221</v>
      </c>
      <c r="X88" s="493">
        <v>35</v>
      </c>
      <c r="Y88" s="5">
        <f ca="1">IFERROR(__xludf.DUMMYFUNCTION("INDEX(IMPORTRANGE(""1y0FWgjbB0gVlqn-q5LMJbGIsqOrzru4yowQz67dz2yc"", ""'SPGG'!BH3:BH139""),MATCH(D88,IMPORTRANGE(""1y0FWgjbB0gVlqn-q5LMJbGIsqOrzru4yowQz67dz2yc"", ""'SPGG'!D3:D139""),0))"),106)</f>
        <v>106</v>
      </c>
      <c r="Z88" s="5">
        <f ca="1">IFERROR(__xludf.DUMMYFUNCTION("INDEX(IMPORTRANGE(""1y0FWgjbB0gVlqn-q5LMJbGIsqOrzru4yowQz67dz2yc"", ""'SPGG'!BI3:BI139""),MATCH(D88,IMPORTRANGE(""1y0FWgjbB0gVlqn-q5LMJbGIsqOrzru4yowQz67dz2yc"", ""'SPGG'!D3:D139""),0))"),48)</f>
        <v>48</v>
      </c>
      <c r="AA88" s="252"/>
      <c r="AB88" s="252"/>
      <c r="AC88" s="252"/>
    </row>
    <row r="89" spans="1:29">
      <c r="A89" s="7" t="s">
        <v>243</v>
      </c>
      <c r="B89" s="7" t="s">
        <v>247</v>
      </c>
      <c r="C89" s="1" t="s">
        <v>36</v>
      </c>
      <c r="D89" s="7" t="s">
        <v>248</v>
      </c>
      <c r="E89" s="9" t="s">
        <v>38</v>
      </c>
      <c r="F89" s="9" t="s">
        <v>249</v>
      </c>
      <c r="G89" s="11">
        <v>44469</v>
      </c>
      <c r="H89" s="11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4"/>
      <c r="Q89" s="2">
        <v>37</v>
      </c>
      <c r="R89" s="2">
        <v>11</v>
      </c>
      <c r="S89" s="2">
        <v>11</v>
      </c>
      <c r="T89" s="2">
        <v>12</v>
      </c>
      <c r="U89" s="2">
        <v>13</v>
      </c>
      <c r="V89" s="2">
        <v>15</v>
      </c>
      <c r="W89" s="12">
        <v>15</v>
      </c>
      <c r="X89" s="12">
        <v>51</v>
      </c>
      <c r="Y89" s="5">
        <f ca="1">IFERROR(__xludf.DUMMYFUNCTION("INDEX(IMPORTRANGE(""1y0FWgjbB0gVlqn-q5LMJbGIsqOrzru4yowQz67dz2yc"", ""'SPGG'!BH3:BH139""),MATCH(D89,IMPORTRANGE(""1y0FWgjbB0gVlqn-q5LMJbGIsqOrzru4yowQz67dz2yc"", ""'SPGG'!D3:D139""),0))"),31)</f>
        <v>31</v>
      </c>
      <c r="Z89" s="5">
        <f ca="1">IFERROR(__xludf.DUMMYFUNCTION("INDEX(IMPORTRANGE(""1y0FWgjbB0gVlqn-q5LMJbGIsqOrzru4yowQz67dz2yc"", ""'SPGG'!BI3:BI139""),MATCH(D89,IMPORTRANGE(""1y0FWgjbB0gVlqn-q5LMJbGIsqOrzru4yowQz67dz2yc"", ""'SPGG'!D3:D139""),0))"),31)</f>
        <v>31</v>
      </c>
      <c r="AA89" s="2"/>
      <c r="AB89" s="2"/>
      <c r="AC89" s="2"/>
    </row>
    <row r="90" spans="1:29">
      <c r="A90" s="7" t="s">
        <v>243</v>
      </c>
      <c r="B90" s="7" t="s">
        <v>250</v>
      </c>
      <c r="C90" s="1" t="s">
        <v>36</v>
      </c>
      <c r="D90" s="7" t="s">
        <v>251</v>
      </c>
      <c r="E90" s="9" t="s">
        <v>252</v>
      </c>
      <c r="F90" s="9" t="s">
        <v>253</v>
      </c>
      <c r="G90" s="11">
        <v>44469</v>
      </c>
      <c r="H90" s="11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98.4</v>
      </c>
      <c r="Q90" s="12">
        <v>98.4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12">
        <v>96.5</v>
      </c>
      <c r="Y90" s="5">
        <f ca="1">IFERROR(__xludf.DUMMYFUNCTION("INDEX(IMPORTRANGE(""1y0FWgjbB0gVlqn-q5LMJbGIsqOrzru4yowQz67dz2yc"", ""'SPGG'!BH3:BH139""),MATCH(D90,IMPORTRANGE(""1y0FWgjbB0gVlqn-q5LMJbGIsqOrzru4yowQz67dz2yc"", ""'SPGG'!D3:D139""),0))"),100)</f>
        <v>100</v>
      </c>
      <c r="Z90" s="5">
        <f ca="1">IFERROR(__xludf.DUMMYFUNCTION("INDEX(IMPORTRANGE(""1y0FWgjbB0gVlqn-q5LMJbGIsqOrzru4yowQz67dz2yc"", ""'SPGG'!BI3:BI139""),MATCH(D90,IMPORTRANGE(""1y0FWgjbB0gVlqn-q5LMJbGIsqOrzru4yowQz67dz2yc"", ""'SPGG'!D3:D139""),0))"),100)</f>
        <v>100</v>
      </c>
      <c r="AA90" s="252"/>
      <c r="AB90" s="252"/>
      <c r="AC90" s="252"/>
    </row>
    <row r="91" spans="1:29">
      <c r="A91" s="7" t="s">
        <v>243</v>
      </c>
      <c r="B91" s="7" t="s">
        <v>257</v>
      </c>
      <c r="C91" s="1" t="s">
        <v>36</v>
      </c>
      <c r="D91" s="7" t="s">
        <v>258</v>
      </c>
      <c r="E91" s="9" t="s">
        <v>38</v>
      </c>
      <c r="F91" s="9" t="s">
        <v>259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1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12">
        <v>0</v>
      </c>
      <c r="Y91" s="5">
        <f ca="1">IFERROR(__xludf.DUMMYFUNCTION("INDEX(IMPORTRANGE(""1y0FWgjbB0gVlqn-q5LMJbGIsqOrzru4yowQz67dz2yc"", ""'SPGG'!BH3:BH139""),MATCH(D91,IMPORTRANGE(""1y0FWgjbB0gVlqn-q5LMJbGIsqOrzru4yowQz67dz2yc"", ""'SPGG'!D3:D139""),0))"),4)</f>
        <v>4</v>
      </c>
      <c r="Z91" s="5">
        <f ca="1">IFERROR(__xludf.DUMMYFUNCTION("INDEX(IMPORTRANGE(""1y0FWgjbB0gVlqn-q5LMJbGIsqOrzru4yowQz67dz2yc"", ""'SPGG'!BI3:BI139""),MATCH(D91,IMPORTRANGE(""1y0FWgjbB0gVlqn-q5LMJbGIsqOrzru4yowQz67dz2yc"", ""'SPGG'!D3:D139""),0))"),3.21225832990538)</f>
        <v>3.2122583299053802</v>
      </c>
      <c r="AA91" s="252"/>
      <c r="AB91" s="252"/>
      <c r="AC91" s="252"/>
    </row>
    <row r="92" spans="1:29">
      <c r="A92" s="7" t="s">
        <v>243</v>
      </c>
      <c r="B92" s="7" t="s">
        <v>260</v>
      </c>
      <c r="C92" s="1" t="s">
        <v>30</v>
      </c>
      <c r="D92" s="7" t="s">
        <v>261</v>
      </c>
      <c r="E92" s="9" t="s">
        <v>38</v>
      </c>
      <c r="F92" s="9" t="s">
        <v>262</v>
      </c>
      <c r="G92" s="11">
        <v>44469</v>
      </c>
      <c r="H92" s="180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484"/>
      <c r="Q92" s="484"/>
      <c r="R92" s="181"/>
      <c r="S92" s="181"/>
      <c r="T92" s="181"/>
      <c r="U92" s="181"/>
      <c r="V92" s="181"/>
      <c r="W92" s="182"/>
      <c r="X92" s="2">
        <v>9</v>
      </c>
      <c r="Y92" s="5">
        <f ca="1">IFERROR(__xludf.DUMMYFUNCTION("INDEX(IMPORTRANGE(""1y0FWgjbB0gVlqn-q5LMJbGIsqOrzru4yowQz67dz2yc"", ""'SPGG'!BH3:BH139""),MATCH(D92,IMPORTRANGE(""1y0FWgjbB0gVlqn-q5LMJbGIsqOrzru4yowQz67dz2yc"", ""'SPGG'!D3:D139""),0))"),10)</f>
        <v>10</v>
      </c>
      <c r="Z92" s="5">
        <f ca="1">IFERROR(__xludf.DUMMYFUNCTION("INDEX(IMPORTRANGE(""1y0FWgjbB0gVlqn-q5LMJbGIsqOrzru4yowQz67dz2yc"", ""'SPGG'!BI3:BI139""),MATCH(D92,IMPORTRANGE(""1y0FWgjbB0gVlqn-q5LMJbGIsqOrzru4yowQz67dz2yc"", ""'SPGG'!D3:D139""),0))"),10)</f>
        <v>10</v>
      </c>
      <c r="AA92" s="252"/>
      <c r="AB92" s="252"/>
      <c r="AC92" s="252"/>
    </row>
    <row r="93" spans="1:29">
      <c r="A93" s="7" t="s">
        <v>243</v>
      </c>
      <c r="B93" s="7" t="s">
        <v>260</v>
      </c>
      <c r="C93" s="1" t="s">
        <v>30</v>
      </c>
      <c r="D93" s="7" t="s">
        <v>263</v>
      </c>
      <c r="E93" s="9" t="s">
        <v>38</v>
      </c>
      <c r="F93" s="9" t="s">
        <v>264</v>
      </c>
      <c r="G93" s="11">
        <v>44469</v>
      </c>
      <c r="H93" s="181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484"/>
      <c r="Q93" s="484"/>
      <c r="R93" s="181"/>
      <c r="S93" s="181"/>
      <c r="T93" s="181"/>
      <c r="U93" s="181"/>
      <c r="V93" s="181"/>
      <c r="W93" s="182"/>
      <c r="X93" s="2">
        <v>15</v>
      </c>
      <c r="Y93" s="5">
        <f ca="1">IFERROR(__xludf.DUMMYFUNCTION("INDEX(IMPORTRANGE(""1y0FWgjbB0gVlqn-q5LMJbGIsqOrzru4yowQz67dz2yc"", ""'SPGG'!BH3:BH139""),MATCH(D93,IMPORTRANGE(""1y0FWgjbB0gVlqn-q5LMJbGIsqOrzru4yowQz67dz2yc"", ""'SPGG'!D3:D139""),0))"),13)</f>
        <v>13</v>
      </c>
      <c r="Z93" s="5">
        <f ca="1">IFERROR(__xludf.DUMMYFUNCTION("INDEX(IMPORTRANGE(""1y0FWgjbB0gVlqn-q5LMJbGIsqOrzru4yowQz67dz2yc"", ""'SPGG'!BI3:BI139""),MATCH(D93,IMPORTRANGE(""1y0FWgjbB0gVlqn-q5LMJbGIsqOrzru4yowQz67dz2yc"", ""'SPGG'!D3:D139""),0))"),14)</f>
        <v>14</v>
      </c>
      <c r="AA93" s="252"/>
      <c r="AB93" s="252"/>
      <c r="AC93" s="252"/>
    </row>
    <row r="94" spans="1:29">
      <c r="A94" s="7" t="s">
        <v>243</v>
      </c>
      <c r="B94" s="7" t="s">
        <v>260</v>
      </c>
      <c r="C94" s="1" t="s">
        <v>30</v>
      </c>
      <c r="D94" s="7" t="s">
        <v>265</v>
      </c>
      <c r="E94" s="9" t="s">
        <v>38</v>
      </c>
      <c r="F94" s="9" t="s">
        <v>266</v>
      </c>
      <c r="G94" s="11">
        <v>44469</v>
      </c>
      <c r="H94" s="181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484"/>
      <c r="Q94" s="484"/>
      <c r="R94" s="181"/>
      <c r="S94" s="181"/>
      <c r="T94" s="181"/>
      <c r="U94" s="181"/>
      <c r="V94" s="181"/>
      <c r="W94" s="182"/>
      <c r="X94" s="2" t="s">
        <v>447</v>
      </c>
      <c r="Y94" s="5">
        <f ca="1">IFERROR(__xludf.DUMMYFUNCTION("INDEX(IMPORTRANGE(""1y0FWgjbB0gVlqn-q5LMJbGIsqOrzru4yowQz67dz2yc"", ""'SPGG'!BH3:BH139""),MATCH(D94,IMPORTRANGE(""1y0FWgjbB0gVlqn-q5LMJbGIsqOrzru4yowQz67dz2yc"", ""'SPGG'!D3:D139""),0))"),0)</f>
        <v>0</v>
      </c>
      <c r="Z94" s="5">
        <f ca="1">IFERROR(__xludf.DUMMYFUNCTION("INDEX(IMPORTRANGE(""1y0FWgjbB0gVlqn-q5LMJbGIsqOrzru4yowQz67dz2yc"", ""'SPGG'!BI3:BI139""),MATCH(D94,IMPORTRANGE(""1y0FWgjbB0gVlqn-q5LMJbGIsqOrzru4yowQz67dz2yc"", ""'SPGG'!D3:D139""),0))"),0)</f>
        <v>0</v>
      </c>
      <c r="AA94" s="252"/>
      <c r="AB94" s="252"/>
      <c r="AC94" s="252"/>
    </row>
    <row r="95" spans="1:29">
      <c r="A95" s="7" t="s">
        <v>243</v>
      </c>
      <c r="B95" s="7" t="s">
        <v>260</v>
      </c>
      <c r="C95" s="1" t="s">
        <v>30</v>
      </c>
      <c r="D95" s="7" t="s">
        <v>267</v>
      </c>
      <c r="E95" s="9" t="s">
        <v>38</v>
      </c>
      <c r="F95" s="9" t="s">
        <v>268</v>
      </c>
      <c r="G95" s="11">
        <v>44469</v>
      </c>
      <c r="H95" s="181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484"/>
      <c r="Q95" s="484"/>
      <c r="R95" s="181"/>
      <c r="S95" s="181"/>
      <c r="T95" s="181"/>
      <c r="U95" s="181"/>
      <c r="V95" s="181"/>
      <c r="W95" s="182"/>
      <c r="X95" s="2">
        <v>0</v>
      </c>
      <c r="Y95" s="5">
        <f ca="1">IFERROR(__xludf.DUMMYFUNCTION("INDEX(IMPORTRANGE(""1y0FWgjbB0gVlqn-q5LMJbGIsqOrzru4yowQz67dz2yc"", ""'SPGG'!BH3:BH139""),MATCH(D95,IMPORTRANGE(""1y0FWgjbB0gVlqn-q5LMJbGIsqOrzru4yowQz67dz2yc"", ""'SPGG'!D3:D139""),0))"),0)</f>
        <v>0</v>
      </c>
      <c r="Z95" s="5">
        <f ca="1">IFERROR(__xludf.DUMMYFUNCTION("INDEX(IMPORTRANGE(""1y0FWgjbB0gVlqn-q5LMJbGIsqOrzru4yowQz67dz2yc"", ""'SPGG'!BI3:BI139""),MATCH(D95,IMPORTRANGE(""1y0FWgjbB0gVlqn-q5LMJbGIsqOrzru4yowQz67dz2yc"", ""'SPGG'!D3:D139""),0))"),0)</f>
        <v>0</v>
      </c>
      <c r="AA95" s="252"/>
      <c r="AB95" s="252"/>
      <c r="AC95" s="252"/>
    </row>
    <row r="96" spans="1:29">
      <c r="A96" s="7" t="s">
        <v>243</v>
      </c>
      <c r="B96" s="7" t="s">
        <v>260</v>
      </c>
      <c r="C96" s="1" t="s">
        <v>30</v>
      </c>
      <c r="D96" s="7" t="s">
        <v>269</v>
      </c>
      <c r="E96" s="9" t="s">
        <v>38</v>
      </c>
      <c r="F96" s="9" t="s">
        <v>270</v>
      </c>
      <c r="G96" s="11">
        <v>44469</v>
      </c>
      <c r="H96" s="181"/>
      <c r="I96" s="11">
        <v>44651</v>
      </c>
      <c r="J96" s="181"/>
      <c r="K96" s="11">
        <v>45016</v>
      </c>
      <c r="L96" s="181"/>
      <c r="M96" s="11">
        <v>45382</v>
      </c>
      <c r="N96" s="181"/>
      <c r="O96" s="11">
        <v>45565</v>
      </c>
      <c r="P96" s="484"/>
      <c r="Q96" s="484"/>
      <c r="R96" s="181"/>
      <c r="S96" s="181"/>
      <c r="T96" s="181"/>
      <c r="U96" s="181"/>
      <c r="V96" s="181"/>
      <c r="W96" s="182"/>
      <c r="X96" s="2">
        <v>24</v>
      </c>
      <c r="Y96" s="5">
        <f ca="1">IFERROR(__xludf.DUMMYFUNCTION("INDEX(IMPORTRANGE(""1y0FWgjbB0gVlqn-q5LMJbGIsqOrzru4yowQz67dz2yc"", ""'SPGG'!BH3:BH139""),MATCH(D96,IMPORTRANGE(""1y0FWgjbB0gVlqn-q5LMJbGIsqOrzru4yowQz67dz2yc"", ""'SPGG'!D3:D139""),0))"),26)</f>
        <v>26</v>
      </c>
      <c r="Z96" s="5">
        <f ca="1">IFERROR(__xludf.DUMMYFUNCTION("INDEX(IMPORTRANGE(""1y0FWgjbB0gVlqn-q5LMJbGIsqOrzru4yowQz67dz2yc"", ""'SPGG'!BI3:BI139""),MATCH(D96,IMPORTRANGE(""1y0FWgjbB0gVlqn-q5LMJbGIsqOrzru4yowQz67dz2yc"", ""'SPGG'!D3:D139""),0))"),28)</f>
        <v>28</v>
      </c>
      <c r="AA96" s="252"/>
      <c r="AB96" s="252"/>
      <c r="AC96" s="252"/>
    </row>
    <row r="97" spans="1:29">
      <c r="A97" s="7" t="s">
        <v>243</v>
      </c>
      <c r="B97" s="7" t="s">
        <v>260</v>
      </c>
      <c r="C97" s="1" t="s">
        <v>30</v>
      </c>
      <c r="D97" s="7" t="s">
        <v>271</v>
      </c>
      <c r="E97" s="9" t="s">
        <v>38</v>
      </c>
      <c r="F97" s="9" t="s">
        <v>272</v>
      </c>
      <c r="G97" s="11">
        <v>44469</v>
      </c>
      <c r="H97" s="181"/>
      <c r="I97" s="11">
        <v>44651</v>
      </c>
      <c r="J97" s="181"/>
      <c r="K97" s="11">
        <v>45016</v>
      </c>
      <c r="L97" s="181"/>
      <c r="M97" s="11">
        <v>45382</v>
      </c>
      <c r="N97" s="181"/>
      <c r="O97" s="11">
        <v>45565</v>
      </c>
      <c r="P97" s="484"/>
      <c r="Q97" s="484"/>
      <c r="R97" s="181"/>
      <c r="S97" s="181"/>
      <c r="T97" s="181"/>
      <c r="U97" s="181"/>
      <c r="V97" s="181"/>
      <c r="W97" s="182"/>
      <c r="X97" s="2">
        <v>58</v>
      </c>
      <c r="Y97" s="5">
        <f ca="1">IFERROR(__xludf.DUMMYFUNCTION("INDEX(IMPORTRANGE(""1y0FWgjbB0gVlqn-q5LMJbGIsqOrzru4yowQz67dz2yc"", ""'SPGG'!BH3:BH139""),MATCH(D97,IMPORTRANGE(""1y0FWgjbB0gVlqn-q5LMJbGIsqOrzru4yowQz67dz2yc"", ""'SPGG'!D3:D139""),0))"),57)</f>
        <v>57</v>
      </c>
      <c r="Z97" s="5">
        <f ca="1">IFERROR(__xludf.DUMMYFUNCTION("INDEX(IMPORTRANGE(""1y0FWgjbB0gVlqn-q5LMJbGIsqOrzru4yowQz67dz2yc"", ""'SPGG'!BI3:BI139""),MATCH(D97,IMPORTRANGE(""1y0FWgjbB0gVlqn-q5LMJbGIsqOrzru4yowQz67dz2yc"", ""'SPGG'!D3:D139""),0))"),61)</f>
        <v>61</v>
      </c>
      <c r="AA97" s="252"/>
      <c r="AB97" s="252"/>
      <c r="AC97" s="252"/>
    </row>
    <row r="98" spans="1:29">
      <c r="A98" s="7" t="s">
        <v>243</v>
      </c>
      <c r="B98" s="7" t="s">
        <v>260</v>
      </c>
      <c r="C98" s="1" t="s">
        <v>36</v>
      </c>
      <c r="D98" s="7" t="s">
        <v>273</v>
      </c>
      <c r="E98" s="9" t="s">
        <v>38</v>
      </c>
      <c r="F98" s="9" t="s">
        <v>274</v>
      </c>
      <c r="G98" s="11">
        <v>44469</v>
      </c>
      <c r="H98" s="181"/>
      <c r="I98" s="11">
        <v>44651</v>
      </c>
      <c r="J98" s="181"/>
      <c r="K98" s="11">
        <v>45016</v>
      </c>
      <c r="L98" s="181"/>
      <c r="M98" s="11">
        <v>45382</v>
      </c>
      <c r="N98" s="181"/>
      <c r="O98" s="11">
        <v>45565</v>
      </c>
      <c r="P98" s="484"/>
      <c r="Q98" s="484"/>
      <c r="R98" s="182"/>
      <c r="S98" s="60">
        <v>0.5</v>
      </c>
      <c r="T98" s="4"/>
      <c r="U98" s="60">
        <v>0.5</v>
      </c>
      <c r="V98" s="60">
        <v>0.5</v>
      </c>
      <c r="W98" s="60">
        <v>0.5</v>
      </c>
      <c r="X98" s="15">
        <f>SUM(X92,X94,X96)/SUM(X93,X95,X97)</f>
        <v>0.45205479452054792</v>
      </c>
      <c r="Y98" s="507">
        <f ca="1">IFERROR(__xludf.DUMMYFUNCTION("INDEX(IMPORTRANGE(""1y0FWgjbB0gVlqn-q5LMJbGIsqOrzru4yowQz67dz2yc"", ""'SPGG'!BH3:BH139""),MATCH(D98,IMPORTRANGE(""1y0FWgjbB0gVlqn-q5LMJbGIsqOrzru4yowQz67dz2yc"", ""'SPGG'!D3:D139""),0))"),0.514285714285714)</f>
        <v>0.51428571428571401</v>
      </c>
      <c r="Z98" s="5">
        <f ca="1">IFERROR(__xludf.DUMMYFUNCTION("INDEX(IMPORTRANGE(""1y0FWgjbB0gVlqn-q5LMJbGIsqOrzru4yowQz67dz2yc"", ""'SPGG'!BI3:BI139""),MATCH(D98,IMPORTRANGE(""1y0FWgjbB0gVlqn-q5LMJbGIsqOrzru4yowQz67dz2yc"", ""'SPGG'!D3:D139""),0))"),0.506666666666666)</f>
        <v>0.50666666666666604</v>
      </c>
      <c r="AA98" s="252"/>
      <c r="AB98" s="252"/>
      <c r="AC98" s="252"/>
    </row>
    <row r="99" spans="1:29">
      <c r="A99" s="7" t="s">
        <v>275</v>
      </c>
      <c r="B99" s="7" t="s">
        <v>276</v>
      </c>
      <c r="C99" s="1" t="s">
        <v>30</v>
      </c>
      <c r="D99" s="7" t="s">
        <v>277</v>
      </c>
      <c r="E99" s="9" t="s">
        <v>278</v>
      </c>
      <c r="F99" s="9" t="s">
        <v>279</v>
      </c>
      <c r="G99" s="183" t="s">
        <v>213</v>
      </c>
      <c r="H99" s="1" t="s">
        <v>214</v>
      </c>
      <c r="I99" s="7" t="s">
        <v>215</v>
      </c>
      <c r="J99" s="13"/>
      <c r="K99" s="7" t="s">
        <v>216</v>
      </c>
      <c r="L99" s="13"/>
      <c r="M99" s="7" t="s">
        <v>217</v>
      </c>
      <c r="N99" s="1" t="s">
        <v>218</v>
      </c>
      <c r="O99" s="1" t="s">
        <v>218</v>
      </c>
      <c r="P99" s="494">
        <v>1461896000</v>
      </c>
      <c r="Q99" s="494">
        <v>1461896000</v>
      </c>
      <c r="R99" s="13"/>
      <c r="S99" s="13"/>
      <c r="T99" s="13"/>
      <c r="U99" s="13"/>
      <c r="V99" s="13"/>
      <c r="W99" s="4"/>
      <c r="X99" s="494">
        <v>1461896000</v>
      </c>
      <c r="Y99" s="498" t="str">
        <f ca="1">IFERROR(__xludf.DUMMYFUNCTION("INDEX(IMPORTRANGE(""1y0FWgjbB0gVlqn-q5LMJbGIsqOrzru4yowQz67dz2yc"", ""'SPGG'!BH3:BH139""),MATCH(D99,IMPORTRANGE(""1y0FWgjbB0gVlqn-q5LMJbGIsqOrzru4yowQz67dz2yc"", ""'SPGG'!D3:D139""),0))"),"")</f>
        <v/>
      </c>
      <c r="Z99" s="5">
        <f ca="1">IFERROR(__xludf.DUMMYFUNCTION("INDEX(IMPORTRANGE(""1y0FWgjbB0gVlqn-q5LMJbGIsqOrzru4yowQz67dz2yc"", ""'SPGG'!BI3:BI139""),MATCH(D99,IMPORTRANGE(""1y0FWgjbB0gVlqn-q5LMJbGIsqOrzru4yowQz67dz2yc"", ""'SPGG'!D3:D139""),0))"),1959485)</f>
        <v>1959485</v>
      </c>
      <c r="AA99" s="2"/>
      <c r="AB99" s="2"/>
      <c r="AC99" s="2"/>
    </row>
    <row r="100" spans="1:29">
      <c r="A100" s="7" t="s">
        <v>275</v>
      </c>
      <c r="B100" s="7" t="s">
        <v>276</v>
      </c>
      <c r="C100" s="1" t="s">
        <v>30</v>
      </c>
      <c r="D100" s="7" t="s">
        <v>280</v>
      </c>
      <c r="E100" s="9" t="s">
        <v>278</v>
      </c>
      <c r="F100" s="9" t="s">
        <v>281</v>
      </c>
      <c r="G100" s="7" t="s">
        <v>213</v>
      </c>
      <c r="H100" s="1" t="s">
        <v>214</v>
      </c>
      <c r="I100" s="7" t="s">
        <v>215</v>
      </c>
      <c r="J100" s="13"/>
      <c r="K100" s="7" t="s">
        <v>216</v>
      </c>
      <c r="L100" s="13"/>
      <c r="M100" s="7" t="s">
        <v>217</v>
      </c>
      <c r="N100" s="1" t="s">
        <v>218</v>
      </c>
      <c r="O100" s="1" t="s">
        <v>218</v>
      </c>
      <c r="P100" s="494">
        <v>3092558000</v>
      </c>
      <c r="Q100" s="494">
        <v>3092558000</v>
      </c>
      <c r="R100" s="13"/>
      <c r="S100" s="13"/>
      <c r="T100" s="13"/>
      <c r="U100" s="13"/>
      <c r="V100" s="13"/>
      <c r="W100" s="4"/>
      <c r="X100" s="494">
        <v>3092558000</v>
      </c>
      <c r="Y100" s="498" t="str">
        <f ca="1">IFERROR(__xludf.DUMMYFUNCTION("INDEX(IMPORTRANGE(""1y0FWgjbB0gVlqn-q5LMJbGIsqOrzru4yowQz67dz2yc"", ""'SPGG'!BH3:BH139""),MATCH(D100,IMPORTRANGE(""1y0FWgjbB0gVlqn-q5LMJbGIsqOrzru4yowQz67dz2yc"", ""'SPGG'!D3:D139""),0))"),"")</f>
        <v/>
      </c>
      <c r="Z100" s="5">
        <f ca="1">IFERROR(__xludf.DUMMYFUNCTION("INDEX(IMPORTRANGE(""1y0FWgjbB0gVlqn-q5LMJbGIsqOrzru4yowQz67dz2yc"", ""'SPGG'!BI3:BI139""),MATCH(D100,IMPORTRANGE(""1y0FWgjbB0gVlqn-q5LMJbGIsqOrzru4yowQz67dz2yc"", ""'SPGG'!D3:D139""),0))"),3835874)</f>
        <v>3835874</v>
      </c>
      <c r="AA100" s="2"/>
      <c r="AB100" s="2"/>
      <c r="AC100" s="2"/>
    </row>
    <row r="101" spans="1:29">
      <c r="A101" s="7" t="s">
        <v>275</v>
      </c>
      <c r="B101" s="7" t="s">
        <v>276</v>
      </c>
      <c r="C101" s="1" t="s">
        <v>36</v>
      </c>
      <c r="D101" s="7" t="s">
        <v>282</v>
      </c>
      <c r="E101" s="9" t="s">
        <v>278</v>
      </c>
      <c r="F101" s="9" t="s">
        <v>283</v>
      </c>
      <c r="G101" s="7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15">
        <f t="shared" ref="P101:Q101" si="20">P99/P100</f>
        <v>0.47271417383279474</v>
      </c>
      <c r="Q101" s="15">
        <f t="shared" si="20"/>
        <v>0.47271417383279474</v>
      </c>
      <c r="R101" s="2"/>
      <c r="S101" s="15">
        <v>0.48</v>
      </c>
      <c r="T101" s="15"/>
      <c r="U101" s="15">
        <v>0.49</v>
      </c>
      <c r="V101" s="15">
        <v>0.49</v>
      </c>
      <c r="W101" s="15">
        <v>0.49</v>
      </c>
      <c r="X101" s="15">
        <f>X99/X100</f>
        <v>0.47271417383279474</v>
      </c>
      <c r="Y101" s="498" t="str">
        <f ca="1">IFERROR(__xludf.DUMMYFUNCTION("INDEX(IMPORTRANGE(""1y0FWgjbB0gVlqn-q5LMJbGIsqOrzru4yowQz67dz2yc"", ""'SPGG'!BH3:BH139""),MATCH(D101,IMPORTRANGE(""1y0FWgjbB0gVlqn-q5LMJbGIsqOrzru4yowQz67dz2yc"", ""'SPGG'!D3:D139""),0))"),"")</f>
        <v/>
      </c>
      <c r="Z101" s="507">
        <f ca="1">IFERROR(__xludf.DUMMYFUNCTION("INDEX(IMPORTRANGE(""1y0FWgjbB0gVlqn-q5LMJbGIsqOrzru4yowQz67dz2yc"", ""'SPGG'!BI3:BI139""),MATCH(D101,IMPORTRANGE(""1y0FWgjbB0gVlqn-q5LMJbGIsqOrzru4yowQz67dz2yc"", ""'SPGG'!D3:D139""),0))"),0.510831429812345)</f>
        <v>0.51083142981234497</v>
      </c>
      <c r="AA101" s="2"/>
      <c r="AB101" s="2"/>
      <c r="AC101" s="2"/>
    </row>
    <row r="102" spans="1:29">
      <c r="A102" s="7" t="s">
        <v>275</v>
      </c>
      <c r="B102" s="7" t="s">
        <v>284</v>
      </c>
      <c r="C102" s="1" t="s">
        <v>30</v>
      </c>
      <c r="D102" s="7" t="s">
        <v>285</v>
      </c>
      <c r="E102" s="9" t="s">
        <v>278</v>
      </c>
      <c r="F102" s="9" t="s">
        <v>286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36">
        <v>2295269000</v>
      </c>
      <c r="Q102" s="36">
        <v>2295269000</v>
      </c>
      <c r="R102" s="13"/>
      <c r="S102" s="13"/>
      <c r="T102" s="13"/>
      <c r="U102" s="13"/>
      <c r="V102" s="13"/>
      <c r="W102" s="4"/>
      <c r="X102" s="36">
        <v>2295269000</v>
      </c>
      <c r="Y102" s="498" t="str">
        <f ca="1">IFERROR(__xludf.DUMMYFUNCTION("INDEX(IMPORTRANGE(""1y0FWgjbB0gVlqn-q5LMJbGIsqOrzru4yowQz67dz2yc"", ""'SPGG'!BH3:BH139""),MATCH(D102,IMPORTRANGE(""1y0FWgjbB0gVlqn-q5LMJbGIsqOrzru4yowQz67dz2yc"", ""'SPGG'!D3:D139""),0))"),"")</f>
        <v/>
      </c>
      <c r="Z102" s="5">
        <f ca="1">IFERROR(__xludf.DUMMYFUNCTION("INDEX(IMPORTRANGE(""1y0FWgjbB0gVlqn-q5LMJbGIsqOrzru4yowQz67dz2yc"", ""'SPGG'!BI3:BI139""),MATCH(D102,IMPORTRANGE(""1y0FWgjbB0gVlqn-q5LMJbGIsqOrzru4yowQz67dz2yc"", ""'SPGG'!D3:D139""),0))"),2424080)</f>
        <v>2424080</v>
      </c>
      <c r="AA102" s="2"/>
      <c r="AB102" s="2"/>
      <c r="AC102" s="2"/>
    </row>
    <row r="103" spans="1:29">
      <c r="A103" s="7" t="s">
        <v>275</v>
      </c>
      <c r="B103" s="7" t="s">
        <v>276</v>
      </c>
      <c r="C103" s="1" t="s">
        <v>36</v>
      </c>
      <c r="D103" s="7" t="s">
        <v>287</v>
      </c>
      <c r="E103" s="9" t="s">
        <v>278</v>
      </c>
      <c r="F103" s="9" t="s">
        <v>288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1">P99/P102</f>
        <v>0.63691706723699926</v>
      </c>
      <c r="Q103" s="15">
        <f t="shared" si="21"/>
        <v>0.63691706723699926</v>
      </c>
      <c r="R103" s="2"/>
      <c r="S103" s="15">
        <v>0.66</v>
      </c>
      <c r="T103" s="15"/>
      <c r="U103" s="15">
        <v>0.67</v>
      </c>
      <c r="V103" s="15">
        <v>0.68</v>
      </c>
      <c r="W103" s="15">
        <v>0.68</v>
      </c>
      <c r="X103" s="15">
        <f>X99/X102</f>
        <v>0.63691706723699926</v>
      </c>
      <c r="Y103" s="498" t="str">
        <f ca="1">IFERROR(__xludf.DUMMYFUNCTION("INDEX(IMPORTRANGE(""1y0FWgjbB0gVlqn-q5LMJbGIsqOrzru4yowQz67dz2yc"", ""'SPGG'!BH3:BH139""),MATCH(D103,IMPORTRANGE(""1y0FWgjbB0gVlqn-q5LMJbGIsqOrzru4yowQz67dz2yc"", ""'SPGG'!D3:D139""),0))"),"")</f>
        <v/>
      </c>
      <c r="Z103" s="507">
        <f ca="1">IFERROR(__xludf.DUMMYFUNCTION("INDEX(IMPORTRANGE(""1y0FWgjbB0gVlqn-q5LMJbGIsqOrzru4yowQz67dz2yc"", ""'SPGG'!BI3:BI139""),MATCH(D103,IMPORTRANGE(""1y0FWgjbB0gVlqn-q5LMJbGIsqOrzru4yowQz67dz2yc"", ""'SPGG'!D3:D139""),0))"),0.808341721395333)</f>
        <v>0.808341721395333</v>
      </c>
      <c r="AA103" s="2"/>
      <c r="AB103" s="2"/>
      <c r="AC103" s="2"/>
    </row>
    <row r="104" spans="1:29">
      <c r="A104" s="7" t="s">
        <v>275</v>
      </c>
      <c r="B104" s="7" t="s">
        <v>276</v>
      </c>
      <c r="C104" s="1" t="s">
        <v>30</v>
      </c>
      <c r="D104" s="7" t="s">
        <v>289</v>
      </c>
      <c r="E104" s="9" t="s">
        <v>38</v>
      </c>
      <c r="F104" s="9" t="s">
        <v>112</v>
      </c>
      <c r="G104" s="7" t="s">
        <v>254</v>
      </c>
      <c r="H104" s="7" t="s">
        <v>254</v>
      </c>
      <c r="I104" s="7" t="s">
        <v>254</v>
      </c>
      <c r="J104" s="13"/>
      <c r="K104" s="7" t="s">
        <v>255</v>
      </c>
      <c r="L104" s="13"/>
      <c r="M104" s="7" t="s">
        <v>256</v>
      </c>
      <c r="N104" s="260">
        <v>45536</v>
      </c>
      <c r="O104" s="1" t="s">
        <v>218</v>
      </c>
      <c r="P104" s="5">
        <v>66960</v>
      </c>
      <c r="Q104" s="5">
        <v>66960</v>
      </c>
      <c r="R104" s="13"/>
      <c r="S104" s="13"/>
      <c r="T104" s="13"/>
      <c r="U104" s="13"/>
      <c r="V104" s="13"/>
      <c r="W104" s="4"/>
      <c r="X104" s="5">
        <v>66960</v>
      </c>
      <c r="Y104" s="498" t="str">
        <f ca="1">IFERROR(__xludf.DUMMYFUNCTION("INDEX(IMPORTRANGE(""1y0FWgjbB0gVlqn-q5LMJbGIsqOrzru4yowQz67dz2yc"", ""'SPGG'!BH3:BH139""),MATCH(D104,IMPORTRANGE(""1y0FWgjbB0gVlqn-q5LMJbGIsqOrzru4yowQz67dz2yc"", ""'SPGG'!D3:D139""),0))"),"")</f>
        <v/>
      </c>
      <c r="Z104" s="5">
        <f ca="1">IFERROR(__xludf.DUMMYFUNCTION("INDEX(IMPORTRANGE(""1y0FWgjbB0gVlqn-q5LMJbGIsqOrzru4yowQz67dz2yc"", ""'SPGG'!BI3:BI139""),MATCH(D104,IMPORTRANGE(""1y0FWgjbB0gVlqn-q5LMJbGIsqOrzru4yowQz67dz2yc"", ""'SPGG'!D3:D139""),0))"),67149)</f>
        <v>67149</v>
      </c>
      <c r="AA104" s="2"/>
      <c r="AB104" s="2"/>
      <c r="AC104" s="2"/>
    </row>
    <row r="105" spans="1:29">
      <c r="A105" s="7" t="s">
        <v>275</v>
      </c>
      <c r="B105" s="7" t="s">
        <v>276</v>
      </c>
      <c r="C105" s="1" t="s">
        <v>30</v>
      </c>
      <c r="D105" s="7" t="s">
        <v>290</v>
      </c>
      <c r="E105" s="9" t="s">
        <v>38</v>
      </c>
      <c r="F105" s="9" t="s">
        <v>291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5">
        <v>53789</v>
      </c>
      <c r="Q105" s="5">
        <v>53789</v>
      </c>
      <c r="R105" s="1"/>
      <c r="S105" s="1"/>
      <c r="T105" s="1"/>
      <c r="U105" s="1"/>
      <c r="V105" s="1"/>
      <c r="W105" s="2"/>
      <c r="X105" s="5">
        <v>53789</v>
      </c>
      <c r="Y105" s="498" t="str">
        <f ca="1">IFERROR(__xludf.DUMMYFUNCTION("INDEX(IMPORTRANGE(""1y0FWgjbB0gVlqn-q5LMJbGIsqOrzru4yowQz67dz2yc"", ""'SPGG'!BH3:BH139""),MATCH(D105,IMPORTRANGE(""1y0FWgjbB0gVlqn-q5LMJbGIsqOrzru4yowQz67dz2yc"", ""'SPGG'!D3:D139""),0))"),"")</f>
        <v/>
      </c>
      <c r="Z105" s="5">
        <f ca="1">IFERROR(__xludf.DUMMYFUNCTION("INDEX(IMPORTRANGE(""1y0FWgjbB0gVlqn-q5LMJbGIsqOrzru4yowQz67dz2yc"", ""'SPGG'!BI3:BI139""),MATCH(D105,IMPORTRANGE(""1y0FWgjbB0gVlqn-q5LMJbGIsqOrzru4yowQz67dz2yc"", ""'SPGG'!D3:D139""),0))"),54874)</f>
        <v>54874</v>
      </c>
      <c r="AA105" s="2"/>
      <c r="AB105" s="2"/>
      <c r="AC105" s="2"/>
    </row>
    <row r="106" spans="1:29">
      <c r="A106" s="7" t="s">
        <v>275</v>
      </c>
      <c r="B106" s="7" t="s">
        <v>276</v>
      </c>
      <c r="C106" s="1" t="s">
        <v>36</v>
      </c>
      <c r="D106" s="7" t="s">
        <v>292</v>
      </c>
      <c r="E106" s="9" t="s">
        <v>38</v>
      </c>
      <c r="F106" s="9" t="s">
        <v>293</v>
      </c>
      <c r="G106" s="7" t="s">
        <v>213</v>
      </c>
      <c r="H106" s="1" t="s">
        <v>214</v>
      </c>
      <c r="I106" s="7" t="s">
        <v>215</v>
      </c>
      <c r="J106" s="13"/>
      <c r="K106" s="7" t="s">
        <v>216</v>
      </c>
      <c r="L106" s="13"/>
      <c r="M106" s="7" t="s">
        <v>217</v>
      </c>
      <c r="N106" s="1" t="s">
        <v>218</v>
      </c>
      <c r="O106" s="1" t="s">
        <v>218</v>
      </c>
      <c r="P106" s="15">
        <f t="shared" ref="P106:Q106" si="22">P105/P104</f>
        <v>0.80330047789725212</v>
      </c>
      <c r="Q106" s="15">
        <f t="shared" si="22"/>
        <v>0.80330047789725212</v>
      </c>
      <c r="R106" s="2"/>
      <c r="S106" s="15">
        <v>0.8</v>
      </c>
      <c r="T106" s="15"/>
      <c r="U106" s="15">
        <v>0.8</v>
      </c>
      <c r="V106" s="15">
        <v>0.75</v>
      </c>
      <c r="W106" s="15">
        <v>0.75</v>
      </c>
      <c r="X106" s="15">
        <f>X105/X104</f>
        <v>0.80330047789725212</v>
      </c>
      <c r="Y106" s="498" t="str">
        <f ca="1">IFERROR(__xludf.DUMMYFUNCTION("INDEX(IMPORTRANGE(""1y0FWgjbB0gVlqn-q5LMJbGIsqOrzru4yowQz67dz2yc"", ""'SPGG'!BH3:BH139""),MATCH(D106,IMPORTRANGE(""1y0FWgjbB0gVlqn-q5LMJbGIsqOrzru4yowQz67dz2yc"", ""'SPGG'!D3:D139""),0))"),"")</f>
        <v/>
      </c>
      <c r="Z106" s="15">
        <f ca="1">IFERROR(__xludf.DUMMYFUNCTION("INDEX(IMPORTRANGE(""1y0FWgjbB0gVlqn-q5LMJbGIsqOrzru4yowQz67dz2yc"", ""'SPGG'!BI3:BI139""),MATCH(D106,IMPORTRANGE(""1y0FWgjbB0gVlqn-q5LMJbGIsqOrzru4yowQz67dz2yc"", ""'SPGG'!D3:D139""),0))"),0.817197575540961)</f>
        <v>0.81719757554096095</v>
      </c>
      <c r="AA106" s="2"/>
      <c r="AB106" s="2"/>
      <c r="AC106" s="2"/>
    </row>
    <row r="107" spans="1:29">
      <c r="A107" s="7" t="s">
        <v>275</v>
      </c>
      <c r="B107" s="7" t="s">
        <v>276</v>
      </c>
      <c r="C107" s="7" t="s">
        <v>30</v>
      </c>
      <c r="D107" s="7" t="s">
        <v>294</v>
      </c>
      <c r="E107" s="9" t="s">
        <v>38</v>
      </c>
      <c r="F107" s="9" t="s">
        <v>295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36"/>
      <c r="Q107" s="36"/>
      <c r="R107" s="1"/>
      <c r="S107" s="1"/>
      <c r="T107" s="1"/>
      <c r="U107" s="1"/>
      <c r="V107" s="1"/>
      <c r="W107" s="499"/>
      <c r="X107" s="500"/>
      <c r="Y107" s="498" t="str">
        <f ca="1">IFERROR(__xludf.DUMMYFUNCTION("INDEX(IMPORTRANGE(""1y0FWgjbB0gVlqn-q5LMJbGIsqOrzru4yowQz67dz2yc"", ""'SPGG'!BH3:BH139""),MATCH(D107,IMPORTRANGE(""1y0FWgjbB0gVlqn-q5LMJbGIsqOrzru4yowQz67dz2yc"", ""'SPGG'!D3:D139""),0))"),"")</f>
        <v/>
      </c>
      <c r="Z107" s="5">
        <f ca="1">IFERROR(__xludf.DUMMYFUNCTION("INDEX(IMPORTRANGE(""1y0FWgjbB0gVlqn-q5LMJbGIsqOrzru4yowQz67dz2yc"", ""'SPGG'!BI3:BI139""),MATCH(D107,IMPORTRANGE(""1y0FWgjbB0gVlqn-q5LMJbGIsqOrzru4yowQz67dz2yc"", ""'SPGG'!D3:D139""),0))"),978250587)</f>
        <v>978250587</v>
      </c>
      <c r="AA107" s="2"/>
      <c r="AB107" s="2"/>
      <c r="AC107" s="2"/>
    </row>
    <row r="108" spans="1:29">
      <c r="A108" s="7" t="s">
        <v>275</v>
      </c>
      <c r="B108" s="7" t="s">
        <v>276</v>
      </c>
      <c r="C108" s="7" t="s">
        <v>36</v>
      </c>
      <c r="D108" s="7" t="s">
        <v>296</v>
      </c>
      <c r="E108" s="9" t="s">
        <v>38</v>
      </c>
      <c r="F108" s="9" t="s">
        <v>297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36">
        <v>846769779</v>
      </c>
      <c r="Q108" s="36">
        <v>846769779</v>
      </c>
      <c r="R108" s="2"/>
      <c r="S108" s="349">
        <v>892000000</v>
      </c>
      <c r="T108" s="349"/>
      <c r="U108" s="349">
        <v>920000000</v>
      </c>
      <c r="V108" s="349">
        <v>880000000</v>
      </c>
      <c r="W108" s="36">
        <v>880000000</v>
      </c>
      <c r="X108" s="36">
        <v>846769779</v>
      </c>
      <c r="Y108" s="498" t="str">
        <f ca="1">IFERROR(__xludf.DUMMYFUNCTION("INDEX(IMPORTRANGE(""1y0FWgjbB0gVlqn-q5LMJbGIsqOrzru4yowQz67dz2yc"", ""'SPGG'!BH3:BH139""),MATCH(D108,IMPORTRANGE(""1y0FWgjbB0gVlqn-q5LMJbGIsqOrzru4yowQz67dz2yc"", ""'SPGG'!D3:D139""),0))"),"")</f>
        <v/>
      </c>
      <c r="Z108" s="5">
        <f ca="1">IFERROR(__xludf.DUMMYFUNCTION("INDEX(IMPORTRANGE(""1y0FWgjbB0gVlqn-q5LMJbGIsqOrzru4yowQz67dz2yc"", ""'SPGG'!BI3:BI139""),MATCH(D108,IMPORTRANGE(""1y0FWgjbB0gVlqn-q5LMJbGIsqOrzru4yowQz67dz2yc"", ""'SPGG'!D3:D139""),0))"),1020323231)</f>
        <v>1020323231</v>
      </c>
      <c r="AA108" s="2"/>
      <c r="AB108" s="2"/>
      <c r="AC108" s="2"/>
    </row>
    <row r="109" spans="1:29">
      <c r="A109" s="7" t="s">
        <v>275</v>
      </c>
      <c r="B109" s="7" t="s">
        <v>298</v>
      </c>
      <c r="C109" s="1" t="s">
        <v>30</v>
      </c>
      <c r="D109" s="7" t="s">
        <v>299</v>
      </c>
      <c r="E109" s="9" t="s">
        <v>278</v>
      </c>
      <c r="F109" s="9" t="s">
        <v>300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>
        <v>3142218000</v>
      </c>
      <c r="Q109" s="36">
        <v>3142218000</v>
      </c>
      <c r="R109" s="13"/>
      <c r="S109" s="13"/>
      <c r="T109" s="13"/>
      <c r="U109" s="13"/>
      <c r="V109" s="13"/>
      <c r="W109" s="4"/>
      <c r="X109" s="36">
        <v>3142218000</v>
      </c>
      <c r="Y109" s="498" t="str">
        <f ca="1">IFERROR(__xludf.DUMMYFUNCTION("INDEX(IMPORTRANGE(""1y0FWgjbB0gVlqn-q5LMJbGIsqOrzru4yowQz67dz2yc"", ""'SPGG'!BH3:BH139""),MATCH(D109,IMPORTRANGE(""1y0FWgjbB0gVlqn-q5LMJbGIsqOrzru4yowQz67dz2yc"", ""'SPGG'!D3:D139""),0))"),"")</f>
        <v/>
      </c>
      <c r="Z109" s="5">
        <f ca="1">IFERROR(__xludf.DUMMYFUNCTION("INDEX(IMPORTRANGE(""1y0FWgjbB0gVlqn-q5LMJbGIsqOrzru4yowQz67dz2yc"", ""'SPGG'!BI3:BI139""),MATCH(D109,IMPORTRANGE(""1y0FWgjbB0gVlqn-q5LMJbGIsqOrzru4yowQz67dz2yc"", ""'SPGG'!D3:D139""),0))"),3183724)</f>
        <v>3183724</v>
      </c>
      <c r="AA109" s="2"/>
      <c r="AB109" s="2"/>
      <c r="AC109" s="2"/>
    </row>
    <row r="110" spans="1:29">
      <c r="A110" s="7" t="s">
        <v>275</v>
      </c>
      <c r="B110" s="7" t="s">
        <v>298</v>
      </c>
      <c r="C110" s="1" t="s">
        <v>36</v>
      </c>
      <c r="D110" s="7" t="s">
        <v>301</v>
      </c>
      <c r="E110" s="9" t="s">
        <v>278</v>
      </c>
      <c r="F110" s="9" t="s">
        <v>302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15">
        <f t="shared" ref="P110:Q110" si="23">P102/P109</f>
        <v>0.73046141292551947</v>
      </c>
      <c r="Q110" s="15">
        <f t="shared" si="23"/>
        <v>0.73046141292551947</v>
      </c>
      <c r="R110" s="2"/>
      <c r="S110" s="15">
        <v>0.73</v>
      </c>
      <c r="T110" s="15"/>
      <c r="U110" s="15">
        <v>0.73</v>
      </c>
      <c r="V110" s="15">
        <v>0.74</v>
      </c>
      <c r="W110" s="15">
        <v>0.74</v>
      </c>
      <c r="X110" s="15">
        <f>X102/X109</f>
        <v>0.73046141292551947</v>
      </c>
      <c r="Y110" s="498" t="str">
        <f ca="1">IFERROR(__xludf.DUMMYFUNCTION("INDEX(IMPORTRANGE(""1y0FWgjbB0gVlqn-q5LMJbGIsqOrzru4yowQz67dz2yc"", ""'SPGG'!BH3:BH139""),MATCH(D110,IMPORTRANGE(""1y0FWgjbB0gVlqn-q5LMJbGIsqOrzru4yowQz67dz2yc"", ""'SPGG'!D3:D139""),0))"),"")</f>
        <v/>
      </c>
      <c r="Z110" s="5">
        <f ca="1">IFERROR(__xludf.DUMMYFUNCTION("INDEX(IMPORTRANGE(""1y0FWgjbB0gVlqn-q5LMJbGIsqOrzru4yowQz67dz2yc"", ""'SPGG'!BI3:BI139""),MATCH(D110,IMPORTRANGE(""1y0FWgjbB0gVlqn-q5LMJbGIsqOrzru4yowQz67dz2yc"", ""'SPGG'!D3:D139""),0))"),0.761397658842286)</f>
        <v>0.76139765884228605</v>
      </c>
      <c r="AA110" s="2"/>
      <c r="AB110" s="2"/>
      <c r="AC110" s="2"/>
    </row>
    <row r="111" spans="1:29">
      <c r="A111" s="7" t="s">
        <v>275</v>
      </c>
      <c r="B111" s="7" t="s">
        <v>303</v>
      </c>
      <c r="C111" s="1" t="s">
        <v>36</v>
      </c>
      <c r="D111" s="7" t="s">
        <v>304</v>
      </c>
      <c r="E111" s="9" t="s">
        <v>305</v>
      </c>
      <c r="F111" s="9" t="s">
        <v>306</v>
      </c>
      <c r="G111" s="11" t="s">
        <v>307</v>
      </c>
      <c r="H111" s="13"/>
      <c r="I111" s="1" t="s">
        <v>254</v>
      </c>
      <c r="J111" s="13"/>
      <c r="K111" s="1" t="s">
        <v>255</v>
      </c>
      <c r="L111" s="13"/>
      <c r="M111" s="1" t="s">
        <v>256</v>
      </c>
      <c r="N111" s="49">
        <v>45473</v>
      </c>
      <c r="O111" s="1"/>
      <c r="P111" s="2" t="s">
        <v>308</v>
      </c>
      <c r="Q111" s="2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2" t="s">
        <v>308</v>
      </c>
      <c r="Y111" s="498" t="str">
        <f ca="1">IFERROR(__xludf.DUMMYFUNCTION("INDEX(IMPORTRANGE(""1y0FWgjbB0gVlqn-q5LMJbGIsqOrzru4yowQz67dz2yc"", ""'SPGG'!BH3:BH139""),MATCH(D111,IMPORTRANGE(""1y0FWgjbB0gVlqn-q5LMJbGIsqOrzru4yowQz67dz2yc"", ""'SPGG'!D3:D139""),0))"),"")</f>
        <v/>
      </c>
      <c r="Z111" s="5" t="str">
        <f ca="1">IFERROR(__xludf.DUMMYFUNCTION("INDEX(IMPORTRANGE(""1y0FWgjbB0gVlqn-q5LMJbGIsqOrzru4yowQz67dz2yc"", ""'SPGG'!BI3:BI139""),MATCH(D111,IMPORTRANGE(""1y0FWgjbB0gVlqn-q5LMJbGIsqOrzru4yowQz67dz2yc"", ""'SPGG'!D3:D139""),0))"),"Verde")</f>
        <v>Verde</v>
      </c>
      <c r="AA111" s="2"/>
      <c r="AB111" s="2"/>
      <c r="AC111" s="2"/>
    </row>
    <row r="112" spans="1:29">
      <c r="A112" s="1"/>
      <c r="B112" s="1"/>
      <c r="C112" s="1"/>
      <c r="D112" s="1"/>
      <c r="E112" s="2"/>
      <c r="F112" s="1"/>
      <c r="G112" s="11" t="s">
        <v>307</v>
      </c>
      <c r="H112" s="13"/>
      <c r="I112" s="1"/>
      <c r="J112" s="1"/>
      <c r="K112" s="1"/>
      <c r="L112" s="1"/>
      <c r="M112" s="1"/>
      <c r="N112" s="1"/>
      <c r="O112" s="1"/>
      <c r="P112" s="2"/>
      <c r="Q112" s="2" t="s">
        <v>448</v>
      </c>
      <c r="R112" s="1"/>
      <c r="S112" s="1"/>
      <c r="T112" s="1"/>
      <c r="U112" s="1"/>
      <c r="V112" s="1"/>
      <c r="W112" s="2"/>
      <c r="X112" s="2"/>
      <c r="Y112" s="2"/>
      <c r="Z112" s="5"/>
      <c r="AA112" s="2"/>
      <c r="AB112" s="2"/>
      <c r="AC112" s="2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B0DC-BAA9-E840-B2B5-FD858778C87B}">
  <dimension ref="A1:M39"/>
  <sheetViews>
    <sheetView workbookViewId="0">
      <selection activeCell="E2" sqref="E2"/>
    </sheetView>
  </sheetViews>
  <sheetFormatPr baseColWidth="10" defaultRowHeight="16"/>
  <cols>
    <col min="1" max="1" width="10.83203125" style="118"/>
    <col min="3" max="3" width="20.1640625" customWidth="1"/>
    <col min="4" max="4" width="11.83203125" customWidth="1"/>
    <col min="5" max="5" width="14.5" customWidth="1"/>
    <col min="7" max="7" width="15.5" customWidth="1"/>
    <col min="8" max="8" width="14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SPGG'!$D$3:$Y$114,4,0)</f>
        <v>44469</v>
      </c>
      <c r="E2" s="212">
        <f>VLOOKUP(C2,'BD EVA 2 SPGG'!$D$3:$Q$114,13,0)</f>
        <v>524</v>
      </c>
      <c r="F2" s="75">
        <f>VLOOKUP(C2,'BD EVA 2 SPGG'!$D$3:$Y$114,8,0)</f>
        <v>45016</v>
      </c>
      <c r="G2" s="212">
        <f ca="1">VLOOKUP(C2,'BD EVA 2 SPGG'!$D$3:$AC$114,23,0)</f>
        <v>588</v>
      </c>
      <c r="H2" s="212">
        <f>VLOOKUP(C2,'BD EVA 2 SPGG'!$D$3:$AC$114,16,0)</f>
        <v>555</v>
      </c>
      <c r="I2" s="78">
        <f ca="1">IF(G2&gt;=E2,G2/H2,0)</f>
        <v>1.0594594594594595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10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SPGG'!$D$3:$Y$114,4,0)</f>
        <v>44469</v>
      </c>
      <c r="E3" s="207">
        <f>VLOOKUP(C3,'BD EVA 2 SPGG'!$D$3:$Q$114,13,0)</f>
        <v>0.95992366412213737</v>
      </c>
      <c r="F3" s="75">
        <f>VLOOKUP(C3,'BD EVA 2 SPGG'!$D$3:$Y$114,8,0)</f>
        <v>45016</v>
      </c>
      <c r="G3" s="207">
        <f ca="1">VLOOKUP(C3,'BD EVA 2 SPGG'!$D$3:$AC$114,23,0)</f>
        <v>0.97108843537414902</v>
      </c>
      <c r="H3" s="207" t="str">
        <f>VLOOKUP(C3,'BD EVA 2 SPGG'!$D$3:$AC$114,16,0)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SPGG'!$D$3:$Y$114,4,0)</f>
        <v>44469</v>
      </c>
      <c r="E4" s="207">
        <f>VLOOKUP(C4,'BD EVA 2 SPGG'!$D$3:$Q$114,13,0)</f>
        <v>0</v>
      </c>
      <c r="F4" s="75">
        <f>VLOOKUP(C4,'BD EVA 2 SPGG'!$D$3:$Y$114,8,0)</f>
        <v>45016</v>
      </c>
      <c r="G4" s="207">
        <f ca="1">VLOOKUP(C4,'BD EVA 2 SPGG'!$D$3:$AC$114,23,0)</f>
        <v>1.3605442176870699E-2</v>
      </c>
      <c r="H4" s="207">
        <f>VLOOKUP(C4,'BD EVA 2 SPGG'!$D$3:$AC$114,16,0)</f>
        <v>1.2999999999999999E-2</v>
      </c>
      <c r="I4" s="78">
        <f t="shared" ref="I4:I5" ca="1" si="1">G4/H4</f>
        <v>1.0465724751439001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SPGG'!$D$3:$Y$114,4,0)</f>
        <v>octubre 20 - mar 21</v>
      </c>
      <c r="E5" s="207">
        <f>VLOOKUP(C5,'BD EVA 2 SPGG'!$D$3:$Q$114,13,0)</f>
        <v>9.0308370044052858E-2</v>
      </c>
      <c r="F5" s="72" t="str">
        <f>VLOOKUP(C5,'BD EVA 2 SPGG'!$D$3:$Y$114,8,0)</f>
        <v>octubre 22- mar 23</v>
      </c>
      <c r="G5" s="207">
        <f ca="1">VLOOKUP(C5,'BD EVA 2 SPGG'!$D$3:$AC$114,23,0)</f>
        <v>6.9306930693069299E-2</v>
      </c>
      <c r="H5" s="207">
        <f>VLOOKUP(C5,'BD EVA 2 SPGG'!$D$3:$AC$114,16,0)</f>
        <v>4.0000000000000001E-3</v>
      </c>
      <c r="I5" s="78">
        <f t="shared" ca="1" si="1"/>
        <v>17.326732673267326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10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SPGG'!$D$3:$Y$114,4,0)</f>
        <v>octubre 20 - mar 21</v>
      </c>
      <c r="E6" s="211">
        <f>VLOOKUP(C6,'BD EVA 2 SPGG'!$D$3:$Q$114,13,0)</f>
        <v>4.3182554248083775</v>
      </c>
      <c r="F6" s="72" t="str">
        <f>VLOOKUP(C6,'BD EVA 2 SPGG'!$D$3:$Y$114,8,0)</f>
        <v>octubre 22- mar 23</v>
      </c>
      <c r="G6" s="209">
        <f ca="1">VLOOKUP(C6,'BD EVA 2 SPGG'!$D$3:$AC$114,23,0)</f>
        <v>2.1094376239294599</v>
      </c>
      <c r="H6" s="209">
        <f>VLOOKUP(C6,'BD EVA 2 SPGG'!$D$3:$AC$114,16,0)</f>
        <v>3.87</v>
      </c>
      <c r="I6" s="78">
        <f t="shared" ref="I6:I10" ca="1" si="2">(G6-E6)/(H6-E6)</f>
        <v>4.9275874392890051</v>
      </c>
      <c r="J6" s="71" t="s">
        <v>319</v>
      </c>
      <c r="K6" s="209">
        <v>1.7</v>
      </c>
      <c r="L6" s="209">
        <f t="shared" ca="1" si="0"/>
        <v>1.7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SPGG'!$D$3:$Y$114,4,0)</f>
        <v>octubre 20 - mar 21</v>
      </c>
      <c r="E7" s="208">
        <f>VLOOKUP(C7,'BD EVA 2 SPGG'!$D$3:$Q$114,13,0)</f>
        <v>63.33441289718953</v>
      </c>
      <c r="F7" s="72" t="str">
        <f>VLOOKUP(C7,'BD EVA 2 SPGG'!$D$3:$Y$114,8,0)</f>
        <v>octubre 22- mar 23</v>
      </c>
      <c r="G7" s="208">
        <f ca="1">VLOOKUP(C7,'BD EVA 2 SPGG'!$D$3:$AC$114,23,0)</f>
        <v>44.298190102518603</v>
      </c>
      <c r="H7" s="208">
        <f>VLOOKUP(C7,'BD EVA 2 SPGG'!$D$3:$AC$114,16,0)</f>
        <v>57</v>
      </c>
      <c r="I7" s="78">
        <f t="shared" ca="1" si="2"/>
        <v>3.0052071286854338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SPGG'!$D$3:$Y$114,4,0)</f>
        <v>octubre 20 - mar 21</v>
      </c>
      <c r="E8" s="208">
        <f>VLOOKUP(C8,'BD EVA 2 SPGG'!$D$3:$Q$114,13,0)</f>
        <v>92.842491633380106</v>
      </c>
      <c r="F8" s="72" t="str">
        <f>VLOOKUP(C8,'BD EVA 2 SPGG'!$D$3:$Y$114,8,0)</f>
        <v>octubre 22- mar 23</v>
      </c>
      <c r="G8" s="208">
        <f ca="1">VLOOKUP(C8,'BD EVA 2 SPGG'!$D$3:$AC$114,23,0)</f>
        <v>69.611441589672197</v>
      </c>
      <c r="H8" s="208">
        <f>VLOOKUP(C8,'BD EVA 2 SPGG'!$D$3:$AC$114,16,0)</f>
        <v>92.7</v>
      </c>
      <c r="I8" s="78">
        <f t="shared" ca="1" si="2"/>
        <v>163.03448485103621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SPGG'!$D$3:$Y$114,4,0)</f>
        <v>octubre 20 - mar 21</v>
      </c>
      <c r="E9" s="208">
        <f>VLOOKUP(C9,'BD EVA 2 SPGG'!$D$3:$Q$114,13,0)</f>
        <v>27.348951023786391</v>
      </c>
      <c r="F9" s="72" t="str">
        <f>VLOOKUP(C9,'BD EVA 2 SPGG'!$D$3:$Y$114,8,0)</f>
        <v>octubre 22- mar 23</v>
      </c>
      <c r="G9" s="208">
        <f ca="1">VLOOKUP(C9,'BD EVA 2 SPGG'!$D$3:$AC$114,23,0)</f>
        <v>16.875500991435601</v>
      </c>
      <c r="H9" s="208">
        <f>VLOOKUP(C9,'BD EVA 2 SPGG'!$D$3:$AC$114,16,0)</f>
        <v>27.3</v>
      </c>
      <c r="I9" s="78">
        <f t="shared" ca="1" si="2"/>
        <v>213.95773208042021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SPGG'!$D$3:$Y$114,4,0)</f>
        <v>octubre 20 - mar 21</v>
      </c>
      <c r="E10" s="208">
        <f>VLOOKUP(C10,'BD EVA 2 SPGG'!$D$3:$Q$114,13,0)</f>
        <v>3.5985461873403146</v>
      </c>
      <c r="F10" s="72" t="str">
        <f>VLOOKUP(C10,'BD EVA 2 SPGG'!$D$3:$Y$114,8,0)</f>
        <v>octubre 22- mar 23</v>
      </c>
      <c r="G10" s="208">
        <f ca="1">VLOOKUP(C10,'BD EVA 2 SPGG'!$D$3:$AC$114,23,0)</f>
        <v>2.8125834985726099</v>
      </c>
      <c r="H10" s="208">
        <f>VLOOKUP(C10,'BD EVA 2 SPGG'!$D$3:$AC$114,16,0)</f>
        <v>3.597</v>
      </c>
      <c r="I10" s="78">
        <f t="shared" ca="1" si="2"/>
        <v>508.32306556575799</v>
      </c>
      <c r="J10" s="71" t="s">
        <v>319</v>
      </c>
      <c r="K10" s="209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SPGG'!$D$3:$Y$114,4,0)</f>
        <v>44469</v>
      </c>
      <c r="E11" s="78">
        <f>VLOOKUP(C11,'BD EVA 2 SPGG'!$D$3:$Q$114,13,0)</f>
        <v>0</v>
      </c>
      <c r="F11" s="89">
        <f>VLOOKUP(C11,'BD EVA 2 SPGG'!$D$3:$Y$114,8,0)</f>
        <v>45016</v>
      </c>
      <c r="G11" s="78">
        <f ca="1">VLOOKUP(C11,'BD EVA 2 SPGG'!$D$3:$AC$114,23,0)</f>
        <v>0.14754836999734899</v>
      </c>
      <c r="H11" s="78">
        <f>VLOOKUP(C11,'BD EVA 2 SPGG'!$D$3:$AC$114,16,0)</f>
        <v>5.8000000000000003E-2</v>
      </c>
      <c r="I11" s="78">
        <f t="shared" ref="I11:I15" ca="1" si="3">G11/H11</f>
        <v>2.5439374137473965</v>
      </c>
      <c r="J11" s="89" t="s">
        <v>318</v>
      </c>
      <c r="K11" s="71">
        <v>1.1000000000000001</v>
      </c>
      <c r="L11" s="209">
        <f t="shared" ca="1" si="0"/>
        <v>1.1000000000000001</v>
      </c>
      <c r="M11" s="130">
        <f ca="1">SUM(L11:L15)</f>
        <v>10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SPGG'!$D$3:$Y$114,4,0)</f>
        <v>octubre 20 - mar 21</v>
      </c>
      <c r="E12" s="212">
        <f>VLOOKUP(C12,'BD EVA 2 SPGG'!$D$3:$Q$114,13,0)</f>
        <v>0</v>
      </c>
      <c r="F12" s="71" t="str">
        <f>VLOOKUP(C12,'BD EVA 2 SPGG'!$D$3:$Y$114,8,0)</f>
        <v>octubre 22- mar 23</v>
      </c>
      <c r="G12" s="210">
        <f ca="1">VLOOKUP(C12,'BD EVA 2 SPGG'!$D$3:$AC$114,23,0)</f>
        <v>9.9431847243221308E-3</v>
      </c>
      <c r="H12" s="210">
        <f>VLOOKUP(C12,'BD EVA 2 SPGG'!$D$3:$AC$114,16,0)</f>
        <v>9.9000000000000008E-3</v>
      </c>
      <c r="I12" s="78">
        <f t="shared" ca="1" si="3"/>
        <v>1.0043620933658717</v>
      </c>
      <c r="J12" s="75" t="s">
        <v>318</v>
      </c>
      <c r="K12" s="71">
        <v>1.1000000000000001</v>
      </c>
      <c r="L12" s="209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SPGG'!$D$3:$Y$114,4,0)</f>
        <v>octubre 20 - mar 21</v>
      </c>
      <c r="E13" s="212">
        <f>VLOOKUP(C13,'BD EVA 2 SPGG'!$D$3:$Q$114,13,0)</f>
        <v>0</v>
      </c>
      <c r="F13" s="71" t="str">
        <f>VLOOKUP(C13,'BD EVA 2 SPGG'!$D$3:$Y$114,8,0)</f>
        <v>octubre 21 - mar 23</v>
      </c>
      <c r="G13" s="212">
        <f ca="1">VLOOKUP(C13,'BD EVA 2 SPGG'!$D$3:$AC$114,23,0)</f>
        <v>1</v>
      </c>
      <c r="H13" s="212">
        <f>VLOOKUP(C13,'BD EVA 2 SPGG'!$D$3:$AC$114,16,0)</f>
        <v>1</v>
      </c>
      <c r="I13" s="78">
        <f t="shared" ca="1" si="3"/>
        <v>1</v>
      </c>
      <c r="J13" s="75" t="s">
        <v>318</v>
      </c>
      <c r="K13" s="82">
        <v>2.35</v>
      </c>
      <c r="L13" s="209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SPGG'!$D$3:$Y$114,4,0)</f>
        <v>octubre 20 - mar 21</v>
      </c>
      <c r="E14" s="212">
        <f>VLOOKUP(C14,'BD EVA 2 SPGG'!$D$3:$Q$114,13,0)</f>
        <v>1983</v>
      </c>
      <c r="F14" s="71" t="str">
        <f>VLOOKUP(C14,'BD EVA 2 SPGG'!$D$3:$Y$114,8,0)</f>
        <v>octubre 21 - mar 23</v>
      </c>
      <c r="G14" s="212">
        <f ca="1">VLOOKUP(C14,'BD EVA 2 SPGG'!$D$3:$AC$114,23,0)</f>
        <v>2983</v>
      </c>
      <c r="H14" s="212">
        <f>VLOOKUP(C14,'BD EVA 2 SPGG'!$D$3:$AC$114,16,0)</f>
        <v>2640</v>
      </c>
      <c r="I14" s="78">
        <f t="shared" ca="1" si="3"/>
        <v>1.1299242424242424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SPGG'!$D$3:$Y$114,4,0)</f>
        <v>octubre 20 - mar 21</v>
      </c>
      <c r="E15" s="212">
        <f>VLOOKUP(C15,'BD EVA 2 SPGG'!$D$3:$Q$114,13,0)</f>
        <v>0</v>
      </c>
      <c r="F15" s="89" t="str">
        <f>VLOOKUP(C15,'BD EVA 2 SPGG'!$D$3:$Y$114,8,0)</f>
        <v>octubre 21 - mar 23</v>
      </c>
      <c r="G15" s="212">
        <f ca="1">VLOOKUP(C15,'BD EVA 2 SPGG'!$D$3:$AC$114,23,0)</f>
        <v>48</v>
      </c>
      <c r="H15" s="212">
        <f>VLOOKUP(C15,'BD EVA 2 SPGG'!$D$3:$AC$114,16,0)</f>
        <v>41</v>
      </c>
      <c r="I15" s="78">
        <f t="shared" ca="1" si="3"/>
        <v>1.1707317073170731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SPGG'!$D$3:$Y$114,4,0)</f>
        <v>44469</v>
      </c>
      <c r="E16" s="213">
        <f>VLOOKUP(C16,'BD EVA 2 SPGG'!$D$3:$Q$114,13,0)</f>
        <v>0.66666666666666663</v>
      </c>
      <c r="F16" s="75">
        <f>VLOOKUP(C16,'BD EVA 2 SPGG'!$D$3:$Y$114,8,0)</f>
        <v>45016</v>
      </c>
      <c r="G16" s="213">
        <f ca="1">VLOOKUP(C16,'BD EVA 2 SPGG'!$D$3:$AC$114,23,0)</f>
        <v>1</v>
      </c>
      <c r="H16" s="213" t="str">
        <f>VLOOKUP(C16,'BD EVA 2 SPGG'!$D$3:$AC$114,16,0)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8">
        <f t="shared" ref="I16:I17" ca="1" si="4">G16/1</f>
        <v>1</v>
      </c>
      <c r="J16" s="75" t="s">
        <v>318</v>
      </c>
      <c r="K16" s="71">
        <v>1.5</v>
      </c>
      <c r="L16" s="209">
        <f t="shared" ca="1" si="0"/>
        <v>1.5</v>
      </c>
      <c r="M16" s="130">
        <f ca="1">SUM(L16:L23)</f>
        <v>9.9236022727272726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SPGG'!$D$3:$Y$114,4,0)</f>
        <v>44469</v>
      </c>
      <c r="E17" s="212">
        <f>VLOOKUP(C17,'BD EVA 2 SPGG'!$D$3:$Q$114,13,0)</f>
        <v>1</v>
      </c>
      <c r="F17" s="75">
        <f>VLOOKUP(C17,'BD EVA 2 SPGG'!$D$3:$Y$114,8,0)</f>
        <v>45016</v>
      </c>
      <c r="G17" s="212">
        <f ca="1">VLOOKUP(C17,'BD EVA 2 SPGG'!$D$3:$AC$114,23,0)</f>
        <v>1</v>
      </c>
      <c r="H17" s="212" t="str">
        <f>VLOOKUP(C17,'BD EVA 2 SPGG'!$D$3:$AC$114,16,0)</f>
        <v>Actualizado al 2018</v>
      </c>
      <c r="I17" s="207">
        <f t="shared" ca="1" si="4"/>
        <v>1</v>
      </c>
      <c r="J17" s="75" t="s">
        <v>318</v>
      </c>
      <c r="K17" s="71">
        <v>1.5</v>
      </c>
      <c r="L17" s="209">
        <f t="shared" ca="1" si="0"/>
        <v>1.5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SPGG'!$D$3:$Y$114,4,0)</f>
        <v>44469</v>
      </c>
      <c r="E18" s="207" t="str">
        <f>VLOOKUP(C18,'BD EVA 2 SPGG'!$D$3:$Q$114,13,0)</f>
        <v>NA</v>
      </c>
      <c r="F18" s="75">
        <f>VLOOKUP(C18,'BD EVA 2 SPGG'!$D$3:$Y$114,8,0)</f>
        <v>45016</v>
      </c>
      <c r="G18" s="207" t="str">
        <f ca="1">VLOOKUP(C18,'BD EVA 2 SPGG'!$D$3:$AC$114,23,0)</f>
        <v>NA</v>
      </c>
      <c r="H18" s="207">
        <f>VLOOKUP(C18,'BD EVA 2 SPGG'!$D$3:$AC$114,16,0)</f>
        <v>1</v>
      </c>
      <c r="I18" s="207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SPGG'!$D$3:$Y$114,4,0)</f>
        <v>44469</v>
      </c>
      <c r="E19" s="207">
        <f>VLOOKUP(C19,'BD EVA 2 SPGG'!$D$3:$Q$114,13,0)</f>
        <v>1</v>
      </c>
      <c r="F19" s="75">
        <f>VLOOKUP(C19,'BD EVA 2 SPGG'!$D$3:$Y$114,8,0)</f>
        <v>45016</v>
      </c>
      <c r="G19" s="207">
        <f ca="1">VLOOKUP(C19,'BD EVA 2 SPGG'!$D$3:$AC$114,23,0)</f>
        <v>1</v>
      </c>
      <c r="H19" s="207">
        <f>VLOOKUP(C19,'BD EVA 2 SPGG'!$D$3:$AC$114,16,0)</f>
        <v>1</v>
      </c>
      <c r="I19" s="207">
        <f t="shared" ref="I19:I27" ca="1" si="5">G19/H19</f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SPGG'!$D$3:$Y$114,4,0)</f>
        <v>44469</v>
      </c>
      <c r="E20" s="214">
        <f>VLOOKUP(C20,'BD EVA 2 SPGG'!$D$3:$Q$114,13,0)</f>
        <v>1</v>
      </c>
      <c r="F20" s="75">
        <f>VLOOKUP(C20,'BD EVA 2 SPGG'!$D$3:$Y$114,8,0)</f>
        <v>45016</v>
      </c>
      <c r="G20" s="214">
        <f ca="1">VLOOKUP(C20,'BD EVA 2 SPGG'!$D$3:$AC$114,23,0)</f>
        <v>1</v>
      </c>
      <c r="H20" s="214">
        <f>VLOOKUP(C20,'BD EVA 2 SPGG'!$D$3:$AC$114,16,0)</f>
        <v>1</v>
      </c>
      <c r="I20" s="207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SPGG'!$D$3:$Y$114,4,0)</f>
        <v>44469</v>
      </c>
      <c r="E21" s="207">
        <f>VLOOKUP(C21,'BD EVA 2 SPGG'!$D$3:$Q$114,13,0)</f>
        <v>1</v>
      </c>
      <c r="F21" s="75">
        <f>VLOOKUP(C21,'BD EVA 2 SPGG'!$D$3:$Y$114,8,0)</f>
        <v>45016</v>
      </c>
      <c r="G21" s="207">
        <f ca="1">VLOOKUP(C21,'BD EVA 2 SPGG'!$D$3:$AC$114,23,0)</f>
        <v>1</v>
      </c>
      <c r="H21" s="207">
        <f>VLOOKUP(C21,'BD EVA 2 SPGG'!$D$3:$AC$114,16,0)</f>
        <v>1</v>
      </c>
      <c r="I21" s="207">
        <f t="shared" ca="1" si="5"/>
        <v>1</v>
      </c>
      <c r="J21" s="75" t="s">
        <v>318</v>
      </c>
      <c r="K21" s="71">
        <v>0.9</v>
      </c>
      <c r="L21" s="209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SPGG'!$D$3:$Y$114,4,0)</f>
        <v>44469</v>
      </c>
      <c r="E22" s="207">
        <f>VLOOKUP(C22,'BD EVA 2 SPGG'!$D$3:$Q$114,13,0)</f>
        <v>0.89482954545454541</v>
      </c>
      <c r="F22" s="75">
        <f>VLOOKUP(C22,'BD EVA 2 SPGG'!$D$3:$Y$114,8,0)</f>
        <v>45016</v>
      </c>
      <c r="G22" s="207">
        <f ca="1">VLOOKUP(C22,'BD EVA 2 SPGG'!$D$3:$AC$114,23,0)</f>
        <v>0.94906818181818098</v>
      </c>
      <c r="H22" s="207">
        <f>VLOOKUP(C22,'BD EVA 2 SPGG'!$D$3:$AC$114,16,0)</f>
        <v>1</v>
      </c>
      <c r="I22" s="207">
        <f t="shared" ca="1" si="5"/>
        <v>0.94906818181818098</v>
      </c>
      <c r="J22" s="75" t="s">
        <v>318</v>
      </c>
      <c r="K22" s="71">
        <v>1.5</v>
      </c>
      <c r="L22" s="209">
        <f t="shared" ca="1" si="0"/>
        <v>1.4236022727272715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SPGG'!$D$3:$Y$114,4,0)</f>
        <v>octubre 20 - mar 21</v>
      </c>
      <c r="E23" s="208">
        <f>VLOOKUP(C23,'BD EVA 2 SPGG'!$D$3:$Q$114,13,0)</f>
        <v>0.188</v>
      </c>
      <c r="F23" s="89" t="str">
        <f>VLOOKUP(C23,'BD EVA 2 SPGG'!$D$3:$Y$114,8,0)</f>
        <v>octubre 22 - mar 23</v>
      </c>
      <c r="G23" s="208">
        <f ca="1">VLOOKUP(C23,'BD EVA 2 SPGG'!$D$3:$AC$114,23,0)</f>
        <v>1.32</v>
      </c>
      <c r="H23" s="208">
        <f>VLOOKUP(C23,'BD EVA 2 SPGG'!$D$3:$AC$114,16,0)</f>
        <v>0.2</v>
      </c>
      <c r="I23" s="207">
        <f t="shared" ca="1" si="5"/>
        <v>6.6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SPGG'!$D$3:$Y$114,4,0)</f>
        <v>44469</v>
      </c>
      <c r="E24" s="171">
        <f>VLOOKUP(C24,'BD EVA 2 SPGG'!$D$3:$Q$114,13,0)</f>
        <v>15.26</v>
      </c>
      <c r="F24" s="75">
        <f>VLOOKUP(C24,'BD EVA 2 SPGG'!$D$3:$Y$114,8,0)</f>
        <v>45016</v>
      </c>
      <c r="G24" s="82">
        <f ca="1">VLOOKUP(C24,'BD EVA 2 SPGG'!$D$3:$AC$114,23,0)</f>
        <v>19.010000000000002</v>
      </c>
      <c r="H24" s="82">
        <f>VLOOKUP(C24,'BD EVA 2 SPGG'!$D$3:$AC$114,16,0)</f>
        <v>19.11</v>
      </c>
      <c r="I24" s="207">
        <f t="shared" ca="1" si="5"/>
        <v>0.9947671376242806</v>
      </c>
      <c r="J24" s="75" t="s">
        <v>318</v>
      </c>
      <c r="K24" s="171">
        <v>1.9</v>
      </c>
      <c r="L24" s="211">
        <f t="shared" ca="1" si="0"/>
        <v>1.890057561486133</v>
      </c>
      <c r="M24" s="130">
        <f ca="1">SUM(L24:L28)</f>
        <v>9.8900575614861346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SPGG'!$D$3:$Y$114,4,0)</f>
        <v>octubre 20 - mar 21</v>
      </c>
      <c r="E25" s="212">
        <f>VLOOKUP(C25,'BD EVA 2 SPGG'!$D$3:$Q$114,13,0)</f>
        <v>0</v>
      </c>
      <c r="F25" s="71" t="str">
        <f>VLOOKUP(C25,'BD EVA 2 SPGG'!$D$3:$Y$114,8,0)</f>
        <v>octubre 22 - mar 23</v>
      </c>
      <c r="G25" s="212">
        <f ca="1">VLOOKUP(C25,'BD EVA 2 SPGG'!$D$3:$AC$114,23,0)</f>
        <v>431</v>
      </c>
      <c r="H25" s="212">
        <f>VLOOKUP(C25,'BD EVA 2 SPGG'!$D$3:$AC$114,16,0)</f>
        <v>209</v>
      </c>
      <c r="I25" s="207">
        <f t="shared" ca="1" si="5"/>
        <v>2.062200956937799</v>
      </c>
      <c r="J25" s="75" t="s">
        <v>318</v>
      </c>
      <c r="K25" s="82">
        <v>1.6</v>
      </c>
      <c r="L25" s="209">
        <f t="shared" ca="1" si="0"/>
        <v>1.6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SPGG'!$D$3:$Y$114,4,0)</f>
        <v>enero - diciembre 2021</v>
      </c>
      <c r="E26" s="212">
        <f>VLOOKUP(C26,'BD EVA 2 SPGG'!$D$3:$Q$114,13,0)</f>
        <v>0.60248461883815507</v>
      </c>
      <c r="F26" s="71" t="str">
        <f>VLOOKUP(C26,'BD EVA 2 SPGG'!$D$3:$Y$114,8,0)</f>
        <v>enero- diciembre 2022</v>
      </c>
      <c r="G26" s="207">
        <f ca="1">VLOOKUP(C26,'BD EVA 2 SPGG'!$D$3:$AC$114,23,0)</f>
        <v>6.4864887717981504E-2</v>
      </c>
      <c r="H26" s="207">
        <f>VLOOKUP(C26,'BD EVA 2 SPGG'!$D$3:$AC$114,16,0)</f>
        <v>0.06</v>
      </c>
      <c r="I26" s="207">
        <f t="shared" ca="1" si="5"/>
        <v>1.0810814619663585</v>
      </c>
      <c r="J26" s="75" t="s">
        <v>318</v>
      </c>
      <c r="K26" s="82">
        <v>2.1</v>
      </c>
      <c r="L26" s="209">
        <f t="shared" ca="1" si="0"/>
        <v>2.1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SPGG'!$D$3:$Y$114,4,0)</f>
        <v>octubre 20 - mar 21</v>
      </c>
      <c r="E27" s="212">
        <f>VLOOKUP(C27,'BD EVA 2 SPGG'!$D$3:$Q$114,13,0)</f>
        <v>92</v>
      </c>
      <c r="F27" s="71" t="str">
        <f>VLOOKUP(C27,'BD EVA 2 SPGG'!$D$3:$Y$114,8,0)</f>
        <v>octubre 22 - mar 23</v>
      </c>
      <c r="G27" s="212">
        <f ca="1">VLOOKUP(C27,'BD EVA 2 SPGG'!$D$3:$AC$114,23,0)</f>
        <v>120</v>
      </c>
      <c r="H27" s="212">
        <f>VLOOKUP(C27,'BD EVA 2 SPGG'!$D$3:$AC$114,16,0)</f>
        <v>80</v>
      </c>
      <c r="I27" s="207">
        <f t="shared" ca="1" si="5"/>
        <v>1.5</v>
      </c>
      <c r="J27" s="75" t="s">
        <v>318</v>
      </c>
      <c r="K27" s="82">
        <v>2.1</v>
      </c>
      <c r="L27" s="209">
        <f t="shared" ca="1" si="0"/>
        <v>2.1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SPGG'!$D$3:$Y$114,4,0)</f>
        <v>octubre 2018 - marzo 2019</v>
      </c>
      <c r="E28" s="212">
        <f>VLOOKUP(C28,'BD EVA 2 SPGG'!$D$3:$Q$114,13,0)</f>
        <v>3489</v>
      </c>
      <c r="F28" s="89" t="str">
        <f>VLOOKUP(C28,'BD EVA 2 SPGG'!$D$3:$Y$114,8,0)</f>
        <v>octubre 22 - mar 23</v>
      </c>
      <c r="G28" s="212">
        <f ca="1">VLOOKUP(C28,'BD EVA 2 SPGG'!$D$3:$AC$114,23,0)</f>
        <v>3446</v>
      </c>
      <c r="H28" s="212">
        <f>VLOOKUP(C28,'BD EVA 2 SPGG'!$D$3:$AC$114,16,0)</f>
        <v>3472</v>
      </c>
      <c r="I28" s="78">
        <f ca="1">(G28-E28)/(H28-E28)</f>
        <v>2.5294117647058822</v>
      </c>
      <c r="J28" s="89" t="s">
        <v>319</v>
      </c>
      <c r="K28" s="82">
        <v>2.2000000000000002</v>
      </c>
      <c r="L28" s="209">
        <f t="shared" ca="1" si="0"/>
        <v>2.2000000000000002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SPGG'!$D$3:$Y$114,4,0)</f>
        <v>octubre 20 - mar 21</v>
      </c>
      <c r="E29" s="212">
        <f>VLOOKUP(C29,'BD EVA 2 SPGG'!$D$3:$Q$114,13,0)</f>
        <v>116</v>
      </c>
      <c r="F29" s="89" t="str">
        <f>VLOOKUP(C29,'BD EVA 2 SPGG'!$D$3:$Y$114,8,0)</f>
        <v>octubre 22 - mar 23</v>
      </c>
      <c r="G29" s="212">
        <f ca="1">VLOOKUP(C29,'BD EVA 2 SPGG'!$D$3:$AC$114,23,0)</f>
        <v>48</v>
      </c>
      <c r="H29" s="212">
        <f>VLOOKUP(C29,'BD EVA 2 SPGG'!$D$3:$AC$114,16,0)</f>
        <v>37</v>
      </c>
      <c r="I29" s="78">
        <f t="shared" ref="I29:I33" ca="1" si="6">G29/H29</f>
        <v>1.2972972972972974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9.6061291649526908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SPGG'!$D$3:$Y$114,4,0)</f>
        <v>44469</v>
      </c>
      <c r="E30" s="212">
        <f>VLOOKUP(C30,'BD EVA 2 SPGG'!$D$3:$Q$114,13,0)</f>
        <v>0</v>
      </c>
      <c r="F30" s="75">
        <f>VLOOKUP(C30,'BD EVA 2 SPGG'!$D$3:$Y$114,8,0)</f>
        <v>45016</v>
      </c>
      <c r="G30" s="212">
        <f ca="1">VLOOKUP(C30,'BD EVA 2 SPGG'!$D$3:$AC$114,23,0)</f>
        <v>31</v>
      </c>
      <c r="H30" s="212">
        <f>VLOOKUP(C30,'BD EVA 2 SPGG'!$D$3:$AC$114,16,0)</f>
        <v>11</v>
      </c>
      <c r="I30" s="78">
        <f t="shared" ca="1" si="6"/>
        <v>2.8181818181818183</v>
      </c>
      <c r="J30" s="75" t="s">
        <v>318</v>
      </c>
      <c r="K30" s="71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SPGG'!$D$3:$Y$114,4,0)</f>
        <v>44469</v>
      </c>
      <c r="E31" s="212">
        <f>VLOOKUP(C31,'BD EVA 2 SPGG'!$D$3:$Q$114,13,0)</f>
        <v>98.4</v>
      </c>
      <c r="F31" s="75" t="str">
        <f>VLOOKUP(C31,'BD EVA 2 SPGG'!$D$3:$Y$114,8,0)</f>
        <v>Dic 2022</v>
      </c>
      <c r="G31" s="212">
        <f ca="1">VLOOKUP(C31,'BD EVA 2 SPGG'!$D$3:$AC$114,23,0)</f>
        <v>100</v>
      </c>
      <c r="H31" s="212">
        <f>VLOOKUP(C31,'BD EVA 2 SPGG'!$D$3:$AC$114,16,0)</f>
        <v>100</v>
      </c>
      <c r="I31" s="78">
        <f t="shared" ca="1" si="6"/>
        <v>1</v>
      </c>
      <c r="J31" s="75" t="s">
        <v>318</v>
      </c>
      <c r="K31" s="71">
        <v>2</v>
      </c>
      <c r="L31" s="209">
        <f t="shared" ca="1" si="0"/>
        <v>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SPGG'!$D$3:$Y$114,4,0)</f>
        <v>44469</v>
      </c>
      <c r="E32" s="209">
        <f>VLOOKUP(C32,'BD EVA 2 SPGG'!$D$3:$Q$114,13,0)</f>
        <v>0</v>
      </c>
      <c r="F32" s="75">
        <f>VLOOKUP(C32,'BD EVA 2 SPGG'!$D$3:$Y$114,8,0)</f>
        <v>45016</v>
      </c>
      <c r="G32" s="209">
        <f ca="1">VLOOKUP(C32,'BD EVA 2 SPGG'!$D$3:$AC$114,23,0)</f>
        <v>3.2122583299053802</v>
      </c>
      <c r="H32" s="209">
        <f>VLOOKUP(C32,'BD EVA 2 SPGG'!$D$3:$AC$114,16,0)</f>
        <v>4</v>
      </c>
      <c r="I32" s="78">
        <f t="shared" ca="1" si="6"/>
        <v>0.80306458247634505</v>
      </c>
      <c r="J32" s="75" t="s">
        <v>318</v>
      </c>
      <c r="K32" s="71">
        <v>2</v>
      </c>
      <c r="L32" s="209">
        <f t="shared" ca="1" si="0"/>
        <v>1.6061291649526901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SPGG'!$D$3:$Y$114,4,0)</f>
        <v>44469</v>
      </c>
      <c r="E33" s="209">
        <f>VLOOKUP(C33,'BD EVA 2 SPGG'!$D$3:$Q$114,13,0)</f>
        <v>0</v>
      </c>
      <c r="F33" s="75">
        <f>VLOOKUP(C33,'BD EVA 2 SPGG'!$D$3:$Y$114,8,0)</f>
        <v>45016</v>
      </c>
      <c r="G33" s="207">
        <f ca="1">VLOOKUP(C33,'BD EVA 2 SPGG'!$D$3:$AC$114,23,0)</f>
        <v>0.50666666666666604</v>
      </c>
      <c r="H33" s="207">
        <f>VLOOKUP(C33,'BD EVA 2 SPGG'!$D$3:$AC$114,16,0)</f>
        <v>0.5</v>
      </c>
      <c r="I33" s="78">
        <f t="shared" ca="1" si="6"/>
        <v>1.0133333333333321</v>
      </c>
      <c r="J33" s="75" t="s">
        <v>318</v>
      </c>
      <c r="K33" s="71">
        <v>2</v>
      </c>
      <c r="L33" s="209">
        <f t="shared" ca="1" si="0"/>
        <v>2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SPGG'!$D$3:$Y$114,4,0)</f>
        <v>enero - diciembre 2021</v>
      </c>
      <c r="E34" s="78">
        <f>VLOOKUP(C34,'BD EVA 2 SPGG'!$D$3:$Q$114,13,0)</f>
        <v>0.47271417383279474</v>
      </c>
      <c r="F34" s="71" t="str">
        <f>VLOOKUP(C34,'BD EVA 2 SPGG'!$D$3:$Y$114,8,0)</f>
        <v>enero- diciembre 2022</v>
      </c>
      <c r="G34" s="78">
        <f ca="1">VLOOKUP(C34,'BD EVA 2 SPGG'!$D$3:$AC$114,23,0)</f>
        <v>0.51083142981234497</v>
      </c>
      <c r="H34" s="78">
        <f>VLOOKUP(C34,'BD EVA 2 SPGG'!$D$3:$AC$114,16,0)</f>
        <v>0.48</v>
      </c>
      <c r="I34" s="83">
        <f ca="1">(G34/H34)</f>
        <v>1.0642321454423853</v>
      </c>
      <c r="J34" s="71" t="s">
        <v>318</v>
      </c>
      <c r="K34" s="71">
        <v>2.2000000000000002</v>
      </c>
      <c r="L34" s="209">
        <f t="shared" ca="1" si="0"/>
        <v>2.2000000000000002</v>
      </c>
      <c r="M34" s="130">
        <f ca="1">SUM(L34:L39)</f>
        <v>10.034021002607176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2 SPGG'!$D$3:$Y$114,4,0)</f>
        <v>enero - diciembre 2021</v>
      </c>
      <c r="E35" s="78">
        <f>VLOOKUP(C35,'BD EVA 2 SPGG'!$D$3:$Q$114,13,0)</f>
        <v>0.63691706723699926</v>
      </c>
      <c r="F35" s="71" t="str">
        <f>VLOOKUP(C35,'BD EVA 2 SPGG'!$D$3:$Y$114,8,0)</f>
        <v>enero- diciembre 2022</v>
      </c>
      <c r="G35" s="78">
        <f ca="1">VLOOKUP(C35,'BD EVA 2 SPGG'!$D$3:$AC$114,23,0)</f>
        <v>0.808341721395333</v>
      </c>
      <c r="H35" s="78">
        <f>VLOOKUP(C35,'BD EVA 2 SPGG'!$D$3:$AC$114,16,0)</f>
        <v>0.66</v>
      </c>
      <c r="I35" s="83">
        <f ca="1">G35/H35</f>
        <v>1.2247601839323228</v>
      </c>
      <c r="J35" s="71" t="s">
        <v>318</v>
      </c>
      <c r="K35" s="71">
        <v>1.4</v>
      </c>
      <c r="L35" s="209">
        <f t="shared" ca="1" si="0"/>
        <v>1.4</v>
      </c>
      <c r="M35" s="127"/>
    </row>
    <row r="36" spans="1:13" ht="78">
      <c r="A36" s="121" t="s">
        <v>275</v>
      </c>
      <c r="B36" s="72" t="s">
        <v>276</v>
      </c>
      <c r="C36" s="72" t="s">
        <v>292</v>
      </c>
      <c r="D36" s="75" t="str">
        <f>VLOOKUP(C36,'BD EVA 2 SPGG'!$D$3:$Y$114,4,0)</f>
        <v>enero - diciembre 2021</v>
      </c>
      <c r="E36" s="78">
        <f>VLOOKUP(C36,'BD EVA 2 SPGG'!$D$3:$Q$114,13,0)</f>
        <v>0.80330047789725212</v>
      </c>
      <c r="F36" s="71" t="str">
        <f>VLOOKUP(C36,'BD EVA 2 SPGG'!$D$3:$Y$114,8,0)</f>
        <v>enero- diciembre 2022</v>
      </c>
      <c r="G36" s="78">
        <f ca="1">VLOOKUP(C36,'BD EVA 2 SPGG'!$D$3:$AC$114,23,0)</f>
        <v>0.81719757554096095</v>
      </c>
      <c r="H36" s="78">
        <f>VLOOKUP(C36,'BD EVA 2 SPGG'!$D$3:$AC$114,16,0)</f>
        <v>0.8</v>
      </c>
      <c r="I36" s="83">
        <f ca="1">IF(G36&lt;E36,0,G36/H36)</f>
        <v>1.0214969694262011</v>
      </c>
      <c r="J36" s="71" t="s">
        <v>318</v>
      </c>
      <c r="K36" s="71">
        <v>2.2000000000000002</v>
      </c>
      <c r="L36" s="209">
        <f t="shared" ca="1" si="0"/>
        <v>2.2000000000000002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2 SPGG'!$D$3:$Y$114,4,0)</f>
        <v>enero - diciembre 2021</v>
      </c>
      <c r="E37" s="86">
        <f>VLOOKUP(C37,'BD EVA 2 SPGG'!$D$3:$Q$114,13,0)</f>
        <v>846769779</v>
      </c>
      <c r="F37" s="89" t="str">
        <f>VLOOKUP(C37,'BD EVA 2 SPGG'!$D$3:$Y$114,8,0)</f>
        <v>enero- diciembre 2022</v>
      </c>
      <c r="G37" s="86">
        <f ca="1">VLOOKUP(C37,'BD EVA 2 SPGG'!$D$3:$AC$114,23,0)</f>
        <v>1020323231</v>
      </c>
      <c r="H37" s="86">
        <f>VLOOKUP(C37,'BD EVA 2 SPGG'!$D$3:$AC$114,16,0)</f>
        <v>892000000</v>
      </c>
      <c r="I37" s="83">
        <f ca="1">G37/H37</f>
        <v>1.1438601244394619</v>
      </c>
      <c r="J37" s="71" t="s">
        <v>318</v>
      </c>
      <c r="K37" s="71">
        <v>1.1000000000000001</v>
      </c>
      <c r="L37" s="209">
        <f t="shared" ca="1" si="0"/>
        <v>1.1000000000000001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2 SPGG'!$D$3:$Y$114,4,0)</f>
        <v>enero - diciembre 2021</v>
      </c>
      <c r="E38" s="78">
        <f>VLOOKUP(C38,'BD EVA 2 SPGG'!$D$3:$Q$114,13,0)</f>
        <v>0.73046141292551947</v>
      </c>
      <c r="F38" s="89" t="str">
        <f>VLOOKUP(C38,'BD EVA 2 SPGG'!$D$3:$Y$114,8,0)</f>
        <v>enero- diciembre 2022</v>
      </c>
      <c r="G38" s="78">
        <f ca="1">VLOOKUP(C38,'BD EVA 2 SPGG'!$D$3:$AC$114,23,0)</f>
        <v>0.76139765884228605</v>
      </c>
      <c r="H38" s="78">
        <f>VLOOKUP(C38,'BD EVA 2 SPGG'!$D$3:$AC$114,16,0)</f>
        <v>0.73</v>
      </c>
      <c r="I38" s="83">
        <f ca="1">(H38/G38)</f>
        <v>0.95876312662948482</v>
      </c>
      <c r="J38" s="71" t="s">
        <v>341</v>
      </c>
      <c r="K38" s="71">
        <v>1.6</v>
      </c>
      <c r="L38" s="209">
        <f t="shared" ca="1" si="0"/>
        <v>1.5340210026071759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SPGG'!$D$3:$Y$114,4,0)</f>
        <v>Dic 2020</v>
      </c>
      <c r="E39" s="76" t="str">
        <f>VLOOKUP(C39,'BD EVA 2 SPGG'!$D$3:$Q$114,13,0)</f>
        <v>Verde</v>
      </c>
      <c r="F39" s="89" t="str">
        <f>VLOOKUP(C39,'BD EVA 2 SPGG'!$D$3:$Y$114,8,0)</f>
        <v>Dic 2022</v>
      </c>
      <c r="G39" s="76" t="str">
        <f ca="1">VLOOKUP(C39,'BD EVA 2 SPGG'!$D$3:$AC$114,23,0)</f>
        <v>Verde</v>
      </c>
      <c r="H39" s="76" t="str">
        <f>VLOOKUP(C39,'BD EVA 2 SPGG'!$D$3:$AC$114,16,0)</f>
        <v>Verde</v>
      </c>
      <c r="I39" s="173">
        <f ca="1">IF(G39="Verde",1,0)</f>
        <v>1</v>
      </c>
      <c r="J39" s="71" t="s">
        <v>318</v>
      </c>
      <c r="K39" s="71">
        <v>1.6</v>
      </c>
      <c r="L39" s="209">
        <f t="shared" ca="1" si="0"/>
        <v>1.6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882B-EEA1-9B41-9FF4-591903EE3B56}">
  <dimension ref="A1:AC114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138945</v>
      </c>
      <c r="Q2" s="5">
        <v>138945</v>
      </c>
      <c r="R2" s="13"/>
      <c r="S2" s="316"/>
      <c r="T2" s="316"/>
      <c r="U2" s="316"/>
      <c r="V2" s="316"/>
      <c r="W2" s="6"/>
      <c r="X2" s="5">
        <v>140470</v>
      </c>
      <c r="Y2" s="5">
        <v>140470</v>
      </c>
      <c r="Z2" s="5">
        <v>142218</v>
      </c>
      <c r="AA2" s="5">
        <v>142218</v>
      </c>
      <c r="AB2" s="5">
        <v>144201</v>
      </c>
      <c r="AC2" s="5">
        <v>144201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524</v>
      </c>
      <c r="Q3" s="12">
        <v>524</v>
      </c>
      <c r="R3" s="4">
        <v>550</v>
      </c>
      <c r="S3" s="4">
        <v>555</v>
      </c>
      <c r="T3" s="4">
        <v>560</v>
      </c>
      <c r="U3" s="4">
        <v>570</v>
      </c>
      <c r="V3" s="4">
        <v>600</v>
      </c>
      <c r="W3" s="4">
        <v>600</v>
      </c>
      <c r="X3" s="12">
        <v>537</v>
      </c>
      <c r="Y3" s="12">
        <f ca="1">IFERROR(__xludf.DUMMYFUNCTION("INDEX(IMPORTRANGE(""1y0FWgjbB0gVlqn-q5LMJbGIsqOrzru4yowQz67dz2yc"", ""'SPGG'!BG3:BG139""),MATCH($D3,IMPORTRANGE(""1y0FWgjbB0gVlqn-q5LMJbGIsqOrzru4yowQz67dz2yc"", ""'SPGG'!D3:D139""),0))"),553)</f>
        <v>553</v>
      </c>
      <c r="Z3" s="12">
        <f ca="1">IFERROR(__xludf.DUMMYFUNCTION("INDEX(IMPORTRANGE(""1y0FWgjbB0gVlqn-q5LMJbGIsqOrzru4yowQz67dz2yc"", ""'SPGG'!BH3:BH139""),MATCH($D3,IMPORTRANGE(""1y0FWgjbB0gVlqn-q5LMJbGIsqOrzru4yowQz67dz2yc"", ""'SPGG'!D3:D139""),0))"),588)</f>
        <v>588</v>
      </c>
      <c r="AA3" s="12">
        <f ca="1">IFERROR(__xludf.DUMMYFUNCTION("INDEX(IMPORTRANGE(""1y0FWgjbB0gVlqn-q5LMJbGIsqOrzru4yowQz67dz2yc"", ""'SPGG'!BI3:BI139""),MATCH($D3,IMPORTRANGE(""1y0FWgjbB0gVlqn-q5LMJbGIsqOrzru4yowQz67dz2yc"", ""'SPGG'!D3:D139""),0))"),609)</f>
        <v>609</v>
      </c>
      <c r="AB3" s="2"/>
      <c r="AC3" s="2"/>
    </row>
    <row r="4" spans="1:29">
      <c r="A4" s="7" t="s">
        <v>34</v>
      </c>
      <c r="B4" s="7" t="s">
        <v>40</v>
      </c>
      <c r="C4" s="1" t="s">
        <v>30</v>
      </c>
      <c r="D4" s="1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503</v>
      </c>
      <c r="Q4" s="12">
        <v>503</v>
      </c>
      <c r="R4" s="13"/>
      <c r="S4" s="13"/>
      <c r="T4" s="13"/>
      <c r="U4" s="13"/>
      <c r="V4" s="13"/>
      <c r="W4" s="4"/>
      <c r="X4" s="12">
        <v>534</v>
      </c>
      <c r="Y4" s="12">
        <f ca="1">IFERROR(__xludf.DUMMYFUNCTION("INDEX(IMPORTRANGE(""1y0FWgjbB0gVlqn-q5LMJbGIsqOrzru4yowQz67dz2yc"", ""'SPGG'!BG3:BG139""),MATCH($D4,IMPORTRANGE(""1y0FWgjbB0gVlqn-q5LMJbGIsqOrzru4yowQz67dz2yc"", ""'SPGG'!D3:D139""),0))"),546)</f>
        <v>546</v>
      </c>
      <c r="Z4" s="12">
        <f ca="1">IFERROR(__xludf.DUMMYFUNCTION("INDEX(IMPORTRANGE(""1y0FWgjbB0gVlqn-q5LMJbGIsqOrzru4yowQz67dz2yc"", ""'SPGG'!BH3:BH139""),MATCH($D4,IMPORTRANGE(""1y0FWgjbB0gVlqn-q5LMJbGIsqOrzru4yowQz67dz2yc"", ""'SPGG'!D3:D139""),0))"),571)</f>
        <v>571</v>
      </c>
      <c r="AA4" s="12">
        <f ca="1">IFERROR(__xludf.DUMMYFUNCTION("INDEX(IMPORTRANGE(""1y0FWgjbB0gVlqn-q5LMJbGIsqOrzru4yowQz67dz2yc"", ""'SPGG'!BI3:BI139""),MATCH($D4,IMPORTRANGE(""1y0FWgjbB0gVlqn-q5LMJbGIsqOrzru4yowQz67dz2yc"", ""'SPGG'!D3:D139""),0))"),595)</f>
        <v>595</v>
      </c>
      <c r="AB4" s="2"/>
      <c r="AC4" s="2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0.95992366412213737</v>
      </c>
      <c r="Q5" s="15">
        <f t="shared" si="0"/>
        <v>0.95992366412213737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0.994413407821229</v>
      </c>
      <c r="Y5" s="15">
        <f ca="1">IFERROR(__xludf.DUMMYFUNCTION("INDEX(IMPORTRANGE(""1y0FWgjbB0gVlqn-q5LMJbGIsqOrzru4yowQz67dz2yc"", ""'SPGG'!BG3:BG139""),MATCH($D5,IMPORTRANGE(""1y0FWgjbB0gVlqn-q5LMJbGIsqOrzru4yowQz67dz2yc"", ""'SPGG'!D3:D139""),0))"),0.987341772151898)</f>
        <v>0.987341772151898</v>
      </c>
      <c r="Z5" s="15">
        <f ca="1">IFERROR(__xludf.DUMMYFUNCTION("INDEX(IMPORTRANGE(""1y0FWgjbB0gVlqn-q5LMJbGIsqOrzru4yowQz67dz2yc"", ""'SPGG'!BH3:BH139""),MATCH($D5,IMPORTRANGE(""1y0FWgjbB0gVlqn-q5LMJbGIsqOrzru4yowQz67dz2yc"", ""'SPGG'!D3:D139""),0))"),0.971088435374149)</f>
        <v>0.97108843537414902</v>
      </c>
      <c r="AA5" s="15">
        <f ca="1">IFERROR(__xludf.DUMMYFUNCTION("INDEX(IMPORTRANGE(""1y0FWgjbB0gVlqn-q5LMJbGIsqOrzru4yowQz67dz2yc"", ""'SPGG'!BI3:BI139""),MATCH($D5,IMPORTRANGE(""1y0FWgjbB0gVlqn-q5LMJbGIsqOrzru4yowQz67dz2yc"", ""'SPGG'!D3:D139""),0))"),0.977011494252873)</f>
        <v>0.97701149425287304</v>
      </c>
      <c r="AB5" s="2"/>
      <c r="AC5" s="2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18"/>
      <c r="Y6" s="12">
        <f ca="1">IFERROR(__xludf.DUMMYFUNCTION("INDEX(IMPORTRANGE(""1y0FWgjbB0gVlqn-q5LMJbGIsqOrzru4yowQz67dz2yc"", ""'SPGG'!BG3:BG139""),MATCH($D6,IMPORTRANGE(""1y0FWgjbB0gVlqn-q5LMJbGIsqOrzru4yowQz67dz2yc"", ""'SPGG'!D3:D139""),0))"),12)</f>
        <v>12</v>
      </c>
      <c r="Z6" s="12">
        <f ca="1">IFERROR(__xludf.DUMMYFUNCTION("INDEX(IMPORTRANGE(""1y0FWgjbB0gVlqn-q5LMJbGIsqOrzru4yowQz67dz2yc"", ""'SPGG'!BH3:BH139""),MATCH($D6,IMPORTRANGE(""1y0FWgjbB0gVlqn-q5LMJbGIsqOrzru4yowQz67dz2yc"", ""'SPGG'!D3:D139""),0))"),8)</f>
        <v>8</v>
      </c>
      <c r="AA6" s="12">
        <f ca="1">IFERROR(__xludf.DUMMYFUNCTION("INDEX(IMPORTRANGE(""1y0FWgjbB0gVlqn-q5LMJbGIsqOrzru4yowQz67dz2yc"", ""'SPGG'!BI3:BI139""),MATCH($D6,IMPORTRANGE(""1y0FWgjbB0gVlqn-q5LMJbGIsqOrzru4yowQz67dz2yc"", ""'SPGG'!D3:D139""),0))"),8)</f>
        <v>8</v>
      </c>
      <c r="AB6" s="2"/>
      <c r="AC6" s="2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7"/>
      <c r="Q7" s="18"/>
      <c r="R7" s="1"/>
      <c r="S7" s="1"/>
      <c r="T7" s="1"/>
      <c r="U7" s="1"/>
      <c r="V7" s="1"/>
      <c r="W7" s="2"/>
      <c r="X7" s="18"/>
      <c r="Y7" s="12">
        <f ca="1">IFERROR(__xludf.DUMMYFUNCTION("INDEX(IMPORTRANGE(""1y0FWgjbB0gVlqn-q5LMJbGIsqOrzru4yowQz67dz2yc"", ""'SPGG'!BG3:BG139""),MATCH($D7,IMPORTRANGE(""1y0FWgjbB0gVlqn-q5LMJbGIsqOrzru4yowQz67dz2yc"", ""'SPGG'!D3:D139""),0))"),0)</f>
        <v>0</v>
      </c>
      <c r="Z7" s="12">
        <f ca="1">IFERROR(__xludf.DUMMYFUNCTION("INDEX(IMPORTRANGE(""1y0FWgjbB0gVlqn-q5LMJbGIsqOrzru4yowQz67dz2yc"", ""'SPGG'!BH3:BH139""),MATCH($D7,IMPORTRANGE(""1y0FWgjbB0gVlqn-q5LMJbGIsqOrzru4yowQz67dz2yc"", ""'SPGG'!D3:D139""),0))"),0)</f>
        <v>0</v>
      </c>
      <c r="AA7" s="12">
        <f ca="1">IFERROR(__xludf.DUMMYFUNCTION("INDEX(IMPORTRANGE(""1y0FWgjbB0gVlqn-q5LMJbGIsqOrzru4yowQz67dz2yc"", ""'SPGG'!BI3:BI139""),MATCH($D7,IMPORTRANGE(""1y0FWgjbB0gVlqn-q5LMJbGIsqOrzru4yowQz67dz2yc"", ""'SPGG'!D3:D139""),0))"),0)</f>
        <v>0</v>
      </c>
      <c r="AB7" s="2"/>
      <c r="AC7" s="2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1.2999999999999999E-2</v>
      </c>
      <c r="S8" s="26">
        <v>1.2999999999999999E-2</v>
      </c>
      <c r="T8" s="26">
        <v>1.2999999999999999E-2</v>
      </c>
      <c r="U8" s="26">
        <v>1.2999999999999999E-2</v>
      </c>
      <c r="V8" s="26">
        <v>1.2999999999999999E-2</v>
      </c>
      <c r="W8" s="26">
        <v>1.2999999999999999E-2</v>
      </c>
      <c r="X8" s="19">
        <f>X6/X3</f>
        <v>0</v>
      </c>
      <c r="Y8" s="15">
        <f ca="1">IFERROR(__xludf.DUMMYFUNCTION("INDEX(IMPORTRANGE(""1y0FWgjbB0gVlqn-q5LMJbGIsqOrzru4yowQz67dz2yc"", ""'SPGG'!BG3:BG139""),MATCH($D8,IMPORTRANGE(""1y0FWgjbB0gVlqn-q5LMJbGIsqOrzru4yowQz67dz2yc"", ""'SPGG'!D3:D139""),0))"),0.0216998191681736)</f>
        <v>2.1699819168173599E-2</v>
      </c>
      <c r="Z8" s="15">
        <f ca="1">IFERROR(__xludf.DUMMYFUNCTION("INDEX(IMPORTRANGE(""1y0FWgjbB0gVlqn-q5LMJbGIsqOrzru4yowQz67dz2yc"", ""'SPGG'!BH3:BH139""),MATCH($D8,IMPORTRANGE(""1y0FWgjbB0gVlqn-q5LMJbGIsqOrzru4yowQz67dz2yc"", ""'SPGG'!D3:D139""),0))"),0.0136054421768707)</f>
        <v>1.3605442176870699E-2</v>
      </c>
      <c r="AA8" s="15">
        <f ca="1">IFERROR(__xludf.DUMMYFUNCTION("INDEX(IMPORTRANGE(""1y0FWgjbB0gVlqn-q5LMJbGIsqOrzru4yowQz67dz2yc"", ""'SPGG'!BI3:BI139""),MATCH($D8,IMPORTRANGE(""1y0FWgjbB0gVlqn-q5LMJbGIsqOrzru4yowQz67dz2yc"", ""'SPGG'!D3:D139""),0))"),0.0131362889983579)</f>
        <v>1.3136288998357899E-2</v>
      </c>
      <c r="AB8" s="2"/>
      <c r="AC8" s="2"/>
    </row>
    <row r="9" spans="1:29">
      <c r="A9" s="7" t="s">
        <v>52</v>
      </c>
      <c r="B9" s="7" t="s">
        <v>53</v>
      </c>
      <c r="C9" s="1" t="s">
        <v>30</v>
      </c>
      <c r="D9" s="1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5">
        <v>41</v>
      </c>
      <c r="Q9" s="5">
        <v>88</v>
      </c>
      <c r="R9" s="13"/>
      <c r="S9" s="13"/>
      <c r="T9" s="13"/>
      <c r="U9" s="13"/>
      <c r="V9" s="13"/>
      <c r="W9" s="4"/>
      <c r="X9" s="5">
        <v>5</v>
      </c>
      <c r="Y9" s="12">
        <f ca="1">IFERROR(__xludf.DUMMYFUNCTION("INDEX(IMPORTRANGE(""1y0FWgjbB0gVlqn-q5LMJbGIsqOrzru4yowQz67dz2yc"", ""'SPGG'!BG3:BG139""),MATCH($D9,IMPORTRANGE(""1y0FWgjbB0gVlqn-q5LMJbGIsqOrzru4yowQz67dz2yc"", ""'SPGG'!D3:D139""),0))"),31)</f>
        <v>31</v>
      </c>
      <c r="Z9" s="12">
        <f ca="1">IFERROR(__xludf.DUMMYFUNCTION("INDEX(IMPORTRANGE(""1y0FWgjbB0gVlqn-q5LMJbGIsqOrzru4yowQz67dz2yc"", ""'SPGG'!BH3:BH139""),MATCH($D9,IMPORTRANGE(""1y0FWgjbB0gVlqn-q5LMJbGIsqOrzru4yowQz67dz2yc"", ""'SPGG'!D3:D139""),0))"),35)</f>
        <v>35</v>
      </c>
      <c r="AA9" s="12">
        <f ca="1">IFERROR(__xludf.DUMMYFUNCTION("INDEX(IMPORTRANGE(""1y0FWgjbB0gVlqn-q5LMJbGIsqOrzru4yowQz67dz2yc"", ""'SPGG'!BI3:BI139""),MATCH($D9,IMPORTRANGE(""1y0FWgjbB0gVlqn-q5LMJbGIsqOrzru4yowQz67dz2yc"", ""'SPGG'!D3:D139""),0))"),38)</f>
        <v>38</v>
      </c>
      <c r="AB9" s="2"/>
      <c r="AC9" s="2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5">
        <v>454</v>
      </c>
      <c r="Q10" s="5">
        <v>1002</v>
      </c>
      <c r="R10" s="13"/>
      <c r="S10" s="13"/>
      <c r="T10" s="13"/>
      <c r="U10" s="13"/>
      <c r="V10" s="13"/>
      <c r="W10" s="4"/>
      <c r="X10" s="5">
        <v>555</v>
      </c>
      <c r="Y10" s="12">
        <f ca="1">IFERROR(__xludf.DUMMYFUNCTION("INDEX(IMPORTRANGE(""1y0FWgjbB0gVlqn-q5LMJbGIsqOrzru4yowQz67dz2yc"", ""'SPGG'!BG3:BG139""),MATCH($D10,IMPORTRANGE(""1y0FWgjbB0gVlqn-q5LMJbGIsqOrzru4yowQz67dz2yc"", ""'SPGG'!D3:D139""),0))"),1370)</f>
        <v>1370</v>
      </c>
      <c r="Z10" s="12">
        <f ca="1">IFERROR(__xludf.DUMMYFUNCTION("INDEX(IMPORTRANGE(""1y0FWgjbB0gVlqn-q5LMJbGIsqOrzru4yowQz67dz2yc"", ""'SPGG'!BH3:BH139""),MATCH($D10,IMPORTRANGE(""1y0FWgjbB0gVlqn-q5LMJbGIsqOrzru4yowQz67dz2yc"", ""'SPGG'!D3:D139""),0))"),505)</f>
        <v>505</v>
      </c>
      <c r="AA10" s="12">
        <f ca="1">IFERROR(__xludf.DUMMYFUNCTION("INDEX(IMPORTRANGE(""1y0FWgjbB0gVlqn-q5LMJbGIsqOrzru4yowQz67dz2yc"", ""'SPGG'!BI3:BI139""),MATCH($D10,IMPORTRANGE(""1y0FWgjbB0gVlqn-q5LMJbGIsqOrzru4yowQz67dz2yc"", ""'SPGG'!D3:D139""),0))"),877)</f>
        <v>877</v>
      </c>
      <c r="AB10" s="2"/>
      <c r="AC10" s="2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9.0308370044052858E-2</v>
      </c>
      <c r="Q11" s="15">
        <f t="shared" si="2"/>
        <v>8.7824351297405193E-2</v>
      </c>
      <c r="R11" s="26">
        <v>4.0000000000000001E-3</v>
      </c>
      <c r="S11" s="26">
        <v>4.0000000000000001E-3</v>
      </c>
      <c r="T11" s="26">
        <v>4.0000000000000001E-3</v>
      </c>
      <c r="U11" s="26">
        <v>4.0000000000000001E-3</v>
      </c>
      <c r="V11" s="26">
        <v>4.0000000000000001E-3</v>
      </c>
      <c r="W11" s="26">
        <v>4.0000000000000001E-3</v>
      </c>
      <c r="X11" s="15">
        <f>X9/X10</f>
        <v>9.0090090090090089E-3</v>
      </c>
      <c r="Y11" s="15">
        <f ca="1">IFERROR(__xludf.DUMMYFUNCTION("INDEX(IMPORTRANGE(""1y0FWgjbB0gVlqn-q5LMJbGIsqOrzru4yowQz67dz2yc"", ""'SPGG'!BG3:BG139""),MATCH($D11,IMPORTRANGE(""1y0FWgjbB0gVlqn-q5LMJbGIsqOrzru4yowQz67dz2yc"", ""'SPGG'!D3:D139""),0))"),0.0226277372262773)</f>
        <v>2.2627737226277301E-2</v>
      </c>
      <c r="Z11" s="15">
        <f ca="1">IFERROR(__xludf.DUMMYFUNCTION("INDEX(IMPORTRANGE(""1y0FWgjbB0gVlqn-q5LMJbGIsqOrzru4yowQz67dz2yc"", ""'SPGG'!BH3:BH139""),MATCH($D11,IMPORTRANGE(""1y0FWgjbB0gVlqn-q5LMJbGIsqOrzru4yowQz67dz2yc"", ""'SPGG'!D3:D139""),0))"),0.0693069306930693)</f>
        <v>6.9306930693069299E-2</v>
      </c>
      <c r="AA11" s="15">
        <f ca="1">IFERROR(__xludf.DUMMYFUNCTION("INDEX(IMPORTRANGE(""1y0FWgjbB0gVlqn-q5LMJbGIsqOrzru4yowQz67dz2yc"", ""'SPGG'!BI3:BI139""),MATCH($D11,IMPORTRANGE(""1y0FWgjbB0gVlqn-q5LMJbGIsqOrzru4yowQz67dz2yc"", ""'SPGG'!D3:D139""),0))"),0.0433295324971493)</f>
        <v>4.3329532497149298E-2</v>
      </c>
      <c r="AB11" s="2"/>
      <c r="AC11" s="2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5">
        <v>6</v>
      </c>
      <c r="Q12" s="5">
        <v>9</v>
      </c>
      <c r="R12" s="13"/>
      <c r="S12" s="13"/>
      <c r="T12" s="13"/>
      <c r="U12" s="13"/>
      <c r="V12" s="13"/>
      <c r="W12" s="4"/>
      <c r="X12" s="5">
        <v>7</v>
      </c>
      <c r="Y12" s="12">
        <f ca="1">IFERROR(__xludf.DUMMYFUNCTION("INDEX(IMPORTRANGE(""1y0FWgjbB0gVlqn-q5LMJbGIsqOrzru4yowQz67dz2yc"", ""'SPGG'!BG3:BG139""),MATCH($D12,IMPORTRANGE(""1y0FWgjbB0gVlqn-q5LMJbGIsqOrzru4yowQz67dz2yc"", ""'SPGG'!D3:D139""),0))"),7)</f>
        <v>7</v>
      </c>
      <c r="Z12" s="12">
        <f ca="1">IFERROR(__xludf.DUMMYFUNCTION("INDEX(IMPORTRANGE(""1y0FWgjbB0gVlqn-q5LMJbGIsqOrzru4yowQz67dz2yc"", ""'SPGG'!BH3:BH139""),MATCH($D12,IMPORTRANGE(""1y0FWgjbB0gVlqn-q5LMJbGIsqOrzru4yowQz67dz2yc"", ""'SPGG'!D3:D139""),0))"),3)</f>
        <v>3</v>
      </c>
      <c r="AA12" s="12">
        <f ca="1">IFERROR(__xludf.DUMMYFUNCTION("INDEX(IMPORTRANGE(""1y0FWgjbB0gVlqn-q5LMJbGIsqOrzru4yowQz67dz2yc"", ""'SPGG'!BI3:BI139""),MATCH($D12,IMPORTRANGE(""1y0FWgjbB0gVlqn-q5LMJbGIsqOrzru4yowQz67dz2yc"", ""'SPGG'!D3:D139""),0))"),13)</f>
        <v>13</v>
      </c>
      <c r="AB12" s="2"/>
      <c r="AC12" s="2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4.3182554248083775</v>
      </c>
      <c r="Q13" s="23">
        <f t="shared" si="3"/>
        <v>6.4773831372125672</v>
      </c>
      <c r="R13" s="2">
        <v>5.85</v>
      </c>
      <c r="S13" s="2">
        <v>3.87</v>
      </c>
      <c r="T13" s="2">
        <v>5.85</v>
      </c>
      <c r="U13" s="2">
        <v>3.87</v>
      </c>
      <c r="V13" s="2">
        <v>5.85</v>
      </c>
      <c r="W13" s="2">
        <v>5.85</v>
      </c>
      <c r="X13" s="23">
        <f>(X12/X$2)*100000</f>
        <v>4.9832704492062367</v>
      </c>
      <c r="Y13" s="23">
        <f ca="1">IFERROR(__xludf.DUMMYFUNCTION("INDEX(IMPORTRANGE(""1y0FWgjbB0gVlqn-q5LMJbGIsqOrzru4yowQz67dz2yc"", ""'SPGG'!BG3:BG139""),MATCH($D13,IMPORTRANGE(""1y0FWgjbB0gVlqn-q5LMJbGIsqOrzru4yowQz67dz2yc"", ""'SPGG'!D3:D139""),0))"),4.98327044920623)</f>
        <v>4.9832704492062296</v>
      </c>
      <c r="Z13" s="23">
        <f ca="1">IFERROR(__xludf.DUMMYFUNCTION("INDEX(IMPORTRANGE(""1y0FWgjbB0gVlqn-q5LMJbGIsqOrzru4yowQz67dz2yc"", ""'SPGG'!BH3:BH139""),MATCH($D13,IMPORTRANGE(""1y0FWgjbB0gVlqn-q5LMJbGIsqOrzru4yowQz67dz2yc"", ""'SPGG'!D3:D139""),0))"),2.10943762392946)</f>
        <v>2.1094376239294599</v>
      </c>
      <c r="AA13" s="23">
        <f ca="1">IFERROR(__xludf.DUMMYFUNCTION("INDEX(IMPORTRANGE(""1y0FWgjbB0gVlqn-q5LMJbGIsqOrzru4yowQz67dz2yc"", ""'SPGG'!BI3:BI139""),MATCH($D13,IMPORTRANGE(""1y0FWgjbB0gVlqn-q5LMJbGIsqOrzru4yowQz67dz2yc"", ""'SPGG'!D3:D139""),0))"),9.14089637036099)</f>
        <v>9.1408963703609896</v>
      </c>
      <c r="AB13" s="2"/>
      <c r="AC13" s="2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5">
        <v>34</v>
      </c>
      <c r="Q14" s="5">
        <v>62</v>
      </c>
      <c r="R14" s="13"/>
      <c r="S14" s="13"/>
      <c r="T14" s="13"/>
      <c r="U14" s="13"/>
      <c r="V14" s="13"/>
      <c r="W14" s="4"/>
      <c r="X14" s="5">
        <v>16</v>
      </c>
      <c r="Y14" s="12">
        <f ca="1">IFERROR(__xludf.DUMMYFUNCTION("INDEX(IMPORTRANGE(""1y0FWgjbB0gVlqn-q5LMJbGIsqOrzru4yowQz67dz2yc"", ""'SPGG'!BG3:BG139""),MATCH($D14,IMPORTRANGE(""1y0FWgjbB0gVlqn-q5LMJbGIsqOrzru4yowQz67dz2yc"", ""'SPGG'!D3:D139""),0))"),40)</f>
        <v>40</v>
      </c>
      <c r="Z14" s="12">
        <f ca="1">IFERROR(__xludf.DUMMYFUNCTION("INDEX(IMPORTRANGE(""1y0FWgjbB0gVlqn-q5LMJbGIsqOrzru4yowQz67dz2yc"", ""'SPGG'!BH3:BH139""),MATCH($D14,IMPORTRANGE(""1y0FWgjbB0gVlqn-q5LMJbGIsqOrzru4yowQz67dz2yc"", ""'SPGG'!D3:D139""),0))"),19)</f>
        <v>19</v>
      </c>
      <c r="AA14" s="12">
        <f ca="1">IFERROR(__xludf.DUMMYFUNCTION("INDEX(IMPORTRANGE(""1y0FWgjbB0gVlqn-q5LMJbGIsqOrzru4yowQz67dz2yc"", ""'SPGG'!BI3:BI139""),MATCH($D14,IMPORTRANGE(""1y0FWgjbB0gVlqn-q5LMJbGIsqOrzru4yowQz67dz2yc"", ""'SPGG'!D3:D139""),0))"),37)</f>
        <v>37</v>
      </c>
      <c r="AB14" s="2"/>
      <c r="AC14" s="2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5">
        <v>23</v>
      </c>
      <c r="Q15" s="5">
        <v>42</v>
      </c>
      <c r="R15" s="13"/>
      <c r="S15" s="13"/>
      <c r="T15" s="13"/>
      <c r="U15" s="13"/>
      <c r="V15" s="13"/>
      <c r="W15" s="4"/>
      <c r="X15" s="5">
        <v>27</v>
      </c>
      <c r="Y15" s="12">
        <f ca="1">IFERROR(__xludf.DUMMYFUNCTION("INDEX(IMPORTRANGE(""1y0FWgjbB0gVlqn-q5LMJbGIsqOrzru4yowQz67dz2yc"", ""'SPGG'!BG3:BG139""),MATCH($D15,IMPORTRANGE(""1y0FWgjbB0gVlqn-q5LMJbGIsqOrzru4yowQz67dz2yc"", ""'SPGG'!D3:D139""),0))"),46)</f>
        <v>46</v>
      </c>
      <c r="Z15" s="12">
        <f ca="1">IFERROR(__xludf.DUMMYFUNCTION("INDEX(IMPORTRANGE(""1y0FWgjbB0gVlqn-q5LMJbGIsqOrzru4yowQz67dz2yc"", ""'SPGG'!BH3:BH139""),MATCH($D15,IMPORTRANGE(""1y0FWgjbB0gVlqn-q5LMJbGIsqOrzru4yowQz67dz2yc"", ""'SPGG'!D3:D139""),0))"),30)</f>
        <v>30</v>
      </c>
      <c r="AA15" s="12">
        <f ca="1">IFERROR(__xludf.DUMMYFUNCTION("INDEX(IMPORTRANGE(""1y0FWgjbB0gVlqn-q5LMJbGIsqOrzru4yowQz67dz2yc"", ""'SPGG'!BI3:BI139""),MATCH($D15,IMPORTRANGE(""1y0FWgjbB0gVlqn-q5LMJbGIsqOrzru4yowQz67dz2yc"", ""'SPGG'!D3:D139""),0))"),57)</f>
        <v>57</v>
      </c>
      <c r="AB15" s="2"/>
      <c r="AC15" s="2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5">
        <v>15</v>
      </c>
      <c r="Q16" s="5">
        <v>25</v>
      </c>
      <c r="R16" s="13"/>
      <c r="S16" s="13"/>
      <c r="T16" s="13"/>
      <c r="U16" s="13"/>
      <c r="V16" s="13"/>
      <c r="W16" s="4"/>
      <c r="X16" s="5">
        <v>6</v>
      </c>
      <c r="Y16" s="12">
        <f ca="1">IFERROR(__xludf.DUMMYFUNCTION("INDEX(IMPORTRANGE(""1y0FWgjbB0gVlqn-q5LMJbGIsqOrzru4yowQz67dz2yc"", ""'SPGG'!BG3:BG139""),MATCH($D16,IMPORTRANGE(""1y0FWgjbB0gVlqn-q5LMJbGIsqOrzru4yowQz67dz2yc"", ""'SPGG'!D3:D139""),0))"),18)</f>
        <v>18</v>
      </c>
      <c r="Z16" s="12">
        <f ca="1">IFERROR(__xludf.DUMMYFUNCTION("INDEX(IMPORTRANGE(""1y0FWgjbB0gVlqn-q5LMJbGIsqOrzru4yowQz67dz2yc"", ""'SPGG'!BH3:BH139""),MATCH($D16,IMPORTRANGE(""1y0FWgjbB0gVlqn-q5LMJbGIsqOrzru4yowQz67dz2yc"", ""'SPGG'!D3:D139""),0))"),8)</f>
        <v>8</v>
      </c>
      <c r="AA16" s="12">
        <f ca="1">IFERROR(__xludf.DUMMYFUNCTION("INDEX(IMPORTRANGE(""1y0FWgjbB0gVlqn-q5LMJbGIsqOrzru4yowQz67dz2yc"", ""'SPGG'!BI3:BI139""),MATCH($D16,IMPORTRANGE(""1y0FWgjbB0gVlqn-q5LMJbGIsqOrzru4yowQz67dz2yc"", ""'SPGG'!D3:D139""),0))"),25)</f>
        <v>25</v>
      </c>
      <c r="AB16" s="2"/>
      <c r="AC16" s="2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5">
        <v>16</v>
      </c>
      <c r="Q17" s="5">
        <v>29</v>
      </c>
      <c r="R17" s="13"/>
      <c r="S17" s="13"/>
      <c r="T17" s="13"/>
      <c r="U17" s="13"/>
      <c r="V17" s="13"/>
      <c r="W17" s="4"/>
      <c r="X17" s="5">
        <v>10</v>
      </c>
      <c r="Y17" s="12">
        <f ca="1">IFERROR(__xludf.DUMMYFUNCTION("INDEX(IMPORTRANGE(""1y0FWgjbB0gVlqn-q5LMJbGIsqOrzru4yowQz67dz2yc"", ""'SPGG'!BG3:BG139""),MATCH($D17,IMPORTRANGE(""1y0FWgjbB0gVlqn-q5LMJbGIsqOrzru4yowQz67dz2yc"", ""'SPGG'!D3:D139""),0))"),20)</f>
        <v>20</v>
      </c>
      <c r="Z17" s="12">
        <f ca="1">IFERROR(__xludf.DUMMYFUNCTION("INDEX(IMPORTRANGE(""1y0FWgjbB0gVlqn-q5LMJbGIsqOrzru4yowQz67dz2yc"", ""'SPGG'!BH3:BH139""),MATCH($D17,IMPORTRANGE(""1y0FWgjbB0gVlqn-q5LMJbGIsqOrzru4yowQz67dz2yc"", ""'SPGG'!D3:D139""),0))"),6)</f>
        <v>6</v>
      </c>
      <c r="AA17" s="12">
        <f ca="1">IFERROR(__xludf.DUMMYFUNCTION("INDEX(IMPORTRANGE(""1y0FWgjbB0gVlqn-q5LMJbGIsqOrzru4yowQz67dz2yc"", ""'SPGG'!BI3:BI139""),MATCH($D17,IMPORTRANGE(""1y0FWgjbB0gVlqn-q5LMJbGIsqOrzru4yowQz67dz2yc"", ""'SPGG'!D3:D139""),0))"),15)</f>
        <v>15</v>
      </c>
      <c r="AB17" s="2"/>
      <c r="AC17" s="2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88</v>
      </c>
      <c r="Q18" s="262">
        <f t="shared" si="4"/>
        <v>158</v>
      </c>
      <c r="R18" s="486"/>
      <c r="S18" s="486"/>
      <c r="T18" s="486"/>
      <c r="U18" s="486"/>
      <c r="V18" s="486"/>
      <c r="W18" s="486"/>
      <c r="X18" s="262">
        <f t="shared" ref="X18:AA18" si="5">SUM(X14:X17)</f>
        <v>59</v>
      </c>
      <c r="Y18" s="262">
        <f t="shared" ca="1" si="5"/>
        <v>124</v>
      </c>
      <c r="Z18" s="262">
        <f t="shared" ca="1" si="5"/>
        <v>63</v>
      </c>
      <c r="AA18" s="262">
        <f t="shared" ca="1" si="5"/>
        <v>134</v>
      </c>
      <c r="AB18" s="295"/>
      <c r="AC18" s="295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63.33441289718953</v>
      </c>
      <c r="Q19" s="23">
        <f t="shared" si="6"/>
        <v>113.71405951995395</v>
      </c>
      <c r="R19" s="2">
        <v>103</v>
      </c>
      <c r="S19" s="2">
        <v>57</v>
      </c>
      <c r="T19" s="2">
        <v>103</v>
      </c>
      <c r="U19" s="2">
        <v>57</v>
      </c>
      <c r="V19" s="2">
        <v>103</v>
      </c>
      <c r="W19" s="2">
        <v>103</v>
      </c>
      <c r="X19" s="23">
        <f>(SUM(X14:X17)/X2)*100000</f>
        <v>42.001850929023988</v>
      </c>
      <c r="Y19" s="23">
        <f ca="1">IFERROR(__xludf.DUMMYFUNCTION("INDEX(IMPORTRANGE(""1y0FWgjbB0gVlqn-q5LMJbGIsqOrzru4yowQz67dz2yc"", ""'SPGG'!BG3:BG139""),MATCH($D19,IMPORTRANGE(""1y0FWgjbB0gVlqn-q5LMJbGIsqOrzru4yowQz67dz2yc"", ""'SPGG'!D3:D139""),0))"),88.2750765287961)</f>
        <v>88.275076528796106</v>
      </c>
      <c r="Z19" s="23">
        <f ca="1">IFERROR(__xludf.DUMMYFUNCTION("INDEX(IMPORTRANGE(""1y0FWgjbB0gVlqn-q5LMJbGIsqOrzru4yowQz67dz2yc"", ""'SPGG'!BH3:BH139""),MATCH($D19,IMPORTRANGE(""1y0FWgjbB0gVlqn-q5LMJbGIsqOrzru4yowQz67dz2yc"", ""'SPGG'!D3:D139""),0))"),44.2981901025186)</f>
        <v>44.298190102518603</v>
      </c>
      <c r="AA19" s="23">
        <f ca="1">IFERROR(__xludf.DUMMYFUNCTION("INDEX(IMPORTRANGE(""1y0FWgjbB0gVlqn-q5LMJbGIsqOrzru4yowQz67dz2yc"", ""'SPGG'!BI3:BI139""),MATCH($D19,IMPORTRANGE(""1y0FWgjbB0gVlqn-q5LMJbGIsqOrzru4yowQz67dz2yc"", ""'SPGG'!D3:D139""),0))"),94.2215472021825)</f>
        <v>94.221547202182506</v>
      </c>
      <c r="AB19" s="2"/>
      <c r="AC19" s="2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5">
        <v>129</v>
      </c>
      <c r="Q20" s="5">
        <v>299</v>
      </c>
      <c r="R20" s="13"/>
      <c r="S20" s="13"/>
      <c r="T20" s="13"/>
      <c r="U20" s="13"/>
      <c r="V20" s="13"/>
      <c r="W20" s="4"/>
      <c r="X20" s="5">
        <v>147</v>
      </c>
      <c r="Y20" s="12">
        <f ca="1">IFERROR(__xludf.DUMMYFUNCTION("INDEX(IMPORTRANGE(""1y0FWgjbB0gVlqn-q5LMJbGIsqOrzru4yowQz67dz2yc"", ""'SPGG'!BG3:BG139""),MATCH($D20,IMPORTRANGE(""1y0FWgjbB0gVlqn-q5LMJbGIsqOrzru4yowQz67dz2yc"", ""'SPGG'!D3:D139""),0))"),279)</f>
        <v>279</v>
      </c>
      <c r="Z20" s="12">
        <f ca="1">IFERROR(__xludf.DUMMYFUNCTION("INDEX(IMPORTRANGE(""1y0FWgjbB0gVlqn-q5LMJbGIsqOrzru4yowQz67dz2yc"", ""'SPGG'!BH3:BH139""),MATCH($D20,IMPORTRANGE(""1y0FWgjbB0gVlqn-q5LMJbGIsqOrzru4yowQz67dz2yc"", ""'SPGG'!D3:D139""),0))"),99)</f>
        <v>99</v>
      </c>
      <c r="AA20" s="12">
        <f ca="1">IFERROR(__xludf.DUMMYFUNCTION("INDEX(IMPORTRANGE(""1y0FWgjbB0gVlqn-q5LMJbGIsqOrzru4yowQz67dz2yc"", ""'SPGG'!BI3:BI139""),MATCH($D20,IMPORTRANGE(""1y0FWgjbB0gVlqn-q5LMJbGIsqOrzru4yowQz67dz2yc"", ""'SPGG'!D3:D139""),0))"),199)</f>
        <v>199</v>
      </c>
      <c r="AB20" s="2"/>
      <c r="AC20" s="2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92.842491633380106</v>
      </c>
      <c r="Q21" s="23">
        <f t="shared" si="7"/>
        <v>215.1930620029508</v>
      </c>
      <c r="R21" s="2">
        <v>214.5</v>
      </c>
      <c r="S21" s="2">
        <v>92.7</v>
      </c>
      <c r="T21" s="2">
        <v>213.7</v>
      </c>
      <c r="U21" s="2">
        <v>92.6</v>
      </c>
      <c r="V21" s="2">
        <v>213</v>
      </c>
      <c r="W21" s="2">
        <v>213</v>
      </c>
      <c r="X21" s="23">
        <f>(X20/X$2)*100000</f>
        <v>104.64867943333095</v>
      </c>
      <c r="Y21" s="23">
        <f ca="1">IFERROR(__xludf.DUMMYFUNCTION("INDEX(IMPORTRANGE(""1y0FWgjbB0gVlqn-q5LMJbGIsqOrzru4yowQz67dz2yc"", ""'SPGG'!BG3:BG139""),MATCH($D21,IMPORTRANGE(""1y0FWgjbB0gVlqn-q5LMJbGIsqOrzru4yowQz67dz2yc"", ""'SPGG'!D3:D139""),0))"),198.618922189791)</f>
        <v>198.61892218979099</v>
      </c>
      <c r="Z21" s="23">
        <f ca="1">IFERROR(__xludf.DUMMYFUNCTION("INDEX(IMPORTRANGE(""1y0FWgjbB0gVlqn-q5LMJbGIsqOrzru4yowQz67dz2yc"", ""'SPGG'!BH3:BH139""),MATCH($D21,IMPORTRANGE(""1y0FWgjbB0gVlqn-q5LMJbGIsqOrzru4yowQz67dz2yc"", ""'SPGG'!D3:D139""),0))"),69.6114415896722)</f>
        <v>69.611441589672197</v>
      </c>
      <c r="AA21" s="23">
        <f ca="1">IFERROR(__xludf.DUMMYFUNCTION("INDEX(IMPORTRANGE(""1y0FWgjbB0gVlqn-q5LMJbGIsqOrzru4yowQz67dz2yc"", ""'SPGG'!BI3:BI139""),MATCH($D21,IMPORTRANGE(""1y0FWgjbB0gVlqn-q5LMJbGIsqOrzru4yowQz67dz2yc"", ""'SPGG'!D3:D139""),0))"),139.926029053987)</f>
        <v>139.92602905398701</v>
      </c>
      <c r="AB21" s="2"/>
      <c r="AC21" s="2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5">
        <v>38</v>
      </c>
      <c r="Q22" s="5">
        <v>75</v>
      </c>
      <c r="R22" s="13"/>
      <c r="S22" s="13"/>
      <c r="T22" s="13"/>
      <c r="U22" s="13"/>
      <c r="V22" s="13"/>
      <c r="W22" s="4"/>
      <c r="X22" s="5">
        <v>27</v>
      </c>
      <c r="Y22" s="12">
        <f ca="1">IFERROR(__xludf.DUMMYFUNCTION("INDEX(IMPORTRANGE(""1y0FWgjbB0gVlqn-q5LMJbGIsqOrzru4yowQz67dz2yc"", ""'SPGG'!BG3:BG139""),MATCH($D22,IMPORTRANGE(""1y0FWgjbB0gVlqn-q5LMJbGIsqOrzru4yowQz67dz2yc"", ""'SPGG'!D3:D139""),0))"),66)</f>
        <v>66</v>
      </c>
      <c r="Z22" s="12">
        <f ca="1">IFERROR(__xludf.DUMMYFUNCTION("INDEX(IMPORTRANGE(""1y0FWgjbB0gVlqn-q5LMJbGIsqOrzru4yowQz67dz2yc"", ""'SPGG'!BH3:BH139""),MATCH($D22,IMPORTRANGE(""1y0FWgjbB0gVlqn-q5LMJbGIsqOrzru4yowQz67dz2yc"", ""'SPGG'!D3:D139""),0))"),24)</f>
        <v>24</v>
      </c>
      <c r="AA22" s="12">
        <f ca="1">IFERROR(__xludf.DUMMYFUNCTION("INDEX(IMPORTRANGE(""1y0FWgjbB0gVlqn-q5LMJbGIsqOrzru4yowQz67dz2yc"", ""'SPGG'!BI3:BI139""),MATCH($D22,IMPORTRANGE(""1y0FWgjbB0gVlqn-q5LMJbGIsqOrzru4yowQz67dz2yc"", ""'SPGG'!D3:D139""),0))"),45)</f>
        <v>45</v>
      </c>
      <c r="AB22" s="2"/>
      <c r="AC22" s="2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27.348951023786391</v>
      </c>
      <c r="Q23" s="23">
        <f t="shared" si="8"/>
        <v>53.978192810104723</v>
      </c>
      <c r="R23" s="2">
        <v>53.8</v>
      </c>
      <c r="S23" s="2">
        <v>27.3</v>
      </c>
      <c r="T23" s="2">
        <v>53.6</v>
      </c>
      <c r="U23" s="2">
        <v>27.2</v>
      </c>
      <c r="V23" s="2">
        <v>53.4</v>
      </c>
      <c r="W23" s="2">
        <v>53.4</v>
      </c>
      <c r="X23" s="23">
        <f>(X22/X$2)*100000</f>
        <v>19.221186018366911</v>
      </c>
      <c r="Y23" s="23">
        <f ca="1">IFERROR(__xludf.DUMMYFUNCTION("INDEX(IMPORTRANGE(""1y0FWgjbB0gVlqn-q5LMJbGIsqOrzru4yowQz67dz2yc"", ""'SPGG'!BG3:BG139""),MATCH($D23,IMPORTRANGE(""1y0FWgjbB0gVlqn-q5LMJbGIsqOrzru4yowQz67dz2yc"", ""'SPGG'!D3:D139""),0))"),46.9851213782302)</f>
        <v>46.985121378230197</v>
      </c>
      <c r="Z23" s="23">
        <f ca="1">IFERROR(__xludf.DUMMYFUNCTION("INDEX(IMPORTRANGE(""1y0FWgjbB0gVlqn-q5LMJbGIsqOrzru4yowQz67dz2yc"", ""'SPGG'!BH3:BH139""),MATCH($D23,IMPORTRANGE(""1y0FWgjbB0gVlqn-q5LMJbGIsqOrzru4yowQz67dz2yc"", ""'SPGG'!D3:D139""),0))"),16.8755009914356)</f>
        <v>16.875500991435601</v>
      </c>
      <c r="AA23" s="23">
        <f ca="1">IFERROR(__xludf.DUMMYFUNCTION("INDEX(IMPORTRANGE(""1y0FWgjbB0gVlqn-q5LMJbGIsqOrzru4yowQz67dz2yc"", ""'SPGG'!BI3:BI139""),MATCH($D23,IMPORTRANGE(""1y0FWgjbB0gVlqn-q5LMJbGIsqOrzru4yowQz67dz2yc"", ""'SPGG'!D3:D139""),0))"),31.6415643589419)</f>
        <v>31.641564358941899</v>
      </c>
      <c r="AB23" s="2"/>
      <c r="AC23" s="2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5">
        <v>3</v>
      </c>
      <c r="Q24" s="5">
        <v>4</v>
      </c>
      <c r="R24" s="13"/>
      <c r="S24" s="13"/>
      <c r="T24" s="13"/>
      <c r="U24" s="13"/>
      <c r="V24" s="13"/>
      <c r="W24" s="4"/>
      <c r="X24" s="5">
        <v>1</v>
      </c>
      <c r="Y24" s="12">
        <f ca="1">IFERROR(__xludf.DUMMYFUNCTION("INDEX(IMPORTRANGE(""1y0FWgjbB0gVlqn-q5LMJbGIsqOrzru4yowQz67dz2yc"", ""'SPGG'!BG3:BG139""),MATCH($D24,IMPORTRANGE(""1y0FWgjbB0gVlqn-q5LMJbGIsqOrzru4yowQz67dz2yc"", ""'SPGG'!D3:D139""),0))"),3)</f>
        <v>3</v>
      </c>
      <c r="Z24" s="12">
        <f ca="1">IFERROR(__xludf.DUMMYFUNCTION("INDEX(IMPORTRANGE(""1y0FWgjbB0gVlqn-q5LMJbGIsqOrzru4yowQz67dz2yc"", ""'SPGG'!BH3:BH139""),MATCH($D24,IMPORTRANGE(""1y0FWgjbB0gVlqn-q5LMJbGIsqOrzru4yowQz67dz2yc"", ""'SPGG'!D3:D139""),0))"),2)</f>
        <v>2</v>
      </c>
      <c r="AA24" s="12">
        <f ca="1">IFERROR(__xludf.DUMMYFUNCTION("INDEX(IMPORTRANGE(""1y0FWgjbB0gVlqn-q5LMJbGIsqOrzru4yowQz67dz2yc"", ""'SPGG'!BI3:BI139""),MATCH($D24,IMPORTRANGE(""1y0FWgjbB0gVlqn-q5LMJbGIsqOrzru4yowQz67dz2yc"", ""'SPGG'!D3:D139""),0))"),5)</f>
        <v>5</v>
      </c>
      <c r="AB24" s="2"/>
      <c r="AC24" s="2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5">
        <v>1</v>
      </c>
      <c r="Q25" s="5">
        <v>5</v>
      </c>
      <c r="R25" s="13"/>
      <c r="S25" s="13"/>
      <c r="T25" s="13"/>
      <c r="U25" s="13"/>
      <c r="V25" s="13"/>
      <c r="W25" s="4"/>
      <c r="X25" s="5">
        <v>1</v>
      </c>
      <c r="Y25" s="12">
        <f ca="1">IFERROR(__xludf.DUMMYFUNCTION("INDEX(IMPORTRANGE(""1y0FWgjbB0gVlqn-q5LMJbGIsqOrzru4yowQz67dz2yc"", ""'SPGG'!BG3:BG139""),MATCH($D25,IMPORTRANGE(""1y0FWgjbB0gVlqn-q5LMJbGIsqOrzru4yowQz67dz2yc"", ""'SPGG'!D3:D139""),0))"),5)</f>
        <v>5</v>
      </c>
      <c r="Z25" s="12">
        <f ca="1">IFERROR(__xludf.DUMMYFUNCTION("INDEX(IMPORTRANGE(""1y0FWgjbB0gVlqn-q5LMJbGIsqOrzru4yowQz67dz2yc"", ""'SPGG'!BH3:BH139""),MATCH($D25,IMPORTRANGE(""1y0FWgjbB0gVlqn-q5LMJbGIsqOrzru4yowQz67dz2yc"", ""'SPGG'!D3:D139""),0))"),2)</f>
        <v>2</v>
      </c>
      <c r="AA25" s="12">
        <f ca="1">IFERROR(__xludf.DUMMYFUNCTION("INDEX(IMPORTRANGE(""1y0FWgjbB0gVlqn-q5LMJbGIsqOrzru4yowQz67dz2yc"", ""'SPGG'!BI3:BI139""),MATCH($D25,IMPORTRANGE(""1y0FWgjbB0gVlqn-q5LMJbGIsqOrzru4yowQz67dz2yc"", ""'SPGG'!D3:D139""),0))"),3)</f>
        <v>3</v>
      </c>
      <c r="AB25" s="2"/>
      <c r="AC25" s="2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5">
        <v>0</v>
      </c>
      <c r="Q26" s="5">
        <v>3</v>
      </c>
      <c r="R26" s="13"/>
      <c r="S26" s="13"/>
      <c r="T26" s="13"/>
      <c r="U26" s="13"/>
      <c r="V26" s="13"/>
      <c r="W26" s="4"/>
      <c r="X26" s="5">
        <v>1</v>
      </c>
      <c r="Y26" s="12">
        <f ca="1">IFERROR(__xludf.DUMMYFUNCTION("INDEX(IMPORTRANGE(""1y0FWgjbB0gVlqn-q5LMJbGIsqOrzru4yowQz67dz2yc"", ""'SPGG'!BG3:BG139""),MATCH($D26,IMPORTRANGE(""1y0FWgjbB0gVlqn-q5LMJbGIsqOrzru4yowQz67dz2yc"", ""'SPGG'!D3:D139""),0))"),2)</f>
        <v>2</v>
      </c>
      <c r="Z26" s="12">
        <f ca="1">IFERROR(__xludf.DUMMYFUNCTION("INDEX(IMPORTRANGE(""1y0FWgjbB0gVlqn-q5LMJbGIsqOrzru4yowQz67dz2yc"", ""'SPGG'!BH3:BH139""),MATCH($D26,IMPORTRANGE(""1y0FWgjbB0gVlqn-q5LMJbGIsqOrzru4yowQz67dz2yc"", ""'SPGG'!D3:D139""),0))"),0)</f>
        <v>0</v>
      </c>
      <c r="AA26" s="12">
        <f ca="1">IFERROR(__xludf.DUMMYFUNCTION("INDEX(IMPORTRANGE(""1y0FWgjbB0gVlqn-q5LMJbGIsqOrzru4yowQz67dz2yc"", ""'SPGG'!BI3:BI139""),MATCH($D26,IMPORTRANGE(""1y0FWgjbB0gVlqn-q5LMJbGIsqOrzru4yowQz67dz2yc"", ""'SPGG'!D3:D139""),0))"),0)</f>
        <v>0</v>
      </c>
      <c r="AB26" s="2"/>
      <c r="AC26" s="2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5">
        <v>0</v>
      </c>
      <c r="Q27" s="5">
        <v>0</v>
      </c>
      <c r="R27" s="13"/>
      <c r="S27" s="13"/>
      <c r="T27" s="13"/>
      <c r="U27" s="13"/>
      <c r="V27" s="13"/>
      <c r="W27" s="4"/>
      <c r="X27" s="5">
        <v>0</v>
      </c>
      <c r="Y27" s="12">
        <f ca="1">IFERROR(__xludf.DUMMYFUNCTION("INDEX(IMPORTRANGE(""1y0FWgjbB0gVlqn-q5LMJbGIsqOrzru4yowQz67dz2yc"", ""'SPGG'!BG3:BG139""),MATCH($D27,IMPORTRANGE(""1y0FWgjbB0gVlqn-q5LMJbGIsqOrzru4yowQz67dz2yc"", ""'SPGG'!D3:D139""),0))"),0)</f>
        <v>0</v>
      </c>
      <c r="Z27" s="12">
        <f ca="1">IFERROR(__xludf.DUMMYFUNCTION("INDEX(IMPORTRANGE(""1y0FWgjbB0gVlqn-q5LMJbGIsqOrzru4yowQz67dz2yc"", ""'SPGG'!BH3:BH139""),MATCH($D27,IMPORTRANGE(""1y0FWgjbB0gVlqn-q5LMJbGIsqOrzru4yowQz67dz2yc"", ""'SPGG'!D3:D139""),0))"),0)</f>
        <v>0</v>
      </c>
      <c r="AA27" s="12">
        <f ca="1">IFERROR(__xludf.DUMMYFUNCTION("INDEX(IMPORTRANGE(""1y0FWgjbB0gVlqn-q5LMJbGIsqOrzru4yowQz67dz2yc"", ""'SPGG'!BI3:BI139""),MATCH($D27,IMPORTRANGE(""1y0FWgjbB0gVlqn-q5LMJbGIsqOrzru4yowQz67dz2yc"", ""'SPGG'!D3:D139""),0))"),0)</f>
        <v>0</v>
      </c>
      <c r="AB27" s="2"/>
      <c r="AC27" s="2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5">
        <v>0</v>
      </c>
      <c r="Q28" s="5">
        <v>0</v>
      </c>
      <c r="R28" s="13"/>
      <c r="S28" s="13"/>
      <c r="T28" s="13"/>
      <c r="U28" s="13"/>
      <c r="V28" s="13"/>
      <c r="W28" s="4"/>
      <c r="X28" s="5">
        <v>0</v>
      </c>
      <c r="Y28" s="12">
        <f ca="1">IFERROR(__xludf.DUMMYFUNCTION("INDEX(IMPORTRANGE(""1y0FWgjbB0gVlqn-q5LMJbGIsqOrzru4yowQz67dz2yc"", ""'SPGG'!BG3:BG139""),MATCH($D28,IMPORTRANGE(""1y0FWgjbB0gVlqn-q5LMJbGIsqOrzru4yowQz67dz2yc"", ""'SPGG'!D3:D139""),0))"),1)</f>
        <v>1</v>
      </c>
      <c r="Z28" s="12">
        <f ca="1">IFERROR(__xludf.DUMMYFUNCTION("INDEX(IMPORTRANGE(""1y0FWgjbB0gVlqn-q5LMJbGIsqOrzru4yowQz67dz2yc"", ""'SPGG'!BH3:BH139""),MATCH($D28,IMPORTRANGE(""1y0FWgjbB0gVlqn-q5LMJbGIsqOrzru4yowQz67dz2yc"", ""'SPGG'!D3:D139""),0))"),0)</f>
        <v>0</v>
      </c>
      <c r="AA28" s="12">
        <f ca="1">IFERROR(__xludf.DUMMYFUNCTION("INDEX(IMPORTRANGE(""1y0FWgjbB0gVlqn-q5LMJbGIsqOrzru4yowQz67dz2yc"", ""'SPGG'!BI3:BI139""),MATCH($D28,IMPORTRANGE(""1y0FWgjbB0gVlqn-q5LMJbGIsqOrzru4yowQz67dz2yc"", ""'SPGG'!D3:D139""),0))"),1)</f>
        <v>1</v>
      </c>
      <c r="AB28" s="2"/>
      <c r="AC28" s="2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5">
        <v>0</v>
      </c>
      <c r="Q29" s="5">
        <v>0</v>
      </c>
      <c r="R29" s="13"/>
      <c r="S29" s="13"/>
      <c r="T29" s="13"/>
      <c r="U29" s="13"/>
      <c r="V29" s="13"/>
      <c r="W29" s="4"/>
      <c r="X29" s="5">
        <v>0</v>
      </c>
      <c r="Y29" s="12">
        <f ca="1">IFERROR(__xludf.DUMMYFUNCTION("INDEX(IMPORTRANGE(""1y0FWgjbB0gVlqn-q5LMJbGIsqOrzru4yowQz67dz2yc"", ""'SPGG'!BG3:BG139""),MATCH($D29,IMPORTRANGE(""1y0FWgjbB0gVlqn-q5LMJbGIsqOrzru4yowQz67dz2yc"", ""'SPGG'!D3:D139""),0))"),0)</f>
        <v>0</v>
      </c>
      <c r="Z29" s="12">
        <f ca="1">IFERROR(__xludf.DUMMYFUNCTION("INDEX(IMPORTRANGE(""1y0FWgjbB0gVlqn-q5LMJbGIsqOrzru4yowQz67dz2yc"", ""'SPGG'!BH3:BH139""),MATCH($D29,IMPORTRANGE(""1y0FWgjbB0gVlqn-q5LMJbGIsqOrzru4yowQz67dz2yc"", ""'SPGG'!D3:D139""),0))"),0)</f>
        <v>0</v>
      </c>
      <c r="AA29" s="12">
        <f ca="1">IFERROR(__xludf.DUMMYFUNCTION("INDEX(IMPORTRANGE(""1y0FWgjbB0gVlqn-q5LMJbGIsqOrzru4yowQz67dz2yc"", ""'SPGG'!BI3:BI139""),MATCH($D29,IMPORTRANGE(""1y0FWgjbB0gVlqn-q5LMJbGIsqOrzru4yowQz67dz2yc"", ""'SPGG'!D3:D139""),0))"),0)</f>
        <v>0</v>
      </c>
      <c r="AB29" s="2"/>
      <c r="AC29" s="2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5">
        <v>0</v>
      </c>
      <c r="Q30" s="5">
        <v>1</v>
      </c>
      <c r="R30" s="13"/>
      <c r="S30" s="13"/>
      <c r="T30" s="13"/>
      <c r="U30" s="13"/>
      <c r="V30" s="13"/>
      <c r="W30" s="4"/>
      <c r="X30" s="5">
        <v>2</v>
      </c>
      <c r="Y30" s="12">
        <f ca="1">IFERROR(__xludf.DUMMYFUNCTION("INDEX(IMPORTRANGE(""1y0FWgjbB0gVlqn-q5LMJbGIsqOrzru4yowQz67dz2yc"", ""'SPGG'!BG3:BG139""),MATCH($D30,IMPORTRANGE(""1y0FWgjbB0gVlqn-q5LMJbGIsqOrzru4yowQz67dz2yc"", ""'SPGG'!D3:D139""),0))"),3)</f>
        <v>3</v>
      </c>
      <c r="Z30" s="12">
        <f ca="1">IFERROR(__xludf.DUMMYFUNCTION("INDEX(IMPORTRANGE(""1y0FWgjbB0gVlqn-q5LMJbGIsqOrzru4yowQz67dz2yc"", ""'SPGG'!BH3:BH139""),MATCH($D30,IMPORTRANGE(""1y0FWgjbB0gVlqn-q5LMJbGIsqOrzru4yowQz67dz2yc"", ""'SPGG'!D3:D139""),0))"),0)</f>
        <v>0</v>
      </c>
      <c r="AA30" s="12">
        <f ca="1">IFERROR(__xludf.DUMMYFUNCTION("INDEX(IMPORTRANGE(""1y0FWgjbB0gVlqn-q5LMJbGIsqOrzru4yowQz67dz2yc"", ""'SPGG'!BI3:BI139""),MATCH($D30,IMPORTRANGE(""1y0FWgjbB0gVlqn-q5LMJbGIsqOrzru4yowQz67dz2yc"", ""'SPGG'!D3:D139""),0))"),2)</f>
        <v>2</v>
      </c>
      <c r="AB30" s="2"/>
      <c r="AC30" s="2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5">
        <v>1</v>
      </c>
      <c r="Q31" s="5">
        <v>2</v>
      </c>
      <c r="R31" s="13"/>
      <c r="S31" s="13"/>
      <c r="T31" s="13"/>
      <c r="U31" s="13"/>
      <c r="V31" s="13"/>
      <c r="W31" s="4"/>
      <c r="X31" s="5">
        <v>0</v>
      </c>
      <c r="Y31" s="12">
        <f ca="1">IFERROR(__xludf.DUMMYFUNCTION("INDEX(IMPORTRANGE(""1y0FWgjbB0gVlqn-q5LMJbGIsqOrzru4yowQz67dz2yc"", ""'SPGG'!BG3:BG139""),MATCH($D31,IMPORTRANGE(""1y0FWgjbB0gVlqn-q5LMJbGIsqOrzru4yowQz67dz2yc"", ""'SPGG'!D3:D139""),0))"),0)</f>
        <v>0</v>
      </c>
      <c r="Z31" s="12">
        <f ca="1">IFERROR(__xludf.DUMMYFUNCTION("INDEX(IMPORTRANGE(""1y0FWgjbB0gVlqn-q5LMJbGIsqOrzru4yowQz67dz2yc"", ""'SPGG'!BH3:BH139""),MATCH($D31,IMPORTRANGE(""1y0FWgjbB0gVlqn-q5LMJbGIsqOrzru4yowQz67dz2yc"", ""'SPGG'!D3:D139""),0))"),0)</f>
        <v>0</v>
      </c>
      <c r="AA31" s="12">
        <f ca="1">IFERROR(__xludf.DUMMYFUNCTION("INDEX(IMPORTRANGE(""1y0FWgjbB0gVlqn-q5LMJbGIsqOrzru4yowQz67dz2yc"", ""'SPGG'!BI3:BI139""),MATCH($D31,IMPORTRANGE(""1y0FWgjbB0gVlqn-q5LMJbGIsqOrzru4yowQz67dz2yc"", ""'SPGG'!D3:D139""),0))"),1)</f>
        <v>1</v>
      </c>
      <c r="AB31" s="2"/>
      <c r="AC31" s="2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5">
        <v>0</v>
      </c>
      <c r="Q32" s="5">
        <v>0</v>
      </c>
      <c r="R32" s="13"/>
      <c r="S32" s="13"/>
      <c r="T32" s="13"/>
      <c r="U32" s="13"/>
      <c r="V32" s="13"/>
      <c r="W32" s="4"/>
      <c r="X32" s="5">
        <v>0</v>
      </c>
      <c r="Y32" s="12">
        <f ca="1">IFERROR(__xludf.DUMMYFUNCTION("INDEX(IMPORTRANGE(""1y0FWgjbB0gVlqn-q5LMJbGIsqOrzru4yowQz67dz2yc"", ""'SPGG'!BG3:BG139""),MATCH($D32,IMPORTRANGE(""1y0FWgjbB0gVlqn-q5LMJbGIsqOrzru4yowQz67dz2yc"", ""'SPGG'!D3:D139""),0))"),0)</f>
        <v>0</v>
      </c>
      <c r="Z32" s="12">
        <f ca="1">IFERROR(__xludf.DUMMYFUNCTION("INDEX(IMPORTRANGE(""1y0FWgjbB0gVlqn-q5LMJbGIsqOrzru4yowQz67dz2yc"", ""'SPGG'!BH3:BH139""),MATCH($D32,IMPORTRANGE(""1y0FWgjbB0gVlqn-q5LMJbGIsqOrzru4yowQz67dz2yc"", ""'SPGG'!D3:D139""),0))"),0)</f>
        <v>0</v>
      </c>
      <c r="AA32" s="12">
        <f ca="1">IFERROR(__xludf.DUMMYFUNCTION("INDEX(IMPORTRANGE(""1y0FWgjbB0gVlqn-q5LMJbGIsqOrzru4yowQz67dz2yc"", ""'SPGG'!BI3:BI139""),MATCH($D32,IMPORTRANGE(""1y0FWgjbB0gVlqn-q5LMJbGIsqOrzru4yowQz67dz2yc"", ""'SPGG'!D3:D139""),0))"),0)</f>
        <v>0</v>
      </c>
      <c r="AB32" s="2"/>
      <c r="AC32" s="2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5">
        <v>0</v>
      </c>
      <c r="Q33" s="5">
        <v>0</v>
      </c>
      <c r="R33" s="13"/>
      <c r="S33" s="13"/>
      <c r="T33" s="13"/>
      <c r="U33" s="13"/>
      <c r="V33" s="13"/>
      <c r="W33" s="4"/>
      <c r="X33" s="5">
        <v>0</v>
      </c>
      <c r="Y33" s="12">
        <f ca="1">IFERROR(__xludf.DUMMYFUNCTION("INDEX(IMPORTRANGE(""1y0FWgjbB0gVlqn-q5LMJbGIsqOrzru4yowQz67dz2yc"", ""'SPGG'!BG3:BG139""),MATCH($D33,IMPORTRANGE(""1y0FWgjbB0gVlqn-q5LMJbGIsqOrzru4yowQz67dz2yc"", ""'SPGG'!D3:D139""),0))"),0)</f>
        <v>0</v>
      </c>
      <c r="Z33" s="12">
        <f ca="1">IFERROR(__xludf.DUMMYFUNCTION("INDEX(IMPORTRANGE(""1y0FWgjbB0gVlqn-q5LMJbGIsqOrzru4yowQz67dz2yc"", ""'SPGG'!BH3:BH139""),MATCH($D33,IMPORTRANGE(""1y0FWgjbB0gVlqn-q5LMJbGIsqOrzru4yowQz67dz2yc"", ""'SPGG'!D3:D139""),0))"),0)</f>
        <v>0</v>
      </c>
      <c r="AA33" s="12">
        <f ca="1">IFERROR(__xludf.DUMMYFUNCTION("INDEX(IMPORTRANGE(""1y0FWgjbB0gVlqn-q5LMJbGIsqOrzru4yowQz67dz2yc"", ""'SPGG'!BI3:BI139""),MATCH($D33,IMPORTRANGE(""1y0FWgjbB0gVlqn-q5LMJbGIsqOrzru4yowQz67dz2yc"", ""'SPGG'!D3:D139""),0))"),0)</f>
        <v>0</v>
      </c>
      <c r="AB33" s="2"/>
      <c r="AC33" s="2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5">
        <v>0</v>
      </c>
      <c r="Q34" s="5">
        <v>0</v>
      </c>
      <c r="R34" s="13"/>
      <c r="S34" s="13"/>
      <c r="T34" s="13"/>
      <c r="U34" s="13"/>
      <c r="V34" s="13"/>
      <c r="W34" s="4"/>
      <c r="X34" s="5">
        <v>0</v>
      </c>
      <c r="Y34" s="12">
        <f ca="1">IFERROR(__xludf.DUMMYFUNCTION("INDEX(IMPORTRANGE(""1y0FWgjbB0gVlqn-q5LMJbGIsqOrzru4yowQz67dz2yc"", ""'SPGG'!BG3:BG139""),MATCH($D34,IMPORTRANGE(""1y0FWgjbB0gVlqn-q5LMJbGIsqOrzru4yowQz67dz2yc"", ""'SPGG'!D3:D139""),0))"),0)</f>
        <v>0</v>
      </c>
      <c r="Z34" s="12">
        <f ca="1">IFERROR(__xludf.DUMMYFUNCTION("INDEX(IMPORTRANGE(""1y0FWgjbB0gVlqn-q5LMJbGIsqOrzru4yowQz67dz2yc"", ""'SPGG'!BH3:BH139""),MATCH($D34,IMPORTRANGE(""1y0FWgjbB0gVlqn-q5LMJbGIsqOrzru4yowQz67dz2yc"", ""'SPGG'!D3:D139""),0))"),0)</f>
        <v>0</v>
      </c>
      <c r="AA34" s="12">
        <f ca="1">IFERROR(__xludf.DUMMYFUNCTION("INDEX(IMPORTRANGE(""1y0FWgjbB0gVlqn-q5LMJbGIsqOrzru4yowQz67dz2yc"", ""'SPGG'!BI3:BI139""),MATCH($D34,IMPORTRANGE(""1y0FWgjbB0gVlqn-q5LMJbGIsqOrzru4yowQz67dz2yc"", ""'SPGG'!D3:D139""),0))"),1)</f>
        <v>1</v>
      </c>
      <c r="AB34" s="2"/>
      <c r="AC34" s="2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5</v>
      </c>
      <c r="Q35" s="262">
        <f t="shared" si="9"/>
        <v>15</v>
      </c>
      <c r="R35" s="486"/>
      <c r="S35" s="486"/>
      <c r="T35" s="486"/>
      <c r="U35" s="486"/>
      <c r="V35" s="486"/>
      <c r="W35" s="486"/>
      <c r="X35" s="262">
        <f t="shared" ref="X35:AA35" si="10">SUM(X24:X34)</f>
        <v>5</v>
      </c>
      <c r="Y35" s="262">
        <f t="shared" ca="1" si="10"/>
        <v>14</v>
      </c>
      <c r="Z35" s="262">
        <f t="shared" ca="1" si="10"/>
        <v>4</v>
      </c>
      <c r="AA35" s="262">
        <f t="shared" ca="1" si="10"/>
        <v>13</v>
      </c>
      <c r="AB35" s="296"/>
      <c r="AC35" s="29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3.5985461873403146</v>
      </c>
      <c r="Q36" s="23">
        <f t="shared" si="11"/>
        <v>10.795638562020944</v>
      </c>
      <c r="R36" s="2">
        <v>10.8</v>
      </c>
      <c r="S36" s="24">
        <v>3.597</v>
      </c>
      <c r="T36" s="2">
        <v>10.7</v>
      </c>
      <c r="U36" s="24">
        <v>3.597</v>
      </c>
      <c r="V36" s="2">
        <v>10.7</v>
      </c>
      <c r="W36" s="2">
        <f>V36</f>
        <v>10.7</v>
      </c>
      <c r="X36" s="23">
        <f>(SUM(X24:X34)/X$2)*100000</f>
        <v>3.5594788922901688</v>
      </c>
      <c r="Y36" s="23">
        <f ca="1">IFERROR(__xludf.DUMMYFUNCTION("INDEX(IMPORTRANGE(""1y0FWgjbB0gVlqn-q5LMJbGIsqOrzru4yowQz67dz2yc"", ""'SPGG'!BG3:BG139""),MATCH($D36,IMPORTRANGE(""1y0FWgjbB0gVlqn-q5LMJbGIsqOrzru4yowQz67dz2yc"", ""'SPGG'!D3:D139""),0))"),9.96654089841247)</f>
        <v>9.9665408984124699</v>
      </c>
      <c r="Z36" s="23">
        <f ca="1">IFERROR(__xludf.DUMMYFUNCTION("INDEX(IMPORTRANGE(""1y0FWgjbB0gVlqn-q5LMJbGIsqOrzru4yowQz67dz2yc"", ""'SPGG'!BH3:BH139""),MATCH($D36,IMPORTRANGE(""1y0FWgjbB0gVlqn-q5LMJbGIsqOrzru4yowQz67dz2yc"", ""'SPGG'!D3:D139""),0))"),2.81258349857261)</f>
        <v>2.8125834985726099</v>
      </c>
      <c r="AA36" s="23">
        <f ca="1">IFERROR(__xludf.DUMMYFUNCTION("INDEX(IMPORTRANGE(""1y0FWgjbB0gVlqn-q5LMJbGIsqOrzru4yowQz67dz2yc"", ""'SPGG'!BI3:BI139""),MATCH($D36,IMPORTRANGE(""1y0FWgjbB0gVlqn-q5LMJbGIsqOrzru4yowQz67dz2yc"", ""'SPGG'!D3:D139""),0))"),9.14089637036099)</f>
        <v>9.1408963703609896</v>
      </c>
      <c r="AB36" s="2"/>
      <c r="AC36" s="2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2" t="s">
        <v>38</v>
      </c>
      <c r="F37" s="2" t="s">
        <v>122</v>
      </c>
      <c r="G37" s="11">
        <v>44469</v>
      </c>
      <c r="H37" s="11">
        <v>44469</v>
      </c>
      <c r="I37" s="49">
        <v>44651</v>
      </c>
      <c r="J37" s="49">
        <v>44834</v>
      </c>
      <c r="K37" s="49">
        <v>45016</v>
      </c>
      <c r="L37" s="49">
        <v>45199</v>
      </c>
      <c r="M37" s="49">
        <v>45382</v>
      </c>
      <c r="N37" s="49">
        <v>45565</v>
      </c>
      <c r="O37" s="49">
        <v>45565</v>
      </c>
      <c r="P37" s="12">
        <v>37730</v>
      </c>
      <c r="Q37" s="12">
        <v>37730</v>
      </c>
      <c r="R37" s="13"/>
      <c r="S37" s="13"/>
      <c r="T37" s="13"/>
      <c r="U37" s="13"/>
      <c r="V37" s="13"/>
      <c r="W37" s="4"/>
      <c r="X37" s="12">
        <v>37730</v>
      </c>
      <c r="Y37" s="12">
        <f ca="1">IFERROR(__xludf.DUMMYFUNCTION("INDEX(IMPORTRANGE(""1y0FWgjbB0gVlqn-q5LMJbGIsqOrzru4yowQz67dz2yc"", ""'SPGG'!BG3:BG139""),MATCH($D37,IMPORTRANGE(""1y0FWgjbB0gVlqn-q5LMJbGIsqOrzru4yowQz67dz2yc"", ""'SPGG'!D3:D139""),0))"),37730)</f>
        <v>37730</v>
      </c>
      <c r="Z37" s="12">
        <f ca="1">IFERROR(__xludf.DUMMYFUNCTION("INDEX(IMPORTRANGE(""1y0FWgjbB0gVlqn-q5LMJbGIsqOrzru4yowQz67dz2yc"", ""'SPGG'!BH3:BH139""),MATCH($D37,IMPORTRANGE(""1y0FWgjbB0gVlqn-q5LMJbGIsqOrzru4yowQz67dz2yc"", ""'SPGG'!D3:D139""),0))"),37730)</f>
        <v>37730</v>
      </c>
      <c r="AA37" s="12">
        <f ca="1">IFERROR(__xludf.DUMMYFUNCTION("INDEX(IMPORTRANGE(""1y0FWgjbB0gVlqn-q5LMJbGIsqOrzru4yowQz67dz2yc"", ""'SPGG'!BI3:BI139""),MATCH($D37,IMPORTRANGE(""1y0FWgjbB0gVlqn-q5LMJbGIsqOrzru4yowQz67dz2yc"", ""'SPGG'!D3:D139""),0))"),37730)</f>
        <v>37730</v>
      </c>
      <c r="AB37" s="2"/>
      <c r="AC37" s="2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2" t="s">
        <v>38</v>
      </c>
      <c r="F38" s="2" t="s">
        <v>124</v>
      </c>
      <c r="G38" s="11">
        <v>44469</v>
      </c>
      <c r="H38" s="11">
        <v>44469</v>
      </c>
      <c r="I38" s="49">
        <v>44651</v>
      </c>
      <c r="J38" s="49">
        <v>44834</v>
      </c>
      <c r="K38" s="49">
        <v>45016</v>
      </c>
      <c r="L38" s="49">
        <v>45199</v>
      </c>
      <c r="M38" s="49">
        <v>45382</v>
      </c>
      <c r="N38" s="49">
        <v>45565</v>
      </c>
      <c r="O38" s="49">
        <v>45565</v>
      </c>
      <c r="P38" s="12">
        <v>0</v>
      </c>
      <c r="Q38" s="12">
        <v>0</v>
      </c>
      <c r="R38" s="1"/>
      <c r="S38" s="1"/>
      <c r="T38" s="1"/>
      <c r="U38" s="1"/>
      <c r="V38" s="1"/>
      <c r="W38" s="492">
        <v>2171</v>
      </c>
      <c r="X38" s="12">
        <v>2171</v>
      </c>
      <c r="Y38" s="12">
        <f ca="1">IFERROR(__xludf.DUMMYFUNCTION("INDEX(IMPORTRANGE(""1y0FWgjbB0gVlqn-q5LMJbGIsqOrzru4yowQz67dz2yc"", ""'SPGG'!BG3:BG139""),MATCH($D38,IMPORTRANGE(""1y0FWgjbB0gVlqn-q5LMJbGIsqOrzru4yowQz67dz2yc"", ""'SPGG'!D3:D139""),0))"),2970)</f>
        <v>2970</v>
      </c>
      <c r="Z38" s="12">
        <f ca="1">IFERROR(__xludf.DUMMYFUNCTION("INDEX(IMPORTRANGE(""1y0FWgjbB0gVlqn-q5LMJbGIsqOrzru4yowQz67dz2yc"", ""'SPGG'!BH3:BH139""),MATCH($D38,IMPORTRANGE(""1y0FWgjbB0gVlqn-q5LMJbGIsqOrzru4yowQz67dz2yc"", ""'SPGG'!D3:D139""),0))"),5567)</f>
        <v>5567</v>
      </c>
      <c r="AA38" s="12">
        <f ca="1">IFERROR(__xludf.DUMMYFUNCTION("INDEX(IMPORTRANGE(""1y0FWgjbB0gVlqn-q5LMJbGIsqOrzru4yowQz67dz2yc"", ""'SPGG'!BI3:BI139""),MATCH($D38,IMPORTRANGE(""1y0FWgjbB0gVlqn-q5LMJbGIsqOrzru4yowQz67dz2yc"", ""'SPGG'!D3:D139""),0))"),5567)</f>
        <v>5567</v>
      </c>
      <c r="AB38" s="2"/>
      <c r="AC38" s="2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2" t="s">
        <v>38</v>
      </c>
      <c r="F39" s="2" t="s">
        <v>126</v>
      </c>
      <c r="G39" s="11">
        <v>44469</v>
      </c>
      <c r="H39" s="11">
        <v>44469</v>
      </c>
      <c r="I39" s="49">
        <v>44651</v>
      </c>
      <c r="J39" s="49">
        <v>44834</v>
      </c>
      <c r="K39" s="49">
        <v>45016</v>
      </c>
      <c r="L39" s="49">
        <v>45199</v>
      </c>
      <c r="M39" s="49">
        <v>45382</v>
      </c>
      <c r="N39" s="49">
        <v>45565</v>
      </c>
      <c r="O39" s="49">
        <v>45565</v>
      </c>
      <c r="P39" s="15">
        <f t="shared" ref="P39:Q39" si="12">P38/P37</f>
        <v>0</v>
      </c>
      <c r="Q39" s="15">
        <f t="shared" si="12"/>
        <v>0</v>
      </c>
      <c r="R39" s="15">
        <v>5.8000000000000003E-2</v>
      </c>
      <c r="S39" s="15">
        <v>5.8000000000000003E-2</v>
      </c>
      <c r="T39" s="15">
        <v>5.8000000000000003E-2</v>
      </c>
      <c r="U39" s="15">
        <v>5.8000000000000003E-2</v>
      </c>
      <c r="V39" s="15">
        <v>5.8000000000000003E-2</v>
      </c>
      <c r="W39" s="15">
        <v>5.8000000000000003E-2</v>
      </c>
      <c r="X39" s="15">
        <f>X38/X37</f>
        <v>5.7540418764908563E-2</v>
      </c>
      <c r="Y39" s="15">
        <f ca="1">IFERROR(__xludf.DUMMYFUNCTION("INDEX(IMPORTRANGE(""1y0FWgjbB0gVlqn-q5LMJbGIsqOrzru4yowQz67dz2yc"", ""'SPGG'!BG3:BG139""),MATCH($D39,IMPORTRANGE(""1y0FWgjbB0gVlqn-q5LMJbGIsqOrzru4yowQz67dz2yc"", ""'SPGG'!D3:D139""),0))"),0.0787172011661807)</f>
        <v>7.8717201166180695E-2</v>
      </c>
      <c r="Z39" s="15">
        <f ca="1">IFERROR(__xludf.DUMMYFUNCTION("INDEX(IMPORTRANGE(""1y0FWgjbB0gVlqn-q5LMJbGIsqOrzru4yowQz67dz2yc"", ""'SPGG'!BH3:BH139""),MATCH($D39,IMPORTRANGE(""1y0FWgjbB0gVlqn-q5LMJbGIsqOrzru4yowQz67dz2yc"", ""'SPGG'!D3:D139""),0))"),0.147548369997349)</f>
        <v>0.14754836999734899</v>
      </c>
      <c r="AA39" s="15">
        <f ca="1">IFERROR(__xludf.DUMMYFUNCTION("INDEX(IMPORTRANGE(""1y0FWgjbB0gVlqn-q5LMJbGIsqOrzru4yowQz67dz2yc"", ""'SPGG'!BI3:BI139""),MATCH($D39,IMPORTRANGE(""1y0FWgjbB0gVlqn-q5LMJbGIsqOrzru4yowQz67dz2yc"", ""'SPGG'!D3:D139""),0))"),0.147548369997349)</f>
        <v>0.14754836999734899</v>
      </c>
      <c r="AB39" s="2"/>
      <c r="AC39" s="2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1"/>
      <c r="S40" s="1"/>
      <c r="T40" s="1"/>
      <c r="U40" s="1"/>
      <c r="V40" s="1"/>
      <c r="W40" s="459"/>
      <c r="X40" s="12"/>
      <c r="Y40" s="299" t="str">
        <f ca="1">IFERROR(__xludf.DUMMYFUNCTION("INDEX(IMPORTRANGE(""1y0FWgjbB0gVlqn-q5LMJbGIsqOrzru4yowQz67dz2yc"", ""'SPGG'!BG3:BG139""),MATCH($D40,IMPORTRANGE(""1y0FWgjbB0gVlqn-q5LMJbGIsqOrzru4yowQz67dz2yc"", ""'SPGG'!D3:D139""),0))"),"")</f>
        <v/>
      </c>
      <c r="Z40" s="12">
        <f ca="1">IFERROR(__xludf.DUMMYFUNCTION("INDEX(IMPORTRANGE(""1y0FWgjbB0gVlqn-q5LMJbGIsqOrzru4yowQz67dz2yc"", ""'SPGG'!BH3:BH139""),MATCH($D40,IMPORTRANGE(""1y0FWgjbB0gVlqn-q5LMJbGIsqOrzru4yowQz67dz2yc"", ""'SPGG'!D3:D139""),0))"),194.4)</f>
        <v>194.4</v>
      </c>
      <c r="AA40" s="12">
        <f ca="1">IFERROR(__xludf.DUMMYFUNCTION("INDEX(IMPORTRANGE(""1y0FWgjbB0gVlqn-q5LMJbGIsqOrzru4yowQz67dz2yc"", ""'SPGG'!BI3:BI139""),MATCH($D40,IMPORTRANGE(""1y0FWgjbB0gVlqn-q5LMJbGIsqOrzru4yowQz67dz2yc"", ""'SPGG'!D3:D139""),0))"),477.6)</f>
        <v>477.6</v>
      </c>
      <c r="AB40" s="2"/>
      <c r="AC40" s="2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1"/>
      <c r="S41" s="1"/>
      <c r="T41" s="1"/>
      <c r="U41" s="1"/>
      <c r="V41" s="1"/>
      <c r="W41" s="459"/>
      <c r="X41" s="12"/>
      <c r="Y41" s="299" t="str">
        <f ca="1">IFERROR(__xludf.DUMMYFUNCTION("INDEX(IMPORTRANGE(""1y0FWgjbB0gVlqn-q5LMJbGIsqOrzru4yowQz67dz2yc"", ""'SPGG'!BG3:BG139""),MATCH($D41,IMPORTRANGE(""1y0FWgjbB0gVlqn-q5LMJbGIsqOrzru4yowQz67dz2yc"", ""'SPGG'!D3:D139""),0))"),"")</f>
        <v/>
      </c>
      <c r="Z41" s="12">
        <f ca="1">IFERROR(__xludf.DUMMYFUNCTION("INDEX(IMPORTRANGE(""1y0FWgjbB0gVlqn-q5LMJbGIsqOrzru4yowQz67dz2yc"", ""'SPGG'!BH3:BH139""),MATCH($D41,IMPORTRANGE(""1y0FWgjbB0gVlqn-q5LMJbGIsqOrzru4yowQz67dz2yc"", ""'SPGG'!D3:D139""),0))"),19551.08)</f>
        <v>19551.080000000002</v>
      </c>
      <c r="AA41" s="12">
        <f ca="1">IFERROR(__xludf.DUMMYFUNCTION("INDEX(IMPORTRANGE(""1y0FWgjbB0gVlqn-q5LMJbGIsqOrzru4yowQz67dz2yc"", ""'SPGG'!BI3:BI139""),MATCH($D41,IMPORTRANGE(""1y0FWgjbB0gVlqn-q5LMJbGIsqOrzru4yowQz67dz2yc"", ""'SPGG'!D3:D139""),0))"),39545)</f>
        <v>39545</v>
      </c>
      <c r="AB41" s="2"/>
      <c r="AC41" s="2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9.9000000000000008E-3</v>
      </c>
      <c r="T42" s="26">
        <v>1.04E-2</v>
      </c>
      <c r="U42" s="26">
        <v>9.9000000000000008E-3</v>
      </c>
      <c r="V42" s="26">
        <v>1.04E-2</v>
      </c>
      <c r="W42" s="26">
        <f>V42</f>
        <v>1.04E-2</v>
      </c>
      <c r="X42" s="12"/>
      <c r="Y42" s="299" t="str">
        <f ca="1">IFERROR(__xludf.DUMMYFUNCTION("INDEX(IMPORTRANGE(""1y0FWgjbB0gVlqn-q5LMJbGIsqOrzru4yowQz67dz2yc"", ""'SPGG'!BG3:BG139""),MATCH($D42,IMPORTRANGE(""1y0FWgjbB0gVlqn-q5LMJbGIsqOrzru4yowQz67dz2yc"", ""'SPGG'!D3:D139""),0))"),"")</f>
        <v/>
      </c>
      <c r="Z42" s="15">
        <f ca="1">IFERROR(__xludf.DUMMYFUNCTION("INDEX(IMPORTRANGE(""1y0FWgjbB0gVlqn-q5LMJbGIsqOrzru4yowQz67dz2yc"", ""'SPGG'!BH3:BH139""),MATCH($D42,IMPORTRANGE(""1y0FWgjbB0gVlqn-q5LMJbGIsqOrzru4yowQz67dz2yc"", ""'SPGG'!D3:D139""),0))"),0.00994318472432213)</f>
        <v>9.9431847243221308E-3</v>
      </c>
      <c r="AA42" s="15">
        <f ca="1">IFERROR(__xludf.DUMMYFUNCTION("INDEX(IMPORTRANGE(""1y0FWgjbB0gVlqn-q5LMJbGIsqOrzru4yowQz67dz2yc"", ""'SPGG'!BI3:BI139""),MATCH($D42,IMPORTRANGE(""1y0FWgjbB0gVlqn-q5LMJbGIsqOrzru4yowQz67dz2yc"", ""'SPGG'!D3:D139""),0))"),0.0120773801997724)</f>
        <v>1.20773801997724E-2</v>
      </c>
      <c r="AB42" s="2"/>
      <c r="AC42" s="2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1</v>
      </c>
      <c r="S43" s="2">
        <v>1</v>
      </c>
      <c r="T43" s="2">
        <v>1</v>
      </c>
      <c r="U43" s="2">
        <v>1</v>
      </c>
      <c r="V43" s="2">
        <v>1</v>
      </c>
      <c r="W43" s="2">
        <v>1</v>
      </c>
      <c r="X43" s="12">
        <v>0</v>
      </c>
      <c r="Y43" s="12">
        <f ca="1">IFERROR(__xludf.DUMMYFUNCTION("INDEX(IMPORTRANGE(""1y0FWgjbB0gVlqn-q5LMJbGIsqOrzru4yowQz67dz2yc"", ""'SPGG'!BG3:BG139""),MATCH($D43,IMPORTRANGE(""1y0FWgjbB0gVlqn-q5LMJbGIsqOrzru4yowQz67dz2yc"", ""'SPGG'!D3:D139""),0))"),0)</f>
        <v>0</v>
      </c>
      <c r="Z43" s="12">
        <f ca="1">IFERROR(__xludf.DUMMYFUNCTION("INDEX(IMPORTRANGE(""1y0FWgjbB0gVlqn-q5LMJbGIsqOrzru4yowQz67dz2yc"", ""'SPGG'!BH3:BH139""),MATCH($D43,IMPORTRANGE(""1y0FWgjbB0gVlqn-q5LMJbGIsqOrzru4yowQz67dz2yc"", ""'SPGG'!D3:D139""),0))"),1)</f>
        <v>1</v>
      </c>
      <c r="AA43" s="12">
        <f ca="1">IFERROR(__xludf.DUMMYFUNCTION("INDEX(IMPORTRANGE(""1y0FWgjbB0gVlqn-q5LMJbGIsqOrzru4yowQz67dz2yc"", ""'SPGG'!BI3:BI139""),MATCH($D43,IMPORTRANGE(""1y0FWgjbB0gVlqn-q5LMJbGIsqOrzru4yowQz67dz2yc"", ""'SPGG'!D3:D139""),0))"),1)</f>
        <v>1</v>
      </c>
      <c r="AB43" s="2"/>
      <c r="AC43" s="2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1983</v>
      </c>
      <c r="Q44" s="12">
        <v>4249</v>
      </c>
      <c r="R44" s="12">
        <v>2000</v>
      </c>
      <c r="S44" s="12">
        <f>640+R44</f>
        <v>2640</v>
      </c>
      <c r="T44" s="12">
        <f>710-640+S44</f>
        <v>2710</v>
      </c>
      <c r="U44" s="12">
        <f>70+T44</f>
        <v>2780</v>
      </c>
      <c r="V44" s="12">
        <f>3000-U44+U44</f>
        <v>3000</v>
      </c>
      <c r="W44" s="12">
        <f>V44</f>
        <v>3000</v>
      </c>
      <c r="X44" s="12">
        <v>900</v>
      </c>
      <c r="Y44" s="12">
        <f ca="1">IFERROR(__xludf.DUMMYFUNCTION("INDEX(IMPORTRANGE(""1y0FWgjbB0gVlqn-q5LMJbGIsqOrzru4yowQz67dz2yc"", ""'SPGG'!BG3:BG139""),MATCH($D44,IMPORTRANGE(""1y0FWgjbB0gVlqn-q5LMJbGIsqOrzru4yowQz67dz2yc"", ""'SPGG'!D3:D139""),0))"),2171)</f>
        <v>2171</v>
      </c>
      <c r="Z44" s="12">
        <f ca="1">IFERROR(__xludf.DUMMYFUNCTION("INDEX(IMPORTRANGE(""1y0FWgjbB0gVlqn-q5LMJbGIsqOrzru4yowQz67dz2yc"", ""'SPGG'!BH3:BH139""),MATCH($D44,IMPORTRANGE(""1y0FWgjbB0gVlqn-q5LMJbGIsqOrzru4yowQz67dz2yc"", ""'SPGG'!D3:D139""),0))"),2983)</f>
        <v>2983</v>
      </c>
      <c r="AA44" s="12">
        <f ca="1">IFERROR(__xludf.DUMMYFUNCTION("INDEX(IMPORTRANGE(""1y0FWgjbB0gVlqn-q5LMJbGIsqOrzru4yowQz67dz2yc"", ""'SPGG'!BI3:BI139""),MATCH($D44,IMPORTRANGE(""1y0FWgjbB0gVlqn-q5LMJbGIsqOrzru4yowQz67dz2yc"", ""'SPGG'!D3:D139""),0))"),3380)</f>
        <v>3380</v>
      </c>
      <c r="AB44" s="2"/>
      <c r="AC44" s="2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0</v>
      </c>
      <c r="R45" s="1"/>
      <c r="S45" s="1"/>
      <c r="T45" s="1"/>
      <c r="U45" s="1"/>
      <c r="V45" s="1"/>
      <c r="W45" s="459">
        <v>4</v>
      </c>
      <c r="X45" s="12">
        <v>4</v>
      </c>
      <c r="Y45" s="12">
        <f ca="1">IFERROR(__xludf.DUMMYFUNCTION("INDEX(IMPORTRANGE(""1y0FWgjbB0gVlqn-q5LMJbGIsqOrzru4yowQz67dz2yc"", ""'SPGG'!BG3:BG139""),MATCH($D45,IMPORTRANGE(""1y0FWgjbB0gVlqn-q5LMJbGIsqOrzru4yowQz67dz2yc"", ""'SPGG'!D3:D139""),0))"),4)</f>
        <v>4</v>
      </c>
      <c r="Z45" s="12">
        <f ca="1">IFERROR(__xludf.DUMMYFUNCTION("INDEX(IMPORTRANGE(""1y0FWgjbB0gVlqn-q5LMJbGIsqOrzru4yowQz67dz2yc"", ""'SPGG'!BH3:BH139""),MATCH($D45,IMPORTRANGE(""1y0FWgjbB0gVlqn-q5LMJbGIsqOrzru4yowQz67dz2yc"", ""'SPGG'!D3:D139""),0))"),4)</f>
        <v>4</v>
      </c>
      <c r="AA45" s="12">
        <f ca="1">IFERROR(__xludf.DUMMYFUNCTION("INDEX(IMPORTRANGE(""1y0FWgjbB0gVlqn-q5LMJbGIsqOrzru4yowQz67dz2yc"", ""'SPGG'!BI3:BI139""),MATCH($D45,IMPORTRANGE(""1y0FWgjbB0gVlqn-q5LMJbGIsqOrzru4yowQz67dz2yc"", ""'SPGG'!D3:D139""),0))"),4)</f>
        <v>4</v>
      </c>
      <c r="AB45" s="2"/>
      <c r="AC45" s="2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"/>
      <c r="S46" s="1"/>
      <c r="T46" s="1"/>
      <c r="U46" s="1"/>
      <c r="V46" s="1"/>
      <c r="W46" s="459"/>
      <c r="X46" s="12"/>
      <c r="Y46" s="12">
        <f ca="1">IFERROR(__xludf.DUMMYFUNCTION("INDEX(IMPORTRANGE(""1y0FWgjbB0gVlqn-q5LMJbGIsqOrzru4yowQz67dz2yc"", ""'SPGG'!BG3:BG139""),MATCH($D46,IMPORTRANGE(""1y0FWgjbB0gVlqn-q5LMJbGIsqOrzru4yowQz67dz2yc"", ""'SPGG'!D3:D139""),0))"),1)</f>
        <v>1</v>
      </c>
      <c r="Z46" s="12">
        <f ca="1">IFERROR(__xludf.DUMMYFUNCTION("INDEX(IMPORTRANGE(""1y0FWgjbB0gVlqn-q5LMJbGIsqOrzru4yowQz67dz2yc"", ""'SPGG'!BH3:BH139""),MATCH($D46,IMPORTRANGE(""1y0FWgjbB0gVlqn-q5LMJbGIsqOrzru4yowQz67dz2yc"", ""'SPGG'!D3:D139""),0))"),1)</f>
        <v>1</v>
      </c>
      <c r="AA46" s="12">
        <f ca="1">IFERROR(__xludf.DUMMYFUNCTION("INDEX(IMPORTRANGE(""1y0FWgjbB0gVlqn-q5LMJbGIsqOrzru4yowQz67dz2yc"", ""'SPGG'!BI3:BI139""),MATCH($D46,IMPORTRANGE(""1y0FWgjbB0gVlqn-q5LMJbGIsqOrzru4yowQz67dz2yc"", ""'SPGG'!D3:D139""),0))"),1)</f>
        <v>1</v>
      </c>
      <c r="AB46" s="2"/>
      <c r="AC46" s="2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0</v>
      </c>
      <c r="Q47" s="12">
        <v>3</v>
      </c>
      <c r="R47" s="1"/>
      <c r="S47" s="1"/>
      <c r="T47" s="1"/>
      <c r="U47" s="1"/>
      <c r="V47" s="1"/>
      <c r="W47" s="459">
        <v>42</v>
      </c>
      <c r="X47" s="12">
        <v>35</v>
      </c>
      <c r="Y47" s="12">
        <f ca="1">IFERROR(__xludf.DUMMYFUNCTION("INDEX(IMPORTRANGE(""1y0FWgjbB0gVlqn-q5LMJbGIsqOrzru4yowQz67dz2yc"", ""'SPGG'!BG3:BG139""),MATCH($D47,IMPORTRANGE(""1y0FWgjbB0gVlqn-q5LMJbGIsqOrzru4yowQz67dz2yc"", ""'SPGG'!D3:D139""),0))"),38)</f>
        <v>38</v>
      </c>
      <c r="Z47" s="12">
        <f ca="1">IFERROR(__xludf.DUMMYFUNCTION("INDEX(IMPORTRANGE(""1y0FWgjbB0gVlqn-q5LMJbGIsqOrzru4yowQz67dz2yc"", ""'SPGG'!BH3:BH139""),MATCH($D47,IMPORTRANGE(""1y0FWgjbB0gVlqn-q5LMJbGIsqOrzru4yowQz67dz2yc"", ""'SPGG'!D3:D139""),0))"),43)</f>
        <v>43</v>
      </c>
      <c r="AA47" s="12">
        <f ca="1">IFERROR(__xludf.DUMMYFUNCTION("INDEX(IMPORTRANGE(""1y0FWgjbB0gVlqn-q5LMJbGIsqOrzru4yowQz67dz2yc"", ""'SPGG'!BI3:BI139""),MATCH($D47,IMPORTRANGE(""1y0FWgjbB0gVlqn-q5LMJbGIsqOrzru4yowQz67dz2yc"", ""'SPGG'!D3:D139""),0))"),72)</f>
        <v>72</v>
      </c>
      <c r="AB47" s="2"/>
      <c r="AC47" s="2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"/>
      <c r="S48" s="1"/>
      <c r="T48" s="1"/>
      <c r="U48" s="1"/>
      <c r="V48" s="1"/>
      <c r="W48" s="459"/>
      <c r="X48" s="12"/>
      <c r="Y48" s="12">
        <f ca="1">IFERROR(__xludf.DUMMYFUNCTION("INDEX(IMPORTRANGE(""1y0FWgjbB0gVlqn-q5LMJbGIsqOrzru4yowQz67dz2yc"", ""'SPGG'!BG3:BG139""),MATCH($D48,IMPORTRANGE(""1y0FWgjbB0gVlqn-q5LMJbGIsqOrzru4yowQz67dz2yc"", ""'SPGG'!D3:D139""),0))"),0)</f>
        <v>0</v>
      </c>
      <c r="Z48" s="12">
        <f ca="1">IFERROR(__xludf.DUMMYFUNCTION("INDEX(IMPORTRANGE(""1y0FWgjbB0gVlqn-q5LMJbGIsqOrzru4yowQz67dz2yc"", ""'SPGG'!BH3:BH139""),MATCH($D48,IMPORTRANGE(""1y0FWgjbB0gVlqn-q5LMJbGIsqOrzru4yowQz67dz2yc"", ""'SPGG'!D3:D139""),0))"),0)</f>
        <v>0</v>
      </c>
      <c r="AA48" s="12">
        <f ca="1">IFERROR(__xludf.DUMMYFUNCTION("INDEX(IMPORTRANGE(""1y0FWgjbB0gVlqn-q5LMJbGIsqOrzru4yowQz67dz2yc"", ""'SPGG'!BI3:BI139""),MATCH($D48,IMPORTRANGE(""1y0FWgjbB0gVlqn-q5LMJbGIsqOrzru4yowQz67dz2yc"", ""'SPGG'!D3:D139""),0))"),0)</f>
        <v>0</v>
      </c>
      <c r="AB48" s="2"/>
      <c r="AC48" s="2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3">P45+P47</f>
        <v>0</v>
      </c>
      <c r="Q49" s="12">
        <f t="shared" si="13"/>
        <v>3</v>
      </c>
      <c r="R49" s="4">
        <v>40</v>
      </c>
      <c r="S49" s="4">
        <f>R49+1</f>
        <v>41</v>
      </c>
      <c r="T49" s="4">
        <f>S49+2</f>
        <v>43</v>
      </c>
      <c r="U49" s="4">
        <f>T49+1</f>
        <v>44</v>
      </c>
      <c r="V49" s="4">
        <f>U49+2</f>
        <v>46</v>
      </c>
      <c r="W49" s="4">
        <v>46</v>
      </c>
      <c r="X49" s="12">
        <f>X45+X47</f>
        <v>39</v>
      </c>
      <c r="Y49" s="12">
        <f ca="1">IFERROR(__xludf.DUMMYFUNCTION("INDEX(IMPORTRANGE(""1y0FWgjbB0gVlqn-q5LMJbGIsqOrzru4yowQz67dz2yc"", ""'SPGG'!BG3:BG139""),MATCH($D49,IMPORTRANGE(""1y0FWgjbB0gVlqn-q5LMJbGIsqOrzru4yowQz67dz2yc"", ""'SPGG'!D3:D139""),0))"),43)</f>
        <v>43</v>
      </c>
      <c r="Z49" s="12">
        <f ca="1">IFERROR(__xludf.DUMMYFUNCTION("INDEX(IMPORTRANGE(""1y0FWgjbB0gVlqn-q5LMJbGIsqOrzru4yowQz67dz2yc"", ""'SPGG'!BH3:BH139""),MATCH($D49,IMPORTRANGE(""1y0FWgjbB0gVlqn-q5LMJbGIsqOrzru4yowQz67dz2yc"", ""'SPGG'!D3:D139""),0))"),48)</f>
        <v>48</v>
      </c>
      <c r="AA49" s="12">
        <f ca="1">IFERROR(__xludf.DUMMYFUNCTION("INDEX(IMPORTRANGE(""1y0FWgjbB0gVlqn-q5LMJbGIsqOrzru4yowQz67dz2yc"", ""'SPGG'!BI3:BI139""),MATCH($D49,IMPORTRANGE(""1y0FWgjbB0gVlqn-q5LMJbGIsqOrzru4yowQz67dz2yc"", ""'SPGG'!D3:D139""),0))"),77)</f>
        <v>77</v>
      </c>
      <c r="AB49" s="2"/>
      <c r="AC49" s="2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30" t="s">
        <v>150</v>
      </c>
      <c r="Y50" s="12" t="str">
        <f ca="1">IFERROR(__xludf.DUMMYFUNCTION("INDEX(IMPORTRANGE(""1y0FWgjbB0gVlqn-q5LMJbGIsqOrzru4yowQz67dz2yc"", ""'SPGG'!BG3:BG139""),MATCH($D50,IMPORTRANGE(""1y0FWgjbB0gVlqn-q5LMJbGIsqOrzru4yowQz67dz2yc"", ""'SPGG'!D3:D139""),0))"),"Sí")</f>
        <v>Sí</v>
      </c>
      <c r="Z50" s="12" t="str">
        <f ca="1">IFERROR(__xludf.DUMMYFUNCTION("INDEX(IMPORTRANGE(""1y0FWgjbB0gVlqn-q5LMJbGIsqOrzru4yowQz67dz2yc"", ""'SPGG'!BH3:BH139""),MATCH($D50,IMPORTRANGE(""1y0FWgjbB0gVlqn-q5LMJbGIsqOrzru4yowQz67dz2yc"", ""'SPGG'!D3:D139""),0))"),"Sí")</f>
        <v>Sí</v>
      </c>
      <c r="AA50" s="12" t="str">
        <f ca="1">IFERROR(__xludf.DUMMYFUNCTION("INDEX(IMPORTRANGE(""1y0FWgjbB0gVlqn-q5LMJbGIsqOrzru4yowQz67dz2yc"", ""'SPGG'!BI3:BI139""),MATCH($D50,IMPORTRANGE(""1y0FWgjbB0gVlqn-q5LMJbGIsqOrzru4yowQz67dz2yc"", ""'SPGG'!D3:D139""),0))"),"Sí")</f>
        <v>Sí</v>
      </c>
      <c r="AB50" s="2"/>
      <c r="AC50" s="2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153</v>
      </c>
      <c r="Q51" s="30" t="s">
        <v>153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30" t="s">
        <v>153</v>
      </c>
      <c r="Y51" s="12" t="str">
        <f ca="1">IFERROR(__xludf.DUMMYFUNCTION("INDEX(IMPORTRANGE(""1y0FWgjbB0gVlqn-q5LMJbGIsqOrzru4yowQz67dz2yc"", ""'SPGG'!BG3:BG139""),MATCH($D51,IMPORTRANGE(""1y0FWgjbB0gVlqn-q5LMJbGIsqOrzru4yowQz67dz2yc"", ""'SPGG'!D3:D139""),0))"),"Sí")</f>
        <v>Sí</v>
      </c>
      <c r="Z51" s="12" t="str">
        <f ca="1">IFERROR(__xludf.DUMMYFUNCTION("INDEX(IMPORTRANGE(""1y0FWgjbB0gVlqn-q5LMJbGIsqOrzru4yowQz67dz2yc"", ""'SPGG'!BH3:BH139""),MATCH($D51,IMPORTRANGE(""1y0FWgjbB0gVlqn-q5LMJbGIsqOrzru4yowQz67dz2yc"", ""'SPGG'!D3:D139""),0))"),"Sí")</f>
        <v>Sí</v>
      </c>
      <c r="AA51" s="12" t="str">
        <f ca="1">IFERROR(__xludf.DUMMYFUNCTION("INDEX(IMPORTRANGE(""1y0FWgjbB0gVlqn-q5LMJbGIsqOrzru4yowQz67dz2yc"", ""'SPGG'!BI3:BI139""),MATCH($D51,IMPORTRANGE(""1y0FWgjbB0gVlqn-q5LMJbGIsqOrzru4yowQz67dz2yc"", ""'SPGG'!D3:D139""),0))"),"Sí")</f>
        <v>Sí</v>
      </c>
      <c r="AB51" s="2"/>
      <c r="AC51" s="2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30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30" t="s">
        <v>153</v>
      </c>
      <c r="Y52" s="12" t="str">
        <f ca="1">IFERROR(__xludf.DUMMYFUNCTION("INDEX(IMPORTRANGE(""1y0FWgjbB0gVlqn-q5LMJbGIsqOrzru4yowQz67dz2yc"", ""'SPGG'!BG3:BG139""),MATCH($D52,IMPORTRANGE(""1y0FWgjbB0gVlqn-q5LMJbGIsqOrzru4yowQz67dz2yc"", ""'SPGG'!D3:D139""),0))"),"Sí")</f>
        <v>Sí</v>
      </c>
      <c r="Z52" s="12" t="str">
        <f ca="1">IFERROR(__xludf.DUMMYFUNCTION("INDEX(IMPORTRANGE(""1y0FWgjbB0gVlqn-q5LMJbGIsqOrzru4yowQz67dz2yc"", ""'SPGG'!BH3:BH139""),MATCH($D52,IMPORTRANGE(""1y0FWgjbB0gVlqn-q5LMJbGIsqOrzru4yowQz67dz2yc"", ""'SPGG'!D3:D139""),0))"),"Sí")</f>
        <v>Sí</v>
      </c>
      <c r="AA52" s="12" t="str">
        <f ca="1">IFERROR(__xludf.DUMMYFUNCTION("INDEX(IMPORTRANGE(""1y0FWgjbB0gVlqn-q5LMJbGIsqOrzru4yowQz67dz2yc"", ""'SPGG'!BI3:BI139""),MATCH($D52,IMPORTRANGE(""1y0FWgjbB0gVlqn-q5LMJbGIsqOrzru4yowQz67dz2yc"", ""'SPGG'!D3:D139""),0))"),"Sí")</f>
        <v>Sí</v>
      </c>
      <c r="AB52" s="2"/>
      <c r="AC52" s="2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23">
        <f t="shared" ref="P53:Q53" si="14">COUNTIF(P50:P52,"Sí")*(1/3)</f>
        <v>0.66666666666666663</v>
      </c>
      <c r="Q53" s="23">
        <f t="shared" si="14"/>
        <v>0.66666666666666663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23">
        <f>COUNTIF(X50:X52,"Sí")*(1/3)</f>
        <v>0.66666666666666663</v>
      </c>
      <c r="Y53" s="12">
        <f ca="1">IFERROR(__xludf.DUMMYFUNCTION("INDEX(IMPORTRANGE(""1y0FWgjbB0gVlqn-q5LMJbGIsqOrzru4yowQz67dz2yc"", ""'SPGG'!BG3:BG139""),MATCH($D53,IMPORTRANGE(""1y0FWgjbB0gVlqn-q5LMJbGIsqOrzru4yowQz67dz2yc"", ""'SPGG'!D3:D139""),0))"),1)</f>
        <v>1</v>
      </c>
      <c r="Z53" s="12">
        <f ca="1">IFERROR(__xludf.DUMMYFUNCTION("INDEX(IMPORTRANGE(""1y0FWgjbB0gVlqn-q5LMJbGIsqOrzru4yowQz67dz2yc"", ""'SPGG'!BH3:BH139""),MATCH($D53,IMPORTRANGE(""1y0FWgjbB0gVlqn-q5LMJbGIsqOrzru4yowQz67dz2yc"", ""'SPGG'!D3:D139""),0))"),1)</f>
        <v>1</v>
      </c>
      <c r="AA53" s="12">
        <f ca="1">IFERROR(__xludf.DUMMYFUNCTION("INDEX(IMPORTRANGE(""1y0FWgjbB0gVlqn-q5LMJbGIsqOrzru4yowQz67dz2yc"", ""'SPGG'!BI3:BI139""),MATCH($D53,IMPORTRANGE(""1y0FWgjbB0gVlqn-q5LMJbGIsqOrzru4yowQz67dz2yc"", ""'SPGG'!D3:D139""),0))"),1)</f>
        <v>1</v>
      </c>
      <c r="AB53" s="2"/>
      <c r="AC53" s="2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1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1</v>
      </c>
      <c r="Y54" s="12">
        <f ca="1">IFERROR(__xludf.DUMMYFUNCTION("INDEX(IMPORTRANGE(""1y0FWgjbB0gVlqn-q5LMJbGIsqOrzru4yowQz67dz2yc"", ""'SPGG'!BG3:BG139""),MATCH($D54,IMPORTRANGE(""1y0FWgjbB0gVlqn-q5LMJbGIsqOrzru4yowQz67dz2yc"", ""'SPGG'!D3:D139""),0))"),1)</f>
        <v>1</v>
      </c>
      <c r="Z54" s="12">
        <f ca="1">IFERROR(__xludf.DUMMYFUNCTION("INDEX(IMPORTRANGE(""1y0FWgjbB0gVlqn-q5LMJbGIsqOrzru4yowQz67dz2yc"", ""'SPGG'!BH3:BH139""),MATCH($D54,IMPORTRANGE(""1y0FWgjbB0gVlqn-q5LMJbGIsqOrzru4yowQz67dz2yc"", ""'SPGG'!D3:D139""),0))"),1)</f>
        <v>1</v>
      </c>
      <c r="AA54" s="12">
        <f ca="1">IFERROR(__xludf.DUMMYFUNCTION("INDEX(IMPORTRANGE(""1y0FWgjbB0gVlqn-q5LMJbGIsqOrzru4yowQz67dz2yc"", ""'SPGG'!BI3:BI139""),MATCH($D54,IMPORTRANGE(""1y0FWgjbB0gVlqn-q5LMJbGIsqOrzru4yowQz67dz2yc"", ""'SPGG'!D3:D139""),0))"),1)</f>
        <v>1</v>
      </c>
      <c r="AB54" s="2"/>
      <c r="AC54" s="2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13"/>
      <c r="S55" s="13"/>
      <c r="T55" s="13"/>
      <c r="U55" s="13"/>
      <c r="V55" s="13"/>
      <c r="W55" s="4"/>
      <c r="X55" s="12">
        <v>0</v>
      </c>
      <c r="Y55" s="12">
        <f ca="1">IFERROR(__xludf.DUMMYFUNCTION("INDEX(IMPORTRANGE(""1y0FWgjbB0gVlqn-q5LMJbGIsqOrzru4yowQz67dz2yc"", ""'SPGG'!BG3:BG139""),MATCH($D55,IMPORTRANGE(""1y0FWgjbB0gVlqn-q5LMJbGIsqOrzru4yowQz67dz2yc"", ""'SPGG'!D3:D139""),0))"),0)</f>
        <v>0</v>
      </c>
      <c r="Z55" s="12">
        <f ca="1">IFERROR(__xludf.DUMMYFUNCTION("INDEX(IMPORTRANGE(""1y0FWgjbB0gVlqn-q5LMJbGIsqOrzru4yowQz67dz2yc"", ""'SPGG'!BH3:BH139""),MATCH($D55,IMPORTRANGE(""1y0FWgjbB0gVlqn-q5LMJbGIsqOrzru4yowQz67dz2yc"", ""'SPGG'!D3:D139""),0))"),0)</f>
        <v>0</v>
      </c>
      <c r="AA55" s="12">
        <f ca="1">IFERROR(__xludf.DUMMYFUNCTION("INDEX(IMPORTRANGE(""1y0FWgjbB0gVlqn-q5LMJbGIsqOrzru4yowQz67dz2yc"", ""'SPGG'!BI3:BI139""),MATCH($D55,IMPORTRANGE(""1y0FWgjbB0gVlqn-q5LMJbGIsqOrzru4yowQz67dz2yc"", ""'SPGG'!D3:D139""),0))"),0)</f>
        <v>0</v>
      </c>
      <c r="AB55" s="2"/>
      <c r="AC55" s="2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4"/>
      <c r="X56" s="12">
        <v>0</v>
      </c>
      <c r="Y56" s="12">
        <f ca="1">IFERROR(__xludf.DUMMYFUNCTION("INDEX(IMPORTRANGE(""1y0FWgjbB0gVlqn-q5LMJbGIsqOrzru4yowQz67dz2yc"", ""'SPGG'!BG3:BG139""),MATCH($D56,IMPORTRANGE(""1y0FWgjbB0gVlqn-q5LMJbGIsqOrzru4yowQz67dz2yc"", ""'SPGG'!D3:D139""),0))"),0)</f>
        <v>0</v>
      </c>
      <c r="Z56" s="12">
        <f ca="1">IFERROR(__xludf.DUMMYFUNCTION("INDEX(IMPORTRANGE(""1y0FWgjbB0gVlqn-q5LMJbGIsqOrzru4yowQz67dz2yc"", ""'SPGG'!BH3:BH139""),MATCH($D56,IMPORTRANGE(""1y0FWgjbB0gVlqn-q5LMJbGIsqOrzru4yowQz67dz2yc"", ""'SPGG'!D3:D139""),0))"),0)</f>
        <v>0</v>
      </c>
      <c r="AA56" s="12">
        <f ca="1">IFERROR(__xludf.DUMMYFUNCTION("INDEX(IMPORTRANGE(""1y0FWgjbB0gVlqn-q5LMJbGIsqOrzru4yowQz67dz2yc"", ""'SPGG'!BI3:BI139""),MATCH($D56,IMPORTRANGE(""1y0FWgjbB0gVlqn-q5LMJbGIsqOrzru4yowQz67dz2yc"", ""'SPGG'!D3:D139""),0))"),0)</f>
        <v>0</v>
      </c>
      <c r="AB56" s="2"/>
      <c r="AC56" s="2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30" t="str">
        <f t="shared" ref="P57:Q57" si="15">IFERROR(P56/P55,"NA")</f>
        <v>NA</v>
      </c>
      <c r="Q57" s="30" t="str">
        <f t="shared" si="15"/>
        <v>NA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30" t="str">
        <f>IFERROR(X56/X55,"NA")</f>
        <v>NA</v>
      </c>
      <c r="Y57" s="12" t="str">
        <f ca="1">IFERROR(__xludf.DUMMYFUNCTION("INDEX(IMPORTRANGE(""1y0FWgjbB0gVlqn-q5LMJbGIsqOrzru4yowQz67dz2yc"", ""'SPGG'!BG3:BG139""),MATCH($D57,IMPORTRANGE(""1y0FWgjbB0gVlqn-q5LMJbGIsqOrzru4yowQz67dz2yc"", ""'SPGG'!D3:D139""),0))"),"NA")</f>
        <v>NA</v>
      </c>
      <c r="Z57" s="12" t="str">
        <f ca="1">IFERROR(__xludf.DUMMYFUNCTION("INDEX(IMPORTRANGE(""1y0FWgjbB0gVlqn-q5LMJbGIsqOrzru4yowQz67dz2yc"", ""'SPGG'!BH3:BH139""),MATCH($D57,IMPORTRANGE(""1y0FWgjbB0gVlqn-q5LMJbGIsqOrzru4yowQz67dz2yc"", ""'SPGG'!D3:D139""),0))"),"NA")</f>
        <v>NA</v>
      </c>
      <c r="AA57" s="12" t="str">
        <f ca="1">IFERROR(__xludf.DUMMYFUNCTION("INDEX(IMPORTRANGE(""1y0FWgjbB0gVlqn-q5LMJbGIsqOrzru4yowQz67dz2yc"", ""'SPGG'!BI3:BI139""),MATCH($D57,IMPORTRANGE(""1y0FWgjbB0gVlqn-q5LMJbGIsqOrzru4yowQz67dz2yc"", ""'SPGG'!D3:D139""),0))"),"NA")</f>
        <v>NA</v>
      </c>
      <c r="AB57" s="2"/>
      <c r="AC57" s="2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18932</v>
      </c>
      <c r="Q58" s="12">
        <v>18932</v>
      </c>
      <c r="R58" s="13"/>
      <c r="S58" s="13"/>
      <c r="T58" s="13"/>
      <c r="U58" s="13"/>
      <c r="V58" s="13"/>
      <c r="W58" s="4"/>
      <c r="X58" s="12">
        <v>18932</v>
      </c>
      <c r="Y58" s="12">
        <f ca="1">IFERROR(__xludf.DUMMYFUNCTION("INDEX(IMPORTRANGE(""1y0FWgjbB0gVlqn-q5LMJbGIsqOrzru4yowQz67dz2yc"", ""'SPGG'!BG3:BG139""),MATCH($D58,IMPORTRANGE(""1y0FWgjbB0gVlqn-q5LMJbGIsqOrzru4yowQz67dz2yc"", ""'SPGG'!D3:D139""),0))"),18932)</f>
        <v>18932</v>
      </c>
      <c r="Z58" s="12">
        <f ca="1">IFERROR(__xludf.DUMMYFUNCTION("INDEX(IMPORTRANGE(""1y0FWgjbB0gVlqn-q5LMJbGIsqOrzru4yowQz67dz2yc"", ""'SPGG'!BH3:BH139""),MATCH($D58,IMPORTRANGE(""1y0FWgjbB0gVlqn-q5LMJbGIsqOrzru4yowQz67dz2yc"", ""'SPGG'!D3:D139""),0))"),18932)</f>
        <v>18932</v>
      </c>
      <c r="AA58" s="12">
        <f ca="1">IFERROR(__xludf.DUMMYFUNCTION("INDEX(IMPORTRANGE(""1y0FWgjbB0gVlqn-q5LMJbGIsqOrzru4yowQz67dz2yc"", ""'SPGG'!BI3:BI139""),MATCH($D58,IMPORTRANGE(""1y0FWgjbB0gVlqn-q5LMJbGIsqOrzru4yowQz67dz2yc"", ""'SPGG'!D3:D139""),0))"),18932)</f>
        <v>18932</v>
      </c>
      <c r="AB58" s="2"/>
      <c r="AC58" s="2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18932</v>
      </c>
      <c r="Q59" s="12">
        <v>18932</v>
      </c>
      <c r="R59" s="13"/>
      <c r="S59" s="13"/>
      <c r="T59" s="13"/>
      <c r="U59" s="13"/>
      <c r="V59" s="13"/>
      <c r="W59" s="4"/>
      <c r="X59" s="12">
        <v>18932</v>
      </c>
      <c r="Y59" s="12">
        <f ca="1">IFERROR(__xludf.DUMMYFUNCTION("INDEX(IMPORTRANGE(""1y0FWgjbB0gVlqn-q5LMJbGIsqOrzru4yowQz67dz2yc"", ""'SPGG'!BG3:BG139""),MATCH($D59,IMPORTRANGE(""1y0FWgjbB0gVlqn-q5LMJbGIsqOrzru4yowQz67dz2yc"", ""'SPGG'!D3:D139""),0))"),18932)</f>
        <v>18932</v>
      </c>
      <c r="Z59" s="12">
        <f ca="1">IFERROR(__xludf.DUMMYFUNCTION("INDEX(IMPORTRANGE(""1y0FWgjbB0gVlqn-q5LMJbGIsqOrzru4yowQz67dz2yc"", ""'SPGG'!BH3:BH139""),MATCH($D59,IMPORTRANGE(""1y0FWgjbB0gVlqn-q5LMJbGIsqOrzru4yowQz67dz2yc"", ""'SPGG'!D3:D139""),0))"),18932)</f>
        <v>18932</v>
      </c>
      <c r="AA59" s="12">
        <f ca="1">IFERROR(__xludf.DUMMYFUNCTION("INDEX(IMPORTRANGE(""1y0FWgjbB0gVlqn-q5LMJbGIsqOrzru4yowQz67dz2yc"", ""'SPGG'!BI3:BI139""),MATCH($D59,IMPORTRANGE(""1y0FWgjbB0gVlqn-q5LMJbGIsqOrzru4yowQz67dz2yc"", ""'SPGG'!D3:D139""),0))"),18932)</f>
        <v>18932</v>
      </c>
      <c r="AB59" s="2"/>
      <c r="AC59" s="2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4">
        <f t="shared" ref="P60:Q60" si="16">P58/P59</f>
        <v>1</v>
      </c>
      <c r="Q60" s="14">
        <f t="shared" si="16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1</v>
      </c>
      <c r="Y60" s="15">
        <f ca="1">IFERROR(__xludf.DUMMYFUNCTION("INDEX(IMPORTRANGE(""1y0FWgjbB0gVlqn-q5LMJbGIsqOrzru4yowQz67dz2yc"", ""'SPGG'!BG3:BG139""),MATCH($D60,IMPORTRANGE(""1y0FWgjbB0gVlqn-q5LMJbGIsqOrzru4yowQz67dz2yc"", ""'SPGG'!D3:D139""),0))"),1)</f>
        <v>1</v>
      </c>
      <c r="Z60" s="15">
        <f ca="1">IFERROR(__xludf.DUMMYFUNCTION("INDEX(IMPORTRANGE(""1y0FWgjbB0gVlqn-q5LMJbGIsqOrzru4yowQz67dz2yc"", ""'SPGG'!BH3:BH139""),MATCH($D60,IMPORTRANGE(""1y0FWgjbB0gVlqn-q5LMJbGIsqOrzru4yowQz67dz2yc"", ""'SPGG'!D3:D139""),0))"),1)</f>
        <v>1</v>
      </c>
      <c r="AA60" s="15">
        <f ca="1">IFERROR(__xludf.DUMMYFUNCTION("INDEX(IMPORTRANGE(""1y0FWgjbB0gVlqn-q5LMJbGIsqOrzru4yowQz67dz2yc"", ""'SPGG'!BI3:BI139""),MATCH($D60,IMPORTRANGE(""1y0FWgjbB0gVlqn-q5LMJbGIsqOrzru4yowQz67dz2yc"", ""'SPGG'!D3:D139""),0))"),1)</f>
        <v>1</v>
      </c>
      <c r="AB60" s="2"/>
      <c r="AC60" s="2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37730</v>
      </c>
      <c r="Q61" s="12">
        <v>37730</v>
      </c>
      <c r="R61" s="13"/>
      <c r="S61" s="13"/>
      <c r="T61" s="13"/>
      <c r="U61" s="13"/>
      <c r="V61" s="13"/>
      <c r="W61" s="4"/>
      <c r="X61" s="12">
        <v>37730</v>
      </c>
      <c r="Y61" s="12">
        <f ca="1">IFERROR(__xludf.DUMMYFUNCTION("INDEX(IMPORTRANGE(""1y0FWgjbB0gVlqn-q5LMJbGIsqOrzru4yowQz67dz2yc"", ""'SPGG'!BG3:BG139""),MATCH($D61,IMPORTRANGE(""1y0FWgjbB0gVlqn-q5LMJbGIsqOrzru4yowQz67dz2yc"", ""'SPGG'!D3:D139""),0))"),37730)</f>
        <v>37730</v>
      </c>
      <c r="Z61" s="12">
        <f ca="1">IFERROR(__xludf.DUMMYFUNCTION("INDEX(IMPORTRANGE(""1y0FWgjbB0gVlqn-q5LMJbGIsqOrzru4yowQz67dz2yc"", ""'SPGG'!BH3:BH139""),MATCH($D61,IMPORTRANGE(""1y0FWgjbB0gVlqn-q5LMJbGIsqOrzru4yowQz67dz2yc"", ""'SPGG'!D3:D139""),0))"),37730)</f>
        <v>37730</v>
      </c>
      <c r="AA61" s="12">
        <f ca="1">IFERROR(__xludf.DUMMYFUNCTION("INDEX(IMPORTRANGE(""1y0FWgjbB0gVlqn-q5LMJbGIsqOrzru4yowQz67dz2yc"", ""'SPGG'!BI3:BI139""),MATCH($D61,IMPORTRANGE(""1y0FWgjbB0gVlqn-q5LMJbGIsqOrzru4yowQz67dz2yc"", ""'SPGG'!D3:D139""),0))"),37730)</f>
        <v>37730</v>
      </c>
      <c r="AB61" s="2"/>
      <c r="AC61" s="2"/>
    </row>
    <row r="62" spans="1:29">
      <c r="A62" s="7" t="s">
        <v>147</v>
      </c>
      <c r="B62" s="7" t="s">
        <v>168</v>
      </c>
      <c r="C62" s="1" t="s">
        <v>36</v>
      </c>
      <c r="D62" s="7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7">P61/P37</f>
        <v>1</v>
      </c>
      <c r="Q62" s="15">
        <f t="shared" si="17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15">
        <f ca="1">IFERROR(__xludf.DUMMYFUNCTION("INDEX(IMPORTRANGE(""1y0FWgjbB0gVlqn-q5LMJbGIsqOrzru4yowQz67dz2yc"", ""'SPGG'!BG3:BG139""),MATCH($D62,IMPORTRANGE(""1y0FWgjbB0gVlqn-q5LMJbGIsqOrzru4yowQz67dz2yc"", ""'SPGG'!D3:D139""),0))"),1)</f>
        <v>1</v>
      </c>
      <c r="Z62" s="15">
        <f ca="1">IFERROR(__xludf.DUMMYFUNCTION("INDEX(IMPORTRANGE(""1y0FWgjbB0gVlqn-q5LMJbGIsqOrzru4yowQz67dz2yc"", ""'SPGG'!BH3:BH139""),MATCH($D62,IMPORTRANGE(""1y0FWgjbB0gVlqn-q5LMJbGIsqOrzru4yowQz67dz2yc"", ""'SPGG'!D3:D139""),0))"),1)</f>
        <v>1</v>
      </c>
      <c r="AA62" s="15">
        <f ca="1">IFERROR(__xludf.DUMMYFUNCTION("INDEX(IMPORTRANGE(""1y0FWgjbB0gVlqn-q5LMJbGIsqOrzru4yowQz67dz2yc"", ""'SPGG'!BI3:BI139""),MATCH($D62,IMPORTRANGE(""1y0FWgjbB0gVlqn-q5LMJbGIsqOrzru4yowQz67dz2yc"", ""'SPGG'!D3:D139""),0))"),1)</f>
        <v>1</v>
      </c>
      <c r="AB62" s="2"/>
      <c r="AC62" s="2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7659036</v>
      </c>
      <c r="Q63" s="12">
        <v>7659036</v>
      </c>
      <c r="R63" s="13"/>
      <c r="S63" s="13"/>
      <c r="T63" s="13"/>
      <c r="U63" s="13"/>
      <c r="V63" s="13"/>
      <c r="W63" s="4"/>
      <c r="X63" s="12">
        <v>7659036</v>
      </c>
      <c r="Y63" s="12">
        <f ca="1">IFERROR(__xludf.DUMMYFUNCTION("INDEX(IMPORTRANGE(""1y0FWgjbB0gVlqn-q5LMJbGIsqOrzru4yowQz67dz2yc"", ""'SPGG'!BG3:BG139""),MATCH($D63,IMPORTRANGE(""1y0FWgjbB0gVlqn-q5LMJbGIsqOrzru4yowQz67dz2yc"", ""'SPGG'!D3:D139""),0))"),7659036)</f>
        <v>7659036</v>
      </c>
      <c r="Z63" s="12">
        <f ca="1">IFERROR(__xludf.DUMMYFUNCTION("INDEX(IMPORTRANGE(""1y0FWgjbB0gVlqn-q5LMJbGIsqOrzru4yowQz67dz2yc"", ""'SPGG'!BH3:BH139""),MATCH($D63,IMPORTRANGE(""1y0FWgjbB0gVlqn-q5LMJbGIsqOrzru4yowQz67dz2yc"", ""'SPGG'!D3:D139""),0))"),7659036)</f>
        <v>7659036</v>
      </c>
      <c r="AA63" s="12">
        <f ca="1">IFERROR(__xludf.DUMMYFUNCTION("INDEX(IMPORTRANGE(""1y0FWgjbB0gVlqn-q5LMJbGIsqOrzru4yowQz67dz2yc"", ""'SPGG'!BI3:BI139""),MATCH($D63,IMPORTRANGE(""1y0FWgjbB0gVlqn-q5LMJbGIsqOrzru4yowQz67dz2yc"", ""'SPGG'!D3:D139""),0))"),7659036)</f>
        <v>7659036</v>
      </c>
      <c r="AB63" s="2"/>
      <c r="AC63" s="2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7659036</v>
      </c>
      <c r="Q64" s="12">
        <v>7659036</v>
      </c>
      <c r="R64" s="13"/>
      <c r="S64" s="13"/>
      <c r="T64" s="13"/>
      <c r="U64" s="13"/>
      <c r="V64" s="13"/>
      <c r="W64" s="4"/>
      <c r="X64" s="12">
        <v>7659036</v>
      </c>
      <c r="Y64" s="12">
        <f ca="1">IFERROR(__xludf.DUMMYFUNCTION("INDEX(IMPORTRANGE(""1y0FWgjbB0gVlqn-q5LMJbGIsqOrzru4yowQz67dz2yc"", ""'SPGG'!BG3:BG139""),MATCH($D64,IMPORTRANGE(""1y0FWgjbB0gVlqn-q5LMJbGIsqOrzru4yowQz67dz2yc"", ""'SPGG'!D3:D139""),0))"),7659036)</f>
        <v>7659036</v>
      </c>
      <c r="Z64" s="12">
        <f ca="1">IFERROR(__xludf.DUMMYFUNCTION("INDEX(IMPORTRANGE(""1y0FWgjbB0gVlqn-q5LMJbGIsqOrzru4yowQz67dz2yc"", ""'SPGG'!BH3:BH139""),MATCH($D64,IMPORTRANGE(""1y0FWgjbB0gVlqn-q5LMJbGIsqOrzru4yowQz67dz2yc"", ""'SPGG'!D3:D139""),0))"),7659036)</f>
        <v>7659036</v>
      </c>
      <c r="AA64" s="12">
        <f ca="1">IFERROR(__xludf.DUMMYFUNCTION("INDEX(IMPORTRANGE(""1y0FWgjbB0gVlqn-q5LMJbGIsqOrzru4yowQz67dz2yc"", ""'SPGG'!BI3:BI139""),MATCH($D64,IMPORTRANGE(""1y0FWgjbB0gVlqn-q5LMJbGIsqOrzru4yowQz67dz2yc"", ""'SPGG'!D3:D139""),0))"),7659036)</f>
        <v>7659036</v>
      </c>
      <c r="AB64" s="2"/>
      <c r="AC64" s="2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8">P63/P64</f>
        <v>1</v>
      </c>
      <c r="Q65" s="15">
        <f t="shared" si="18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1</v>
      </c>
      <c r="Y65" s="15">
        <f ca="1">IFERROR(__xludf.DUMMYFUNCTION("INDEX(IMPORTRANGE(""1y0FWgjbB0gVlqn-q5LMJbGIsqOrzru4yowQz67dz2yc"", ""'SPGG'!BG3:BG139""),MATCH($D65,IMPORTRANGE(""1y0FWgjbB0gVlqn-q5LMJbGIsqOrzru4yowQz67dz2yc"", ""'SPGG'!D3:D139""),0))"),1)</f>
        <v>1</v>
      </c>
      <c r="Z65" s="15">
        <f ca="1">IFERROR(__xludf.DUMMYFUNCTION("INDEX(IMPORTRANGE(""1y0FWgjbB0gVlqn-q5LMJbGIsqOrzru4yowQz67dz2yc"", ""'SPGG'!BH3:BH139""),MATCH($D65,IMPORTRANGE(""1y0FWgjbB0gVlqn-q5LMJbGIsqOrzru4yowQz67dz2yc"", ""'SPGG'!D3:D139""),0))"),1)</f>
        <v>1</v>
      </c>
      <c r="AA65" s="15">
        <f ca="1">IFERROR(__xludf.DUMMYFUNCTION("INDEX(IMPORTRANGE(""1y0FWgjbB0gVlqn-q5LMJbGIsqOrzru4yowQz67dz2yc"", ""'SPGG'!BI3:BI139""),MATCH($D65,IMPORTRANGE(""1y0FWgjbB0gVlqn-q5LMJbGIsqOrzru4yowQz67dz2yc"", ""'SPGG'!D3:D139""),0))"),1)</f>
        <v>1</v>
      </c>
      <c r="AB65" s="2"/>
      <c r="AC65" s="2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78745</v>
      </c>
      <c r="Q66" s="12">
        <v>78745</v>
      </c>
      <c r="R66" s="13"/>
      <c r="S66" s="13"/>
      <c r="T66" s="13"/>
      <c r="U66" s="13"/>
      <c r="V66" s="13"/>
      <c r="W66" s="4"/>
      <c r="X66" s="12">
        <v>78855</v>
      </c>
      <c r="Y66" s="12">
        <f ca="1">IFERROR(__xludf.DUMMYFUNCTION("INDEX(IMPORTRANGE(""1y0FWgjbB0gVlqn-q5LMJbGIsqOrzru4yowQz67dz2yc"", ""'SPGG'!BG3:BG139""),MATCH($D66,IMPORTRANGE(""1y0FWgjbB0gVlqn-q5LMJbGIsqOrzru4yowQz67dz2yc"", ""'SPGG'!D3:D139""),0))"),82516)</f>
        <v>82516</v>
      </c>
      <c r="Z66" s="12">
        <f ca="1">IFERROR(__xludf.DUMMYFUNCTION("INDEX(IMPORTRANGE(""1y0FWgjbB0gVlqn-q5LMJbGIsqOrzru4yowQz67dz2yc"", ""'SPGG'!BH3:BH139""),MATCH($D66,IMPORTRANGE(""1y0FWgjbB0gVlqn-q5LMJbGIsqOrzru4yowQz67dz2yc"", ""'SPGG'!D3:D139""),0))"),83518)</f>
        <v>83518</v>
      </c>
      <c r="AA66" s="12">
        <f ca="1">IFERROR(__xludf.DUMMYFUNCTION("INDEX(IMPORTRANGE(""1y0FWgjbB0gVlqn-q5LMJbGIsqOrzru4yowQz67dz2yc"", ""'SPGG'!BI3:BI139""),MATCH($D66,IMPORTRANGE(""1y0FWgjbB0gVlqn-q5LMJbGIsqOrzru4yowQz67dz2yc"", ""'SPGG'!D3:D139""),0))"),83858)</f>
        <v>83858</v>
      </c>
      <c r="AB66" s="2"/>
      <c r="AC66" s="2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88000</v>
      </c>
      <c r="Q67" s="12">
        <v>88000</v>
      </c>
      <c r="R67" s="13"/>
      <c r="S67" s="13"/>
      <c r="T67" s="13"/>
      <c r="U67" s="13"/>
      <c r="V67" s="13"/>
      <c r="W67" s="4"/>
      <c r="X67" s="12">
        <v>88000</v>
      </c>
      <c r="Y67" s="12">
        <f ca="1">IFERROR(__xludf.DUMMYFUNCTION("INDEX(IMPORTRANGE(""1y0FWgjbB0gVlqn-q5LMJbGIsqOrzru4yowQz67dz2yc"", ""'SPGG'!BG3:BG139""),MATCH($D67,IMPORTRANGE(""1y0FWgjbB0gVlqn-q5LMJbGIsqOrzru4yowQz67dz2yc"", ""'SPGG'!D3:D139""),0))"),88000)</f>
        <v>88000</v>
      </c>
      <c r="Z67" s="12">
        <f ca="1">IFERROR(__xludf.DUMMYFUNCTION("INDEX(IMPORTRANGE(""1y0FWgjbB0gVlqn-q5LMJbGIsqOrzru4yowQz67dz2yc"", ""'SPGG'!BH3:BH139""),MATCH($D67,IMPORTRANGE(""1y0FWgjbB0gVlqn-q5LMJbGIsqOrzru4yowQz67dz2yc"", ""'SPGG'!D3:D139""),0))"),88000)</f>
        <v>88000</v>
      </c>
      <c r="AA67" s="12">
        <f ca="1">IFERROR(__xludf.DUMMYFUNCTION("INDEX(IMPORTRANGE(""1y0FWgjbB0gVlqn-q5LMJbGIsqOrzru4yowQz67dz2yc"", ""'SPGG'!BI3:BI139""),MATCH($D67,IMPORTRANGE(""1y0FWgjbB0gVlqn-q5LMJbGIsqOrzru4yowQz67dz2yc"", ""'SPGG'!D3:D139""),0))"),88000)</f>
        <v>88000</v>
      </c>
      <c r="AB67" s="2"/>
      <c r="AC67" s="2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9">P66/P67</f>
        <v>0.89482954545454541</v>
      </c>
      <c r="Q68" s="15">
        <f t="shared" si="19"/>
        <v>0.89482954545454541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0.89607954545454549</v>
      </c>
      <c r="Y68" s="15">
        <f ca="1">IFERROR(__xludf.DUMMYFUNCTION("INDEX(IMPORTRANGE(""1y0FWgjbB0gVlqn-q5LMJbGIsqOrzru4yowQz67dz2yc"", ""'SPGG'!BG3:BG139""),MATCH($D68,IMPORTRANGE(""1y0FWgjbB0gVlqn-q5LMJbGIsqOrzru4yowQz67dz2yc"", ""'SPGG'!D3:D139""),0))"),0.937681818181818)</f>
        <v>0.93768181818181795</v>
      </c>
      <c r="Z68" s="15">
        <f ca="1">IFERROR(__xludf.DUMMYFUNCTION("INDEX(IMPORTRANGE(""1y0FWgjbB0gVlqn-q5LMJbGIsqOrzru4yowQz67dz2yc"", ""'SPGG'!BH3:BH139""),MATCH($D68,IMPORTRANGE(""1y0FWgjbB0gVlqn-q5LMJbGIsqOrzru4yowQz67dz2yc"", ""'SPGG'!D3:D139""),0))"),0.949068181818181)</f>
        <v>0.94906818181818098</v>
      </c>
      <c r="AA68" s="15">
        <f ca="1">IFERROR(__xludf.DUMMYFUNCTION("INDEX(IMPORTRANGE(""1y0FWgjbB0gVlqn-q5LMJbGIsqOrzru4yowQz67dz2yc"", ""'SPGG'!BI3:BI139""),MATCH($D68,IMPORTRANGE(""1y0FWgjbB0gVlqn-q5LMJbGIsqOrzru4yowQz67dz2yc"", ""'SPGG'!D3:D139""),0))"),0.952931818181818)</f>
        <v>0.95293181818181805</v>
      </c>
      <c r="AB68" s="2"/>
      <c r="AC68" s="2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0</v>
      </c>
      <c r="Q69" s="23">
        <v>0</v>
      </c>
      <c r="R69" s="1"/>
      <c r="S69" s="1"/>
      <c r="T69" s="1"/>
      <c r="U69" s="1"/>
      <c r="V69" s="1"/>
      <c r="W69" s="2"/>
      <c r="X69" s="23">
        <v>0</v>
      </c>
      <c r="Y69" s="23">
        <f ca="1">IFERROR(__xludf.DUMMYFUNCTION("INDEX(IMPORTRANGE(""1y0FWgjbB0gVlqn-q5LMJbGIsqOrzru4yowQz67dz2yc"", ""'SPGG'!BG3:BG139""),MATCH($D69,IMPORTRANGE(""1y0FWgjbB0gVlqn-q5LMJbGIsqOrzru4yowQz67dz2yc"", ""'SPGG'!D3:D139""),0))"),1.207)</f>
        <v>1.2070000000000001</v>
      </c>
      <c r="Z69" s="23">
        <f ca="1">IFERROR(__xludf.DUMMYFUNCTION("INDEX(IMPORTRANGE(""1y0FWgjbB0gVlqn-q5LMJbGIsqOrzru4yowQz67dz2yc"", ""'SPGG'!BH3:BH139""),MATCH($D69,IMPORTRANGE(""1y0FWgjbB0gVlqn-q5LMJbGIsqOrzru4yowQz67dz2yc"", ""'SPGG'!D3:D139""),0))"),1.32)</f>
        <v>1.32</v>
      </c>
      <c r="AA69" s="23">
        <f ca="1">IFERROR(__xludf.DUMMYFUNCTION("INDEX(IMPORTRANGE(""1y0FWgjbB0gVlqn-q5LMJbGIsqOrzru4yowQz67dz2yc"", ""'SPGG'!BI3:BI139""),MATCH($D69,IMPORTRANGE(""1y0FWgjbB0gVlqn-q5LMJbGIsqOrzru4yowQz67dz2yc"", ""'SPGG'!D3:D139""),0))"),2.958)</f>
        <v>2.9580000000000002</v>
      </c>
      <c r="AB69" s="2"/>
      <c r="AC69" s="2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0.188</v>
      </c>
      <c r="Q70" s="23">
        <v>4.3849999999999998</v>
      </c>
      <c r="R70" s="1"/>
      <c r="S70" s="1"/>
      <c r="T70" s="1"/>
      <c r="U70" s="1"/>
      <c r="V70" s="1"/>
      <c r="W70" s="2">
        <v>2.37</v>
      </c>
      <c r="X70" s="23">
        <v>0.11</v>
      </c>
      <c r="Y70" s="23">
        <f ca="1">IFERROR(__xludf.DUMMYFUNCTION("INDEX(IMPORTRANGE(""1y0FWgjbB0gVlqn-q5LMJbGIsqOrzru4yowQz67dz2yc"", ""'SPGG'!BG3:BG139""),MATCH($D70,IMPORTRANGE(""1y0FWgjbB0gVlqn-q5LMJbGIsqOrzru4yowQz67dz2yc"", ""'SPGG'!D3:D139""),0))"),0.218)</f>
        <v>0.218</v>
      </c>
      <c r="Z70" s="23">
        <f ca="1">IFERROR(__xludf.DUMMYFUNCTION("INDEX(IMPORTRANGE(""1y0FWgjbB0gVlqn-q5LMJbGIsqOrzru4yowQz67dz2yc"", ""'SPGG'!BH3:BH139""),MATCH($D70,IMPORTRANGE(""1y0FWgjbB0gVlqn-q5LMJbGIsqOrzru4yowQz67dz2yc"", ""'SPGG'!D3:D139""),0))"),0)</f>
        <v>0</v>
      </c>
      <c r="AA70" s="23">
        <f ca="1">IFERROR(__xludf.DUMMYFUNCTION("INDEX(IMPORTRANGE(""1y0FWgjbB0gVlqn-q5LMJbGIsqOrzru4yowQz67dz2yc"", ""'SPGG'!BI3:BI139""),MATCH($D70,IMPORTRANGE(""1y0FWgjbB0gVlqn-q5LMJbGIsqOrzru4yowQz67dz2yc"", ""'SPGG'!D3:D139""),0))"),0)</f>
        <v>0</v>
      </c>
      <c r="AB70" s="2"/>
      <c r="AC70" s="2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30"/>
      <c r="Q71" s="2"/>
      <c r="R71" s="13"/>
      <c r="S71" s="13"/>
      <c r="T71" s="13"/>
      <c r="U71" s="13"/>
      <c r="V71" s="13"/>
      <c r="W71" s="4"/>
      <c r="X71" s="2"/>
      <c r="Y71" s="299" t="str">
        <f ca="1">IFERROR(__xludf.DUMMYFUNCTION("INDEX(IMPORTRANGE(""1y0FWgjbB0gVlqn-q5LMJbGIsqOrzru4yowQz67dz2yc"", ""'SPGG'!BG3:BG139""),MATCH($D71,IMPORTRANGE(""1y0FWgjbB0gVlqn-q5LMJbGIsqOrzru4yowQz67dz2yc"", ""'SPGG'!D3:D139""),0))"),"")</f>
        <v/>
      </c>
      <c r="Z71" s="299" t="str">
        <f ca="1">IFERROR(__xludf.DUMMYFUNCTION("INDEX(IMPORTRANGE(""1y0FWgjbB0gVlqn-q5LMJbGIsqOrzru4yowQz67dz2yc"", ""'SPGG'!BH3:BH139""),MATCH($D71,IMPORTRANGE(""1y0FWgjbB0gVlqn-q5LMJbGIsqOrzru4yowQz67dz2yc"", ""'SPGG'!D3:D139""),0))"),"")</f>
        <v/>
      </c>
      <c r="AA71" s="299" t="str">
        <f ca="1">IFERROR(__xludf.DUMMYFUNCTION("INDEX(IMPORTRANGE(""1y0FWgjbB0gVlqn-q5LMJbGIsqOrzru4yowQz67dz2yc"", ""'SPGG'!BI3:BI139""),MATCH($D71,IMPORTRANGE(""1y0FWgjbB0gVlqn-q5LMJbGIsqOrzru4yowQz67dz2yc"", ""'SPGG'!D3:D139""),0))"),"")</f>
        <v/>
      </c>
      <c r="AB71" s="2"/>
      <c r="AC71" s="2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20">P69+P70</f>
        <v>0.188</v>
      </c>
      <c r="Q72" s="23">
        <f t="shared" si="20"/>
        <v>4.3849999999999998</v>
      </c>
      <c r="R72" s="4">
        <v>0.9</v>
      </c>
      <c r="S72" s="4">
        <v>0.2</v>
      </c>
      <c r="T72" s="4">
        <v>0.83</v>
      </c>
      <c r="U72" s="4">
        <v>0.63</v>
      </c>
      <c r="V72" s="4">
        <v>1.23</v>
      </c>
      <c r="W72" s="4">
        <v>2.37</v>
      </c>
      <c r="X72" s="23">
        <f>X69+X70</f>
        <v>0.11</v>
      </c>
      <c r="Y72" s="23">
        <f ca="1">IFERROR(__xludf.DUMMYFUNCTION("INDEX(IMPORTRANGE(""1y0FWgjbB0gVlqn-q5LMJbGIsqOrzru4yowQz67dz2yc"", ""'SPGG'!BG3:BG139""),MATCH($D72,IMPORTRANGE(""1y0FWgjbB0gVlqn-q5LMJbGIsqOrzru4yowQz67dz2yc"", ""'SPGG'!D3:D139""),0))"),1.425)</f>
        <v>1.425</v>
      </c>
      <c r="Z72" s="23">
        <f ca="1">IFERROR(__xludf.DUMMYFUNCTION("INDEX(IMPORTRANGE(""1y0FWgjbB0gVlqn-q5LMJbGIsqOrzru4yowQz67dz2yc"", ""'SPGG'!BH3:BH139""),MATCH($D72,IMPORTRANGE(""1y0FWgjbB0gVlqn-q5LMJbGIsqOrzru4yowQz67dz2yc"", ""'SPGG'!D3:D139""),0))"),1.32)</f>
        <v>1.32</v>
      </c>
      <c r="AA72" s="23">
        <f ca="1">IFERROR(__xludf.DUMMYFUNCTION("INDEX(IMPORTRANGE(""1y0FWgjbB0gVlqn-q5LMJbGIsqOrzru4yowQz67dz2yc"", ""'SPGG'!BI3:BI139""),MATCH($D72,IMPORTRANGE(""1y0FWgjbB0gVlqn-q5LMJbGIsqOrzru4yowQz67dz2yc"", ""'SPGG'!D3:D139""),0))"),2.958)</f>
        <v>2.9580000000000002</v>
      </c>
      <c r="AB72" s="2"/>
      <c r="AC72" s="2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15.26</v>
      </c>
      <c r="Q73" s="23">
        <v>15.26</v>
      </c>
      <c r="R73" s="2">
        <v>19.010000000000002</v>
      </c>
      <c r="S73" s="2">
        <v>19.11</v>
      </c>
      <c r="T73" s="2">
        <v>19.510000000000002</v>
      </c>
      <c r="U73" s="2">
        <v>19.510000000000002</v>
      </c>
      <c r="V73" s="2">
        <v>20.9</v>
      </c>
      <c r="W73" s="23">
        <v>20.9</v>
      </c>
      <c r="X73" s="23">
        <v>23.06</v>
      </c>
      <c r="Y73" s="23">
        <f ca="1">IFERROR(__xludf.DUMMYFUNCTION("INDEX(IMPORTRANGE(""1y0FWgjbB0gVlqn-q5LMJbGIsqOrzru4yowQz67dz2yc"", ""'SPGG'!BG3:BG139""),MATCH($D73,IMPORTRANGE(""1y0FWgjbB0gVlqn-q5LMJbGIsqOrzru4yowQz67dz2yc"", ""'SPGG'!D3:D139""),0))"),26.1)</f>
        <v>26.1</v>
      </c>
      <c r="Z73" s="23">
        <f ca="1">IFERROR(__xludf.DUMMYFUNCTION("INDEX(IMPORTRANGE(""1y0FWgjbB0gVlqn-q5LMJbGIsqOrzru4yowQz67dz2yc"", ""'SPGG'!BH3:BH139""),MATCH($D73,IMPORTRANGE(""1y0FWgjbB0gVlqn-q5LMJbGIsqOrzru4yowQz67dz2yc"", ""'SPGG'!D3:D139""),0))"),19.01)</f>
        <v>19.010000000000002</v>
      </c>
      <c r="AA73" s="23">
        <f ca="1">IFERROR(__xludf.DUMMYFUNCTION("INDEX(IMPORTRANGE(""1y0FWgjbB0gVlqn-q5LMJbGIsqOrzru4yowQz67dz2yc"", ""'SPGG'!BI3:BI139""),MATCH($D73,IMPORTRANGE(""1y0FWgjbB0gVlqn-q5LMJbGIsqOrzru4yowQz67dz2yc"", ""'SPGG'!D3:D139""),0))"),7.8)</f>
        <v>7.8</v>
      </c>
      <c r="AB73" s="2"/>
      <c r="AC73" s="2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2"/>
      <c r="X74" s="12">
        <v>0</v>
      </c>
      <c r="Y74" s="12">
        <f ca="1">IFERROR(__xludf.DUMMYFUNCTION("INDEX(IMPORTRANGE(""1y0FWgjbB0gVlqn-q5LMJbGIsqOrzru4yowQz67dz2yc"", ""'SPGG'!BG3:BG139""),MATCH($D74,IMPORTRANGE(""1y0FWgjbB0gVlqn-q5LMJbGIsqOrzru4yowQz67dz2yc"", ""'SPGG'!D3:D139""),0))"),28)</f>
        <v>28</v>
      </c>
      <c r="Z74" s="12">
        <f ca="1">IFERROR(__xludf.DUMMYFUNCTION("INDEX(IMPORTRANGE(""1y0FWgjbB0gVlqn-q5LMJbGIsqOrzru4yowQz67dz2yc"", ""'SPGG'!BH3:BH139""),MATCH($D74,IMPORTRANGE(""1y0FWgjbB0gVlqn-q5LMJbGIsqOrzru4yowQz67dz2yc"", ""'SPGG'!D3:D139""),0))"),0)</f>
        <v>0</v>
      </c>
      <c r="AA74" s="12">
        <f ca="1">IFERROR(__xludf.DUMMYFUNCTION("INDEX(IMPORTRANGE(""1y0FWgjbB0gVlqn-q5LMJbGIsqOrzru4yowQz67dz2yc"", ""'SPGG'!BI3:BI139""),MATCH($D74,IMPORTRANGE(""1y0FWgjbB0gVlqn-q5LMJbGIsqOrzru4yowQz67dz2yc"", ""'SPGG'!D3:D139""),0))"),22690)</f>
        <v>22690</v>
      </c>
      <c r="AB74" s="2"/>
      <c r="AC74" s="2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"/>
      <c r="S75" s="1"/>
      <c r="T75" s="1"/>
      <c r="U75" s="1"/>
      <c r="V75" s="1"/>
      <c r="W75" s="9">
        <v>8261</v>
      </c>
      <c r="X75" s="12">
        <v>4162</v>
      </c>
      <c r="Y75" s="12">
        <f ca="1">IFERROR(__xludf.DUMMYFUNCTION("INDEX(IMPORTRANGE(""1y0FWgjbB0gVlqn-q5LMJbGIsqOrzru4yowQz67dz2yc"", ""'SPGG'!BG3:BG139""),MATCH($D75,IMPORTRANGE(""1y0FWgjbB0gVlqn-q5LMJbGIsqOrzru4yowQz67dz2yc"", ""'SPGG'!D3:D139""),0))"),4560.7)</f>
        <v>4560.7</v>
      </c>
      <c r="Z75" s="12">
        <f ca="1">IFERROR(__xludf.DUMMYFUNCTION("INDEX(IMPORTRANGE(""1y0FWgjbB0gVlqn-q5LMJbGIsqOrzru4yowQz67dz2yc"", ""'SPGG'!BH3:BH139""),MATCH($D75,IMPORTRANGE(""1y0FWgjbB0gVlqn-q5LMJbGIsqOrzru4yowQz67dz2yc"", ""'SPGG'!D3:D139""),0))"),431)</f>
        <v>431</v>
      </c>
      <c r="AA75" s="12">
        <f ca="1">IFERROR(__xludf.DUMMYFUNCTION("INDEX(IMPORTRANGE(""1y0FWgjbB0gVlqn-q5LMJbGIsqOrzru4yowQz67dz2yc"", ""'SPGG'!BI3:BI139""),MATCH($D75,IMPORTRANGE(""1y0FWgjbB0gVlqn-q5LMJbGIsqOrzru4yowQz67dz2yc"", ""'SPGG'!D3:D139""),0))"),14162)</f>
        <v>14162</v>
      </c>
      <c r="AB75" s="2"/>
      <c r="AC75" s="2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"/>
      <c r="S76" s="1"/>
      <c r="T76" s="1"/>
      <c r="U76" s="1"/>
      <c r="V76" s="1"/>
      <c r="W76" s="2"/>
      <c r="X76" s="12">
        <v>0</v>
      </c>
      <c r="Y76" s="12">
        <f ca="1">IFERROR(__xludf.DUMMYFUNCTION("INDEX(IMPORTRANGE(""1y0FWgjbB0gVlqn-q5LMJbGIsqOrzru4yowQz67dz2yc"", ""'SPGG'!BG3:BG139""),MATCH($D76,IMPORTRANGE(""1y0FWgjbB0gVlqn-q5LMJbGIsqOrzru4yowQz67dz2yc"", ""'SPGG'!D3:D139""),0))"),0)</f>
        <v>0</v>
      </c>
      <c r="Z76" s="12">
        <f ca="1">IFERROR(__xludf.DUMMYFUNCTION("INDEX(IMPORTRANGE(""1y0FWgjbB0gVlqn-q5LMJbGIsqOrzru4yowQz67dz2yc"", ""'SPGG'!BH3:BH139""),MATCH($D76,IMPORTRANGE(""1y0FWgjbB0gVlqn-q5LMJbGIsqOrzru4yowQz67dz2yc"", ""'SPGG'!D3:D139""),0))"),0)</f>
        <v>0</v>
      </c>
      <c r="AA76" s="12">
        <f ca="1">IFERROR(__xludf.DUMMYFUNCTION("INDEX(IMPORTRANGE(""1y0FWgjbB0gVlqn-q5LMJbGIsqOrzru4yowQz67dz2yc"", ""'SPGG'!BI3:BI139""),MATCH($D76,IMPORTRANGE(""1y0FWgjbB0gVlqn-q5LMJbGIsqOrzru4yowQz67dz2yc"", ""'SPGG'!D3:D139""),0))"),0)</f>
        <v>0</v>
      </c>
      <c r="AB76" s="2"/>
      <c r="AC76" s="2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4265.7</v>
      </c>
      <c r="S77" s="4">
        <v>209</v>
      </c>
      <c r="T77" s="4">
        <v>200</v>
      </c>
      <c r="U77" s="4">
        <v>209</v>
      </c>
      <c r="V77" s="4">
        <v>200</v>
      </c>
      <c r="W77" s="4">
        <v>5500</v>
      </c>
      <c r="X77" s="12">
        <f>X74+X75+X76</f>
        <v>4162</v>
      </c>
      <c r="Y77" s="12">
        <f ca="1">IFERROR(__xludf.DUMMYFUNCTION("INDEX(IMPORTRANGE(""1y0FWgjbB0gVlqn-q5LMJbGIsqOrzru4yowQz67dz2yc"", ""'SPGG'!BG3:BG139""),MATCH($D77,IMPORTRANGE(""1y0FWgjbB0gVlqn-q5LMJbGIsqOrzru4yowQz67dz2yc"", ""'SPGG'!D3:D139""),0))"),4588.7)</f>
        <v>4588.7</v>
      </c>
      <c r="Z77" s="12">
        <f ca="1">IFERROR(__xludf.DUMMYFUNCTION("INDEX(IMPORTRANGE(""1y0FWgjbB0gVlqn-q5LMJbGIsqOrzru4yowQz67dz2yc"", ""'SPGG'!BH3:BH139""),MATCH($D77,IMPORTRANGE(""1y0FWgjbB0gVlqn-q5LMJbGIsqOrzru4yowQz67dz2yc"", ""'SPGG'!D3:D139""),0))"),431)</f>
        <v>431</v>
      </c>
      <c r="AA77" s="12">
        <f ca="1">IFERROR(__xludf.DUMMYFUNCTION("INDEX(IMPORTRANGE(""1y0FWgjbB0gVlqn-q5LMJbGIsqOrzru4yowQz67dz2yc"", ""'SPGG'!BI3:BI139""),MATCH($D77,IMPORTRANGE(""1y0FWgjbB0gVlqn-q5LMJbGIsqOrzru4yowQz67dz2yc"", ""'SPGG'!D3:D139""),0))"),36852)</f>
        <v>36852</v>
      </c>
      <c r="AB77" s="2"/>
      <c r="AC77" s="2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36">
        <v>218977806.03</v>
      </c>
      <c r="Q78" s="36">
        <v>218977806.03</v>
      </c>
      <c r="R78" s="13"/>
      <c r="S78" s="44"/>
      <c r="T78" s="13"/>
      <c r="U78" s="44"/>
      <c r="V78" s="44"/>
      <c r="W78" s="44"/>
      <c r="X78" s="36">
        <v>218977806.03</v>
      </c>
      <c r="Y78" s="249" t="str">
        <f ca="1">IFERROR(__xludf.DUMMYFUNCTION("INDEX(IMPORTRANGE(""1y0FWgjbB0gVlqn-q5LMJbGIsqOrzru4yowQz67dz2yc"", ""'SPGG'!BG3:BG139""),MATCH($D78,IMPORTRANGE(""1y0FWgjbB0gVlqn-q5LMJbGIsqOrzru4yowQz67dz2yc"", ""'SPGG'!D3:D139""),0))"),"")</f>
        <v/>
      </c>
      <c r="Z78" s="36">
        <f ca="1">IFERROR(__xludf.DUMMYFUNCTION("INDEX(IMPORTRANGE(""1y0FWgjbB0gVlqn-q5LMJbGIsqOrzru4yowQz67dz2yc"", ""'SPGG'!BH3:BH139""),MATCH($D78,IMPORTRANGE(""1y0FWgjbB0gVlqn-q5LMJbGIsqOrzru4yowQz67dz2yc"", ""'SPGG'!D3:D139""),0))"),114143754.509999)</f>
        <v>114143754.50999901</v>
      </c>
      <c r="AA78" s="249" t="str">
        <f ca="1">IFERROR(__xludf.DUMMYFUNCTION("INDEX(IMPORTRANGE(""1y0FWgjbB0gVlqn-q5LMJbGIsqOrzru4yowQz67dz2yc"", ""'SPGG'!BI3:BI139""),MATCH($D78,IMPORTRANGE(""1y0FWgjbB0gVlqn-q5LMJbGIsqOrzru4yowQz67dz2yc"", ""'SPGG'!D3:D139""),0))"),"")</f>
        <v/>
      </c>
      <c r="AB78" s="2"/>
      <c r="AC78" s="2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36">
        <v>131930760</v>
      </c>
      <c r="Q79" s="36">
        <v>131930759.79000001</v>
      </c>
      <c r="R79" s="13"/>
      <c r="S79" s="13"/>
      <c r="T79" s="13"/>
      <c r="U79" s="13"/>
      <c r="V79" s="13"/>
      <c r="W79" s="4"/>
      <c r="X79" s="36">
        <v>131930759.79000001</v>
      </c>
      <c r="Y79" s="249" t="str">
        <f ca="1">IFERROR(__xludf.DUMMYFUNCTION("INDEX(IMPORTRANGE(""1y0FWgjbB0gVlqn-q5LMJbGIsqOrzru4yowQz67dz2yc"", ""'SPGG'!BG3:BG139""),MATCH($D79,IMPORTRANGE(""1y0FWgjbB0gVlqn-q5LMJbGIsqOrzru4yowQz67dz2yc"", ""'SPGG'!D3:D139""),0))"),"")</f>
        <v/>
      </c>
      <c r="Z79" s="36">
        <f ca="1">IFERROR(__xludf.DUMMYFUNCTION("INDEX(IMPORTRANGE(""1y0FWgjbB0gVlqn-q5LMJbGIsqOrzru4yowQz67dz2yc"", ""'SPGG'!BH3:BH139""),MATCH($D79,IMPORTRANGE(""1y0FWgjbB0gVlqn-q5LMJbGIsqOrzru4yowQz67dz2yc"", ""'SPGG'!D3:D139""),0))"),7403921.82)</f>
        <v>7403921.8200000003</v>
      </c>
      <c r="AA79" s="249" t="str">
        <f ca="1">IFERROR(__xludf.DUMMYFUNCTION("INDEX(IMPORTRANGE(""1y0FWgjbB0gVlqn-q5LMJbGIsqOrzru4yowQz67dz2yc"", ""'SPGG'!BI3:BI139""),MATCH($D79,IMPORTRANGE(""1y0FWgjbB0gVlqn-q5LMJbGIsqOrzru4yowQz67dz2yc"", ""'SPGG'!D3:D139""),0))"),"")</f>
        <v/>
      </c>
      <c r="AB79" s="2"/>
      <c r="AC79" s="2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467">
        <f t="shared" ref="P80:Q80" si="21">P79/P78</f>
        <v>0.60248461883815507</v>
      </c>
      <c r="Q80" s="467">
        <f t="shared" si="21"/>
        <v>0.60248461787915375</v>
      </c>
      <c r="R80" s="4"/>
      <c r="S80" s="14">
        <v>0.06</v>
      </c>
      <c r="T80" s="4"/>
      <c r="U80" s="14">
        <v>0.05</v>
      </c>
      <c r="V80" s="14">
        <v>0.05</v>
      </c>
      <c r="W80" s="14">
        <v>0.05</v>
      </c>
      <c r="X80" s="467">
        <f>X79/X78</f>
        <v>0.60248461787915375</v>
      </c>
      <c r="Y80" s="249" t="str">
        <f ca="1">IFERROR(__xludf.DUMMYFUNCTION("INDEX(IMPORTRANGE(""1y0FWgjbB0gVlqn-q5LMJbGIsqOrzru4yowQz67dz2yc"", ""'SPGG'!BG3:BG139""),MATCH($D80,IMPORTRANGE(""1y0FWgjbB0gVlqn-q5LMJbGIsqOrzru4yowQz67dz2yc"", ""'SPGG'!D3:D139""),0))"),"")</f>
        <v/>
      </c>
      <c r="Z80" s="192">
        <f ca="1">IFERROR(__xludf.DUMMYFUNCTION("INDEX(IMPORTRANGE(""1y0FWgjbB0gVlqn-q5LMJbGIsqOrzru4yowQz67dz2yc"", ""'SPGG'!BH3:BH139""),MATCH($D80,IMPORTRANGE(""1y0FWgjbB0gVlqn-q5LMJbGIsqOrzru4yowQz67dz2yc"", ""'SPGG'!D3:D139""),0))"),0.0648648877179815)</f>
        <v>6.4864887717981504E-2</v>
      </c>
      <c r="AA80" s="249" t="str">
        <f ca="1">IFERROR(__xludf.DUMMYFUNCTION("INDEX(IMPORTRANGE(""1y0FWgjbB0gVlqn-q5LMJbGIsqOrzru4yowQz67dz2yc"", ""'SPGG'!BI3:BI139""),MATCH($D80,IMPORTRANGE(""1y0FWgjbB0gVlqn-q5LMJbGIsqOrzru4yowQz67dz2yc"", ""'SPGG'!D3:D139""),0))"),"")</f>
        <v/>
      </c>
      <c r="AB80" s="2"/>
      <c r="AC80" s="2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5">
        <v>0</v>
      </c>
      <c r="Q81" s="5">
        <v>0</v>
      </c>
      <c r="R81" s="1"/>
      <c r="S81" s="1"/>
      <c r="T81" s="1"/>
      <c r="U81" s="1"/>
      <c r="V81" s="1"/>
      <c r="W81" s="2"/>
      <c r="X81" s="5">
        <v>4</v>
      </c>
      <c r="Y81" s="12">
        <f ca="1">IFERROR(__xludf.DUMMYFUNCTION("INDEX(IMPORTRANGE(""1y0FWgjbB0gVlqn-q5LMJbGIsqOrzru4yowQz67dz2yc"", ""'SPGG'!BG3:BG139""),MATCH($D81,IMPORTRANGE(""1y0FWgjbB0gVlqn-q5LMJbGIsqOrzru4yowQz67dz2yc"", ""'SPGG'!D3:D139""),0))"),4)</f>
        <v>4</v>
      </c>
      <c r="Z81" s="12">
        <f ca="1">IFERROR(__xludf.DUMMYFUNCTION("INDEX(IMPORTRANGE(""1y0FWgjbB0gVlqn-q5LMJbGIsqOrzru4yowQz67dz2yc"", ""'SPGG'!BH3:BH139""),MATCH($D81,IMPORTRANGE(""1y0FWgjbB0gVlqn-q5LMJbGIsqOrzru4yowQz67dz2yc"", ""'SPGG'!D3:D139""),0))"),86)</f>
        <v>86</v>
      </c>
      <c r="AA81" s="12">
        <f ca="1">IFERROR(__xludf.DUMMYFUNCTION("INDEX(IMPORTRANGE(""1y0FWgjbB0gVlqn-q5LMJbGIsqOrzru4yowQz67dz2yc"", ""'SPGG'!BI3:BI139""),MATCH($D81,IMPORTRANGE(""1y0FWgjbB0gVlqn-q5LMJbGIsqOrzru4yowQz67dz2yc"", ""'SPGG'!D3:D139""),0))"),135)</f>
        <v>135</v>
      </c>
      <c r="AB81" s="2"/>
      <c r="AC81" s="2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5">
        <v>92</v>
      </c>
      <c r="Q82" s="5">
        <v>242</v>
      </c>
      <c r="R82" s="1"/>
      <c r="S82" s="1"/>
      <c r="T82" s="1"/>
      <c r="U82" s="1"/>
      <c r="V82" s="1"/>
      <c r="W82" s="1"/>
      <c r="X82" s="5">
        <v>125</v>
      </c>
      <c r="Y82" s="12">
        <f ca="1">IFERROR(__xludf.DUMMYFUNCTION("INDEX(IMPORTRANGE(""1y0FWgjbB0gVlqn-q5LMJbGIsqOrzru4yowQz67dz2yc"", ""'SPGG'!BG3:BG139""),MATCH($D82,IMPORTRANGE(""1y0FWgjbB0gVlqn-q5LMJbGIsqOrzru4yowQz67dz2yc"", ""'SPGG'!D3:D139""),0))"),275)</f>
        <v>275</v>
      </c>
      <c r="Z82" s="12">
        <f ca="1">IFERROR(__xludf.DUMMYFUNCTION("INDEX(IMPORTRANGE(""1y0FWgjbB0gVlqn-q5LMJbGIsqOrzru4yowQz67dz2yc"", ""'SPGG'!BH3:BH139""),MATCH($D82,IMPORTRANGE(""1y0FWgjbB0gVlqn-q5LMJbGIsqOrzru4yowQz67dz2yc"", ""'SPGG'!D3:D139""),0))"),34)</f>
        <v>34</v>
      </c>
      <c r="AA82" s="12">
        <f ca="1">IFERROR(__xludf.DUMMYFUNCTION("INDEX(IMPORTRANGE(""1y0FWgjbB0gVlqn-q5LMJbGIsqOrzru4yowQz67dz2yc"", ""'SPGG'!BI3:BI139""),MATCH($D82,IMPORTRANGE(""1y0FWgjbB0gVlqn-q5LMJbGIsqOrzru4yowQz67dz2yc"", ""'SPGG'!D3:D139""),0))"),132)</f>
        <v>132</v>
      </c>
      <c r="AB82" s="2"/>
      <c r="AC82" s="2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2">P81+P82</f>
        <v>92</v>
      </c>
      <c r="Q83" s="12">
        <f t="shared" si="22"/>
        <v>242</v>
      </c>
      <c r="R83" s="4">
        <v>240</v>
      </c>
      <c r="S83" s="4">
        <v>80</v>
      </c>
      <c r="T83" s="4">
        <v>140</v>
      </c>
      <c r="U83" s="4">
        <v>80</v>
      </c>
      <c r="V83" s="4">
        <v>120</v>
      </c>
      <c r="W83" s="4">
        <v>500</v>
      </c>
      <c r="X83" s="12">
        <f>X81+X82</f>
        <v>129</v>
      </c>
      <c r="Y83" s="12">
        <f ca="1">IFERROR(__xludf.DUMMYFUNCTION("INDEX(IMPORTRANGE(""1y0FWgjbB0gVlqn-q5LMJbGIsqOrzru4yowQz67dz2yc"", ""'SPGG'!BG3:BG139""),MATCH($D83,IMPORTRANGE(""1y0FWgjbB0gVlqn-q5LMJbGIsqOrzru4yowQz67dz2yc"", ""'SPGG'!D3:D139""),0))"),279)</f>
        <v>279</v>
      </c>
      <c r="Z83" s="12">
        <f ca="1">IFERROR(__xludf.DUMMYFUNCTION("INDEX(IMPORTRANGE(""1y0FWgjbB0gVlqn-q5LMJbGIsqOrzru4yowQz67dz2yc"", ""'SPGG'!BH3:BH139""),MATCH($D83,IMPORTRANGE(""1y0FWgjbB0gVlqn-q5LMJbGIsqOrzru4yowQz67dz2yc"", ""'SPGG'!D3:D139""),0))"),120)</f>
        <v>120</v>
      </c>
      <c r="AA83" s="12">
        <f ca="1">IFERROR(__xludf.DUMMYFUNCTION("INDEX(IMPORTRANGE(""1y0FWgjbB0gVlqn-q5LMJbGIsqOrzru4yowQz67dz2yc"", ""'SPGG'!BI3:BI139""),MATCH($D83,IMPORTRANGE(""1y0FWgjbB0gVlqn-q5LMJbGIsqOrzru4yowQz67dz2yc"", ""'SPGG'!D3:D139""),0))"),267)</f>
        <v>267</v>
      </c>
      <c r="AB83" s="2"/>
      <c r="AC83" s="2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35</v>
      </c>
      <c r="Q84" s="12">
        <v>74</v>
      </c>
      <c r="R84" s="13"/>
      <c r="S84" s="13"/>
      <c r="T84" s="13"/>
      <c r="U84" s="13"/>
      <c r="V84" s="13"/>
      <c r="W84" s="4"/>
      <c r="X84" s="12">
        <v>33</v>
      </c>
      <c r="Y84" s="12">
        <f ca="1">IFERROR(__xludf.DUMMYFUNCTION("INDEX(IMPORTRANGE(""1y0FWgjbB0gVlqn-q5LMJbGIsqOrzru4yowQz67dz2yc"", ""'SPGG'!BG3:BG139""),MATCH($D84,IMPORTRANGE(""1y0FWgjbB0gVlqn-q5LMJbGIsqOrzru4yowQz67dz2yc"", ""'SPGG'!D3:D139""),0))"),66)</f>
        <v>66</v>
      </c>
      <c r="Z84" s="12">
        <f ca="1">IFERROR(__xludf.DUMMYFUNCTION("INDEX(IMPORTRANGE(""1y0FWgjbB0gVlqn-q5LMJbGIsqOrzru4yowQz67dz2yc"", ""'SPGG'!BH3:BH139""),MATCH($D84,IMPORTRANGE(""1y0FWgjbB0gVlqn-q5LMJbGIsqOrzru4yowQz67dz2yc"", ""'SPGG'!D3:D139""),0))"),44)</f>
        <v>44</v>
      </c>
      <c r="AA84" s="12">
        <f ca="1">IFERROR(__xludf.DUMMYFUNCTION("INDEX(IMPORTRANGE(""1y0FWgjbB0gVlqn-q5LMJbGIsqOrzru4yowQz67dz2yc"", ""'SPGG'!BI3:BI139""),MATCH($D84,IMPORTRANGE(""1y0FWgjbB0gVlqn-q5LMJbGIsqOrzru4yowQz67dz2yc"", ""'SPGG'!D3:D139""),0))"),82)</f>
        <v>82</v>
      </c>
      <c r="AB84" s="2"/>
      <c r="AC84" s="2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10</v>
      </c>
      <c r="Q85" s="12">
        <v>23</v>
      </c>
      <c r="R85" s="13"/>
      <c r="S85" s="13"/>
      <c r="T85" s="13"/>
      <c r="U85" s="13"/>
      <c r="V85" s="13"/>
      <c r="W85" s="4"/>
      <c r="X85" s="12">
        <v>21</v>
      </c>
      <c r="Y85" s="12">
        <f ca="1">IFERROR(__xludf.DUMMYFUNCTION("INDEX(IMPORTRANGE(""1y0FWgjbB0gVlqn-q5LMJbGIsqOrzru4yowQz67dz2yc"", ""'SPGG'!BG3:BG139""),MATCH($D85,IMPORTRANGE(""1y0FWgjbB0gVlqn-q5LMJbGIsqOrzru4yowQz67dz2yc"", ""'SPGG'!D3:D139""),0))"),32)</f>
        <v>32</v>
      </c>
      <c r="Z85" s="12">
        <f ca="1">IFERROR(__xludf.DUMMYFUNCTION("INDEX(IMPORTRANGE(""1y0FWgjbB0gVlqn-q5LMJbGIsqOrzru4yowQz67dz2yc"", ""'SPGG'!BH3:BH139""),MATCH($D85,IMPORTRANGE(""1y0FWgjbB0gVlqn-q5LMJbGIsqOrzru4yowQz67dz2yc"", ""'SPGG'!D3:D139""),0))"),8)</f>
        <v>8</v>
      </c>
      <c r="AA85" s="12">
        <f ca="1">IFERROR(__xludf.DUMMYFUNCTION("INDEX(IMPORTRANGE(""1y0FWgjbB0gVlqn-q5LMJbGIsqOrzru4yowQz67dz2yc"", ""'SPGG'!BI3:BI139""),MATCH($D85,IMPORTRANGE(""1y0FWgjbB0gVlqn-q5LMJbGIsqOrzru4yowQz67dz2yc"", ""'SPGG'!D3:D139""),0))"),21)</f>
        <v>21</v>
      </c>
      <c r="AB85" s="2"/>
      <c r="AC85" s="2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2730</v>
      </c>
      <c r="Q86" s="12">
        <v>4964</v>
      </c>
      <c r="R86" s="13"/>
      <c r="S86" s="13"/>
      <c r="T86" s="13"/>
      <c r="U86" s="13"/>
      <c r="V86" s="13"/>
      <c r="W86" s="4"/>
      <c r="X86" s="12">
        <v>2667</v>
      </c>
      <c r="Y86" s="12">
        <f ca="1">IFERROR(__xludf.DUMMYFUNCTION("INDEX(IMPORTRANGE(""1y0FWgjbB0gVlqn-q5LMJbGIsqOrzru4yowQz67dz2yc"", ""'SPGG'!BG3:BG139""),MATCH($D86,IMPORTRANGE(""1y0FWgjbB0gVlqn-q5LMJbGIsqOrzru4yowQz67dz2yc"", ""'SPGG'!D3:D139""),0))"),5494)</f>
        <v>5494</v>
      </c>
      <c r="Z86" s="12">
        <f ca="1">IFERROR(__xludf.DUMMYFUNCTION("INDEX(IMPORTRANGE(""1y0FWgjbB0gVlqn-q5LMJbGIsqOrzru4yowQz67dz2yc"", ""'SPGG'!BH3:BH139""),MATCH($D86,IMPORTRANGE(""1y0FWgjbB0gVlqn-q5LMJbGIsqOrzru4yowQz67dz2yc"", ""'SPGG'!D3:D139""),0))"),3233)</f>
        <v>3233</v>
      </c>
      <c r="AA86" s="12">
        <f ca="1">IFERROR(__xludf.DUMMYFUNCTION("INDEX(IMPORTRANGE(""1y0FWgjbB0gVlqn-q5LMJbGIsqOrzru4yowQz67dz2yc"", ""'SPGG'!BI3:BI139""),MATCH($D86,IMPORTRANGE(""1y0FWgjbB0gVlqn-q5LMJbGIsqOrzru4yowQz67dz2yc"", ""'SPGG'!D3:D139""),0))"),6166)</f>
        <v>6166</v>
      </c>
      <c r="AB86" s="2"/>
      <c r="AC86" s="2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112</v>
      </c>
      <c r="Q87" s="12">
        <v>227</v>
      </c>
      <c r="R87" s="13"/>
      <c r="S87" s="13"/>
      <c r="T87" s="13"/>
      <c r="U87" s="13"/>
      <c r="V87" s="13"/>
      <c r="W87" s="4"/>
      <c r="X87" s="12">
        <v>58</v>
      </c>
      <c r="Y87" s="12">
        <f ca="1">IFERROR(__xludf.DUMMYFUNCTION("INDEX(IMPORTRANGE(""1y0FWgjbB0gVlqn-q5LMJbGIsqOrzru4yowQz67dz2yc"", ""'SPGG'!BG3:BG139""),MATCH($D87,IMPORTRANGE(""1y0FWgjbB0gVlqn-q5LMJbGIsqOrzru4yowQz67dz2yc"", ""'SPGG'!D3:D139""),0))"),218)</f>
        <v>218</v>
      </c>
      <c r="Z87" s="12">
        <f ca="1">IFERROR(__xludf.DUMMYFUNCTION("INDEX(IMPORTRANGE(""1y0FWgjbB0gVlqn-q5LMJbGIsqOrzru4yowQz67dz2yc"", ""'SPGG'!BH3:BH139""),MATCH($D87,IMPORTRANGE(""1y0FWgjbB0gVlqn-q5LMJbGIsqOrzru4yowQz67dz2yc"", ""'SPGG'!D3:D139""),0))"),161)</f>
        <v>161</v>
      </c>
      <c r="AA87" s="12">
        <f ca="1">IFERROR(__xludf.DUMMYFUNCTION("INDEX(IMPORTRANGE(""1y0FWgjbB0gVlqn-q5LMJbGIsqOrzru4yowQz67dz2yc"", ""'SPGG'!BI3:BI139""),MATCH($D87,IMPORTRANGE(""1y0FWgjbB0gVlqn-q5LMJbGIsqOrzru4yowQz67dz2yc"", ""'SPGG'!D3:D139""),0))"),327)</f>
        <v>327</v>
      </c>
      <c r="AB87" s="2"/>
      <c r="AC87" s="2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602</v>
      </c>
      <c r="Q88" s="12">
        <v>1060</v>
      </c>
      <c r="R88" s="13"/>
      <c r="S88" s="13"/>
      <c r="T88" s="13"/>
      <c r="U88" s="13"/>
      <c r="V88" s="13"/>
      <c r="W88" s="4"/>
      <c r="X88" s="12">
        <v>0</v>
      </c>
      <c r="Y88" s="12">
        <f ca="1">IFERROR(__xludf.DUMMYFUNCTION("INDEX(IMPORTRANGE(""1y0FWgjbB0gVlqn-q5LMJbGIsqOrzru4yowQz67dz2yc"", ""'SPGG'!BG3:BG139""),MATCH($D88,IMPORTRANGE(""1y0FWgjbB0gVlqn-q5LMJbGIsqOrzru4yowQz67dz2yc"", ""'SPGG'!D3:D139""),0))"),0)</f>
        <v>0</v>
      </c>
      <c r="Z88" s="12">
        <f ca="1">IFERROR(__xludf.DUMMYFUNCTION("INDEX(IMPORTRANGE(""1y0FWgjbB0gVlqn-q5LMJbGIsqOrzru4yowQz67dz2yc"", ""'SPGG'!BH3:BH139""),MATCH($D88,IMPORTRANGE(""1y0FWgjbB0gVlqn-q5LMJbGIsqOrzru4yowQz67dz2yc"", ""'SPGG'!D3:D139""),0))"),0)</f>
        <v>0</v>
      </c>
      <c r="AA88" s="12">
        <f ca="1">IFERROR(__xludf.DUMMYFUNCTION("INDEX(IMPORTRANGE(""1y0FWgjbB0gVlqn-q5LMJbGIsqOrzru4yowQz67dz2yc"", ""'SPGG'!BI3:BI139""),MATCH($D88,IMPORTRANGE(""1y0FWgjbB0gVlqn-q5LMJbGIsqOrzru4yowQz67dz2yc"", ""'SPGG'!D3:D139""),0))"),0)</f>
        <v>0</v>
      </c>
      <c r="AB88" s="2"/>
      <c r="AC88" s="2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3">SUM(P84:P88)</f>
        <v>3489</v>
      </c>
      <c r="Q89" s="12">
        <f t="shared" si="23"/>
        <v>6348</v>
      </c>
      <c r="R89" s="12">
        <v>6317</v>
      </c>
      <c r="S89" s="12">
        <v>3472</v>
      </c>
      <c r="T89" s="12">
        <v>6317</v>
      </c>
      <c r="U89" s="12">
        <v>3472</v>
      </c>
      <c r="V89" s="12">
        <v>6317</v>
      </c>
      <c r="W89" s="12">
        <v>6285</v>
      </c>
      <c r="X89" s="12">
        <f>SUM(X84:X88)</f>
        <v>2779</v>
      </c>
      <c r="Y89" s="12">
        <f ca="1">IFERROR(__xludf.DUMMYFUNCTION("INDEX(IMPORTRANGE(""1y0FWgjbB0gVlqn-q5LMJbGIsqOrzru4yowQz67dz2yc"", ""'SPGG'!BG3:BG139""),MATCH($D89,IMPORTRANGE(""1y0FWgjbB0gVlqn-q5LMJbGIsqOrzru4yowQz67dz2yc"", ""'SPGG'!D3:D139""),0))"),5810)</f>
        <v>5810</v>
      </c>
      <c r="Z89" s="12">
        <f ca="1">IFERROR(__xludf.DUMMYFUNCTION("INDEX(IMPORTRANGE(""1y0FWgjbB0gVlqn-q5LMJbGIsqOrzru4yowQz67dz2yc"", ""'SPGG'!BH3:BH139""),MATCH($D89,IMPORTRANGE(""1y0FWgjbB0gVlqn-q5LMJbGIsqOrzru4yowQz67dz2yc"", ""'SPGG'!D3:D139""),0))"),3446)</f>
        <v>3446</v>
      </c>
      <c r="AA89" s="12">
        <f ca="1">IFERROR(__xludf.DUMMYFUNCTION("INDEX(IMPORTRANGE(""1y0FWgjbB0gVlqn-q5LMJbGIsqOrzru4yowQz67dz2yc"", ""'SPGG'!BI3:BI139""),MATCH($D89,IMPORTRANGE(""1y0FWgjbB0gVlqn-q5LMJbGIsqOrzru4yowQz67dz2yc"", ""'SPGG'!D3:D139""),0))"),6596)</f>
        <v>6596</v>
      </c>
      <c r="AB89" s="2"/>
      <c r="AC89" s="2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116</v>
      </c>
      <c r="Q90" s="12">
        <v>201</v>
      </c>
      <c r="R90" s="2">
        <v>74</v>
      </c>
      <c r="S90" s="2">
        <v>37</v>
      </c>
      <c r="T90" s="2">
        <v>74</v>
      </c>
      <c r="U90" s="2">
        <v>36</v>
      </c>
      <c r="V90" s="2">
        <v>73</v>
      </c>
      <c r="W90" s="12">
        <v>221</v>
      </c>
      <c r="X90" s="493">
        <v>35</v>
      </c>
      <c r="Y90" s="12">
        <f ca="1">IFERROR(__xludf.DUMMYFUNCTION("INDEX(IMPORTRANGE(""1y0FWgjbB0gVlqn-q5LMJbGIsqOrzru4yowQz67dz2yc"", ""'SPGG'!BG3:BG139""),MATCH($D90,IMPORTRANGE(""1y0FWgjbB0gVlqn-q5LMJbGIsqOrzru4yowQz67dz2yc"", ""'SPGG'!D3:D139""),0))"),106)</f>
        <v>106</v>
      </c>
      <c r="Z90" s="12">
        <f ca="1">IFERROR(__xludf.DUMMYFUNCTION("INDEX(IMPORTRANGE(""1y0FWgjbB0gVlqn-q5LMJbGIsqOrzru4yowQz67dz2yc"", ""'SPGG'!BH3:BH139""),MATCH($D90,IMPORTRANGE(""1y0FWgjbB0gVlqn-q5LMJbGIsqOrzru4yowQz67dz2yc"", ""'SPGG'!D3:D139""),0))"),48)</f>
        <v>48</v>
      </c>
      <c r="AA90" s="12">
        <f ca="1">IFERROR(__xludf.DUMMYFUNCTION("INDEX(IMPORTRANGE(""1y0FWgjbB0gVlqn-q5LMJbGIsqOrzru4yowQz67dz2yc"", ""'SPGG'!BI3:BI139""),MATCH($D90,IMPORTRANGE(""1y0FWgjbB0gVlqn-q5LMJbGIsqOrzru4yowQz67dz2yc"", ""'SPGG'!D3:D139""),0))"),93)</f>
        <v>93</v>
      </c>
      <c r="AB90" s="252"/>
      <c r="AC90" s="252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4"/>
      <c r="Q91" s="2">
        <v>37</v>
      </c>
      <c r="R91" s="2">
        <v>11</v>
      </c>
      <c r="S91" s="2">
        <v>11</v>
      </c>
      <c r="T91" s="2">
        <v>12</v>
      </c>
      <c r="U91" s="2">
        <v>13</v>
      </c>
      <c r="V91" s="2">
        <v>15</v>
      </c>
      <c r="W91" s="12">
        <v>15</v>
      </c>
      <c r="X91" s="12">
        <v>51</v>
      </c>
      <c r="Y91" s="12">
        <f ca="1">IFERROR(__xludf.DUMMYFUNCTION("INDEX(IMPORTRANGE(""1y0FWgjbB0gVlqn-q5LMJbGIsqOrzru4yowQz67dz2yc"", ""'SPGG'!BG3:BG139""),MATCH($D91,IMPORTRANGE(""1y0FWgjbB0gVlqn-q5LMJbGIsqOrzru4yowQz67dz2yc"", ""'SPGG'!D3:D139""),0))"),31)</f>
        <v>31</v>
      </c>
      <c r="Z91" s="12">
        <f ca="1">IFERROR(__xludf.DUMMYFUNCTION("INDEX(IMPORTRANGE(""1y0FWgjbB0gVlqn-q5LMJbGIsqOrzru4yowQz67dz2yc"", ""'SPGG'!BH3:BH139""),MATCH($D91,IMPORTRANGE(""1y0FWgjbB0gVlqn-q5LMJbGIsqOrzru4yowQz67dz2yc"", ""'SPGG'!D3:D139""),0))"),31)</f>
        <v>31</v>
      </c>
      <c r="AA91" s="12">
        <f ca="1">IFERROR(__xludf.DUMMYFUNCTION("INDEX(IMPORTRANGE(""1y0FWgjbB0gVlqn-q5LMJbGIsqOrzru4yowQz67dz2yc"", ""'SPGG'!BI3:BI139""),MATCH($D91,IMPORTRANGE(""1y0FWgjbB0gVlqn-q5LMJbGIsqOrzru4yowQz67dz2yc"", ""'SPGG'!D3:D139""),0))"),33)</f>
        <v>33</v>
      </c>
      <c r="AB91" s="2"/>
      <c r="AC91" s="2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98.4</v>
      </c>
      <c r="Q92" s="12">
        <v>98.4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12">
        <v>96.5</v>
      </c>
      <c r="Y92" s="12">
        <f ca="1">IFERROR(__xludf.DUMMYFUNCTION("INDEX(IMPORTRANGE(""1y0FWgjbB0gVlqn-q5LMJbGIsqOrzru4yowQz67dz2yc"", ""'SPGG'!BG3:BG139""),MATCH($D92,IMPORTRANGE(""1y0FWgjbB0gVlqn-q5LMJbGIsqOrzru4yowQz67dz2yc"", ""'SPGG'!D3:D139""),0))"),100)</f>
        <v>100</v>
      </c>
      <c r="Z92" s="12">
        <f ca="1">IFERROR(__xludf.DUMMYFUNCTION("INDEX(IMPORTRANGE(""1y0FWgjbB0gVlqn-q5LMJbGIsqOrzru4yowQz67dz2yc"", ""'SPGG'!BH3:BH139""),MATCH($D92,IMPORTRANGE(""1y0FWgjbB0gVlqn-q5LMJbGIsqOrzru4yowQz67dz2yc"", ""'SPGG'!D3:D139""),0))"),100)</f>
        <v>100</v>
      </c>
      <c r="AA92" s="12">
        <f ca="1">IFERROR(__xludf.DUMMYFUNCTION("INDEX(IMPORTRANGE(""1y0FWgjbB0gVlqn-q5LMJbGIsqOrzru4yowQz67dz2yc"", ""'SPGG'!BI3:BI139""),MATCH($D92,IMPORTRANGE(""1y0FWgjbB0gVlqn-q5LMJbGIsqOrzru4yowQz67dz2yc"", ""'SPGG'!D3:D139""),0))"),100)</f>
        <v>100</v>
      </c>
      <c r="AB92" s="252"/>
      <c r="AC92" s="252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3">
        <f ca="1">IFERROR(__xludf.DUMMYFUNCTION("INDEX(IMPORTRANGE(""1y0FWgjbB0gVlqn-q5LMJbGIsqOrzru4yowQz67dz2yc"", ""'SPGG'!BG3:BG139""),MATCH($D93,IMPORTRANGE(""1y0FWgjbB0gVlqn-q5LMJbGIsqOrzru4yowQz67dz2yc"", ""'SPGG'!D3:D139""),0))"),4)</f>
        <v>4</v>
      </c>
      <c r="Z93" s="23">
        <f ca="1">IFERROR(__xludf.DUMMYFUNCTION("INDEX(IMPORTRANGE(""1y0FWgjbB0gVlqn-q5LMJbGIsqOrzru4yowQz67dz2yc"", ""'SPGG'!BH3:BH139""),MATCH($D93,IMPORTRANGE(""1y0FWgjbB0gVlqn-q5LMJbGIsqOrzru4yowQz67dz2yc"", ""'SPGG'!D3:D139""),0))"),3.21225832990538)</f>
        <v>3.2122583299053802</v>
      </c>
      <c r="AA93" s="23">
        <f ca="1">IFERROR(__xludf.DUMMYFUNCTION("INDEX(IMPORTRANGE(""1y0FWgjbB0gVlqn-q5LMJbGIsqOrzru4yowQz67dz2yc"", ""'SPGG'!BI3:BI139""),MATCH($D93,IMPORTRANGE(""1y0FWgjbB0gVlqn-q5LMJbGIsqOrzru4yowQz67dz2yc"", ""'SPGG'!D3:D139""),0))"),2.64171122994652)</f>
        <v>2.64171122994652</v>
      </c>
      <c r="AB93" s="252"/>
      <c r="AC93" s="252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484"/>
      <c r="Q94" s="484"/>
      <c r="R94" s="181"/>
      <c r="S94" s="181"/>
      <c r="T94" s="181"/>
      <c r="U94" s="181"/>
      <c r="V94" s="181"/>
      <c r="W94" s="182"/>
      <c r="X94" s="2">
        <v>9</v>
      </c>
      <c r="Y94" s="12">
        <f ca="1">IFERROR(__xludf.DUMMYFUNCTION("INDEX(IMPORTRANGE(""1y0FWgjbB0gVlqn-q5LMJbGIsqOrzru4yowQz67dz2yc"", ""'SPGG'!BG3:BG139""),MATCH($D94,IMPORTRANGE(""1y0FWgjbB0gVlqn-q5LMJbGIsqOrzru4yowQz67dz2yc"", ""'SPGG'!D3:D139""),0))"),10)</f>
        <v>10</v>
      </c>
      <c r="Z94" s="12">
        <f ca="1">IFERROR(__xludf.DUMMYFUNCTION("INDEX(IMPORTRANGE(""1y0FWgjbB0gVlqn-q5LMJbGIsqOrzru4yowQz67dz2yc"", ""'SPGG'!BH3:BH139""),MATCH($D94,IMPORTRANGE(""1y0FWgjbB0gVlqn-q5LMJbGIsqOrzru4yowQz67dz2yc"", ""'SPGG'!D3:D139""),0))"),10)</f>
        <v>10</v>
      </c>
      <c r="AA94" s="12" t="str">
        <f ca="1">IFERROR(__xludf.DUMMYFUNCTION("INDEX(IMPORTRANGE(""1y0FWgjbB0gVlqn-q5LMJbGIsqOrzru4yowQz67dz2yc"", ""'SPGG'!BI3:BI139""),MATCH($D94,IMPORTRANGE(""1y0FWgjbB0gVlqn-q5LMJbGIsqOrzru4yowQz67dz2yc"", ""'SPGG'!D3:D139""),0))"),"")</f>
        <v/>
      </c>
      <c r="AB94" s="252"/>
      <c r="AC94" s="252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484"/>
      <c r="Q95" s="484"/>
      <c r="R95" s="181"/>
      <c r="S95" s="181"/>
      <c r="T95" s="181"/>
      <c r="U95" s="181"/>
      <c r="V95" s="181"/>
      <c r="W95" s="182"/>
      <c r="X95" s="2">
        <v>15</v>
      </c>
      <c r="Y95" s="12">
        <f ca="1">IFERROR(__xludf.DUMMYFUNCTION("INDEX(IMPORTRANGE(""1y0FWgjbB0gVlqn-q5LMJbGIsqOrzru4yowQz67dz2yc"", ""'SPGG'!BG3:BG139""),MATCH($D95,IMPORTRANGE(""1y0FWgjbB0gVlqn-q5LMJbGIsqOrzru4yowQz67dz2yc"", ""'SPGG'!D3:D139""),0))"),13)</f>
        <v>13</v>
      </c>
      <c r="Z95" s="12">
        <f ca="1">IFERROR(__xludf.DUMMYFUNCTION("INDEX(IMPORTRANGE(""1y0FWgjbB0gVlqn-q5LMJbGIsqOrzru4yowQz67dz2yc"", ""'SPGG'!BH3:BH139""),MATCH($D95,IMPORTRANGE(""1y0FWgjbB0gVlqn-q5LMJbGIsqOrzru4yowQz67dz2yc"", ""'SPGG'!D3:D139""),0))"),14)</f>
        <v>14</v>
      </c>
      <c r="AA95" s="12">
        <f ca="1">IFERROR(__xludf.DUMMYFUNCTION("INDEX(IMPORTRANGE(""1y0FWgjbB0gVlqn-q5LMJbGIsqOrzru4yowQz67dz2yc"", ""'SPGG'!BI3:BI139""),MATCH($D95,IMPORTRANGE(""1y0FWgjbB0gVlqn-q5LMJbGIsqOrzru4yowQz67dz2yc"", ""'SPGG'!D3:D139""),0))"),0)</f>
        <v>0</v>
      </c>
      <c r="AB95" s="252"/>
      <c r="AC95" s="252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11">
        <v>44651</v>
      </c>
      <c r="J96" s="181"/>
      <c r="K96" s="11">
        <v>45016</v>
      </c>
      <c r="L96" s="181"/>
      <c r="M96" s="11">
        <v>45382</v>
      </c>
      <c r="N96" s="181"/>
      <c r="O96" s="11">
        <v>45565</v>
      </c>
      <c r="P96" s="484"/>
      <c r="Q96" s="484"/>
      <c r="R96" s="181"/>
      <c r="S96" s="181"/>
      <c r="T96" s="181"/>
      <c r="U96" s="181"/>
      <c r="V96" s="181"/>
      <c r="W96" s="182"/>
      <c r="X96" s="2" t="s">
        <v>447</v>
      </c>
      <c r="Y96" s="12">
        <f ca="1">IFERROR(__xludf.DUMMYFUNCTION("INDEX(IMPORTRANGE(""1y0FWgjbB0gVlqn-q5LMJbGIsqOrzru4yowQz67dz2yc"", ""'SPGG'!BG3:BG139""),MATCH($D96,IMPORTRANGE(""1y0FWgjbB0gVlqn-q5LMJbGIsqOrzru4yowQz67dz2yc"", ""'SPGG'!D3:D139""),0))"),0)</f>
        <v>0</v>
      </c>
      <c r="Z96" s="12">
        <f ca="1">IFERROR(__xludf.DUMMYFUNCTION("INDEX(IMPORTRANGE(""1y0FWgjbB0gVlqn-q5LMJbGIsqOrzru4yowQz67dz2yc"", ""'SPGG'!BH3:BH139""),MATCH($D96,IMPORTRANGE(""1y0FWgjbB0gVlqn-q5LMJbGIsqOrzru4yowQz67dz2yc"", ""'SPGG'!D3:D139""),0))"),0)</f>
        <v>0</v>
      </c>
      <c r="AA96" s="12" t="str">
        <f ca="1">IFERROR(__xludf.DUMMYFUNCTION("INDEX(IMPORTRANGE(""1y0FWgjbB0gVlqn-q5LMJbGIsqOrzru4yowQz67dz2yc"", ""'SPGG'!BI3:BI139""),MATCH($D96,IMPORTRANGE(""1y0FWgjbB0gVlqn-q5LMJbGIsqOrzru4yowQz67dz2yc"", ""'SPGG'!D3:D139""),0))"),"")</f>
        <v/>
      </c>
      <c r="AB96" s="252"/>
      <c r="AC96" s="252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11">
        <v>44651</v>
      </c>
      <c r="J97" s="181"/>
      <c r="K97" s="11">
        <v>45016</v>
      </c>
      <c r="L97" s="181"/>
      <c r="M97" s="11">
        <v>45382</v>
      </c>
      <c r="N97" s="181"/>
      <c r="O97" s="11">
        <v>45565</v>
      </c>
      <c r="P97" s="484"/>
      <c r="Q97" s="484"/>
      <c r="R97" s="181"/>
      <c r="S97" s="181"/>
      <c r="T97" s="181"/>
      <c r="U97" s="181"/>
      <c r="V97" s="181"/>
      <c r="W97" s="182"/>
      <c r="X97" s="2">
        <v>0</v>
      </c>
      <c r="Y97" s="12">
        <f ca="1">IFERROR(__xludf.DUMMYFUNCTION("INDEX(IMPORTRANGE(""1y0FWgjbB0gVlqn-q5LMJbGIsqOrzru4yowQz67dz2yc"", ""'SPGG'!BG3:BG139""),MATCH($D97,IMPORTRANGE(""1y0FWgjbB0gVlqn-q5LMJbGIsqOrzru4yowQz67dz2yc"", ""'SPGG'!D3:D139""),0))"),0)</f>
        <v>0</v>
      </c>
      <c r="Z97" s="12">
        <f ca="1">IFERROR(__xludf.DUMMYFUNCTION("INDEX(IMPORTRANGE(""1y0FWgjbB0gVlqn-q5LMJbGIsqOrzru4yowQz67dz2yc"", ""'SPGG'!BH3:BH139""),MATCH($D97,IMPORTRANGE(""1y0FWgjbB0gVlqn-q5LMJbGIsqOrzru4yowQz67dz2yc"", ""'SPGG'!D3:D139""),0))"),0)</f>
        <v>0</v>
      </c>
      <c r="AA97" s="12">
        <f ca="1">IFERROR(__xludf.DUMMYFUNCTION("INDEX(IMPORTRANGE(""1y0FWgjbB0gVlqn-q5LMJbGIsqOrzru4yowQz67dz2yc"", ""'SPGG'!BI3:BI139""),MATCH($D97,IMPORTRANGE(""1y0FWgjbB0gVlqn-q5LMJbGIsqOrzru4yowQz67dz2yc"", ""'SPGG'!D3:D139""),0))"),0)</f>
        <v>0</v>
      </c>
      <c r="AB97" s="252"/>
      <c r="AC97" s="252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11">
        <v>44651</v>
      </c>
      <c r="J98" s="181"/>
      <c r="K98" s="11">
        <v>45016</v>
      </c>
      <c r="L98" s="181"/>
      <c r="M98" s="11">
        <v>45382</v>
      </c>
      <c r="N98" s="181"/>
      <c r="O98" s="11">
        <v>45565</v>
      </c>
      <c r="P98" s="484"/>
      <c r="Q98" s="484"/>
      <c r="R98" s="181"/>
      <c r="S98" s="181"/>
      <c r="T98" s="181"/>
      <c r="U98" s="181"/>
      <c r="V98" s="181"/>
      <c r="W98" s="182"/>
      <c r="X98" s="2">
        <v>24</v>
      </c>
      <c r="Y98" s="12">
        <f ca="1">IFERROR(__xludf.DUMMYFUNCTION("INDEX(IMPORTRANGE(""1y0FWgjbB0gVlqn-q5LMJbGIsqOrzru4yowQz67dz2yc"", ""'SPGG'!BG3:BG139""),MATCH($D98,IMPORTRANGE(""1y0FWgjbB0gVlqn-q5LMJbGIsqOrzru4yowQz67dz2yc"", ""'SPGG'!D3:D139""),0))"),26)</f>
        <v>26</v>
      </c>
      <c r="Z98" s="12">
        <f ca="1">IFERROR(__xludf.DUMMYFUNCTION("INDEX(IMPORTRANGE(""1y0FWgjbB0gVlqn-q5LMJbGIsqOrzru4yowQz67dz2yc"", ""'SPGG'!BH3:BH139""),MATCH($D98,IMPORTRANGE(""1y0FWgjbB0gVlqn-q5LMJbGIsqOrzru4yowQz67dz2yc"", ""'SPGG'!D3:D139""),0))"),28)</f>
        <v>28</v>
      </c>
      <c r="AA98" s="12" t="str">
        <f ca="1">IFERROR(__xludf.DUMMYFUNCTION("INDEX(IMPORTRANGE(""1y0FWgjbB0gVlqn-q5LMJbGIsqOrzru4yowQz67dz2yc"", ""'SPGG'!BI3:BI139""),MATCH($D98,IMPORTRANGE(""1y0FWgjbB0gVlqn-q5LMJbGIsqOrzru4yowQz67dz2yc"", ""'SPGG'!D3:D139""),0))"),"")</f>
        <v/>
      </c>
      <c r="AB98" s="252"/>
      <c r="AC98" s="252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11">
        <v>44651</v>
      </c>
      <c r="J99" s="181"/>
      <c r="K99" s="11">
        <v>45016</v>
      </c>
      <c r="L99" s="181"/>
      <c r="M99" s="11">
        <v>45382</v>
      </c>
      <c r="N99" s="181"/>
      <c r="O99" s="11">
        <v>45565</v>
      </c>
      <c r="P99" s="484"/>
      <c r="Q99" s="484"/>
      <c r="R99" s="181"/>
      <c r="S99" s="181"/>
      <c r="T99" s="181"/>
      <c r="U99" s="181"/>
      <c r="V99" s="181"/>
      <c r="W99" s="182"/>
      <c r="X99" s="2">
        <v>58</v>
      </c>
      <c r="Y99" s="12">
        <f ca="1">IFERROR(__xludf.DUMMYFUNCTION("INDEX(IMPORTRANGE(""1y0FWgjbB0gVlqn-q5LMJbGIsqOrzru4yowQz67dz2yc"", ""'SPGG'!BG3:BG139""),MATCH($D99,IMPORTRANGE(""1y0FWgjbB0gVlqn-q5LMJbGIsqOrzru4yowQz67dz2yc"", ""'SPGG'!D3:D139""),0))"),57)</f>
        <v>57</v>
      </c>
      <c r="Z99" s="12">
        <f ca="1">IFERROR(__xludf.DUMMYFUNCTION("INDEX(IMPORTRANGE(""1y0FWgjbB0gVlqn-q5LMJbGIsqOrzru4yowQz67dz2yc"", ""'SPGG'!BH3:BH139""),MATCH($D99,IMPORTRANGE(""1y0FWgjbB0gVlqn-q5LMJbGIsqOrzru4yowQz67dz2yc"", ""'SPGG'!D3:D139""),0))"),61)</f>
        <v>61</v>
      </c>
      <c r="AA99" s="12">
        <f ca="1">IFERROR(__xludf.DUMMYFUNCTION("INDEX(IMPORTRANGE(""1y0FWgjbB0gVlqn-q5LMJbGIsqOrzru4yowQz67dz2yc"", ""'SPGG'!BI3:BI139""),MATCH($D99,IMPORTRANGE(""1y0FWgjbB0gVlqn-q5LMJbGIsqOrzru4yowQz67dz2yc"", ""'SPGG'!D3:D139""),0))"),0)</f>
        <v>0</v>
      </c>
      <c r="AB99" s="252"/>
      <c r="AC99" s="252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11">
        <v>44651</v>
      </c>
      <c r="J100" s="181"/>
      <c r="K100" s="11">
        <v>45016</v>
      </c>
      <c r="L100" s="181"/>
      <c r="M100" s="11">
        <v>45382</v>
      </c>
      <c r="N100" s="181"/>
      <c r="O100" s="11">
        <v>45565</v>
      </c>
      <c r="P100" s="484"/>
      <c r="Q100" s="484"/>
      <c r="R100" s="182"/>
      <c r="S100" s="60">
        <v>0.5</v>
      </c>
      <c r="T100" s="4"/>
      <c r="U100" s="60">
        <v>0.5</v>
      </c>
      <c r="V100" s="60">
        <v>0.5</v>
      </c>
      <c r="W100" s="60">
        <v>0.5</v>
      </c>
      <c r="X100" s="15">
        <f>SUM(X94,X96,X98)/SUM(X95,X97,X99)</f>
        <v>0.45205479452054792</v>
      </c>
      <c r="Y100" s="26">
        <f ca="1">IFERROR(__xludf.DUMMYFUNCTION("INDEX(IMPORTRANGE(""1y0FWgjbB0gVlqn-q5LMJbGIsqOrzru4yowQz67dz2yc"", ""'SPGG'!BG3:BG139""),MATCH($D100,IMPORTRANGE(""1y0FWgjbB0gVlqn-q5LMJbGIsqOrzru4yowQz67dz2yc"", ""'SPGG'!D3:D139""),0))"),0.514285714285714)</f>
        <v>0.51428571428571401</v>
      </c>
      <c r="Z100" s="26">
        <f ca="1">IFERROR(__xludf.DUMMYFUNCTION("INDEX(IMPORTRANGE(""1y0FWgjbB0gVlqn-q5LMJbGIsqOrzru4yowQz67dz2yc"", ""'SPGG'!BH3:BH139""),MATCH($D100,IMPORTRANGE(""1y0FWgjbB0gVlqn-q5LMJbGIsqOrzru4yowQz67dz2yc"", ""'SPGG'!D3:D139""),0))"),0.506666666666666)</f>
        <v>0.50666666666666604</v>
      </c>
      <c r="AA100" s="26" t="str">
        <f ca="1">IFERROR(__xludf.DUMMYFUNCTION("INDEX(IMPORTRANGE(""1y0FWgjbB0gVlqn-q5LMJbGIsqOrzru4yowQz67dz2yc"", ""'SPGG'!BI3:BI139""),MATCH($D100,IMPORTRANGE(""1y0FWgjbB0gVlqn-q5LMJbGIsqOrzru4yowQz67dz2yc"", ""'SPGG'!D3:D139""),0))"),"")</f>
        <v/>
      </c>
      <c r="AB100" s="252"/>
      <c r="AC100" s="252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494">
        <v>1461896000</v>
      </c>
      <c r="Q101" s="494">
        <v>1461896000</v>
      </c>
      <c r="R101" s="13"/>
      <c r="S101" s="13"/>
      <c r="T101" s="13"/>
      <c r="U101" s="13"/>
      <c r="V101" s="13"/>
      <c r="W101" s="4"/>
      <c r="X101" s="494">
        <v>1461896000</v>
      </c>
      <c r="Y101" s="249" t="str">
        <f ca="1">IFERROR(__xludf.DUMMYFUNCTION("INDEX(IMPORTRANGE(""1y0FWgjbB0gVlqn-q5LMJbGIsqOrzru4yowQz67dz2yc"", ""'SPGG'!BG3:BG139""),MATCH($D101,IMPORTRANGE(""1y0FWgjbB0gVlqn-q5LMJbGIsqOrzru4yowQz67dz2yc"", ""'SPGG'!D3:D139""),0))"),"")</f>
        <v/>
      </c>
      <c r="Z101" s="36">
        <f ca="1">IFERROR(__xludf.DUMMYFUNCTION("INDEX(IMPORTRANGE(""1y0FWgjbB0gVlqn-q5LMJbGIsqOrzru4yowQz67dz2yc"", ""'SPGG'!BH3:BH139""),MATCH($D101,IMPORTRANGE(""1y0FWgjbB0gVlqn-q5LMJbGIsqOrzru4yowQz67dz2yc"", ""'SPGG'!D3:D139""),0))"),1959485000)</f>
        <v>1959485000</v>
      </c>
      <c r="AA101" s="249" t="str">
        <f ca="1">IFERROR(__xludf.DUMMYFUNCTION("INDEX(IMPORTRANGE(""1y0FWgjbB0gVlqn-q5LMJbGIsqOrzru4yowQz67dz2yc"", ""'SPGG'!BI3:BI139""),MATCH($D101,IMPORTRANGE(""1y0FWgjbB0gVlqn-q5LMJbGIsqOrzru4yowQz67dz2yc"", ""'SPGG'!D3:D139""),0))"),"")</f>
        <v/>
      </c>
      <c r="AB101" s="2"/>
      <c r="AC101" s="2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494">
        <v>3092558000</v>
      </c>
      <c r="Q102" s="494">
        <v>3092558000</v>
      </c>
      <c r="R102" s="13"/>
      <c r="S102" s="13"/>
      <c r="T102" s="13"/>
      <c r="U102" s="13"/>
      <c r="V102" s="13"/>
      <c r="W102" s="4"/>
      <c r="X102" s="494">
        <v>3092558000</v>
      </c>
      <c r="Y102" s="249" t="str">
        <f ca="1">IFERROR(__xludf.DUMMYFUNCTION("INDEX(IMPORTRANGE(""1y0FWgjbB0gVlqn-q5LMJbGIsqOrzru4yowQz67dz2yc"", ""'SPGG'!BG3:BG139""),MATCH($D102,IMPORTRANGE(""1y0FWgjbB0gVlqn-q5LMJbGIsqOrzru4yowQz67dz2yc"", ""'SPGG'!D3:D139""),0))"),"")</f>
        <v/>
      </c>
      <c r="Z102" s="36">
        <f ca="1">IFERROR(__xludf.DUMMYFUNCTION("INDEX(IMPORTRANGE(""1y0FWgjbB0gVlqn-q5LMJbGIsqOrzru4yowQz67dz2yc"", ""'SPGG'!BH3:BH139""),MATCH($D102,IMPORTRANGE(""1y0FWgjbB0gVlqn-q5LMJbGIsqOrzru4yowQz67dz2yc"", ""'SPGG'!D3:D139""),0))"),3835874000)</f>
        <v>3835874000</v>
      </c>
      <c r="AA102" s="249" t="str">
        <f ca="1">IFERROR(__xludf.DUMMYFUNCTION("INDEX(IMPORTRANGE(""1y0FWgjbB0gVlqn-q5LMJbGIsqOrzru4yowQz67dz2yc"", ""'SPGG'!BI3:BI139""),MATCH($D102,IMPORTRANGE(""1y0FWgjbB0gVlqn-q5LMJbGIsqOrzru4yowQz67dz2yc"", ""'SPGG'!D3:D139""),0))"),"")</f>
        <v/>
      </c>
      <c r="AB102" s="2"/>
      <c r="AC102" s="2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4">P101/P102</f>
        <v>0.47271417383279474</v>
      </c>
      <c r="Q103" s="15">
        <f t="shared" si="24"/>
        <v>0.47271417383279474</v>
      </c>
      <c r="R103" s="2"/>
      <c r="S103" s="15">
        <v>0.48</v>
      </c>
      <c r="T103" s="15"/>
      <c r="U103" s="15">
        <v>0.49</v>
      </c>
      <c r="V103" s="15">
        <v>0.49</v>
      </c>
      <c r="W103" s="15">
        <v>0.49</v>
      </c>
      <c r="X103" s="15">
        <f>X101/X102</f>
        <v>0.47271417383279474</v>
      </c>
      <c r="Y103" s="249" t="str">
        <f ca="1">IFERROR(__xludf.DUMMYFUNCTION("INDEX(IMPORTRANGE(""1y0FWgjbB0gVlqn-q5LMJbGIsqOrzru4yowQz67dz2yc"", ""'SPGG'!BG3:BG139""),MATCH($D103,IMPORTRANGE(""1y0FWgjbB0gVlqn-q5LMJbGIsqOrzru4yowQz67dz2yc"", ""'SPGG'!D3:D139""),0))"),"")</f>
        <v/>
      </c>
      <c r="Z103" s="15">
        <f ca="1">IFERROR(__xludf.DUMMYFUNCTION("INDEX(IMPORTRANGE(""1y0FWgjbB0gVlqn-q5LMJbGIsqOrzru4yowQz67dz2yc"", ""'SPGG'!BH3:BH139""),MATCH($D103,IMPORTRANGE(""1y0FWgjbB0gVlqn-q5LMJbGIsqOrzru4yowQz67dz2yc"", ""'SPGG'!D3:D139""),0))"),0.510831429812345)</f>
        <v>0.51083142981234497</v>
      </c>
      <c r="AA103" s="249" t="str">
        <f ca="1">IFERROR(__xludf.DUMMYFUNCTION("INDEX(IMPORTRANGE(""1y0FWgjbB0gVlqn-q5LMJbGIsqOrzru4yowQz67dz2yc"", ""'SPGG'!BI3:BI139""),MATCH($D103,IMPORTRANGE(""1y0FWgjbB0gVlqn-q5LMJbGIsqOrzru4yowQz67dz2yc"", ""'SPGG'!D3:D139""),0))"),"")</f>
        <v/>
      </c>
      <c r="AB103" s="2"/>
      <c r="AC103" s="2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6">
        <v>2295269000</v>
      </c>
      <c r="Q104" s="36">
        <v>2295269000</v>
      </c>
      <c r="R104" s="13"/>
      <c r="S104" s="13"/>
      <c r="T104" s="13"/>
      <c r="U104" s="13"/>
      <c r="V104" s="13"/>
      <c r="W104" s="4"/>
      <c r="X104" s="36">
        <v>2295269000</v>
      </c>
      <c r="Y104" s="249" t="str">
        <f ca="1">IFERROR(__xludf.DUMMYFUNCTION("INDEX(IMPORTRANGE(""1y0FWgjbB0gVlqn-q5LMJbGIsqOrzru4yowQz67dz2yc"", ""'SPGG'!BG3:BG139""),MATCH($D104,IMPORTRANGE(""1y0FWgjbB0gVlqn-q5LMJbGIsqOrzru4yowQz67dz2yc"", ""'SPGG'!D3:D139""),0))"),"")</f>
        <v/>
      </c>
      <c r="Z104" s="36">
        <f ca="1">IFERROR(__xludf.DUMMYFUNCTION("INDEX(IMPORTRANGE(""1y0FWgjbB0gVlqn-q5LMJbGIsqOrzru4yowQz67dz2yc"", ""'SPGG'!BH3:BH139""),MATCH($D104,IMPORTRANGE(""1y0FWgjbB0gVlqn-q5LMJbGIsqOrzru4yowQz67dz2yc"", ""'SPGG'!D3:D139""),0))"),2424080000)</f>
        <v>2424080000</v>
      </c>
      <c r="AA104" s="249" t="str">
        <f ca="1">IFERROR(__xludf.DUMMYFUNCTION("INDEX(IMPORTRANGE(""1y0FWgjbB0gVlqn-q5LMJbGIsqOrzru4yowQz67dz2yc"", ""'SPGG'!BI3:BI139""),MATCH($D104,IMPORTRANGE(""1y0FWgjbB0gVlqn-q5LMJbGIsqOrzru4yowQz67dz2yc"", ""'SPGG'!D3:D139""),0))"),"")</f>
        <v/>
      </c>
      <c r="AB104" s="2"/>
      <c r="AC104" s="2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5">
        <f t="shared" ref="P105:Q105" si="25">P101/P104</f>
        <v>0.63691706723699926</v>
      </c>
      <c r="Q105" s="15">
        <f t="shared" si="25"/>
        <v>0.63691706723699926</v>
      </c>
      <c r="R105" s="2"/>
      <c r="S105" s="15">
        <v>0.66</v>
      </c>
      <c r="T105" s="15"/>
      <c r="U105" s="15">
        <v>0.67</v>
      </c>
      <c r="V105" s="15">
        <v>0.68</v>
      </c>
      <c r="W105" s="15">
        <v>0.68</v>
      </c>
      <c r="X105" s="15">
        <f>X101/X104</f>
        <v>0.63691706723699926</v>
      </c>
      <c r="Y105" s="249" t="str">
        <f ca="1">IFERROR(__xludf.DUMMYFUNCTION("INDEX(IMPORTRANGE(""1y0FWgjbB0gVlqn-q5LMJbGIsqOrzru4yowQz67dz2yc"", ""'SPGG'!BG3:BG139""),MATCH($D105,IMPORTRANGE(""1y0FWgjbB0gVlqn-q5LMJbGIsqOrzru4yowQz67dz2yc"", ""'SPGG'!D3:D139""),0))"),"")</f>
        <v/>
      </c>
      <c r="Z105" s="15">
        <f ca="1">IFERROR(__xludf.DUMMYFUNCTION("INDEX(IMPORTRANGE(""1y0FWgjbB0gVlqn-q5LMJbGIsqOrzru4yowQz67dz2yc"", ""'SPGG'!BH3:BH139""),MATCH($D105,IMPORTRANGE(""1y0FWgjbB0gVlqn-q5LMJbGIsqOrzru4yowQz67dz2yc"", ""'SPGG'!D3:D139""),0))"),0.808341721395333)</f>
        <v>0.808341721395333</v>
      </c>
      <c r="AA105" s="249" t="str">
        <f ca="1">IFERROR(__xludf.DUMMYFUNCTION("INDEX(IMPORTRANGE(""1y0FWgjbB0gVlqn-q5LMJbGIsqOrzru4yowQz67dz2yc"", ""'SPGG'!BI3:BI139""),MATCH($D105,IMPORTRANGE(""1y0FWgjbB0gVlqn-q5LMJbGIsqOrzru4yowQz67dz2yc"", ""'SPGG'!D3:D139""),0))"),"")</f>
        <v/>
      </c>
      <c r="AB105" s="2"/>
      <c r="AC105" s="2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5">
        <v>66960</v>
      </c>
      <c r="Q106" s="5">
        <v>66960</v>
      </c>
      <c r="R106" s="13"/>
      <c r="S106" s="13"/>
      <c r="T106" s="13"/>
      <c r="U106" s="13"/>
      <c r="V106" s="13"/>
      <c r="W106" s="4"/>
      <c r="X106" s="5">
        <v>66960</v>
      </c>
      <c r="Y106" s="249" t="str">
        <f ca="1">IFERROR(__xludf.DUMMYFUNCTION("INDEX(IMPORTRANGE(""1y0FWgjbB0gVlqn-q5LMJbGIsqOrzru4yowQz67dz2yc"", ""'SPGG'!BG3:BG139""),MATCH($D106,IMPORTRANGE(""1y0FWgjbB0gVlqn-q5LMJbGIsqOrzru4yowQz67dz2yc"", ""'SPGG'!D3:D139""),0))"),"")</f>
        <v/>
      </c>
      <c r="Z106" s="12">
        <f ca="1">IFERROR(__xludf.DUMMYFUNCTION("INDEX(IMPORTRANGE(""1y0FWgjbB0gVlqn-q5LMJbGIsqOrzru4yowQz67dz2yc"", ""'SPGG'!BH3:BH139""),MATCH($D106,IMPORTRANGE(""1y0FWgjbB0gVlqn-q5LMJbGIsqOrzru4yowQz67dz2yc"", ""'SPGG'!D3:D139""),0))"),67149)</f>
        <v>67149</v>
      </c>
      <c r="AA106" s="249" t="str">
        <f ca="1">IFERROR(__xludf.DUMMYFUNCTION("INDEX(IMPORTRANGE(""1y0FWgjbB0gVlqn-q5LMJbGIsqOrzru4yowQz67dz2yc"", ""'SPGG'!BI3:BI139""),MATCH($D106,IMPORTRANGE(""1y0FWgjbB0gVlqn-q5LMJbGIsqOrzru4yowQz67dz2yc"", ""'SPGG'!D3:D139""),0))"),"")</f>
        <v/>
      </c>
      <c r="AB106" s="2"/>
      <c r="AC106" s="2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5">
        <v>53789</v>
      </c>
      <c r="Q107" s="5">
        <v>53789</v>
      </c>
      <c r="R107" s="1"/>
      <c r="S107" s="1"/>
      <c r="T107" s="1"/>
      <c r="U107" s="1"/>
      <c r="V107" s="1"/>
      <c r="W107" s="2"/>
      <c r="X107" s="5">
        <v>53789</v>
      </c>
      <c r="Y107" s="249" t="str">
        <f ca="1">IFERROR(__xludf.DUMMYFUNCTION("INDEX(IMPORTRANGE(""1y0FWgjbB0gVlqn-q5LMJbGIsqOrzru4yowQz67dz2yc"", ""'SPGG'!BG3:BG139""),MATCH($D107,IMPORTRANGE(""1y0FWgjbB0gVlqn-q5LMJbGIsqOrzru4yowQz67dz2yc"", ""'SPGG'!D3:D139""),0))"),"")</f>
        <v/>
      </c>
      <c r="Z107" s="12">
        <f ca="1">IFERROR(__xludf.DUMMYFUNCTION("INDEX(IMPORTRANGE(""1y0FWgjbB0gVlqn-q5LMJbGIsqOrzru4yowQz67dz2yc"", ""'SPGG'!BH3:BH139""),MATCH($D107,IMPORTRANGE(""1y0FWgjbB0gVlqn-q5LMJbGIsqOrzru4yowQz67dz2yc"", ""'SPGG'!D3:D139""),0))"),54874)</f>
        <v>54874</v>
      </c>
      <c r="AA107" s="249" t="str">
        <f ca="1">IFERROR(__xludf.DUMMYFUNCTION("INDEX(IMPORTRANGE(""1y0FWgjbB0gVlqn-q5LMJbGIsqOrzru4yowQz67dz2yc"", ""'SPGG'!BI3:BI139""),MATCH($D107,IMPORTRANGE(""1y0FWgjbB0gVlqn-q5LMJbGIsqOrzru4yowQz67dz2yc"", ""'SPGG'!D3:D139""),0))"),"")</f>
        <v/>
      </c>
      <c r="AB107" s="2"/>
      <c r="AC107" s="2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6">P107/P106</f>
        <v>0.80330047789725212</v>
      </c>
      <c r="Q108" s="15">
        <f t="shared" si="26"/>
        <v>0.80330047789725212</v>
      </c>
      <c r="R108" s="2"/>
      <c r="S108" s="15">
        <v>0.8</v>
      </c>
      <c r="T108" s="15"/>
      <c r="U108" s="15">
        <v>0.8</v>
      </c>
      <c r="V108" s="15">
        <v>0.75</v>
      </c>
      <c r="W108" s="15">
        <v>0.75</v>
      </c>
      <c r="X108" s="15">
        <f>X107/X106</f>
        <v>0.80330047789725212</v>
      </c>
      <c r="Y108" s="249" t="str">
        <f ca="1">IFERROR(__xludf.DUMMYFUNCTION("INDEX(IMPORTRANGE(""1y0FWgjbB0gVlqn-q5LMJbGIsqOrzru4yowQz67dz2yc"", ""'SPGG'!BG3:BG139""),MATCH($D108,IMPORTRANGE(""1y0FWgjbB0gVlqn-q5LMJbGIsqOrzru4yowQz67dz2yc"", ""'SPGG'!D3:D139""),0))"),"")</f>
        <v/>
      </c>
      <c r="Z108" s="15">
        <f ca="1">IFERROR(__xludf.DUMMYFUNCTION("INDEX(IMPORTRANGE(""1y0FWgjbB0gVlqn-q5LMJbGIsqOrzru4yowQz67dz2yc"", ""'SPGG'!BH3:BH139""),MATCH($D108,IMPORTRANGE(""1y0FWgjbB0gVlqn-q5LMJbGIsqOrzru4yowQz67dz2yc"", ""'SPGG'!D3:D139""),0))"),0.817197575540961)</f>
        <v>0.81719757554096095</v>
      </c>
      <c r="AA108" s="249" t="str">
        <f ca="1">IFERROR(__xludf.DUMMYFUNCTION("INDEX(IMPORTRANGE(""1y0FWgjbB0gVlqn-q5LMJbGIsqOrzru4yowQz67dz2yc"", ""'SPGG'!BI3:BI139""),MATCH($D108,IMPORTRANGE(""1y0FWgjbB0gVlqn-q5LMJbGIsqOrzru4yowQz67dz2yc"", ""'SPGG'!D3:D139""),0))"),"")</f>
        <v/>
      </c>
      <c r="AB108" s="2"/>
      <c r="AC108" s="2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1"/>
      <c r="S109" s="1"/>
      <c r="T109" s="1"/>
      <c r="U109" s="1"/>
      <c r="V109" s="1"/>
      <c r="W109" s="499"/>
      <c r="X109" s="500"/>
      <c r="Y109" s="249" t="str">
        <f ca="1">IFERROR(__xludf.DUMMYFUNCTION("INDEX(IMPORTRANGE(""1y0FWgjbB0gVlqn-q5LMJbGIsqOrzru4yowQz67dz2yc"", ""'SPGG'!BG3:BG139""),MATCH($D109,IMPORTRANGE(""1y0FWgjbB0gVlqn-q5LMJbGIsqOrzru4yowQz67dz2yc"", ""'SPGG'!D3:D139""),0))"),"")</f>
        <v/>
      </c>
      <c r="Z109" s="36">
        <f ca="1">IFERROR(__xludf.DUMMYFUNCTION("INDEX(IMPORTRANGE(""1y0FWgjbB0gVlqn-q5LMJbGIsqOrzru4yowQz67dz2yc"", ""'SPGG'!BH3:BH139""),MATCH($D109,IMPORTRANGE(""1y0FWgjbB0gVlqn-q5LMJbGIsqOrzru4yowQz67dz2yc"", ""'SPGG'!D3:D139""),0))"),978250587)</f>
        <v>978250587</v>
      </c>
      <c r="AA109" s="249" t="str">
        <f ca="1">IFERROR(__xludf.DUMMYFUNCTION("INDEX(IMPORTRANGE(""1y0FWgjbB0gVlqn-q5LMJbGIsqOrzru4yowQz67dz2yc"", ""'SPGG'!BI3:BI139""),MATCH($D109,IMPORTRANGE(""1y0FWgjbB0gVlqn-q5LMJbGIsqOrzru4yowQz67dz2yc"", ""'SPGG'!D3:D139""),0))"),"")</f>
        <v/>
      </c>
      <c r="AB109" s="2"/>
      <c r="AC109" s="2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36">
        <v>846769779</v>
      </c>
      <c r="Q110" s="36">
        <v>846769779</v>
      </c>
      <c r="R110" s="2"/>
      <c r="S110" s="349">
        <v>892000000</v>
      </c>
      <c r="T110" s="349"/>
      <c r="U110" s="349">
        <v>920000000</v>
      </c>
      <c r="V110" s="349">
        <v>880000000</v>
      </c>
      <c r="W110" s="36">
        <v>880000000</v>
      </c>
      <c r="X110" s="36">
        <v>846769779</v>
      </c>
      <c r="Y110" s="249" t="str">
        <f ca="1">IFERROR(__xludf.DUMMYFUNCTION("INDEX(IMPORTRANGE(""1y0FWgjbB0gVlqn-q5LMJbGIsqOrzru4yowQz67dz2yc"", ""'SPGG'!BG3:BG139""),MATCH($D110,IMPORTRANGE(""1y0FWgjbB0gVlqn-q5LMJbGIsqOrzru4yowQz67dz2yc"", ""'SPGG'!D3:D139""),0))"),"")</f>
        <v/>
      </c>
      <c r="Z110" s="36">
        <f ca="1">IFERROR(__xludf.DUMMYFUNCTION("INDEX(IMPORTRANGE(""1y0FWgjbB0gVlqn-q5LMJbGIsqOrzru4yowQz67dz2yc"", ""'SPGG'!BH3:BH139""),MATCH($D110,IMPORTRANGE(""1y0FWgjbB0gVlqn-q5LMJbGIsqOrzru4yowQz67dz2yc"", ""'SPGG'!D3:D139""),0))"),1020323231)</f>
        <v>1020323231</v>
      </c>
      <c r="AA110" s="249" t="str">
        <f ca="1">IFERROR(__xludf.DUMMYFUNCTION("INDEX(IMPORTRANGE(""1y0FWgjbB0gVlqn-q5LMJbGIsqOrzru4yowQz67dz2yc"", ""'SPGG'!BI3:BI139""),MATCH($D110,IMPORTRANGE(""1y0FWgjbB0gVlqn-q5LMJbGIsqOrzru4yowQz67dz2yc"", ""'SPGG'!D3:D139""),0))"),"")</f>
        <v/>
      </c>
      <c r="AB110" s="2"/>
      <c r="AC110" s="2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3142218000</v>
      </c>
      <c r="Q111" s="36">
        <v>3142218000</v>
      </c>
      <c r="R111" s="13"/>
      <c r="S111" s="13"/>
      <c r="T111" s="13"/>
      <c r="U111" s="13"/>
      <c r="V111" s="13"/>
      <c r="W111" s="4"/>
      <c r="X111" s="36">
        <v>3142218000</v>
      </c>
      <c r="Y111" s="249" t="str">
        <f ca="1">IFERROR(__xludf.DUMMYFUNCTION("INDEX(IMPORTRANGE(""1y0FWgjbB0gVlqn-q5LMJbGIsqOrzru4yowQz67dz2yc"", ""'SPGG'!BG3:BG139""),MATCH($D111,IMPORTRANGE(""1y0FWgjbB0gVlqn-q5LMJbGIsqOrzru4yowQz67dz2yc"", ""'SPGG'!D3:D139""),0))"),"")</f>
        <v/>
      </c>
      <c r="Z111" s="36">
        <f ca="1">IFERROR(__xludf.DUMMYFUNCTION("INDEX(IMPORTRANGE(""1y0FWgjbB0gVlqn-q5LMJbGIsqOrzru4yowQz67dz2yc"", ""'SPGG'!BH3:BH139""),MATCH($D111,IMPORTRANGE(""1y0FWgjbB0gVlqn-q5LMJbGIsqOrzru4yowQz67dz2yc"", ""'SPGG'!D3:D139""),0))"),3183724000)</f>
        <v>3183724000</v>
      </c>
      <c r="AA111" s="249" t="str">
        <f ca="1">IFERROR(__xludf.DUMMYFUNCTION("INDEX(IMPORTRANGE(""1y0FWgjbB0gVlqn-q5LMJbGIsqOrzru4yowQz67dz2yc"", ""'SPGG'!BI3:BI139""),MATCH($D111,IMPORTRANGE(""1y0FWgjbB0gVlqn-q5LMJbGIsqOrzru4yowQz67dz2yc"", ""'SPGG'!D3:D139""),0))"),"")</f>
        <v/>
      </c>
      <c r="AB111" s="2"/>
      <c r="AC111" s="2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7" t="s">
        <v>215</v>
      </c>
      <c r="J112" s="13"/>
      <c r="K112" s="7" t="s">
        <v>216</v>
      </c>
      <c r="L112" s="13"/>
      <c r="M112" s="7" t="s">
        <v>217</v>
      </c>
      <c r="N112" s="1" t="s">
        <v>218</v>
      </c>
      <c r="O112" s="1" t="s">
        <v>218</v>
      </c>
      <c r="P112" s="15">
        <f t="shared" ref="P112:Q112" si="27">P104/P111</f>
        <v>0.73046141292551947</v>
      </c>
      <c r="Q112" s="15">
        <f t="shared" si="27"/>
        <v>0.73046141292551947</v>
      </c>
      <c r="R112" s="2"/>
      <c r="S112" s="15">
        <v>0.73</v>
      </c>
      <c r="T112" s="15"/>
      <c r="U112" s="15">
        <v>0.73</v>
      </c>
      <c r="V112" s="15">
        <v>0.74</v>
      </c>
      <c r="W112" s="15">
        <v>0.74</v>
      </c>
      <c r="X112" s="15">
        <f>X104/X111</f>
        <v>0.73046141292551947</v>
      </c>
      <c r="Y112" s="249" t="str">
        <f ca="1">IFERROR(__xludf.DUMMYFUNCTION("INDEX(IMPORTRANGE(""1y0FWgjbB0gVlqn-q5LMJbGIsqOrzru4yowQz67dz2yc"", ""'SPGG'!BG3:BG139""),MATCH($D112,IMPORTRANGE(""1y0FWgjbB0gVlqn-q5LMJbGIsqOrzru4yowQz67dz2yc"", ""'SPGG'!D3:D139""),0))"),"")</f>
        <v/>
      </c>
      <c r="Z112" s="15">
        <f ca="1">IFERROR(__xludf.DUMMYFUNCTION("INDEX(IMPORTRANGE(""1y0FWgjbB0gVlqn-q5LMJbGIsqOrzru4yowQz67dz2yc"", ""'SPGG'!BH3:BH139""),MATCH($D112,IMPORTRANGE(""1y0FWgjbB0gVlqn-q5LMJbGIsqOrzru4yowQz67dz2yc"", ""'SPGG'!D3:D139""),0))"),0.761397658842286)</f>
        <v>0.76139765884228605</v>
      </c>
      <c r="AA112" s="249" t="str">
        <f ca="1">IFERROR(__xludf.DUMMYFUNCTION("INDEX(IMPORTRANGE(""1y0FWgjbB0gVlqn-q5LMJbGIsqOrzru4yowQz67dz2yc"", ""'SPGG'!BI3:BI139""),MATCH($D112,IMPORTRANGE(""1y0FWgjbB0gVlqn-q5LMJbGIsqOrzru4yowQz67dz2yc"", ""'SPGG'!D3:D139""),0))"),"")</f>
        <v/>
      </c>
      <c r="AB112" s="2"/>
      <c r="AC112" s="2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3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2" t="s">
        <v>308</v>
      </c>
      <c r="Q113" s="2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49" t="str">
        <f ca="1">IFERROR(__xludf.DUMMYFUNCTION("INDEX(IMPORTRANGE(""1y0FWgjbB0gVlqn-q5LMJbGIsqOrzru4yowQz67dz2yc"", ""'SPGG'!BG3:BG139""),MATCH($D113,IMPORTRANGE(""1y0FWgjbB0gVlqn-q5LMJbGIsqOrzru4yowQz67dz2yc"", ""'SPGG'!D3:D139""),0))"),"")</f>
        <v/>
      </c>
      <c r="Z113" s="12" t="str">
        <f ca="1">IFERROR(__xludf.DUMMYFUNCTION("INDEX(IMPORTRANGE(""1y0FWgjbB0gVlqn-q5LMJbGIsqOrzru4yowQz67dz2yc"", ""'SPGG'!BH3:BH139""),MATCH($D113,IMPORTRANGE(""1y0FWgjbB0gVlqn-q5LMJbGIsqOrzru4yowQz67dz2yc"", ""'SPGG'!D3:D139""),0))"),"Verde")</f>
        <v>Verde</v>
      </c>
      <c r="AA113" s="249" t="str">
        <f ca="1">IFERROR(__xludf.DUMMYFUNCTION("INDEX(IMPORTRANGE(""1y0FWgjbB0gVlqn-q5LMJbGIsqOrzru4yowQz67dz2yc"", ""'SPGG'!BI3:BI139""),MATCH($D113,IMPORTRANGE(""1y0FWgjbB0gVlqn-q5LMJbGIsqOrzru4yowQz67dz2yc"", ""'SPGG'!D3:D139""),0))"),"")</f>
        <v/>
      </c>
      <c r="AB113" s="2"/>
      <c r="AC113" s="2"/>
    </row>
    <row r="114" spans="1:29">
      <c r="A114" s="1"/>
      <c r="B114" s="1"/>
      <c r="C114" s="1"/>
      <c r="D114" s="1"/>
      <c r="E114" s="2"/>
      <c r="F114" s="1"/>
      <c r="G114" s="11" t="s">
        <v>307</v>
      </c>
      <c r="H114" s="13"/>
      <c r="I114" s="1"/>
      <c r="J114" s="1"/>
      <c r="K114" s="1"/>
      <c r="L114" s="1"/>
      <c r="M114" s="1"/>
      <c r="N114" s="1"/>
      <c r="O114" s="1"/>
      <c r="P114" s="2"/>
      <c r="Q114" s="2" t="s">
        <v>448</v>
      </c>
      <c r="R114" s="1"/>
      <c r="S114" s="1"/>
      <c r="T114" s="1"/>
      <c r="U114" s="1"/>
      <c r="V114" s="1"/>
      <c r="W114" s="2"/>
      <c r="X114" s="2"/>
      <c r="Y114" s="2"/>
      <c r="Z114" s="5"/>
      <c r="AA114" s="5"/>
      <c r="AB114" s="2"/>
      <c r="AC114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33641-D9D4-BB4C-A90D-820A47017AF8}">
  <dimension ref="A1:M31"/>
  <sheetViews>
    <sheetView workbookViewId="0">
      <selection activeCell="G2" sqref="G2"/>
    </sheetView>
  </sheetViews>
  <sheetFormatPr baseColWidth="10" defaultRowHeight="16"/>
  <cols>
    <col min="1" max="1" width="10.83203125" style="118"/>
    <col min="4" max="4" width="13.5" customWidth="1"/>
    <col min="5" max="5" width="13.16406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SPGG'!$D$3:$Y$113,4,0)</f>
        <v>44469</v>
      </c>
      <c r="E2" s="76">
        <f>VLOOKUP(C2,'BD EVA 3 SPGG'!$D$3:$Q$110,14,0)</f>
        <v>524</v>
      </c>
      <c r="F2" s="75">
        <f>VLOOKUP(C2,'BD EVA 3 SPGG'!$D$3:$AC$113,9,0)</f>
        <v>45199</v>
      </c>
      <c r="G2" s="76">
        <f ca="1">VLOOKUP(C2,'BD EVA 3 SPGG'!$D$3:$AC$113,24,0)</f>
        <v>609</v>
      </c>
      <c r="H2" s="76">
        <f>VLOOKUP(C2,'BD EVA 3 SPGG'!$D$3:$AC$113,17,0)</f>
        <v>560</v>
      </c>
      <c r="I2" s="78">
        <f ca="1">IF(G2&gt;=E2,G2/H2,0)</f>
        <v>1.0874999999999999</v>
      </c>
      <c r="J2" s="72" t="s">
        <v>316</v>
      </c>
      <c r="K2" s="81">
        <v>2.7</v>
      </c>
      <c r="L2" s="81">
        <f t="shared" ref="L2:L31" ca="1" si="0">IF(I2&lt;0,0,IF(I2&gt;1,K2,I2*K2))</f>
        <v>2.7</v>
      </c>
      <c r="M2" s="124">
        <f ca="1">SUM(L2:L4)</f>
        <v>10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3 SPGG'!$D$3:$Y$113,4,0)</f>
        <v>44469</v>
      </c>
      <c r="E3" s="207">
        <f>VLOOKUP(C3,'BD EVA 3 SPGG'!$D$3:$Q$110,14,0)</f>
        <v>0.95992366412213737</v>
      </c>
      <c r="F3" s="75">
        <f>VLOOKUP(C3,'BD EVA 3 SPGG'!$D$3:$AC$113,9,0)</f>
        <v>45199</v>
      </c>
      <c r="G3" s="207">
        <f ca="1">VLOOKUP(C3,'BD EVA 3 SPGG'!$D$3:$AC$113,24,0)</f>
        <v>0.97701149425287304</v>
      </c>
      <c r="H3" s="207" t="str">
        <f>VLOOKUP(C3,'BD EVA 3 SPGG'!$D$3:$AC$113,17,0)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3 SPGG'!$D$3:$Y$113,4,0)</f>
        <v>44469</v>
      </c>
      <c r="E4" s="207">
        <f>VLOOKUP(C4,'BD EVA 3 SPGG'!$D$3:$Q$110,14,0)</f>
        <v>0</v>
      </c>
      <c r="F4" s="75">
        <f>VLOOKUP(C4,'BD EVA 3 SPGG'!$D$3:$AC$113,9,0)</f>
        <v>45199</v>
      </c>
      <c r="G4" s="207">
        <f ca="1">VLOOKUP(C4,'BD EVA 3 SPGG'!$D$3:$AC$113,24,0)</f>
        <v>1.3136288998357899E-2</v>
      </c>
      <c r="H4" s="207">
        <f>VLOOKUP(C4,'BD EVA 3 SPGG'!$D$3:$AC$113,17,0)</f>
        <v>1.2999999999999999E-2</v>
      </c>
      <c r="I4" s="77">
        <f t="shared" ref="I4:I5" ca="1" si="1">G4/H4</f>
        <v>1.0104837691044539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428</v>
      </c>
      <c r="C5" s="72" t="s">
        <v>66</v>
      </c>
      <c r="D5" s="75" t="str">
        <f>VLOOKUP(C5,'BD EVA 3 SPGG'!$D$3:$Y$113,4,0)</f>
        <v>octubre 20 - mar 21</v>
      </c>
      <c r="E5" s="207">
        <f>VLOOKUP(C5,'BD EVA 3 SPGG'!$D$3:$Q$110,14,0)</f>
        <v>8.7824351297405193E-2</v>
      </c>
      <c r="F5" s="75" t="str">
        <f>VLOOKUP(C5,'BD EVA 3 SPGG'!$D$3:$AC$113,9,0)</f>
        <v>octubre 22 - septiembre 23</v>
      </c>
      <c r="G5" s="207">
        <f ca="1">VLOOKUP(C5,'BD EVA 3 SPGG'!$D$3:$AC$113,24,0)</f>
        <v>4.3329532497149298E-2</v>
      </c>
      <c r="H5" s="207">
        <f>VLOOKUP(C5,'BD EVA 3 SPGG'!$D$3:$AC$113,17,0)</f>
        <v>4.0000000000000001E-3</v>
      </c>
      <c r="I5" s="77">
        <f t="shared" ca="1" si="1"/>
        <v>10.832383124287324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3 SPGG'!$D$3:$Y$113,4,0)</f>
        <v>octubre 20 - mar 21</v>
      </c>
      <c r="E6" s="213">
        <f>VLOOKUP(C6,'BD EVA 3 SPGG'!$D$3:$Q$110,14,0)</f>
        <v>6.4773831372125672</v>
      </c>
      <c r="F6" s="75" t="str">
        <f>VLOOKUP(C6,'BD EVA 3 SPGG'!$D$3:$AC$113,9,0)</f>
        <v>octubre 22 - septiembre 23</v>
      </c>
      <c r="G6" s="213">
        <f ca="1">VLOOKUP(C6,'BD EVA 3 SPGG'!$D$3:$AC$113,24,0)</f>
        <v>9.1408963703609896</v>
      </c>
      <c r="H6" s="213">
        <f>VLOOKUP(C6,'BD EVA 3 SPGG'!$D$3:$AC$113,17,0)</f>
        <v>5.85</v>
      </c>
      <c r="I6" s="78">
        <f t="shared" ref="I6:I10" ca="1" si="2">(G6-E6)/(H6-E6)</f>
        <v>-4.2454332530872296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3 SPGG'!$D$3:$Y$113,4,0)</f>
        <v>octubre 20 - mar 21</v>
      </c>
      <c r="E7" s="213">
        <f>VLOOKUP(C7,'BD EVA 3 SPGG'!$D$3:$Q$110,14,0)</f>
        <v>113.71405951995395</v>
      </c>
      <c r="F7" s="75" t="str">
        <f>VLOOKUP(C7,'BD EVA 3 SPGG'!$D$3:$AC$113,9,0)</f>
        <v>octubre 22 - septiembre 23</v>
      </c>
      <c r="G7" s="213">
        <f ca="1">VLOOKUP(C7,'BD EVA 3 SPGG'!$D$3:$AC$113,24,0)</f>
        <v>94.221547202182506</v>
      </c>
      <c r="H7" s="213">
        <f>VLOOKUP(C7,'BD EVA 3 SPGG'!$D$3:$AC$113,17,0)</f>
        <v>103</v>
      </c>
      <c r="I7" s="78">
        <f t="shared" ca="1" si="2"/>
        <v>1.8193395585929342</v>
      </c>
      <c r="J7" s="71" t="s">
        <v>319</v>
      </c>
      <c r="K7" s="209">
        <v>1.6</v>
      </c>
      <c r="L7" s="209">
        <f t="shared" ca="1" si="0"/>
        <v>1.6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3 SPGG'!$D$3:$Y$113,4,0)</f>
        <v>octubre 20 - mar 21</v>
      </c>
      <c r="E8" s="213">
        <f>VLOOKUP(C8,'BD EVA 3 SPGG'!$D$3:$Q$110,14,0)</f>
        <v>215.1930620029508</v>
      </c>
      <c r="F8" s="75" t="str">
        <f>VLOOKUP(C8,'BD EVA 3 SPGG'!$D$3:$AC$113,9,0)</f>
        <v>octubre 22 - septiembre 23</v>
      </c>
      <c r="G8" s="213">
        <f ca="1">VLOOKUP(C8,'BD EVA 3 SPGG'!$D$3:$AC$113,24,0)</f>
        <v>139.92602905398701</v>
      </c>
      <c r="H8" s="213">
        <f>VLOOKUP(C8,'BD EVA 3 SPGG'!$D$3:$AC$113,17,0)</f>
        <v>213.7</v>
      </c>
      <c r="I8" s="78">
        <f t="shared" ca="1" si="2"/>
        <v>50.411190426258294</v>
      </c>
      <c r="J8" s="71" t="s">
        <v>319</v>
      </c>
      <c r="K8" s="209">
        <v>1.7</v>
      </c>
      <c r="L8" s="209">
        <f t="shared" ca="1" si="0"/>
        <v>1.7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3 SPGG'!$D$3:$Y$113,4,0)</f>
        <v>octubre 20 - mar 21</v>
      </c>
      <c r="E9" s="213">
        <f>VLOOKUP(C9,'BD EVA 3 SPGG'!$D$3:$Q$110,14,0)</f>
        <v>53.978192810104723</v>
      </c>
      <c r="F9" s="75" t="str">
        <f>VLOOKUP(C9,'BD EVA 3 SPGG'!$D$3:$AC$113,9,0)</f>
        <v>octubre 22 - septiembre 23</v>
      </c>
      <c r="G9" s="213">
        <f ca="1">VLOOKUP(C9,'BD EVA 3 SPGG'!$D$3:$AC$113,24,0)</f>
        <v>31.641564358941899</v>
      </c>
      <c r="H9" s="213">
        <f>VLOOKUP(C9,'BD EVA 3 SPGG'!$D$3:$AC$113,17,0)</f>
        <v>53.6</v>
      </c>
      <c r="I9" s="78">
        <f t="shared" ca="1" si="2"/>
        <v>59.061483598743784</v>
      </c>
      <c r="J9" s="71" t="s">
        <v>319</v>
      </c>
      <c r="K9" s="209">
        <v>1.7</v>
      </c>
      <c r="L9" s="209">
        <f t="shared" ca="1" si="0"/>
        <v>1.7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3 SPGG'!$D$3:$Y$113,4,0)</f>
        <v>octubre 20 - mar 21</v>
      </c>
      <c r="E10" s="213">
        <f>VLOOKUP(C10,'BD EVA 3 SPGG'!$D$3:$Q$110,14,0)</f>
        <v>10.795638562020944</v>
      </c>
      <c r="F10" s="75" t="str">
        <f>VLOOKUP(C10,'BD EVA 3 SPGG'!$D$3:$AC$113,9,0)</f>
        <v>octubre 22 - septiembre 23</v>
      </c>
      <c r="G10" s="213">
        <f ca="1">VLOOKUP(C10,'BD EVA 3 SPGG'!$D$3:$AC$113,24,0)</f>
        <v>9.1408963703609896</v>
      </c>
      <c r="H10" s="213">
        <f>VLOOKUP(C10,'BD EVA 3 SPGG'!$D$3:$AC$113,17,0)</f>
        <v>10.7</v>
      </c>
      <c r="I10" s="78">
        <f t="shared" ca="1" si="2"/>
        <v>17.302039644819949</v>
      </c>
      <c r="J10" s="71" t="s">
        <v>319</v>
      </c>
      <c r="K10" s="209">
        <v>1.7</v>
      </c>
      <c r="L10" s="209">
        <f t="shared" ca="1" si="0"/>
        <v>1.7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3 SPGG'!$D$3:$Y$113,4,0)</f>
        <v>44469</v>
      </c>
      <c r="E11" s="78">
        <f>VLOOKUP(C11,'BD EVA 3 SPGG'!$D$3:$Q$110,14,0)</f>
        <v>0</v>
      </c>
      <c r="F11" s="75">
        <f>VLOOKUP(C11,'BD EVA 3 SPGG'!$D$3:$AC$113,9,0)</f>
        <v>45199</v>
      </c>
      <c r="G11" s="78">
        <f ca="1">VLOOKUP(C11,'BD EVA 3 SPGG'!$D$3:$AC$113,24,0)</f>
        <v>0.14754836999734899</v>
      </c>
      <c r="H11" s="78">
        <f>VLOOKUP(C11,'BD EVA 3 SPGG'!$D$3:$AC$116,16,0)</f>
        <v>5.8000000000000003E-2</v>
      </c>
      <c r="I11" s="77">
        <f t="shared" ref="I11:I12" ca="1" si="3">IF(H11="Sin meta",0,G11/H11)</f>
        <v>2.5439374137473965</v>
      </c>
      <c r="J11" s="89" t="s">
        <v>318</v>
      </c>
      <c r="K11" s="71">
        <v>1.1000000000000001</v>
      </c>
      <c r="L11" s="211">
        <f t="shared" ca="1" si="0"/>
        <v>1.1000000000000001</v>
      </c>
      <c r="M11" s="130">
        <f ca="1">SUM(L11:L15)</f>
        <v>10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3 SPGG'!$D$3:$Y$113,4,0)</f>
        <v>octubre 20 - mar 21</v>
      </c>
      <c r="E12" s="337">
        <f>VLOOKUP(C12,'BD EVA 3 SPGG'!$D$3:$Q$110,14,0)</f>
        <v>0</v>
      </c>
      <c r="F12" s="75" t="str">
        <f>VLOOKUP(C12,'BD EVA 3 SPGG'!$D$3:$AC$113,9,0)</f>
        <v>octubre 22 - septiembre 23</v>
      </c>
      <c r="G12" s="210">
        <f ca="1">VLOOKUP(C12,'BD EVA 3 SPGG'!$D$3:$AC$113,24,0)</f>
        <v>1.20773801997724E-2</v>
      </c>
      <c r="H12" s="78">
        <f>VLOOKUP(C12,'BD EVA 3 SPGG'!$D$3:$AC$116,16,0)</f>
        <v>9.9000000000000008E-3</v>
      </c>
      <c r="I12" s="77">
        <f t="shared" ca="1" si="3"/>
        <v>1.219937393916404</v>
      </c>
      <c r="J12" s="75" t="s">
        <v>318</v>
      </c>
      <c r="K12" s="71">
        <v>1.1000000000000001</v>
      </c>
      <c r="L12" s="211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3 SPGG'!$D$3:$Y$113,4,0)</f>
        <v>octubre 20 - mar 21</v>
      </c>
      <c r="E13" s="212">
        <f>VLOOKUP(C13,'BD EVA 3 SPGG'!$D$3:$Q$110,14,0)</f>
        <v>0</v>
      </c>
      <c r="F13" s="75" t="str">
        <f>VLOOKUP(C13,'BD EVA 3 SPGG'!$D$3:$AC$113,9,0)</f>
        <v>octubre 21 - septiembre 23</v>
      </c>
      <c r="G13" s="212">
        <f ca="1">VLOOKUP(C13,'BD EVA 3 SPGG'!$D$3:$AC$113,24,0)</f>
        <v>1</v>
      </c>
      <c r="H13" s="212">
        <f>VLOOKUP(C13,'BD EVA 3 SPGG'!$D$3:$AC$113,17,0)</f>
        <v>1</v>
      </c>
      <c r="I13" s="78">
        <f t="shared" ref="I13:I15" ca="1" si="4">G13/H13</f>
        <v>1</v>
      </c>
      <c r="J13" s="75" t="s">
        <v>318</v>
      </c>
      <c r="K13" s="82">
        <v>2.35</v>
      </c>
      <c r="L13" s="211">
        <f t="shared" ca="1" si="0"/>
        <v>2.35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3 SPGG'!$D$3:$Y$113,4,0)</f>
        <v>octubre 20 - mar 21</v>
      </c>
      <c r="E14" s="212">
        <f>VLOOKUP(C14,'BD EVA 3 SPGG'!$D$3:$Q$110,14,0)</f>
        <v>4249</v>
      </c>
      <c r="F14" s="75" t="str">
        <f>VLOOKUP(C14,'BD EVA 3 SPGG'!$D$3:$AC$113,9,0)</f>
        <v>octubre 21 - septiembre 23</v>
      </c>
      <c r="G14" s="212">
        <f ca="1">VLOOKUP(C14,'BD EVA 3 SPGG'!$D$3:$AC$113,24,0)</f>
        <v>3380</v>
      </c>
      <c r="H14" s="212">
        <f>VLOOKUP(C14,'BD EVA 3 SPGG'!$D$3:$AC$113,17,0)</f>
        <v>2710</v>
      </c>
      <c r="I14" s="78">
        <f t="shared" ca="1" si="4"/>
        <v>1.2472324723247232</v>
      </c>
      <c r="J14" s="75" t="s">
        <v>318</v>
      </c>
      <c r="K14" s="82">
        <v>2.35</v>
      </c>
      <c r="L14" s="211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3 SPGG'!$D$3:$Y$113,4,0)</f>
        <v>octubre 20 - mar 21</v>
      </c>
      <c r="E15" s="212">
        <f>VLOOKUP(C15,'BD EVA 3 SPGG'!$D$3:$Q$110,14,0)</f>
        <v>3</v>
      </c>
      <c r="F15" s="75" t="str">
        <f>VLOOKUP(C15,'BD EVA 3 SPGG'!$D$3:$AC$113,9,0)</f>
        <v>octubre 21 - septiembre 23</v>
      </c>
      <c r="G15" s="212">
        <f ca="1">VLOOKUP(C15,'BD EVA 3 SPGG'!$D$3:$AC$113,24,0)</f>
        <v>77</v>
      </c>
      <c r="H15" s="212">
        <f>VLOOKUP(C15,'BD EVA 3 SPGG'!$D$3:$AC$113,17,0)</f>
        <v>43</v>
      </c>
      <c r="I15" s="78">
        <f t="shared" ca="1" si="4"/>
        <v>1.7906976744186047</v>
      </c>
      <c r="J15" s="75" t="s">
        <v>318</v>
      </c>
      <c r="K15" s="71">
        <v>3.1</v>
      </c>
      <c r="L15" s="211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SPGG'!$D$3:$Y$113,4,0)</f>
        <v>44469</v>
      </c>
      <c r="E16" s="213">
        <f>VLOOKUP(C16,'BD EVA 3 SPGG'!$D$3:$Q$110,14,0)</f>
        <v>0.66666666666666663</v>
      </c>
      <c r="F16" s="75">
        <f>VLOOKUP(C16,'BD EVA 3 SPGG'!$D$3:$AC$113,9,0)</f>
        <v>45199</v>
      </c>
      <c r="G16" s="213">
        <f ca="1">VLOOKUP(C16,'BD EVA 3 SPGG'!$D$3:$AC$113,24,0)</f>
        <v>1</v>
      </c>
      <c r="H16" s="213" t="str">
        <f>VLOOKUP(C16,'BD EVA 3 SPGG'!$D$3:$AC$113,17,0)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1</v>
      </c>
      <c r="J16" s="75" t="s">
        <v>318</v>
      </c>
      <c r="K16" s="71">
        <v>1.5</v>
      </c>
      <c r="L16" s="209">
        <f t="shared" ca="1" si="0"/>
        <v>1.5</v>
      </c>
      <c r="M16" s="130">
        <f ca="1">SUM(L16:L23)</f>
        <v>9.929397727272729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3 SPGG'!$D$3:$Y$113,4,0)</f>
        <v>44469</v>
      </c>
      <c r="E17" s="212">
        <f>VLOOKUP(C17,'BD EVA 3 SPGG'!$D$3:$Q$110,14,0)</f>
        <v>1</v>
      </c>
      <c r="F17" s="75">
        <f>VLOOKUP(C17,'BD EVA 3 SPGG'!$D$3:$AC$113,9,0)</f>
        <v>45199</v>
      </c>
      <c r="G17" s="214">
        <f ca="1">VLOOKUP(C17,'BD EVA 3 SPGG'!$D$3:$AC$113,24,0)</f>
        <v>1</v>
      </c>
      <c r="H17" s="212" t="str">
        <f>VLOOKUP(C17,'BD EVA 3 SPGG'!$D$3:$AC$113,17,0)</f>
        <v>Actualizado al 2018</v>
      </c>
      <c r="I17" s="214">
        <f t="shared" ca="1" si="5"/>
        <v>1</v>
      </c>
      <c r="J17" s="75" t="s">
        <v>318</v>
      </c>
      <c r="K17" s="71">
        <v>1.5</v>
      </c>
      <c r="L17" s="209">
        <f t="shared" ca="1" si="0"/>
        <v>1.5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3 SPGG'!$D$3:$Y$113,4,0)</f>
        <v>44469</v>
      </c>
      <c r="E18" s="207" t="str">
        <f>VLOOKUP(C18,'BD EVA 3 SPGG'!$D$3:$Q$110,14,0)</f>
        <v>NA</v>
      </c>
      <c r="F18" s="75">
        <f>VLOOKUP(C18,'BD EVA 3 SPGG'!$D$3:$AC$113,9,0)</f>
        <v>45199</v>
      </c>
      <c r="G18" s="207" t="str">
        <f ca="1">VLOOKUP(C18,'BD EVA 3 SPGG'!$D$3:$AC$113,24,0)</f>
        <v>NA</v>
      </c>
      <c r="H18" s="207">
        <f>VLOOKUP(C18,'BD EVA 3 SPGG'!$D$3:$AC$113,17,0)</f>
        <v>1</v>
      </c>
      <c r="I18" s="214">
        <f ca="1">IF(G18="NA",1,G18/H18)</f>
        <v>1</v>
      </c>
      <c r="J18" s="75" t="s">
        <v>318</v>
      </c>
      <c r="K18" s="71">
        <v>0.3</v>
      </c>
      <c r="L18" s="209">
        <f t="shared" ca="1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3 SPGG'!$D$3:$Y$113,4,0)</f>
        <v>44469</v>
      </c>
      <c r="E19" s="207">
        <f>VLOOKUP(C19,'BD EVA 3 SPGG'!$D$3:$Q$110,14,0)</f>
        <v>1</v>
      </c>
      <c r="F19" s="75">
        <f>VLOOKUP(C19,'BD EVA 3 SPGG'!$D$3:$AC$113,9,0)</f>
        <v>45199</v>
      </c>
      <c r="G19" s="207">
        <f ca="1">VLOOKUP(C19,'BD EVA 3 SPGG'!$D$3:$AC$113,24,0)</f>
        <v>1</v>
      </c>
      <c r="H19" s="207">
        <f>VLOOKUP(C19,'BD EVA 3 SPGG'!$D$3:$AC$113,17,0)</f>
        <v>1</v>
      </c>
      <c r="I19" s="214">
        <f t="shared" ref="I19:I23" ca="1" si="6">G19/H19</f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3 SPGG'!$D$3:$Y$113,4,0)</f>
        <v>44469</v>
      </c>
      <c r="E20" s="214">
        <f>VLOOKUP(C20,'BD EVA 3 SPGG'!$D$3:$Q$110,14,0)</f>
        <v>1</v>
      </c>
      <c r="F20" s="75">
        <f>VLOOKUP(C20,'BD EVA 3 SPGG'!$D$3:$AC$113,9,0)</f>
        <v>45199</v>
      </c>
      <c r="G20" s="214">
        <f ca="1">VLOOKUP(C20,'BD EVA 3 SPGG'!$D$3:$AC$113,24,0)</f>
        <v>1</v>
      </c>
      <c r="H20" s="214">
        <f>VLOOKUP(C20,'BD EVA 3 SPGG'!$D$3:$AC$113,17,0)</f>
        <v>1</v>
      </c>
      <c r="I20" s="214">
        <f t="shared" ca="1" si="6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3 SPGG'!$D$3:$Y$113,4,0)</f>
        <v>44469</v>
      </c>
      <c r="E21" s="207">
        <f>VLOOKUP(C21,'BD EVA 3 SPGG'!$D$3:$Q$110,14,0)</f>
        <v>1</v>
      </c>
      <c r="F21" s="75">
        <f>VLOOKUP(C21,'BD EVA 3 SPGG'!$D$3:$AC$113,9,0)</f>
        <v>45199</v>
      </c>
      <c r="G21" s="207">
        <f ca="1">VLOOKUP(C21,'BD EVA 3 SPGG'!$D$3:$AC$113,24,0)</f>
        <v>1</v>
      </c>
      <c r="H21" s="207">
        <f>VLOOKUP(C21,'BD EVA 3 SPGG'!$D$3:$AC$113,17,0)</f>
        <v>1</v>
      </c>
      <c r="I21" s="214">
        <f t="shared" ca="1" si="6"/>
        <v>1</v>
      </c>
      <c r="J21" s="75" t="s">
        <v>318</v>
      </c>
      <c r="K21" s="71">
        <v>0.9</v>
      </c>
      <c r="L21" s="209">
        <f t="shared" ca="1" si="0"/>
        <v>0.9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3 SPGG'!$D$3:$Y$113,4,0)</f>
        <v>44469</v>
      </c>
      <c r="E22" s="207">
        <f>VLOOKUP(C22,'BD EVA 3 SPGG'!$D$3:$Q$110,14,0)</f>
        <v>0.89482954545454541</v>
      </c>
      <c r="F22" s="75">
        <f>VLOOKUP(C22,'BD EVA 3 SPGG'!$D$3:$AC$113,9,0)</f>
        <v>45199</v>
      </c>
      <c r="G22" s="207">
        <f ca="1">VLOOKUP(C22,'BD EVA 3 SPGG'!$D$3:$AC$113,24,0)</f>
        <v>0.95293181818181805</v>
      </c>
      <c r="H22" s="207">
        <f>VLOOKUP(C22,'BD EVA 3 SPGG'!$D$3:$AC$113,17,0)</f>
        <v>1</v>
      </c>
      <c r="I22" s="214">
        <f t="shared" ca="1" si="6"/>
        <v>0.95293181818181805</v>
      </c>
      <c r="J22" s="75" t="s">
        <v>318</v>
      </c>
      <c r="K22" s="71">
        <v>1.5</v>
      </c>
      <c r="L22" s="209">
        <f t="shared" ca="1" si="0"/>
        <v>1.4293977272727272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3 SPGG'!$D$3:$Y$113,4,0)</f>
        <v>octubre 20 - mar 21</v>
      </c>
      <c r="E23" s="208">
        <f>VLOOKUP(C23,'BD EVA 3 SPGG'!$D$3:$Q$110,14,0)</f>
        <v>4.3849999999999998</v>
      </c>
      <c r="F23" s="89" t="str">
        <f>VLOOKUP(C23,'BD EVA 3 SPGG'!$D$3:$AC$113,9,0)</f>
        <v>octubre 22 - septiembre 23</v>
      </c>
      <c r="G23" s="85">
        <f ca="1">VLOOKUP(C23,'BD EVA 3 SPGG'!$D$3:$AC$113,24,0)</f>
        <v>2.9580000000000002</v>
      </c>
      <c r="H23" s="208">
        <f>VLOOKUP(C23,'BD EVA 3 SPGG'!$D$3:$AC$113,17,0)</f>
        <v>0.83</v>
      </c>
      <c r="I23" s="214">
        <f t="shared" ca="1" si="6"/>
        <v>3.5638554216867475</v>
      </c>
      <c r="J23" s="75" t="s">
        <v>318</v>
      </c>
      <c r="K23" s="82">
        <v>1.3</v>
      </c>
      <c r="L23" s="211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3 SPGG'!$D$3:$Y$113,4,0)</f>
        <v>44469</v>
      </c>
      <c r="E24" s="171">
        <f>VLOOKUP(C24,'BD EVA 3 SPGG'!$D$3:$Q$110,14,0)</f>
        <v>15.26</v>
      </c>
      <c r="F24" s="75">
        <f>VLOOKUP(C24,'BD EVA 3 SPGG'!$D$3:$AC$113,9,0)</f>
        <v>45199</v>
      </c>
      <c r="G24" s="171">
        <f ca="1">VLOOKUP(C24,'BD EVA 3 SPGG'!$D$3:$AC$113,24,0)</f>
        <v>7.8</v>
      </c>
      <c r="H24" s="171">
        <f>VLOOKUP(C24,'BD EVA 3 SPGG'!$D$3:$AC$113,17,0)</f>
        <v>19.510000000000002</v>
      </c>
      <c r="I24" s="214">
        <f ca="1">IF(H24="Sin meta",0,G24/H24)</f>
        <v>0.39979497693490512</v>
      </c>
      <c r="J24" s="75" t="s">
        <v>318</v>
      </c>
      <c r="K24" s="82">
        <v>2.65</v>
      </c>
      <c r="L24" s="209">
        <f t="shared" ca="1" si="0"/>
        <v>1.0594566888774986</v>
      </c>
      <c r="M24" s="130">
        <f ca="1">SUM(L24:L27)</f>
        <v>6.1894566888774989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3 SPGG'!$D$3:$Y$113,4,0)</f>
        <v>octubre 20 - mar 21</v>
      </c>
      <c r="E25" s="340">
        <f>VLOOKUP(C25,'BD EVA 3 SPGG'!$D$3:$Q$110,14,0)</f>
        <v>0</v>
      </c>
      <c r="F25" s="71" t="str">
        <f>VLOOKUP(C25,'BD EVA 3 SPGG'!$D$3:$AC$113,9,0)</f>
        <v>octubre 22 - septiembre 23</v>
      </c>
      <c r="G25" s="212">
        <f ca="1">VLOOKUP(C25,'BD EVA 3 SPGG'!$D$3:$AC$113,24,0)</f>
        <v>36852</v>
      </c>
      <c r="H25" s="212">
        <f>VLOOKUP(C25,'BD EVA 3 SPGG'!$D$3:$AC$113,17,0)</f>
        <v>200</v>
      </c>
      <c r="I25" s="214">
        <f t="shared" ref="I25:I26" ca="1" si="7">G25/H25</f>
        <v>184.26</v>
      </c>
      <c r="J25" s="75" t="s">
        <v>318</v>
      </c>
      <c r="K25" s="82">
        <v>2.33</v>
      </c>
      <c r="L25" s="209">
        <f t="shared" ca="1" si="0"/>
        <v>2.33</v>
      </c>
      <c r="M25" s="127"/>
    </row>
    <row r="26" spans="1:13" ht="104">
      <c r="A26" s="121" t="s">
        <v>199</v>
      </c>
      <c r="B26" s="72" t="s">
        <v>200</v>
      </c>
      <c r="C26" s="72" t="s">
        <v>226</v>
      </c>
      <c r="D26" s="71" t="str">
        <f>VLOOKUP(C26,'BD EVA 3 SPGG'!$D$3:$Y$113,4,0)</f>
        <v>octubre 20 - mar 21</v>
      </c>
      <c r="E26" s="212">
        <f>VLOOKUP(C26,'BD EVA 3 SPGG'!$D$3:$Q$110,14,0)</f>
        <v>242</v>
      </c>
      <c r="F26" s="71" t="str">
        <f>VLOOKUP(C26,'BD EVA 3 SPGG'!$D$3:$AC$113,9,0)</f>
        <v>octubre 22 - septiembre 23</v>
      </c>
      <c r="G26" s="212">
        <f ca="1">VLOOKUP(C26,'BD EVA 3 SPGG'!$D$3:$AC$113,24,0)</f>
        <v>267</v>
      </c>
      <c r="H26" s="212">
        <f>VLOOKUP(C26,'BD EVA 3 SPGG'!$D$3:$AC$113,17,0)</f>
        <v>140</v>
      </c>
      <c r="I26" s="214">
        <f t="shared" ca="1" si="7"/>
        <v>1.9071428571428573</v>
      </c>
      <c r="J26" s="75" t="s">
        <v>318</v>
      </c>
      <c r="K26" s="82">
        <v>2.8</v>
      </c>
      <c r="L26" s="209">
        <f t="shared" ca="1" si="0"/>
        <v>2.8</v>
      </c>
      <c r="M26" s="127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SPGG'!$D$3:$Y$113,4,0)</f>
        <v>octubre 2018 - marzo 2019</v>
      </c>
      <c r="E27" s="212">
        <f>VLOOKUP(C27,'BD EVA 3 SPGG'!$D$3:$Q$110,14,0)</f>
        <v>6348</v>
      </c>
      <c r="F27" s="71" t="str">
        <f>VLOOKUP(C27,'BD EVA 3 SPGG'!$D$3:$AC$113,9,0)</f>
        <v>octubre 22 - septiembre 23</v>
      </c>
      <c r="G27" s="212">
        <f ca="1">VLOOKUP(C27,'BD EVA 3 SPGG'!$D$3:$AC$113,24,0)</f>
        <v>6596</v>
      </c>
      <c r="H27" s="212">
        <f>VLOOKUP(C27,'BD EVA 3 SPGG'!$D$3:$AC$113,17,0)</f>
        <v>6317</v>
      </c>
      <c r="I27" s="214">
        <f ca="1">(G27-E27)/(H27-E27)</f>
        <v>-8</v>
      </c>
      <c r="J27" s="75" t="s">
        <v>319</v>
      </c>
      <c r="K27" s="82">
        <v>2.2200000000000002</v>
      </c>
      <c r="L27" s="209">
        <f t="shared" ca="1" si="0"/>
        <v>0</v>
      </c>
      <c r="M27" s="127"/>
    </row>
    <row r="28" spans="1:13" ht="208">
      <c r="A28" s="121" t="s">
        <v>243</v>
      </c>
      <c r="B28" s="72" t="s">
        <v>244</v>
      </c>
      <c r="C28" s="72" t="s">
        <v>338</v>
      </c>
      <c r="D28" s="89" t="str">
        <f>VLOOKUP(C28,'BD EVA 3 SPGG'!$D$3:$Y$113,4,0)</f>
        <v>octubre 20 - mar 21</v>
      </c>
      <c r="E28" s="212">
        <f>VLOOKUP(C28,'BD EVA 3 SPGG'!$D$3:$Q$110,14,0)</f>
        <v>201</v>
      </c>
      <c r="F28" s="89" t="str">
        <f>VLOOKUP(C28,'BD EVA 3 SPGG'!$D$3:$AC$113,9,0)</f>
        <v>octubre 22 - septiembre 23</v>
      </c>
      <c r="G28" s="212">
        <f ca="1">VLOOKUP(C28,'BD EVA 3 SPGG'!$D$3:$AC$113,24,0)</f>
        <v>93</v>
      </c>
      <c r="H28" s="212">
        <f>VLOOKUP(C28,'BD EVA 3 SPGG'!$D$3:$AC$113,17,0)</f>
        <v>74</v>
      </c>
      <c r="I28" s="78">
        <f t="shared" ref="I28:I31" ca="1" si="8">G28/H28</f>
        <v>1.2567567567567568</v>
      </c>
      <c r="J28" s="89" t="s">
        <v>318</v>
      </c>
      <c r="K28" s="82">
        <v>2.5</v>
      </c>
      <c r="L28" s="209">
        <f t="shared" ca="1" si="0"/>
        <v>2.5</v>
      </c>
      <c r="M28" s="130">
        <f ca="1">SUM(L28:L31)</f>
        <v>9.1510695187165751</v>
      </c>
    </row>
    <row r="29" spans="1:13" ht="65">
      <c r="A29" s="121" t="s">
        <v>243</v>
      </c>
      <c r="B29" s="72" t="s">
        <v>247</v>
      </c>
      <c r="C29" s="72" t="s">
        <v>248</v>
      </c>
      <c r="D29" s="89">
        <f>VLOOKUP(C29,'BD EVA 3 SPGG'!$D$3:$Y$113,4,0)</f>
        <v>44469</v>
      </c>
      <c r="E29" s="212">
        <f>VLOOKUP(C29,'BD EVA 3 SPGG'!$D$3:$Q$110,14,0)</f>
        <v>37</v>
      </c>
      <c r="F29" s="89">
        <f>VLOOKUP(C29,'BD EVA 3 SPGG'!$D$3:$AC$113,9,0)</f>
        <v>45199</v>
      </c>
      <c r="G29" s="212">
        <f ca="1">VLOOKUP(C29,'BD EVA 3 SPGG'!$D$3:$AC$113,24,0)</f>
        <v>33</v>
      </c>
      <c r="H29" s="212">
        <f>VLOOKUP(C29,'BD EVA 3 SPGG'!$D$3:$AC$113,17,0)</f>
        <v>12</v>
      </c>
      <c r="I29" s="80">
        <f t="shared" ca="1" si="8"/>
        <v>2.75</v>
      </c>
      <c r="J29" s="75" t="s">
        <v>318</v>
      </c>
      <c r="K29" s="71">
        <v>2.5</v>
      </c>
      <c r="L29" s="209">
        <f t="shared" ca="1" si="0"/>
        <v>2.5</v>
      </c>
      <c r="M29" s="127"/>
    </row>
    <row r="30" spans="1:13" ht="91">
      <c r="A30" s="121" t="s">
        <v>243</v>
      </c>
      <c r="B30" s="72" t="s">
        <v>250</v>
      </c>
      <c r="C30" s="72" t="s">
        <v>251</v>
      </c>
      <c r="D30" s="75">
        <f>VLOOKUP(C30,'BD EVA 3 SPGG'!$D$3:$Y$113,4,0)</f>
        <v>44469</v>
      </c>
      <c r="E30" s="212">
        <f>VLOOKUP(C30,'BD EVA 3 SPGG'!$D$3:$Q$110,14,0)</f>
        <v>98.4</v>
      </c>
      <c r="F30" s="75">
        <f>VLOOKUP(C30,'BD EVA 3 SPGG'!$D$3:$AC$113,9,0)</f>
        <v>45078</v>
      </c>
      <c r="G30" s="212">
        <f ca="1">VLOOKUP(C30,'BD EVA 3 SPGG'!$D$3:$AC$113,24,0)</f>
        <v>100</v>
      </c>
      <c r="H30" s="212">
        <f>VLOOKUP(C30,'BD EVA 3 SPGG'!$D$3:$AC$113,17,0)</f>
        <v>100</v>
      </c>
      <c r="I30" s="80">
        <f t="shared" ca="1" si="8"/>
        <v>1</v>
      </c>
      <c r="J30" s="75" t="s">
        <v>318</v>
      </c>
      <c r="K30" s="71">
        <v>2.5</v>
      </c>
      <c r="L30" s="209">
        <f t="shared" ca="1" si="0"/>
        <v>2.5</v>
      </c>
      <c r="M30" s="127"/>
    </row>
    <row r="31" spans="1:13" ht="260">
      <c r="A31" s="121" t="s">
        <v>243</v>
      </c>
      <c r="B31" s="72" t="s">
        <v>257</v>
      </c>
      <c r="C31" s="72" t="s">
        <v>258</v>
      </c>
      <c r="D31" s="75">
        <f>VLOOKUP(C31,'BD EVA 3 SPGG'!$D$3:$Y$113,4,0)</f>
        <v>44469</v>
      </c>
      <c r="E31" s="212">
        <f>VLOOKUP(C31,'BD EVA 3 SPGG'!$D$3:$Q$110,14,0)</f>
        <v>0</v>
      </c>
      <c r="F31" s="75">
        <f>VLOOKUP(C31,'BD EVA 3 SPGG'!$D$3:$AC$113,9,0)</f>
        <v>45199</v>
      </c>
      <c r="G31" s="208">
        <f ca="1">VLOOKUP(C31,'BD EVA 3 SPGG'!$D$3:$AC$113,24,0)</f>
        <v>2.64171122994652</v>
      </c>
      <c r="H31" s="208">
        <f>VLOOKUP(C31,'BD EVA 3 SPGG'!$D$3:$AC$113,17,0)</f>
        <v>4</v>
      </c>
      <c r="I31" s="80">
        <f t="shared" ca="1" si="8"/>
        <v>0.66042780748662999</v>
      </c>
      <c r="J31" s="75" t="s">
        <v>318</v>
      </c>
      <c r="K31" s="71">
        <v>2.5</v>
      </c>
      <c r="L31" s="209">
        <f t="shared" ca="1" si="0"/>
        <v>1.6510695187165749</v>
      </c>
      <c r="M31" s="127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9FF6A-E9E9-204E-9178-1522F15D4D55}">
  <dimension ref="A1:AC114"/>
  <sheetViews>
    <sheetView workbookViewId="0">
      <selection sqref="A1:XFD1"/>
    </sheetView>
  </sheetViews>
  <sheetFormatPr baseColWidth="10" defaultRowHeight="16"/>
  <sheetData>
    <row r="1" spans="1:29" s="120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5">
        <v>138945</v>
      </c>
      <c r="Q2" s="5">
        <v>138945</v>
      </c>
      <c r="R2" s="13"/>
      <c r="S2" s="316"/>
      <c r="T2" s="316"/>
      <c r="U2" s="316"/>
      <c r="V2" s="316"/>
      <c r="W2" s="6"/>
      <c r="X2" s="5">
        <v>140470</v>
      </c>
      <c r="Y2" s="5">
        <v>140470</v>
      </c>
      <c r="Z2" s="5">
        <v>142218</v>
      </c>
      <c r="AA2" s="5">
        <v>142218</v>
      </c>
      <c r="AB2" s="5">
        <v>144201</v>
      </c>
      <c r="AC2" s="5">
        <v>144201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524</v>
      </c>
      <c r="Q3" s="12">
        <v>524</v>
      </c>
      <c r="R3" s="4">
        <v>550</v>
      </c>
      <c r="S3" s="4">
        <v>555</v>
      </c>
      <c r="T3" s="4">
        <v>560</v>
      </c>
      <c r="U3" s="4">
        <v>570</v>
      </c>
      <c r="V3" s="4">
        <v>600</v>
      </c>
      <c r="W3" s="4">
        <v>600</v>
      </c>
      <c r="X3" s="12">
        <v>537</v>
      </c>
      <c r="Y3" s="12">
        <f ca="1">IFERROR(__xludf.DUMMYFUNCTION("INDEX(IMPORTRANGE(""1y0FWgjbB0gVlqn-q5LMJbGIsqOrzru4yowQz67dz2yc"", ""'SPGG'!BG3:BG139""),MATCH($D3,IMPORTRANGE(""1y0FWgjbB0gVlqn-q5LMJbGIsqOrzru4yowQz67dz2yc"", ""'SPGG'!D3:D139""),0))"),553)</f>
        <v>553</v>
      </c>
      <c r="Z3" s="12">
        <f ca="1">IFERROR(__xludf.DUMMYFUNCTION("INDEX(IMPORTRANGE(""1y0FWgjbB0gVlqn-q5LMJbGIsqOrzru4yowQz67dz2yc"", ""'SPGG'!BH3:BH139""),MATCH($D3,IMPORTRANGE(""1y0FWgjbB0gVlqn-q5LMJbGIsqOrzru4yowQz67dz2yc"", ""'SPGG'!D3:D139""),0))"),588)</f>
        <v>588</v>
      </c>
      <c r="AA3" s="12">
        <f ca="1">IFERROR(__xludf.DUMMYFUNCTION("INDEX(IMPORTRANGE(""1y0FWgjbB0gVlqn-q5LMJbGIsqOrzru4yowQz67dz2yc"", ""'SPGG'!BI3:BI139""),MATCH($D3,IMPORTRANGE(""1y0FWgjbB0gVlqn-q5LMJbGIsqOrzru4yowQz67dz2yc"", ""'SPGG'!D3:D139""),0))"),609)</f>
        <v>609</v>
      </c>
      <c r="AB3" s="12">
        <f ca="1">IFERROR(__xludf.DUMMYFUNCTION("INDEX(IMPORTRANGE(""1y0FWgjbB0gVlqn-q5LMJbGIsqOrzru4yowQz67dz2yc"", ""'SPGG'!BJ3:BJ139""),MATCH($D3,IMPORTRANGE(""1y0FWgjbB0gVlqn-q5LMJbGIsqOrzru4yowQz67dz2yc"", ""'SPGG'!D3:D139""),0))"),597)</f>
        <v>597</v>
      </c>
      <c r="AC3" s="2"/>
    </row>
    <row r="4" spans="1:29">
      <c r="A4" s="7" t="s">
        <v>34</v>
      </c>
      <c r="B4" s="7" t="s">
        <v>40</v>
      </c>
      <c r="C4" s="1" t="s">
        <v>30</v>
      </c>
      <c r="D4" s="1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503</v>
      </c>
      <c r="Q4" s="12">
        <v>503</v>
      </c>
      <c r="R4" s="13"/>
      <c r="S4" s="13"/>
      <c r="T4" s="13"/>
      <c r="U4" s="13"/>
      <c r="V4" s="13"/>
      <c r="W4" s="4"/>
      <c r="X4" s="12">
        <v>534</v>
      </c>
      <c r="Y4" s="12">
        <f ca="1">IFERROR(__xludf.DUMMYFUNCTION("INDEX(IMPORTRANGE(""1y0FWgjbB0gVlqn-q5LMJbGIsqOrzru4yowQz67dz2yc"", ""'SPGG'!BG3:BG139""),MATCH($D4,IMPORTRANGE(""1y0FWgjbB0gVlqn-q5LMJbGIsqOrzru4yowQz67dz2yc"", ""'SPGG'!D3:D139""),0))"),546)</f>
        <v>546</v>
      </c>
      <c r="Z4" s="12">
        <f ca="1">IFERROR(__xludf.DUMMYFUNCTION("INDEX(IMPORTRANGE(""1y0FWgjbB0gVlqn-q5LMJbGIsqOrzru4yowQz67dz2yc"", ""'SPGG'!BH3:BH139""),MATCH($D4,IMPORTRANGE(""1y0FWgjbB0gVlqn-q5LMJbGIsqOrzru4yowQz67dz2yc"", ""'SPGG'!D3:D139""),0))"),571)</f>
        <v>571</v>
      </c>
      <c r="AA4" s="12">
        <f ca="1">IFERROR(__xludf.DUMMYFUNCTION("INDEX(IMPORTRANGE(""1y0FWgjbB0gVlqn-q5LMJbGIsqOrzru4yowQz67dz2yc"", ""'SPGG'!BI3:BI139""),MATCH($D4,IMPORTRANGE(""1y0FWgjbB0gVlqn-q5LMJbGIsqOrzru4yowQz67dz2yc"", ""'SPGG'!D3:D139""),0))"),595)</f>
        <v>595</v>
      </c>
      <c r="AB4" s="12">
        <f ca="1">IFERROR(__xludf.DUMMYFUNCTION("INDEX(IMPORTRANGE(""1y0FWgjbB0gVlqn-q5LMJbGIsqOrzru4yowQz67dz2yc"", ""'SPGG'!BJ3:BJ139""),MATCH($D4,IMPORTRANGE(""1y0FWgjbB0gVlqn-q5LMJbGIsqOrzru4yowQz67dz2yc"", ""'SPGG'!D3:D139""),0))"),594)</f>
        <v>594</v>
      </c>
      <c r="AC4" s="2"/>
    </row>
    <row r="5" spans="1:29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0.95992366412213737</v>
      </c>
      <c r="Q5" s="15">
        <f t="shared" si="0"/>
        <v>0.95992366412213737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0.994413407821229</v>
      </c>
      <c r="Y5" s="15">
        <f ca="1">IFERROR(__xludf.DUMMYFUNCTION("INDEX(IMPORTRANGE(""1y0FWgjbB0gVlqn-q5LMJbGIsqOrzru4yowQz67dz2yc"", ""'SPGG'!BG3:BG139""),MATCH($D5,IMPORTRANGE(""1y0FWgjbB0gVlqn-q5LMJbGIsqOrzru4yowQz67dz2yc"", ""'SPGG'!D3:D139""),0))"),0.987341772151898)</f>
        <v>0.987341772151898</v>
      </c>
      <c r="Z5" s="15">
        <f ca="1">IFERROR(__xludf.DUMMYFUNCTION("INDEX(IMPORTRANGE(""1y0FWgjbB0gVlqn-q5LMJbGIsqOrzru4yowQz67dz2yc"", ""'SPGG'!BH3:BH139""),MATCH($D5,IMPORTRANGE(""1y0FWgjbB0gVlqn-q5LMJbGIsqOrzru4yowQz67dz2yc"", ""'SPGG'!D3:D139""),0))"),0.971088435374149)</f>
        <v>0.97108843537414902</v>
      </c>
      <c r="AA5" s="15">
        <f ca="1">IFERROR(__xludf.DUMMYFUNCTION("INDEX(IMPORTRANGE(""1y0FWgjbB0gVlqn-q5LMJbGIsqOrzru4yowQz67dz2yc"", ""'SPGG'!BI3:BI139""),MATCH($D5,IMPORTRANGE(""1y0FWgjbB0gVlqn-q5LMJbGIsqOrzru4yowQz67dz2yc"", ""'SPGG'!D3:D139""),0))"),0.977011494252873)</f>
        <v>0.97701149425287304</v>
      </c>
      <c r="AB5" s="15">
        <f ca="1">IFERROR(__xludf.DUMMYFUNCTION("INDEX(IMPORTRANGE(""1y0FWgjbB0gVlqn-q5LMJbGIsqOrzru4yowQz67dz2yc"", ""'SPGG'!BJ3:BJ139""),MATCH($D5,IMPORTRANGE(""1y0FWgjbB0gVlqn-q5LMJbGIsqOrzru4yowQz67dz2yc"", ""'SPGG'!D3:D139""),0))"),0.994974874371859)</f>
        <v>0.99497487437185905</v>
      </c>
      <c r="AC5" s="2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2"/>
      <c r="X6" s="18"/>
      <c r="Y6" s="12">
        <f ca="1">IFERROR(__xludf.DUMMYFUNCTION("INDEX(IMPORTRANGE(""1y0FWgjbB0gVlqn-q5LMJbGIsqOrzru4yowQz67dz2yc"", ""'SPGG'!BG3:BG139""),MATCH($D6,IMPORTRANGE(""1y0FWgjbB0gVlqn-q5LMJbGIsqOrzru4yowQz67dz2yc"", ""'SPGG'!D3:D139""),0))"),12)</f>
        <v>12</v>
      </c>
      <c r="Z6" s="12">
        <f ca="1">IFERROR(__xludf.DUMMYFUNCTION("INDEX(IMPORTRANGE(""1y0FWgjbB0gVlqn-q5LMJbGIsqOrzru4yowQz67dz2yc"", ""'SPGG'!BH3:BH139""),MATCH($D6,IMPORTRANGE(""1y0FWgjbB0gVlqn-q5LMJbGIsqOrzru4yowQz67dz2yc"", ""'SPGG'!D3:D139""),0))"),8)</f>
        <v>8</v>
      </c>
      <c r="AA6" s="12">
        <f ca="1">IFERROR(__xludf.DUMMYFUNCTION("INDEX(IMPORTRANGE(""1y0FWgjbB0gVlqn-q5LMJbGIsqOrzru4yowQz67dz2yc"", ""'SPGG'!BI3:BI139""),MATCH($D6,IMPORTRANGE(""1y0FWgjbB0gVlqn-q5LMJbGIsqOrzru4yowQz67dz2yc"", ""'SPGG'!D3:D139""),0))"),8)</f>
        <v>8</v>
      </c>
      <c r="AB6" s="12">
        <f ca="1">IFERROR(__xludf.DUMMYFUNCTION("INDEX(IMPORTRANGE(""1y0FWgjbB0gVlqn-q5LMJbGIsqOrzru4yowQz67dz2yc"", ""'SPGG'!BJ3:BJ139""),MATCH($D6,IMPORTRANGE(""1y0FWgjbB0gVlqn-q5LMJbGIsqOrzru4yowQz67dz2yc"", ""'SPGG'!D3:D139""),0))"),10)</f>
        <v>10</v>
      </c>
      <c r="AC6" s="2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7"/>
      <c r="Q7" s="18"/>
      <c r="R7" s="1"/>
      <c r="S7" s="1"/>
      <c r="T7" s="1"/>
      <c r="U7" s="1"/>
      <c r="V7" s="1"/>
      <c r="W7" s="2"/>
      <c r="X7" s="18"/>
      <c r="Y7" s="12">
        <f ca="1">IFERROR(__xludf.DUMMYFUNCTION("INDEX(IMPORTRANGE(""1y0FWgjbB0gVlqn-q5LMJbGIsqOrzru4yowQz67dz2yc"", ""'SPGG'!BG3:BG139""),MATCH($D7,IMPORTRANGE(""1y0FWgjbB0gVlqn-q5LMJbGIsqOrzru4yowQz67dz2yc"", ""'SPGG'!D3:D139""),0))"),0)</f>
        <v>0</v>
      </c>
      <c r="Z7" s="12">
        <f ca="1">IFERROR(__xludf.DUMMYFUNCTION("INDEX(IMPORTRANGE(""1y0FWgjbB0gVlqn-q5LMJbGIsqOrzru4yowQz67dz2yc"", ""'SPGG'!BH3:BH139""),MATCH($D7,IMPORTRANGE(""1y0FWgjbB0gVlqn-q5LMJbGIsqOrzru4yowQz67dz2yc"", ""'SPGG'!D3:D139""),0))"),0)</f>
        <v>0</v>
      </c>
      <c r="AA7" s="12">
        <f ca="1">IFERROR(__xludf.DUMMYFUNCTION("INDEX(IMPORTRANGE(""1y0FWgjbB0gVlqn-q5LMJbGIsqOrzru4yowQz67dz2yc"", ""'SPGG'!BI3:BI139""),MATCH($D7,IMPORTRANGE(""1y0FWgjbB0gVlqn-q5LMJbGIsqOrzru4yowQz67dz2yc"", ""'SPGG'!D3:D139""),0))"),0)</f>
        <v>0</v>
      </c>
      <c r="AB7" s="12">
        <f ca="1">IFERROR(__xludf.DUMMYFUNCTION("INDEX(IMPORTRANGE(""1y0FWgjbB0gVlqn-q5LMJbGIsqOrzru4yowQz67dz2yc"", ""'SPGG'!BJ3:BJ139""),MATCH($D7,IMPORTRANGE(""1y0FWgjbB0gVlqn-q5LMJbGIsqOrzru4yowQz67dz2yc"", ""'SPGG'!D3:D139""),0))"),0)</f>
        <v>0</v>
      </c>
      <c r="AC7" s="2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6">
        <v>1.2999999999999999E-2</v>
      </c>
      <c r="S8" s="26">
        <v>1.2999999999999999E-2</v>
      </c>
      <c r="T8" s="26">
        <v>1.2999999999999999E-2</v>
      </c>
      <c r="U8" s="26">
        <v>1.2999999999999999E-2</v>
      </c>
      <c r="V8" s="26">
        <v>1.2999999999999999E-2</v>
      </c>
      <c r="W8" s="26">
        <v>1.2999999999999999E-2</v>
      </c>
      <c r="X8" s="19">
        <f>X6/X3</f>
        <v>0</v>
      </c>
      <c r="Y8" s="15">
        <f ca="1">IFERROR(__xludf.DUMMYFUNCTION("INDEX(IMPORTRANGE(""1y0FWgjbB0gVlqn-q5LMJbGIsqOrzru4yowQz67dz2yc"", ""'SPGG'!BG3:BG139""),MATCH($D8,IMPORTRANGE(""1y0FWgjbB0gVlqn-q5LMJbGIsqOrzru4yowQz67dz2yc"", ""'SPGG'!D3:D139""),0))"),0.0216998191681736)</f>
        <v>2.1699819168173599E-2</v>
      </c>
      <c r="Z8" s="15">
        <f ca="1">IFERROR(__xludf.DUMMYFUNCTION("INDEX(IMPORTRANGE(""1y0FWgjbB0gVlqn-q5LMJbGIsqOrzru4yowQz67dz2yc"", ""'SPGG'!BH3:BH139""),MATCH($D8,IMPORTRANGE(""1y0FWgjbB0gVlqn-q5LMJbGIsqOrzru4yowQz67dz2yc"", ""'SPGG'!D3:D139""),0))"),0.0136054421768707)</f>
        <v>1.3605442176870699E-2</v>
      </c>
      <c r="AA8" s="15">
        <f ca="1">IFERROR(__xludf.DUMMYFUNCTION("INDEX(IMPORTRANGE(""1y0FWgjbB0gVlqn-q5LMJbGIsqOrzru4yowQz67dz2yc"", ""'SPGG'!BI3:BI139""),MATCH($D8,IMPORTRANGE(""1y0FWgjbB0gVlqn-q5LMJbGIsqOrzru4yowQz67dz2yc"", ""'SPGG'!D3:D139""),0))"),0.0131362889983579)</f>
        <v>1.3136288998357899E-2</v>
      </c>
      <c r="AB8" s="15">
        <f ca="1">IFERROR(__xludf.DUMMYFUNCTION("INDEX(IMPORTRANGE(""1y0FWgjbB0gVlqn-q5LMJbGIsqOrzru4yowQz67dz2yc"", ""'SPGG'!BJ3:BJ139""),MATCH($D8,IMPORTRANGE(""1y0FWgjbB0gVlqn-q5LMJbGIsqOrzru4yowQz67dz2yc"", ""'SPGG'!D3:D139""),0))"),0.016750418760469)</f>
        <v>1.6750418760469E-2</v>
      </c>
      <c r="AC8" s="2"/>
    </row>
    <row r="9" spans="1:29">
      <c r="A9" s="7" t="s">
        <v>52</v>
      </c>
      <c r="B9" s="7" t="s">
        <v>53</v>
      </c>
      <c r="C9" s="1" t="s">
        <v>30</v>
      </c>
      <c r="D9" s="1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5">
        <v>41</v>
      </c>
      <c r="Q9" s="5">
        <v>88</v>
      </c>
      <c r="R9" s="13"/>
      <c r="S9" s="13"/>
      <c r="T9" s="13"/>
      <c r="U9" s="13"/>
      <c r="V9" s="13"/>
      <c r="W9" s="4"/>
      <c r="X9" s="5">
        <v>5</v>
      </c>
      <c r="Y9" s="12">
        <f ca="1">IFERROR(__xludf.DUMMYFUNCTION("INDEX(IMPORTRANGE(""1y0FWgjbB0gVlqn-q5LMJbGIsqOrzru4yowQz67dz2yc"", ""'SPGG'!BG3:BG139""),MATCH($D9,IMPORTRANGE(""1y0FWgjbB0gVlqn-q5LMJbGIsqOrzru4yowQz67dz2yc"", ""'SPGG'!D3:D139""),0))"),31)</f>
        <v>31</v>
      </c>
      <c r="Z9" s="12">
        <f ca="1">IFERROR(__xludf.DUMMYFUNCTION("INDEX(IMPORTRANGE(""1y0FWgjbB0gVlqn-q5LMJbGIsqOrzru4yowQz67dz2yc"", ""'SPGG'!BH3:BH139""),MATCH($D9,IMPORTRANGE(""1y0FWgjbB0gVlqn-q5LMJbGIsqOrzru4yowQz67dz2yc"", ""'SPGG'!D3:D139""),0))"),35)</f>
        <v>35</v>
      </c>
      <c r="AA9" s="12">
        <f ca="1">IFERROR(__xludf.DUMMYFUNCTION("INDEX(IMPORTRANGE(""1y0FWgjbB0gVlqn-q5LMJbGIsqOrzru4yowQz67dz2yc"", ""'SPGG'!BI3:BI139""),MATCH($D9,IMPORTRANGE(""1y0FWgjbB0gVlqn-q5LMJbGIsqOrzru4yowQz67dz2yc"", ""'SPGG'!D3:D139""),0))"),38)</f>
        <v>38</v>
      </c>
      <c r="AB9" s="12">
        <f ca="1">IFERROR(__xludf.DUMMYFUNCTION("INDEX(IMPORTRANGE(""1y0FWgjbB0gVlqn-q5LMJbGIsqOrzru4yowQz67dz2yc"", ""'SPGG'!BJ3:BJ139""),MATCH($D9,IMPORTRANGE(""1y0FWgjbB0gVlqn-q5LMJbGIsqOrzru4yowQz67dz2yc"", ""'SPGG'!D3:D139""),0))"),81)</f>
        <v>81</v>
      </c>
      <c r="AC9" s="2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5">
        <v>454</v>
      </c>
      <c r="Q10" s="5">
        <v>1002</v>
      </c>
      <c r="R10" s="13"/>
      <c r="S10" s="13"/>
      <c r="T10" s="13"/>
      <c r="U10" s="13"/>
      <c r="V10" s="13"/>
      <c r="W10" s="4"/>
      <c r="X10" s="5">
        <v>555</v>
      </c>
      <c r="Y10" s="12">
        <f ca="1">IFERROR(__xludf.DUMMYFUNCTION("INDEX(IMPORTRANGE(""1y0FWgjbB0gVlqn-q5LMJbGIsqOrzru4yowQz67dz2yc"", ""'SPGG'!BG3:BG139""),MATCH($D10,IMPORTRANGE(""1y0FWgjbB0gVlqn-q5LMJbGIsqOrzru4yowQz67dz2yc"", ""'SPGG'!D3:D139""),0))"),1370)</f>
        <v>1370</v>
      </c>
      <c r="Z10" s="12">
        <f ca="1">IFERROR(__xludf.DUMMYFUNCTION("INDEX(IMPORTRANGE(""1y0FWgjbB0gVlqn-q5LMJbGIsqOrzru4yowQz67dz2yc"", ""'SPGG'!BH3:BH139""),MATCH($D10,IMPORTRANGE(""1y0FWgjbB0gVlqn-q5LMJbGIsqOrzru4yowQz67dz2yc"", ""'SPGG'!D3:D139""),0))"),505)</f>
        <v>505</v>
      </c>
      <c r="AA10" s="12">
        <f ca="1">IFERROR(__xludf.DUMMYFUNCTION("INDEX(IMPORTRANGE(""1y0FWgjbB0gVlqn-q5LMJbGIsqOrzru4yowQz67dz2yc"", ""'SPGG'!BI3:BI139""),MATCH($D10,IMPORTRANGE(""1y0FWgjbB0gVlqn-q5LMJbGIsqOrzru4yowQz67dz2yc"", ""'SPGG'!D3:D139""),0))"),877)</f>
        <v>877</v>
      </c>
      <c r="AB10" s="12">
        <f ca="1">IFERROR(__xludf.DUMMYFUNCTION("INDEX(IMPORTRANGE(""1y0FWgjbB0gVlqn-q5LMJbGIsqOrzru4yowQz67dz2yc"", ""'SPGG'!BJ3:BJ139""),MATCH($D10,IMPORTRANGE(""1y0FWgjbB0gVlqn-q5LMJbGIsqOrzru4yowQz67dz2yc"", ""'SPGG'!D3:D139""),0))"),501)</f>
        <v>501</v>
      </c>
      <c r="AC10" s="2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9.0308370044052858E-2</v>
      </c>
      <c r="Q11" s="15">
        <f t="shared" si="2"/>
        <v>8.7824351297405193E-2</v>
      </c>
      <c r="R11" s="26">
        <v>4.0000000000000001E-3</v>
      </c>
      <c r="S11" s="26">
        <v>4.0000000000000001E-3</v>
      </c>
      <c r="T11" s="26">
        <v>4.0000000000000001E-3</v>
      </c>
      <c r="U11" s="26">
        <v>4.0000000000000001E-3</v>
      </c>
      <c r="V11" s="26">
        <v>4.0000000000000001E-3</v>
      </c>
      <c r="W11" s="26">
        <v>4.0000000000000001E-3</v>
      </c>
      <c r="X11" s="15">
        <f>X9/X10</f>
        <v>9.0090090090090089E-3</v>
      </c>
      <c r="Y11" s="15">
        <f ca="1">IFERROR(__xludf.DUMMYFUNCTION("INDEX(IMPORTRANGE(""1y0FWgjbB0gVlqn-q5LMJbGIsqOrzru4yowQz67dz2yc"", ""'SPGG'!BG3:BG139""),MATCH($D11,IMPORTRANGE(""1y0FWgjbB0gVlqn-q5LMJbGIsqOrzru4yowQz67dz2yc"", ""'SPGG'!D3:D139""),0))"),0.0226277372262773)</f>
        <v>2.2627737226277301E-2</v>
      </c>
      <c r="Z11" s="15">
        <f ca="1">IFERROR(__xludf.DUMMYFUNCTION("INDEX(IMPORTRANGE(""1y0FWgjbB0gVlqn-q5LMJbGIsqOrzru4yowQz67dz2yc"", ""'SPGG'!BH3:BH139""),MATCH($D11,IMPORTRANGE(""1y0FWgjbB0gVlqn-q5LMJbGIsqOrzru4yowQz67dz2yc"", ""'SPGG'!D3:D139""),0))"),0.0693069306930693)</f>
        <v>6.9306930693069299E-2</v>
      </c>
      <c r="AA11" s="15">
        <f ca="1">IFERROR(__xludf.DUMMYFUNCTION("INDEX(IMPORTRANGE(""1y0FWgjbB0gVlqn-q5LMJbGIsqOrzru4yowQz67dz2yc"", ""'SPGG'!BI3:BI139""),MATCH($D11,IMPORTRANGE(""1y0FWgjbB0gVlqn-q5LMJbGIsqOrzru4yowQz67dz2yc"", ""'SPGG'!D3:D139""),0))"),0.0433295324971493)</f>
        <v>4.3329532497149298E-2</v>
      </c>
      <c r="AB11" s="15">
        <f ca="1">IFERROR(__xludf.DUMMYFUNCTION("INDEX(IMPORTRANGE(""1y0FWgjbB0gVlqn-q5LMJbGIsqOrzru4yowQz67dz2yc"", ""'SPGG'!BJ3:BJ139""),MATCH($D11,IMPORTRANGE(""1y0FWgjbB0gVlqn-q5LMJbGIsqOrzru4yowQz67dz2yc"", ""'SPGG'!D3:D139""),0))"),0.161676646706586)</f>
        <v>0.16167664670658599</v>
      </c>
      <c r="AC11" s="2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5">
        <v>6</v>
      </c>
      <c r="Q12" s="5">
        <v>9</v>
      </c>
      <c r="R12" s="13"/>
      <c r="S12" s="13"/>
      <c r="T12" s="13"/>
      <c r="U12" s="13"/>
      <c r="V12" s="13"/>
      <c r="W12" s="4"/>
      <c r="X12" s="5">
        <v>7</v>
      </c>
      <c r="Y12" s="12">
        <f ca="1">IFERROR(__xludf.DUMMYFUNCTION("INDEX(IMPORTRANGE(""1y0FWgjbB0gVlqn-q5LMJbGIsqOrzru4yowQz67dz2yc"", ""'SPGG'!BG3:BG139""),MATCH($D12,IMPORTRANGE(""1y0FWgjbB0gVlqn-q5LMJbGIsqOrzru4yowQz67dz2yc"", ""'SPGG'!D3:D139""),0))"),7)</f>
        <v>7</v>
      </c>
      <c r="Z12" s="12">
        <f ca="1">IFERROR(__xludf.DUMMYFUNCTION("INDEX(IMPORTRANGE(""1y0FWgjbB0gVlqn-q5LMJbGIsqOrzru4yowQz67dz2yc"", ""'SPGG'!BH3:BH139""),MATCH($D12,IMPORTRANGE(""1y0FWgjbB0gVlqn-q5LMJbGIsqOrzru4yowQz67dz2yc"", ""'SPGG'!D3:D139""),0))"),3)</f>
        <v>3</v>
      </c>
      <c r="AA12" s="12">
        <f ca="1">IFERROR(__xludf.DUMMYFUNCTION("INDEX(IMPORTRANGE(""1y0FWgjbB0gVlqn-q5LMJbGIsqOrzru4yowQz67dz2yc"", ""'SPGG'!BI3:BI139""),MATCH($D12,IMPORTRANGE(""1y0FWgjbB0gVlqn-q5LMJbGIsqOrzru4yowQz67dz2yc"", ""'SPGG'!D3:D139""),0))"),13)</f>
        <v>13</v>
      </c>
      <c r="AB12" s="12">
        <f ca="1">IFERROR(__xludf.DUMMYFUNCTION("INDEX(IMPORTRANGE(""1y0FWgjbB0gVlqn-q5LMJbGIsqOrzru4yowQz67dz2yc"", ""'SPGG'!BJ3:BJ139""),MATCH($D12,IMPORTRANGE(""1y0FWgjbB0gVlqn-q5LMJbGIsqOrzru4yowQz67dz2yc"", ""'SPGG'!D3:D139""),0))"),7)</f>
        <v>7</v>
      </c>
      <c r="AC12" s="2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4.3182554248083775</v>
      </c>
      <c r="Q13" s="23">
        <f t="shared" si="3"/>
        <v>6.4773831372125672</v>
      </c>
      <c r="R13" s="2">
        <v>5.85</v>
      </c>
      <c r="S13" s="2">
        <v>3.87</v>
      </c>
      <c r="T13" s="2">
        <v>5.85</v>
      </c>
      <c r="U13" s="2">
        <v>3.87</v>
      </c>
      <c r="V13" s="2">
        <v>5.85</v>
      </c>
      <c r="W13" s="2">
        <v>5.85</v>
      </c>
      <c r="X13" s="23">
        <f>(X12/X$2)*100000</f>
        <v>4.9832704492062367</v>
      </c>
      <c r="Y13" s="23">
        <f ca="1">IFERROR(__xludf.DUMMYFUNCTION("INDEX(IMPORTRANGE(""1y0FWgjbB0gVlqn-q5LMJbGIsqOrzru4yowQz67dz2yc"", ""'SPGG'!BG3:BG139""),MATCH($D13,IMPORTRANGE(""1y0FWgjbB0gVlqn-q5LMJbGIsqOrzru4yowQz67dz2yc"", ""'SPGG'!D3:D139""),0))"),4.98327044920623)</f>
        <v>4.9832704492062296</v>
      </c>
      <c r="Z13" s="23">
        <f ca="1">IFERROR(__xludf.DUMMYFUNCTION("INDEX(IMPORTRANGE(""1y0FWgjbB0gVlqn-q5LMJbGIsqOrzru4yowQz67dz2yc"", ""'SPGG'!BH3:BH139""),MATCH($D13,IMPORTRANGE(""1y0FWgjbB0gVlqn-q5LMJbGIsqOrzru4yowQz67dz2yc"", ""'SPGG'!D3:D139""),0))"),2.10943762392946)</f>
        <v>2.1094376239294599</v>
      </c>
      <c r="AA13" s="23">
        <f ca="1">IFERROR(__xludf.DUMMYFUNCTION("INDEX(IMPORTRANGE(""1y0FWgjbB0gVlqn-q5LMJbGIsqOrzru4yowQz67dz2yc"", ""'SPGG'!BI3:BI139""),MATCH($D13,IMPORTRANGE(""1y0FWgjbB0gVlqn-q5LMJbGIsqOrzru4yowQz67dz2yc"", ""'SPGG'!D3:D139""),0))"),9.14089637036099)</f>
        <v>9.1408963703609896</v>
      </c>
      <c r="AB13" s="23">
        <f ca="1">IFERROR(__xludf.DUMMYFUNCTION("INDEX(IMPORTRANGE(""1y0FWgjbB0gVlqn-q5LMJbGIsqOrzru4yowQz67dz2yc"", ""'SPGG'!BJ3:BJ139""),MATCH($D13,IMPORTRANGE(""1y0FWgjbB0gVlqn-q5LMJbGIsqOrzru4yowQz67dz2yc"", ""'SPGG'!D3:D139""),0))"),4.85433526813267)</f>
        <v>4.8543352681326697</v>
      </c>
      <c r="AC13" s="2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5">
        <v>34</v>
      </c>
      <c r="Q14" s="5">
        <v>62</v>
      </c>
      <c r="R14" s="13"/>
      <c r="S14" s="13"/>
      <c r="T14" s="13"/>
      <c r="U14" s="13"/>
      <c r="V14" s="13"/>
      <c r="W14" s="4"/>
      <c r="X14" s="5">
        <v>16</v>
      </c>
      <c r="Y14" s="12">
        <f ca="1">IFERROR(__xludf.DUMMYFUNCTION("INDEX(IMPORTRANGE(""1y0FWgjbB0gVlqn-q5LMJbGIsqOrzru4yowQz67dz2yc"", ""'SPGG'!BG3:BG139""),MATCH($D14,IMPORTRANGE(""1y0FWgjbB0gVlqn-q5LMJbGIsqOrzru4yowQz67dz2yc"", ""'SPGG'!D3:D139""),0))"),40)</f>
        <v>40</v>
      </c>
      <c r="Z14" s="12">
        <f ca="1">IFERROR(__xludf.DUMMYFUNCTION("INDEX(IMPORTRANGE(""1y0FWgjbB0gVlqn-q5LMJbGIsqOrzru4yowQz67dz2yc"", ""'SPGG'!BH3:BH139""),MATCH($D14,IMPORTRANGE(""1y0FWgjbB0gVlqn-q5LMJbGIsqOrzru4yowQz67dz2yc"", ""'SPGG'!D3:D139""),0))"),19)</f>
        <v>19</v>
      </c>
      <c r="AA14" s="12">
        <f ca="1">IFERROR(__xludf.DUMMYFUNCTION("INDEX(IMPORTRANGE(""1y0FWgjbB0gVlqn-q5LMJbGIsqOrzru4yowQz67dz2yc"", ""'SPGG'!BI3:BI139""),MATCH($D14,IMPORTRANGE(""1y0FWgjbB0gVlqn-q5LMJbGIsqOrzru4yowQz67dz2yc"", ""'SPGG'!D3:D139""),0))"),37)</f>
        <v>37</v>
      </c>
      <c r="AB14" s="12">
        <f ca="1">IFERROR(__xludf.DUMMYFUNCTION("INDEX(IMPORTRANGE(""1y0FWgjbB0gVlqn-q5LMJbGIsqOrzru4yowQz67dz2yc"", ""'SPGG'!BJ3:BJ139""),MATCH($D14,IMPORTRANGE(""1y0FWgjbB0gVlqn-q5LMJbGIsqOrzru4yowQz67dz2yc"", ""'SPGG'!D3:D139""),0))"),13)</f>
        <v>13</v>
      </c>
      <c r="AC14" s="2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5">
        <v>23</v>
      </c>
      <c r="Q15" s="5">
        <v>42</v>
      </c>
      <c r="R15" s="13"/>
      <c r="S15" s="13"/>
      <c r="T15" s="13"/>
      <c r="U15" s="13"/>
      <c r="V15" s="13"/>
      <c r="W15" s="4"/>
      <c r="X15" s="5">
        <v>27</v>
      </c>
      <c r="Y15" s="12">
        <f ca="1">IFERROR(__xludf.DUMMYFUNCTION("INDEX(IMPORTRANGE(""1y0FWgjbB0gVlqn-q5LMJbGIsqOrzru4yowQz67dz2yc"", ""'SPGG'!BG3:BG139""),MATCH($D15,IMPORTRANGE(""1y0FWgjbB0gVlqn-q5LMJbGIsqOrzru4yowQz67dz2yc"", ""'SPGG'!D3:D139""),0))"),46)</f>
        <v>46</v>
      </c>
      <c r="Z15" s="12">
        <f ca="1">IFERROR(__xludf.DUMMYFUNCTION("INDEX(IMPORTRANGE(""1y0FWgjbB0gVlqn-q5LMJbGIsqOrzru4yowQz67dz2yc"", ""'SPGG'!BH3:BH139""),MATCH($D15,IMPORTRANGE(""1y0FWgjbB0gVlqn-q5LMJbGIsqOrzru4yowQz67dz2yc"", ""'SPGG'!D3:D139""),0))"),30)</f>
        <v>30</v>
      </c>
      <c r="AA15" s="12">
        <f ca="1">IFERROR(__xludf.DUMMYFUNCTION("INDEX(IMPORTRANGE(""1y0FWgjbB0gVlqn-q5LMJbGIsqOrzru4yowQz67dz2yc"", ""'SPGG'!BI3:BI139""),MATCH($D15,IMPORTRANGE(""1y0FWgjbB0gVlqn-q5LMJbGIsqOrzru4yowQz67dz2yc"", ""'SPGG'!D3:D139""),0))"),57)</f>
        <v>57</v>
      </c>
      <c r="AB15" s="12">
        <f ca="1">IFERROR(__xludf.DUMMYFUNCTION("INDEX(IMPORTRANGE(""1y0FWgjbB0gVlqn-q5LMJbGIsqOrzru4yowQz67dz2yc"", ""'SPGG'!BJ3:BJ139""),MATCH($D15,IMPORTRANGE(""1y0FWgjbB0gVlqn-q5LMJbGIsqOrzru4yowQz67dz2yc"", ""'SPGG'!D3:D139""),0))"),24)</f>
        <v>24</v>
      </c>
      <c r="AC15" s="2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5">
        <v>15</v>
      </c>
      <c r="Q16" s="5">
        <v>25</v>
      </c>
      <c r="R16" s="13"/>
      <c r="S16" s="13"/>
      <c r="T16" s="13"/>
      <c r="U16" s="13"/>
      <c r="V16" s="13"/>
      <c r="W16" s="4"/>
      <c r="X16" s="5">
        <v>6</v>
      </c>
      <c r="Y16" s="12">
        <f ca="1">IFERROR(__xludf.DUMMYFUNCTION("INDEX(IMPORTRANGE(""1y0FWgjbB0gVlqn-q5LMJbGIsqOrzru4yowQz67dz2yc"", ""'SPGG'!BG3:BG139""),MATCH($D16,IMPORTRANGE(""1y0FWgjbB0gVlqn-q5LMJbGIsqOrzru4yowQz67dz2yc"", ""'SPGG'!D3:D139""),0))"),18)</f>
        <v>18</v>
      </c>
      <c r="Z16" s="12">
        <f ca="1">IFERROR(__xludf.DUMMYFUNCTION("INDEX(IMPORTRANGE(""1y0FWgjbB0gVlqn-q5LMJbGIsqOrzru4yowQz67dz2yc"", ""'SPGG'!BH3:BH139""),MATCH($D16,IMPORTRANGE(""1y0FWgjbB0gVlqn-q5LMJbGIsqOrzru4yowQz67dz2yc"", ""'SPGG'!D3:D139""),0))"),8)</f>
        <v>8</v>
      </c>
      <c r="AA16" s="12">
        <f ca="1">IFERROR(__xludf.DUMMYFUNCTION("INDEX(IMPORTRANGE(""1y0FWgjbB0gVlqn-q5LMJbGIsqOrzru4yowQz67dz2yc"", ""'SPGG'!BI3:BI139""),MATCH($D16,IMPORTRANGE(""1y0FWgjbB0gVlqn-q5LMJbGIsqOrzru4yowQz67dz2yc"", ""'SPGG'!D3:D139""),0))"),25)</f>
        <v>25</v>
      </c>
      <c r="AB16" s="12">
        <f ca="1">IFERROR(__xludf.DUMMYFUNCTION("INDEX(IMPORTRANGE(""1y0FWgjbB0gVlqn-q5LMJbGIsqOrzru4yowQz67dz2yc"", ""'SPGG'!BJ3:BJ139""),MATCH($D16,IMPORTRANGE(""1y0FWgjbB0gVlqn-q5LMJbGIsqOrzru4yowQz67dz2yc"", ""'SPGG'!D3:D139""),0))"),11)</f>
        <v>11</v>
      </c>
      <c r="AC16" s="2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5">
        <v>16</v>
      </c>
      <c r="Q17" s="5">
        <v>29</v>
      </c>
      <c r="R17" s="13"/>
      <c r="S17" s="13"/>
      <c r="T17" s="13"/>
      <c r="U17" s="13"/>
      <c r="V17" s="13"/>
      <c r="W17" s="4"/>
      <c r="X17" s="5">
        <v>10</v>
      </c>
      <c r="Y17" s="12">
        <f ca="1">IFERROR(__xludf.DUMMYFUNCTION("INDEX(IMPORTRANGE(""1y0FWgjbB0gVlqn-q5LMJbGIsqOrzru4yowQz67dz2yc"", ""'SPGG'!BG3:BG139""),MATCH($D17,IMPORTRANGE(""1y0FWgjbB0gVlqn-q5LMJbGIsqOrzru4yowQz67dz2yc"", ""'SPGG'!D3:D139""),0))"),20)</f>
        <v>20</v>
      </c>
      <c r="Z17" s="12">
        <f ca="1">IFERROR(__xludf.DUMMYFUNCTION("INDEX(IMPORTRANGE(""1y0FWgjbB0gVlqn-q5LMJbGIsqOrzru4yowQz67dz2yc"", ""'SPGG'!BH3:BH139""),MATCH($D17,IMPORTRANGE(""1y0FWgjbB0gVlqn-q5LMJbGIsqOrzru4yowQz67dz2yc"", ""'SPGG'!D3:D139""),0))"),6)</f>
        <v>6</v>
      </c>
      <c r="AA17" s="12">
        <f ca="1">IFERROR(__xludf.DUMMYFUNCTION("INDEX(IMPORTRANGE(""1y0FWgjbB0gVlqn-q5LMJbGIsqOrzru4yowQz67dz2yc"", ""'SPGG'!BI3:BI139""),MATCH($D17,IMPORTRANGE(""1y0FWgjbB0gVlqn-q5LMJbGIsqOrzru4yowQz67dz2yc"", ""'SPGG'!D3:D139""),0))"),15)</f>
        <v>15</v>
      </c>
      <c r="AB17" s="12">
        <f ca="1">IFERROR(__xludf.DUMMYFUNCTION("INDEX(IMPORTRANGE(""1y0FWgjbB0gVlqn-q5LMJbGIsqOrzru4yowQz67dz2yc"", ""'SPGG'!BJ3:BJ139""),MATCH($D17,IMPORTRANGE(""1y0FWgjbB0gVlqn-q5LMJbGIsqOrzru4yowQz67dz2yc"", ""'SPGG'!D3:D139""),0))"),6)</f>
        <v>6</v>
      </c>
      <c r="AC17" s="2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4">SUM(P14:P17)</f>
        <v>88</v>
      </c>
      <c r="Q18" s="262">
        <f t="shared" si="4"/>
        <v>158</v>
      </c>
      <c r="R18" s="486"/>
      <c r="S18" s="486"/>
      <c r="T18" s="486"/>
      <c r="U18" s="486"/>
      <c r="V18" s="486"/>
      <c r="W18" s="486"/>
      <c r="X18" s="262">
        <f t="shared" ref="X18:AA18" si="5">SUM(X14:X17)</f>
        <v>59</v>
      </c>
      <c r="Y18" s="262">
        <f t="shared" ca="1" si="5"/>
        <v>124</v>
      </c>
      <c r="Z18" s="262">
        <f t="shared" ca="1" si="5"/>
        <v>63</v>
      </c>
      <c r="AA18" s="262">
        <f t="shared" ca="1" si="5"/>
        <v>134</v>
      </c>
      <c r="AB18" s="262">
        <f ca="1">IFERROR(__xludf.DUMMYFUNCTION("INDEX(IMPORTRANGE(""1y0FWgjbB0gVlqn-q5LMJbGIsqOrzru4yowQz67dz2yc"", ""'SPGG'!BJ3:BJ139""),MATCH($D18,IMPORTRANGE(""1y0FWgjbB0gVlqn-q5LMJbGIsqOrzru4yowQz67dz2yc"", ""'SPGG'!D3:D139""),0))"),54)</f>
        <v>54</v>
      </c>
      <c r="AC18" s="295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6">(SUM(P14:P17)/P2)*100000</f>
        <v>63.33441289718953</v>
      </c>
      <c r="Q19" s="23">
        <f t="shared" si="6"/>
        <v>113.71405951995395</v>
      </c>
      <c r="R19" s="2">
        <v>103</v>
      </c>
      <c r="S19" s="2">
        <v>57</v>
      </c>
      <c r="T19" s="2">
        <v>103</v>
      </c>
      <c r="U19" s="2">
        <v>57</v>
      </c>
      <c r="V19" s="2">
        <v>103</v>
      </c>
      <c r="W19" s="2">
        <v>103</v>
      </c>
      <c r="X19" s="23">
        <f>(SUM(X14:X17)/X2)*100000</f>
        <v>42.001850929023988</v>
      </c>
      <c r="Y19" s="23">
        <f ca="1">IFERROR(__xludf.DUMMYFUNCTION("INDEX(IMPORTRANGE(""1y0FWgjbB0gVlqn-q5LMJbGIsqOrzru4yowQz67dz2yc"", ""'SPGG'!BG3:BG139""),MATCH($D19,IMPORTRANGE(""1y0FWgjbB0gVlqn-q5LMJbGIsqOrzru4yowQz67dz2yc"", ""'SPGG'!D3:D139""),0))"),88.2750765287961)</f>
        <v>88.275076528796106</v>
      </c>
      <c r="Z19" s="23">
        <f ca="1">IFERROR(__xludf.DUMMYFUNCTION("INDEX(IMPORTRANGE(""1y0FWgjbB0gVlqn-q5LMJbGIsqOrzru4yowQz67dz2yc"", ""'SPGG'!BH3:BH139""),MATCH($D19,IMPORTRANGE(""1y0FWgjbB0gVlqn-q5LMJbGIsqOrzru4yowQz67dz2yc"", ""'SPGG'!D3:D139""),0))"),44.2981901025186)</f>
        <v>44.298190102518603</v>
      </c>
      <c r="AA19" s="23">
        <f ca="1">IFERROR(__xludf.DUMMYFUNCTION("INDEX(IMPORTRANGE(""1y0FWgjbB0gVlqn-q5LMJbGIsqOrzru4yowQz67dz2yc"", ""'SPGG'!BI3:BI139""),MATCH($D19,IMPORTRANGE(""1y0FWgjbB0gVlqn-q5LMJbGIsqOrzru4yowQz67dz2yc"", ""'SPGG'!D3:D139""),0))"),94.2215472021825)</f>
        <v>94.221547202182506</v>
      </c>
      <c r="AB19" s="23">
        <f ca="1">IFERROR(__xludf.DUMMYFUNCTION("INDEX(IMPORTRANGE(""1y0FWgjbB0gVlqn-q5LMJbGIsqOrzru4yowQz67dz2yc"", ""'SPGG'!BJ3:BJ139""),MATCH($D19,IMPORTRANGE(""1y0FWgjbB0gVlqn-q5LMJbGIsqOrzru4yowQz67dz2yc"", ""'SPGG'!D3:D139""),0))"),37.4477292113092)</f>
        <v>37.447729211309202</v>
      </c>
      <c r="AC19" s="2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5">
        <v>129</v>
      </c>
      <c r="Q20" s="5">
        <v>299</v>
      </c>
      <c r="R20" s="13"/>
      <c r="S20" s="13"/>
      <c r="T20" s="13"/>
      <c r="U20" s="13"/>
      <c r="V20" s="13"/>
      <c r="W20" s="4"/>
      <c r="X20" s="5">
        <v>147</v>
      </c>
      <c r="Y20" s="12">
        <f ca="1">IFERROR(__xludf.DUMMYFUNCTION("INDEX(IMPORTRANGE(""1y0FWgjbB0gVlqn-q5LMJbGIsqOrzru4yowQz67dz2yc"", ""'SPGG'!BG3:BG139""),MATCH($D20,IMPORTRANGE(""1y0FWgjbB0gVlqn-q5LMJbGIsqOrzru4yowQz67dz2yc"", ""'SPGG'!D3:D139""),0))"),279)</f>
        <v>279</v>
      </c>
      <c r="Z20" s="12">
        <f ca="1">IFERROR(__xludf.DUMMYFUNCTION("INDEX(IMPORTRANGE(""1y0FWgjbB0gVlqn-q5LMJbGIsqOrzru4yowQz67dz2yc"", ""'SPGG'!BH3:BH139""),MATCH($D20,IMPORTRANGE(""1y0FWgjbB0gVlqn-q5LMJbGIsqOrzru4yowQz67dz2yc"", ""'SPGG'!D3:D139""),0))"),99)</f>
        <v>99</v>
      </c>
      <c r="AA20" s="12">
        <f ca="1">IFERROR(__xludf.DUMMYFUNCTION("INDEX(IMPORTRANGE(""1y0FWgjbB0gVlqn-q5LMJbGIsqOrzru4yowQz67dz2yc"", ""'SPGG'!BI3:BI139""),MATCH($D20,IMPORTRANGE(""1y0FWgjbB0gVlqn-q5LMJbGIsqOrzru4yowQz67dz2yc"", ""'SPGG'!D3:D139""),0))"),199)</f>
        <v>199</v>
      </c>
      <c r="AB20" s="12">
        <f ca="1">IFERROR(__xludf.DUMMYFUNCTION("INDEX(IMPORTRANGE(""1y0FWgjbB0gVlqn-q5LMJbGIsqOrzru4yowQz67dz2yc"", ""'SPGG'!BJ3:BJ139""),MATCH($D20,IMPORTRANGE(""1y0FWgjbB0gVlqn-q5LMJbGIsqOrzru4yowQz67dz2yc"", ""'SPGG'!D3:D139""),0))"),65)</f>
        <v>65</v>
      </c>
      <c r="AC20" s="2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7">(P20/P$2)*100000</f>
        <v>92.842491633380106</v>
      </c>
      <c r="Q21" s="23">
        <f t="shared" si="7"/>
        <v>215.1930620029508</v>
      </c>
      <c r="R21" s="2">
        <v>214.5</v>
      </c>
      <c r="S21" s="2">
        <v>92.7</v>
      </c>
      <c r="T21" s="2">
        <v>213.7</v>
      </c>
      <c r="U21" s="2">
        <v>92.6</v>
      </c>
      <c r="V21" s="2">
        <v>213</v>
      </c>
      <c r="W21" s="2">
        <v>213</v>
      </c>
      <c r="X21" s="23">
        <f>(X20/X$2)*100000</f>
        <v>104.64867943333095</v>
      </c>
      <c r="Y21" s="23">
        <f ca="1">IFERROR(__xludf.DUMMYFUNCTION("INDEX(IMPORTRANGE(""1y0FWgjbB0gVlqn-q5LMJbGIsqOrzru4yowQz67dz2yc"", ""'SPGG'!BG3:BG139""),MATCH($D21,IMPORTRANGE(""1y0FWgjbB0gVlqn-q5LMJbGIsqOrzru4yowQz67dz2yc"", ""'SPGG'!D3:D139""),0))"),198.618922189791)</f>
        <v>198.61892218979099</v>
      </c>
      <c r="Z21" s="23">
        <f ca="1">IFERROR(__xludf.DUMMYFUNCTION("INDEX(IMPORTRANGE(""1y0FWgjbB0gVlqn-q5LMJbGIsqOrzru4yowQz67dz2yc"", ""'SPGG'!BH3:BH139""),MATCH($D21,IMPORTRANGE(""1y0FWgjbB0gVlqn-q5LMJbGIsqOrzru4yowQz67dz2yc"", ""'SPGG'!D3:D139""),0))"),69.6114415896722)</f>
        <v>69.611441589672197</v>
      </c>
      <c r="AA21" s="23">
        <f ca="1">IFERROR(__xludf.DUMMYFUNCTION("INDEX(IMPORTRANGE(""1y0FWgjbB0gVlqn-q5LMJbGIsqOrzru4yowQz67dz2yc"", ""'SPGG'!BI3:BI139""),MATCH($D21,IMPORTRANGE(""1y0FWgjbB0gVlqn-q5LMJbGIsqOrzru4yowQz67dz2yc"", ""'SPGG'!D3:D139""),0))"),139.926029053987)</f>
        <v>139.92602905398701</v>
      </c>
      <c r="AB21" s="23">
        <f ca="1">IFERROR(__xludf.DUMMYFUNCTION("INDEX(IMPORTRANGE(""1y0FWgjbB0gVlqn-q5LMJbGIsqOrzru4yowQz67dz2yc"", ""'SPGG'!BJ3:BJ139""),MATCH($D21,IMPORTRANGE(""1y0FWgjbB0gVlqn-q5LMJbGIsqOrzru4yowQz67dz2yc"", ""'SPGG'!D3:D139""),0))"),45.0759703469462)</f>
        <v>45.0759703469462</v>
      </c>
      <c r="AC21" s="2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5">
        <v>38</v>
      </c>
      <c r="Q22" s="5">
        <v>75</v>
      </c>
      <c r="R22" s="13"/>
      <c r="S22" s="13"/>
      <c r="T22" s="13"/>
      <c r="U22" s="13"/>
      <c r="V22" s="13"/>
      <c r="W22" s="4"/>
      <c r="X22" s="5">
        <v>27</v>
      </c>
      <c r="Y22" s="12">
        <f ca="1">IFERROR(__xludf.DUMMYFUNCTION("INDEX(IMPORTRANGE(""1y0FWgjbB0gVlqn-q5LMJbGIsqOrzru4yowQz67dz2yc"", ""'SPGG'!BG3:BG139""),MATCH($D22,IMPORTRANGE(""1y0FWgjbB0gVlqn-q5LMJbGIsqOrzru4yowQz67dz2yc"", ""'SPGG'!D3:D139""),0))"),66)</f>
        <v>66</v>
      </c>
      <c r="Z22" s="12">
        <f ca="1">IFERROR(__xludf.DUMMYFUNCTION("INDEX(IMPORTRANGE(""1y0FWgjbB0gVlqn-q5LMJbGIsqOrzru4yowQz67dz2yc"", ""'SPGG'!BH3:BH139""),MATCH($D22,IMPORTRANGE(""1y0FWgjbB0gVlqn-q5LMJbGIsqOrzru4yowQz67dz2yc"", ""'SPGG'!D3:D139""),0))"),24)</f>
        <v>24</v>
      </c>
      <c r="AA22" s="12">
        <f ca="1">IFERROR(__xludf.DUMMYFUNCTION("INDEX(IMPORTRANGE(""1y0FWgjbB0gVlqn-q5LMJbGIsqOrzru4yowQz67dz2yc"", ""'SPGG'!BI3:BI139""),MATCH($D22,IMPORTRANGE(""1y0FWgjbB0gVlqn-q5LMJbGIsqOrzru4yowQz67dz2yc"", ""'SPGG'!D3:D139""),0))"),45)</f>
        <v>45</v>
      </c>
      <c r="AB22" s="12">
        <f ca="1">IFERROR(__xludf.DUMMYFUNCTION("INDEX(IMPORTRANGE(""1y0FWgjbB0gVlqn-q5LMJbGIsqOrzru4yowQz67dz2yc"", ""'SPGG'!BJ3:BJ139""),MATCH($D22,IMPORTRANGE(""1y0FWgjbB0gVlqn-q5LMJbGIsqOrzru4yowQz67dz2yc"", ""'SPGG'!D3:D139""),0))"),11)</f>
        <v>11</v>
      </c>
      <c r="AC22" s="2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8">(P22/P$2)*100000</f>
        <v>27.348951023786391</v>
      </c>
      <c r="Q23" s="23">
        <f t="shared" si="8"/>
        <v>53.978192810104723</v>
      </c>
      <c r="R23" s="2">
        <v>53.8</v>
      </c>
      <c r="S23" s="2">
        <v>27.3</v>
      </c>
      <c r="T23" s="2">
        <v>53.6</v>
      </c>
      <c r="U23" s="2">
        <v>27.2</v>
      </c>
      <c r="V23" s="2">
        <v>53.4</v>
      </c>
      <c r="W23" s="2">
        <v>53.4</v>
      </c>
      <c r="X23" s="23">
        <f>(X22/X$2)*100000</f>
        <v>19.221186018366911</v>
      </c>
      <c r="Y23" s="23">
        <f ca="1">IFERROR(__xludf.DUMMYFUNCTION("INDEX(IMPORTRANGE(""1y0FWgjbB0gVlqn-q5LMJbGIsqOrzru4yowQz67dz2yc"", ""'SPGG'!BG3:BG139""),MATCH($D23,IMPORTRANGE(""1y0FWgjbB0gVlqn-q5LMJbGIsqOrzru4yowQz67dz2yc"", ""'SPGG'!D3:D139""),0))"),46.9851213782302)</f>
        <v>46.985121378230197</v>
      </c>
      <c r="Z23" s="23">
        <f ca="1">IFERROR(__xludf.DUMMYFUNCTION("INDEX(IMPORTRANGE(""1y0FWgjbB0gVlqn-q5LMJbGIsqOrzru4yowQz67dz2yc"", ""'SPGG'!BH3:BH139""),MATCH($D23,IMPORTRANGE(""1y0FWgjbB0gVlqn-q5LMJbGIsqOrzru4yowQz67dz2yc"", ""'SPGG'!D3:D139""),0))"),16.8755009914356)</f>
        <v>16.875500991435601</v>
      </c>
      <c r="AA23" s="23">
        <f ca="1">IFERROR(__xludf.DUMMYFUNCTION("INDEX(IMPORTRANGE(""1y0FWgjbB0gVlqn-q5LMJbGIsqOrzru4yowQz67dz2yc"", ""'SPGG'!BI3:BI139""),MATCH($D23,IMPORTRANGE(""1y0FWgjbB0gVlqn-q5LMJbGIsqOrzru4yowQz67dz2yc"", ""'SPGG'!D3:D139""),0))"),31.6415643589419)</f>
        <v>31.641564358941899</v>
      </c>
      <c r="AB23" s="23">
        <f ca="1">IFERROR(__xludf.DUMMYFUNCTION("INDEX(IMPORTRANGE(""1y0FWgjbB0gVlqn-q5LMJbGIsqOrzru4yowQz67dz2yc"", ""'SPGG'!BJ3:BJ139""),MATCH($D23,IMPORTRANGE(""1y0FWgjbB0gVlqn-q5LMJbGIsqOrzru4yowQz67dz2yc"", ""'SPGG'!D3:D139""),0))"),7.62824113563706)</f>
        <v>7.6282411356370599</v>
      </c>
      <c r="AC23" s="2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5">
        <v>3</v>
      </c>
      <c r="Q24" s="5">
        <v>4</v>
      </c>
      <c r="R24" s="13"/>
      <c r="S24" s="13"/>
      <c r="T24" s="13"/>
      <c r="U24" s="13"/>
      <c r="V24" s="13"/>
      <c r="W24" s="4"/>
      <c r="X24" s="5">
        <v>1</v>
      </c>
      <c r="Y24" s="12">
        <f ca="1">IFERROR(__xludf.DUMMYFUNCTION("INDEX(IMPORTRANGE(""1y0FWgjbB0gVlqn-q5LMJbGIsqOrzru4yowQz67dz2yc"", ""'SPGG'!BG3:BG139""),MATCH($D24,IMPORTRANGE(""1y0FWgjbB0gVlqn-q5LMJbGIsqOrzru4yowQz67dz2yc"", ""'SPGG'!D3:D139""),0))"),3)</f>
        <v>3</v>
      </c>
      <c r="Z24" s="12">
        <f ca="1">IFERROR(__xludf.DUMMYFUNCTION("INDEX(IMPORTRANGE(""1y0FWgjbB0gVlqn-q5LMJbGIsqOrzru4yowQz67dz2yc"", ""'SPGG'!BH3:BH139""),MATCH($D24,IMPORTRANGE(""1y0FWgjbB0gVlqn-q5LMJbGIsqOrzru4yowQz67dz2yc"", ""'SPGG'!D3:D139""),0))"),2)</f>
        <v>2</v>
      </c>
      <c r="AA24" s="12">
        <f ca="1">IFERROR(__xludf.DUMMYFUNCTION("INDEX(IMPORTRANGE(""1y0FWgjbB0gVlqn-q5LMJbGIsqOrzru4yowQz67dz2yc"", ""'SPGG'!BI3:BI139""),MATCH($D24,IMPORTRANGE(""1y0FWgjbB0gVlqn-q5LMJbGIsqOrzru4yowQz67dz2yc"", ""'SPGG'!D3:D139""),0))"),5)</f>
        <v>5</v>
      </c>
      <c r="AB24" s="12">
        <f ca="1">IFERROR(__xludf.DUMMYFUNCTION("INDEX(IMPORTRANGE(""1y0FWgjbB0gVlqn-q5LMJbGIsqOrzru4yowQz67dz2yc"", ""'SPGG'!BJ3:BJ139""),MATCH($D24,IMPORTRANGE(""1y0FWgjbB0gVlqn-q5LMJbGIsqOrzru4yowQz67dz2yc"", ""'SPGG'!D3:D139""),0))"),3)</f>
        <v>3</v>
      </c>
      <c r="AC24" s="2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5">
        <v>1</v>
      </c>
      <c r="Q25" s="5">
        <v>5</v>
      </c>
      <c r="R25" s="13"/>
      <c r="S25" s="13"/>
      <c r="T25" s="13"/>
      <c r="U25" s="13"/>
      <c r="V25" s="13"/>
      <c r="W25" s="4"/>
      <c r="X25" s="5">
        <v>1</v>
      </c>
      <c r="Y25" s="12">
        <f ca="1">IFERROR(__xludf.DUMMYFUNCTION("INDEX(IMPORTRANGE(""1y0FWgjbB0gVlqn-q5LMJbGIsqOrzru4yowQz67dz2yc"", ""'SPGG'!BG3:BG139""),MATCH($D25,IMPORTRANGE(""1y0FWgjbB0gVlqn-q5LMJbGIsqOrzru4yowQz67dz2yc"", ""'SPGG'!D3:D139""),0))"),5)</f>
        <v>5</v>
      </c>
      <c r="Z25" s="12">
        <f ca="1">IFERROR(__xludf.DUMMYFUNCTION("INDEX(IMPORTRANGE(""1y0FWgjbB0gVlqn-q5LMJbGIsqOrzru4yowQz67dz2yc"", ""'SPGG'!BH3:BH139""),MATCH($D25,IMPORTRANGE(""1y0FWgjbB0gVlqn-q5LMJbGIsqOrzru4yowQz67dz2yc"", ""'SPGG'!D3:D139""),0))"),2)</f>
        <v>2</v>
      </c>
      <c r="AA25" s="12">
        <f ca="1">IFERROR(__xludf.DUMMYFUNCTION("INDEX(IMPORTRANGE(""1y0FWgjbB0gVlqn-q5LMJbGIsqOrzru4yowQz67dz2yc"", ""'SPGG'!BI3:BI139""),MATCH($D25,IMPORTRANGE(""1y0FWgjbB0gVlqn-q5LMJbGIsqOrzru4yowQz67dz2yc"", ""'SPGG'!D3:D139""),0))"),3)</f>
        <v>3</v>
      </c>
      <c r="AB25" s="12">
        <f ca="1">IFERROR(__xludf.DUMMYFUNCTION("INDEX(IMPORTRANGE(""1y0FWgjbB0gVlqn-q5LMJbGIsqOrzru4yowQz67dz2yc"", ""'SPGG'!BJ3:BJ139""),MATCH($D25,IMPORTRANGE(""1y0FWgjbB0gVlqn-q5LMJbGIsqOrzru4yowQz67dz2yc"", ""'SPGG'!D3:D139""),0))"),0)</f>
        <v>0</v>
      </c>
      <c r="AC25" s="2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5">
        <v>0</v>
      </c>
      <c r="Q26" s="5">
        <v>3</v>
      </c>
      <c r="R26" s="13"/>
      <c r="S26" s="13"/>
      <c r="T26" s="13"/>
      <c r="U26" s="13"/>
      <c r="V26" s="13"/>
      <c r="W26" s="4"/>
      <c r="X26" s="5">
        <v>1</v>
      </c>
      <c r="Y26" s="12">
        <f ca="1">IFERROR(__xludf.DUMMYFUNCTION("INDEX(IMPORTRANGE(""1y0FWgjbB0gVlqn-q5LMJbGIsqOrzru4yowQz67dz2yc"", ""'SPGG'!BG3:BG139""),MATCH($D26,IMPORTRANGE(""1y0FWgjbB0gVlqn-q5LMJbGIsqOrzru4yowQz67dz2yc"", ""'SPGG'!D3:D139""),0))"),2)</f>
        <v>2</v>
      </c>
      <c r="Z26" s="12">
        <f ca="1">IFERROR(__xludf.DUMMYFUNCTION("INDEX(IMPORTRANGE(""1y0FWgjbB0gVlqn-q5LMJbGIsqOrzru4yowQz67dz2yc"", ""'SPGG'!BH3:BH139""),MATCH($D26,IMPORTRANGE(""1y0FWgjbB0gVlqn-q5LMJbGIsqOrzru4yowQz67dz2yc"", ""'SPGG'!D3:D139""),0))"),0)</f>
        <v>0</v>
      </c>
      <c r="AA26" s="12">
        <f ca="1">IFERROR(__xludf.DUMMYFUNCTION("INDEX(IMPORTRANGE(""1y0FWgjbB0gVlqn-q5LMJbGIsqOrzru4yowQz67dz2yc"", ""'SPGG'!BI3:BI139""),MATCH($D26,IMPORTRANGE(""1y0FWgjbB0gVlqn-q5LMJbGIsqOrzru4yowQz67dz2yc"", ""'SPGG'!D3:D139""),0))"),0)</f>
        <v>0</v>
      </c>
      <c r="AB26" s="12">
        <f ca="1">IFERROR(__xludf.DUMMYFUNCTION("INDEX(IMPORTRANGE(""1y0FWgjbB0gVlqn-q5LMJbGIsqOrzru4yowQz67dz2yc"", ""'SPGG'!BJ3:BJ139""),MATCH($D26,IMPORTRANGE(""1y0FWgjbB0gVlqn-q5LMJbGIsqOrzru4yowQz67dz2yc"", ""'SPGG'!D3:D139""),0))"),0)</f>
        <v>0</v>
      </c>
      <c r="AC26" s="2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5">
        <v>0</v>
      </c>
      <c r="Q27" s="5">
        <v>0</v>
      </c>
      <c r="R27" s="13"/>
      <c r="S27" s="13"/>
      <c r="T27" s="13"/>
      <c r="U27" s="13"/>
      <c r="V27" s="13"/>
      <c r="W27" s="4"/>
      <c r="X27" s="5">
        <v>0</v>
      </c>
      <c r="Y27" s="12">
        <f ca="1">IFERROR(__xludf.DUMMYFUNCTION("INDEX(IMPORTRANGE(""1y0FWgjbB0gVlqn-q5LMJbGIsqOrzru4yowQz67dz2yc"", ""'SPGG'!BG3:BG139""),MATCH($D27,IMPORTRANGE(""1y0FWgjbB0gVlqn-q5LMJbGIsqOrzru4yowQz67dz2yc"", ""'SPGG'!D3:D139""),0))"),0)</f>
        <v>0</v>
      </c>
      <c r="Z27" s="12">
        <f ca="1">IFERROR(__xludf.DUMMYFUNCTION("INDEX(IMPORTRANGE(""1y0FWgjbB0gVlqn-q5LMJbGIsqOrzru4yowQz67dz2yc"", ""'SPGG'!BH3:BH139""),MATCH($D27,IMPORTRANGE(""1y0FWgjbB0gVlqn-q5LMJbGIsqOrzru4yowQz67dz2yc"", ""'SPGG'!D3:D139""),0))"),0)</f>
        <v>0</v>
      </c>
      <c r="AA27" s="12">
        <f ca="1">IFERROR(__xludf.DUMMYFUNCTION("INDEX(IMPORTRANGE(""1y0FWgjbB0gVlqn-q5LMJbGIsqOrzru4yowQz67dz2yc"", ""'SPGG'!BI3:BI139""),MATCH($D27,IMPORTRANGE(""1y0FWgjbB0gVlqn-q5LMJbGIsqOrzru4yowQz67dz2yc"", ""'SPGG'!D3:D139""),0))"),0)</f>
        <v>0</v>
      </c>
      <c r="AB27" s="12">
        <f ca="1">IFERROR(__xludf.DUMMYFUNCTION("INDEX(IMPORTRANGE(""1y0FWgjbB0gVlqn-q5LMJbGIsqOrzru4yowQz67dz2yc"", ""'SPGG'!BJ3:BJ139""),MATCH($D27,IMPORTRANGE(""1y0FWgjbB0gVlqn-q5LMJbGIsqOrzru4yowQz67dz2yc"", ""'SPGG'!D3:D139""),0))"),0)</f>
        <v>0</v>
      </c>
      <c r="AC27" s="2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5">
        <v>0</v>
      </c>
      <c r="Q28" s="5">
        <v>0</v>
      </c>
      <c r="R28" s="13"/>
      <c r="S28" s="13"/>
      <c r="T28" s="13"/>
      <c r="U28" s="13"/>
      <c r="V28" s="13"/>
      <c r="W28" s="4"/>
      <c r="X28" s="5">
        <v>0</v>
      </c>
      <c r="Y28" s="12">
        <f ca="1">IFERROR(__xludf.DUMMYFUNCTION("INDEX(IMPORTRANGE(""1y0FWgjbB0gVlqn-q5LMJbGIsqOrzru4yowQz67dz2yc"", ""'SPGG'!BG3:BG139""),MATCH($D28,IMPORTRANGE(""1y0FWgjbB0gVlqn-q5LMJbGIsqOrzru4yowQz67dz2yc"", ""'SPGG'!D3:D139""),0))"),1)</f>
        <v>1</v>
      </c>
      <c r="Z28" s="12">
        <f ca="1">IFERROR(__xludf.DUMMYFUNCTION("INDEX(IMPORTRANGE(""1y0FWgjbB0gVlqn-q5LMJbGIsqOrzru4yowQz67dz2yc"", ""'SPGG'!BH3:BH139""),MATCH($D28,IMPORTRANGE(""1y0FWgjbB0gVlqn-q5LMJbGIsqOrzru4yowQz67dz2yc"", ""'SPGG'!D3:D139""),0))"),0)</f>
        <v>0</v>
      </c>
      <c r="AA28" s="12">
        <f ca="1">IFERROR(__xludf.DUMMYFUNCTION("INDEX(IMPORTRANGE(""1y0FWgjbB0gVlqn-q5LMJbGIsqOrzru4yowQz67dz2yc"", ""'SPGG'!BI3:BI139""),MATCH($D28,IMPORTRANGE(""1y0FWgjbB0gVlqn-q5LMJbGIsqOrzru4yowQz67dz2yc"", ""'SPGG'!D3:D139""),0))"),1)</f>
        <v>1</v>
      </c>
      <c r="AB28" s="12">
        <f ca="1">IFERROR(__xludf.DUMMYFUNCTION("INDEX(IMPORTRANGE(""1y0FWgjbB0gVlqn-q5LMJbGIsqOrzru4yowQz67dz2yc"", ""'SPGG'!BJ3:BJ139""),MATCH($D28,IMPORTRANGE(""1y0FWgjbB0gVlqn-q5LMJbGIsqOrzru4yowQz67dz2yc"", ""'SPGG'!D3:D139""),0))"),1)</f>
        <v>1</v>
      </c>
      <c r="AC28" s="2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5">
        <v>0</v>
      </c>
      <c r="Q29" s="5">
        <v>0</v>
      </c>
      <c r="R29" s="13"/>
      <c r="S29" s="13"/>
      <c r="T29" s="13"/>
      <c r="U29" s="13"/>
      <c r="V29" s="13"/>
      <c r="W29" s="4"/>
      <c r="X29" s="5">
        <v>0</v>
      </c>
      <c r="Y29" s="12">
        <f ca="1">IFERROR(__xludf.DUMMYFUNCTION("INDEX(IMPORTRANGE(""1y0FWgjbB0gVlqn-q5LMJbGIsqOrzru4yowQz67dz2yc"", ""'SPGG'!BG3:BG139""),MATCH($D29,IMPORTRANGE(""1y0FWgjbB0gVlqn-q5LMJbGIsqOrzru4yowQz67dz2yc"", ""'SPGG'!D3:D139""),0))"),0)</f>
        <v>0</v>
      </c>
      <c r="Z29" s="12">
        <f ca="1">IFERROR(__xludf.DUMMYFUNCTION("INDEX(IMPORTRANGE(""1y0FWgjbB0gVlqn-q5LMJbGIsqOrzru4yowQz67dz2yc"", ""'SPGG'!BH3:BH139""),MATCH($D29,IMPORTRANGE(""1y0FWgjbB0gVlqn-q5LMJbGIsqOrzru4yowQz67dz2yc"", ""'SPGG'!D3:D139""),0))"),0)</f>
        <v>0</v>
      </c>
      <c r="AA29" s="12">
        <f ca="1">IFERROR(__xludf.DUMMYFUNCTION("INDEX(IMPORTRANGE(""1y0FWgjbB0gVlqn-q5LMJbGIsqOrzru4yowQz67dz2yc"", ""'SPGG'!BI3:BI139""),MATCH($D29,IMPORTRANGE(""1y0FWgjbB0gVlqn-q5LMJbGIsqOrzru4yowQz67dz2yc"", ""'SPGG'!D3:D139""),0))"),0)</f>
        <v>0</v>
      </c>
      <c r="AB29" s="12">
        <f ca="1">IFERROR(__xludf.DUMMYFUNCTION("INDEX(IMPORTRANGE(""1y0FWgjbB0gVlqn-q5LMJbGIsqOrzru4yowQz67dz2yc"", ""'SPGG'!BJ3:BJ139""),MATCH($D29,IMPORTRANGE(""1y0FWgjbB0gVlqn-q5LMJbGIsqOrzru4yowQz67dz2yc"", ""'SPGG'!D3:D139""),0))"),0)</f>
        <v>0</v>
      </c>
      <c r="AC29" s="2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5">
        <v>0</v>
      </c>
      <c r="Q30" s="5">
        <v>1</v>
      </c>
      <c r="R30" s="13"/>
      <c r="S30" s="13"/>
      <c r="T30" s="13"/>
      <c r="U30" s="13"/>
      <c r="V30" s="13"/>
      <c r="W30" s="4"/>
      <c r="X30" s="5">
        <v>2</v>
      </c>
      <c r="Y30" s="12">
        <f ca="1">IFERROR(__xludf.DUMMYFUNCTION("INDEX(IMPORTRANGE(""1y0FWgjbB0gVlqn-q5LMJbGIsqOrzru4yowQz67dz2yc"", ""'SPGG'!BG3:BG139""),MATCH($D30,IMPORTRANGE(""1y0FWgjbB0gVlqn-q5LMJbGIsqOrzru4yowQz67dz2yc"", ""'SPGG'!D3:D139""),0))"),3)</f>
        <v>3</v>
      </c>
      <c r="Z30" s="12">
        <f ca="1">IFERROR(__xludf.DUMMYFUNCTION("INDEX(IMPORTRANGE(""1y0FWgjbB0gVlqn-q5LMJbGIsqOrzru4yowQz67dz2yc"", ""'SPGG'!BH3:BH139""),MATCH($D30,IMPORTRANGE(""1y0FWgjbB0gVlqn-q5LMJbGIsqOrzru4yowQz67dz2yc"", ""'SPGG'!D3:D139""),0))"),0)</f>
        <v>0</v>
      </c>
      <c r="AA30" s="12">
        <f ca="1">IFERROR(__xludf.DUMMYFUNCTION("INDEX(IMPORTRANGE(""1y0FWgjbB0gVlqn-q5LMJbGIsqOrzru4yowQz67dz2yc"", ""'SPGG'!BI3:BI139""),MATCH($D30,IMPORTRANGE(""1y0FWgjbB0gVlqn-q5LMJbGIsqOrzru4yowQz67dz2yc"", ""'SPGG'!D3:D139""),0))"),2)</f>
        <v>2</v>
      </c>
      <c r="AB30" s="12">
        <f ca="1">IFERROR(__xludf.DUMMYFUNCTION("INDEX(IMPORTRANGE(""1y0FWgjbB0gVlqn-q5LMJbGIsqOrzru4yowQz67dz2yc"", ""'SPGG'!BJ3:BJ139""),MATCH($D30,IMPORTRANGE(""1y0FWgjbB0gVlqn-q5LMJbGIsqOrzru4yowQz67dz2yc"", ""'SPGG'!D3:D139""),0))"),0)</f>
        <v>0</v>
      </c>
      <c r="AC30" s="2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5">
        <v>1</v>
      </c>
      <c r="Q31" s="5">
        <v>2</v>
      </c>
      <c r="R31" s="13"/>
      <c r="S31" s="13"/>
      <c r="T31" s="13"/>
      <c r="U31" s="13"/>
      <c r="V31" s="13"/>
      <c r="W31" s="4"/>
      <c r="X31" s="5">
        <v>0</v>
      </c>
      <c r="Y31" s="12">
        <f ca="1">IFERROR(__xludf.DUMMYFUNCTION("INDEX(IMPORTRANGE(""1y0FWgjbB0gVlqn-q5LMJbGIsqOrzru4yowQz67dz2yc"", ""'SPGG'!BG3:BG139""),MATCH($D31,IMPORTRANGE(""1y0FWgjbB0gVlqn-q5LMJbGIsqOrzru4yowQz67dz2yc"", ""'SPGG'!D3:D139""),0))"),0)</f>
        <v>0</v>
      </c>
      <c r="Z31" s="12">
        <f ca="1">IFERROR(__xludf.DUMMYFUNCTION("INDEX(IMPORTRANGE(""1y0FWgjbB0gVlqn-q5LMJbGIsqOrzru4yowQz67dz2yc"", ""'SPGG'!BH3:BH139""),MATCH($D31,IMPORTRANGE(""1y0FWgjbB0gVlqn-q5LMJbGIsqOrzru4yowQz67dz2yc"", ""'SPGG'!D3:D139""),0))"),0)</f>
        <v>0</v>
      </c>
      <c r="AA31" s="12">
        <f ca="1">IFERROR(__xludf.DUMMYFUNCTION("INDEX(IMPORTRANGE(""1y0FWgjbB0gVlqn-q5LMJbGIsqOrzru4yowQz67dz2yc"", ""'SPGG'!BI3:BI139""),MATCH($D31,IMPORTRANGE(""1y0FWgjbB0gVlqn-q5LMJbGIsqOrzru4yowQz67dz2yc"", ""'SPGG'!D3:D139""),0))"),1)</f>
        <v>1</v>
      </c>
      <c r="AB31" s="12">
        <f ca="1">IFERROR(__xludf.DUMMYFUNCTION("INDEX(IMPORTRANGE(""1y0FWgjbB0gVlqn-q5LMJbGIsqOrzru4yowQz67dz2yc"", ""'SPGG'!BJ3:BJ139""),MATCH($D31,IMPORTRANGE(""1y0FWgjbB0gVlqn-q5LMJbGIsqOrzru4yowQz67dz2yc"", ""'SPGG'!D3:D139""),0))"),0)</f>
        <v>0</v>
      </c>
      <c r="AC31" s="2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5">
        <v>0</v>
      </c>
      <c r="Q32" s="5">
        <v>0</v>
      </c>
      <c r="R32" s="13"/>
      <c r="S32" s="13"/>
      <c r="T32" s="13"/>
      <c r="U32" s="13"/>
      <c r="V32" s="13"/>
      <c r="W32" s="4"/>
      <c r="X32" s="5">
        <v>0</v>
      </c>
      <c r="Y32" s="12">
        <f ca="1">IFERROR(__xludf.DUMMYFUNCTION("INDEX(IMPORTRANGE(""1y0FWgjbB0gVlqn-q5LMJbGIsqOrzru4yowQz67dz2yc"", ""'SPGG'!BG3:BG139""),MATCH($D32,IMPORTRANGE(""1y0FWgjbB0gVlqn-q5LMJbGIsqOrzru4yowQz67dz2yc"", ""'SPGG'!D3:D139""),0))"),0)</f>
        <v>0</v>
      </c>
      <c r="Z32" s="12">
        <f ca="1">IFERROR(__xludf.DUMMYFUNCTION("INDEX(IMPORTRANGE(""1y0FWgjbB0gVlqn-q5LMJbGIsqOrzru4yowQz67dz2yc"", ""'SPGG'!BH3:BH139""),MATCH($D32,IMPORTRANGE(""1y0FWgjbB0gVlqn-q5LMJbGIsqOrzru4yowQz67dz2yc"", ""'SPGG'!D3:D139""),0))"),0)</f>
        <v>0</v>
      </c>
      <c r="AA32" s="12">
        <f ca="1">IFERROR(__xludf.DUMMYFUNCTION("INDEX(IMPORTRANGE(""1y0FWgjbB0gVlqn-q5LMJbGIsqOrzru4yowQz67dz2yc"", ""'SPGG'!BI3:BI139""),MATCH($D32,IMPORTRANGE(""1y0FWgjbB0gVlqn-q5LMJbGIsqOrzru4yowQz67dz2yc"", ""'SPGG'!D3:D139""),0))"),0)</f>
        <v>0</v>
      </c>
      <c r="AB32" s="12">
        <f ca="1">IFERROR(__xludf.DUMMYFUNCTION("INDEX(IMPORTRANGE(""1y0FWgjbB0gVlqn-q5LMJbGIsqOrzru4yowQz67dz2yc"", ""'SPGG'!BJ3:BJ139""),MATCH($D32,IMPORTRANGE(""1y0FWgjbB0gVlqn-q5LMJbGIsqOrzru4yowQz67dz2yc"", ""'SPGG'!D3:D139""),0))"),0)</f>
        <v>0</v>
      </c>
      <c r="AC32" s="2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5">
        <v>0</v>
      </c>
      <c r="Q33" s="5">
        <v>0</v>
      </c>
      <c r="R33" s="13"/>
      <c r="S33" s="13"/>
      <c r="T33" s="13"/>
      <c r="U33" s="13"/>
      <c r="V33" s="13"/>
      <c r="W33" s="4"/>
      <c r="X33" s="5">
        <v>0</v>
      </c>
      <c r="Y33" s="12">
        <f ca="1">IFERROR(__xludf.DUMMYFUNCTION("INDEX(IMPORTRANGE(""1y0FWgjbB0gVlqn-q5LMJbGIsqOrzru4yowQz67dz2yc"", ""'SPGG'!BG3:BG139""),MATCH($D33,IMPORTRANGE(""1y0FWgjbB0gVlqn-q5LMJbGIsqOrzru4yowQz67dz2yc"", ""'SPGG'!D3:D139""),0))"),0)</f>
        <v>0</v>
      </c>
      <c r="Z33" s="12">
        <f ca="1">IFERROR(__xludf.DUMMYFUNCTION("INDEX(IMPORTRANGE(""1y0FWgjbB0gVlqn-q5LMJbGIsqOrzru4yowQz67dz2yc"", ""'SPGG'!BH3:BH139""),MATCH($D33,IMPORTRANGE(""1y0FWgjbB0gVlqn-q5LMJbGIsqOrzru4yowQz67dz2yc"", ""'SPGG'!D3:D139""),0))"),0)</f>
        <v>0</v>
      </c>
      <c r="AA33" s="12">
        <f ca="1">IFERROR(__xludf.DUMMYFUNCTION("INDEX(IMPORTRANGE(""1y0FWgjbB0gVlqn-q5LMJbGIsqOrzru4yowQz67dz2yc"", ""'SPGG'!BI3:BI139""),MATCH($D33,IMPORTRANGE(""1y0FWgjbB0gVlqn-q5LMJbGIsqOrzru4yowQz67dz2yc"", ""'SPGG'!D3:D139""),0))"),0)</f>
        <v>0</v>
      </c>
      <c r="AB33" s="12">
        <f ca="1">IFERROR(__xludf.DUMMYFUNCTION("INDEX(IMPORTRANGE(""1y0FWgjbB0gVlqn-q5LMJbGIsqOrzru4yowQz67dz2yc"", ""'SPGG'!BJ3:BJ139""),MATCH($D33,IMPORTRANGE(""1y0FWgjbB0gVlqn-q5LMJbGIsqOrzru4yowQz67dz2yc"", ""'SPGG'!D3:D139""),0))"),0)</f>
        <v>0</v>
      </c>
      <c r="AC33" s="2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5">
        <v>0</v>
      </c>
      <c r="Q34" s="5">
        <v>0</v>
      </c>
      <c r="R34" s="13"/>
      <c r="S34" s="13"/>
      <c r="T34" s="13"/>
      <c r="U34" s="13"/>
      <c r="V34" s="13"/>
      <c r="W34" s="4"/>
      <c r="X34" s="5">
        <v>0</v>
      </c>
      <c r="Y34" s="12">
        <f ca="1">IFERROR(__xludf.DUMMYFUNCTION("INDEX(IMPORTRANGE(""1y0FWgjbB0gVlqn-q5LMJbGIsqOrzru4yowQz67dz2yc"", ""'SPGG'!BG3:BG139""),MATCH($D34,IMPORTRANGE(""1y0FWgjbB0gVlqn-q5LMJbGIsqOrzru4yowQz67dz2yc"", ""'SPGG'!D3:D139""),0))"),0)</f>
        <v>0</v>
      </c>
      <c r="Z34" s="12">
        <f ca="1">IFERROR(__xludf.DUMMYFUNCTION("INDEX(IMPORTRANGE(""1y0FWgjbB0gVlqn-q5LMJbGIsqOrzru4yowQz67dz2yc"", ""'SPGG'!BH3:BH139""),MATCH($D34,IMPORTRANGE(""1y0FWgjbB0gVlqn-q5LMJbGIsqOrzru4yowQz67dz2yc"", ""'SPGG'!D3:D139""),0))"),0)</f>
        <v>0</v>
      </c>
      <c r="AA34" s="12">
        <f ca="1">IFERROR(__xludf.DUMMYFUNCTION("INDEX(IMPORTRANGE(""1y0FWgjbB0gVlqn-q5LMJbGIsqOrzru4yowQz67dz2yc"", ""'SPGG'!BI3:BI139""),MATCH($D34,IMPORTRANGE(""1y0FWgjbB0gVlqn-q5LMJbGIsqOrzru4yowQz67dz2yc"", ""'SPGG'!D3:D139""),0))"),1)</f>
        <v>1</v>
      </c>
      <c r="AB34" s="12">
        <f ca="1">IFERROR(__xludf.DUMMYFUNCTION("INDEX(IMPORTRANGE(""1y0FWgjbB0gVlqn-q5LMJbGIsqOrzru4yowQz67dz2yc"", ""'SPGG'!BJ3:BJ139""),MATCH($D34,IMPORTRANGE(""1y0FWgjbB0gVlqn-q5LMJbGIsqOrzru4yowQz67dz2yc"", ""'SPGG'!D3:D139""),0))"),1)</f>
        <v>1</v>
      </c>
      <c r="AC34" s="2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9">SUM(P24:P34)</f>
        <v>5</v>
      </c>
      <c r="Q35" s="262">
        <f t="shared" si="9"/>
        <v>15</v>
      </c>
      <c r="R35" s="486"/>
      <c r="S35" s="486"/>
      <c r="T35" s="486"/>
      <c r="U35" s="486"/>
      <c r="V35" s="486"/>
      <c r="W35" s="486"/>
      <c r="X35" s="262">
        <f t="shared" ref="X35:AA35" si="10">SUM(X24:X34)</f>
        <v>5</v>
      </c>
      <c r="Y35" s="262">
        <f t="shared" ca="1" si="10"/>
        <v>14</v>
      </c>
      <c r="Z35" s="262">
        <f t="shared" ca="1" si="10"/>
        <v>4</v>
      </c>
      <c r="AA35" s="262">
        <f t="shared" ca="1" si="10"/>
        <v>13</v>
      </c>
      <c r="AB35" s="262">
        <f ca="1">IFERROR(__xludf.DUMMYFUNCTION("INDEX(IMPORTRANGE(""1y0FWgjbB0gVlqn-q5LMJbGIsqOrzru4yowQz67dz2yc"", ""'SPGG'!BJ3:BJ139""),MATCH($D35,IMPORTRANGE(""1y0FWgjbB0gVlqn-q5LMJbGIsqOrzru4yowQz67dz2yc"", ""'SPGG'!D3:D139""),0))"),5)</f>
        <v>5</v>
      </c>
      <c r="AC35" s="29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1">(SUM(P24:P34)/P$2)*100000</f>
        <v>3.5985461873403146</v>
      </c>
      <c r="Q36" s="23">
        <f t="shared" si="11"/>
        <v>10.795638562020944</v>
      </c>
      <c r="R36" s="2">
        <v>10.8</v>
      </c>
      <c r="S36" s="24">
        <v>3.597</v>
      </c>
      <c r="T36" s="2">
        <v>10.7</v>
      </c>
      <c r="U36" s="24">
        <v>3.597</v>
      </c>
      <c r="V36" s="2">
        <v>10.7</v>
      </c>
      <c r="W36" s="2">
        <f>V36</f>
        <v>10.7</v>
      </c>
      <c r="X36" s="23">
        <f>(SUM(X24:X34)/X$2)*100000</f>
        <v>3.5594788922901688</v>
      </c>
      <c r="Y36" s="23">
        <f ca="1">IFERROR(__xludf.DUMMYFUNCTION("INDEX(IMPORTRANGE(""1y0FWgjbB0gVlqn-q5LMJbGIsqOrzru4yowQz67dz2yc"", ""'SPGG'!BG3:BG139""),MATCH($D36,IMPORTRANGE(""1y0FWgjbB0gVlqn-q5LMJbGIsqOrzru4yowQz67dz2yc"", ""'SPGG'!D3:D139""),0))"),9.96654089841247)</f>
        <v>9.9665408984124699</v>
      </c>
      <c r="Z36" s="23">
        <f ca="1">IFERROR(__xludf.DUMMYFUNCTION("INDEX(IMPORTRANGE(""1y0FWgjbB0gVlqn-q5LMJbGIsqOrzru4yowQz67dz2yc"", ""'SPGG'!BH3:BH139""),MATCH($D36,IMPORTRANGE(""1y0FWgjbB0gVlqn-q5LMJbGIsqOrzru4yowQz67dz2yc"", ""'SPGG'!D3:D139""),0))"),2.81258349857261)</f>
        <v>2.8125834985726099</v>
      </c>
      <c r="AA36" s="23">
        <f ca="1">IFERROR(__xludf.DUMMYFUNCTION("INDEX(IMPORTRANGE(""1y0FWgjbB0gVlqn-q5LMJbGIsqOrzru4yowQz67dz2yc"", ""'SPGG'!BI3:BI139""),MATCH($D36,IMPORTRANGE(""1y0FWgjbB0gVlqn-q5LMJbGIsqOrzru4yowQz67dz2yc"", ""'SPGG'!D3:D139""),0))"),9.14089637036099)</f>
        <v>9.1408963703609896</v>
      </c>
      <c r="AB36" s="23">
        <f ca="1">IFERROR(__xludf.DUMMYFUNCTION("INDEX(IMPORTRANGE(""1y0FWgjbB0gVlqn-q5LMJbGIsqOrzru4yowQz67dz2yc"", ""'SPGG'!BJ3:BJ139""),MATCH($D36,IMPORTRANGE(""1y0FWgjbB0gVlqn-q5LMJbGIsqOrzru4yowQz67dz2yc"", ""'SPGG'!D3:D139""),0))"),3.46738233438048)</f>
        <v>3.4673823343804799</v>
      </c>
      <c r="AC36" s="2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2" t="s">
        <v>38</v>
      </c>
      <c r="F37" s="2" t="s">
        <v>122</v>
      </c>
      <c r="G37" s="11">
        <v>44469</v>
      </c>
      <c r="H37" s="11">
        <v>44469</v>
      </c>
      <c r="I37" s="49">
        <v>44651</v>
      </c>
      <c r="J37" s="49">
        <v>44834</v>
      </c>
      <c r="K37" s="49">
        <v>45016</v>
      </c>
      <c r="L37" s="49">
        <v>45199</v>
      </c>
      <c r="M37" s="49">
        <v>45382</v>
      </c>
      <c r="N37" s="49">
        <v>45565</v>
      </c>
      <c r="O37" s="49">
        <v>45565</v>
      </c>
      <c r="P37" s="12">
        <v>37730</v>
      </c>
      <c r="Q37" s="12">
        <v>37730</v>
      </c>
      <c r="R37" s="13"/>
      <c r="S37" s="13"/>
      <c r="T37" s="13"/>
      <c r="U37" s="13"/>
      <c r="V37" s="13"/>
      <c r="W37" s="4"/>
      <c r="X37" s="12">
        <v>37730</v>
      </c>
      <c r="Y37" s="12">
        <f ca="1">IFERROR(__xludf.DUMMYFUNCTION("INDEX(IMPORTRANGE(""1y0FWgjbB0gVlqn-q5LMJbGIsqOrzru4yowQz67dz2yc"", ""'SPGG'!BG3:BG139""),MATCH($D37,IMPORTRANGE(""1y0FWgjbB0gVlqn-q5LMJbGIsqOrzru4yowQz67dz2yc"", ""'SPGG'!D3:D139""),0))"),37730)</f>
        <v>37730</v>
      </c>
      <c r="Z37" s="12">
        <f ca="1">IFERROR(__xludf.DUMMYFUNCTION("INDEX(IMPORTRANGE(""1y0FWgjbB0gVlqn-q5LMJbGIsqOrzru4yowQz67dz2yc"", ""'SPGG'!BH3:BH139""),MATCH($D37,IMPORTRANGE(""1y0FWgjbB0gVlqn-q5LMJbGIsqOrzru4yowQz67dz2yc"", ""'SPGG'!D3:D139""),0))"),37730)</f>
        <v>37730</v>
      </c>
      <c r="AA37" s="12">
        <f ca="1">IFERROR(__xludf.DUMMYFUNCTION("INDEX(IMPORTRANGE(""1y0FWgjbB0gVlqn-q5LMJbGIsqOrzru4yowQz67dz2yc"", ""'SPGG'!BI3:BI139""),MATCH($D37,IMPORTRANGE(""1y0FWgjbB0gVlqn-q5LMJbGIsqOrzru4yowQz67dz2yc"", ""'SPGG'!D3:D139""),0))"),37730)</f>
        <v>37730</v>
      </c>
      <c r="AB37" s="12">
        <f ca="1">IFERROR(__xludf.DUMMYFUNCTION("INDEX(IMPORTRANGE(""1y0FWgjbB0gVlqn-q5LMJbGIsqOrzru4yowQz67dz2yc"", ""'SPGG'!BJ3:BJ139""),MATCH($D37,IMPORTRANGE(""1y0FWgjbB0gVlqn-q5LMJbGIsqOrzru4yowQz67dz2yc"", ""'SPGG'!D3:D139""),0))"),37730)</f>
        <v>37730</v>
      </c>
      <c r="AC37" s="2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2" t="s">
        <v>38</v>
      </c>
      <c r="F38" s="2" t="s">
        <v>124</v>
      </c>
      <c r="G38" s="11">
        <v>44469</v>
      </c>
      <c r="H38" s="11">
        <v>44469</v>
      </c>
      <c r="I38" s="49">
        <v>44651</v>
      </c>
      <c r="J38" s="49">
        <v>44834</v>
      </c>
      <c r="K38" s="49">
        <v>45016</v>
      </c>
      <c r="L38" s="49">
        <v>45199</v>
      </c>
      <c r="M38" s="49">
        <v>45382</v>
      </c>
      <c r="N38" s="49">
        <v>45565</v>
      </c>
      <c r="O38" s="49">
        <v>45565</v>
      </c>
      <c r="P38" s="12">
        <v>0</v>
      </c>
      <c r="Q38" s="12">
        <v>0</v>
      </c>
      <c r="R38" s="1"/>
      <c r="S38" s="1"/>
      <c r="T38" s="1"/>
      <c r="U38" s="1"/>
      <c r="V38" s="1"/>
      <c r="W38" s="492">
        <v>2171</v>
      </c>
      <c r="X38" s="12">
        <v>2171</v>
      </c>
      <c r="Y38" s="12">
        <f ca="1">IFERROR(__xludf.DUMMYFUNCTION("INDEX(IMPORTRANGE(""1y0FWgjbB0gVlqn-q5LMJbGIsqOrzru4yowQz67dz2yc"", ""'SPGG'!BG3:BG139""),MATCH($D38,IMPORTRANGE(""1y0FWgjbB0gVlqn-q5LMJbGIsqOrzru4yowQz67dz2yc"", ""'SPGG'!D3:D139""),0))"),2970)</f>
        <v>2970</v>
      </c>
      <c r="Z38" s="12">
        <f ca="1">IFERROR(__xludf.DUMMYFUNCTION("INDEX(IMPORTRANGE(""1y0FWgjbB0gVlqn-q5LMJbGIsqOrzru4yowQz67dz2yc"", ""'SPGG'!BH3:BH139""),MATCH($D38,IMPORTRANGE(""1y0FWgjbB0gVlqn-q5LMJbGIsqOrzru4yowQz67dz2yc"", ""'SPGG'!D3:D139""),0))"),5567)</f>
        <v>5567</v>
      </c>
      <c r="AA38" s="12">
        <f ca="1">IFERROR(__xludf.DUMMYFUNCTION("INDEX(IMPORTRANGE(""1y0FWgjbB0gVlqn-q5LMJbGIsqOrzru4yowQz67dz2yc"", ""'SPGG'!BI3:BI139""),MATCH($D38,IMPORTRANGE(""1y0FWgjbB0gVlqn-q5LMJbGIsqOrzru4yowQz67dz2yc"", ""'SPGG'!D3:D139""),0))"),5567)</f>
        <v>5567</v>
      </c>
      <c r="AB38" s="12">
        <f ca="1">IFERROR(__xludf.DUMMYFUNCTION("INDEX(IMPORTRANGE(""1y0FWgjbB0gVlqn-q5LMJbGIsqOrzru4yowQz67dz2yc"", ""'SPGG'!BJ3:BJ139""),MATCH($D38,IMPORTRANGE(""1y0FWgjbB0gVlqn-q5LMJbGIsqOrzru4yowQz67dz2yc"", ""'SPGG'!D3:D139""),0))"),5259)</f>
        <v>5259</v>
      </c>
      <c r="AC38" s="2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2" t="s">
        <v>38</v>
      </c>
      <c r="F39" s="2" t="s">
        <v>126</v>
      </c>
      <c r="G39" s="11">
        <v>44469</v>
      </c>
      <c r="H39" s="11">
        <v>44469</v>
      </c>
      <c r="I39" s="49">
        <v>44651</v>
      </c>
      <c r="J39" s="49">
        <v>44834</v>
      </c>
      <c r="K39" s="49">
        <v>45016</v>
      </c>
      <c r="L39" s="49">
        <v>45199</v>
      </c>
      <c r="M39" s="49">
        <v>45382</v>
      </c>
      <c r="N39" s="49">
        <v>45565</v>
      </c>
      <c r="O39" s="49">
        <v>45565</v>
      </c>
      <c r="P39" s="15">
        <f t="shared" ref="P39:Q39" si="12">P38/P37</f>
        <v>0</v>
      </c>
      <c r="Q39" s="15">
        <f t="shared" si="12"/>
        <v>0</v>
      </c>
      <c r="R39" s="15">
        <v>5.8000000000000003E-2</v>
      </c>
      <c r="S39" s="15">
        <v>5.8000000000000003E-2</v>
      </c>
      <c r="T39" s="15">
        <v>5.8000000000000003E-2</v>
      </c>
      <c r="U39" s="15">
        <v>5.8000000000000003E-2</v>
      </c>
      <c r="V39" s="15">
        <v>5.8000000000000003E-2</v>
      </c>
      <c r="W39" s="15">
        <v>5.8000000000000003E-2</v>
      </c>
      <c r="X39" s="15">
        <f>X38/X37</f>
        <v>5.7540418764908563E-2</v>
      </c>
      <c r="Y39" s="15">
        <f ca="1">IFERROR(__xludf.DUMMYFUNCTION("INDEX(IMPORTRANGE(""1y0FWgjbB0gVlqn-q5LMJbGIsqOrzru4yowQz67dz2yc"", ""'SPGG'!BG3:BG139""),MATCH($D39,IMPORTRANGE(""1y0FWgjbB0gVlqn-q5LMJbGIsqOrzru4yowQz67dz2yc"", ""'SPGG'!D3:D139""),0))"),0.0787172011661807)</f>
        <v>7.8717201166180695E-2</v>
      </c>
      <c r="Z39" s="15">
        <f ca="1">IFERROR(__xludf.DUMMYFUNCTION("INDEX(IMPORTRANGE(""1y0FWgjbB0gVlqn-q5LMJbGIsqOrzru4yowQz67dz2yc"", ""'SPGG'!BH3:BH139""),MATCH($D39,IMPORTRANGE(""1y0FWgjbB0gVlqn-q5LMJbGIsqOrzru4yowQz67dz2yc"", ""'SPGG'!D3:D139""),0))"),0.147548369997349)</f>
        <v>0.14754836999734899</v>
      </c>
      <c r="AA39" s="15">
        <f ca="1">IFERROR(__xludf.DUMMYFUNCTION("INDEX(IMPORTRANGE(""1y0FWgjbB0gVlqn-q5LMJbGIsqOrzru4yowQz67dz2yc"", ""'SPGG'!BI3:BI139""),MATCH($D39,IMPORTRANGE(""1y0FWgjbB0gVlqn-q5LMJbGIsqOrzru4yowQz67dz2yc"", ""'SPGG'!D3:D139""),0))"),0.147548369997349)</f>
        <v>0.14754836999734899</v>
      </c>
      <c r="AB39" s="15">
        <f ca="1">IFERROR(__xludf.DUMMYFUNCTION("INDEX(IMPORTRANGE(""1y0FWgjbB0gVlqn-q5LMJbGIsqOrzru4yowQz67dz2yc"", ""'SPGG'!BJ3:BJ139""),MATCH($D39,IMPORTRANGE(""1y0FWgjbB0gVlqn-q5LMJbGIsqOrzru4yowQz67dz2yc"", ""'SPGG'!D3:D139""),0))"),0.139385104691227)</f>
        <v>0.139385104691227</v>
      </c>
      <c r="AC39" s="2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1"/>
      <c r="S40" s="1"/>
      <c r="T40" s="1"/>
      <c r="U40" s="1"/>
      <c r="V40" s="1"/>
      <c r="W40" s="459"/>
      <c r="X40" s="12"/>
      <c r="Y40" s="299" t="str">
        <f ca="1">IFERROR(__xludf.DUMMYFUNCTION("INDEX(IMPORTRANGE(""1y0FWgjbB0gVlqn-q5LMJbGIsqOrzru4yowQz67dz2yc"", ""'SPGG'!BG3:BG139""),MATCH($D40,IMPORTRANGE(""1y0FWgjbB0gVlqn-q5LMJbGIsqOrzru4yowQz67dz2yc"", ""'SPGG'!D3:D139""),0))"),"")</f>
        <v/>
      </c>
      <c r="Z40" s="12">
        <f ca="1">IFERROR(__xludf.DUMMYFUNCTION("INDEX(IMPORTRANGE(""1y0FWgjbB0gVlqn-q5LMJbGIsqOrzru4yowQz67dz2yc"", ""'SPGG'!BH3:BH139""),MATCH($D40,IMPORTRANGE(""1y0FWgjbB0gVlqn-q5LMJbGIsqOrzru4yowQz67dz2yc"", ""'SPGG'!D3:D139""),0))"),194.4)</f>
        <v>194.4</v>
      </c>
      <c r="AA40" s="12">
        <f ca="1">IFERROR(__xludf.DUMMYFUNCTION("INDEX(IMPORTRANGE(""1y0FWgjbB0gVlqn-q5LMJbGIsqOrzru4yowQz67dz2yc"", ""'SPGG'!BI3:BI139""),MATCH($D40,IMPORTRANGE(""1y0FWgjbB0gVlqn-q5LMJbGIsqOrzru4yowQz67dz2yc"", ""'SPGG'!D3:D139""),0))"),477.6)</f>
        <v>477.6</v>
      </c>
      <c r="AB40" s="12">
        <f ca="1">IFERROR(__xludf.DUMMYFUNCTION("INDEX(IMPORTRANGE(""1y0FWgjbB0gVlqn-q5LMJbGIsqOrzru4yowQz67dz2yc"", ""'SPGG'!BJ3:BJ139""),MATCH($D40,IMPORTRANGE(""1y0FWgjbB0gVlqn-q5LMJbGIsqOrzru4yowQz67dz2yc"", ""'SPGG'!D3:D139""),0))"),272.5)</f>
        <v>272.5</v>
      </c>
      <c r="AC40" s="2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1"/>
      <c r="S41" s="1"/>
      <c r="T41" s="1"/>
      <c r="U41" s="1"/>
      <c r="V41" s="1"/>
      <c r="W41" s="459"/>
      <c r="X41" s="12"/>
      <c r="Y41" s="299" t="str">
        <f ca="1">IFERROR(__xludf.DUMMYFUNCTION("INDEX(IMPORTRANGE(""1y0FWgjbB0gVlqn-q5LMJbGIsqOrzru4yowQz67dz2yc"", ""'SPGG'!BG3:BG139""),MATCH($D41,IMPORTRANGE(""1y0FWgjbB0gVlqn-q5LMJbGIsqOrzru4yowQz67dz2yc"", ""'SPGG'!D3:D139""),0))"),"")</f>
        <v/>
      </c>
      <c r="Z41" s="12">
        <f ca="1">IFERROR(__xludf.DUMMYFUNCTION("INDEX(IMPORTRANGE(""1y0FWgjbB0gVlqn-q5LMJbGIsqOrzru4yowQz67dz2yc"", ""'SPGG'!BH3:BH139""),MATCH($D41,IMPORTRANGE(""1y0FWgjbB0gVlqn-q5LMJbGIsqOrzru4yowQz67dz2yc"", ""'SPGG'!D3:D139""),0))"),19551.08)</f>
        <v>19551.080000000002</v>
      </c>
      <c r="AA41" s="12">
        <f ca="1">IFERROR(__xludf.DUMMYFUNCTION("INDEX(IMPORTRANGE(""1y0FWgjbB0gVlqn-q5LMJbGIsqOrzru4yowQz67dz2yc"", ""'SPGG'!BI3:BI139""),MATCH($D41,IMPORTRANGE(""1y0FWgjbB0gVlqn-q5LMJbGIsqOrzru4yowQz67dz2yc"", ""'SPGG'!D3:D139""),0))"),39545)</f>
        <v>39545</v>
      </c>
      <c r="AB41" s="12">
        <f ca="1">IFERROR(__xludf.DUMMYFUNCTION("INDEX(IMPORTRANGE(""1y0FWgjbB0gVlqn-q5LMJbGIsqOrzru4yowQz67dz2yc"", ""'SPGG'!BJ3:BJ139""),MATCH($D41,IMPORTRANGE(""1y0FWgjbB0gVlqn-q5LMJbGIsqOrzru4yowQz67dz2yc"", ""'SPGG'!D3:D139""),0))"),20160.76)</f>
        <v>20160.759999999998</v>
      </c>
      <c r="AC41" s="2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9.9000000000000008E-3</v>
      </c>
      <c r="T42" s="26">
        <v>1.04E-2</v>
      </c>
      <c r="U42" s="26">
        <v>9.9000000000000008E-3</v>
      </c>
      <c r="V42" s="26">
        <v>1.04E-2</v>
      </c>
      <c r="W42" s="26">
        <f>V42</f>
        <v>1.04E-2</v>
      </c>
      <c r="X42" s="12"/>
      <c r="Y42" s="299" t="str">
        <f ca="1">IFERROR(__xludf.DUMMYFUNCTION("INDEX(IMPORTRANGE(""1y0FWgjbB0gVlqn-q5LMJbGIsqOrzru4yowQz67dz2yc"", ""'SPGG'!BG3:BG139""),MATCH($D42,IMPORTRANGE(""1y0FWgjbB0gVlqn-q5LMJbGIsqOrzru4yowQz67dz2yc"", ""'SPGG'!D3:D139""),0))"),"")</f>
        <v/>
      </c>
      <c r="Z42" s="15">
        <f ca="1">IFERROR(__xludf.DUMMYFUNCTION("INDEX(IMPORTRANGE(""1y0FWgjbB0gVlqn-q5LMJbGIsqOrzru4yowQz67dz2yc"", ""'SPGG'!BH3:BH139""),MATCH($D42,IMPORTRANGE(""1y0FWgjbB0gVlqn-q5LMJbGIsqOrzru4yowQz67dz2yc"", ""'SPGG'!D3:D139""),0))"),0.00994318472432213)</f>
        <v>9.9431847243221308E-3</v>
      </c>
      <c r="AA42" s="15">
        <f ca="1">IFERROR(__xludf.DUMMYFUNCTION("INDEX(IMPORTRANGE(""1y0FWgjbB0gVlqn-q5LMJbGIsqOrzru4yowQz67dz2yc"", ""'SPGG'!BI3:BI139""),MATCH($D42,IMPORTRANGE(""1y0FWgjbB0gVlqn-q5LMJbGIsqOrzru4yowQz67dz2yc"", ""'SPGG'!D3:D139""),0))"),0.0120773801997724)</f>
        <v>1.20773801997724E-2</v>
      </c>
      <c r="AB42" s="15">
        <f ca="1">IFERROR(__xludf.DUMMYFUNCTION("INDEX(IMPORTRANGE(""1y0FWgjbB0gVlqn-q5LMJbGIsqOrzru4yowQz67dz2yc"", ""'SPGG'!BJ3:BJ139""),MATCH($D42,IMPORTRANGE(""1y0FWgjbB0gVlqn-q5LMJbGIsqOrzru4yowQz67dz2yc"", ""'SPGG'!D3:D139""),0))"),0.0135163555342159)</f>
        <v>1.35163555342159E-2</v>
      </c>
      <c r="AC42" s="2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1</v>
      </c>
      <c r="S43" s="2">
        <v>1</v>
      </c>
      <c r="T43" s="2">
        <v>1</v>
      </c>
      <c r="U43" s="2">
        <v>1</v>
      </c>
      <c r="V43" s="2">
        <v>1</v>
      </c>
      <c r="W43" s="2">
        <v>1</v>
      </c>
      <c r="X43" s="12">
        <v>0</v>
      </c>
      <c r="Y43" s="12">
        <f ca="1">IFERROR(__xludf.DUMMYFUNCTION("INDEX(IMPORTRANGE(""1y0FWgjbB0gVlqn-q5LMJbGIsqOrzru4yowQz67dz2yc"", ""'SPGG'!BG3:BG139""),MATCH($D43,IMPORTRANGE(""1y0FWgjbB0gVlqn-q5LMJbGIsqOrzru4yowQz67dz2yc"", ""'SPGG'!D3:D139""),0))"),0)</f>
        <v>0</v>
      </c>
      <c r="Z43" s="12">
        <f ca="1">IFERROR(__xludf.DUMMYFUNCTION("INDEX(IMPORTRANGE(""1y0FWgjbB0gVlqn-q5LMJbGIsqOrzru4yowQz67dz2yc"", ""'SPGG'!BH3:BH139""),MATCH($D43,IMPORTRANGE(""1y0FWgjbB0gVlqn-q5LMJbGIsqOrzru4yowQz67dz2yc"", ""'SPGG'!D3:D139""),0))"),1)</f>
        <v>1</v>
      </c>
      <c r="AA43" s="12">
        <f ca="1">IFERROR(__xludf.DUMMYFUNCTION("INDEX(IMPORTRANGE(""1y0FWgjbB0gVlqn-q5LMJbGIsqOrzru4yowQz67dz2yc"", ""'SPGG'!BI3:BI139""),MATCH($D43,IMPORTRANGE(""1y0FWgjbB0gVlqn-q5LMJbGIsqOrzru4yowQz67dz2yc"", ""'SPGG'!D3:D139""),0))"),1)</f>
        <v>1</v>
      </c>
      <c r="AB43" s="12">
        <f ca="1">IFERROR(__xludf.DUMMYFUNCTION("INDEX(IMPORTRANGE(""1y0FWgjbB0gVlqn-q5LMJbGIsqOrzru4yowQz67dz2yc"", ""'SPGG'!BJ3:BJ139""),MATCH($D43,IMPORTRANGE(""1y0FWgjbB0gVlqn-q5LMJbGIsqOrzru4yowQz67dz2yc"", ""'SPGG'!D3:D139""),0))"),1)</f>
        <v>1</v>
      </c>
      <c r="AC43" s="2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1983</v>
      </c>
      <c r="Q44" s="12">
        <v>4249</v>
      </c>
      <c r="R44" s="12">
        <v>2000</v>
      </c>
      <c r="S44" s="12">
        <f>640+R44</f>
        <v>2640</v>
      </c>
      <c r="T44" s="12">
        <f>710-640+S44</f>
        <v>2710</v>
      </c>
      <c r="U44" s="12">
        <f>70+T44</f>
        <v>2780</v>
      </c>
      <c r="V44" s="12">
        <f>3000-U44+U44</f>
        <v>3000</v>
      </c>
      <c r="W44" s="12">
        <f>V44</f>
        <v>3000</v>
      </c>
      <c r="X44" s="12">
        <v>900</v>
      </c>
      <c r="Y44" s="12">
        <f ca="1">IFERROR(__xludf.DUMMYFUNCTION("INDEX(IMPORTRANGE(""1y0FWgjbB0gVlqn-q5LMJbGIsqOrzru4yowQz67dz2yc"", ""'SPGG'!BG3:BG139""),MATCH($D44,IMPORTRANGE(""1y0FWgjbB0gVlqn-q5LMJbGIsqOrzru4yowQz67dz2yc"", ""'SPGG'!D3:D139""),0))"),2171)</f>
        <v>2171</v>
      </c>
      <c r="Z44" s="12">
        <f ca="1">IFERROR(__xludf.DUMMYFUNCTION("INDEX(IMPORTRANGE(""1y0FWgjbB0gVlqn-q5LMJbGIsqOrzru4yowQz67dz2yc"", ""'SPGG'!BH3:BH139""),MATCH($D44,IMPORTRANGE(""1y0FWgjbB0gVlqn-q5LMJbGIsqOrzru4yowQz67dz2yc"", ""'SPGG'!D3:D139""),0))"),2983)</f>
        <v>2983</v>
      </c>
      <c r="AA44" s="12">
        <f ca="1">IFERROR(__xludf.DUMMYFUNCTION("INDEX(IMPORTRANGE(""1y0FWgjbB0gVlqn-q5LMJbGIsqOrzru4yowQz67dz2yc"", ""'SPGG'!BI3:BI139""),MATCH($D44,IMPORTRANGE(""1y0FWgjbB0gVlqn-q5LMJbGIsqOrzru4yowQz67dz2yc"", ""'SPGG'!D3:D139""),0))"),3380)</f>
        <v>3380</v>
      </c>
      <c r="AB44" s="12">
        <f ca="1">IFERROR(__xludf.DUMMYFUNCTION("INDEX(IMPORTRANGE(""1y0FWgjbB0gVlqn-q5LMJbGIsqOrzru4yowQz67dz2yc"", ""'SPGG'!BJ3:BJ139""),MATCH($D44,IMPORTRANGE(""1y0FWgjbB0gVlqn-q5LMJbGIsqOrzru4yowQz67dz2yc"", ""'SPGG'!D3:D139""),0))"),5128)</f>
        <v>5128</v>
      </c>
      <c r="AC44" s="2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12">
        <v>0</v>
      </c>
      <c r="R45" s="1"/>
      <c r="S45" s="1"/>
      <c r="T45" s="1"/>
      <c r="U45" s="1"/>
      <c r="V45" s="1"/>
      <c r="W45" s="459">
        <v>4</v>
      </c>
      <c r="X45" s="12">
        <v>4</v>
      </c>
      <c r="Y45" s="12">
        <f ca="1">IFERROR(__xludf.DUMMYFUNCTION("INDEX(IMPORTRANGE(""1y0FWgjbB0gVlqn-q5LMJbGIsqOrzru4yowQz67dz2yc"", ""'SPGG'!BG3:BG139""),MATCH($D45,IMPORTRANGE(""1y0FWgjbB0gVlqn-q5LMJbGIsqOrzru4yowQz67dz2yc"", ""'SPGG'!D3:D139""),0))"),4)</f>
        <v>4</v>
      </c>
      <c r="Z45" s="12">
        <f ca="1">IFERROR(__xludf.DUMMYFUNCTION("INDEX(IMPORTRANGE(""1y0FWgjbB0gVlqn-q5LMJbGIsqOrzru4yowQz67dz2yc"", ""'SPGG'!BH3:BH139""),MATCH($D45,IMPORTRANGE(""1y0FWgjbB0gVlqn-q5LMJbGIsqOrzru4yowQz67dz2yc"", ""'SPGG'!D3:D139""),0))"),4)</f>
        <v>4</v>
      </c>
      <c r="AA45" s="12">
        <f ca="1">IFERROR(__xludf.DUMMYFUNCTION("INDEX(IMPORTRANGE(""1y0FWgjbB0gVlqn-q5LMJbGIsqOrzru4yowQz67dz2yc"", ""'SPGG'!BI3:BI139""),MATCH($D45,IMPORTRANGE(""1y0FWgjbB0gVlqn-q5LMJbGIsqOrzru4yowQz67dz2yc"", ""'SPGG'!D3:D139""),0))"),4)</f>
        <v>4</v>
      </c>
      <c r="AB45" s="12">
        <f ca="1">IFERROR(__xludf.DUMMYFUNCTION("INDEX(IMPORTRANGE(""1y0FWgjbB0gVlqn-q5LMJbGIsqOrzru4yowQz67dz2yc"", ""'SPGG'!BJ3:BJ139""),MATCH($D45,IMPORTRANGE(""1y0FWgjbB0gVlqn-q5LMJbGIsqOrzru4yowQz67dz2yc"", ""'SPGG'!D3:D139""),0))"),5)</f>
        <v>5</v>
      </c>
      <c r="AC45" s="2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12"/>
      <c r="R46" s="1"/>
      <c r="S46" s="1"/>
      <c r="T46" s="1"/>
      <c r="U46" s="1"/>
      <c r="V46" s="1"/>
      <c r="W46" s="459"/>
      <c r="X46" s="12"/>
      <c r="Y46" s="12">
        <f ca="1">IFERROR(__xludf.DUMMYFUNCTION("INDEX(IMPORTRANGE(""1y0FWgjbB0gVlqn-q5LMJbGIsqOrzru4yowQz67dz2yc"", ""'SPGG'!BG3:BG139""),MATCH($D46,IMPORTRANGE(""1y0FWgjbB0gVlqn-q5LMJbGIsqOrzru4yowQz67dz2yc"", ""'SPGG'!D3:D139""),0))"),1)</f>
        <v>1</v>
      </c>
      <c r="Z46" s="12">
        <f ca="1">IFERROR(__xludf.DUMMYFUNCTION("INDEX(IMPORTRANGE(""1y0FWgjbB0gVlqn-q5LMJbGIsqOrzru4yowQz67dz2yc"", ""'SPGG'!BH3:BH139""),MATCH($D46,IMPORTRANGE(""1y0FWgjbB0gVlqn-q5LMJbGIsqOrzru4yowQz67dz2yc"", ""'SPGG'!D3:D139""),0))"),1)</f>
        <v>1</v>
      </c>
      <c r="AA46" s="12">
        <f ca="1">IFERROR(__xludf.DUMMYFUNCTION("INDEX(IMPORTRANGE(""1y0FWgjbB0gVlqn-q5LMJbGIsqOrzru4yowQz67dz2yc"", ""'SPGG'!BI3:BI139""),MATCH($D46,IMPORTRANGE(""1y0FWgjbB0gVlqn-q5LMJbGIsqOrzru4yowQz67dz2yc"", ""'SPGG'!D3:D139""),0))"),1)</f>
        <v>1</v>
      </c>
      <c r="AB46" s="12">
        <f ca="1">IFERROR(__xludf.DUMMYFUNCTION("INDEX(IMPORTRANGE(""1y0FWgjbB0gVlqn-q5LMJbGIsqOrzru4yowQz67dz2yc"", ""'SPGG'!BJ3:BJ139""),MATCH($D46,IMPORTRANGE(""1y0FWgjbB0gVlqn-q5LMJbGIsqOrzru4yowQz67dz2yc"", ""'SPGG'!D3:D139""),0))"),1)</f>
        <v>1</v>
      </c>
      <c r="AC46" s="2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0</v>
      </c>
      <c r="Q47" s="12">
        <v>3</v>
      </c>
      <c r="R47" s="1"/>
      <c r="S47" s="1"/>
      <c r="T47" s="1"/>
      <c r="U47" s="1"/>
      <c r="V47" s="1"/>
      <c r="W47" s="459">
        <v>42</v>
      </c>
      <c r="X47" s="12">
        <v>35</v>
      </c>
      <c r="Y47" s="12">
        <f ca="1">IFERROR(__xludf.DUMMYFUNCTION("INDEX(IMPORTRANGE(""1y0FWgjbB0gVlqn-q5LMJbGIsqOrzru4yowQz67dz2yc"", ""'SPGG'!BG3:BG139""),MATCH($D47,IMPORTRANGE(""1y0FWgjbB0gVlqn-q5LMJbGIsqOrzru4yowQz67dz2yc"", ""'SPGG'!D3:D139""),0))"),38)</f>
        <v>38</v>
      </c>
      <c r="Z47" s="12">
        <f ca="1">IFERROR(__xludf.DUMMYFUNCTION("INDEX(IMPORTRANGE(""1y0FWgjbB0gVlqn-q5LMJbGIsqOrzru4yowQz67dz2yc"", ""'SPGG'!BH3:BH139""),MATCH($D47,IMPORTRANGE(""1y0FWgjbB0gVlqn-q5LMJbGIsqOrzru4yowQz67dz2yc"", ""'SPGG'!D3:D139""),0))"),43)</f>
        <v>43</v>
      </c>
      <c r="AA47" s="12">
        <f ca="1">IFERROR(__xludf.DUMMYFUNCTION("INDEX(IMPORTRANGE(""1y0FWgjbB0gVlqn-q5LMJbGIsqOrzru4yowQz67dz2yc"", ""'SPGG'!BI3:BI139""),MATCH($D47,IMPORTRANGE(""1y0FWgjbB0gVlqn-q5LMJbGIsqOrzru4yowQz67dz2yc"", ""'SPGG'!D3:D139""),0))"),72)</f>
        <v>72</v>
      </c>
      <c r="AB47" s="12">
        <f ca="1">IFERROR(__xludf.DUMMYFUNCTION("INDEX(IMPORTRANGE(""1y0FWgjbB0gVlqn-q5LMJbGIsqOrzru4yowQz67dz2yc"", ""'SPGG'!BJ3:BJ139""),MATCH($D47,IMPORTRANGE(""1y0FWgjbB0gVlqn-q5LMJbGIsqOrzru4yowQz67dz2yc"", ""'SPGG'!D3:D139""),0))"),87)</f>
        <v>87</v>
      </c>
      <c r="AC47" s="2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1"/>
      <c r="S48" s="1"/>
      <c r="T48" s="1"/>
      <c r="U48" s="1"/>
      <c r="V48" s="1"/>
      <c r="W48" s="459"/>
      <c r="X48" s="12"/>
      <c r="Y48" s="12">
        <f ca="1">IFERROR(__xludf.DUMMYFUNCTION("INDEX(IMPORTRANGE(""1y0FWgjbB0gVlqn-q5LMJbGIsqOrzru4yowQz67dz2yc"", ""'SPGG'!BG3:BG139""),MATCH($D48,IMPORTRANGE(""1y0FWgjbB0gVlqn-q5LMJbGIsqOrzru4yowQz67dz2yc"", ""'SPGG'!D3:D139""),0))"),0)</f>
        <v>0</v>
      </c>
      <c r="Z48" s="12">
        <f ca="1">IFERROR(__xludf.DUMMYFUNCTION("INDEX(IMPORTRANGE(""1y0FWgjbB0gVlqn-q5LMJbGIsqOrzru4yowQz67dz2yc"", ""'SPGG'!BH3:BH139""),MATCH($D48,IMPORTRANGE(""1y0FWgjbB0gVlqn-q5LMJbGIsqOrzru4yowQz67dz2yc"", ""'SPGG'!D3:D139""),0))"),0)</f>
        <v>0</v>
      </c>
      <c r="AA48" s="12">
        <f ca="1">IFERROR(__xludf.DUMMYFUNCTION("INDEX(IMPORTRANGE(""1y0FWgjbB0gVlqn-q5LMJbGIsqOrzru4yowQz67dz2yc"", ""'SPGG'!BI3:BI139""),MATCH($D48,IMPORTRANGE(""1y0FWgjbB0gVlqn-q5LMJbGIsqOrzru4yowQz67dz2yc"", ""'SPGG'!D3:D139""),0))"),0)</f>
        <v>0</v>
      </c>
      <c r="AB48" s="12">
        <f ca="1">IFERROR(__xludf.DUMMYFUNCTION("INDEX(IMPORTRANGE(""1y0FWgjbB0gVlqn-q5LMJbGIsqOrzru4yowQz67dz2yc"", ""'SPGG'!BJ3:BJ139""),MATCH($D48,IMPORTRANGE(""1y0FWgjbB0gVlqn-q5LMJbGIsqOrzru4yowQz67dz2yc"", ""'SPGG'!D3:D139""),0))"),0)</f>
        <v>0</v>
      </c>
      <c r="AC48" s="2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f t="shared" ref="P49:Q49" si="13">P45+P47</f>
        <v>0</v>
      </c>
      <c r="Q49" s="12">
        <f t="shared" si="13"/>
        <v>3</v>
      </c>
      <c r="R49" s="4">
        <v>40</v>
      </c>
      <c r="S49" s="4">
        <f>R49+1</f>
        <v>41</v>
      </c>
      <c r="T49" s="4">
        <f>S49+2</f>
        <v>43</v>
      </c>
      <c r="U49" s="4">
        <f>T49+1</f>
        <v>44</v>
      </c>
      <c r="V49" s="4">
        <f>U49+2</f>
        <v>46</v>
      </c>
      <c r="W49" s="4">
        <v>46</v>
      </c>
      <c r="X49" s="12">
        <f>X45+X47</f>
        <v>39</v>
      </c>
      <c r="Y49" s="12">
        <f ca="1">IFERROR(__xludf.DUMMYFUNCTION("INDEX(IMPORTRANGE(""1y0FWgjbB0gVlqn-q5LMJbGIsqOrzru4yowQz67dz2yc"", ""'SPGG'!BG3:BG139""),MATCH($D49,IMPORTRANGE(""1y0FWgjbB0gVlqn-q5LMJbGIsqOrzru4yowQz67dz2yc"", ""'SPGG'!D3:D139""),0))"),43)</f>
        <v>43</v>
      </c>
      <c r="Z49" s="12">
        <f ca="1">IFERROR(__xludf.DUMMYFUNCTION("INDEX(IMPORTRANGE(""1y0FWgjbB0gVlqn-q5LMJbGIsqOrzru4yowQz67dz2yc"", ""'SPGG'!BH3:BH139""),MATCH($D49,IMPORTRANGE(""1y0FWgjbB0gVlqn-q5LMJbGIsqOrzru4yowQz67dz2yc"", ""'SPGG'!D3:D139""),0))"),48)</f>
        <v>48</v>
      </c>
      <c r="AA49" s="12">
        <f ca="1">IFERROR(__xludf.DUMMYFUNCTION("INDEX(IMPORTRANGE(""1y0FWgjbB0gVlqn-q5LMJbGIsqOrzru4yowQz67dz2yc"", ""'SPGG'!BI3:BI139""),MATCH($D49,IMPORTRANGE(""1y0FWgjbB0gVlqn-q5LMJbGIsqOrzru4yowQz67dz2yc"", ""'SPGG'!D3:D139""),0))"),77)</f>
        <v>77</v>
      </c>
      <c r="AB49" s="12">
        <f ca="1">IFERROR(__xludf.DUMMYFUNCTION("INDEX(IMPORTRANGE(""1y0FWgjbB0gVlqn-q5LMJbGIsqOrzru4yowQz67dz2yc"", ""'SPGG'!BJ3:BJ139""),MATCH($D49,IMPORTRANGE(""1y0FWgjbB0gVlqn-q5LMJbGIsqOrzru4yowQz67dz2yc"", ""'SPGG'!D3:D139""),0))"),93)</f>
        <v>93</v>
      </c>
      <c r="AC49" s="2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1" t="s">
        <v>151</v>
      </c>
      <c r="S50" s="1" t="s">
        <v>151</v>
      </c>
      <c r="T50" s="1" t="s">
        <v>151</v>
      </c>
      <c r="U50" s="1" t="s">
        <v>151</v>
      </c>
      <c r="V50" s="1" t="s">
        <v>151</v>
      </c>
      <c r="W50" s="1" t="s">
        <v>151</v>
      </c>
      <c r="X50" s="30" t="s">
        <v>150</v>
      </c>
      <c r="Y50" s="12" t="str">
        <f ca="1">IFERROR(__xludf.DUMMYFUNCTION("INDEX(IMPORTRANGE(""1y0FWgjbB0gVlqn-q5LMJbGIsqOrzru4yowQz67dz2yc"", ""'SPGG'!BG3:BG139""),MATCH($D50,IMPORTRANGE(""1y0FWgjbB0gVlqn-q5LMJbGIsqOrzru4yowQz67dz2yc"", ""'SPGG'!D3:D139""),0))"),"Sí")</f>
        <v>Sí</v>
      </c>
      <c r="Z50" s="12" t="str">
        <f ca="1">IFERROR(__xludf.DUMMYFUNCTION("INDEX(IMPORTRANGE(""1y0FWgjbB0gVlqn-q5LMJbGIsqOrzru4yowQz67dz2yc"", ""'SPGG'!BH3:BH139""),MATCH($D50,IMPORTRANGE(""1y0FWgjbB0gVlqn-q5LMJbGIsqOrzru4yowQz67dz2yc"", ""'SPGG'!D3:D139""),0))"),"Sí")</f>
        <v>Sí</v>
      </c>
      <c r="AA50" s="12" t="str">
        <f ca="1">IFERROR(__xludf.DUMMYFUNCTION("INDEX(IMPORTRANGE(""1y0FWgjbB0gVlqn-q5LMJbGIsqOrzru4yowQz67dz2yc"", ""'SPGG'!BI3:BI139""),MATCH($D50,IMPORTRANGE(""1y0FWgjbB0gVlqn-q5LMJbGIsqOrzru4yowQz67dz2yc"", ""'SPGG'!D3:D139""),0))"),"Sí")</f>
        <v>Sí</v>
      </c>
      <c r="AB50" s="12" t="str">
        <f ca="1">IFERROR(__xludf.DUMMYFUNCTION("INDEX(IMPORTRANGE(""1y0FWgjbB0gVlqn-q5LMJbGIsqOrzru4yowQz67dz2yc"", ""'SPGG'!BJ3:BJ139""),MATCH($D50,IMPORTRANGE(""1y0FWgjbB0gVlqn-q5LMJbGIsqOrzru4yowQz67dz2yc"", ""'SPGG'!D3:D139""),0))"),"Sí")</f>
        <v>Sí</v>
      </c>
      <c r="AC50" s="2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153</v>
      </c>
      <c r="Q51" s="30" t="s">
        <v>153</v>
      </c>
      <c r="R51" s="1" t="s">
        <v>151</v>
      </c>
      <c r="S51" s="1" t="s">
        <v>151</v>
      </c>
      <c r="T51" s="1" t="s">
        <v>151</v>
      </c>
      <c r="U51" s="1" t="s">
        <v>151</v>
      </c>
      <c r="V51" s="1" t="s">
        <v>151</v>
      </c>
      <c r="W51" s="1" t="s">
        <v>151</v>
      </c>
      <c r="X51" s="30" t="s">
        <v>153</v>
      </c>
      <c r="Y51" s="12" t="str">
        <f ca="1">IFERROR(__xludf.DUMMYFUNCTION("INDEX(IMPORTRANGE(""1y0FWgjbB0gVlqn-q5LMJbGIsqOrzru4yowQz67dz2yc"", ""'SPGG'!BG3:BG139""),MATCH($D51,IMPORTRANGE(""1y0FWgjbB0gVlqn-q5LMJbGIsqOrzru4yowQz67dz2yc"", ""'SPGG'!D3:D139""),0))"),"Sí")</f>
        <v>Sí</v>
      </c>
      <c r="Z51" s="12" t="str">
        <f ca="1">IFERROR(__xludf.DUMMYFUNCTION("INDEX(IMPORTRANGE(""1y0FWgjbB0gVlqn-q5LMJbGIsqOrzru4yowQz67dz2yc"", ""'SPGG'!BH3:BH139""),MATCH($D51,IMPORTRANGE(""1y0FWgjbB0gVlqn-q5LMJbGIsqOrzru4yowQz67dz2yc"", ""'SPGG'!D3:D139""),0))"),"Sí")</f>
        <v>Sí</v>
      </c>
      <c r="AA51" s="12" t="str">
        <f ca="1">IFERROR(__xludf.DUMMYFUNCTION("INDEX(IMPORTRANGE(""1y0FWgjbB0gVlqn-q5LMJbGIsqOrzru4yowQz67dz2yc"", ""'SPGG'!BI3:BI139""),MATCH($D51,IMPORTRANGE(""1y0FWgjbB0gVlqn-q5LMJbGIsqOrzru4yowQz67dz2yc"", ""'SPGG'!D3:D139""),0))"),"Sí")</f>
        <v>Sí</v>
      </c>
      <c r="AB51" s="12" t="str">
        <f ca="1">IFERROR(__xludf.DUMMYFUNCTION("INDEX(IMPORTRANGE(""1y0FWgjbB0gVlqn-q5LMJbGIsqOrzru4yowQz67dz2yc"", ""'SPGG'!BJ3:BJ139""),MATCH($D51,IMPORTRANGE(""1y0FWgjbB0gVlqn-q5LMJbGIsqOrzru4yowQz67dz2yc"", ""'SPGG'!D3:D139""),0))"),"Sí")</f>
        <v>Sí</v>
      </c>
      <c r="AC51" s="2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30" t="s">
        <v>153</v>
      </c>
      <c r="R52" s="2" t="s">
        <v>155</v>
      </c>
      <c r="S52" s="1" t="s">
        <v>155</v>
      </c>
      <c r="T52" s="1" t="s">
        <v>155</v>
      </c>
      <c r="U52" s="1" t="s">
        <v>155</v>
      </c>
      <c r="V52" s="1" t="s">
        <v>155</v>
      </c>
      <c r="W52" s="2" t="s">
        <v>155</v>
      </c>
      <c r="X52" s="30" t="s">
        <v>153</v>
      </c>
      <c r="Y52" s="12" t="str">
        <f ca="1">IFERROR(__xludf.DUMMYFUNCTION("INDEX(IMPORTRANGE(""1y0FWgjbB0gVlqn-q5LMJbGIsqOrzru4yowQz67dz2yc"", ""'SPGG'!BG3:BG139""),MATCH($D52,IMPORTRANGE(""1y0FWgjbB0gVlqn-q5LMJbGIsqOrzru4yowQz67dz2yc"", ""'SPGG'!D3:D139""),0))"),"Sí")</f>
        <v>Sí</v>
      </c>
      <c r="Z52" s="12" t="str">
        <f ca="1">IFERROR(__xludf.DUMMYFUNCTION("INDEX(IMPORTRANGE(""1y0FWgjbB0gVlqn-q5LMJbGIsqOrzru4yowQz67dz2yc"", ""'SPGG'!BH3:BH139""),MATCH($D52,IMPORTRANGE(""1y0FWgjbB0gVlqn-q5LMJbGIsqOrzru4yowQz67dz2yc"", ""'SPGG'!D3:D139""),0))"),"Sí")</f>
        <v>Sí</v>
      </c>
      <c r="AA52" s="12" t="str">
        <f ca="1">IFERROR(__xludf.DUMMYFUNCTION("INDEX(IMPORTRANGE(""1y0FWgjbB0gVlqn-q5LMJbGIsqOrzru4yowQz67dz2yc"", ""'SPGG'!BI3:BI139""),MATCH($D52,IMPORTRANGE(""1y0FWgjbB0gVlqn-q5LMJbGIsqOrzru4yowQz67dz2yc"", ""'SPGG'!D3:D139""),0))"),"Sí")</f>
        <v>Sí</v>
      </c>
      <c r="AB52" s="12" t="str">
        <f ca="1">IFERROR(__xludf.DUMMYFUNCTION("INDEX(IMPORTRANGE(""1y0FWgjbB0gVlqn-q5LMJbGIsqOrzru4yowQz67dz2yc"", ""'SPGG'!BJ3:BJ139""),MATCH($D52,IMPORTRANGE(""1y0FWgjbB0gVlqn-q5LMJbGIsqOrzru4yowQz67dz2yc"", ""'SPGG'!D3:D139""),0))"),"Sí")</f>
        <v>Sí</v>
      </c>
      <c r="AC52" s="2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23">
        <f t="shared" ref="P53:Q53" si="14">COUNTIF(P50:P52,"Sí")*(1/3)</f>
        <v>0.66666666666666663</v>
      </c>
      <c r="Q53" s="23">
        <f t="shared" si="14"/>
        <v>0.66666666666666663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23">
        <f>COUNTIF(X50:X52,"Sí")*(1/3)</f>
        <v>0.66666666666666663</v>
      </c>
      <c r="Y53" s="12">
        <f ca="1">IFERROR(__xludf.DUMMYFUNCTION("INDEX(IMPORTRANGE(""1y0FWgjbB0gVlqn-q5LMJbGIsqOrzru4yowQz67dz2yc"", ""'SPGG'!BG3:BG139""),MATCH($D53,IMPORTRANGE(""1y0FWgjbB0gVlqn-q5LMJbGIsqOrzru4yowQz67dz2yc"", ""'SPGG'!D3:D139""),0))"),1)</f>
        <v>1</v>
      </c>
      <c r="Z53" s="12">
        <f ca="1">IFERROR(__xludf.DUMMYFUNCTION("INDEX(IMPORTRANGE(""1y0FWgjbB0gVlqn-q5LMJbGIsqOrzru4yowQz67dz2yc"", ""'SPGG'!BH3:BH139""),MATCH($D53,IMPORTRANGE(""1y0FWgjbB0gVlqn-q5LMJbGIsqOrzru4yowQz67dz2yc"", ""'SPGG'!D3:D139""),0))"),1)</f>
        <v>1</v>
      </c>
      <c r="AA53" s="12">
        <f ca="1">IFERROR(__xludf.DUMMYFUNCTION("INDEX(IMPORTRANGE(""1y0FWgjbB0gVlqn-q5LMJbGIsqOrzru4yowQz67dz2yc"", ""'SPGG'!BI3:BI139""),MATCH($D53,IMPORTRANGE(""1y0FWgjbB0gVlqn-q5LMJbGIsqOrzru4yowQz67dz2yc"", ""'SPGG'!D3:D139""),0))"),1)</f>
        <v>1</v>
      </c>
      <c r="AB53" s="12">
        <f ca="1">IFERROR(__xludf.DUMMYFUNCTION("INDEX(IMPORTRANGE(""1y0FWgjbB0gVlqn-q5LMJbGIsqOrzru4yowQz67dz2yc"", ""'SPGG'!BJ3:BJ139""),MATCH($D53,IMPORTRANGE(""1y0FWgjbB0gVlqn-q5LMJbGIsqOrzru4yowQz67dz2yc"", ""'SPGG'!D3:D139""),0))"),1)</f>
        <v>1</v>
      </c>
      <c r="AC53" s="2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1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1</v>
      </c>
      <c r="Y54" s="12">
        <f ca="1">IFERROR(__xludf.DUMMYFUNCTION("INDEX(IMPORTRANGE(""1y0FWgjbB0gVlqn-q5LMJbGIsqOrzru4yowQz67dz2yc"", ""'SPGG'!BG3:BG139""),MATCH($D54,IMPORTRANGE(""1y0FWgjbB0gVlqn-q5LMJbGIsqOrzru4yowQz67dz2yc"", ""'SPGG'!D3:D139""),0))"),1)</f>
        <v>1</v>
      </c>
      <c r="Z54" s="12">
        <f ca="1">IFERROR(__xludf.DUMMYFUNCTION("INDEX(IMPORTRANGE(""1y0FWgjbB0gVlqn-q5LMJbGIsqOrzru4yowQz67dz2yc"", ""'SPGG'!BH3:BH139""),MATCH($D54,IMPORTRANGE(""1y0FWgjbB0gVlqn-q5LMJbGIsqOrzru4yowQz67dz2yc"", ""'SPGG'!D3:D139""),0))"),1)</f>
        <v>1</v>
      </c>
      <c r="AA54" s="12">
        <f ca="1">IFERROR(__xludf.DUMMYFUNCTION("INDEX(IMPORTRANGE(""1y0FWgjbB0gVlqn-q5LMJbGIsqOrzru4yowQz67dz2yc"", ""'SPGG'!BI3:BI139""),MATCH($D54,IMPORTRANGE(""1y0FWgjbB0gVlqn-q5LMJbGIsqOrzru4yowQz67dz2yc"", ""'SPGG'!D3:D139""),0))"),1)</f>
        <v>1</v>
      </c>
      <c r="AB54" s="12">
        <f ca="1">IFERROR(__xludf.DUMMYFUNCTION("INDEX(IMPORTRANGE(""1y0FWgjbB0gVlqn-q5LMJbGIsqOrzru4yowQz67dz2yc"", ""'SPGG'!BJ3:BJ139""),MATCH($D54,IMPORTRANGE(""1y0FWgjbB0gVlqn-q5LMJbGIsqOrzru4yowQz67dz2yc"", ""'SPGG'!D3:D139""),0))"),1)</f>
        <v>1</v>
      </c>
      <c r="AC54" s="2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13"/>
      <c r="S55" s="13"/>
      <c r="T55" s="13"/>
      <c r="U55" s="13"/>
      <c r="V55" s="13"/>
      <c r="W55" s="4"/>
      <c r="X55" s="12">
        <v>0</v>
      </c>
      <c r="Y55" s="12">
        <f ca="1">IFERROR(__xludf.DUMMYFUNCTION("INDEX(IMPORTRANGE(""1y0FWgjbB0gVlqn-q5LMJbGIsqOrzru4yowQz67dz2yc"", ""'SPGG'!BG3:BG139""),MATCH($D55,IMPORTRANGE(""1y0FWgjbB0gVlqn-q5LMJbGIsqOrzru4yowQz67dz2yc"", ""'SPGG'!D3:D139""),0))"),0)</f>
        <v>0</v>
      </c>
      <c r="Z55" s="12">
        <f ca="1">IFERROR(__xludf.DUMMYFUNCTION("INDEX(IMPORTRANGE(""1y0FWgjbB0gVlqn-q5LMJbGIsqOrzru4yowQz67dz2yc"", ""'SPGG'!BH3:BH139""),MATCH($D55,IMPORTRANGE(""1y0FWgjbB0gVlqn-q5LMJbGIsqOrzru4yowQz67dz2yc"", ""'SPGG'!D3:D139""),0))"),0)</f>
        <v>0</v>
      </c>
      <c r="AA55" s="12">
        <f ca="1">IFERROR(__xludf.DUMMYFUNCTION("INDEX(IMPORTRANGE(""1y0FWgjbB0gVlqn-q5LMJbGIsqOrzru4yowQz67dz2yc"", ""'SPGG'!BI3:BI139""),MATCH($D55,IMPORTRANGE(""1y0FWgjbB0gVlqn-q5LMJbGIsqOrzru4yowQz67dz2yc"", ""'SPGG'!D3:D139""),0))"),0)</f>
        <v>0</v>
      </c>
      <c r="AB55" s="12">
        <f ca="1">IFERROR(__xludf.DUMMYFUNCTION("INDEX(IMPORTRANGE(""1y0FWgjbB0gVlqn-q5LMJbGIsqOrzru4yowQz67dz2yc"", ""'SPGG'!BJ3:BJ139""),MATCH($D55,IMPORTRANGE(""1y0FWgjbB0gVlqn-q5LMJbGIsqOrzru4yowQz67dz2yc"", ""'SPGG'!D3:D139""),0))"),0)</f>
        <v>0</v>
      </c>
      <c r="AC55" s="2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13"/>
      <c r="S56" s="13"/>
      <c r="T56" s="13"/>
      <c r="U56" s="13"/>
      <c r="V56" s="13"/>
      <c r="W56" s="4"/>
      <c r="X56" s="12">
        <v>0</v>
      </c>
      <c r="Y56" s="12">
        <f ca="1">IFERROR(__xludf.DUMMYFUNCTION("INDEX(IMPORTRANGE(""1y0FWgjbB0gVlqn-q5LMJbGIsqOrzru4yowQz67dz2yc"", ""'SPGG'!BG3:BG139""),MATCH($D56,IMPORTRANGE(""1y0FWgjbB0gVlqn-q5LMJbGIsqOrzru4yowQz67dz2yc"", ""'SPGG'!D3:D139""),0))"),0)</f>
        <v>0</v>
      </c>
      <c r="Z56" s="12">
        <f ca="1">IFERROR(__xludf.DUMMYFUNCTION("INDEX(IMPORTRANGE(""1y0FWgjbB0gVlqn-q5LMJbGIsqOrzru4yowQz67dz2yc"", ""'SPGG'!BH3:BH139""),MATCH($D56,IMPORTRANGE(""1y0FWgjbB0gVlqn-q5LMJbGIsqOrzru4yowQz67dz2yc"", ""'SPGG'!D3:D139""),0))"),0)</f>
        <v>0</v>
      </c>
      <c r="AA56" s="12">
        <f ca="1">IFERROR(__xludf.DUMMYFUNCTION("INDEX(IMPORTRANGE(""1y0FWgjbB0gVlqn-q5LMJbGIsqOrzru4yowQz67dz2yc"", ""'SPGG'!BI3:BI139""),MATCH($D56,IMPORTRANGE(""1y0FWgjbB0gVlqn-q5LMJbGIsqOrzru4yowQz67dz2yc"", ""'SPGG'!D3:D139""),0))"),0)</f>
        <v>0</v>
      </c>
      <c r="AB56" s="12">
        <f ca="1">IFERROR(__xludf.DUMMYFUNCTION("INDEX(IMPORTRANGE(""1y0FWgjbB0gVlqn-q5LMJbGIsqOrzru4yowQz67dz2yc"", ""'SPGG'!BJ3:BJ139""),MATCH($D56,IMPORTRANGE(""1y0FWgjbB0gVlqn-q5LMJbGIsqOrzru4yowQz67dz2yc"", ""'SPGG'!D3:D139""),0))"),0)</f>
        <v>0</v>
      </c>
      <c r="AC56" s="2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30" t="str">
        <f t="shared" ref="P57:Q57" si="15">IFERROR(P56/P55,"NA")</f>
        <v>NA</v>
      </c>
      <c r="Q57" s="30" t="str">
        <f t="shared" si="15"/>
        <v>NA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30" t="str">
        <f>IFERROR(X56/X55,"NA")</f>
        <v>NA</v>
      </c>
      <c r="Y57" s="12" t="str">
        <f ca="1">IFERROR(__xludf.DUMMYFUNCTION("INDEX(IMPORTRANGE(""1y0FWgjbB0gVlqn-q5LMJbGIsqOrzru4yowQz67dz2yc"", ""'SPGG'!BG3:BG139""),MATCH($D57,IMPORTRANGE(""1y0FWgjbB0gVlqn-q5LMJbGIsqOrzru4yowQz67dz2yc"", ""'SPGG'!D3:D139""),0))"),"NA")</f>
        <v>NA</v>
      </c>
      <c r="Z57" s="12" t="str">
        <f ca="1">IFERROR(__xludf.DUMMYFUNCTION("INDEX(IMPORTRANGE(""1y0FWgjbB0gVlqn-q5LMJbGIsqOrzru4yowQz67dz2yc"", ""'SPGG'!BH3:BH139""),MATCH($D57,IMPORTRANGE(""1y0FWgjbB0gVlqn-q5LMJbGIsqOrzru4yowQz67dz2yc"", ""'SPGG'!D3:D139""),0))"),"NA")</f>
        <v>NA</v>
      </c>
      <c r="AA57" s="12" t="str">
        <f ca="1">IFERROR(__xludf.DUMMYFUNCTION("INDEX(IMPORTRANGE(""1y0FWgjbB0gVlqn-q5LMJbGIsqOrzru4yowQz67dz2yc"", ""'SPGG'!BI3:BI139""),MATCH($D57,IMPORTRANGE(""1y0FWgjbB0gVlqn-q5LMJbGIsqOrzru4yowQz67dz2yc"", ""'SPGG'!D3:D139""),0))"),"NA")</f>
        <v>NA</v>
      </c>
      <c r="AB57" s="12" t="str">
        <f ca="1">IFERROR(__xludf.DUMMYFUNCTION("INDEX(IMPORTRANGE(""1y0FWgjbB0gVlqn-q5LMJbGIsqOrzru4yowQz67dz2yc"", ""'SPGG'!BJ3:BJ139""),MATCH($D57,IMPORTRANGE(""1y0FWgjbB0gVlqn-q5LMJbGIsqOrzru4yowQz67dz2yc"", ""'SPGG'!D3:D139""),0))"),"NA")</f>
        <v>NA</v>
      </c>
      <c r="AC57" s="2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18932</v>
      </c>
      <c r="Q58" s="12">
        <v>18932</v>
      </c>
      <c r="R58" s="13"/>
      <c r="S58" s="13"/>
      <c r="T58" s="13"/>
      <c r="U58" s="13"/>
      <c r="V58" s="13"/>
      <c r="W58" s="4"/>
      <c r="X58" s="12">
        <v>18932</v>
      </c>
      <c r="Y58" s="12">
        <f ca="1">IFERROR(__xludf.DUMMYFUNCTION("INDEX(IMPORTRANGE(""1y0FWgjbB0gVlqn-q5LMJbGIsqOrzru4yowQz67dz2yc"", ""'SPGG'!BG3:BG139""),MATCH($D58,IMPORTRANGE(""1y0FWgjbB0gVlqn-q5LMJbGIsqOrzru4yowQz67dz2yc"", ""'SPGG'!D3:D139""),0))"),18932)</f>
        <v>18932</v>
      </c>
      <c r="Z58" s="12">
        <f ca="1">IFERROR(__xludf.DUMMYFUNCTION("INDEX(IMPORTRANGE(""1y0FWgjbB0gVlqn-q5LMJbGIsqOrzru4yowQz67dz2yc"", ""'SPGG'!BH3:BH139""),MATCH($D58,IMPORTRANGE(""1y0FWgjbB0gVlqn-q5LMJbGIsqOrzru4yowQz67dz2yc"", ""'SPGG'!D3:D139""),0))"),18932)</f>
        <v>18932</v>
      </c>
      <c r="AA58" s="12">
        <f ca="1">IFERROR(__xludf.DUMMYFUNCTION("INDEX(IMPORTRANGE(""1y0FWgjbB0gVlqn-q5LMJbGIsqOrzru4yowQz67dz2yc"", ""'SPGG'!BI3:BI139""),MATCH($D58,IMPORTRANGE(""1y0FWgjbB0gVlqn-q5LMJbGIsqOrzru4yowQz67dz2yc"", ""'SPGG'!D3:D139""),0))"),18932)</f>
        <v>18932</v>
      </c>
      <c r="AB58" s="12">
        <f ca="1">IFERROR(__xludf.DUMMYFUNCTION("INDEX(IMPORTRANGE(""1y0FWgjbB0gVlqn-q5LMJbGIsqOrzru4yowQz67dz2yc"", ""'SPGG'!BJ3:BJ139""),MATCH($D58,IMPORTRANGE(""1y0FWgjbB0gVlqn-q5LMJbGIsqOrzru4yowQz67dz2yc"", ""'SPGG'!D3:D139""),0))"),18967)</f>
        <v>18967</v>
      </c>
      <c r="AC58" s="2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18932</v>
      </c>
      <c r="Q59" s="12">
        <v>18932</v>
      </c>
      <c r="R59" s="13"/>
      <c r="S59" s="13"/>
      <c r="T59" s="13"/>
      <c r="U59" s="13"/>
      <c r="V59" s="13"/>
      <c r="W59" s="4"/>
      <c r="X59" s="12">
        <v>18932</v>
      </c>
      <c r="Y59" s="12">
        <f ca="1">IFERROR(__xludf.DUMMYFUNCTION("INDEX(IMPORTRANGE(""1y0FWgjbB0gVlqn-q5LMJbGIsqOrzru4yowQz67dz2yc"", ""'SPGG'!BG3:BG139""),MATCH($D59,IMPORTRANGE(""1y0FWgjbB0gVlqn-q5LMJbGIsqOrzru4yowQz67dz2yc"", ""'SPGG'!D3:D139""),0))"),18932)</f>
        <v>18932</v>
      </c>
      <c r="Z59" s="12">
        <f ca="1">IFERROR(__xludf.DUMMYFUNCTION("INDEX(IMPORTRANGE(""1y0FWgjbB0gVlqn-q5LMJbGIsqOrzru4yowQz67dz2yc"", ""'SPGG'!BH3:BH139""),MATCH($D59,IMPORTRANGE(""1y0FWgjbB0gVlqn-q5LMJbGIsqOrzru4yowQz67dz2yc"", ""'SPGG'!D3:D139""),0))"),18932)</f>
        <v>18932</v>
      </c>
      <c r="AA59" s="12">
        <f ca="1">IFERROR(__xludf.DUMMYFUNCTION("INDEX(IMPORTRANGE(""1y0FWgjbB0gVlqn-q5LMJbGIsqOrzru4yowQz67dz2yc"", ""'SPGG'!BI3:BI139""),MATCH($D59,IMPORTRANGE(""1y0FWgjbB0gVlqn-q5LMJbGIsqOrzru4yowQz67dz2yc"", ""'SPGG'!D3:D139""),0))"),18932)</f>
        <v>18932</v>
      </c>
      <c r="AB59" s="12">
        <f ca="1">IFERROR(__xludf.DUMMYFUNCTION("INDEX(IMPORTRANGE(""1y0FWgjbB0gVlqn-q5LMJbGIsqOrzru4yowQz67dz2yc"", ""'SPGG'!BJ3:BJ139""),MATCH($D59,IMPORTRANGE(""1y0FWgjbB0gVlqn-q5LMJbGIsqOrzru4yowQz67dz2yc"", ""'SPGG'!D3:D139""),0))"),18967)</f>
        <v>18967</v>
      </c>
      <c r="AC59" s="2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4">
        <f t="shared" ref="P60:Q60" si="16">P58/P59</f>
        <v>1</v>
      </c>
      <c r="Q60" s="14">
        <f t="shared" si="16"/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1</v>
      </c>
      <c r="Y60" s="15">
        <f ca="1">IFERROR(__xludf.DUMMYFUNCTION("INDEX(IMPORTRANGE(""1y0FWgjbB0gVlqn-q5LMJbGIsqOrzru4yowQz67dz2yc"", ""'SPGG'!BG3:BG139""),MATCH($D60,IMPORTRANGE(""1y0FWgjbB0gVlqn-q5LMJbGIsqOrzru4yowQz67dz2yc"", ""'SPGG'!D3:D139""),0))"),1)</f>
        <v>1</v>
      </c>
      <c r="Z60" s="15">
        <f ca="1">IFERROR(__xludf.DUMMYFUNCTION("INDEX(IMPORTRANGE(""1y0FWgjbB0gVlqn-q5LMJbGIsqOrzru4yowQz67dz2yc"", ""'SPGG'!BH3:BH139""),MATCH($D60,IMPORTRANGE(""1y0FWgjbB0gVlqn-q5LMJbGIsqOrzru4yowQz67dz2yc"", ""'SPGG'!D3:D139""),0))"),1)</f>
        <v>1</v>
      </c>
      <c r="AA60" s="15">
        <f ca="1">IFERROR(__xludf.DUMMYFUNCTION("INDEX(IMPORTRANGE(""1y0FWgjbB0gVlqn-q5LMJbGIsqOrzru4yowQz67dz2yc"", ""'SPGG'!BI3:BI139""),MATCH($D60,IMPORTRANGE(""1y0FWgjbB0gVlqn-q5LMJbGIsqOrzru4yowQz67dz2yc"", ""'SPGG'!D3:D139""),0))"),1)</f>
        <v>1</v>
      </c>
      <c r="AB60" s="15">
        <f ca="1">IFERROR(__xludf.DUMMYFUNCTION("INDEX(IMPORTRANGE(""1y0FWgjbB0gVlqn-q5LMJbGIsqOrzru4yowQz67dz2yc"", ""'SPGG'!BJ3:BJ139""),MATCH($D60,IMPORTRANGE(""1y0FWgjbB0gVlqn-q5LMJbGIsqOrzru4yowQz67dz2yc"", ""'SPGG'!D3:D139""),0))"),1)</f>
        <v>1</v>
      </c>
      <c r="AC60" s="2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37730</v>
      </c>
      <c r="Q61" s="12">
        <v>37730</v>
      </c>
      <c r="R61" s="13"/>
      <c r="S61" s="13"/>
      <c r="T61" s="13"/>
      <c r="U61" s="13"/>
      <c r="V61" s="13"/>
      <c r="W61" s="4"/>
      <c r="X61" s="12">
        <v>37730</v>
      </c>
      <c r="Y61" s="12">
        <f ca="1">IFERROR(__xludf.DUMMYFUNCTION("INDEX(IMPORTRANGE(""1y0FWgjbB0gVlqn-q5LMJbGIsqOrzru4yowQz67dz2yc"", ""'SPGG'!BG3:BG139""),MATCH($D61,IMPORTRANGE(""1y0FWgjbB0gVlqn-q5LMJbGIsqOrzru4yowQz67dz2yc"", ""'SPGG'!D3:D139""),0))"),37730)</f>
        <v>37730</v>
      </c>
      <c r="Z61" s="12">
        <f ca="1">IFERROR(__xludf.DUMMYFUNCTION("INDEX(IMPORTRANGE(""1y0FWgjbB0gVlqn-q5LMJbGIsqOrzru4yowQz67dz2yc"", ""'SPGG'!BH3:BH139""),MATCH($D61,IMPORTRANGE(""1y0FWgjbB0gVlqn-q5LMJbGIsqOrzru4yowQz67dz2yc"", ""'SPGG'!D3:D139""),0))"),37730)</f>
        <v>37730</v>
      </c>
      <c r="AA61" s="12">
        <f ca="1">IFERROR(__xludf.DUMMYFUNCTION("INDEX(IMPORTRANGE(""1y0FWgjbB0gVlqn-q5LMJbGIsqOrzru4yowQz67dz2yc"", ""'SPGG'!BI3:BI139""),MATCH($D61,IMPORTRANGE(""1y0FWgjbB0gVlqn-q5LMJbGIsqOrzru4yowQz67dz2yc"", ""'SPGG'!D3:D139""),0))"),37730)</f>
        <v>37730</v>
      </c>
      <c r="AB61" s="12">
        <f ca="1">IFERROR(__xludf.DUMMYFUNCTION("INDEX(IMPORTRANGE(""1y0FWgjbB0gVlqn-q5LMJbGIsqOrzru4yowQz67dz2yc"", ""'SPGG'!BJ3:BJ139""),MATCH($D61,IMPORTRANGE(""1y0FWgjbB0gVlqn-q5LMJbGIsqOrzru4yowQz67dz2yc"", ""'SPGG'!D3:D139""),0))"),37730)</f>
        <v>37730</v>
      </c>
      <c r="AC61" s="2"/>
    </row>
    <row r="62" spans="1:29">
      <c r="A62" s="7" t="s">
        <v>147</v>
      </c>
      <c r="B62" s="7" t="s">
        <v>168</v>
      </c>
      <c r="C62" s="1" t="s">
        <v>36</v>
      </c>
      <c r="D62" s="7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7">P61/P37</f>
        <v>1</v>
      </c>
      <c r="Q62" s="15">
        <f t="shared" si="17"/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1</v>
      </c>
      <c r="Y62" s="15">
        <f ca="1">IFERROR(__xludf.DUMMYFUNCTION("INDEX(IMPORTRANGE(""1y0FWgjbB0gVlqn-q5LMJbGIsqOrzru4yowQz67dz2yc"", ""'SPGG'!BG3:BG139""),MATCH($D62,IMPORTRANGE(""1y0FWgjbB0gVlqn-q5LMJbGIsqOrzru4yowQz67dz2yc"", ""'SPGG'!D3:D139""),0))"),1)</f>
        <v>1</v>
      </c>
      <c r="Z62" s="15">
        <f ca="1">IFERROR(__xludf.DUMMYFUNCTION("INDEX(IMPORTRANGE(""1y0FWgjbB0gVlqn-q5LMJbGIsqOrzru4yowQz67dz2yc"", ""'SPGG'!BH3:BH139""),MATCH($D62,IMPORTRANGE(""1y0FWgjbB0gVlqn-q5LMJbGIsqOrzru4yowQz67dz2yc"", ""'SPGG'!D3:D139""),0))"),1)</f>
        <v>1</v>
      </c>
      <c r="AA62" s="15">
        <f ca="1">IFERROR(__xludf.DUMMYFUNCTION("INDEX(IMPORTRANGE(""1y0FWgjbB0gVlqn-q5LMJbGIsqOrzru4yowQz67dz2yc"", ""'SPGG'!BI3:BI139""),MATCH($D62,IMPORTRANGE(""1y0FWgjbB0gVlqn-q5LMJbGIsqOrzru4yowQz67dz2yc"", ""'SPGG'!D3:D139""),0))"),1)</f>
        <v>1</v>
      </c>
      <c r="AB62" s="15">
        <f ca="1">IFERROR(__xludf.DUMMYFUNCTION("INDEX(IMPORTRANGE(""1y0FWgjbB0gVlqn-q5LMJbGIsqOrzru4yowQz67dz2yc"", ""'SPGG'!BJ3:BJ139""),MATCH($D62,IMPORTRANGE(""1y0FWgjbB0gVlqn-q5LMJbGIsqOrzru4yowQz67dz2yc"", ""'SPGG'!D3:D139""),0))"),1)</f>
        <v>1</v>
      </c>
      <c r="AC62" s="2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2">
        <v>7659036</v>
      </c>
      <c r="Q63" s="12">
        <v>7659036</v>
      </c>
      <c r="R63" s="13"/>
      <c r="S63" s="13"/>
      <c r="T63" s="13"/>
      <c r="U63" s="13"/>
      <c r="V63" s="13"/>
      <c r="W63" s="4"/>
      <c r="X63" s="12">
        <v>7659036</v>
      </c>
      <c r="Y63" s="12">
        <f ca="1">IFERROR(__xludf.DUMMYFUNCTION("INDEX(IMPORTRANGE(""1y0FWgjbB0gVlqn-q5LMJbGIsqOrzru4yowQz67dz2yc"", ""'SPGG'!BG3:BG139""),MATCH($D63,IMPORTRANGE(""1y0FWgjbB0gVlqn-q5LMJbGIsqOrzru4yowQz67dz2yc"", ""'SPGG'!D3:D139""),0))"),7659036)</f>
        <v>7659036</v>
      </c>
      <c r="Z63" s="12">
        <f ca="1">IFERROR(__xludf.DUMMYFUNCTION("INDEX(IMPORTRANGE(""1y0FWgjbB0gVlqn-q5LMJbGIsqOrzru4yowQz67dz2yc"", ""'SPGG'!BH3:BH139""),MATCH($D63,IMPORTRANGE(""1y0FWgjbB0gVlqn-q5LMJbGIsqOrzru4yowQz67dz2yc"", ""'SPGG'!D3:D139""),0))"),7659036)</f>
        <v>7659036</v>
      </c>
      <c r="AA63" s="12">
        <f ca="1">IFERROR(__xludf.DUMMYFUNCTION("INDEX(IMPORTRANGE(""1y0FWgjbB0gVlqn-q5LMJbGIsqOrzru4yowQz67dz2yc"", ""'SPGG'!BI3:BI139""),MATCH($D63,IMPORTRANGE(""1y0FWgjbB0gVlqn-q5LMJbGIsqOrzru4yowQz67dz2yc"", ""'SPGG'!D3:D139""),0))"),7659036)</f>
        <v>7659036</v>
      </c>
      <c r="AB63" s="12">
        <f ca="1">IFERROR(__xludf.DUMMYFUNCTION("INDEX(IMPORTRANGE(""1y0FWgjbB0gVlqn-q5LMJbGIsqOrzru4yowQz67dz2yc"", ""'SPGG'!BJ3:BJ139""),MATCH($D63,IMPORTRANGE(""1y0FWgjbB0gVlqn-q5LMJbGIsqOrzru4yowQz67dz2yc"", ""'SPGG'!D3:D139""),0))"),7659036)</f>
        <v>7659036</v>
      </c>
      <c r="AC63" s="2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12">
        <v>7659036</v>
      </c>
      <c r="Q64" s="12">
        <v>7659036</v>
      </c>
      <c r="R64" s="13"/>
      <c r="S64" s="13"/>
      <c r="T64" s="13"/>
      <c r="U64" s="13"/>
      <c r="V64" s="13"/>
      <c r="W64" s="4"/>
      <c r="X64" s="12">
        <v>7659036</v>
      </c>
      <c r="Y64" s="12">
        <f ca="1">IFERROR(__xludf.DUMMYFUNCTION("INDEX(IMPORTRANGE(""1y0FWgjbB0gVlqn-q5LMJbGIsqOrzru4yowQz67dz2yc"", ""'SPGG'!BG3:BG139""),MATCH($D64,IMPORTRANGE(""1y0FWgjbB0gVlqn-q5LMJbGIsqOrzru4yowQz67dz2yc"", ""'SPGG'!D3:D139""),0))"),7659036)</f>
        <v>7659036</v>
      </c>
      <c r="Z64" s="12">
        <f ca="1">IFERROR(__xludf.DUMMYFUNCTION("INDEX(IMPORTRANGE(""1y0FWgjbB0gVlqn-q5LMJbGIsqOrzru4yowQz67dz2yc"", ""'SPGG'!BH3:BH139""),MATCH($D64,IMPORTRANGE(""1y0FWgjbB0gVlqn-q5LMJbGIsqOrzru4yowQz67dz2yc"", ""'SPGG'!D3:D139""),0))"),7659036)</f>
        <v>7659036</v>
      </c>
      <c r="AA64" s="12">
        <f ca="1">IFERROR(__xludf.DUMMYFUNCTION("INDEX(IMPORTRANGE(""1y0FWgjbB0gVlqn-q5LMJbGIsqOrzru4yowQz67dz2yc"", ""'SPGG'!BI3:BI139""),MATCH($D64,IMPORTRANGE(""1y0FWgjbB0gVlqn-q5LMJbGIsqOrzru4yowQz67dz2yc"", ""'SPGG'!D3:D139""),0))"),7659036)</f>
        <v>7659036</v>
      </c>
      <c r="AB64" s="12">
        <f ca="1">IFERROR(__xludf.DUMMYFUNCTION("INDEX(IMPORTRANGE(""1y0FWgjbB0gVlqn-q5LMJbGIsqOrzru4yowQz67dz2yc"", ""'SPGG'!BJ3:BJ139""),MATCH($D64,IMPORTRANGE(""1y0FWgjbB0gVlqn-q5LMJbGIsqOrzru4yowQz67dz2yc"", ""'SPGG'!D3:D139""),0))"),7659036)</f>
        <v>7659036</v>
      </c>
      <c r="AC64" s="2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8">P63/P64</f>
        <v>1</v>
      </c>
      <c r="Q65" s="15">
        <f t="shared" si="18"/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1</v>
      </c>
      <c r="Y65" s="15">
        <f ca="1">IFERROR(__xludf.DUMMYFUNCTION("INDEX(IMPORTRANGE(""1y0FWgjbB0gVlqn-q5LMJbGIsqOrzru4yowQz67dz2yc"", ""'SPGG'!BG3:BG139""),MATCH($D65,IMPORTRANGE(""1y0FWgjbB0gVlqn-q5LMJbGIsqOrzru4yowQz67dz2yc"", ""'SPGG'!D3:D139""),0))"),1)</f>
        <v>1</v>
      </c>
      <c r="Z65" s="15">
        <f ca="1">IFERROR(__xludf.DUMMYFUNCTION("INDEX(IMPORTRANGE(""1y0FWgjbB0gVlqn-q5LMJbGIsqOrzru4yowQz67dz2yc"", ""'SPGG'!BH3:BH139""),MATCH($D65,IMPORTRANGE(""1y0FWgjbB0gVlqn-q5LMJbGIsqOrzru4yowQz67dz2yc"", ""'SPGG'!D3:D139""),0))"),1)</f>
        <v>1</v>
      </c>
      <c r="AA65" s="15">
        <f ca="1">IFERROR(__xludf.DUMMYFUNCTION("INDEX(IMPORTRANGE(""1y0FWgjbB0gVlqn-q5LMJbGIsqOrzru4yowQz67dz2yc"", ""'SPGG'!BI3:BI139""),MATCH($D65,IMPORTRANGE(""1y0FWgjbB0gVlqn-q5LMJbGIsqOrzru4yowQz67dz2yc"", ""'SPGG'!D3:D139""),0))"),1)</f>
        <v>1</v>
      </c>
      <c r="AB65" s="15">
        <f ca="1">IFERROR(__xludf.DUMMYFUNCTION("INDEX(IMPORTRANGE(""1y0FWgjbB0gVlqn-q5LMJbGIsqOrzru4yowQz67dz2yc"", ""'SPGG'!BJ3:BJ139""),MATCH($D65,IMPORTRANGE(""1y0FWgjbB0gVlqn-q5LMJbGIsqOrzru4yowQz67dz2yc"", ""'SPGG'!D3:D139""),0))"),1)</f>
        <v>1</v>
      </c>
      <c r="AC65" s="2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2">
        <v>78745</v>
      </c>
      <c r="Q66" s="12">
        <v>78745</v>
      </c>
      <c r="R66" s="13"/>
      <c r="S66" s="13"/>
      <c r="T66" s="13"/>
      <c r="U66" s="13"/>
      <c r="V66" s="13"/>
      <c r="W66" s="4"/>
      <c r="X66" s="12">
        <v>78855</v>
      </c>
      <c r="Y66" s="12">
        <f ca="1">IFERROR(__xludf.DUMMYFUNCTION("INDEX(IMPORTRANGE(""1y0FWgjbB0gVlqn-q5LMJbGIsqOrzru4yowQz67dz2yc"", ""'SPGG'!BG3:BG139""),MATCH($D66,IMPORTRANGE(""1y0FWgjbB0gVlqn-q5LMJbGIsqOrzru4yowQz67dz2yc"", ""'SPGG'!D3:D139""),0))"),82516)</f>
        <v>82516</v>
      </c>
      <c r="Z66" s="12">
        <f ca="1">IFERROR(__xludf.DUMMYFUNCTION("INDEX(IMPORTRANGE(""1y0FWgjbB0gVlqn-q5LMJbGIsqOrzru4yowQz67dz2yc"", ""'SPGG'!BH3:BH139""),MATCH($D66,IMPORTRANGE(""1y0FWgjbB0gVlqn-q5LMJbGIsqOrzru4yowQz67dz2yc"", ""'SPGG'!D3:D139""),0))"),83518)</f>
        <v>83518</v>
      </c>
      <c r="AA66" s="12">
        <f ca="1">IFERROR(__xludf.DUMMYFUNCTION("INDEX(IMPORTRANGE(""1y0FWgjbB0gVlqn-q5LMJbGIsqOrzru4yowQz67dz2yc"", ""'SPGG'!BI3:BI139""),MATCH($D66,IMPORTRANGE(""1y0FWgjbB0gVlqn-q5LMJbGIsqOrzru4yowQz67dz2yc"", ""'SPGG'!D3:D139""),0))"),83858)</f>
        <v>83858</v>
      </c>
      <c r="AB66" s="12">
        <f ca="1">IFERROR(__xludf.DUMMYFUNCTION("INDEX(IMPORTRANGE(""1y0FWgjbB0gVlqn-q5LMJbGIsqOrzru4yowQz67dz2yc"", ""'SPGG'!BJ3:BJ139""),MATCH($D66,IMPORTRANGE(""1y0FWgjbB0gVlqn-q5LMJbGIsqOrzru4yowQz67dz2yc"", ""'SPGG'!D3:D139""),0))"),83858)</f>
        <v>83858</v>
      </c>
      <c r="AC66" s="2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12">
        <v>88000</v>
      </c>
      <c r="Q67" s="12">
        <v>88000</v>
      </c>
      <c r="R67" s="13"/>
      <c r="S67" s="13"/>
      <c r="T67" s="13"/>
      <c r="U67" s="13"/>
      <c r="V67" s="13"/>
      <c r="W67" s="4"/>
      <c r="X67" s="12">
        <v>88000</v>
      </c>
      <c r="Y67" s="12">
        <f ca="1">IFERROR(__xludf.DUMMYFUNCTION("INDEX(IMPORTRANGE(""1y0FWgjbB0gVlqn-q5LMJbGIsqOrzru4yowQz67dz2yc"", ""'SPGG'!BG3:BG139""),MATCH($D67,IMPORTRANGE(""1y0FWgjbB0gVlqn-q5LMJbGIsqOrzru4yowQz67dz2yc"", ""'SPGG'!D3:D139""),0))"),88000)</f>
        <v>88000</v>
      </c>
      <c r="Z67" s="12">
        <f ca="1">IFERROR(__xludf.DUMMYFUNCTION("INDEX(IMPORTRANGE(""1y0FWgjbB0gVlqn-q5LMJbGIsqOrzru4yowQz67dz2yc"", ""'SPGG'!BH3:BH139""),MATCH($D67,IMPORTRANGE(""1y0FWgjbB0gVlqn-q5LMJbGIsqOrzru4yowQz67dz2yc"", ""'SPGG'!D3:D139""),0))"),88000)</f>
        <v>88000</v>
      </c>
      <c r="AA67" s="12">
        <f ca="1">IFERROR(__xludf.DUMMYFUNCTION("INDEX(IMPORTRANGE(""1y0FWgjbB0gVlqn-q5LMJbGIsqOrzru4yowQz67dz2yc"", ""'SPGG'!BI3:BI139""),MATCH($D67,IMPORTRANGE(""1y0FWgjbB0gVlqn-q5LMJbGIsqOrzru4yowQz67dz2yc"", ""'SPGG'!D3:D139""),0))"),88000)</f>
        <v>88000</v>
      </c>
      <c r="AB67" s="12">
        <f ca="1">IFERROR(__xludf.DUMMYFUNCTION("INDEX(IMPORTRANGE(""1y0FWgjbB0gVlqn-q5LMJbGIsqOrzru4yowQz67dz2yc"", ""'SPGG'!BJ3:BJ139""),MATCH($D67,IMPORTRANGE(""1y0FWgjbB0gVlqn-q5LMJbGIsqOrzru4yowQz67dz2yc"", ""'SPGG'!D3:D139""),0))"),88000)</f>
        <v>88000</v>
      </c>
      <c r="AC67" s="2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9">P66/P67</f>
        <v>0.89482954545454541</v>
      </c>
      <c r="Q68" s="15">
        <f t="shared" si="19"/>
        <v>0.89482954545454541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0.89607954545454549</v>
      </c>
      <c r="Y68" s="15">
        <f ca="1">IFERROR(__xludf.DUMMYFUNCTION("INDEX(IMPORTRANGE(""1y0FWgjbB0gVlqn-q5LMJbGIsqOrzru4yowQz67dz2yc"", ""'SPGG'!BG3:BG139""),MATCH($D68,IMPORTRANGE(""1y0FWgjbB0gVlqn-q5LMJbGIsqOrzru4yowQz67dz2yc"", ""'SPGG'!D3:D139""),0))"),0.937681818181818)</f>
        <v>0.93768181818181795</v>
      </c>
      <c r="Z68" s="15">
        <f ca="1">IFERROR(__xludf.DUMMYFUNCTION("INDEX(IMPORTRANGE(""1y0FWgjbB0gVlqn-q5LMJbGIsqOrzru4yowQz67dz2yc"", ""'SPGG'!BH3:BH139""),MATCH($D68,IMPORTRANGE(""1y0FWgjbB0gVlqn-q5LMJbGIsqOrzru4yowQz67dz2yc"", ""'SPGG'!D3:D139""),0))"),0.949068181818181)</f>
        <v>0.94906818181818098</v>
      </c>
      <c r="AA68" s="15">
        <f ca="1">IFERROR(__xludf.DUMMYFUNCTION("INDEX(IMPORTRANGE(""1y0FWgjbB0gVlqn-q5LMJbGIsqOrzru4yowQz67dz2yc"", ""'SPGG'!BI3:BI139""),MATCH($D68,IMPORTRANGE(""1y0FWgjbB0gVlqn-q5LMJbGIsqOrzru4yowQz67dz2yc"", ""'SPGG'!D3:D139""),0))"),0.952931818181818)</f>
        <v>0.95293181818181805</v>
      </c>
      <c r="AB68" s="15">
        <f ca="1">IFERROR(__xludf.DUMMYFUNCTION("INDEX(IMPORTRANGE(""1y0FWgjbB0gVlqn-q5LMJbGIsqOrzru4yowQz67dz2yc"", ""'SPGG'!BJ3:BJ139""),MATCH($D68,IMPORTRANGE(""1y0FWgjbB0gVlqn-q5LMJbGIsqOrzru4yowQz67dz2yc"", ""'SPGG'!D3:D139""),0))"),0.952931818181818)</f>
        <v>0.95293181818181805</v>
      </c>
      <c r="AC68" s="2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3">
        <v>0</v>
      </c>
      <c r="Q69" s="23">
        <v>0</v>
      </c>
      <c r="R69" s="1"/>
      <c r="S69" s="1"/>
      <c r="T69" s="1"/>
      <c r="U69" s="1"/>
      <c r="V69" s="1"/>
      <c r="W69" s="2"/>
      <c r="X69" s="23">
        <v>0</v>
      </c>
      <c r="Y69" s="23">
        <f ca="1">IFERROR(__xludf.DUMMYFUNCTION("INDEX(IMPORTRANGE(""1y0FWgjbB0gVlqn-q5LMJbGIsqOrzru4yowQz67dz2yc"", ""'SPGG'!BG3:BG139""),MATCH($D69,IMPORTRANGE(""1y0FWgjbB0gVlqn-q5LMJbGIsqOrzru4yowQz67dz2yc"", ""'SPGG'!D3:D139""),0))"),1.207)</f>
        <v>1.2070000000000001</v>
      </c>
      <c r="Z69" s="23">
        <f ca="1">IFERROR(__xludf.DUMMYFUNCTION("INDEX(IMPORTRANGE(""1y0FWgjbB0gVlqn-q5LMJbGIsqOrzru4yowQz67dz2yc"", ""'SPGG'!BH3:BH139""),MATCH($D69,IMPORTRANGE(""1y0FWgjbB0gVlqn-q5LMJbGIsqOrzru4yowQz67dz2yc"", ""'SPGG'!D3:D139""),0))"),1.32)</f>
        <v>1.32</v>
      </c>
      <c r="AA69" s="23">
        <f ca="1">IFERROR(__xludf.DUMMYFUNCTION("INDEX(IMPORTRANGE(""1y0FWgjbB0gVlqn-q5LMJbGIsqOrzru4yowQz67dz2yc"", ""'SPGG'!BI3:BI139""),MATCH($D69,IMPORTRANGE(""1y0FWgjbB0gVlqn-q5LMJbGIsqOrzru4yowQz67dz2yc"", ""'SPGG'!D3:D139""),0))"),2.958)</f>
        <v>2.9580000000000002</v>
      </c>
      <c r="AB69" s="23">
        <f ca="1">IFERROR(__xludf.DUMMYFUNCTION("INDEX(IMPORTRANGE(""1y0FWgjbB0gVlqn-q5LMJbGIsqOrzru4yowQz67dz2yc"", ""'SPGG'!BJ3:BJ139""),MATCH($D69,IMPORTRANGE(""1y0FWgjbB0gVlqn-q5LMJbGIsqOrzru4yowQz67dz2yc"", ""'SPGG'!D3:D139""),0))"),0.451999999999999)</f>
        <v>0.45199999999999901</v>
      </c>
      <c r="AC69" s="2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3">
        <v>0.188</v>
      </c>
      <c r="Q70" s="23">
        <v>4.3849999999999998</v>
      </c>
      <c r="R70" s="1"/>
      <c r="S70" s="1"/>
      <c r="T70" s="1"/>
      <c r="U70" s="1"/>
      <c r="V70" s="1"/>
      <c r="W70" s="2">
        <v>2.37</v>
      </c>
      <c r="X70" s="23">
        <v>0.11</v>
      </c>
      <c r="Y70" s="23">
        <f ca="1">IFERROR(__xludf.DUMMYFUNCTION("INDEX(IMPORTRANGE(""1y0FWgjbB0gVlqn-q5LMJbGIsqOrzru4yowQz67dz2yc"", ""'SPGG'!BG3:BG139""),MATCH($D70,IMPORTRANGE(""1y0FWgjbB0gVlqn-q5LMJbGIsqOrzru4yowQz67dz2yc"", ""'SPGG'!D3:D139""),0))"),0.218)</f>
        <v>0.218</v>
      </c>
      <c r="Z70" s="23">
        <f ca="1">IFERROR(__xludf.DUMMYFUNCTION("INDEX(IMPORTRANGE(""1y0FWgjbB0gVlqn-q5LMJbGIsqOrzru4yowQz67dz2yc"", ""'SPGG'!BH3:BH139""),MATCH($D70,IMPORTRANGE(""1y0FWgjbB0gVlqn-q5LMJbGIsqOrzru4yowQz67dz2yc"", ""'SPGG'!D3:D139""),0))"),0)</f>
        <v>0</v>
      </c>
      <c r="AA70" s="23">
        <f ca="1">IFERROR(__xludf.DUMMYFUNCTION("INDEX(IMPORTRANGE(""1y0FWgjbB0gVlqn-q5LMJbGIsqOrzru4yowQz67dz2yc"", ""'SPGG'!BI3:BI139""),MATCH($D70,IMPORTRANGE(""1y0FWgjbB0gVlqn-q5LMJbGIsqOrzru4yowQz67dz2yc"", ""'SPGG'!D3:D139""),0))"),0)</f>
        <v>0</v>
      </c>
      <c r="AB70" s="23">
        <f ca="1">IFERROR(__xludf.DUMMYFUNCTION("INDEX(IMPORTRANGE(""1y0FWgjbB0gVlqn-q5LMJbGIsqOrzru4yowQz67dz2yc"", ""'SPGG'!BJ3:BJ139""),MATCH($D70,IMPORTRANGE(""1y0FWgjbB0gVlqn-q5LMJbGIsqOrzru4yowQz67dz2yc"", ""'SPGG'!D3:D139""),0))"),0)</f>
        <v>0</v>
      </c>
      <c r="AC70" s="2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30"/>
      <c r="Q71" s="2"/>
      <c r="R71" s="13"/>
      <c r="S71" s="13"/>
      <c r="T71" s="13"/>
      <c r="U71" s="13"/>
      <c r="V71" s="13"/>
      <c r="W71" s="4"/>
      <c r="X71" s="2"/>
      <c r="Y71" s="299" t="str">
        <f ca="1">IFERROR(__xludf.DUMMYFUNCTION("INDEX(IMPORTRANGE(""1y0FWgjbB0gVlqn-q5LMJbGIsqOrzru4yowQz67dz2yc"", ""'SPGG'!BG3:BG139""),MATCH($D71,IMPORTRANGE(""1y0FWgjbB0gVlqn-q5LMJbGIsqOrzru4yowQz67dz2yc"", ""'SPGG'!D3:D139""),0))"),"")</f>
        <v/>
      </c>
      <c r="Z71" s="299" t="str">
        <f ca="1">IFERROR(__xludf.DUMMYFUNCTION("INDEX(IMPORTRANGE(""1y0FWgjbB0gVlqn-q5LMJbGIsqOrzru4yowQz67dz2yc"", ""'SPGG'!BH3:BH139""),MATCH($D71,IMPORTRANGE(""1y0FWgjbB0gVlqn-q5LMJbGIsqOrzru4yowQz67dz2yc"", ""'SPGG'!D3:D139""),0))"),"")</f>
        <v/>
      </c>
      <c r="AA71" s="299" t="str">
        <f ca="1">IFERROR(__xludf.DUMMYFUNCTION("INDEX(IMPORTRANGE(""1y0FWgjbB0gVlqn-q5LMJbGIsqOrzru4yowQz67dz2yc"", ""'SPGG'!BI3:BI139""),MATCH($D71,IMPORTRANGE(""1y0FWgjbB0gVlqn-q5LMJbGIsqOrzru4yowQz67dz2yc"", ""'SPGG'!D3:D139""),0))"),"")</f>
        <v/>
      </c>
      <c r="AB71" s="299" t="str">
        <f ca="1">IFERROR(__xludf.DUMMYFUNCTION("INDEX(IMPORTRANGE(""1y0FWgjbB0gVlqn-q5LMJbGIsqOrzru4yowQz67dz2yc"", ""'SPGG'!BJ3:BJ139""),MATCH($D71,IMPORTRANGE(""1y0FWgjbB0gVlqn-q5LMJbGIsqOrzru4yowQz67dz2yc"", ""'SPGG'!D3:D139""),0))"),"")</f>
        <v/>
      </c>
      <c r="AC71" s="2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3">
        <f t="shared" ref="P72:Q72" si="20">P69+P70</f>
        <v>0.188</v>
      </c>
      <c r="Q72" s="23">
        <f t="shared" si="20"/>
        <v>4.3849999999999998</v>
      </c>
      <c r="R72" s="4">
        <v>0.9</v>
      </c>
      <c r="S72" s="4">
        <v>0.2</v>
      </c>
      <c r="T72" s="4">
        <v>0.83</v>
      </c>
      <c r="U72" s="4">
        <v>0.63</v>
      </c>
      <c r="V72" s="4">
        <v>1.23</v>
      </c>
      <c r="W72" s="4">
        <v>2.37</v>
      </c>
      <c r="X72" s="23">
        <f>X69+X70</f>
        <v>0.11</v>
      </c>
      <c r="Y72" s="23">
        <f ca="1">IFERROR(__xludf.DUMMYFUNCTION("INDEX(IMPORTRANGE(""1y0FWgjbB0gVlqn-q5LMJbGIsqOrzru4yowQz67dz2yc"", ""'SPGG'!BG3:BG139""),MATCH($D72,IMPORTRANGE(""1y0FWgjbB0gVlqn-q5LMJbGIsqOrzru4yowQz67dz2yc"", ""'SPGG'!D3:D139""),0))"),1.425)</f>
        <v>1.425</v>
      </c>
      <c r="Z72" s="23">
        <f ca="1">IFERROR(__xludf.DUMMYFUNCTION("INDEX(IMPORTRANGE(""1y0FWgjbB0gVlqn-q5LMJbGIsqOrzru4yowQz67dz2yc"", ""'SPGG'!BH3:BH139""),MATCH($D72,IMPORTRANGE(""1y0FWgjbB0gVlqn-q5LMJbGIsqOrzru4yowQz67dz2yc"", ""'SPGG'!D3:D139""),0))"),1.32)</f>
        <v>1.32</v>
      </c>
      <c r="AA72" s="23">
        <f ca="1">IFERROR(__xludf.DUMMYFUNCTION("INDEX(IMPORTRANGE(""1y0FWgjbB0gVlqn-q5LMJbGIsqOrzru4yowQz67dz2yc"", ""'SPGG'!BI3:BI139""),MATCH($D72,IMPORTRANGE(""1y0FWgjbB0gVlqn-q5LMJbGIsqOrzru4yowQz67dz2yc"", ""'SPGG'!D3:D139""),0))"),2.958)</f>
        <v>2.9580000000000002</v>
      </c>
      <c r="AB72" s="23">
        <f ca="1">IFERROR(__xludf.DUMMYFUNCTION("INDEX(IMPORTRANGE(""1y0FWgjbB0gVlqn-q5LMJbGIsqOrzru4yowQz67dz2yc"", ""'SPGG'!BJ3:BJ139""),MATCH($D72,IMPORTRANGE(""1y0FWgjbB0gVlqn-q5LMJbGIsqOrzru4yowQz67dz2yc"", ""'SPGG'!D3:D139""),0))"),0.451999999999999)</f>
        <v>0.45199999999999901</v>
      </c>
      <c r="AC72" s="2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23">
        <v>15.26</v>
      </c>
      <c r="Q73" s="23">
        <v>15.26</v>
      </c>
      <c r="R73" s="2">
        <v>19.010000000000002</v>
      </c>
      <c r="S73" s="2">
        <v>19.11</v>
      </c>
      <c r="T73" s="2">
        <v>19.510000000000002</v>
      </c>
      <c r="U73" s="2">
        <v>19.510000000000002</v>
      </c>
      <c r="V73" s="2">
        <v>20.9</v>
      </c>
      <c r="W73" s="23">
        <v>20.9</v>
      </c>
      <c r="X73" s="23">
        <v>23.06</v>
      </c>
      <c r="Y73" s="23">
        <f ca="1">IFERROR(__xludf.DUMMYFUNCTION("INDEX(IMPORTRANGE(""1y0FWgjbB0gVlqn-q5LMJbGIsqOrzru4yowQz67dz2yc"", ""'SPGG'!BG3:BG139""),MATCH($D73,IMPORTRANGE(""1y0FWgjbB0gVlqn-q5LMJbGIsqOrzru4yowQz67dz2yc"", ""'SPGG'!D3:D139""),0))"),26.1)</f>
        <v>26.1</v>
      </c>
      <c r="Z73" s="23">
        <f ca="1">IFERROR(__xludf.DUMMYFUNCTION("INDEX(IMPORTRANGE(""1y0FWgjbB0gVlqn-q5LMJbGIsqOrzru4yowQz67dz2yc"", ""'SPGG'!BH3:BH139""),MATCH($D73,IMPORTRANGE(""1y0FWgjbB0gVlqn-q5LMJbGIsqOrzru4yowQz67dz2yc"", ""'SPGG'!D3:D139""),0))"),19.01)</f>
        <v>19.010000000000002</v>
      </c>
      <c r="AA73" s="23">
        <f ca="1">IFERROR(__xludf.DUMMYFUNCTION("INDEX(IMPORTRANGE(""1y0FWgjbB0gVlqn-q5LMJbGIsqOrzru4yowQz67dz2yc"", ""'SPGG'!BI3:BI139""),MATCH($D73,IMPORTRANGE(""1y0FWgjbB0gVlqn-q5LMJbGIsqOrzru4yowQz67dz2yc"", ""'SPGG'!D3:D139""),0))"),7.8)</f>
        <v>7.8</v>
      </c>
      <c r="AB73" s="23">
        <f ca="1">IFERROR(__xludf.DUMMYFUNCTION("INDEX(IMPORTRANGE(""1y0FWgjbB0gVlqn-q5LMJbGIsqOrzru4yowQz67dz2yc"", ""'SPGG'!BJ3:BJ139""),MATCH($D73,IMPORTRANGE(""1y0FWgjbB0gVlqn-q5LMJbGIsqOrzru4yowQz67dz2yc"", ""'SPGG'!D3:D139""),0))"),14.666)</f>
        <v>14.666</v>
      </c>
      <c r="AC73" s="2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1"/>
      <c r="S74" s="1"/>
      <c r="T74" s="1"/>
      <c r="U74" s="1"/>
      <c r="V74" s="1"/>
      <c r="W74" s="2"/>
      <c r="X74" s="12">
        <v>0</v>
      </c>
      <c r="Y74" s="12">
        <f ca="1">IFERROR(__xludf.DUMMYFUNCTION("INDEX(IMPORTRANGE(""1y0FWgjbB0gVlqn-q5LMJbGIsqOrzru4yowQz67dz2yc"", ""'SPGG'!BG3:BG139""),MATCH($D74,IMPORTRANGE(""1y0FWgjbB0gVlqn-q5LMJbGIsqOrzru4yowQz67dz2yc"", ""'SPGG'!D3:D139""),0))"),28)</f>
        <v>28</v>
      </c>
      <c r="Z74" s="12">
        <f ca="1">IFERROR(__xludf.DUMMYFUNCTION("INDEX(IMPORTRANGE(""1y0FWgjbB0gVlqn-q5LMJbGIsqOrzru4yowQz67dz2yc"", ""'SPGG'!BH3:BH139""),MATCH($D74,IMPORTRANGE(""1y0FWgjbB0gVlqn-q5LMJbGIsqOrzru4yowQz67dz2yc"", ""'SPGG'!D3:D139""),0))"),0)</f>
        <v>0</v>
      </c>
      <c r="AA74" s="12">
        <f ca="1">IFERROR(__xludf.DUMMYFUNCTION("INDEX(IMPORTRANGE(""1y0FWgjbB0gVlqn-q5LMJbGIsqOrzru4yowQz67dz2yc"", ""'SPGG'!BI3:BI139""),MATCH($D74,IMPORTRANGE(""1y0FWgjbB0gVlqn-q5LMJbGIsqOrzru4yowQz67dz2yc"", ""'SPGG'!D3:D139""),0))"),22690)</f>
        <v>22690</v>
      </c>
      <c r="AB74" s="12">
        <f ca="1">IFERROR(__xludf.DUMMYFUNCTION("INDEX(IMPORTRANGE(""1y0FWgjbB0gVlqn-q5LMJbGIsqOrzru4yowQz67dz2yc"", ""'SPGG'!BJ3:BJ139""),MATCH($D74,IMPORTRANGE(""1y0FWgjbB0gVlqn-q5LMJbGIsqOrzru4yowQz67dz2yc"", ""'SPGG'!D3:D139""),0))"),4751)</f>
        <v>4751</v>
      </c>
      <c r="AC74" s="2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1"/>
      <c r="S75" s="1"/>
      <c r="T75" s="1"/>
      <c r="U75" s="1"/>
      <c r="V75" s="1"/>
      <c r="W75" s="9">
        <v>8261</v>
      </c>
      <c r="X75" s="12">
        <v>4162</v>
      </c>
      <c r="Y75" s="12">
        <f ca="1">IFERROR(__xludf.DUMMYFUNCTION("INDEX(IMPORTRANGE(""1y0FWgjbB0gVlqn-q5LMJbGIsqOrzru4yowQz67dz2yc"", ""'SPGG'!BG3:BG139""),MATCH($D75,IMPORTRANGE(""1y0FWgjbB0gVlqn-q5LMJbGIsqOrzru4yowQz67dz2yc"", ""'SPGG'!D3:D139""),0))"),4560.7)</f>
        <v>4560.7</v>
      </c>
      <c r="Z75" s="12">
        <f ca="1">IFERROR(__xludf.DUMMYFUNCTION("INDEX(IMPORTRANGE(""1y0FWgjbB0gVlqn-q5LMJbGIsqOrzru4yowQz67dz2yc"", ""'SPGG'!BH3:BH139""),MATCH($D75,IMPORTRANGE(""1y0FWgjbB0gVlqn-q5LMJbGIsqOrzru4yowQz67dz2yc"", ""'SPGG'!D3:D139""),0))"),431)</f>
        <v>431</v>
      </c>
      <c r="AA75" s="12">
        <f ca="1">IFERROR(__xludf.DUMMYFUNCTION("INDEX(IMPORTRANGE(""1y0FWgjbB0gVlqn-q5LMJbGIsqOrzru4yowQz67dz2yc"", ""'SPGG'!BI3:BI139""),MATCH($D75,IMPORTRANGE(""1y0FWgjbB0gVlqn-q5LMJbGIsqOrzru4yowQz67dz2yc"", ""'SPGG'!D3:D139""),0))"),14162)</f>
        <v>14162</v>
      </c>
      <c r="AB75" s="12">
        <f ca="1">IFERROR(__xludf.DUMMYFUNCTION("INDEX(IMPORTRANGE(""1y0FWgjbB0gVlqn-q5LMJbGIsqOrzru4yowQz67dz2yc"", ""'SPGG'!BJ3:BJ139""),MATCH($D75,IMPORTRANGE(""1y0FWgjbB0gVlqn-q5LMJbGIsqOrzru4yowQz67dz2yc"", ""'SPGG'!D3:D139""),0))"),1766)</f>
        <v>1766</v>
      </c>
      <c r="AC75" s="2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1"/>
      <c r="S76" s="1"/>
      <c r="T76" s="1"/>
      <c r="U76" s="1"/>
      <c r="V76" s="1"/>
      <c r="W76" s="2"/>
      <c r="X76" s="12">
        <v>0</v>
      </c>
      <c r="Y76" s="12">
        <f ca="1">IFERROR(__xludf.DUMMYFUNCTION("INDEX(IMPORTRANGE(""1y0FWgjbB0gVlqn-q5LMJbGIsqOrzru4yowQz67dz2yc"", ""'SPGG'!BG3:BG139""),MATCH($D76,IMPORTRANGE(""1y0FWgjbB0gVlqn-q5LMJbGIsqOrzru4yowQz67dz2yc"", ""'SPGG'!D3:D139""),0))"),0)</f>
        <v>0</v>
      </c>
      <c r="Z76" s="12">
        <f ca="1">IFERROR(__xludf.DUMMYFUNCTION("INDEX(IMPORTRANGE(""1y0FWgjbB0gVlqn-q5LMJbGIsqOrzru4yowQz67dz2yc"", ""'SPGG'!BH3:BH139""),MATCH($D76,IMPORTRANGE(""1y0FWgjbB0gVlqn-q5LMJbGIsqOrzru4yowQz67dz2yc"", ""'SPGG'!D3:D139""),0))"),0)</f>
        <v>0</v>
      </c>
      <c r="AA76" s="12">
        <f ca="1">IFERROR(__xludf.DUMMYFUNCTION("INDEX(IMPORTRANGE(""1y0FWgjbB0gVlqn-q5LMJbGIsqOrzru4yowQz67dz2yc"", ""'SPGG'!BI3:BI139""),MATCH($D76,IMPORTRANGE(""1y0FWgjbB0gVlqn-q5LMJbGIsqOrzru4yowQz67dz2yc"", ""'SPGG'!D3:D139""),0))"),0)</f>
        <v>0</v>
      </c>
      <c r="AB76" s="12">
        <f ca="1">IFERROR(__xludf.DUMMYFUNCTION("INDEX(IMPORTRANGE(""1y0FWgjbB0gVlqn-q5LMJbGIsqOrzru4yowQz67dz2yc"", ""'SPGG'!BJ3:BJ139""),MATCH($D76,IMPORTRANGE(""1y0FWgjbB0gVlqn-q5LMJbGIsqOrzru4yowQz67dz2yc"", ""'SPGG'!D3:D139""),0))"),0)</f>
        <v>0</v>
      </c>
      <c r="AC76" s="2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254"/>
      <c r="Q77" s="254"/>
      <c r="R77" s="4">
        <v>4265.7</v>
      </c>
      <c r="S77" s="4">
        <v>209</v>
      </c>
      <c r="T77" s="4">
        <v>200</v>
      </c>
      <c r="U77" s="4">
        <v>209</v>
      </c>
      <c r="V77" s="4">
        <v>200</v>
      </c>
      <c r="W77" s="4">
        <v>5500</v>
      </c>
      <c r="X77" s="12">
        <f>X74+X75+X76</f>
        <v>4162</v>
      </c>
      <c r="Y77" s="12">
        <f ca="1">IFERROR(__xludf.DUMMYFUNCTION("INDEX(IMPORTRANGE(""1y0FWgjbB0gVlqn-q5LMJbGIsqOrzru4yowQz67dz2yc"", ""'SPGG'!BG3:BG139""),MATCH($D77,IMPORTRANGE(""1y0FWgjbB0gVlqn-q5LMJbGIsqOrzru4yowQz67dz2yc"", ""'SPGG'!D3:D139""),0))"),4588.7)</f>
        <v>4588.7</v>
      </c>
      <c r="Z77" s="12">
        <f ca="1">IFERROR(__xludf.DUMMYFUNCTION("INDEX(IMPORTRANGE(""1y0FWgjbB0gVlqn-q5LMJbGIsqOrzru4yowQz67dz2yc"", ""'SPGG'!BH3:BH139""),MATCH($D77,IMPORTRANGE(""1y0FWgjbB0gVlqn-q5LMJbGIsqOrzru4yowQz67dz2yc"", ""'SPGG'!D3:D139""),0))"),431)</f>
        <v>431</v>
      </c>
      <c r="AA77" s="12">
        <f ca="1">IFERROR(__xludf.DUMMYFUNCTION("INDEX(IMPORTRANGE(""1y0FWgjbB0gVlqn-q5LMJbGIsqOrzru4yowQz67dz2yc"", ""'SPGG'!BI3:BI139""),MATCH($D77,IMPORTRANGE(""1y0FWgjbB0gVlqn-q5LMJbGIsqOrzru4yowQz67dz2yc"", ""'SPGG'!D3:D139""),0))"),36852)</f>
        <v>36852</v>
      </c>
      <c r="AB77" s="12">
        <f ca="1">IFERROR(__xludf.DUMMYFUNCTION("INDEX(IMPORTRANGE(""1y0FWgjbB0gVlqn-q5LMJbGIsqOrzru4yowQz67dz2yc"", ""'SPGG'!BJ3:BJ139""),MATCH($D77,IMPORTRANGE(""1y0FWgjbB0gVlqn-q5LMJbGIsqOrzru4yowQz67dz2yc"", ""'SPGG'!D3:D139""),0))"),6517)</f>
        <v>6517</v>
      </c>
      <c r="AC77" s="2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7" t="s">
        <v>215</v>
      </c>
      <c r="J78" s="13"/>
      <c r="K78" s="7" t="s">
        <v>216</v>
      </c>
      <c r="L78" s="13"/>
      <c r="M78" s="7" t="s">
        <v>217</v>
      </c>
      <c r="N78" s="1" t="s">
        <v>218</v>
      </c>
      <c r="O78" s="1" t="s">
        <v>218</v>
      </c>
      <c r="P78" s="36">
        <v>218977806.03</v>
      </c>
      <c r="Q78" s="36">
        <v>218977806.03</v>
      </c>
      <c r="R78" s="13"/>
      <c r="S78" s="44"/>
      <c r="T78" s="13"/>
      <c r="U78" s="44"/>
      <c r="V78" s="44"/>
      <c r="W78" s="44"/>
      <c r="X78" s="36">
        <v>218977806.03</v>
      </c>
      <c r="Y78" s="249" t="str">
        <f ca="1">IFERROR(__xludf.DUMMYFUNCTION("INDEX(IMPORTRANGE(""1y0FWgjbB0gVlqn-q5LMJbGIsqOrzru4yowQz67dz2yc"", ""'SPGG'!BG3:BG139""),MATCH($D78,IMPORTRANGE(""1y0FWgjbB0gVlqn-q5LMJbGIsqOrzru4yowQz67dz2yc"", ""'SPGG'!D3:D139""),0))"),"")</f>
        <v/>
      </c>
      <c r="Z78" s="36">
        <f ca="1">IFERROR(__xludf.DUMMYFUNCTION("INDEX(IMPORTRANGE(""1y0FWgjbB0gVlqn-q5LMJbGIsqOrzru4yowQz67dz2yc"", ""'SPGG'!BH3:BH139""),MATCH($D78,IMPORTRANGE(""1y0FWgjbB0gVlqn-q5LMJbGIsqOrzru4yowQz67dz2yc"", ""'SPGG'!D3:D139""),0))"),114143754.509999)</f>
        <v>114143754.50999901</v>
      </c>
      <c r="AA78" s="249" t="str">
        <f ca="1">IFERROR(__xludf.DUMMYFUNCTION("INDEX(IMPORTRANGE(""1y0FWgjbB0gVlqn-q5LMJbGIsqOrzru4yowQz67dz2yc"", ""'SPGG'!BI3:BI139""),MATCH($D78,IMPORTRANGE(""1y0FWgjbB0gVlqn-q5LMJbGIsqOrzru4yowQz67dz2yc"", ""'SPGG'!D3:D139""),0))"),"")</f>
        <v/>
      </c>
      <c r="AB78" s="36">
        <f ca="1">IFERROR(__xludf.DUMMYFUNCTION("INDEX(IMPORTRANGE(""1y0FWgjbB0gVlqn-q5LMJbGIsqOrzru4yowQz67dz2yc"", ""'SPGG'!BJ3:BJ139""),MATCH($D78,IMPORTRANGE(""1y0FWgjbB0gVlqn-q5LMJbGIsqOrzru4yowQz67dz2yc"", ""'SPGG'!D3:D139""),0))"),94520700.1599999)</f>
        <v>94520700.159999907</v>
      </c>
      <c r="AC78" s="2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7" t="s">
        <v>215</v>
      </c>
      <c r="J79" s="13"/>
      <c r="K79" s="7" t="s">
        <v>216</v>
      </c>
      <c r="L79" s="13"/>
      <c r="M79" s="7" t="s">
        <v>217</v>
      </c>
      <c r="N79" s="1" t="s">
        <v>218</v>
      </c>
      <c r="O79" s="1" t="s">
        <v>218</v>
      </c>
      <c r="P79" s="36">
        <v>131930760</v>
      </c>
      <c r="Q79" s="36">
        <v>131930759.79000001</v>
      </c>
      <c r="R79" s="13"/>
      <c r="S79" s="13"/>
      <c r="T79" s="13"/>
      <c r="U79" s="13"/>
      <c r="V79" s="13"/>
      <c r="W79" s="4"/>
      <c r="X79" s="36">
        <v>131930759.79000001</v>
      </c>
      <c r="Y79" s="249" t="str">
        <f ca="1">IFERROR(__xludf.DUMMYFUNCTION("INDEX(IMPORTRANGE(""1y0FWgjbB0gVlqn-q5LMJbGIsqOrzru4yowQz67dz2yc"", ""'SPGG'!BG3:BG139""),MATCH($D79,IMPORTRANGE(""1y0FWgjbB0gVlqn-q5LMJbGIsqOrzru4yowQz67dz2yc"", ""'SPGG'!D3:D139""),0))"),"")</f>
        <v/>
      </c>
      <c r="Z79" s="36">
        <f ca="1">IFERROR(__xludf.DUMMYFUNCTION("INDEX(IMPORTRANGE(""1y0FWgjbB0gVlqn-q5LMJbGIsqOrzru4yowQz67dz2yc"", ""'SPGG'!BH3:BH139""),MATCH($D79,IMPORTRANGE(""1y0FWgjbB0gVlqn-q5LMJbGIsqOrzru4yowQz67dz2yc"", ""'SPGG'!D3:D139""),0))"),7403921.82)</f>
        <v>7403921.8200000003</v>
      </c>
      <c r="AA79" s="249" t="str">
        <f ca="1">IFERROR(__xludf.DUMMYFUNCTION("INDEX(IMPORTRANGE(""1y0FWgjbB0gVlqn-q5LMJbGIsqOrzru4yowQz67dz2yc"", ""'SPGG'!BI3:BI139""),MATCH($D79,IMPORTRANGE(""1y0FWgjbB0gVlqn-q5LMJbGIsqOrzru4yowQz67dz2yc"", ""'SPGG'!D3:D139""),0))"),"")</f>
        <v/>
      </c>
      <c r="AB79" s="36">
        <f ca="1">IFERROR(__xludf.DUMMYFUNCTION("INDEX(IMPORTRANGE(""1y0FWgjbB0gVlqn-q5LMJbGIsqOrzru4yowQz67dz2yc"", ""'SPGG'!BJ3:BJ139""),MATCH($D79,IMPORTRANGE(""1y0FWgjbB0gVlqn-q5LMJbGIsqOrzru4yowQz67dz2yc"", ""'SPGG'!D3:D139""),0))"),19419296.9)</f>
        <v>19419296.899999999</v>
      </c>
      <c r="AC79" s="2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7" t="s">
        <v>215</v>
      </c>
      <c r="J80" s="13"/>
      <c r="K80" s="7" t="s">
        <v>216</v>
      </c>
      <c r="L80" s="13"/>
      <c r="M80" s="7" t="s">
        <v>217</v>
      </c>
      <c r="N80" s="1" t="s">
        <v>218</v>
      </c>
      <c r="O80" s="1" t="s">
        <v>218</v>
      </c>
      <c r="P80" s="467">
        <f t="shared" ref="P80:Q80" si="21">P79/P78</f>
        <v>0.60248461883815507</v>
      </c>
      <c r="Q80" s="467">
        <f t="shared" si="21"/>
        <v>0.60248461787915375</v>
      </c>
      <c r="R80" s="4"/>
      <c r="S80" s="14">
        <v>0.06</v>
      </c>
      <c r="T80" s="4"/>
      <c r="U80" s="14">
        <v>0.05</v>
      </c>
      <c r="V80" s="14">
        <v>0.05</v>
      </c>
      <c r="W80" s="14">
        <v>0.05</v>
      </c>
      <c r="X80" s="467">
        <f>X79/X78</f>
        <v>0.60248461787915375</v>
      </c>
      <c r="Y80" s="249" t="str">
        <f ca="1">IFERROR(__xludf.DUMMYFUNCTION("INDEX(IMPORTRANGE(""1y0FWgjbB0gVlqn-q5LMJbGIsqOrzru4yowQz67dz2yc"", ""'SPGG'!BG3:BG139""),MATCH($D80,IMPORTRANGE(""1y0FWgjbB0gVlqn-q5LMJbGIsqOrzru4yowQz67dz2yc"", ""'SPGG'!D3:D139""),0))"),"")</f>
        <v/>
      </c>
      <c r="Z80" s="192">
        <f ca="1">IFERROR(__xludf.DUMMYFUNCTION("INDEX(IMPORTRANGE(""1y0FWgjbB0gVlqn-q5LMJbGIsqOrzru4yowQz67dz2yc"", ""'SPGG'!BH3:BH139""),MATCH($D80,IMPORTRANGE(""1y0FWgjbB0gVlqn-q5LMJbGIsqOrzru4yowQz67dz2yc"", ""'SPGG'!D3:D139""),0))"),0.0648648877179815)</f>
        <v>6.4864887717981504E-2</v>
      </c>
      <c r="AA80" s="249" t="str">
        <f ca="1">IFERROR(__xludf.DUMMYFUNCTION("INDEX(IMPORTRANGE(""1y0FWgjbB0gVlqn-q5LMJbGIsqOrzru4yowQz67dz2yc"", ""'SPGG'!BI3:BI139""),MATCH($D80,IMPORTRANGE(""1y0FWgjbB0gVlqn-q5LMJbGIsqOrzru4yowQz67dz2yc"", ""'SPGG'!D3:D139""),0))"),"")</f>
        <v/>
      </c>
      <c r="AB80" s="192">
        <f ca="1">IFERROR(__xludf.DUMMYFUNCTION("INDEX(IMPORTRANGE(""1y0FWgjbB0gVlqn-q5LMJbGIsqOrzru4yowQz67dz2yc"", ""'SPGG'!BJ3:BJ139""),MATCH($D80,IMPORTRANGE(""1y0FWgjbB0gVlqn-q5LMJbGIsqOrzru4yowQz67dz2yc"", ""'SPGG'!D3:D139""),0))"),0.205450201565667)</f>
        <v>0.20545020156566701</v>
      </c>
      <c r="AC80" s="2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5">
        <v>0</v>
      </c>
      <c r="Q81" s="5">
        <v>0</v>
      </c>
      <c r="R81" s="1"/>
      <c r="S81" s="1"/>
      <c r="T81" s="1"/>
      <c r="U81" s="1"/>
      <c r="V81" s="1"/>
      <c r="W81" s="2"/>
      <c r="X81" s="5">
        <v>4</v>
      </c>
      <c r="Y81" s="12">
        <f ca="1">IFERROR(__xludf.DUMMYFUNCTION("INDEX(IMPORTRANGE(""1y0FWgjbB0gVlqn-q5LMJbGIsqOrzru4yowQz67dz2yc"", ""'SPGG'!BG3:BG139""),MATCH($D81,IMPORTRANGE(""1y0FWgjbB0gVlqn-q5LMJbGIsqOrzru4yowQz67dz2yc"", ""'SPGG'!D3:D139""),0))"),4)</f>
        <v>4</v>
      </c>
      <c r="Z81" s="12">
        <f ca="1">IFERROR(__xludf.DUMMYFUNCTION("INDEX(IMPORTRANGE(""1y0FWgjbB0gVlqn-q5LMJbGIsqOrzru4yowQz67dz2yc"", ""'SPGG'!BH3:BH139""),MATCH($D81,IMPORTRANGE(""1y0FWgjbB0gVlqn-q5LMJbGIsqOrzru4yowQz67dz2yc"", ""'SPGG'!D3:D139""),0))"),86)</f>
        <v>86</v>
      </c>
      <c r="AA81" s="12">
        <f ca="1">IFERROR(__xludf.DUMMYFUNCTION("INDEX(IMPORTRANGE(""1y0FWgjbB0gVlqn-q5LMJbGIsqOrzru4yowQz67dz2yc"", ""'SPGG'!BI3:BI139""),MATCH($D81,IMPORTRANGE(""1y0FWgjbB0gVlqn-q5LMJbGIsqOrzru4yowQz67dz2yc"", ""'SPGG'!D3:D139""),0))"),135)</f>
        <v>135</v>
      </c>
      <c r="AB81" s="12">
        <f ca="1">IFERROR(__xludf.DUMMYFUNCTION("INDEX(IMPORTRANGE(""1y0FWgjbB0gVlqn-q5LMJbGIsqOrzru4yowQz67dz2yc"", ""'SPGG'!BJ3:BJ139""),MATCH($D81,IMPORTRANGE(""1y0FWgjbB0gVlqn-q5LMJbGIsqOrzru4yowQz67dz2yc"", ""'SPGG'!D3:D139""),0))"),31)</f>
        <v>31</v>
      </c>
      <c r="AC81" s="2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5">
        <v>92</v>
      </c>
      <c r="Q82" s="5">
        <v>242</v>
      </c>
      <c r="R82" s="1"/>
      <c r="S82" s="1"/>
      <c r="T82" s="1"/>
      <c r="U82" s="1"/>
      <c r="V82" s="1"/>
      <c r="W82" s="1"/>
      <c r="X82" s="5">
        <v>125</v>
      </c>
      <c r="Y82" s="12">
        <f ca="1">IFERROR(__xludf.DUMMYFUNCTION("INDEX(IMPORTRANGE(""1y0FWgjbB0gVlqn-q5LMJbGIsqOrzru4yowQz67dz2yc"", ""'SPGG'!BG3:BG139""),MATCH($D82,IMPORTRANGE(""1y0FWgjbB0gVlqn-q5LMJbGIsqOrzru4yowQz67dz2yc"", ""'SPGG'!D3:D139""),0))"),275)</f>
        <v>275</v>
      </c>
      <c r="Z82" s="12">
        <f ca="1">IFERROR(__xludf.DUMMYFUNCTION("INDEX(IMPORTRANGE(""1y0FWgjbB0gVlqn-q5LMJbGIsqOrzru4yowQz67dz2yc"", ""'SPGG'!BH3:BH139""),MATCH($D82,IMPORTRANGE(""1y0FWgjbB0gVlqn-q5LMJbGIsqOrzru4yowQz67dz2yc"", ""'SPGG'!D3:D139""),0))"),34)</f>
        <v>34</v>
      </c>
      <c r="AA82" s="12">
        <f ca="1">IFERROR(__xludf.DUMMYFUNCTION("INDEX(IMPORTRANGE(""1y0FWgjbB0gVlqn-q5LMJbGIsqOrzru4yowQz67dz2yc"", ""'SPGG'!BI3:BI139""),MATCH($D82,IMPORTRANGE(""1y0FWgjbB0gVlqn-q5LMJbGIsqOrzru4yowQz67dz2yc"", ""'SPGG'!D3:D139""),0))"),132)</f>
        <v>132</v>
      </c>
      <c r="AB82" s="12">
        <f ca="1">IFERROR(__xludf.DUMMYFUNCTION("INDEX(IMPORTRANGE(""1y0FWgjbB0gVlqn-q5LMJbGIsqOrzru4yowQz67dz2yc"", ""'SPGG'!BJ3:BJ139""),MATCH($D82,IMPORTRANGE(""1y0FWgjbB0gVlqn-q5LMJbGIsqOrzru4yowQz67dz2yc"", ""'SPGG'!D3:D139""),0))"),27)</f>
        <v>27</v>
      </c>
      <c r="AC82" s="2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22">P81+P82</f>
        <v>92</v>
      </c>
      <c r="Q83" s="12">
        <f t="shared" si="22"/>
        <v>242</v>
      </c>
      <c r="R83" s="4">
        <v>240</v>
      </c>
      <c r="S83" s="4">
        <v>80</v>
      </c>
      <c r="T83" s="4">
        <v>170</v>
      </c>
      <c r="U83" s="4">
        <v>50</v>
      </c>
      <c r="V83" s="4">
        <v>90</v>
      </c>
      <c r="W83" s="4">
        <v>500</v>
      </c>
      <c r="X83" s="12">
        <f>X81+X82</f>
        <v>129</v>
      </c>
      <c r="Y83" s="12">
        <f ca="1">IFERROR(__xludf.DUMMYFUNCTION("INDEX(IMPORTRANGE(""1y0FWgjbB0gVlqn-q5LMJbGIsqOrzru4yowQz67dz2yc"", ""'SPGG'!BG3:BG139""),MATCH($D83,IMPORTRANGE(""1y0FWgjbB0gVlqn-q5LMJbGIsqOrzru4yowQz67dz2yc"", ""'SPGG'!D3:D139""),0))"),279)</f>
        <v>279</v>
      </c>
      <c r="Z83" s="12">
        <f ca="1">IFERROR(__xludf.DUMMYFUNCTION("INDEX(IMPORTRANGE(""1y0FWgjbB0gVlqn-q5LMJbGIsqOrzru4yowQz67dz2yc"", ""'SPGG'!BH3:BH139""),MATCH($D83,IMPORTRANGE(""1y0FWgjbB0gVlqn-q5LMJbGIsqOrzru4yowQz67dz2yc"", ""'SPGG'!D3:D139""),0))"),120)</f>
        <v>120</v>
      </c>
      <c r="AA83" s="12">
        <f ca="1">IFERROR(__xludf.DUMMYFUNCTION("INDEX(IMPORTRANGE(""1y0FWgjbB0gVlqn-q5LMJbGIsqOrzru4yowQz67dz2yc"", ""'SPGG'!BI3:BI139""),MATCH($D83,IMPORTRANGE(""1y0FWgjbB0gVlqn-q5LMJbGIsqOrzru4yowQz67dz2yc"", ""'SPGG'!D3:D139""),0))"),267)</f>
        <v>267</v>
      </c>
      <c r="AB83" s="12">
        <f ca="1">IFERROR(__xludf.DUMMYFUNCTION("INDEX(IMPORTRANGE(""1y0FWgjbB0gVlqn-q5LMJbGIsqOrzru4yowQz67dz2yc"", ""'SPGG'!BJ3:BJ139""),MATCH($D83,IMPORTRANGE(""1y0FWgjbB0gVlqn-q5LMJbGIsqOrzru4yowQz67dz2yc"", ""'SPGG'!D3:D139""),0))"),58)</f>
        <v>58</v>
      </c>
      <c r="AC83" s="2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35</v>
      </c>
      <c r="Q84" s="12">
        <v>74</v>
      </c>
      <c r="R84" s="13"/>
      <c r="S84" s="13"/>
      <c r="T84" s="13"/>
      <c r="U84" s="13"/>
      <c r="V84" s="13"/>
      <c r="W84" s="4"/>
      <c r="X84" s="12">
        <v>33</v>
      </c>
      <c r="Y84" s="12">
        <f ca="1">IFERROR(__xludf.DUMMYFUNCTION("INDEX(IMPORTRANGE(""1y0FWgjbB0gVlqn-q5LMJbGIsqOrzru4yowQz67dz2yc"", ""'SPGG'!BG3:BG139""),MATCH($D84,IMPORTRANGE(""1y0FWgjbB0gVlqn-q5LMJbGIsqOrzru4yowQz67dz2yc"", ""'SPGG'!D3:D139""),0))"),66)</f>
        <v>66</v>
      </c>
      <c r="Z84" s="12">
        <f ca="1">IFERROR(__xludf.DUMMYFUNCTION("INDEX(IMPORTRANGE(""1y0FWgjbB0gVlqn-q5LMJbGIsqOrzru4yowQz67dz2yc"", ""'SPGG'!BH3:BH139""),MATCH($D84,IMPORTRANGE(""1y0FWgjbB0gVlqn-q5LMJbGIsqOrzru4yowQz67dz2yc"", ""'SPGG'!D3:D139""),0))"),44)</f>
        <v>44</v>
      </c>
      <c r="AA84" s="12">
        <f ca="1">IFERROR(__xludf.DUMMYFUNCTION("INDEX(IMPORTRANGE(""1y0FWgjbB0gVlqn-q5LMJbGIsqOrzru4yowQz67dz2yc"", ""'SPGG'!BI3:BI139""),MATCH($D84,IMPORTRANGE(""1y0FWgjbB0gVlqn-q5LMJbGIsqOrzru4yowQz67dz2yc"", ""'SPGG'!D3:D139""),0))"),82)</f>
        <v>82</v>
      </c>
      <c r="AB84" s="12">
        <f ca="1">IFERROR(__xludf.DUMMYFUNCTION("INDEX(IMPORTRANGE(""1y0FWgjbB0gVlqn-q5LMJbGIsqOrzru4yowQz67dz2yc"", ""'SPGG'!BJ3:BJ139""),MATCH($D84,IMPORTRANGE(""1y0FWgjbB0gVlqn-q5LMJbGIsqOrzru4yowQz67dz2yc"", ""'SPGG'!D3:D139""),0))"),44)</f>
        <v>44</v>
      </c>
      <c r="AC84" s="2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10</v>
      </c>
      <c r="Q85" s="12">
        <v>23</v>
      </c>
      <c r="R85" s="13"/>
      <c r="S85" s="13"/>
      <c r="T85" s="13"/>
      <c r="U85" s="13"/>
      <c r="V85" s="13"/>
      <c r="W85" s="4"/>
      <c r="X85" s="12">
        <v>21</v>
      </c>
      <c r="Y85" s="12">
        <f ca="1">IFERROR(__xludf.DUMMYFUNCTION("INDEX(IMPORTRANGE(""1y0FWgjbB0gVlqn-q5LMJbGIsqOrzru4yowQz67dz2yc"", ""'SPGG'!BG3:BG139""),MATCH($D85,IMPORTRANGE(""1y0FWgjbB0gVlqn-q5LMJbGIsqOrzru4yowQz67dz2yc"", ""'SPGG'!D3:D139""),0))"),32)</f>
        <v>32</v>
      </c>
      <c r="Z85" s="12">
        <f ca="1">IFERROR(__xludf.DUMMYFUNCTION("INDEX(IMPORTRANGE(""1y0FWgjbB0gVlqn-q5LMJbGIsqOrzru4yowQz67dz2yc"", ""'SPGG'!BH3:BH139""),MATCH($D85,IMPORTRANGE(""1y0FWgjbB0gVlqn-q5LMJbGIsqOrzru4yowQz67dz2yc"", ""'SPGG'!D3:D139""),0))"),8)</f>
        <v>8</v>
      </c>
      <c r="AA85" s="12">
        <f ca="1">IFERROR(__xludf.DUMMYFUNCTION("INDEX(IMPORTRANGE(""1y0FWgjbB0gVlqn-q5LMJbGIsqOrzru4yowQz67dz2yc"", ""'SPGG'!BI3:BI139""),MATCH($D85,IMPORTRANGE(""1y0FWgjbB0gVlqn-q5LMJbGIsqOrzru4yowQz67dz2yc"", ""'SPGG'!D3:D139""),0))"),21)</f>
        <v>21</v>
      </c>
      <c r="AB85" s="12">
        <f ca="1">IFERROR(__xludf.DUMMYFUNCTION("INDEX(IMPORTRANGE(""1y0FWgjbB0gVlqn-q5LMJbGIsqOrzru4yowQz67dz2yc"", ""'SPGG'!BJ3:BJ139""),MATCH($D85,IMPORTRANGE(""1y0FWgjbB0gVlqn-q5LMJbGIsqOrzru4yowQz67dz2yc"", ""'SPGG'!D3:D139""),0))"),7)</f>
        <v>7</v>
      </c>
      <c r="AC85" s="2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2730</v>
      </c>
      <c r="Q86" s="12">
        <v>4964</v>
      </c>
      <c r="R86" s="13"/>
      <c r="S86" s="13"/>
      <c r="T86" s="13"/>
      <c r="U86" s="13"/>
      <c r="V86" s="13"/>
      <c r="W86" s="4"/>
      <c r="X86" s="12">
        <v>2667</v>
      </c>
      <c r="Y86" s="12">
        <f ca="1">IFERROR(__xludf.DUMMYFUNCTION("INDEX(IMPORTRANGE(""1y0FWgjbB0gVlqn-q5LMJbGIsqOrzru4yowQz67dz2yc"", ""'SPGG'!BG3:BG139""),MATCH($D86,IMPORTRANGE(""1y0FWgjbB0gVlqn-q5LMJbGIsqOrzru4yowQz67dz2yc"", ""'SPGG'!D3:D139""),0))"),5494)</f>
        <v>5494</v>
      </c>
      <c r="Z86" s="12">
        <f ca="1">IFERROR(__xludf.DUMMYFUNCTION("INDEX(IMPORTRANGE(""1y0FWgjbB0gVlqn-q5LMJbGIsqOrzru4yowQz67dz2yc"", ""'SPGG'!BH3:BH139""),MATCH($D86,IMPORTRANGE(""1y0FWgjbB0gVlqn-q5LMJbGIsqOrzru4yowQz67dz2yc"", ""'SPGG'!D3:D139""),0))"),3233)</f>
        <v>3233</v>
      </c>
      <c r="AA86" s="12">
        <f ca="1">IFERROR(__xludf.DUMMYFUNCTION("INDEX(IMPORTRANGE(""1y0FWgjbB0gVlqn-q5LMJbGIsqOrzru4yowQz67dz2yc"", ""'SPGG'!BI3:BI139""),MATCH($D86,IMPORTRANGE(""1y0FWgjbB0gVlqn-q5LMJbGIsqOrzru4yowQz67dz2yc"", ""'SPGG'!D3:D139""),0))"),6166)</f>
        <v>6166</v>
      </c>
      <c r="AB86" s="12">
        <f ca="1">IFERROR(__xludf.DUMMYFUNCTION("INDEX(IMPORTRANGE(""1y0FWgjbB0gVlqn-q5LMJbGIsqOrzru4yowQz67dz2yc"", ""'SPGG'!BJ3:BJ139""),MATCH($D86,IMPORTRANGE(""1y0FWgjbB0gVlqn-q5LMJbGIsqOrzru4yowQz67dz2yc"", ""'SPGG'!D3:D139""),0))"),2946)</f>
        <v>2946</v>
      </c>
      <c r="AC86" s="2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112</v>
      </c>
      <c r="Q87" s="12">
        <v>227</v>
      </c>
      <c r="R87" s="13"/>
      <c r="S87" s="13"/>
      <c r="T87" s="13"/>
      <c r="U87" s="13"/>
      <c r="V87" s="13"/>
      <c r="W87" s="4"/>
      <c r="X87" s="12">
        <v>58</v>
      </c>
      <c r="Y87" s="12">
        <f ca="1">IFERROR(__xludf.DUMMYFUNCTION("INDEX(IMPORTRANGE(""1y0FWgjbB0gVlqn-q5LMJbGIsqOrzru4yowQz67dz2yc"", ""'SPGG'!BG3:BG139""),MATCH($D87,IMPORTRANGE(""1y0FWgjbB0gVlqn-q5LMJbGIsqOrzru4yowQz67dz2yc"", ""'SPGG'!D3:D139""),0))"),218)</f>
        <v>218</v>
      </c>
      <c r="Z87" s="12">
        <f ca="1">IFERROR(__xludf.DUMMYFUNCTION("INDEX(IMPORTRANGE(""1y0FWgjbB0gVlqn-q5LMJbGIsqOrzru4yowQz67dz2yc"", ""'SPGG'!BH3:BH139""),MATCH($D87,IMPORTRANGE(""1y0FWgjbB0gVlqn-q5LMJbGIsqOrzru4yowQz67dz2yc"", ""'SPGG'!D3:D139""),0))"),161)</f>
        <v>161</v>
      </c>
      <c r="AA87" s="12">
        <f ca="1">IFERROR(__xludf.DUMMYFUNCTION("INDEX(IMPORTRANGE(""1y0FWgjbB0gVlqn-q5LMJbGIsqOrzru4yowQz67dz2yc"", ""'SPGG'!BI3:BI139""),MATCH($D87,IMPORTRANGE(""1y0FWgjbB0gVlqn-q5LMJbGIsqOrzru4yowQz67dz2yc"", ""'SPGG'!D3:D139""),0))"),327)</f>
        <v>327</v>
      </c>
      <c r="AB87" s="12">
        <f ca="1">IFERROR(__xludf.DUMMYFUNCTION("INDEX(IMPORTRANGE(""1y0FWgjbB0gVlqn-q5LMJbGIsqOrzru4yowQz67dz2yc"", ""'SPGG'!BJ3:BJ139""),MATCH($D87,IMPORTRANGE(""1y0FWgjbB0gVlqn-q5LMJbGIsqOrzru4yowQz67dz2yc"", ""'SPGG'!D3:D139""),0))"),156)</f>
        <v>156</v>
      </c>
      <c r="AC87" s="2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602</v>
      </c>
      <c r="Q88" s="12">
        <v>1060</v>
      </c>
      <c r="R88" s="13"/>
      <c r="S88" s="13"/>
      <c r="T88" s="13"/>
      <c r="U88" s="13"/>
      <c r="V88" s="13"/>
      <c r="W88" s="4"/>
      <c r="X88" s="12">
        <v>0</v>
      </c>
      <c r="Y88" s="12">
        <f ca="1">IFERROR(__xludf.DUMMYFUNCTION("INDEX(IMPORTRANGE(""1y0FWgjbB0gVlqn-q5LMJbGIsqOrzru4yowQz67dz2yc"", ""'SPGG'!BG3:BG139""),MATCH($D88,IMPORTRANGE(""1y0FWgjbB0gVlqn-q5LMJbGIsqOrzru4yowQz67dz2yc"", ""'SPGG'!D3:D139""),0))"),0)</f>
        <v>0</v>
      </c>
      <c r="Z88" s="12">
        <f ca="1">IFERROR(__xludf.DUMMYFUNCTION("INDEX(IMPORTRANGE(""1y0FWgjbB0gVlqn-q5LMJbGIsqOrzru4yowQz67dz2yc"", ""'SPGG'!BH3:BH139""),MATCH($D88,IMPORTRANGE(""1y0FWgjbB0gVlqn-q5LMJbGIsqOrzru4yowQz67dz2yc"", ""'SPGG'!D3:D139""),0))"),0)</f>
        <v>0</v>
      </c>
      <c r="AA88" s="12">
        <f ca="1">IFERROR(__xludf.DUMMYFUNCTION("INDEX(IMPORTRANGE(""1y0FWgjbB0gVlqn-q5LMJbGIsqOrzru4yowQz67dz2yc"", ""'SPGG'!BI3:BI139""),MATCH($D88,IMPORTRANGE(""1y0FWgjbB0gVlqn-q5LMJbGIsqOrzru4yowQz67dz2yc"", ""'SPGG'!D3:D139""),0))"),0)</f>
        <v>0</v>
      </c>
      <c r="AB88" s="12">
        <f ca="1">IFERROR(__xludf.DUMMYFUNCTION("INDEX(IMPORTRANGE(""1y0FWgjbB0gVlqn-q5LMJbGIsqOrzru4yowQz67dz2yc"", ""'SPGG'!BJ3:BJ139""),MATCH($D88,IMPORTRANGE(""1y0FWgjbB0gVlqn-q5LMJbGIsqOrzru4yowQz67dz2yc"", ""'SPGG'!D3:D139""),0))"),0)</f>
        <v>0</v>
      </c>
      <c r="AC88" s="2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f t="shared" ref="P89:Q89" si="23">SUM(P84:P88)</f>
        <v>3489</v>
      </c>
      <c r="Q89" s="12">
        <f t="shared" si="23"/>
        <v>6348</v>
      </c>
      <c r="R89" s="12">
        <v>6317</v>
      </c>
      <c r="S89" s="12">
        <v>3472</v>
      </c>
      <c r="T89" s="12">
        <v>6317</v>
      </c>
      <c r="U89" s="12">
        <v>3472</v>
      </c>
      <c r="V89" s="12">
        <v>6317</v>
      </c>
      <c r="W89" s="12">
        <v>6285</v>
      </c>
      <c r="X89" s="12">
        <f>SUM(X84:X88)</f>
        <v>2779</v>
      </c>
      <c r="Y89" s="12">
        <f ca="1">IFERROR(__xludf.DUMMYFUNCTION("INDEX(IMPORTRANGE(""1y0FWgjbB0gVlqn-q5LMJbGIsqOrzru4yowQz67dz2yc"", ""'SPGG'!BG3:BG139""),MATCH($D89,IMPORTRANGE(""1y0FWgjbB0gVlqn-q5LMJbGIsqOrzru4yowQz67dz2yc"", ""'SPGG'!D3:D139""),0))"),5810)</f>
        <v>5810</v>
      </c>
      <c r="Z89" s="12">
        <f ca="1">IFERROR(__xludf.DUMMYFUNCTION("INDEX(IMPORTRANGE(""1y0FWgjbB0gVlqn-q5LMJbGIsqOrzru4yowQz67dz2yc"", ""'SPGG'!BH3:BH139""),MATCH($D89,IMPORTRANGE(""1y0FWgjbB0gVlqn-q5LMJbGIsqOrzru4yowQz67dz2yc"", ""'SPGG'!D3:D139""),0))"),3446)</f>
        <v>3446</v>
      </c>
      <c r="AA89" s="12">
        <f ca="1">IFERROR(__xludf.DUMMYFUNCTION("INDEX(IMPORTRANGE(""1y0FWgjbB0gVlqn-q5LMJbGIsqOrzru4yowQz67dz2yc"", ""'SPGG'!BI3:BI139""),MATCH($D89,IMPORTRANGE(""1y0FWgjbB0gVlqn-q5LMJbGIsqOrzru4yowQz67dz2yc"", ""'SPGG'!D3:D139""),0))"),6596)</f>
        <v>6596</v>
      </c>
      <c r="AB89" s="12">
        <f ca="1">IFERROR(__xludf.DUMMYFUNCTION("INDEX(IMPORTRANGE(""1y0FWgjbB0gVlqn-q5LMJbGIsqOrzru4yowQz67dz2yc"", ""'SPGG'!BJ3:BJ139""),MATCH($D89,IMPORTRANGE(""1y0FWgjbB0gVlqn-q5LMJbGIsqOrzru4yowQz67dz2yc"", ""'SPGG'!D3:D139""),0))"),3153)</f>
        <v>3153</v>
      </c>
      <c r="AC89" s="2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116</v>
      </c>
      <c r="Q90" s="12">
        <v>201</v>
      </c>
      <c r="R90" s="2">
        <v>74</v>
      </c>
      <c r="S90" s="2">
        <v>37</v>
      </c>
      <c r="T90" s="2">
        <v>74</v>
      </c>
      <c r="U90" s="2">
        <v>36</v>
      </c>
      <c r="V90" s="2">
        <v>73</v>
      </c>
      <c r="W90" s="12">
        <v>221</v>
      </c>
      <c r="X90" s="493">
        <v>35</v>
      </c>
      <c r="Y90" s="12">
        <f ca="1">IFERROR(__xludf.DUMMYFUNCTION("INDEX(IMPORTRANGE(""1y0FWgjbB0gVlqn-q5LMJbGIsqOrzru4yowQz67dz2yc"", ""'SPGG'!BG3:BG139""),MATCH($D90,IMPORTRANGE(""1y0FWgjbB0gVlqn-q5LMJbGIsqOrzru4yowQz67dz2yc"", ""'SPGG'!D3:D139""),0))"),106)</f>
        <v>106</v>
      </c>
      <c r="Z90" s="12">
        <f ca="1">IFERROR(__xludf.DUMMYFUNCTION("INDEX(IMPORTRANGE(""1y0FWgjbB0gVlqn-q5LMJbGIsqOrzru4yowQz67dz2yc"", ""'SPGG'!BH3:BH139""),MATCH($D90,IMPORTRANGE(""1y0FWgjbB0gVlqn-q5LMJbGIsqOrzru4yowQz67dz2yc"", ""'SPGG'!D3:D139""),0))"),48)</f>
        <v>48</v>
      </c>
      <c r="AA90" s="12">
        <f ca="1">IFERROR(__xludf.DUMMYFUNCTION("INDEX(IMPORTRANGE(""1y0FWgjbB0gVlqn-q5LMJbGIsqOrzru4yowQz67dz2yc"", ""'SPGG'!BI3:BI139""),MATCH($D90,IMPORTRANGE(""1y0FWgjbB0gVlqn-q5LMJbGIsqOrzru4yowQz67dz2yc"", ""'SPGG'!D3:D139""),0))"),93)</f>
        <v>93</v>
      </c>
      <c r="AB90" s="12">
        <f ca="1">IFERROR(__xludf.DUMMYFUNCTION("INDEX(IMPORTRANGE(""1y0FWgjbB0gVlqn-q5LMJbGIsqOrzru4yowQz67dz2yc"", ""'SPGG'!BJ3:BJ139""),MATCH($D90,IMPORTRANGE(""1y0FWgjbB0gVlqn-q5LMJbGIsqOrzru4yowQz67dz2yc"", ""'SPGG'!D3:D139""),0))"),71)</f>
        <v>71</v>
      </c>
      <c r="AC90" s="252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4"/>
      <c r="Q91" s="2">
        <v>37</v>
      </c>
      <c r="R91" s="2">
        <v>11</v>
      </c>
      <c r="S91" s="2">
        <v>11</v>
      </c>
      <c r="T91" s="2">
        <v>12</v>
      </c>
      <c r="U91" s="2">
        <v>13</v>
      </c>
      <c r="V91" s="2">
        <v>15</v>
      </c>
      <c r="W91" s="12">
        <v>15</v>
      </c>
      <c r="X91" s="12">
        <v>51</v>
      </c>
      <c r="Y91" s="12">
        <f ca="1">IFERROR(__xludf.DUMMYFUNCTION("INDEX(IMPORTRANGE(""1y0FWgjbB0gVlqn-q5LMJbGIsqOrzru4yowQz67dz2yc"", ""'SPGG'!BG3:BG139""),MATCH($D91,IMPORTRANGE(""1y0FWgjbB0gVlqn-q5LMJbGIsqOrzru4yowQz67dz2yc"", ""'SPGG'!D3:D139""),0))"),31)</f>
        <v>31</v>
      </c>
      <c r="Z91" s="12">
        <f ca="1">IFERROR(__xludf.DUMMYFUNCTION("INDEX(IMPORTRANGE(""1y0FWgjbB0gVlqn-q5LMJbGIsqOrzru4yowQz67dz2yc"", ""'SPGG'!BH3:BH139""),MATCH($D91,IMPORTRANGE(""1y0FWgjbB0gVlqn-q5LMJbGIsqOrzru4yowQz67dz2yc"", ""'SPGG'!D3:D139""),0))"),31)</f>
        <v>31</v>
      </c>
      <c r="AA91" s="12">
        <f ca="1">IFERROR(__xludf.DUMMYFUNCTION("INDEX(IMPORTRANGE(""1y0FWgjbB0gVlqn-q5LMJbGIsqOrzru4yowQz67dz2yc"", ""'SPGG'!BI3:BI139""),MATCH($D91,IMPORTRANGE(""1y0FWgjbB0gVlqn-q5LMJbGIsqOrzru4yowQz67dz2yc"", ""'SPGG'!D3:D139""),0))"),33)</f>
        <v>33</v>
      </c>
      <c r="AB91" s="12">
        <f ca="1">IFERROR(__xludf.DUMMYFUNCTION("INDEX(IMPORTRANGE(""1y0FWgjbB0gVlqn-q5LMJbGIsqOrzru4yowQz67dz2yc"", ""'SPGG'!BJ3:BJ139""),MATCH($D91,IMPORTRANGE(""1y0FWgjbB0gVlqn-q5LMJbGIsqOrzru4yowQz67dz2yc"", ""'SPGG'!D3:D139""),0))"),43)</f>
        <v>43</v>
      </c>
      <c r="AC91" s="2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98.4</v>
      </c>
      <c r="Q92" s="12">
        <v>98.4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12">
        <v>96.5</v>
      </c>
      <c r="Y92" s="12">
        <f ca="1">IFERROR(__xludf.DUMMYFUNCTION("INDEX(IMPORTRANGE(""1y0FWgjbB0gVlqn-q5LMJbGIsqOrzru4yowQz67dz2yc"", ""'SPGG'!BG3:BG139""),MATCH($D92,IMPORTRANGE(""1y0FWgjbB0gVlqn-q5LMJbGIsqOrzru4yowQz67dz2yc"", ""'SPGG'!D3:D139""),0))"),100)</f>
        <v>100</v>
      </c>
      <c r="Z92" s="12">
        <f ca="1">IFERROR(__xludf.DUMMYFUNCTION("INDEX(IMPORTRANGE(""1y0FWgjbB0gVlqn-q5LMJbGIsqOrzru4yowQz67dz2yc"", ""'SPGG'!BH3:BH139""),MATCH($D92,IMPORTRANGE(""1y0FWgjbB0gVlqn-q5LMJbGIsqOrzru4yowQz67dz2yc"", ""'SPGG'!D3:D139""),0))"),100)</f>
        <v>100</v>
      </c>
      <c r="AA92" s="12">
        <f ca="1">IFERROR(__xludf.DUMMYFUNCTION("INDEX(IMPORTRANGE(""1y0FWgjbB0gVlqn-q5LMJbGIsqOrzru4yowQz67dz2yc"", ""'SPGG'!BI3:BI139""),MATCH($D92,IMPORTRANGE(""1y0FWgjbB0gVlqn-q5LMJbGIsqOrzru4yowQz67dz2yc"", ""'SPGG'!D3:D139""),0))"),100)</f>
        <v>100</v>
      </c>
      <c r="AB92" s="12">
        <f ca="1">IFERROR(__xludf.DUMMYFUNCTION("INDEX(IMPORTRANGE(""1y0FWgjbB0gVlqn-q5LMJbGIsqOrzru4yowQz67dz2yc"", ""'SPGG'!BJ3:BJ139""),MATCH($D92,IMPORTRANGE(""1y0FWgjbB0gVlqn-q5LMJbGIsqOrzru4yowQz67dz2yc"", ""'SPGG'!D3:D139""),0))"),100)</f>
        <v>100</v>
      </c>
      <c r="AC92" s="252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12">
        <v>0</v>
      </c>
      <c r="Y93" s="23">
        <f ca="1">IFERROR(__xludf.DUMMYFUNCTION("INDEX(IMPORTRANGE(""1y0FWgjbB0gVlqn-q5LMJbGIsqOrzru4yowQz67dz2yc"", ""'SPGG'!BG3:BG139""),MATCH($D93,IMPORTRANGE(""1y0FWgjbB0gVlqn-q5LMJbGIsqOrzru4yowQz67dz2yc"", ""'SPGG'!D3:D139""),0))"),4)</f>
        <v>4</v>
      </c>
      <c r="Z93" s="23">
        <f ca="1">IFERROR(__xludf.DUMMYFUNCTION("INDEX(IMPORTRANGE(""1y0FWgjbB0gVlqn-q5LMJbGIsqOrzru4yowQz67dz2yc"", ""'SPGG'!BH3:BH139""),MATCH($D93,IMPORTRANGE(""1y0FWgjbB0gVlqn-q5LMJbGIsqOrzru4yowQz67dz2yc"", ""'SPGG'!D3:D139""),0))"),3.21225832990538)</f>
        <v>3.2122583299053802</v>
      </c>
      <c r="AA93" s="23">
        <f ca="1">IFERROR(__xludf.DUMMYFUNCTION("INDEX(IMPORTRANGE(""1y0FWgjbB0gVlqn-q5LMJbGIsqOrzru4yowQz67dz2yc"", ""'SPGG'!BI3:BI139""),MATCH($D93,IMPORTRANGE(""1y0FWgjbB0gVlqn-q5LMJbGIsqOrzru4yowQz67dz2yc"", ""'SPGG'!D3:D139""),0))"),2.64171122994652)</f>
        <v>2.64171122994652</v>
      </c>
      <c r="AB93" s="23">
        <f ca="1">IFERROR(__xludf.DUMMYFUNCTION("INDEX(IMPORTRANGE(""1y0FWgjbB0gVlqn-q5LMJbGIsqOrzru4yowQz67dz2yc"", ""'SPGG'!BJ3:BJ139""),MATCH($D93,IMPORTRANGE(""1y0FWgjbB0gVlqn-q5LMJbGIsqOrzru4yowQz67dz2yc"", ""'SPGG'!D3:D139""),0))"),3.81818181818181)</f>
        <v>3.8181818181818099</v>
      </c>
      <c r="AC93" s="252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484"/>
      <c r="Q94" s="484"/>
      <c r="R94" s="181"/>
      <c r="S94" s="181"/>
      <c r="T94" s="181"/>
      <c r="U94" s="181"/>
      <c r="V94" s="181"/>
      <c r="W94" s="182"/>
      <c r="X94" s="2">
        <v>9</v>
      </c>
      <c r="Y94" s="12">
        <f ca="1">IFERROR(__xludf.DUMMYFUNCTION("INDEX(IMPORTRANGE(""1y0FWgjbB0gVlqn-q5LMJbGIsqOrzru4yowQz67dz2yc"", ""'SPGG'!BG3:BG139""),MATCH($D94,IMPORTRANGE(""1y0FWgjbB0gVlqn-q5LMJbGIsqOrzru4yowQz67dz2yc"", ""'SPGG'!D3:D139""),0))"),10)</f>
        <v>10</v>
      </c>
      <c r="Z94" s="12">
        <f ca="1">IFERROR(__xludf.DUMMYFUNCTION("INDEX(IMPORTRANGE(""1y0FWgjbB0gVlqn-q5LMJbGIsqOrzru4yowQz67dz2yc"", ""'SPGG'!BH3:BH139""),MATCH($D94,IMPORTRANGE(""1y0FWgjbB0gVlqn-q5LMJbGIsqOrzru4yowQz67dz2yc"", ""'SPGG'!D3:D139""),0))"),10)</f>
        <v>10</v>
      </c>
      <c r="AA94" s="12" t="str">
        <f ca="1">IFERROR(__xludf.DUMMYFUNCTION("INDEX(IMPORTRANGE(""1y0FWgjbB0gVlqn-q5LMJbGIsqOrzru4yowQz67dz2yc"", ""'SPGG'!BI3:BI139""),MATCH($D94,IMPORTRANGE(""1y0FWgjbB0gVlqn-q5LMJbGIsqOrzru4yowQz67dz2yc"", ""'SPGG'!D3:D139""),0))"),"")</f>
        <v/>
      </c>
      <c r="AB94" s="12">
        <f ca="1">IFERROR(__xludf.DUMMYFUNCTION("INDEX(IMPORTRANGE(""1y0FWgjbB0gVlqn-q5LMJbGIsqOrzru4yowQz67dz2yc"", ""'SPGG'!BJ3:BJ139""),MATCH($D94,IMPORTRANGE(""1y0FWgjbB0gVlqn-q5LMJbGIsqOrzru4yowQz67dz2yc"", ""'SPGG'!D3:D139""),0))"),10)</f>
        <v>10</v>
      </c>
      <c r="AC94" s="252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484"/>
      <c r="Q95" s="484"/>
      <c r="R95" s="181"/>
      <c r="S95" s="181"/>
      <c r="T95" s="181"/>
      <c r="U95" s="181"/>
      <c r="V95" s="181"/>
      <c r="W95" s="182"/>
      <c r="X95" s="2">
        <v>15</v>
      </c>
      <c r="Y95" s="12">
        <f ca="1">IFERROR(__xludf.DUMMYFUNCTION("INDEX(IMPORTRANGE(""1y0FWgjbB0gVlqn-q5LMJbGIsqOrzru4yowQz67dz2yc"", ""'SPGG'!BG3:BG139""),MATCH($D95,IMPORTRANGE(""1y0FWgjbB0gVlqn-q5LMJbGIsqOrzru4yowQz67dz2yc"", ""'SPGG'!D3:D139""),0))"),13)</f>
        <v>13</v>
      </c>
      <c r="Z95" s="12">
        <f ca="1">IFERROR(__xludf.DUMMYFUNCTION("INDEX(IMPORTRANGE(""1y0FWgjbB0gVlqn-q5LMJbGIsqOrzru4yowQz67dz2yc"", ""'SPGG'!BH3:BH139""),MATCH($D95,IMPORTRANGE(""1y0FWgjbB0gVlqn-q5LMJbGIsqOrzru4yowQz67dz2yc"", ""'SPGG'!D3:D139""),0))"),14)</f>
        <v>14</v>
      </c>
      <c r="AA95" s="12">
        <f ca="1">IFERROR(__xludf.DUMMYFUNCTION("INDEX(IMPORTRANGE(""1y0FWgjbB0gVlqn-q5LMJbGIsqOrzru4yowQz67dz2yc"", ""'SPGG'!BI3:BI139""),MATCH($D95,IMPORTRANGE(""1y0FWgjbB0gVlqn-q5LMJbGIsqOrzru4yowQz67dz2yc"", ""'SPGG'!D3:D139""),0))"),0)</f>
        <v>0</v>
      </c>
      <c r="AB95" s="12">
        <f ca="1">IFERROR(__xludf.DUMMYFUNCTION("INDEX(IMPORTRANGE(""1y0FWgjbB0gVlqn-q5LMJbGIsqOrzru4yowQz67dz2yc"", ""'SPGG'!BJ3:BJ139""),MATCH($D95,IMPORTRANGE(""1y0FWgjbB0gVlqn-q5LMJbGIsqOrzru4yowQz67dz2yc"", ""'SPGG'!D3:D139""),0))"),14)</f>
        <v>14</v>
      </c>
      <c r="AC95" s="252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11">
        <v>44651</v>
      </c>
      <c r="J96" s="181"/>
      <c r="K96" s="11">
        <v>45016</v>
      </c>
      <c r="L96" s="181"/>
      <c r="M96" s="11">
        <v>45382</v>
      </c>
      <c r="N96" s="181"/>
      <c r="O96" s="11">
        <v>45565</v>
      </c>
      <c r="P96" s="484"/>
      <c r="Q96" s="484"/>
      <c r="R96" s="181"/>
      <c r="S96" s="181"/>
      <c r="T96" s="181"/>
      <c r="U96" s="181"/>
      <c r="V96" s="181"/>
      <c r="W96" s="182"/>
      <c r="X96" s="2" t="s">
        <v>447</v>
      </c>
      <c r="Y96" s="12">
        <f ca="1">IFERROR(__xludf.DUMMYFUNCTION("INDEX(IMPORTRANGE(""1y0FWgjbB0gVlqn-q5LMJbGIsqOrzru4yowQz67dz2yc"", ""'SPGG'!BG3:BG139""),MATCH($D96,IMPORTRANGE(""1y0FWgjbB0gVlqn-q5LMJbGIsqOrzru4yowQz67dz2yc"", ""'SPGG'!D3:D139""),0))"),0)</f>
        <v>0</v>
      </c>
      <c r="Z96" s="12">
        <f ca="1">IFERROR(__xludf.DUMMYFUNCTION("INDEX(IMPORTRANGE(""1y0FWgjbB0gVlqn-q5LMJbGIsqOrzru4yowQz67dz2yc"", ""'SPGG'!BH3:BH139""),MATCH($D96,IMPORTRANGE(""1y0FWgjbB0gVlqn-q5LMJbGIsqOrzru4yowQz67dz2yc"", ""'SPGG'!D3:D139""),0))"),0)</f>
        <v>0</v>
      </c>
      <c r="AA96" s="12" t="str">
        <f ca="1">IFERROR(__xludf.DUMMYFUNCTION("INDEX(IMPORTRANGE(""1y0FWgjbB0gVlqn-q5LMJbGIsqOrzru4yowQz67dz2yc"", ""'SPGG'!BI3:BI139""),MATCH($D96,IMPORTRANGE(""1y0FWgjbB0gVlqn-q5LMJbGIsqOrzru4yowQz67dz2yc"", ""'SPGG'!D3:D139""),0))"),"")</f>
        <v/>
      </c>
      <c r="AB96" s="12">
        <f ca="1">IFERROR(__xludf.DUMMYFUNCTION("INDEX(IMPORTRANGE(""1y0FWgjbB0gVlqn-q5LMJbGIsqOrzru4yowQz67dz2yc"", ""'SPGG'!BJ3:BJ139""),MATCH($D96,IMPORTRANGE(""1y0FWgjbB0gVlqn-q5LMJbGIsqOrzru4yowQz67dz2yc"", ""'SPGG'!D3:D139""),0))"),0)</f>
        <v>0</v>
      </c>
      <c r="AC96" s="252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11">
        <v>44651</v>
      </c>
      <c r="J97" s="181"/>
      <c r="K97" s="11">
        <v>45016</v>
      </c>
      <c r="L97" s="181"/>
      <c r="M97" s="11">
        <v>45382</v>
      </c>
      <c r="N97" s="181"/>
      <c r="O97" s="11">
        <v>45565</v>
      </c>
      <c r="P97" s="484"/>
      <c r="Q97" s="484"/>
      <c r="R97" s="181"/>
      <c r="S97" s="181"/>
      <c r="T97" s="181"/>
      <c r="U97" s="181"/>
      <c r="V97" s="181"/>
      <c r="W97" s="182"/>
      <c r="X97" s="2">
        <v>0</v>
      </c>
      <c r="Y97" s="12">
        <f ca="1">IFERROR(__xludf.DUMMYFUNCTION("INDEX(IMPORTRANGE(""1y0FWgjbB0gVlqn-q5LMJbGIsqOrzru4yowQz67dz2yc"", ""'SPGG'!BG3:BG139""),MATCH($D97,IMPORTRANGE(""1y0FWgjbB0gVlqn-q5LMJbGIsqOrzru4yowQz67dz2yc"", ""'SPGG'!D3:D139""),0))"),0)</f>
        <v>0</v>
      </c>
      <c r="Z97" s="12">
        <f ca="1">IFERROR(__xludf.DUMMYFUNCTION("INDEX(IMPORTRANGE(""1y0FWgjbB0gVlqn-q5LMJbGIsqOrzru4yowQz67dz2yc"", ""'SPGG'!BH3:BH139""),MATCH($D97,IMPORTRANGE(""1y0FWgjbB0gVlqn-q5LMJbGIsqOrzru4yowQz67dz2yc"", ""'SPGG'!D3:D139""),0))"),0)</f>
        <v>0</v>
      </c>
      <c r="AA97" s="12">
        <f ca="1">IFERROR(__xludf.DUMMYFUNCTION("INDEX(IMPORTRANGE(""1y0FWgjbB0gVlqn-q5LMJbGIsqOrzru4yowQz67dz2yc"", ""'SPGG'!BI3:BI139""),MATCH($D97,IMPORTRANGE(""1y0FWgjbB0gVlqn-q5LMJbGIsqOrzru4yowQz67dz2yc"", ""'SPGG'!D3:D139""),0))"),0)</f>
        <v>0</v>
      </c>
      <c r="AB97" s="12">
        <f ca="1">IFERROR(__xludf.DUMMYFUNCTION("INDEX(IMPORTRANGE(""1y0FWgjbB0gVlqn-q5LMJbGIsqOrzru4yowQz67dz2yc"", ""'SPGG'!BJ3:BJ139""),MATCH($D97,IMPORTRANGE(""1y0FWgjbB0gVlqn-q5LMJbGIsqOrzru4yowQz67dz2yc"", ""'SPGG'!D3:D139""),0))"),0)</f>
        <v>0</v>
      </c>
      <c r="AC97" s="252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11">
        <v>44651</v>
      </c>
      <c r="J98" s="181"/>
      <c r="K98" s="11">
        <v>45016</v>
      </c>
      <c r="L98" s="181"/>
      <c r="M98" s="11">
        <v>45382</v>
      </c>
      <c r="N98" s="181"/>
      <c r="O98" s="11">
        <v>45565</v>
      </c>
      <c r="P98" s="484"/>
      <c r="Q98" s="484"/>
      <c r="R98" s="181"/>
      <c r="S98" s="181"/>
      <c r="T98" s="181"/>
      <c r="U98" s="181"/>
      <c r="V98" s="181"/>
      <c r="W98" s="182"/>
      <c r="X98" s="2">
        <v>24</v>
      </c>
      <c r="Y98" s="12">
        <f ca="1">IFERROR(__xludf.DUMMYFUNCTION("INDEX(IMPORTRANGE(""1y0FWgjbB0gVlqn-q5LMJbGIsqOrzru4yowQz67dz2yc"", ""'SPGG'!BG3:BG139""),MATCH($D98,IMPORTRANGE(""1y0FWgjbB0gVlqn-q5LMJbGIsqOrzru4yowQz67dz2yc"", ""'SPGG'!D3:D139""),0))"),26)</f>
        <v>26</v>
      </c>
      <c r="Z98" s="12">
        <f ca="1">IFERROR(__xludf.DUMMYFUNCTION("INDEX(IMPORTRANGE(""1y0FWgjbB0gVlqn-q5LMJbGIsqOrzru4yowQz67dz2yc"", ""'SPGG'!BH3:BH139""),MATCH($D98,IMPORTRANGE(""1y0FWgjbB0gVlqn-q5LMJbGIsqOrzru4yowQz67dz2yc"", ""'SPGG'!D3:D139""),0))"),28)</f>
        <v>28</v>
      </c>
      <c r="AA98" s="12" t="str">
        <f ca="1">IFERROR(__xludf.DUMMYFUNCTION("INDEX(IMPORTRANGE(""1y0FWgjbB0gVlqn-q5LMJbGIsqOrzru4yowQz67dz2yc"", ""'SPGG'!BI3:BI139""),MATCH($D98,IMPORTRANGE(""1y0FWgjbB0gVlqn-q5LMJbGIsqOrzru4yowQz67dz2yc"", ""'SPGG'!D3:D139""),0))"),"")</f>
        <v/>
      </c>
      <c r="AB98" s="12">
        <f ca="1">IFERROR(__xludf.DUMMYFUNCTION("INDEX(IMPORTRANGE(""1y0FWgjbB0gVlqn-q5LMJbGIsqOrzru4yowQz67dz2yc"", ""'SPGG'!BJ3:BJ139""),MATCH($D98,IMPORTRANGE(""1y0FWgjbB0gVlqn-q5LMJbGIsqOrzru4yowQz67dz2yc"", ""'SPGG'!D3:D139""),0))"),28)</f>
        <v>28</v>
      </c>
      <c r="AC98" s="252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11">
        <v>44651</v>
      </c>
      <c r="J99" s="181"/>
      <c r="K99" s="11">
        <v>45016</v>
      </c>
      <c r="L99" s="181"/>
      <c r="M99" s="11">
        <v>45382</v>
      </c>
      <c r="N99" s="181"/>
      <c r="O99" s="11">
        <v>45565</v>
      </c>
      <c r="P99" s="484"/>
      <c r="Q99" s="484"/>
      <c r="R99" s="181"/>
      <c r="S99" s="181"/>
      <c r="T99" s="181"/>
      <c r="U99" s="181"/>
      <c r="V99" s="181"/>
      <c r="W99" s="182"/>
      <c r="X99" s="2">
        <v>58</v>
      </c>
      <c r="Y99" s="12">
        <f ca="1">IFERROR(__xludf.DUMMYFUNCTION("INDEX(IMPORTRANGE(""1y0FWgjbB0gVlqn-q5LMJbGIsqOrzru4yowQz67dz2yc"", ""'SPGG'!BG3:BG139""),MATCH($D99,IMPORTRANGE(""1y0FWgjbB0gVlqn-q5LMJbGIsqOrzru4yowQz67dz2yc"", ""'SPGG'!D3:D139""),0))"),57)</f>
        <v>57</v>
      </c>
      <c r="Z99" s="12">
        <f ca="1">IFERROR(__xludf.DUMMYFUNCTION("INDEX(IMPORTRANGE(""1y0FWgjbB0gVlqn-q5LMJbGIsqOrzru4yowQz67dz2yc"", ""'SPGG'!BH3:BH139""),MATCH($D99,IMPORTRANGE(""1y0FWgjbB0gVlqn-q5LMJbGIsqOrzru4yowQz67dz2yc"", ""'SPGG'!D3:D139""),0))"),61)</f>
        <v>61</v>
      </c>
      <c r="AA99" s="12">
        <f ca="1">IFERROR(__xludf.DUMMYFUNCTION("INDEX(IMPORTRANGE(""1y0FWgjbB0gVlqn-q5LMJbGIsqOrzru4yowQz67dz2yc"", ""'SPGG'!BI3:BI139""),MATCH($D99,IMPORTRANGE(""1y0FWgjbB0gVlqn-q5LMJbGIsqOrzru4yowQz67dz2yc"", ""'SPGG'!D3:D139""),0))"),0)</f>
        <v>0</v>
      </c>
      <c r="AB99" s="12">
        <f ca="1">IFERROR(__xludf.DUMMYFUNCTION("INDEX(IMPORTRANGE(""1y0FWgjbB0gVlqn-q5LMJbGIsqOrzru4yowQz67dz2yc"", ""'SPGG'!BJ3:BJ139""),MATCH($D99,IMPORTRANGE(""1y0FWgjbB0gVlqn-q5LMJbGIsqOrzru4yowQz67dz2yc"", ""'SPGG'!D3:D139""),0))"),60)</f>
        <v>60</v>
      </c>
      <c r="AC99" s="252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11">
        <v>44651</v>
      </c>
      <c r="J100" s="181"/>
      <c r="K100" s="11">
        <v>45016</v>
      </c>
      <c r="L100" s="181"/>
      <c r="M100" s="11">
        <v>45382</v>
      </c>
      <c r="N100" s="181"/>
      <c r="O100" s="11">
        <v>45565</v>
      </c>
      <c r="P100" s="484"/>
      <c r="Q100" s="484"/>
      <c r="R100" s="182"/>
      <c r="S100" s="60">
        <v>0.5</v>
      </c>
      <c r="T100" s="4"/>
      <c r="U100" s="60">
        <v>0.5</v>
      </c>
      <c r="V100" s="60">
        <v>0.5</v>
      </c>
      <c r="W100" s="60">
        <v>0.5</v>
      </c>
      <c r="X100" s="15">
        <f>SUM(X94,X96,X98)/SUM(X95,X97,X99)</f>
        <v>0.45205479452054792</v>
      </c>
      <c r="Y100" s="26">
        <f ca="1">IFERROR(__xludf.DUMMYFUNCTION("INDEX(IMPORTRANGE(""1y0FWgjbB0gVlqn-q5LMJbGIsqOrzru4yowQz67dz2yc"", ""'SPGG'!BG3:BG139""),MATCH($D100,IMPORTRANGE(""1y0FWgjbB0gVlqn-q5LMJbGIsqOrzru4yowQz67dz2yc"", ""'SPGG'!D3:D139""),0))"),0.514285714285714)</f>
        <v>0.51428571428571401</v>
      </c>
      <c r="Z100" s="26">
        <f ca="1">IFERROR(__xludf.DUMMYFUNCTION("INDEX(IMPORTRANGE(""1y0FWgjbB0gVlqn-q5LMJbGIsqOrzru4yowQz67dz2yc"", ""'SPGG'!BH3:BH139""),MATCH($D100,IMPORTRANGE(""1y0FWgjbB0gVlqn-q5LMJbGIsqOrzru4yowQz67dz2yc"", ""'SPGG'!D3:D139""),0))"),0.506666666666666)</f>
        <v>0.50666666666666604</v>
      </c>
      <c r="AA100" s="26" t="str">
        <f ca="1">IFERROR(__xludf.DUMMYFUNCTION("INDEX(IMPORTRANGE(""1y0FWgjbB0gVlqn-q5LMJbGIsqOrzru4yowQz67dz2yc"", ""'SPGG'!BI3:BI139""),MATCH($D100,IMPORTRANGE(""1y0FWgjbB0gVlqn-q5LMJbGIsqOrzru4yowQz67dz2yc"", ""'SPGG'!D3:D139""),0))"),"")</f>
        <v/>
      </c>
      <c r="AB100" s="26">
        <f ca="1">IFERROR(__xludf.DUMMYFUNCTION("INDEX(IMPORTRANGE(""1y0FWgjbB0gVlqn-q5LMJbGIsqOrzru4yowQz67dz2yc"", ""'SPGG'!BJ3:BJ139""),MATCH($D100,IMPORTRANGE(""1y0FWgjbB0gVlqn-q5LMJbGIsqOrzru4yowQz67dz2yc"", ""'SPGG'!D3:D139""),0))"),0.513513513513513)</f>
        <v>0.51351351351351304</v>
      </c>
      <c r="AC100" s="252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7" t="s">
        <v>215</v>
      </c>
      <c r="J101" s="13"/>
      <c r="K101" s="7" t="s">
        <v>216</v>
      </c>
      <c r="L101" s="13"/>
      <c r="M101" s="7" t="s">
        <v>217</v>
      </c>
      <c r="N101" s="1" t="s">
        <v>218</v>
      </c>
      <c r="O101" s="1" t="s">
        <v>218</v>
      </c>
      <c r="P101" s="494">
        <v>1461896000</v>
      </c>
      <c r="Q101" s="494">
        <v>1461896000</v>
      </c>
      <c r="R101" s="13"/>
      <c r="S101" s="13"/>
      <c r="T101" s="13"/>
      <c r="U101" s="13"/>
      <c r="V101" s="13"/>
      <c r="W101" s="4"/>
      <c r="X101" s="494">
        <v>1461896000</v>
      </c>
      <c r="Y101" s="249" t="str">
        <f ca="1">IFERROR(__xludf.DUMMYFUNCTION("INDEX(IMPORTRANGE(""1y0FWgjbB0gVlqn-q5LMJbGIsqOrzru4yowQz67dz2yc"", ""'SPGG'!BG3:BG139""),MATCH($D101,IMPORTRANGE(""1y0FWgjbB0gVlqn-q5LMJbGIsqOrzru4yowQz67dz2yc"", ""'SPGG'!D3:D139""),0))"),"")</f>
        <v/>
      </c>
      <c r="Z101" s="36">
        <f ca="1">IFERROR(__xludf.DUMMYFUNCTION("INDEX(IMPORTRANGE(""1y0FWgjbB0gVlqn-q5LMJbGIsqOrzru4yowQz67dz2yc"", ""'SPGG'!BH3:BH139""),MATCH($D101,IMPORTRANGE(""1y0FWgjbB0gVlqn-q5LMJbGIsqOrzru4yowQz67dz2yc"", ""'SPGG'!D3:D139""),0))"),1959485000)</f>
        <v>1959485000</v>
      </c>
      <c r="AA101" s="249" t="str">
        <f ca="1">IFERROR(__xludf.DUMMYFUNCTION("INDEX(IMPORTRANGE(""1y0FWgjbB0gVlqn-q5LMJbGIsqOrzru4yowQz67dz2yc"", ""'SPGG'!BI3:BI139""),MATCH($D101,IMPORTRANGE(""1y0FWgjbB0gVlqn-q5LMJbGIsqOrzru4yowQz67dz2yc"", ""'SPGG'!D3:D139""),0))"),"")</f>
        <v/>
      </c>
      <c r="AB101" s="36">
        <f ca="1">IFERROR(__xludf.DUMMYFUNCTION("INDEX(IMPORTRANGE(""1y0FWgjbB0gVlqn-q5LMJbGIsqOrzru4yowQz67dz2yc"", ""'SPGG'!BJ3:BJ139""),MATCH($D101,IMPORTRANGE(""1y0FWgjbB0gVlqn-q5LMJbGIsqOrzru4yowQz67dz2yc"", ""'SPGG'!D3:D139""),0))"),2082324)</f>
        <v>2082324</v>
      </c>
      <c r="AC101" s="2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7" t="s">
        <v>215</v>
      </c>
      <c r="J102" s="13"/>
      <c r="K102" s="7" t="s">
        <v>216</v>
      </c>
      <c r="L102" s="13"/>
      <c r="M102" s="7" t="s">
        <v>217</v>
      </c>
      <c r="N102" s="1" t="s">
        <v>218</v>
      </c>
      <c r="O102" s="1" t="s">
        <v>218</v>
      </c>
      <c r="P102" s="494">
        <v>3092558000</v>
      </c>
      <c r="Q102" s="494">
        <v>3092558000</v>
      </c>
      <c r="R102" s="13"/>
      <c r="S102" s="13"/>
      <c r="T102" s="13"/>
      <c r="U102" s="13"/>
      <c r="V102" s="13"/>
      <c r="W102" s="4"/>
      <c r="X102" s="494">
        <v>3092558000</v>
      </c>
      <c r="Y102" s="249" t="str">
        <f ca="1">IFERROR(__xludf.DUMMYFUNCTION("INDEX(IMPORTRANGE(""1y0FWgjbB0gVlqn-q5LMJbGIsqOrzru4yowQz67dz2yc"", ""'SPGG'!BG3:BG139""),MATCH($D102,IMPORTRANGE(""1y0FWgjbB0gVlqn-q5LMJbGIsqOrzru4yowQz67dz2yc"", ""'SPGG'!D3:D139""),0))"),"")</f>
        <v/>
      </c>
      <c r="Z102" s="36">
        <f ca="1">IFERROR(__xludf.DUMMYFUNCTION("INDEX(IMPORTRANGE(""1y0FWgjbB0gVlqn-q5LMJbGIsqOrzru4yowQz67dz2yc"", ""'SPGG'!BH3:BH139""),MATCH($D102,IMPORTRANGE(""1y0FWgjbB0gVlqn-q5LMJbGIsqOrzru4yowQz67dz2yc"", ""'SPGG'!D3:D139""),0))"),3835874000)</f>
        <v>3835874000</v>
      </c>
      <c r="AA102" s="249" t="str">
        <f ca="1">IFERROR(__xludf.DUMMYFUNCTION("INDEX(IMPORTRANGE(""1y0FWgjbB0gVlqn-q5LMJbGIsqOrzru4yowQz67dz2yc"", ""'SPGG'!BI3:BI139""),MATCH($D102,IMPORTRANGE(""1y0FWgjbB0gVlqn-q5LMJbGIsqOrzru4yowQz67dz2yc"", ""'SPGG'!D3:D139""),0))"),"")</f>
        <v/>
      </c>
      <c r="AB102" s="36">
        <f ca="1">IFERROR(__xludf.DUMMYFUNCTION("INDEX(IMPORTRANGE(""1y0FWgjbB0gVlqn-q5LMJbGIsqOrzru4yowQz67dz2yc"", ""'SPGG'!BJ3:BJ139""),MATCH($D102,IMPORTRANGE(""1y0FWgjbB0gVlqn-q5LMJbGIsqOrzru4yowQz67dz2yc"", ""'SPGG'!D3:D139""),0))"),4439806)</f>
        <v>4439806</v>
      </c>
      <c r="AC102" s="2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7" t="s">
        <v>215</v>
      </c>
      <c r="J103" s="13"/>
      <c r="K103" s="7" t="s">
        <v>216</v>
      </c>
      <c r="L103" s="13"/>
      <c r="M103" s="7" t="s">
        <v>217</v>
      </c>
      <c r="N103" s="1" t="s">
        <v>218</v>
      </c>
      <c r="O103" s="1" t="s">
        <v>218</v>
      </c>
      <c r="P103" s="15">
        <f t="shared" ref="P103:Q103" si="24">P101/P102</f>
        <v>0.47271417383279474</v>
      </c>
      <c r="Q103" s="15">
        <f t="shared" si="24"/>
        <v>0.47271417383279474</v>
      </c>
      <c r="R103" s="2"/>
      <c r="S103" s="15">
        <v>0.48</v>
      </c>
      <c r="T103" s="15"/>
      <c r="U103" s="15">
        <v>0.49</v>
      </c>
      <c r="V103" s="15">
        <v>0.49</v>
      </c>
      <c r="W103" s="15">
        <v>0.49</v>
      </c>
      <c r="X103" s="15">
        <f>X101/X102</f>
        <v>0.47271417383279474</v>
      </c>
      <c r="Y103" s="249" t="str">
        <f ca="1">IFERROR(__xludf.DUMMYFUNCTION("INDEX(IMPORTRANGE(""1y0FWgjbB0gVlqn-q5LMJbGIsqOrzru4yowQz67dz2yc"", ""'SPGG'!BG3:BG139""),MATCH($D103,IMPORTRANGE(""1y0FWgjbB0gVlqn-q5LMJbGIsqOrzru4yowQz67dz2yc"", ""'SPGG'!D3:D139""),0))"),"")</f>
        <v/>
      </c>
      <c r="Z103" s="15">
        <f ca="1">IFERROR(__xludf.DUMMYFUNCTION("INDEX(IMPORTRANGE(""1y0FWgjbB0gVlqn-q5LMJbGIsqOrzru4yowQz67dz2yc"", ""'SPGG'!BH3:BH139""),MATCH($D103,IMPORTRANGE(""1y0FWgjbB0gVlqn-q5LMJbGIsqOrzru4yowQz67dz2yc"", ""'SPGG'!D3:D139""),0))"),0.510831429812345)</f>
        <v>0.51083142981234497</v>
      </c>
      <c r="AA103" s="249" t="str">
        <f ca="1">IFERROR(__xludf.DUMMYFUNCTION("INDEX(IMPORTRANGE(""1y0FWgjbB0gVlqn-q5LMJbGIsqOrzru4yowQz67dz2yc"", ""'SPGG'!BI3:BI139""),MATCH($D103,IMPORTRANGE(""1y0FWgjbB0gVlqn-q5LMJbGIsqOrzru4yowQz67dz2yc"", ""'SPGG'!D3:D139""),0))"),"")</f>
        <v/>
      </c>
      <c r="AB103" s="15">
        <f ca="1">IFERROR(__xludf.DUMMYFUNCTION("INDEX(IMPORTRANGE(""1y0FWgjbB0gVlqn-q5LMJbGIsqOrzru4yowQz67dz2yc"", ""'SPGG'!BJ3:BJ139""),MATCH($D103,IMPORTRANGE(""1y0FWgjbB0gVlqn-q5LMJbGIsqOrzru4yowQz67dz2yc"", ""'SPGG'!D3:D139""),0))"),0.46901238477537)</f>
        <v>0.46901238477536999</v>
      </c>
      <c r="AC103" s="2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7" t="s">
        <v>215</v>
      </c>
      <c r="J104" s="13"/>
      <c r="K104" s="7" t="s">
        <v>216</v>
      </c>
      <c r="L104" s="13"/>
      <c r="M104" s="7" t="s">
        <v>217</v>
      </c>
      <c r="N104" s="1" t="s">
        <v>218</v>
      </c>
      <c r="O104" s="1" t="s">
        <v>218</v>
      </c>
      <c r="P104" s="36">
        <v>2295269000</v>
      </c>
      <c r="Q104" s="36">
        <v>2295269000</v>
      </c>
      <c r="R104" s="13"/>
      <c r="S104" s="13"/>
      <c r="T104" s="13"/>
      <c r="U104" s="13"/>
      <c r="V104" s="13"/>
      <c r="W104" s="4"/>
      <c r="X104" s="36">
        <v>2295269000</v>
      </c>
      <c r="Y104" s="249" t="str">
        <f ca="1">IFERROR(__xludf.DUMMYFUNCTION("INDEX(IMPORTRANGE(""1y0FWgjbB0gVlqn-q5LMJbGIsqOrzru4yowQz67dz2yc"", ""'SPGG'!BG3:BG139""),MATCH($D104,IMPORTRANGE(""1y0FWgjbB0gVlqn-q5LMJbGIsqOrzru4yowQz67dz2yc"", ""'SPGG'!D3:D139""),0))"),"")</f>
        <v/>
      </c>
      <c r="Z104" s="36">
        <f ca="1">IFERROR(__xludf.DUMMYFUNCTION("INDEX(IMPORTRANGE(""1y0FWgjbB0gVlqn-q5LMJbGIsqOrzru4yowQz67dz2yc"", ""'SPGG'!BH3:BH139""),MATCH($D104,IMPORTRANGE(""1y0FWgjbB0gVlqn-q5LMJbGIsqOrzru4yowQz67dz2yc"", ""'SPGG'!D3:D139""),0))"),2424080000)</f>
        <v>2424080000</v>
      </c>
      <c r="AA104" s="249" t="str">
        <f ca="1">IFERROR(__xludf.DUMMYFUNCTION("INDEX(IMPORTRANGE(""1y0FWgjbB0gVlqn-q5LMJbGIsqOrzru4yowQz67dz2yc"", ""'SPGG'!BI3:BI139""),MATCH($D104,IMPORTRANGE(""1y0FWgjbB0gVlqn-q5LMJbGIsqOrzru4yowQz67dz2yc"", ""'SPGG'!D3:D139""),0))"),"")</f>
        <v/>
      </c>
      <c r="AB104" s="36">
        <f ca="1">IFERROR(__xludf.DUMMYFUNCTION("INDEX(IMPORTRANGE(""1y0FWgjbB0gVlqn-q5LMJbGIsqOrzru4yowQz67dz2yc"", ""'SPGG'!BJ3:BJ139""),MATCH($D104,IMPORTRANGE(""1y0FWgjbB0gVlqn-q5LMJbGIsqOrzru4yowQz67dz2yc"", ""'SPGG'!D3:D139""),0))"),2907242)</f>
        <v>2907242</v>
      </c>
      <c r="AC104" s="2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7" t="s">
        <v>215</v>
      </c>
      <c r="J105" s="13"/>
      <c r="K105" s="7" t="s">
        <v>216</v>
      </c>
      <c r="L105" s="13"/>
      <c r="M105" s="7" t="s">
        <v>217</v>
      </c>
      <c r="N105" s="1" t="s">
        <v>218</v>
      </c>
      <c r="O105" s="1" t="s">
        <v>218</v>
      </c>
      <c r="P105" s="15">
        <f t="shared" ref="P105:Q105" si="25">P101/P104</f>
        <v>0.63691706723699926</v>
      </c>
      <c r="Q105" s="15">
        <f t="shared" si="25"/>
        <v>0.63691706723699926</v>
      </c>
      <c r="R105" s="2"/>
      <c r="S105" s="15">
        <v>0.66</v>
      </c>
      <c r="T105" s="15"/>
      <c r="U105" s="15">
        <v>0.67</v>
      </c>
      <c r="V105" s="15">
        <v>0.68</v>
      </c>
      <c r="W105" s="15">
        <v>0.68</v>
      </c>
      <c r="X105" s="15">
        <f>X101/X104</f>
        <v>0.63691706723699926</v>
      </c>
      <c r="Y105" s="249" t="str">
        <f ca="1">IFERROR(__xludf.DUMMYFUNCTION("INDEX(IMPORTRANGE(""1y0FWgjbB0gVlqn-q5LMJbGIsqOrzru4yowQz67dz2yc"", ""'SPGG'!BG3:BG139""),MATCH($D105,IMPORTRANGE(""1y0FWgjbB0gVlqn-q5LMJbGIsqOrzru4yowQz67dz2yc"", ""'SPGG'!D3:D139""),0))"),"")</f>
        <v/>
      </c>
      <c r="Z105" s="15">
        <f ca="1">IFERROR(__xludf.DUMMYFUNCTION("INDEX(IMPORTRANGE(""1y0FWgjbB0gVlqn-q5LMJbGIsqOrzru4yowQz67dz2yc"", ""'SPGG'!BH3:BH139""),MATCH($D105,IMPORTRANGE(""1y0FWgjbB0gVlqn-q5LMJbGIsqOrzru4yowQz67dz2yc"", ""'SPGG'!D3:D139""),0))"),0.808341721395333)</f>
        <v>0.808341721395333</v>
      </c>
      <c r="AA105" s="249" t="str">
        <f ca="1">IFERROR(__xludf.DUMMYFUNCTION("INDEX(IMPORTRANGE(""1y0FWgjbB0gVlqn-q5LMJbGIsqOrzru4yowQz67dz2yc"", ""'SPGG'!BI3:BI139""),MATCH($D105,IMPORTRANGE(""1y0FWgjbB0gVlqn-q5LMJbGIsqOrzru4yowQz67dz2yc"", ""'SPGG'!D3:D139""),0))"),"")</f>
        <v/>
      </c>
      <c r="AB105" s="15">
        <f ca="1">IFERROR(__xludf.DUMMYFUNCTION("INDEX(IMPORTRANGE(""1y0FWgjbB0gVlqn-q5LMJbGIsqOrzru4yowQz67dz2yc"", ""'SPGG'!BJ3:BJ139""),MATCH($D105,IMPORTRANGE(""1y0FWgjbB0gVlqn-q5LMJbGIsqOrzru4yowQz67dz2yc"", ""'SPGG'!D3:D139""),0))"),0.716254099245952)</f>
        <v>0.71625409924595196</v>
      </c>
      <c r="AC105" s="2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7" t="s">
        <v>254</v>
      </c>
      <c r="J106" s="13"/>
      <c r="K106" s="7" t="s">
        <v>255</v>
      </c>
      <c r="L106" s="13"/>
      <c r="M106" s="7" t="s">
        <v>256</v>
      </c>
      <c r="N106" s="260">
        <v>45536</v>
      </c>
      <c r="O106" s="1" t="s">
        <v>218</v>
      </c>
      <c r="P106" s="5">
        <v>66960</v>
      </c>
      <c r="Q106" s="5">
        <v>66960</v>
      </c>
      <c r="R106" s="13"/>
      <c r="S106" s="13"/>
      <c r="T106" s="13"/>
      <c r="U106" s="13"/>
      <c r="V106" s="13"/>
      <c r="W106" s="4"/>
      <c r="X106" s="5">
        <v>66960</v>
      </c>
      <c r="Y106" s="249" t="str">
        <f ca="1">IFERROR(__xludf.DUMMYFUNCTION("INDEX(IMPORTRANGE(""1y0FWgjbB0gVlqn-q5LMJbGIsqOrzru4yowQz67dz2yc"", ""'SPGG'!BG3:BG139""),MATCH($D106,IMPORTRANGE(""1y0FWgjbB0gVlqn-q5LMJbGIsqOrzru4yowQz67dz2yc"", ""'SPGG'!D3:D139""),0))"),"")</f>
        <v/>
      </c>
      <c r="Z106" s="12">
        <f ca="1">IFERROR(__xludf.DUMMYFUNCTION("INDEX(IMPORTRANGE(""1y0FWgjbB0gVlqn-q5LMJbGIsqOrzru4yowQz67dz2yc"", ""'SPGG'!BH3:BH139""),MATCH($D106,IMPORTRANGE(""1y0FWgjbB0gVlqn-q5LMJbGIsqOrzru4yowQz67dz2yc"", ""'SPGG'!D3:D139""),0))"),67149)</f>
        <v>67149</v>
      </c>
      <c r="AA106" s="249" t="str">
        <f ca="1">IFERROR(__xludf.DUMMYFUNCTION("INDEX(IMPORTRANGE(""1y0FWgjbB0gVlqn-q5LMJbGIsqOrzru4yowQz67dz2yc"", ""'SPGG'!BI3:BI139""),MATCH($D106,IMPORTRANGE(""1y0FWgjbB0gVlqn-q5LMJbGIsqOrzru4yowQz67dz2yc"", ""'SPGG'!D3:D139""),0))"),"")</f>
        <v/>
      </c>
      <c r="AB106" s="12">
        <f ca="1">IFERROR(__xludf.DUMMYFUNCTION("INDEX(IMPORTRANGE(""1y0FWgjbB0gVlqn-q5LMJbGIsqOrzru4yowQz67dz2yc"", ""'SPGG'!BJ3:BJ139""),MATCH($D106,IMPORTRANGE(""1y0FWgjbB0gVlqn-q5LMJbGIsqOrzru4yowQz67dz2yc"", ""'SPGG'!D3:D139""),0))"),68859)</f>
        <v>68859</v>
      </c>
      <c r="AC106" s="2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7" t="s">
        <v>215</v>
      </c>
      <c r="J107" s="13"/>
      <c r="K107" s="7" t="s">
        <v>216</v>
      </c>
      <c r="L107" s="13"/>
      <c r="M107" s="7" t="s">
        <v>217</v>
      </c>
      <c r="N107" s="1" t="s">
        <v>218</v>
      </c>
      <c r="O107" s="1" t="s">
        <v>218</v>
      </c>
      <c r="P107" s="5">
        <v>53789</v>
      </c>
      <c r="Q107" s="5">
        <v>53789</v>
      </c>
      <c r="R107" s="1"/>
      <c r="S107" s="1"/>
      <c r="T107" s="1"/>
      <c r="U107" s="1"/>
      <c r="V107" s="1"/>
      <c r="W107" s="2"/>
      <c r="X107" s="5">
        <v>53789</v>
      </c>
      <c r="Y107" s="249" t="str">
        <f ca="1">IFERROR(__xludf.DUMMYFUNCTION("INDEX(IMPORTRANGE(""1y0FWgjbB0gVlqn-q5LMJbGIsqOrzru4yowQz67dz2yc"", ""'SPGG'!BG3:BG139""),MATCH($D107,IMPORTRANGE(""1y0FWgjbB0gVlqn-q5LMJbGIsqOrzru4yowQz67dz2yc"", ""'SPGG'!D3:D139""),0))"),"")</f>
        <v/>
      </c>
      <c r="Z107" s="12">
        <f ca="1">IFERROR(__xludf.DUMMYFUNCTION("INDEX(IMPORTRANGE(""1y0FWgjbB0gVlqn-q5LMJbGIsqOrzru4yowQz67dz2yc"", ""'SPGG'!BH3:BH139""),MATCH($D107,IMPORTRANGE(""1y0FWgjbB0gVlqn-q5LMJbGIsqOrzru4yowQz67dz2yc"", ""'SPGG'!D3:D139""),0))"),54874)</f>
        <v>54874</v>
      </c>
      <c r="AA107" s="249" t="str">
        <f ca="1">IFERROR(__xludf.DUMMYFUNCTION("INDEX(IMPORTRANGE(""1y0FWgjbB0gVlqn-q5LMJbGIsqOrzru4yowQz67dz2yc"", ""'SPGG'!BI3:BI139""),MATCH($D107,IMPORTRANGE(""1y0FWgjbB0gVlqn-q5LMJbGIsqOrzru4yowQz67dz2yc"", ""'SPGG'!D3:D139""),0))"),"")</f>
        <v/>
      </c>
      <c r="AB107" s="12">
        <f ca="1">IFERROR(__xludf.DUMMYFUNCTION("INDEX(IMPORTRANGE(""1y0FWgjbB0gVlqn-q5LMJbGIsqOrzru4yowQz67dz2yc"", ""'SPGG'!BJ3:BJ139""),MATCH($D107,IMPORTRANGE(""1y0FWgjbB0gVlqn-q5LMJbGIsqOrzru4yowQz67dz2yc"", ""'SPGG'!D3:D139""),0))"),58482)</f>
        <v>58482</v>
      </c>
      <c r="AC107" s="2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7" t="s">
        <v>215</v>
      </c>
      <c r="J108" s="13"/>
      <c r="K108" s="7" t="s">
        <v>216</v>
      </c>
      <c r="L108" s="13"/>
      <c r="M108" s="7" t="s">
        <v>217</v>
      </c>
      <c r="N108" s="1" t="s">
        <v>218</v>
      </c>
      <c r="O108" s="1" t="s">
        <v>218</v>
      </c>
      <c r="P108" s="15">
        <f t="shared" ref="P108:Q108" si="26">P107/P106</f>
        <v>0.80330047789725212</v>
      </c>
      <c r="Q108" s="15">
        <f t="shared" si="26"/>
        <v>0.80330047789725212</v>
      </c>
      <c r="R108" s="2"/>
      <c r="S108" s="15">
        <v>0.8</v>
      </c>
      <c r="T108" s="15"/>
      <c r="U108" s="15">
        <v>0.8</v>
      </c>
      <c r="V108" s="15">
        <v>0.75</v>
      </c>
      <c r="W108" s="15">
        <v>0.75</v>
      </c>
      <c r="X108" s="15">
        <f>X107/X106</f>
        <v>0.80330047789725212</v>
      </c>
      <c r="Y108" s="249" t="str">
        <f ca="1">IFERROR(__xludf.DUMMYFUNCTION("INDEX(IMPORTRANGE(""1y0FWgjbB0gVlqn-q5LMJbGIsqOrzru4yowQz67dz2yc"", ""'SPGG'!BG3:BG139""),MATCH($D108,IMPORTRANGE(""1y0FWgjbB0gVlqn-q5LMJbGIsqOrzru4yowQz67dz2yc"", ""'SPGG'!D3:D139""),0))"),"")</f>
        <v/>
      </c>
      <c r="Z108" s="15">
        <f ca="1">IFERROR(__xludf.DUMMYFUNCTION("INDEX(IMPORTRANGE(""1y0FWgjbB0gVlqn-q5LMJbGIsqOrzru4yowQz67dz2yc"", ""'SPGG'!BH3:BH139""),MATCH($D108,IMPORTRANGE(""1y0FWgjbB0gVlqn-q5LMJbGIsqOrzru4yowQz67dz2yc"", ""'SPGG'!D3:D139""),0))"),0.817197575540961)</f>
        <v>0.81719757554096095</v>
      </c>
      <c r="AA108" s="249" t="str">
        <f ca="1">IFERROR(__xludf.DUMMYFUNCTION("INDEX(IMPORTRANGE(""1y0FWgjbB0gVlqn-q5LMJbGIsqOrzru4yowQz67dz2yc"", ""'SPGG'!BI3:BI139""),MATCH($D108,IMPORTRANGE(""1y0FWgjbB0gVlqn-q5LMJbGIsqOrzru4yowQz67dz2yc"", ""'SPGG'!D3:D139""),0))"),"")</f>
        <v/>
      </c>
      <c r="AB108" s="15">
        <f ca="1">IFERROR(__xludf.DUMMYFUNCTION("INDEX(IMPORTRANGE(""1y0FWgjbB0gVlqn-q5LMJbGIsqOrzru4yowQz67dz2yc"", ""'SPGG'!BJ3:BJ139""),MATCH($D108,IMPORTRANGE(""1y0FWgjbB0gVlqn-q5LMJbGIsqOrzru4yowQz67dz2yc"", ""'SPGG'!D3:D139""),0))"),0.849300745000653)</f>
        <v>0.849300745000653</v>
      </c>
      <c r="AC108" s="2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7" t="s">
        <v>215</v>
      </c>
      <c r="J109" s="13"/>
      <c r="K109" s="7" t="s">
        <v>216</v>
      </c>
      <c r="L109" s="13"/>
      <c r="M109" s="7" t="s">
        <v>217</v>
      </c>
      <c r="N109" s="1" t="s">
        <v>218</v>
      </c>
      <c r="O109" s="1" t="s">
        <v>218</v>
      </c>
      <c r="P109" s="36"/>
      <c r="Q109" s="36"/>
      <c r="R109" s="1"/>
      <c r="S109" s="1"/>
      <c r="T109" s="1"/>
      <c r="U109" s="1"/>
      <c r="V109" s="1"/>
      <c r="W109" s="499"/>
      <c r="X109" s="500"/>
      <c r="Y109" s="249" t="str">
        <f ca="1">IFERROR(__xludf.DUMMYFUNCTION("INDEX(IMPORTRANGE(""1y0FWgjbB0gVlqn-q5LMJbGIsqOrzru4yowQz67dz2yc"", ""'SPGG'!BG3:BG139""),MATCH($D109,IMPORTRANGE(""1y0FWgjbB0gVlqn-q5LMJbGIsqOrzru4yowQz67dz2yc"", ""'SPGG'!D3:D139""),0))"),"")</f>
        <v/>
      </c>
      <c r="Z109" s="36">
        <f ca="1">IFERROR(__xludf.DUMMYFUNCTION("INDEX(IMPORTRANGE(""1y0FWgjbB0gVlqn-q5LMJbGIsqOrzru4yowQz67dz2yc"", ""'SPGG'!BH3:BH139""),MATCH($D109,IMPORTRANGE(""1y0FWgjbB0gVlqn-q5LMJbGIsqOrzru4yowQz67dz2yc"", ""'SPGG'!D3:D139""),0))"),978250587)</f>
        <v>978250587</v>
      </c>
      <c r="AA109" s="249" t="str">
        <f ca="1">IFERROR(__xludf.DUMMYFUNCTION("INDEX(IMPORTRANGE(""1y0FWgjbB0gVlqn-q5LMJbGIsqOrzru4yowQz67dz2yc"", ""'SPGG'!BI3:BI139""),MATCH($D109,IMPORTRANGE(""1y0FWgjbB0gVlqn-q5LMJbGIsqOrzru4yowQz67dz2yc"", ""'SPGG'!D3:D139""),0))"),"")</f>
        <v/>
      </c>
      <c r="AB109" s="36">
        <f ca="1">IFERROR(__xludf.DUMMYFUNCTION("INDEX(IMPORTRANGE(""1y0FWgjbB0gVlqn-q5LMJbGIsqOrzru4yowQz67dz2yc"", ""'SPGG'!BJ3:BJ139""),MATCH($D109,IMPORTRANGE(""1y0FWgjbB0gVlqn-q5LMJbGIsqOrzru4yowQz67dz2yc"", ""'SPGG'!D3:D139""),0))"),1033263374)</f>
        <v>1033263374</v>
      </c>
      <c r="AC109" s="2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7" t="s">
        <v>215</v>
      </c>
      <c r="J110" s="13"/>
      <c r="K110" s="7" t="s">
        <v>216</v>
      </c>
      <c r="L110" s="13"/>
      <c r="M110" s="7" t="s">
        <v>217</v>
      </c>
      <c r="N110" s="1" t="s">
        <v>218</v>
      </c>
      <c r="O110" s="1" t="s">
        <v>218</v>
      </c>
      <c r="P110" s="36">
        <v>846769779</v>
      </c>
      <c r="Q110" s="36">
        <v>846769779</v>
      </c>
      <c r="R110" s="2"/>
      <c r="S110" s="349">
        <v>892000000</v>
      </c>
      <c r="T110" s="349"/>
      <c r="U110" s="349">
        <v>920000000</v>
      </c>
      <c r="V110" s="349">
        <v>880000000</v>
      </c>
      <c r="W110" s="36">
        <v>880000000</v>
      </c>
      <c r="X110" s="36">
        <v>846769779</v>
      </c>
      <c r="Y110" s="249" t="str">
        <f ca="1">IFERROR(__xludf.DUMMYFUNCTION("INDEX(IMPORTRANGE(""1y0FWgjbB0gVlqn-q5LMJbGIsqOrzru4yowQz67dz2yc"", ""'SPGG'!BG3:BG139""),MATCH($D110,IMPORTRANGE(""1y0FWgjbB0gVlqn-q5LMJbGIsqOrzru4yowQz67dz2yc"", ""'SPGG'!D3:D139""),0))"),"")</f>
        <v/>
      </c>
      <c r="Z110" s="36">
        <f ca="1">IFERROR(__xludf.DUMMYFUNCTION("INDEX(IMPORTRANGE(""1y0FWgjbB0gVlqn-q5LMJbGIsqOrzru4yowQz67dz2yc"", ""'SPGG'!BH3:BH139""),MATCH($D110,IMPORTRANGE(""1y0FWgjbB0gVlqn-q5LMJbGIsqOrzru4yowQz67dz2yc"", ""'SPGG'!D3:D139""),0))"),1020323231)</f>
        <v>1020323231</v>
      </c>
      <c r="AA110" s="249" t="str">
        <f ca="1">IFERROR(__xludf.DUMMYFUNCTION("INDEX(IMPORTRANGE(""1y0FWgjbB0gVlqn-q5LMJbGIsqOrzru4yowQz67dz2yc"", ""'SPGG'!BI3:BI139""),MATCH($D110,IMPORTRANGE(""1y0FWgjbB0gVlqn-q5LMJbGIsqOrzru4yowQz67dz2yc"", ""'SPGG'!D3:D139""),0))"),"")</f>
        <v/>
      </c>
      <c r="AB110" s="36">
        <f ca="1">IFERROR(__xludf.DUMMYFUNCTION("INDEX(IMPORTRANGE(""1y0FWgjbB0gVlqn-q5LMJbGIsqOrzru4yowQz67dz2yc"", ""'SPGG'!BJ3:BJ139""),MATCH($D110,IMPORTRANGE(""1y0FWgjbB0gVlqn-q5LMJbGIsqOrzru4yowQz67dz2yc"", ""'SPGG'!D3:D139""),0))"),1091376168)</f>
        <v>1091376168</v>
      </c>
      <c r="AC110" s="2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7" t="s">
        <v>215</v>
      </c>
      <c r="J111" s="13"/>
      <c r="K111" s="7" t="s">
        <v>216</v>
      </c>
      <c r="L111" s="13"/>
      <c r="M111" s="7" t="s">
        <v>217</v>
      </c>
      <c r="N111" s="1" t="s">
        <v>218</v>
      </c>
      <c r="O111" s="1" t="s">
        <v>218</v>
      </c>
      <c r="P111" s="36">
        <v>3142218000</v>
      </c>
      <c r="Q111" s="36">
        <v>3142218000</v>
      </c>
      <c r="R111" s="13"/>
      <c r="S111" s="13"/>
      <c r="T111" s="13"/>
      <c r="U111" s="13"/>
      <c r="V111" s="13"/>
      <c r="W111" s="4"/>
      <c r="X111" s="36">
        <v>3142218000</v>
      </c>
      <c r="Y111" s="249" t="str">
        <f ca="1">IFERROR(__xludf.DUMMYFUNCTION("INDEX(IMPORTRANGE(""1y0FWgjbB0gVlqn-q5LMJbGIsqOrzru4yowQz67dz2yc"", ""'SPGG'!BG3:BG139""),MATCH($D111,IMPORTRANGE(""1y0FWgjbB0gVlqn-q5LMJbGIsqOrzru4yowQz67dz2yc"", ""'SPGG'!D3:D139""),0))"),"")</f>
        <v/>
      </c>
      <c r="Z111" s="36">
        <f ca="1">IFERROR(__xludf.DUMMYFUNCTION("INDEX(IMPORTRANGE(""1y0FWgjbB0gVlqn-q5LMJbGIsqOrzru4yowQz67dz2yc"", ""'SPGG'!BH3:BH139""),MATCH($D111,IMPORTRANGE(""1y0FWgjbB0gVlqn-q5LMJbGIsqOrzru4yowQz67dz2yc"", ""'SPGG'!D3:D139""),0))"),3183724000)</f>
        <v>3183724000</v>
      </c>
      <c r="AA111" s="249" t="str">
        <f ca="1">IFERROR(__xludf.DUMMYFUNCTION("INDEX(IMPORTRANGE(""1y0FWgjbB0gVlqn-q5LMJbGIsqOrzru4yowQz67dz2yc"", ""'SPGG'!BI3:BI139""),MATCH($D111,IMPORTRANGE(""1y0FWgjbB0gVlqn-q5LMJbGIsqOrzru4yowQz67dz2yc"", ""'SPGG'!D3:D139""),0))"),"")</f>
        <v/>
      </c>
      <c r="AB111" s="36">
        <f ca="1">IFERROR(__xludf.DUMMYFUNCTION("INDEX(IMPORTRANGE(""1y0FWgjbB0gVlqn-q5LMJbGIsqOrzru4yowQz67dz2yc"", ""'SPGG'!BJ3:BJ139""),MATCH($D111,IMPORTRANGE(""1y0FWgjbB0gVlqn-q5LMJbGIsqOrzru4yowQz67dz2yc"", ""'SPGG'!D3:D139""),0))"),3988303)</f>
        <v>3988303</v>
      </c>
      <c r="AC111" s="2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7" t="s">
        <v>215</v>
      </c>
      <c r="J112" s="13"/>
      <c r="K112" s="7" t="s">
        <v>216</v>
      </c>
      <c r="L112" s="13"/>
      <c r="M112" s="7" t="s">
        <v>217</v>
      </c>
      <c r="N112" s="1" t="s">
        <v>218</v>
      </c>
      <c r="O112" s="1" t="s">
        <v>218</v>
      </c>
      <c r="P112" s="15">
        <f t="shared" ref="P112:Q112" si="27">P104/P111</f>
        <v>0.73046141292551947</v>
      </c>
      <c r="Q112" s="15">
        <f t="shared" si="27"/>
        <v>0.73046141292551947</v>
      </c>
      <c r="R112" s="2"/>
      <c r="S112" s="15">
        <v>0.73</v>
      </c>
      <c r="T112" s="15"/>
      <c r="U112" s="15">
        <v>0.73</v>
      </c>
      <c r="V112" s="15">
        <v>0.74</v>
      </c>
      <c r="W112" s="15">
        <v>0.74</v>
      </c>
      <c r="X112" s="15">
        <f>X104/X111</f>
        <v>0.73046141292551947</v>
      </c>
      <c r="Y112" s="249" t="str">
        <f ca="1">IFERROR(__xludf.DUMMYFUNCTION("INDEX(IMPORTRANGE(""1y0FWgjbB0gVlqn-q5LMJbGIsqOrzru4yowQz67dz2yc"", ""'SPGG'!BG3:BG139""),MATCH($D112,IMPORTRANGE(""1y0FWgjbB0gVlqn-q5LMJbGIsqOrzru4yowQz67dz2yc"", ""'SPGG'!D3:D139""),0))"),"")</f>
        <v/>
      </c>
      <c r="Z112" s="15">
        <f ca="1">IFERROR(__xludf.DUMMYFUNCTION("INDEX(IMPORTRANGE(""1y0FWgjbB0gVlqn-q5LMJbGIsqOrzru4yowQz67dz2yc"", ""'SPGG'!BH3:BH139""),MATCH($D112,IMPORTRANGE(""1y0FWgjbB0gVlqn-q5LMJbGIsqOrzru4yowQz67dz2yc"", ""'SPGG'!D3:D139""),0))"),0.761397658842286)</f>
        <v>0.76139765884228605</v>
      </c>
      <c r="AA112" s="249" t="str">
        <f ca="1">IFERROR(__xludf.DUMMYFUNCTION("INDEX(IMPORTRANGE(""1y0FWgjbB0gVlqn-q5LMJbGIsqOrzru4yowQz67dz2yc"", ""'SPGG'!BI3:BI139""),MATCH($D112,IMPORTRANGE(""1y0FWgjbB0gVlqn-q5LMJbGIsqOrzru4yowQz67dz2yc"", ""'SPGG'!D3:D139""),0))"),"")</f>
        <v/>
      </c>
      <c r="AB112" s="15">
        <f ca="1">IFERROR(__xludf.DUMMYFUNCTION("INDEX(IMPORTRANGE(""1y0FWgjbB0gVlqn-q5LMJbGIsqOrzru4yowQz67dz2yc"", ""'SPGG'!BJ3:BJ139""),MATCH($D112,IMPORTRANGE(""1y0FWgjbB0gVlqn-q5LMJbGIsqOrzru4yowQz67dz2yc"", ""'SPGG'!D3:D139""),0))"),0.728942108962132)</f>
        <v>0.72894210896213196</v>
      </c>
      <c r="AC112" s="2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3"/>
      <c r="I113" s="1" t="s">
        <v>254</v>
      </c>
      <c r="J113" s="13"/>
      <c r="K113" s="1" t="s">
        <v>255</v>
      </c>
      <c r="L113" s="13"/>
      <c r="M113" s="1" t="s">
        <v>256</v>
      </c>
      <c r="N113" s="49">
        <v>45473</v>
      </c>
      <c r="O113" s="1"/>
      <c r="P113" s="2" t="s">
        <v>308</v>
      </c>
      <c r="Q113" s="2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49" t="str">
        <f ca="1">IFERROR(__xludf.DUMMYFUNCTION("INDEX(IMPORTRANGE(""1y0FWgjbB0gVlqn-q5LMJbGIsqOrzru4yowQz67dz2yc"", ""'SPGG'!BG3:BG139""),MATCH($D113,IMPORTRANGE(""1y0FWgjbB0gVlqn-q5LMJbGIsqOrzru4yowQz67dz2yc"", ""'SPGG'!D3:D139""),0))"),"")</f>
        <v/>
      </c>
      <c r="Z113" s="12" t="str">
        <f ca="1">IFERROR(__xludf.DUMMYFUNCTION("INDEX(IMPORTRANGE(""1y0FWgjbB0gVlqn-q5LMJbGIsqOrzru4yowQz67dz2yc"", ""'SPGG'!BH3:BH139""),MATCH($D113,IMPORTRANGE(""1y0FWgjbB0gVlqn-q5LMJbGIsqOrzru4yowQz67dz2yc"", ""'SPGG'!D3:D139""),0))"),"Verde")</f>
        <v>Verde</v>
      </c>
      <c r="AA113" s="249" t="str">
        <f ca="1">IFERROR(__xludf.DUMMYFUNCTION("INDEX(IMPORTRANGE(""1y0FWgjbB0gVlqn-q5LMJbGIsqOrzru4yowQz67dz2yc"", ""'SPGG'!BI3:BI139""),MATCH($D113,IMPORTRANGE(""1y0FWgjbB0gVlqn-q5LMJbGIsqOrzru4yowQz67dz2yc"", ""'SPGG'!D3:D139""),0))"),"")</f>
        <v/>
      </c>
      <c r="AB113" s="12" t="str">
        <f ca="1">IFERROR(__xludf.DUMMYFUNCTION("INDEX(IMPORTRANGE(""1y0FWgjbB0gVlqn-q5LMJbGIsqOrzru4yowQz67dz2yc"", ""'SPGG'!BJ3:BJ139""),MATCH($D113,IMPORTRANGE(""1y0FWgjbB0gVlqn-q5LMJbGIsqOrzru4yowQz67dz2yc"", ""'SPGG'!D3:D139""),0))"),"Verde")</f>
        <v>Verde</v>
      </c>
      <c r="AC113" s="2"/>
    </row>
    <row r="114" spans="1:29">
      <c r="A114" s="1"/>
      <c r="B114" s="1"/>
      <c r="C114" s="1"/>
      <c r="D114" s="1"/>
      <c r="E114" s="2"/>
      <c r="F114" s="1"/>
      <c r="G114" s="11" t="s">
        <v>307</v>
      </c>
      <c r="H114" s="13"/>
      <c r="I114" s="1"/>
      <c r="J114" s="1"/>
      <c r="K114" s="1"/>
      <c r="L114" s="1"/>
      <c r="M114" s="1"/>
      <c r="N114" s="1"/>
      <c r="O114" s="1"/>
      <c r="P114" s="2"/>
      <c r="Q114" s="2" t="s">
        <v>448</v>
      </c>
      <c r="R114" s="1"/>
      <c r="S114" s="1"/>
      <c r="T114" s="1"/>
      <c r="U114" s="1"/>
      <c r="V114" s="1"/>
      <c r="W114" s="2"/>
      <c r="X114" s="2"/>
      <c r="Y114" s="2"/>
      <c r="Z114" s="5"/>
      <c r="AA114" s="5"/>
      <c r="AB114" s="5"/>
      <c r="AC114" s="2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6517-F21F-B645-91AE-9C2BE6E2E31C}">
  <dimension ref="A1:M39"/>
  <sheetViews>
    <sheetView workbookViewId="0">
      <selection activeCell="O4" sqref="O4"/>
    </sheetView>
  </sheetViews>
  <sheetFormatPr baseColWidth="10" defaultRowHeight="16"/>
  <cols>
    <col min="1" max="1" width="10.83203125" style="118"/>
    <col min="3" max="3" width="19.1640625" customWidth="1"/>
    <col min="4" max="4" width="11.83203125" customWidth="1"/>
    <col min="5" max="5" width="14.5" customWidth="1"/>
    <col min="7" max="7" width="13.1640625" customWidth="1"/>
    <col min="8" max="8" width="12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SPGG'!$D$3:$AB$113,4,0)</f>
        <v>44469</v>
      </c>
      <c r="E2" s="212">
        <f>VLOOKUP(C2,'BD EVA 4 SPGG'!$D$3:$AB$113,13,0)</f>
        <v>524</v>
      </c>
      <c r="F2" s="75">
        <f>VLOOKUP(C2,'BD EVA 4 SPGG'!$D$3:$AB$113,10,0)</f>
        <v>45382</v>
      </c>
      <c r="G2" s="212">
        <f ca="1">VLOOKUP(C2,'BD EVA 4 SPGG'!$D$3:$AC$113,25,0)</f>
        <v>597</v>
      </c>
      <c r="H2" s="212">
        <f>VLOOKUP(C2,'BD EVA 4 SPGG'!$D$3:$AC$113,18,0)</f>
        <v>570</v>
      </c>
      <c r="I2" s="78">
        <f ca="1">IF(G2&gt;=E2,G2/H2,0)</f>
        <v>1.0473684210526315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10</v>
      </c>
    </row>
    <row r="3" spans="1:13" ht="26">
      <c r="A3" s="121" t="s">
        <v>34</v>
      </c>
      <c r="B3" s="72" t="s">
        <v>40</v>
      </c>
      <c r="C3" s="71" t="s">
        <v>43</v>
      </c>
      <c r="D3" s="75">
        <f>VLOOKUP(C3,'BD EVA 4 SPGG'!$D$3:$AB$113,4,0)</f>
        <v>44469</v>
      </c>
      <c r="E3" s="207">
        <f>VLOOKUP(C3,'BD EVA 4 SPGG'!$D$3:$AB$113,13,0)</f>
        <v>0.95992366412213737</v>
      </c>
      <c r="F3" s="75">
        <f>VLOOKUP(C3,'BD EVA 4 SPGG'!$D$3:$AB$113,10,0)</f>
        <v>45382</v>
      </c>
      <c r="G3" s="207">
        <f ca="1">VLOOKUP(C3,'BD EVA 4 SPGG'!$D$3:$AC$113,25,0)</f>
        <v>0.99497487437185905</v>
      </c>
      <c r="H3" s="207" t="str">
        <f>VLOOKUP(C3,'BD EVA 4 SPGG'!$D$3:$AC$113,18,0)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27"/>
    </row>
    <row r="4" spans="1:13" ht="65">
      <c r="A4" s="121" t="s">
        <v>34</v>
      </c>
      <c r="B4" s="72" t="s">
        <v>45</v>
      </c>
      <c r="C4" s="71" t="s">
        <v>50</v>
      </c>
      <c r="D4" s="75">
        <f>VLOOKUP(C4,'BD EVA 4 SPGG'!$D$3:$AB$113,4,0)</f>
        <v>44469</v>
      </c>
      <c r="E4" s="207">
        <f>VLOOKUP(C4,'BD EVA 4 SPGG'!$D$3:$AB$113,13,0)</f>
        <v>0</v>
      </c>
      <c r="F4" s="75">
        <f>VLOOKUP(C4,'BD EVA 4 SPGG'!$D$3:$AB$113,10,0)</f>
        <v>45382</v>
      </c>
      <c r="G4" s="207">
        <f ca="1">VLOOKUP(C4,'BD EVA 4 SPGG'!$D$3:$AC$113,25,0)</f>
        <v>1.6750418760469E-2</v>
      </c>
      <c r="H4" s="207">
        <f>VLOOKUP(C4,'BD EVA 4 SPGG'!$D$3:$AC$113,18,0)</f>
        <v>1.2999999999999999E-2</v>
      </c>
      <c r="I4" s="77">
        <f t="shared" ref="I4:I5" ca="1" si="1">G4/H4</f>
        <v>1.2884937508053078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78">
      <c r="A5" s="121" t="s">
        <v>52</v>
      </c>
      <c r="B5" s="72" t="s">
        <v>53</v>
      </c>
      <c r="C5" s="72" t="s">
        <v>66</v>
      </c>
      <c r="D5" s="75" t="str">
        <f>VLOOKUP(C5,'BD EVA 4 SPGG'!$D$3:$AB$113,4,0)</f>
        <v>octubre 20 - mar 21</v>
      </c>
      <c r="E5" s="207">
        <f>VLOOKUP(C5,'BD EVA 4 SPGG'!$D$3:$AB$113,13,0)</f>
        <v>9.0308370044052858E-2</v>
      </c>
      <c r="F5" s="75" t="str">
        <f>VLOOKUP(C5,'BD EVA 4 SPGG'!$D$3:$AB$113,10,0)</f>
        <v>octubre 23- mar 24</v>
      </c>
      <c r="G5" s="207">
        <f ca="1">VLOOKUP(C5,'BD EVA 4 SPGG'!$D$3:$AC$113,25,0)</f>
        <v>0.16167664670658599</v>
      </c>
      <c r="H5" s="207">
        <f>VLOOKUP(C5,'BD EVA 4 SPGG'!$D$3:$AC$113,18,0)</f>
        <v>4.0000000000000001E-3</v>
      </c>
      <c r="I5" s="77">
        <f t="shared" ca="1" si="1"/>
        <v>40.419161676646496</v>
      </c>
      <c r="J5" s="75" t="s">
        <v>318</v>
      </c>
      <c r="K5" s="208">
        <v>1.6</v>
      </c>
      <c r="L5" s="209">
        <f t="shared" ca="1" si="0"/>
        <v>1.6</v>
      </c>
      <c r="M5" s="130">
        <f ca="1">SUM(L5:L10)</f>
        <v>8.3000000000000007</v>
      </c>
    </row>
    <row r="6" spans="1:13" ht="52">
      <c r="A6" s="121" t="s">
        <v>52</v>
      </c>
      <c r="B6" s="72" t="s">
        <v>68</v>
      </c>
      <c r="C6" s="72" t="s">
        <v>72</v>
      </c>
      <c r="D6" s="75" t="str">
        <f>VLOOKUP(C6,'BD EVA 4 SPGG'!$D$3:$AB$113,4,0)</f>
        <v>octubre 20 - mar 21</v>
      </c>
      <c r="E6" s="209">
        <f>VLOOKUP(C6,'BD EVA 4 SPGG'!$D$3:$AB$113,13,0)</f>
        <v>4.3182554248083775</v>
      </c>
      <c r="F6" s="75" t="str">
        <f>VLOOKUP(C6,'BD EVA 4 SPGG'!$D$3:$AB$113,10,0)</f>
        <v>octubre 23- mar 24</v>
      </c>
      <c r="G6" s="209">
        <f ca="1">VLOOKUP(C6,'BD EVA 4 SPGG'!$D$3:$AC$113,25,0)</f>
        <v>4.8543352681326697</v>
      </c>
      <c r="H6" s="209">
        <f>VLOOKUP(C6,'BD EVA 4 SPGG'!$D$3:$AC$113,18,0)</f>
        <v>3.87</v>
      </c>
      <c r="I6" s="78">
        <f t="shared" ref="I6:I10" ca="1" si="2">(G6-E6)/(H6-E6)</f>
        <v>-1.1959249429127563</v>
      </c>
      <c r="J6" s="71" t="s">
        <v>319</v>
      </c>
      <c r="K6" s="208">
        <v>1.7</v>
      </c>
      <c r="L6" s="209">
        <f t="shared" ca="1" si="0"/>
        <v>0</v>
      </c>
      <c r="M6" s="127"/>
    </row>
    <row r="7" spans="1:13" ht="52">
      <c r="A7" s="121" t="s">
        <v>52</v>
      </c>
      <c r="B7" s="72" t="s">
        <v>68</v>
      </c>
      <c r="C7" s="72" t="s">
        <v>84</v>
      </c>
      <c r="D7" s="75" t="str">
        <f>VLOOKUP(C7,'BD EVA 4 SPGG'!$D$3:$AB$113,4,0)</f>
        <v>octubre 20 - mar 21</v>
      </c>
      <c r="E7" s="208">
        <f>VLOOKUP(C7,'BD EVA 4 SPGG'!$D$3:$AB$113,13,0)</f>
        <v>63.33441289718953</v>
      </c>
      <c r="F7" s="75" t="str">
        <f>VLOOKUP(C7,'BD EVA 4 SPGG'!$D$3:$AB$113,10,0)</f>
        <v>octubre 23- mar 24</v>
      </c>
      <c r="G7" s="208">
        <f ca="1">VLOOKUP(C7,'BD EVA 4 SPGG'!$D$3:$AC$113,25,0)</f>
        <v>37.447729211309202</v>
      </c>
      <c r="H7" s="208">
        <f>VLOOKUP(C7,'BD EVA 4 SPGG'!$D$3:$AC$113,18,0)</f>
        <v>57</v>
      </c>
      <c r="I7" s="78">
        <f t="shared" ca="1" si="2"/>
        <v>4.0866745041779335</v>
      </c>
      <c r="J7" s="71" t="s">
        <v>319</v>
      </c>
      <c r="K7" s="208">
        <v>1.6</v>
      </c>
      <c r="L7" s="209">
        <f t="shared" ca="1" si="0"/>
        <v>1.6</v>
      </c>
      <c r="M7" s="127"/>
    </row>
    <row r="8" spans="1:13" ht="52">
      <c r="A8" s="121" t="s">
        <v>52</v>
      </c>
      <c r="B8" s="72" t="s">
        <v>86</v>
      </c>
      <c r="C8" s="72" t="s">
        <v>89</v>
      </c>
      <c r="D8" s="75" t="str">
        <f>VLOOKUP(C8,'BD EVA 4 SPGG'!$D$3:$AB$113,4,0)</f>
        <v>octubre 20 - mar 21</v>
      </c>
      <c r="E8" s="208">
        <f>VLOOKUP(C8,'BD EVA 4 SPGG'!$D$3:$AB$113,13,0)</f>
        <v>92.842491633380106</v>
      </c>
      <c r="F8" s="75" t="str">
        <f>VLOOKUP(C8,'BD EVA 4 SPGG'!$D$3:$AB$113,10,0)</f>
        <v>octubre 23- mar 24</v>
      </c>
      <c r="G8" s="208">
        <f ca="1">VLOOKUP(C8,'BD EVA 4 SPGG'!$D$3:$AC$113,25,0)</f>
        <v>45.0759703469462</v>
      </c>
      <c r="H8" s="208">
        <f>VLOOKUP(C8,'BD EVA 4 SPGG'!$D$3:$AC$113,18,0)</f>
        <v>92.6</v>
      </c>
      <c r="I8" s="78">
        <f t="shared" ca="1" si="2"/>
        <v>196.98214169541512</v>
      </c>
      <c r="J8" s="71" t="s">
        <v>319</v>
      </c>
      <c r="K8" s="208">
        <v>1.7</v>
      </c>
      <c r="L8" s="209">
        <f t="shared" ca="1" si="0"/>
        <v>1.7</v>
      </c>
      <c r="M8" s="127"/>
    </row>
    <row r="9" spans="1:13" ht="52">
      <c r="A9" s="121" t="s">
        <v>52</v>
      </c>
      <c r="B9" s="72" t="s">
        <v>86</v>
      </c>
      <c r="C9" s="72" t="s">
        <v>93</v>
      </c>
      <c r="D9" s="75" t="str">
        <f>VLOOKUP(C9,'BD EVA 4 SPGG'!$D$3:$AB$113,4,0)</f>
        <v>octubre 20 - mar 21</v>
      </c>
      <c r="E9" s="208">
        <f>VLOOKUP(C9,'BD EVA 4 SPGG'!$D$3:$AB$113,13,0)</f>
        <v>27.348951023786391</v>
      </c>
      <c r="F9" s="75" t="str">
        <f>VLOOKUP(C9,'BD EVA 4 SPGG'!$D$3:$AB$113,10,0)</f>
        <v>octubre 23- mar 24</v>
      </c>
      <c r="G9" s="208">
        <f ca="1">VLOOKUP(C9,'BD EVA 4 SPGG'!$D$3:$AC$113,25,0)</f>
        <v>7.6282411356370599</v>
      </c>
      <c r="H9" s="208">
        <f>VLOOKUP(C9,'BD EVA 4 SPGG'!$D$3:$AC$113,18,0)</f>
        <v>27.2</v>
      </c>
      <c r="I9" s="78">
        <f t="shared" ca="1" si="2"/>
        <v>132.39727654662161</v>
      </c>
      <c r="J9" s="71" t="s">
        <v>319</v>
      </c>
      <c r="K9" s="208">
        <v>1.7</v>
      </c>
      <c r="L9" s="209">
        <f t="shared" ca="1" si="0"/>
        <v>1.7</v>
      </c>
      <c r="M9" s="127"/>
    </row>
    <row r="10" spans="1:13" ht="78">
      <c r="A10" s="121" t="s">
        <v>52</v>
      </c>
      <c r="B10" s="72" t="s">
        <v>86</v>
      </c>
      <c r="C10" s="72" t="s">
        <v>117</v>
      </c>
      <c r="D10" s="75" t="str">
        <f>VLOOKUP(C10,'BD EVA 4 SPGG'!$D$3:$AB$113,4,0)</f>
        <v>octubre 20 - mar 21</v>
      </c>
      <c r="E10" s="208">
        <f>VLOOKUP(C10,'BD EVA 4 SPGG'!$D$3:$AB$113,13,0)</f>
        <v>3.5985461873403146</v>
      </c>
      <c r="F10" s="75" t="str">
        <f>VLOOKUP(C10,'BD EVA 4 SPGG'!$D$3:$AB$113,10,0)</f>
        <v>octubre 23- mar 24</v>
      </c>
      <c r="G10" s="208">
        <f ca="1">VLOOKUP(C10,'BD EVA 4 SPGG'!$D$3:$AC$113,25,0)</f>
        <v>3.4673823343804799</v>
      </c>
      <c r="H10" s="208">
        <f>VLOOKUP(C10,'BD EVA 4 SPGG'!$D$3:$AC$113,18,0)</f>
        <v>3.597</v>
      </c>
      <c r="I10" s="78">
        <f t="shared" ca="1" si="2"/>
        <v>84.830505036435909</v>
      </c>
      <c r="J10" s="71" t="s">
        <v>319</v>
      </c>
      <c r="K10" s="208">
        <v>1.7</v>
      </c>
      <c r="L10" s="209">
        <f t="shared" ca="1" si="0"/>
        <v>1.7</v>
      </c>
      <c r="M10" s="127"/>
    </row>
    <row r="11" spans="1:13" ht="52">
      <c r="A11" s="121" t="s">
        <v>119</v>
      </c>
      <c r="B11" s="72" t="s">
        <v>120</v>
      </c>
      <c r="C11" s="72" t="s">
        <v>125</v>
      </c>
      <c r="D11" s="89">
        <f>VLOOKUP(C11,'BD EVA 4 SPGG'!$D$3:$AB$113,4,0)</f>
        <v>44469</v>
      </c>
      <c r="E11" s="78">
        <f>VLOOKUP(C11,'BD EVA 4 SPGG'!$D$3:$AB$113,13,0)</f>
        <v>0</v>
      </c>
      <c r="F11" s="89">
        <f>VLOOKUP(C11,'BD EVA 4 SPGG'!$D$3:$AB$113,10,0)</f>
        <v>45382</v>
      </c>
      <c r="G11" s="78">
        <f ca="1">VLOOKUP(C11,'BD EVA 4 SPGG'!$D$3:$AC$113,25,0)</f>
        <v>0.139385104691227</v>
      </c>
      <c r="H11" s="78">
        <f>VLOOKUP(C11,'BD EVA 4 SPGG'!$D$3:$AC$113,18,0)</f>
        <v>5.8000000000000003E-2</v>
      </c>
      <c r="I11" s="77">
        <f t="shared" ref="I11:I15" ca="1" si="3">G11/H11</f>
        <v>2.4031914601935687</v>
      </c>
      <c r="J11" s="89" t="s">
        <v>318</v>
      </c>
      <c r="K11" s="81">
        <v>1.05</v>
      </c>
      <c r="L11" s="209">
        <f t="shared" ca="1" si="0"/>
        <v>1.05</v>
      </c>
      <c r="M11" s="130">
        <f ca="1">SUM(L11:L15)</f>
        <v>10</v>
      </c>
    </row>
    <row r="12" spans="1:13" ht="39">
      <c r="A12" s="141" t="s">
        <v>119</v>
      </c>
      <c r="B12" s="72" t="s">
        <v>120</v>
      </c>
      <c r="C12" s="72" t="s">
        <v>333</v>
      </c>
      <c r="D12" s="89" t="str">
        <f>VLOOKUP(C12,'BD EVA 4 SPGG'!$D$3:$AB$113,4,0)</f>
        <v>octubre 20 - mar 21</v>
      </c>
      <c r="E12" s="210">
        <f>VLOOKUP(C12,'BD EVA 4 SPGG'!$D$3:$AB$113,13,0)</f>
        <v>0</v>
      </c>
      <c r="F12" s="89" t="str">
        <f>VLOOKUP(C12,'BD EVA 4 SPGG'!$D$3:$AB$113,10,0)</f>
        <v>octubre 23- mar 24</v>
      </c>
      <c r="G12" s="210">
        <f ca="1">VLOOKUP(C12,'BD EVA 4 SPGG'!$D$3:$AC$113,25,0)</f>
        <v>1.35163555342159E-2</v>
      </c>
      <c r="H12" s="210">
        <f>VLOOKUP(C12,'BD EVA 4 SPGG'!$D$3:$AC$113,18,0)</f>
        <v>9.9000000000000008E-3</v>
      </c>
      <c r="I12" s="78">
        <f t="shared" ca="1" si="3"/>
        <v>1.3652884377995858</v>
      </c>
      <c r="J12" s="75" t="s">
        <v>318</v>
      </c>
      <c r="K12" s="81">
        <v>1.05</v>
      </c>
      <c r="L12" s="209">
        <f t="shared" ca="1" si="0"/>
        <v>1.05</v>
      </c>
      <c r="M12" s="127"/>
    </row>
    <row r="13" spans="1:13" ht="52">
      <c r="A13" s="121" t="s">
        <v>119</v>
      </c>
      <c r="B13" s="72" t="s">
        <v>127</v>
      </c>
      <c r="C13" s="72" t="s">
        <v>128</v>
      </c>
      <c r="D13" s="89" t="str">
        <f>VLOOKUP(C13,'BD EVA 4 SPGG'!$D$3:$AB$113,4,0)</f>
        <v>octubre 20 - mar 21</v>
      </c>
      <c r="E13" s="212">
        <f>VLOOKUP(C13,'BD EVA 4 SPGG'!$D$3:$AB$113,13,0)</f>
        <v>0</v>
      </c>
      <c r="F13" s="89" t="str">
        <f>VLOOKUP(C13,'BD EVA 4 SPGG'!$D$3:$AB$113,10,0)</f>
        <v>octubre 21 - mar 24</v>
      </c>
      <c r="G13" s="212">
        <f ca="1">VLOOKUP(C13,'BD EVA 4 SPGG'!$D$3:$AC$113,25,0)</f>
        <v>1</v>
      </c>
      <c r="H13" s="212">
        <f>VLOOKUP(C13,'BD EVA 4 SPGG'!$D$3:$AC$113,18,0)</f>
        <v>1</v>
      </c>
      <c r="I13" s="78">
        <f t="shared" ca="1" si="3"/>
        <v>1</v>
      </c>
      <c r="J13" s="75" t="s">
        <v>318</v>
      </c>
      <c r="K13" s="81">
        <v>2.4</v>
      </c>
      <c r="L13" s="209">
        <f t="shared" ca="1" si="0"/>
        <v>2.4</v>
      </c>
      <c r="M13" s="127"/>
    </row>
    <row r="14" spans="1:13" ht="39">
      <c r="A14" s="121" t="s">
        <v>119</v>
      </c>
      <c r="B14" s="72" t="s">
        <v>133</v>
      </c>
      <c r="C14" s="72" t="s">
        <v>134</v>
      </c>
      <c r="D14" s="89" t="str">
        <f>VLOOKUP(C14,'BD EVA 4 SPGG'!$D$3:$AB$113,4,0)</f>
        <v>octubre 20 - mar 21</v>
      </c>
      <c r="E14" s="212">
        <f>VLOOKUP(C14,'BD EVA 4 SPGG'!$D$3:$AB$113,13,0)</f>
        <v>1983</v>
      </c>
      <c r="F14" s="89" t="str">
        <f>VLOOKUP(C14,'BD EVA 4 SPGG'!$D$3:$AB$113,10,0)</f>
        <v>octubre 21 - mar 24</v>
      </c>
      <c r="G14" s="212">
        <f ca="1">VLOOKUP(C14,'BD EVA 4 SPGG'!$D$3:$AC$113,25,0)</f>
        <v>5128</v>
      </c>
      <c r="H14" s="212">
        <f>VLOOKUP(C14,'BD EVA 4 SPGG'!$D$3:$AC$113,18,0)</f>
        <v>2780</v>
      </c>
      <c r="I14" s="78">
        <f t="shared" ca="1" si="3"/>
        <v>1.8446043165467625</v>
      </c>
      <c r="J14" s="75" t="s">
        <v>318</v>
      </c>
      <c r="K14" s="81">
        <v>2.4</v>
      </c>
      <c r="L14" s="209">
        <f t="shared" ca="1" si="0"/>
        <v>2.4</v>
      </c>
      <c r="M14" s="127"/>
    </row>
    <row r="15" spans="1:13" ht="39">
      <c r="A15" s="121" t="s">
        <v>119</v>
      </c>
      <c r="B15" s="72" t="s">
        <v>136</v>
      </c>
      <c r="C15" s="72" t="s">
        <v>145</v>
      </c>
      <c r="D15" s="89" t="str">
        <f>VLOOKUP(C15,'BD EVA 4 SPGG'!$D$3:$AB$113,4,0)</f>
        <v>octubre 20 - mar 21</v>
      </c>
      <c r="E15" s="212">
        <f>VLOOKUP(C15,'BD EVA 4 SPGG'!$D$3:$AB$113,13,0)</f>
        <v>0</v>
      </c>
      <c r="F15" s="89" t="str">
        <f>VLOOKUP(C15,'BD EVA 4 SPGG'!$D$3:$AB$113,10,0)</f>
        <v>octubre 21 - mar 24</v>
      </c>
      <c r="G15" s="212">
        <f ca="1">VLOOKUP(C15,'BD EVA 4 SPGG'!$D$3:$AC$113,25,0)</f>
        <v>93</v>
      </c>
      <c r="H15" s="212">
        <f>VLOOKUP(C15,'BD EVA 4 SPGG'!$D$3:$AC$113,18,0)</f>
        <v>44</v>
      </c>
      <c r="I15" s="78">
        <f t="shared" ca="1" si="3"/>
        <v>2.1136363636363638</v>
      </c>
      <c r="J15" s="75" t="s">
        <v>318</v>
      </c>
      <c r="K15" s="8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SPGG'!$D$3:$AB$113,4,0)</f>
        <v>44469</v>
      </c>
      <c r="E16" s="213">
        <f>VLOOKUP(C16,'BD EVA 4 SPGG'!$D$3:$AB$113,13,0)</f>
        <v>0.66666666666666663</v>
      </c>
      <c r="F16" s="75">
        <f>VLOOKUP(C16,'BD EVA 4 SPGG'!$D$3:$AB$113,10,0)</f>
        <v>45382</v>
      </c>
      <c r="G16" s="213">
        <f ca="1">VLOOKUP(C16,'BD EVA 4 SPGG'!$D$3:$AC$113,25,0)</f>
        <v>1</v>
      </c>
      <c r="H16" s="213" t="str">
        <f>VLOOKUP(C16,'BD EVA 4 SPGG'!$D$3:$AC$113,18,0)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09">
        <f t="shared" ca="1" si="0"/>
        <v>1.5</v>
      </c>
      <c r="M16" s="130">
        <f ca="1">SUM(L16:L23)</f>
        <v>9.5620961399711391</v>
      </c>
    </row>
    <row r="17" spans="1:13" ht="26">
      <c r="A17" s="121" t="s">
        <v>147</v>
      </c>
      <c r="B17" s="72" t="s">
        <v>148</v>
      </c>
      <c r="C17" s="72" t="s">
        <v>351</v>
      </c>
      <c r="D17" s="75">
        <f>VLOOKUP(C17,'BD EVA 4 SPGG'!$D$3:$AB$113,4,0)</f>
        <v>44469</v>
      </c>
      <c r="E17" s="212">
        <f>VLOOKUP(C17,'BD EVA 4 SPGG'!$D$3:$AB$113,13,0)</f>
        <v>1</v>
      </c>
      <c r="F17" s="75">
        <f>VLOOKUP(C17,'BD EVA 4 SPGG'!$D$3:$AB$113,10,0)</f>
        <v>45382</v>
      </c>
      <c r="G17" s="212">
        <f ca="1">VLOOKUP(C17,'BD EVA 4 SPGG'!$D$3:$AC$113,25,0)</f>
        <v>1</v>
      </c>
      <c r="H17" s="212" t="str">
        <f>VLOOKUP(C17,'BD EVA 4 SPGG'!$D$3:$AC$113,18,0)</f>
        <v>Actualizado al 2019</v>
      </c>
      <c r="I17" s="214">
        <f t="shared" ca="1" si="4"/>
        <v>1</v>
      </c>
      <c r="J17" s="75" t="s">
        <v>318</v>
      </c>
      <c r="K17" s="81">
        <v>1.5</v>
      </c>
      <c r="L17" s="209">
        <f t="shared" ca="1" si="0"/>
        <v>1.5</v>
      </c>
      <c r="M17" s="127"/>
    </row>
    <row r="18" spans="1:13" ht="65">
      <c r="A18" s="121" t="s">
        <v>147</v>
      </c>
      <c r="B18" s="72" t="s">
        <v>148</v>
      </c>
      <c r="C18" s="72" t="s">
        <v>166</v>
      </c>
      <c r="D18" s="75">
        <f>VLOOKUP(C18,'BD EVA 4 SPGG'!$D$3:$AB$113,4,0)</f>
        <v>44469</v>
      </c>
      <c r="E18" s="207" t="str">
        <f>VLOOKUP(C18,'BD EVA 4 SPGG'!$D$3:$AB$113,13,0)</f>
        <v>NA</v>
      </c>
      <c r="F18" s="75">
        <f>VLOOKUP(C18,'BD EVA 4 SPGG'!$D$3:$AB$113,10,0)</f>
        <v>45382</v>
      </c>
      <c r="G18" s="207" t="str">
        <f ca="1">VLOOKUP(C18,'BD EVA 4 SPGG'!$D$3:$AC$113,25,0)</f>
        <v>NA</v>
      </c>
      <c r="H18" s="207">
        <f>VLOOKUP(C18,'BD EVA 4 SPGG'!$D$3:$AC$113,18,0)</f>
        <v>1</v>
      </c>
      <c r="I18" s="214">
        <f ca="1">IF(G18="NA",1,(G18/H18))</f>
        <v>1</v>
      </c>
      <c r="J18" s="75" t="s">
        <v>318</v>
      </c>
      <c r="K18" s="81">
        <v>0.3</v>
      </c>
      <c r="L18" s="209">
        <f t="shared" ca="1" si="0"/>
        <v>0.3</v>
      </c>
      <c r="M18" s="127"/>
    </row>
    <row r="19" spans="1:13" ht="39">
      <c r="A19" s="121" t="s">
        <v>147</v>
      </c>
      <c r="B19" s="72" t="s">
        <v>168</v>
      </c>
      <c r="C19" s="72" t="s">
        <v>173</v>
      </c>
      <c r="D19" s="75">
        <f>VLOOKUP(C19,'BD EVA 4 SPGG'!$D$3:$AB$113,4,0)</f>
        <v>44469</v>
      </c>
      <c r="E19" s="207">
        <f>VLOOKUP(C19,'BD EVA 4 SPGG'!$D$3:$AB$113,13,0)</f>
        <v>1</v>
      </c>
      <c r="F19" s="75">
        <f>VLOOKUP(C19,'BD EVA 4 SPGG'!$D$3:$AB$113,10,0)</f>
        <v>45382</v>
      </c>
      <c r="G19" s="207">
        <f ca="1">VLOOKUP(C19,'BD EVA 4 SPGG'!$D$3:$AC$113,25,0)</f>
        <v>1</v>
      </c>
      <c r="H19" s="207">
        <f>VLOOKUP(C19,'BD EVA 4 SPGG'!$D$3:$AC$113,18,0)</f>
        <v>1</v>
      </c>
      <c r="I19" s="214">
        <f t="shared" ref="I19:I27" ca="1" si="5">G19/H19</f>
        <v>1</v>
      </c>
      <c r="J19" s="75" t="s">
        <v>318</v>
      </c>
      <c r="K19" s="81">
        <v>1.5</v>
      </c>
      <c r="L19" s="209">
        <f t="shared" ca="1" si="0"/>
        <v>1.5</v>
      </c>
      <c r="M19" s="127"/>
    </row>
    <row r="20" spans="1:13" ht="65">
      <c r="A20" s="121" t="s">
        <v>147</v>
      </c>
      <c r="B20" s="72" t="s">
        <v>168</v>
      </c>
      <c r="C20" s="71" t="s">
        <v>177</v>
      </c>
      <c r="D20" s="75">
        <f>VLOOKUP(C20,'BD EVA 4 SPGG'!$D$3:$AB$113,4,0)</f>
        <v>44469</v>
      </c>
      <c r="E20" s="214">
        <f>VLOOKUP(C20,'BD EVA 4 SPGG'!$D$3:$AB$113,13,0)</f>
        <v>1</v>
      </c>
      <c r="F20" s="75">
        <f>VLOOKUP(C20,'BD EVA 4 SPGG'!$D$3:$AB$113,10,0)</f>
        <v>45382</v>
      </c>
      <c r="G20" s="214">
        <f ca="1">VLOOKUP(C20,'BD EVA 4 SPGG'!$D$3:$AC$113,25,0)</f>
        <v>1</v>
      </c>
      <c r="H20" s="214">
        <f>VLOOKUP(C20,'BD EVA 4 SPGG'!$D$3:$AC$113,18,0)</f>
        <v>1</v>
      </c>
      <c r="I20" s="214">
        <f t="shared" ca="1" si="5"/>
        <v>1</v>
      </c>
      <c r="J20" s="75" t="s">
        <v>318</v>
      </c>
      <c r="K20" s="81">
        <v>1.5</v>
      </c>
      <c r="L20" s="209">
        <f t="shared" ca="1" si="0"/>
        <v>1.5</v>
      </c>
      <c r="M20" s="127"/>
    </row>
    <row r="21" spans="1:13" ht="52">
      <c r="A21" s="121" t="s">
        <v>147</v>
      </c>
      <c r="B21" s="72" t="s">
        <v>168</v>
      </c>
      <c r="C21" s="72" t="s">
        <v>183</v>
      </c>
      <c r="D21" s="75">
        <f>VLOOKUP(C21,'BD EVA 4 SPGG'!$D$3:$AB$113,4,0)</f>
        <v>44469</v>
      </c>
      <c r="E21" s="207">
        <f>VLOOKUP(C21,'BD EVA 4 SPGG'!$D$3:$AB$113,13,0)</f>
        <v>1</v>
      </c>
      <c r="F21" s="75">
        <f>VLOOKUP(C21,'BD EVA 4 SPGG'!$D$3:$AB$113,10,0)</f>
        <v>45382</v>
      </c>
      <c r="G21" s="207">
        <f ca="1">VLOOKUP(C21,'BD EVA 4 SPGG'!$D$3:$AC$113,25,0)</f>
        <v>1</v>
      </c>
      <c r="H21" s="207">
        <f>VLOOKUP(C21,'BD EVA 4 SPGG'!$D$3:$AC$113,18,0)</f>
        <v>1</v>
      </c>
      <c r="I21" s="214">
        <f t="shared" ca="1" si="5"/>
        <v>1</v>
      </c>
      <c r="J21" s="75" t="s">
        <v>318</v>
      </c>
      <c r="K21" s="81">
        <v>0.9</v>
      </c>
      <c r="L21" s="209">
        <f t="shared" ca="1" si="0"/>
        <v>0.9</v>
      </c>
      <c r="M21" s="127"/>
    </row>
    <row r="22" spans="1:13" ht="39">
      <c r="A22" s="121" t="s">
        <v>147</v>
      </c>
      <c r="B22" s="72" t="s">
        <v>168</v>
      </c>
      <c r="C22" s="72" t="s">
        <v>189</v>
      </c>
      <c r="D22" s="75">
        <f>VLOOKUP(C22,'BD EVA 4 SPGG'!$D$3:$AB$113,4,0)</f>
        <v>44469</v>
      </c>
      <c r="E22" s="207">
        <f>VLOOKUP(C22,'BD EVA 4 SPGG'!$D$3:$AB$113,13,0)</f>
        <v>0.89482954545454541</v>
      </c>
      <c r="F22" s="75">
        <f>VLOOKUP(C22,'BD EVA 4 SPGG'!$D$3:$AB$113,10,0)</f>
        <v>45382</v>
      </c>
      <c r="G22" s="207">
        <f ca="1">VLOOKUP(C22,'BD EVA 4 SPGG'!$D$3:$AC$113,25,0)</f>
        <v>0.95293181818181805</v>
      </c>
      <c r="H22" s="207">
        <f>VLOOKUP(C22,'BD EVA 4 SPGG'!$D$3:$AC$113,18,0)</f>
        <v>1</v>
      </c>
      <c r="I22" s="214">
        <f t="shared" ca="1" si="5"/>
        <v>0.95293181818181805</v>
      </c>
      <c r="J22" s="75" t="s">
        <v>318</v>
      </c>
      <c r="K22" s="81">
        <v>1.5</v>
      </c>
      <c r="L22" s="209">
        <f t="shared" ca="1" si="0"/>
        <v>1.4293977272727272</v>
      </c>
      <c r="M22" s="127"/>
    </row>
    <row r="23" spans="1:13" ht="104">
      <c r="A23" s="121" t="s">
        <v>147</v>
      </c>
      <c r="B23" s="72" t="s">
        <v>168</v>
      </c>
      <c r="C23" s="72" t="s">
        <v>197</v>
      </c>
      <c r="D23" s="89" t="str">
        <f>VLOOKUP(C23,'BD EVA 4 SPGG'!$D$3:$AB$113,4,0)</f>
        <v>octubre 20 - mar 21</v>
      </c>
      <c r="E23" s="208">
        <f>VLOOKUP(C23,'BD EVA 4 SPGG'!$D$3:$AB$113,13,0)</f>
        <v>0.188</v>
      </c>
      <c r="F23" s="89" t="str">
        <f>VLOOKUP(C23,'BD EVA 4 SPGG'!$D$3:$AB$113,10,0)</f>
        <v>octubre 23 - mar 24</v>
      </c>
      <c r="G23" s="208">
        <f ca="1">VLOOKUP(C23,'BD EVA 4 SPGG'!$D$3:$AC$113,25,0)</f>
        <v>0.45199999999999901</v>
      </c>
      <c r="H23" s="208">
        <f>VLOOKUP(C23,'BD EVA 4 SPGG'!$D$3:$AC$113,18,0)</f>
        <v>0.63</v>
      </c>
      <c r="I23" s="214">
        <f t="shared" ca="1" si="5"/>
        <v>0.71746031746031591</v>
      </c>
      <c r="J23" s="75" t="s">
        <v>318</v>
      </c>
      <c r="K23" s="81">
        <v>1.3</v>
      </c>
      <c r="L23" s="209">
        <f t="shared" ca="1" si="0"/>
        <v>0.93269841269841069</v>
      </c>
      <c r="M23" s="127"/>
    </row>
    <row r="24" spans="1:13" ht="91">
      <c r="A24" s="121" t="s">
        <v>199</v>
      </c>
      <c r="B24" s="72" t="s">
        <v>200</v>
      </c>
      <c r="C24" s="72" t="s">
        <v>201</v>
      </c>
      <c r="D24" s="75">
        <f>VLOOKUP(C24,'BD EVA 4 SPGG'!$D$3:$AB$113,4,0)</f>
        <v>44469</v>
      </c>
      <c r="E24" s="171">
        <f>VLOOKUP(C24,'BD EVA 4 SPGG'!$D$3:$AB$113,13,0)</f>
        <v>15.26</v>
      </c>
      <c r="F24" s="75">
        <f>VLOOKUP(C24,'BD EVA 4 SPGG'!$D$3:$AB$113,10,0)</f>
        <v>45382</v>
      </c>
      <c r="G24" s="171">
        <f ca="1">VLOOKUP(C24,'BD EVA 4 SPGG'!$D$3:$AC$113,25,0)</f>
        <v>14.666</v>
      </c>
      <c r="H24" s="171">
        <f>VLOOKUP(C24,'BD EVA 4 SPGG'!$D$3:$AC$113,18,0)</f>
        <v>19.510000000000002</v>
      </c>
      <c r="I24" s="214">
        <f t="shared" ca="1" si="5"/>
        <v>0.75171706817016914</v>
      </c>
      <c r="J24" s="75" t="s">
        <v>318</v>
      </c>
      <c r="K24" s="81">
        <v>1.9450000000000001</v>
      </c>
      <c r="L24" s="82">
        <f t="shared" ca="1" si="0"/>
        <v>1.462089697590979</v>
      </c>
      <c r="M24" s="130">
        <f ca="1">SUM(L24:L28)</f>
        <v>9.5170896975909791</v>
      </c>
    </row>
    <row r="25" spans="1:13" ht="65">
      <c r="A25" s="121" t="s">
        <v>199</v>
      </c>
      <c r="B25" s="72" t="s">
        <v>200</v>
      </c>
      <c r="C25" s="72" t="s">
        <v>209</v>
      </c>
      <c r="D25" s="71" t="str">
        <f>VLOOKUP(C25,'BD EVA 4 SPGG'!$D$3:$AB$113,4,0)</f>
        <v>octubre 20 - mar 21</v>
      </c>
      <c r="E25" s="340">
        <f>VLOOKUP(C25,'BD EVA 4 SPGG'!$D$3:$AB$113,13,0)</f>
        <v>0</v>
      </c>
      <c r="F25" s="71" t="str">
        <f>VLOOKUP(C25,'BD EVA 4 SPGG'!$D$3:$AB$113,10,0)</f>
        <v>octubre 23 - mar 24</v>
      </c>
      <c r="G25" s="212">
        <f ca="1">VLOOKUP(C25,'BD EVA 4 SPGG'!$D$3:$AC$113,25,0)</f>
        <v>6517</v>
      </c>
      <c r="H25" s="212">
        <f>VLOOKUP(C25,'BD EVA 4 SPGG'!$D$3:$AC$113,18,0)</f>
        <v>209</v>
      </c>
      <c r="I25" s="214">
        <f t="shared" ca="1" si="5"/>
        <v>31.181818181818183</v>
      </c>
      <c r="J25" s="75" t="s">
        <v>318</v>
      </c>
      <c r="K25" s="81">
        <v>1.6337999999999999</v>
      </c>
      <c r="L25" s="209">
        <f t="shared" ca="1" si="0"/>
        <v>1.6337999999999999</v>
      </c>
      <c r="M25" s="127"/>
    </row>
    <row r="26" spans="1:13" ht="65">
      <c r="A26" s="121" t="s">
        <v>199</v>
      </c>
      <c r="B26" s="72" t="s">
        <v>200</v>
      </c>
      <c r="C26" s="72" t="s">
        <v>221</v>
      </c>
      <c r="D26" s="71" t="str">
        <f>VLOOKUP(C26,'BD EVA 4 SPGG'!$D$3:$AB$113,4,0)</f>
        <v>enero - diciembre 2021</v>
      </c>
      <c r="E26" s="210">
        <f>VLOOKUP(C26,'BD EVA 4 SPGG'!$D$3:$AB$113,13,0)</f>
        <v>0.60248461883815507</v>
      </c>
      <c r="F26" s="71" t="str">
        <f>VLOOKUP(C26,'BD EVA 4 SPGG'!$D$3:$AB$113,10,0)</f>
        <v>enero- diciembre 2023</v>
      </c>
      <c r="G26" s="207">
        <f ca="1">VLOOKUP(C26,'BD EVA 4 SPGG'!$D$3:$AC$113,25,0)</f>
        <v>0.20545020156566701</v>
      </c>
      <c r="H26" s="207">
        <f>VLOOKUP(C26,'BD EVA 4 SPGG'!$D$3:$AC$113,18,0)</f>
        <v>0.05</v>
      </c>
      <c r="I26" s="214">
        <f t="shared" ca="1" si="5"/>
        <v>4.10900403131334</v>
      </c>
      <c r="J26" s="75" t="s">
        <v>318</v>
      </c>
      <c r="K26" s="81">
        <v>2.1006</v>
      </c>
      <c r="L26" s="209">
        <f t="shared" ca="1" si="0"/>
        <v>2.1006</v>
      </c>
      <c r="M26" s="127"/>
    </row>
    <row r="27" spans="1:13" ht="52">
      <c r="A27" s="121" t="s">
        <v>199</v>
      </c>
      <c r="B27" s="72" t="s">
        <v>200</v>
      </c>
      <c r="C27" s="72" t="s">
        <v>226</v>
      </c>
      <c r="D27" s="71" t="str">
        <f>VLOOKUP(C27,'BD EVA 4 SPGG'!$D$3:$AB$113,4,0)</f>
        <v>octubre 20 - mar 21</v>
      </c>
      <c r="E27" s="212">
        <f>VLOOKUP(C27,'BD EVA 4 SPGG'!$D$3:$AB$113,13,0)</f>
        <v>92</v>
      </c>
      <c r="F27" s="71" t="str">
        <f>VLOOKUP(C27,'BD EVA 4 SPGG'!$D$3:$AB$113,10,0)</f>
        <v>octubre 23 - mar 24</v>
      </c>
      <c r="G27" s="212">
        <f ca="1">VLOOKUP(C27,'BD EVA 4 SPGG'!$D$3:$AC$113,25,0)</f>
        <v>58</v>
      </c>
      <c r="H27" s="212">
        <f>VLOOKUP(C27,'BD EVA 4 SPGG'!$D$3:$AC$113,18,0)</f>
        <v>50</v>
      </c>
      <c r="I27" s="214">
        <f t="shared" ca="1" si="5"/>
        <v>1.1599999999999999</v>
      </c>
      <c r="J27" s="75" t="s">
        <v>318</v>
      </c>
      <c r="K27" s="81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SPGG'!$D$3:$AB$113,4,0)</f>
        <v>octubre 2018 - marzo 2019</v>
      </c>
      <c r="E28" s="212">
        <f>VLOOKUP(C28,'BD EVA 4 SPGG'!$D$3:$AB$113,13,0)</f>
        <v>3489</v>
      </c>
      <c r="F28" s="89" t="str">
        <f>VLOOKUP(C28,'BD EVA 4 SPGG'!$D$3:$AB$113,10,0)</f>
        <v>octubre 23 - mar 24</v>
      </c>
      <c r="G28" s="212">
        <f ca="1">VLOOKUP(C28,'BD EVA 4 SPGG'!$D$3:$AC$113,25,0)</f>
        <v>3153</v>
      </c>
      <c r="H28" s="212">
        <f>VLOOKUP(C28,'BD EVA 4 SPGG'!$D$3:$AC$113,18,0)</f>
        <v>3472</v>
      </c>
      <c r="I28" s="78">
        <f ca="1">(G28-E28)/(H28-E28)</f>
        <v>19.764705882352942</v>
      </c>
      <c r="J28" s="89" t="s">
        <v>319</v>
      </c>
      <c r="K28" s="81">
        <v>2.2200000000000002</v>
      </c>
      <c r="L28" s="209">
        <f t="shared" ca="1" si="0"/>
        <v>2.2200000000000002</v>
      </c>
      <c r="M28" s="127"/>
    </row>
    <row r="29" spans="1:13" ht="117">
      <c r="A29" s="121" t="s">
        <v>243</v>
      </c>
      <c r="B29" s="72" t="s">
        <v>244</v>
      </c>
      <c r="C29" s="142" t="s">
        <v>338</v>
      </c>
      <c r="D29" s="89" t="str">
        <f>VLOOKUP(C29,'BD EVA 4 SPGG'!$D$3:$AB$113,4,0)</f>
        <v>octubre 20 - mar 21</v>
      </c>
      <c r="E29" s="212">
        <f>VLOOKUP(C29,'BD EVA 4 SPGG'!$D$3:$AB$113,13,0)</f>
        <v>116</v>
      </c>
      <c r="F29" s="89" t="str">
        <f>VLOOKUP(C29,'BD EVA 4 SPGG'!$D$3:$AB$113,10,0)</f>
        <v>octubre 23 - mar 24</v>
      </c>
      <c r="G29" s="212">
        <f ca="1">VLOOKUP(C29,'BD EVA 4 SPGG'!$D$3:$AC$113,25,0)</f>
        <v>71</v>
      </c>
      <c r="H29" s="212">
        <f>VLOOKUP(C29,'BD EVA 4 SPGG'!$D$3:$AC$113,18,0)</f>
        <v>36</v>
      </c>
      <c r="I29" s="78">
        <f t="shared" ref="I29:I33" ca="1" si="6">G29/H29</f>
        <v>1.9722222222222223</v>
      </c>
      <c r="J29" s="75" t="s">
        <v>318</v>
      </c>
      <c r="K29" s="81">
        <v>2</v>
      </c>
      <c r="L29" s="209">
        <f t="shared" ca="1" si="0"/>
        <v>2</v>
      </c>
      <c r="M29" s="130">
        <f ca="1">SUM(L29:L33)</f>
        <v>9.9499999999999993</v>
      </c>
    </row>
    <row r="30" spans="1:13" ht="39">
      <c r="A30" s="121" t="s">
        <v>243</v>
      </c>
      <c r="B30" s="72" t="s">
        <v>247</v>
      </c>
      <c r="C30" s="72" t="s">
        <v>248</v>
      </c>
      <c r="D30" s="75">
        <f>VLOOKUP(C30,'BD EVA 4 SPGG'!$D$3:$AB$113,4,0)</f>
        <v>44469</v>
      </c>
      <c r="E30" s="212">
        <f>VLOOKUP(C30,'BD EVA 4 SPGG'!$D$3:$AB$113,13,0)</f>
        <v>0</v>
      </c>
      <c r="F30" s="75">
        <f>VLOOKUP(C30,'BD EVA 4 SPGG'!$D$3:$AB$113,10,0)</f>
        <v>45382</v>
      </c>
      <c r="G30" s="212">
        <f ca="1">VLOOKUP(C30,'BD EVA 4 SPGG'!$D$3:$AC$113,25,0)</f>
        <v>43</v>
      </c>
      <c r="H30" s="212">
        <f>VLOOKUP(C30,'BD EVA 4 SPGG'!$D$3:$AC$113,18,0)</f>
        <v>13</v>
      </c>
      <c r="I30" s="78">
        <f t="shared" ca="1" si="6"/>
        <v>3.3076923076923075</v>
      </c>
      <c r="J30" s="75" t="s">
        <v>318</v>
      </c>
      <c r="K30" s="81">
        <v>2</v>
      </c>
      <c r="L30" s="209">
        <f t="shared" ca="1" si="0"/>
        <v>2</v>
      </c>
      <c r="M30" s="127"/>
    </row>
    <row r="31" spans="1:13" ht="52">
      <c r="A31" s="121" t="s">
        <v>243</v>
      </c>
      <c r="B31" s="72" t="s">
        <v>250</v>
      </c>
      <c r="C31" s="72" t="s">
        <v>251</v>
      </c>
      <c r="D31" s="75">
        <f>VLOOKUP(C31,'BD EVA 4 SPGG'!$D$3:$AB$113,4,0)</f>
        <v>44469</v>
      </c>
      <c r="E31" s="212">
        <f>VLOOKUP(C31,'BD EVA 4 SPGG'!$D$3:$AB$113,13,0)</f>
        <v>98.4</v>
      </c>
      <c r="F31" s="75" t="str">
        <f>VLOOKUP(C31,'BD EVA 4 SPGG'!$D$3:$AB$113,10,0)</f>
        <v>Dic 2023</v>
      </c>
      <c r="G31" s="212">
        <f ca="1">VLOOKUP(C31,'BD EVA 4 SPGG'!$D$3:$AC$113,25,0)</f>
        <v>100</v>
      </c>
      <c r="H31" s="212">
        <f>VLOOKUP(C31,'BD EVA 4 SPGG'!$D$3:$AC$113,18,0)</f>
        <v>100</v>
      </c>
      <c r="I31" s="78">
        <f t="shared" ca="1" si="6"/>
        <v>1</v>
      </c>
      <c r="J31" s="75" t="s">
        <v>318</v>
      </c>
      <c r="K31" s="81">
        <v>2</v>
      </c>
      <c r="L31" s="209">
        <f t="shared" ca="1" si="0"/>
        <v>2</v>
      </c>
      <c r="M31" s="127"/>
    </row>
    <row r="32" spans="1:13" ht="156">
      <c r="A32" s="121" t="s">
        <v>243</v>
      </c>
      <c r="B32" s="72" t="s">
        <v>257</v>
      </c>
      <c r="C32" s="72" t="s">
        <v>258</v>
      </c>
      <c r="D32" s="75">
        <f>VLOOKUP(C32,'BD EVA 4 SPGG'!$D$3:$AB$113,4,0)</f>
        <v>44469</v>
      </c>
      <c r="E32" s="209">
        <f>VLOOKUP(C32,'BD EVA 4 SPGG'!$D$3:$AB$113,13,0)</f>
        <v>0</v>
      </c>
      <c r="F32" s="75">
        <f>VLOOKUP(C32,'BD EVA 4 SPGG'!$D$3:$AB$113,10,0)</f>
        <v>45382</v>
      </c>
      <c r="G32" s="209">
        <v>3.9</v>
      </c>
      <c r="H32" s="209">
        <f>VLOOKUP(C32,'BD EVA 4 SPGG'!$D$3:$AC$113,18,0)</f>
        <v>4</v>
      </c>
      <c r="I32" s="78">
        <f t="shared" si="6"/>
        <v>0.97499999999999998</v>
      </c>
      <c r="J32" s="75" t="s">
        <v>318</v>
      </c>
      <c r="K32" s="81">
        <v>2</v>
      </c>
      <c r="L32" s="209">
        <f t="shared" si="0"/>
        <v>1.95</v>
      </c>
      <c r="M32" s="127"/>
    </row>
    <row r="33" spans="1:13" ht="52">
      <c r="A33" s="121" t="s">
        <v>243</v>
      </c>
      <c r="B33" s="72" t="s">
        <v>260</v>
      </c>
      <c r="C33" s="72" t="s">
        <v>273</v>
      </c>
      <c r="D33" s="75">
        <f>VLOOKUP(C33,'BD EVA 4 SPGG'!$D$3:$AB$113,4,0)</f>
        <v>44469</v>
      </c>
      <c r="E33" s="341">
        <f>VLOOKUP(C33,'BD EVA 4 SPGG'!$D$3:$AB$113,13,0)</f>
        <v>0</v>
      </c>
      <c r="F33" s="75">
        <f>VLOOKUP(C33,'BD EVA 4 SPGG'!$D$3:$AB$113,10,0)</f>
        <v>45382</v>
      </c>
      <c r="G33" s="207">
        <f ca="1">VLOOKUP(C33,'BD EVA 4 SPGG'!$D$3:$AC$113,25,0)</f>
        <v>0.51351351351351304</v>
      </c>
      <c r="H33" s="207">
        <f>VLOOKUP(C33,'BD EVA 4 SPGG'!$D$3:$AC$113,18,0)</f>
        <v>0.5</v>
      </c>
      <c r="I33" s="78">
        <f t="shared" ca="1" si="6"/>
        <v>1.0270270270270261</v>
      </c>
      <c r="J33" s="75" t="s">
        <v>318</v>
      </c>
      <c r="K33" s="81">
        <v>2</v>
      </c>
      <c r="L33" s="209">
        <f t="shared" ca="1" si="0"/>
        <v>2</v>
      </c>
      <c r="M33" s="127"/>
    </row>
    <row r="34" spans="1:13" ht="39">
      <c r="A34" s="121" t="s">
        <v>275</v>
      </c>
      <c r="B34" s="72" t="s">
        <v>276</v>
      </c>
      <c r="C34" s="72" t="s">
        <v>282</v>
      </c>
      <c r="D34" s="89" t="str">
        <f>VLOOKUP(C34,'BD EVA 4 SPGG'!$D$3:$AB$113,4,0)</f>
        <v>enero - diciembre 2021</v>
      </c>
      <c r="E34" s="78">
        <f>VLOOKUP(C34,'BD EVA 4 SPGG'!$D$3:$AB$113,13,0)</f>
        <v>0.47271417383279474</v>
      </c>
      <c r="F34" s="89" t="str">
        <f>VLOOKUP(C34,'BD EVA 4 SPGG'!$D$3:$AB$113,10,0)</f>
        <v>enero- diciembre 2023</v>
      </c>
      <c r="G34" s="78">
        <f ca="1">VLOOKUP(C34,'BD EVA 4 SPGG'!$D$3:$AC$113,25,0)</f>
        <v>0.46901238477536999</v>
      </c>
      <c r="H34" s="78">
        <f>VLOOKUP(C34,'BD EVA 4 SPGG'!$D$3:$AC$113,18,0)</f>
        <v>0.49</v>
      </c>
      <c r="I34" s="78">
        <f ca="1">(G34/H34)</f>
        <v>0.9571681321946327</v>
      </c>
      <c r="J34" s="75" t="s">
        <v>318</v>
      </c>
      <c r="K34" s="81">
        <v>2.1631999999999998</v>
      </c>
      <c r="L34" s="209">
        <f t="shared" ca="1" si="0"/>
        <v>2.0705461035634292</v>
      </c>
      <c r="M34" s="130">
        <f ca="1">SUM(L34:L39)</f>
        <v>9.9073461035634303</v>
      </c>
    </row>
    <row r="35" spans="1:13" ht="52">
      <c r="A35" s="121" t="s">
        <v>275</v>
      </c>
      <c r="B35" s="72" t="s">
        <v>276</v>
      </c>
      <c r="C35" s="72" t="s">
        <v>287</v>
      </c>
      <c r="D35" s="89" t="str">
        <f>VLOOKUP(C35,'BD EVA 4 SPGG'!$D$3:$AB$113,4,0)</f>
        <v>enero - diciembre 2021</v>
      </c>
      <c r="E35" s="78">
        <f>VLOOKUP(C35,'BD EVA 4 SPGG'!$D$3:$AB$113,13,0)</f>
        <v>0.63691706723699926</v>
      </c>
      <c r="F35" s="89" t="str">
        <f>VLOOKUP(C35,'BD EVA 4 SPGG'!$D$3:$AB$113,10,0)</f>
        <v>enero- diciembre 2023</v>
      </c>
      <c r="G35" s="78">
        <f ca="1">VLOOKUP(C35,'BD EVA 4 SPGG'!$D$3:$AC$113,25,0)</f>
        <v>0.71625409924595196</v>
      </c>
      <c r="H35" s="78">
        <f>VLOOKUP(C35,'BD EVA 4 SPGG'!$D$3:$AC$113,18,0)</f>
        <v>0.67</v>
      </c>
      <c r="I35" s="78">
        <f ca="1">G35/H35</f>
        <v>1.0690359690238089</v>
      </c>
      <c r="J35" s="75" t="s">
        <v>318</v>
      </c>
      <c r="K35" s="81">
        <v>1.3520000000000001</v>
      </c>
      <c r="L35" s="209">
        <f t="shared" ca="1" si="0"/>
        <v>1.3520000000000001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SPGG'!$D$3:$AB$113,4,0)</f>
        <v>enero - diciembre 2021</v>
      </c>
      <c r="E36" s="78">
        <f>VLOOKUP(C36,'BD EVA 4 SPGG'!$D$3:$AB$113,13,0)</f>
        <v>0.80330047789725212</v>
      </c>
      <c r="F36" s="89" t="str">
        <f>VLOOKUP(C36,'BD EVA 4 SPGG'!$D$3:$AB$113,10,0)</f>
        <v>enero- diciembre 2023</v>
      </c>
      <c r="G36" s="78">
        <f ca="1">VLOOKUP(C36,'BD EVA 4 SPGG'!$D$3:$AC$113,25,0)</f>
        <v>0.849300745000653</v>
      </c>
      <c r="H36" s="78">
        <f>VLOOKUP(C36,'BD EVA 4 SPGG'!$D$3:$AC$113,18,0)</f>
        <v>0.8</v>
      </c>
      <c r="I36" s="78">
        <f ca="1">IF(G36&lt;E36,0,G36/H36)</f>
        <v>1.0616259312508163</v>
      </c>
      <c r="J36" s="72" t="s">
        <v>316</v>
      </c>
      <c r="K36" s="81">
        <v>2.1631999999999998</v>
      </c>
      <c r="L36" s="209">
        <f t="shared" ca="1" si="0"/>
        <v>2.1631999999999998</v>
      </c>
      <c r="M36" s="127"/>
    </row>
    <row r="37" spans="1:13" ht="52">
      <c r="A37" s="121" t="s">
        <v>275</v>
      </c>
      <c r="B37" s="72" t="s">
        <v>276</v>
      </c>
      <c r="C37" s="72" t="s">
        <v>296</v>
      </c>
      <c r="D37" s="89" t="str">
        <f>VLOOKUP(C37,'BD EVA 4 SPGG'!$D$3:$AB$113,4,0)</f>
        <v>enero - diciembre 2021</v>
      </c>
      <c r="E37" s="90">
        <f>VLOOKUP(C37,'BD EVA 4 SPGG'!$D$3:$AB$113,13,0)</f>
        <v>846769779</v>
      </c>
      <c r="F37" s="89" t="str">
        <f>VLOOKUP(C37,'BD EVA 4 SPGG'!$D$3:$AB$113,10,0)</f>
        <v>enero- diciembre 2023</v>
      </c>
      <c r="G37" s="90">
        <f ca="1">VLOOKUP(C37,'BD EVA 4 SPGG'!$D$3:$AC$113,25,0)</f>
        <v>1091376168</v>
      </c>
      <c r="H37" s="90">
        <f>VLOOKUP(C37,'BD EVA 4 SPGG'!$D$3:$AC$113,18,0)</f>
        <v>920000000</v>
      </c>
      <c r="I37" s="78">
        <f ca="1">G37/H37</f>
        <v>1.1862784434782609</v>
      </c>
      <c r="J37" s="75" t="s">
        <v>318</v>
      </c>
      <c r="K37" s="81">
        <v>1.0815999999999999</v>
      </c>
      <c r="L37" s="209">
        <f t="shared" ca="1" si="0"/>
        <v>1.0815999999999999</v>
      </c>
      <c r="M37" s="127"/>
    </row>
    <row r="38" spans="1:13" ht="39">
      <c r="A38" s="121" t="s">
        <v>275</v>
      </c>
      <c r="B38" s="72" t="s">
        <v>298</v>
      </c>
      <c r="C38" s="142" t="s">
        <v>301</v>
      </c>
      <c r="D38" s="89" t="str">
        <f>VLOOKUP(C38,'BD EVA 4 SPGG'!$D$3:$AB$113,4,0)</f>
        <v>enero - diciembre 2021</v>
      </c>
      <c r="E38" s="78">
        <f>VLOOKUP(C38,'BD EVA 4 SPGG'!$D$3:$AB$113,13,0)</f>
        <v>0.73046141292551947</v>
      </c>
      <c r="F38" s="89" t="str">
        <f>VLOOKUP(C38,'BD EVA 4 SPGG'!$D$3:$AB$113,10,0)</f>
        <v>enero- diciembre 2023</v>
      </c>
      <c r="G38" s="78">
        <f ca="1">VLOOKUP(C38,'BD EVA 4 SPGG'!$D$3:$AC$113,25,0)</f>
        <v>0.72894210896213196</v>
      </c>
      <c r="H38" s="78">
        <f>VLOOKUP(C38,'BD EVA 4 SPGG'!$D$3:$AC$113,18,0)</f>
        <v>0.73</v>
      </c>
      <c r="I38" s="78">
        <f ca="1">(H38/G38)</f>
        <v>1.0014512689346129</v>
      </c>
      <c r="J38" s="89" t="s">
        <v>341</v>
      </c>
      <c r="K38" s="81">
        <v>1.62</v>
      </c>
      <c r="L38" s="209">
        <f t="shared" ca="1" si="0"/>
        <v>1.62</v>
      </c>
      <c r="M38" s="127"/>
    </row>
    <row r="39" spans="1:13" ht="52">
      <c r="A39" s="121" t="s">
        <v>275</v>
      </c>
      <c r="B39" s="72" t="s">
        <v>303</v>
      </c>
      <c r="C39" s="72" t="s">
        <v>304</v>
      </c>
      <c r="D39" s="89" t="str">
        <f>VLOOKUP(C39,'BD EVA 4 SPGG'!$D$3:$AB$113,4,0)</f>
        <v>Dic 2020</v>
      </c>
      <c r="E39" s="76" t="str">
        <f>VLOOKUP(C39,'BD EVA 4 SPGG'!$D$3:$AB$113,13,0)</f>
        <v>Verde</v>
      </c>
      <c r="F39" s="89" t="str">
        <f>VLOOKUP(C39,'BD EVA 4 SPGG'!$D$3:$AB$113,10,0)</f>
        <v>Dic 2023</v>
      </c>
      <c r="G39" s="76" t="str">
        <f ca="1">VLOOKUP(C39,'BD EVA 4 SPGG'!$D$3:$AC$113,25,0)</f>
        <v>Verde</v>
      </c>
      <c r="H39" s="76" t="str">
        <f>VLOOKUP(C39,'BD EVA 4 SPGG'!$D$3:$AC$113,18,0)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4D9DA-FC55-BF4E-8EF7-E90D62D5A513}">
  <dimension ref="A1:AE113"/>
  <sheetViews>
    <sheetView workbookViewId="0">
      <selection sqref="A1:XFD1"/>
    </sheetView>
  </sheetViews>
  <sheetFormatPr baseColWidth="10" defaultRowHeight="16"/>
  <sheetData>
    <row r="1" spans="1:31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64" t="s">
        <v>321</v>
      </c>
      <c r="U1" s="64" t="s">
        <v>18</v>
      </c>
      <c r="V1" s="64" t="s">
        <v>322</v>
      </c>
      <c r="W1" s="64" t="s">
        <v>20</v>
      </c>
      <c r="X1" s="64" t="s">
        <v>359</v>
      </c>
      <c r="Y1" s="64" t="s">
        <v>22</v>
      </c>
      <c r="Z1" s="61" t="s">
        <v>23</v>
      </c>
      <c r="AA1" s="61" t="s">
        <v>324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4">
        <v>2021</v>
      </c>
      <c r="H2" s="4">
        <v>2021</v>
      </c>
      <c r="I2" s="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4">
        <v>2024</v>
      </c>
      <c r="P2" s="13"/>
      <c r="Q2" s="5">
        <v>138945</v>
      </c>
      <c r="R2" s="5">
        <v>138945</v>
      </c>
      <c r="S2" s="5">
        <v>138945</v>
      </c>
      <c r="T2" s="13"/>
      <c r="U2" s="316"/>
      <c r="V2" s="316"/>
      <c r="W2" s="316"/>
      <c r="X2" s="316"/>
      <c r="Y2" s="6"/>
      <c r="Z2" s="5">
        <v>140470</v>
      </c>
      <c r="AA2" s="5">
        <v>140470</v>
      </c>
      <c r="AB2" s="5">
        <v>142218</v>
      </c>
      <c r="AC2" s="5">
        <v>142218</v>
      </c>
      <c r="AD2" s="5">
        <v>144201</v>
      </c>
      <c r="AE2" s="5">
        <v>144201</v>
      </c>
    </row>
    <row r="3" spans="1:31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1" t="s">
        <v>361</v>
      </c>
      <c r="P3" s="11">
        <v>45565</v>
      </c>
      <c r="Q3" s="12">
        <v>524</v>
      </c>
      <c r="R3" s="12">
        <v>524</v>
      </c>
      <c r="S3" s="12">
        <f ca="1">IFERROR(__xludf.DUMMYFUNCTION("INDEX(IMPORTRANGE(""17pNv02DXDpQT9S3w4-QeNym2QJy2BzMBqDXp-XtzJBM"", ""'SPGG'!BG3:BG139""),MATCH($D3,IMPORTRANGE(""17pNv02DXDpQT9S3w4-QeNym2QJy2BzMBqDXp-XtzJBM"", ""'SPGG'!D3:D139""),0))"),524)</f>
        <v>524</v>
      </c>
      <c r="T3" s="4">
        <v>550</v>
      </c>
      <c r="U3" s="4">
        <v>555</v>
      </c>
      <c r="V3" s="4">
        <v>560</v>
      </c>
      <c r="W3" s="4">
        <v>570</v>
      </c>
      <c r="X3" s="6">
        <f>((Y3-W3)/6)*5+W3</f>
        <v>595</v>
      </c>
      <c r="Y3" s="4">
        <v>600</v>
      </c>
      <c r="Z3" s="12">
        <f ca="1">IFERROR(__xludf.DUMMYFUNCTION("INDEX(IMPORTRANGE(""17pNv02DXDpQT9S3w4-QeNym2QJy2BzMBqDXp-XtzJBM"", ""'SPGG'!BH3:BH139""),MATCH($D3,IMPORTRANGE(""17pNv02DXDpQT9S3w4-QeNym2QJy2BzMBqDXp-XtzJBM"", ""'SPGG'!D3:D139""),0))"),537)</f>
        <v>537</v>
      </c>
      <c r="AA3" s="12">
        <f ca="1">IFERROR(__xludf.DUMMYFUNCTION("INDEX(IMPORTRANGE(""17pNv02DXDpQT9S3w4-QeNym2QJy2BzMBqDXp-XtzJBM"", ""'SPGG'!BI3:BI139""),MATCH($D3,IMPORTRANGE(""17pNv02DXDpQT9S3w4-QeNym2QJy2BzMBqDXp-XtzJBM"", ""'SPGG'!D3:D139""),0))"),553)</f>
        <v>553</v>
      </c>
      <c r="AB3" s="12">
        <f ca="1">IFERROR(__xludf.DUMMYFUNCTION("INDEX(IMPORTRANGE(""17pNv02DXDpQT9S3w4-QeNym2QJy2BzMBqDXp-XtzJBM"", ""'SPGG'!BJ3:BJ139""),MATCH($D3,IMPORTRANGE(""17pNv02DXDpQT9S3w4-QeNym2QJy2BzMBqDXp-XtzJBM"", ""'SPGG'!D3:D139""),0))"),588)</f>
        <v>588</v>
      </c>
      <c r="AC3" s="12">
        <f ca="1">IFERROR(__xludf.DUMMYFUNCTION("INDEX(IMPORTRANGE(""17pNv02DXDpQT9S3w4-QeNym2QJy2BzMBqDXp-XtzJBM"", ""'SPGG'!BK3:BK139""),MATCH($D3,IMPORTRANGE(""17pNv02DXDpQT9S3w4-QeNym2QJy2BzMBqDXp-XtzJBM"", ""'SPGG'!D3:D139""),0))"),609)</f>
        <v>609</v>
      </c>
      <c r="AD3" s="12">
        <f ca="1">IFERROR(__xludf.DUMMYFUNCTION("INDEX(IMPORTRANGE(""17pNv02DXDpQT9S3w4-QeNym2QJy2BzMBqDXp-XtzJBM"", ""'SPGG'!BL3:BL139""),MATCH($D3,IMPORTRANGE(""17pNv02DXDpQT9S3w4-QeNym2QJy2BzMBqDXp-XtzJBM"", ""'SPGG'!D3:D139""),0))"),597)</f>
        <v>597</v>
      </c>
      <c r="AE3" s="12">
        <f ca="1">IFERROR(__xludf.DUMMYFUNCTION("INDEX(IMPORTRANGE(""17pNv02DXDpQT9S3w4-QeNym2QJy2BzMBqDXp-XtzJBM"", ""'SPGG'!BM3:BM139""),MATCH($D3,IMPORTRANGE(""17pNv02DXDpQT9S3w4-QeNym2QJy2BzMBqDXp-XtzJBM"", ""'SPGG'!D3:D139""),0))"),627)</f>
        <v>627</v>
      </c>
    </row>
    <row r="4" spans="1:31">
      <c r="A4" s="7" t="s">
        <v>34</v>
      </c>
      <c r="B4" s="7" t="s">
        <v>40</v>
      </c>
      <c r="C4" s="1" t="s">
        <v>30</v>
      </c>
      <c r="D4" s="1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1" t="s">
        <v>361</v>
      </c>
      <c r="P4" s="11">
        <v>45565</v>
      </c>
      <c r="Q4" s="12">
        <v>503</v>
      </c>
      <c r="R4" s="12">
        <v>503</v>
      </c>
      <c r="S4" s="12">
        <f ca="1">IFERROR(__xludf.DUMMYFUNCTION("INDEX(IMPORTRANGE(""17pNv02DXDpQT9S3w4-QeNym2QJy2BzMBqDXp-XtzJBM"", ""'SPGG'!BG3:BG139""),MATCH($D4,IMPORTRANGE(""17pNv02DXDpQT9S3w4-QeNym2QJy2BzMBqDXp-XtzJBM"", ""'SPGG'!D3:D139""),0))"),503)</f>
        <v>503</v>
      </c>
      <c r="T4" s="13"/>
      <c r="U4" s="13"/>
      <c r="V4" s="13"/>
      <c r="W4" s="13"/>
      <c r="X4" s="13"/>
      <c r="Y4" s="4"/>
      <c r="Z4" s="12">
        <f ca="1">IFERROR(__xludf.DUMMYFUNCTION("INDEX(IMPORTRANGE(""17pNv02DXDpQT9S3w4-QeNym2QJy2BzMBqDXp-XtzJBM"", ""'SPGG'!BH3:BH139""),MATCH($D4,IMPORTRANGE(""17pNv02DXDpQT9S3w4-QeNym2QJy2BzMBqDXp-XtzJBM"", ""'SPGG'!D3:D139""),0))"),534)</f>
        <v>534</v>
      </c>
      <c r="AA4" s="12">
        <f ca="1">IFERROR(__xludf.DUMMYFUNCTION("INDEX(IMPORTRANGE(""17pNv02DXDpQT9S3w4-QeNym2QJy2BzMBqDXp-XtzJBM"", ""'SPGG'!BI3:BI139""),MATCH($D4,IMPORTRANGE(""17pNv02DXDpQT9S3w4-QeNym2QJy2BzMBqDXp-XtzJBM"", ""'SPGG'!D3:D139""),0))"),546)</f>
        <v>546</v>
      </c>
      <c r="AB4" s="12">
        <f ca="1">IFERROR(__xludf.DUMMYFUNCTION("INDEX(IMPORTRANGE(""17pNv02DXDpQT9S3w4-QeNym2QJy2BzMBqDXp-XtzJBM"", ""'SPGG'!BJ3:BJ139""),MATCH($D4,IMPORTRANGE(""17pNv02DXDpQT9S3w4-QeNym2QJy2BzMBqDXp-XtzJBM"", ""'SPGG'!D3:D139""),0))"),571)</f>
        <v>571</v>
      </c>
      <c r="AC4" s="12">
        <f ca="1">IFERROR(__xludf.DUMMYFUNCTION("INDEX(IMPORTRANGE(""17pNv02DXDpQT9S3w4-QeNym2QJy2BzMBqDXp-XtzJBM"", ""'SPGG'!BK3:BK139""),MATCH($D4,IMPORTRANGE(""17pNv02DXDpQT9S3w4-QeNym2QJy2BzMBqDXp-XtzJBM"", ""'SPGG'!D3:D139""),0))"),595)</f>
        <v>595</v>
      </c>
      <c r="AD4" s="12">
        <f ca="1">IFERROR(__xludf.DUMMYFUNCTION("INDEX(IMPORTRANGE(""17pNv02DXDpQT9S3w4-QeNym2QJy2BzMBqDXp-XtzJBM"", ""'SPGG'!BL3:BL139""),MATCH($D4,IMPORTRANGE(""17pNv02DXDpQT9S3w4-QeNym2QJy2BzMBqDXp-XtzJBM"", ""'SPGG'!D3:D139""),0))"),594)</f>
        <v>594</v>
      </c>
      <c r="AE4" s="12">
        <f ca="1">IFERROR(__xludf.DUMMYFUNCTION("INDEX(IMPORTRANGE(""17pNv02DXDpQT9S3w4-QeNym2QJy2BzMBqDXp-XtzJBM"", ""'SPGG'!BM3:BM139""),MATCH($D4,IMPORTRANGE(""17pNv02DXDpQT9S3w4-QeNym2QJy2BzMBqDXp-XtzJBM"", ""'SPGG'!D3:D139""),0))"),610)</f>
        <v>610</v>
      </c>
    </row>
    <row r="5" spans="1:31">
      <c r="A5" s="7" t="s">
        <v>34</v>
      </c>
      <c r="B5" s="7" t="s">
        <v>40</v>
      </c>
      <c r="C5" s="1" t="s">
        <v>36</v>
      </c>
      <c r="D5" s="1" t="s">
        <v>43</v>
      </c>
      <c r="E5" s="9" t="s">
        <v>38</v>
      </c>
      <c r="F5" s="9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1" t="s">
        <v>361</v>
      </c>
      <c r="P5" s="11">
        <v>45565</v>
      </c>
      <c r="Q5" s="15">
        <f t="shared" ref="Q5:R5" si="0">Q4/Q3</f>
        <v>0.95992366412213737</v>
      </c>
      <c r="R5" s="15">
        <f t="shared" si="0"/>
        <v>0.95992366412213737</v>
      </c>
      <c r="S5" s="15">
        <f ca="1">IFERROR(__xludf.DUMMYFUNCTION("INDEX(IMPORTRANGE(""17pNv02DXDpQT9S3w4-QeNym2QJy2BzMBqDXp-XtzJBM"", ""'SPGG'!BG3:BG139""),MATCH($D5,IMPORTRANGE(""17pNv02DXDpQT9S3w4-QeNym2QJy2BzMBqDXp-XtzJBM"", ""'SPGG'!D3:D139""),0))"),0.959923664122137)</f>
        <v>0.95992366412213703</v>
      </c>
      <c r="T5" s="14" t="s">
        <v>327</v>
      </c>
      <c r="U5" s="14" t="s">
        <v>327</v>
      </c>
      <c r="V5" s="14" t="s">
        <v>327</v>
      </c>
      <c r="W5" s="14" t="s">
        <v>327</v>
      </c>
      <c r="X5" s="14" t="s">
        <v>327</v>
      </c>
      <c r="Y5" s="14" t="s">
        <v>327</v>
      </c>
      <c r="Z5" s="15">
        <f ca="1">IFERROR(__xludf.DUMMYFUNCTION("INDEX(IMPORTRANGE(""17pNv02DXDpQT9S3w4-QeNym2QJy2BzMBqDXp-XtzJBM"", ""'SPGG'!BH3:BH139""),MATCH($D5,IMPORTRANGE(""17pNv02DXDpQT9S3w4-QeNym2QJy2BzMBqDXp-XtzJBM"", ""'SPGG'!D3:D139""),0))"),0.994413407821229)</f>
        <v>0.994413407821229</v>
      </c>
      <c r="AA5" s="15">
        <f ca="1">IFERROR(__xludf.DUMMYFUNCTION("INDEX(IMPORTRANGE(""17pNv02DXDpQT9S3w4-QeNym2QJy2BzMBqDXp-XtzJBM"", ""'SPGG'!BI3:BI139""),MATCH($D5,IMPORTRANGE(""17pNv02DXDpQT9S3w4-QeNym2QJy2BzMBqDXp-XtzJBM"", ""'SPGG'!D3:D139""),0))"),0.987341772151898)</f>
        <v>0.987341772151898</v>
      </c>
      <c r="AB5" s="15">
        <f ca="1">IFERROR(__xludf.DUMMYFUNCTION("INDEX(IMPORTRANGE(""17pNv02DXDpQT9S3w4-QeNym2QJy2BzMBqDXp-XtzJBM"", ""'SPGG'!BJ3:BJ139""),MATCH($D5,IMPORTRANGE(""17pNv02DXDpQT9S3w4-QeNym2QJy2BzMBqDXp-XtzJBM"", ""'SPGG'!D3:D139""),0))"),0.971088435374149)</f>
        <v>0.97108843537414902</v>
      </c>
      <c r="AC5" s="15">
        <f ca="1">IFERROR(__xludf.DUMMYFUNCTION("INDEX(IMPORTRANGE(""17pNv02DXDpQT9S3w4-QeNym2QJy2BzMBqDXp-XtzJBM"", ""'SPGG'!BK3:BK139""),MATCH($D5,IMPORTRANGE(""17pNv02DXDpQT9S3w4-QeNym2QJy2BzMBqDXp-XtzJBM"", ""'SPGG'!D3:D139""),0))"),0.977011494252873)</f>
        <v>0.97701149425287304</v>
      </c>
      <c r="AD5" s="15">
        <f ca="1">IFERROR(__xludf.DUMMYFUNCTION("INDEX(IMPORTRANGE(""17pNv02DXDpQT9S3w4-QeNym2QJy2BzMBqDXp-XtzJBM"", ""'SPGG'!BL3:BL139""),MATCH($D5,IMPORTRANGE(""17pNv02DXDpQT9S3w4-QeNym2QJy2BzMBqDXp-XtzJBM"", ""'SPGG'!D3:D139""),0))"),0.994974874371859)</f>
        <v>0.99497487437185905</v>
      </c>
      <c r="AE5" s="15">
        <f ca="1">IFERROR(__xludf.DUMMYFUNCTION("INDEX(IMPORTRANGE(""17pNv02DXDpQT9S3w4-QeNym2QJy2BzMBqDXp-XtzJBM"", ""'SPGG'!BM3:BM139""),MATCH($D5,IMPORTRANGE(""17pNv02DXDpQT9S3w4-QeNym2QJy2BzMBqDXp-XtzJBM"", ""'SPGG'!D3:D139""),0))"),0.972886762360446)</f>
        <v>0.97288676236044602</v>
      </c>
    </row>
    <row r="6" spans="1:31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1" t="s">
        <v>361</v>
      </c>
      <c r="P6" s="11">
        <v>45565</v>
      </c>
      <c r="Q6" s="17"/>
      <c r="R6" s="18"/>
      <c r="S6" s="2">
        <f ca="1">IFERROR(__xludf.DUMMYFUNCTION("INDEX(IMPORTRANGE(""17pNv02DXDpQT9S3w4-QeNym2QJy2BzMBqDXp-XtzJBM"", ""'SPGG'!BG3:BG139""),MATCH($D6,IMPORTRANGE(""17pNv02DXDpQT9S3w4-QeNym2QJy2BzMBqDXp-XtzJBM"", ""'SPGG'!D3:D139""),0))"),13)</f>
        <v>13</v>
      </c>
      <c r="T6" s="1"/>
      <c r="U6" s="1"/>
      <c r="V6" s="1"/>
      <c r="W6" s="1"/>
      <c r="X6" s="1"/>
      <c r="Y6" s="2"/>
      <c r="Z6" s="12">
        <f ca="1">IFERROR(__xludf.DUMMYFUNCTION("INDEX(IMPORTRANGE(""17pNv02DXDpQT9S3w4-QeNym2QJy2BzMBqDXp-XtzJBM"", ""'SPGG'!BH3:BH139""),MATCH($D6,IMPORTRANGE(""17pNv02DXDpQT9S3w4-QeNym2QJy2BzMBqDXp-XtzJBM"", ""'SPGG'!D3:D139""),0))"),0)</f>
        <v>0</v>
      </c>
      <c r="AA6" s="12">
        <f ca="1">IFERROR(__xludf.DUMMYFUNCTION("INDEX(IMPORTRANGE(""17pNv02DXDpQT9S3w4-QeNym2QJy2BzMBqDXp-XtzJBM"", ""'SPGG'!BI3:BI139""),MATCH($D6,IMPORTRANGE(""17pNv02DXDpQT9S3w4-QeNym2QJy2BzMBqDXp-XtzJBM"", ""'SPGG'!D3:D139""),0))"),12)</f>
        <v>12</v>
      </c>
      <c r="AB6" s="12">
        <f ca="1">IFERROR(__xludf.DUMMYFUNCTION("INDEX(IMPORTRANGE(""17pNv02DXDpQT9S3w4-QeNym2QJy2BzMBqDXp-XtzJBM"", ""'SPGG'!BJ3:BJ139""),MATCH($D6,IMPORTRANGE(""17pNv02DXDpQT9S3w4-QeNym2QJy2BzMBqDXp-XtzJBM"", ""'SPGG'!D3:D139""),0))"),8)</f>
        <v>8</v>
      </c>
      <c r="AC6" s="12">
        <f ca="1">IFERROR(__xludf.DUMMYFUNCTION("INDEX(IMPORTRANGE(""17pNv02DXDpQT9S3w4-QeNym2QJy2BzMBqDXp-XtzJBM"", ""'SPGG'!BK3:BK139""),MATCH($D6,IMPORTRANGE(""17pNv02DXDpQT9S3w4-QeNym2QJy2BzMBqDXp-XtzJBM"", ""'SPGG'!D3:D139""),0))"),8)</f>
        <v>8</v>
      </c>
      <c r="AD6" s="12">
        <f ca="1">IFERROR(__xludf.DUMMYFUNCTION("INDEX(IMPORTRANGE(""17pNv02DXDpQT9S3w4-QeNym2QJy2BzMBqDXp-XtzJBM"", ""'SPGG'!BL3:BL139""),MATCH($D6,IMPORTRANGE(""17pNv02DXDpQT9S3w4-QeNym2QJy2BzMBqDXp-XtzJBM"", ""'SPGG'!D3:D139""),0))"),10)</f>
        <v>10</v>
      </c>
      <c r="AE6" s="12">
        <f ca="1">IFERROR(__xludf.DUMMYFUNCTION("INDEX(IMPORTRANGE(""17pNv02DXDpQT9S3w4-QeNym2QJy2BzMBqDXp-XtzJBM"", ""'SPGG'!BM3:BM139""),MATCH($D6,IMPORTRANGE(""17pNv02DXDpQT9S3w4-QeNym2QJy2BzMBqDXp-XtzJBM"", ""'SPGG'!D3:D139""),0))"),12)</f>
        <v>12</v>
      </c>
    </row>
    <row r="7" spans="1:31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1" t="s">
        <v>361</v>
      </c>
      <c r="P7" s="11">
        <v>45565</v>
      </c>
      <c r="Q7" s="17"/>
      <c r="R7" s="18"/>
      <c r="S7" s="2">
        <f ca="1">IFERROR(__xludf.DUMMYFUNCTION("INDEX(IMPORTRANGE(""17pNv02DXDpQT9S3w4-QeNym2QJy2BzMBqDXp-XtzJBM"", ""'SPGG'!BG3:BG139""),MATCH($D7,IMPORTRANGE(""17pNv02DXDpQT9S3w4-QeNym2QJy2BzMBqDXp-XtzJBM"", ""'SPGG'!D3:D139""),0))"),0)</f>
        <v>0</v>
      </c>
      <c r="T7" s="1"/>
      <c r="U7" s="1"/>
      <c r="V7" s="1"/>
      <c r="W7" s="1"/>
      <c r="X7" s="1"/>
      <c r="Y7" s="2"/>
      <c r="Z7" s="12" t="str">
        <f ca="1">IFERROR(__xludf.DUMMYFUNCTION("INDEX(IMPORTRANGE(""17pNv02DXDpQT9S3w4-QeNym2QJy2BzMBqDXp-XtzJBM"", ""'SPGG'!BH3:BH139""),MATCH($D7,IMPORTRANGE(""17pNv02DXDpQT9S3w4-QeNym2QJy2BzMBqDXp-XtzJBM"", ""'SPGG'!D3:D139""),0))"),"")</f>
        <v/>
      </c>
      <c r="AA7" s="12">
        <f ca="1">IFERROR(__xludf.DUMMYFUNCTION("INDEX(IMPORTRANGE(""17pNv02DXDpQT9S3w4-QeNym2QJy2BzMBqDXp-XtzJBM"", ""'SPGG'!BI3:BI139""),MATCH($D7,IMPORTRANGE(""17pNv02DXDpQT9S3w4-QeNym2QJy2BzMBqDXp-XtzJBM"", ""'SPGG'!D3:D139""),0))"),0)</f>
        <v>0</v>
      </c>
      <c r="AB7" s="12">
        <f ca="1">IFERROR(__xludf.DUMMYFUNCTION("INDEX(IMPORTRANGE(""17pNv02DXDpQT9S3w4-QeNym2QJy2BzMBqDXp-XtzJBM"", ""'SPGG'!BJ3:BJ139""),MATCH($D7,IMPORTRANGE(""17pNv02DXDpQT9S3w4-QeNym2QJy2BzMBqDXp-XtzJBM"", ""'SPGG'!D3:D139""),0))"),0)</f>
        <v>0</v>
      </c>
      <c r="AC7" s="12">
        <f ca="1">IFERROR(__xludf.DUMMYFUNCTION("INDEX(IMPORTRANGE(""17pNv02DXDpQT9S3w4-QeNym2QJy2BzMBqDXp-XtzJBM"", ""'SPGG'!BK3:BK139""),MATCH($D7,IMPORTRANGE(""17pNv02DXDpQT9S3w4-QeNym2QJy2BzMBqDXp-XtzJBM"", ""'SPGG'!D3:D139""),0))"),0)</f>
        <v>0</v>
      </c>
      <c r="AD7" s="12">
        <f ca="1">IFERROR(__xludf.DUMMYFUNCTION("INDEX(IMPORTRANGE(""17pNv02DXDpQT9S3w4-QeNym2QJy2BzMBqDXp-XtzJBM"", ""'SPGG'!BL3:BL139""),MATCH($D7,IMPORTRANGE(""17pNv02DXDpQT9S3w4-QeNym2QJy2BzMBqDXp-XtzJBM"", ""'SPGG'!D3:D139""),0))"),0)</f>
        <v>0</v>
      </c>
      <c r="AE7" s="12">
        <f ca="1">IFERROR(__xludf.DUMMYFUNCTION("INDEX(IMPORTRANGE(""17pNv02DXDpQT9S3w4-QeNym2QJy2BzMBqDXp-XtzJBM"", ""'SPGG'!BM3:BM139""),MATCH($D7,IMPORTRANGE(""17pNv02DXDpQT9S3w4-QeNym2QJy2BzMBqDXp-XtzJBM"", ""'SPGG'!D3:D139""),0))"),0)</f>
        <v>0</v>
      </c>
    </row>
    <row r="8" spans="1:31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1" t="s">
        <v>361</v>
      </c>
      <c r="P8" s="11">
        <v>45565</v>
      </c>
      <c r="Q8" s="19">
        <f t="shared" ref="Q8:R8" si="1">Q6/Q3</f>
        <v>0</v>
      </c>
      <c r="R8" s="19">
        <f t="shared" si="1"/>
        <v>0</v>
      </c>
      <c r="S8" s="15">
        <f ca="1">IFERROR(__xludf.DUMMYFUNCTION("INDEX(IMPORTRANGE(""17pNv02DXDpQT9S3w4-QeNym2QJy2BzMBqDXp-XtzJBM"", ""'SPGG'!BG3:BG139""),MATCH($D8,IMPORTRANGE(""17pNv02DXDpQT9S3w4-QeNym2QJy2BzMBqDXp-XtzJBM"", ""'SPGG'!D3:D139""),0))"),0.0248091603053435)</f>
        <v>2.4809160305343501E-2</v>
      </c>
      <c r="T8" s="26">
        <v>1.2999999999999999E-2</v>
      </c>
      <c r="U8" s="26">
        <v>1.2999999999999999E-2</v>
      </c>
      <c r="V8" s="26">
        <v>1.2999999999999999E-2</v>
      </c>
      <c r="W8" s="26">
        <v>1.2999999999999999E-2</v>
      </c>
      <c r="X8" s="26">
        <f>((Y8-W8)/6)*5+W8</f>
        <v>1.2999999999999999E-2</v>
      </c>
      <c r="Y8" s="26">
        <v>1.2999999999999999E-2</v>
      </c>
      <c r="Z8" s="15">
        <f ca="1">IFERROR(__xludf.DUMMYFUNCTION("INDEX(IMPORTRANGE(""17pNv02DXDpQT9S3w4-QeNym2QJy2BzMBqDXp-XtzJBM"", ""'SPGG'!BH3:BH139""),MATCH($D8,IMPORTRANGE(""17pNv02DXDpQT9S3w4-QeNym2QJy2BzMBqDXp-XtzJBM"", ""'SPGG'!D3:D139""),0))"),0)</f>
        <v>0</v>
      </c>
      <c r="AA8" s="15">
        <f ca="1">IFERROR(__xludf.DUMMYFUNCTION("INDEX(IMPORTRANGE(""17pNv02DXDpQT9S3w4-QeNym2QJy2BzMBqDXp-XtzJBM"", ""'SPGG'!BI3:BI139""),MATCH($D8,IMPORTRANGE(""17pNv02DXDpQT9S3w4-QeNym2QJy2BzMBqDXp-XtzJBM"", ""'SPGG'!D3:D139""),0))"),0.0216998191681736)</f>
        <v>2.1699819168173599E-2</v>
      </c>
      <c r="AB8" s="15">
        <f ca="1">IFERROR(__xludf.DUMMYFUNCTION("INDEX(IMPORTRANGE(""17pNv02DXDpQT9S3w4-QeNym2QJy2BzMBqDXp-XtzJBM"", ""'SPGG'!BJ3:BJ139""),MATCH($D8,IMPORTRANGE(""17pNv02DXDpQT9S3w4-QeNym2QJy2BzMBqDXp-XtzJBM"", ""'SPGG'!D3:D139""),0))"),0.0136054421768707)</f>
        <v>1.3605442176870699E-2</v>
      </c>
      <c r="AC8" s="15">
        <f ca="1">IFERROR(__xludf.DUMMYFUNCTION("INDEX(IMPORTRANGE(""17pNv02DXDpQT9S3w4-QeNym2QJy2BzMBqDXp-XtzJBM"", ""'SPGG'!BK3:BK139""),MATCH($D8,IMPORTRANGE(""17pNv02DXDpQT9S3w4-QeNym2QJy2BzMBqDXp-XtzJBM"", ""'SPGG'!D3:D139""),0))"),0.0131362889983579)</f>
        <v>1.3136288998357899E-2</v>
      </c>
      <c r="AD8" s="15">
        <f ca="1">IFERROR(__xludf.DUMMYFUNCTION("INDEX(IMPORTRANGE(""17pNv02DXDpQT9S3w4-QeNym2QJy2BzMBqDXp-XtzJBM"", ""'SPGG'!BL3:BL139""),MATCH($D8,IMPORTRANGE(""17pNv02DXDpQT9S3w4-QeNym2QJy2BzMBqDXp-XtzJBM"", ""'SPGG'!D3:D139""),0))"),0.016750418760469)</f>
        <v>1.6750418760469E-2</v>
      </c>
      <c r="AE8" s="15">
        <f ca="1">IFERROR(__xludf.DUMMYFUNCTION("INDEX(IMPORTRANGE(""17pNv02DXDpQT9S3w4-QeNym2QJy2BzMBqDXp-XtzJBM"", ""'SPGG'!BM3:BM139""),MATCH($D8,IMPORTRANGE(""17pNv02DXDpQT9S3w4-QeNym2QJy2BzMBqDXp-XtzJBM"", ""'SPGG'!D3:D139""),0))"),0.0191387559808612)</f>
        <v>1.9138755980861202E-2</v>
      </c>
    </row>
    <row r="9" spans="1:31">
      <c r="A9" s="7" t="s">
        <v>52</v>
      </c>
      <c r="B9" s="7" t="s">
        <v>53</v>
      </c>
      <c r="C9" s="1" t="s">
        <v>30</v>
      </c>
      <c r="D9" s="1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9" t="s">
        <v>363</v>
      </c>
      <c r="P9" s="9" t="s">
        <v>63</v>
      </c>
      <c r="Q9" s="5">
        <v>41</v>
      </c>
      <c r="R9" s="5">
        <v>88</v>
      </c>
      <c r="S9" s="5">
        <f ca="1">IFERROR(__xludf.DUMMYFUNCTION("INDEX(IMPORTRANGE(""17pNv02DXDpQT9S3w4-QeNym2QJy2BzMBqDXp-XtzJBM"", ""'SPGG'!BG3:BG139""),MATCH($D9,IMPORTRANGE(""17pNv02DXDpQT9S3w4-QeNym2QJy2BzMBqDXp-XtzJBM"", ""'SPGG'!D3:D139""),0))"),88)</f>
        <v>88</v>
      </c>
      <c r="T9" s="13"/>
      <c r="U9" s="13"/>
      <c r="V9" s="13"/>
      <c r="W9" s="13"/>
      <c r="X9" s="13"/>
      <c r="Y9" s="4"/>
      <c r="Z9" s="12">
        <f ca="1">IFERROR(__xludf.DUMMYFUNCTION("INDEX(IMPORTRANGE(""17pNv02DXDpQT9S3w4-QeNym2QJy2BzMBqDXp-XtzJBM"", ""'SPGG'!BH3:BH139""),MATCH($D9,IMPORTRANGE(""17pNv02DXDpQT9S3w4-QeNym2QJy2BzMBqDXp-XtzJBM"", ""'SPGG'!D3:D139""),0))"),5)</f>
        <v>5</v>
      </c>
      <c r="AA9" s="12">
        <f ca="1">IFERROR(__xludf.DUMMYFUNCTION("INDEX(IMPORTRANGE(""17pNv02DXDpQT9S3w4-QeNym2QJy2BzMBqDXp-XtzJBM"", ""'SPGG'!BI3:BI139""),MATCH($D9,IMPORTRANGE(""17pNv02DXDpQT9S3w4-QeNym2QJy2BzMBqDXp-XtzJBM"", ""'SPGG'!D3:D139""),0))"),31)</f>
        <v>31</v>
      </c>
      <c r="AB9" s="12">
        <f ca="1">IFERROR(__xludf.DUMMYFUNCTION("INDEX(IMPORTRANGE(""17pNv02DXDpQT9S3w4-QeNym2QJy2BzMBqDXp-XtzJBM"", ""'SPGG'!BJ3:BJ139""),MATCH($D9,IMPORTRANGE(""17pNv02DXDpQT9S3w4-QeNym2QJy2BzMBqDXp-XtzJBM"", ""'SPGG'!D3:D139""),0))"),35)</f>
        <v>35</v>
      </c>
      <c r="AC9" s="12">
        <f ca="1">IFERROR(__xludf.DUMMYFUNCTION("INDEX(IMPORTRANGE(""17pNv02DXDpQT9S3w4-QeNym2QJy2BzMBqDXp-XtzJBM"", ""'SPGG'!BK3:BK139""),MATCH($D9,IMPORTRANGE(""17pNv02DXDpQT9S3w4-QeNym2QJy2BzMBqDXp-XtzJBM"", ""'SPGG'!D3:D139""),0))"),38)</f>
        <v>38</v>
      </c>
      <c r="AD9" s="12">
        <f ca="1">IFERROR(__xludf.DUMMYFUNCTION("INDEX(IMPORTRANGE(""17pNv02DXDpQT9S3w4-QeNym2QJy2BzMBqDXp-XtzJBM"", ""'SPGG'!BL3:BL139""),MATCH($D9,IMPORTRANGE(""17pNv02DXDpQT9S3w4-QeNym2QJy2BzMBqDXp-XtzJBM"", ""'SPGG'!D3:D139""),0))"),81)</f>
        <v>81</v>
      </c>
      <c r="AE9" s="12">
        <f ca="1">IFERROR(__xludf.DUMMYFUNCTION("INDEX(IMPORTRANGE(""17pNv02DXDpQT9S3w4-QeNym2QJy2BzMBqDXp-XtzJBM"", ""'SPGG'!BM3:BM139""),MATCH($D9,IMPORTRANGE(""17pNv02DXDpQT9S3w4-QeNym2QJy2BzMBqDXp-XtzJBM"", ""'SPGG'!D3:D139""),0))"),87)</f>
        <v>87</v>
      </c>
    </row>
    <row r="10" spans="1:31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9" t="s">
        <v>363</v>
      </c>
      <c r="P10" s="9" t="s">
        <v>63</v>
      </c>
      <c r="Q10" s="5">
        <v>454</v>
      </c>
      <c r="R10" s="5">
        <v>1002</v>
      </c>
      <c r="S10" s="5">
        <f ca="1">IFERROR(__xludf.DUMMYFUNCTION("INDEX(IMPORTRANGE(""17pNv02DXDpQT9S3w4-QeNym2QJy2BzMBqDXp-XtzJBM"", ""'SPGG'!BG3:BG139""),MATCH($D10,IMPORTRANGE(""17pNv02DXDpQT9S3w4-QeNym2QJy2BzMBqDXp-XtzJBM"", ""'SPGG'!D3:D139""),0))"),1002)</f>
        <v>1002</v>
      </c>
      <c r="T10" s="13"/>
      <c r="U10" s="13"/>
      <c r="V10" s="13"/>
      <c r="W10" s="13"/>
      <c r="X10" s="13"/>
      <c r="Y10" s="4"/>
      <c r="Z10" s="12">
        <f ca="1">IFERROR(__xludf.DUMMYFUNCTION("INDEX(IMPORTRANGE(""17pNv02DXDpQT9S3w4-QeNym2QJy2BzMBqDXp-XtzJBM"", ""'SPGG'!BH3:BH139""),MATCH($D10,IMPORTRANGE(""17pNv02DXDpQT9S3w4-QeNym2QJy2BzMBqDXp-XtzJBM"", ""'SPGG'!D3:D139""),0))"),555)</f>
        <v>555</v>
      </c>
      <c r="AA10" s="12">
        <f ca="1">IFERROR(__xludf.DUMMYFUNCTION("INDEX(IMPORTRANGE(""17pNv02DXDpQT9S3w4-QeNym2QJy2BzMBqDXp-XtzJBM"", ""'SPGG'!BI3:BI139""),MATCH($D10,IMPORTRANGE(""17pNv02DXDpQT9S3w4-QeNym2QJy2BzMBqDXp-XtzJBM"", ""'SPGG'!D3:D139""),0))"),1370)</f>
        <v>1370</v>
      </c>
      <c r="AB10" s="12">
        <f ca="1">IFERROR(__xludf.DUMMYFUNCTION("INDEX(IMPORTRANGE(""17pNv02DXDpQT9S3w4-QeNym2QJy2BzMBqDXp-XtzJBM"", ""'SPGG'!BJ3:BJ139""),MATCH($D10,IMPORTRANGE(""17pNv02DXDpQT9S3w4-QeNym2QJy2BzMBqDXp-XtzJBM"", ""'SPGG'!D3:D139""),0))"),505)</f>
        <v>505</v>
      </c>
      <c r="AC10" s="12">
        <f ca="1">IFERROR(__xludf.DUMMYFUNCTION("INDEX(IMPORTRANGE(""17pNv02DXDpQT9S3w4-QeNym2QJy2BzMBqDXp-XtzJBM"", ""'SPGG'!BK3:BK139""),MATCH($D10,IMPORTRANGE(""17pNv02DXDpQT9S3w4-QeNym2QJy2BzMBqDXp-XtzJBM"", ""'SPGG'!D3:D139""),0))"),877)</f>
        <v>877</v>
      </c>
      <c r="AD10" s="12">
        <f ca="1">IFERROR(__xludf.DUMMYFUNCTION("INDEX(IMPORTRANGE(""17pNv02DXDpQT9S3w4-QeNym2QJy2BzMBqDXp-XtzJBM"", ""'SPGG'!BL3:BL139""),MATCH($D10,IMPORTRANGE(""17pNv02DXDpQT9S3w4-QeNym2QJy2BzMBqDXp-XtzJBM"", ""'SPGG'!D3:D139""),0))"),501)</f>
        <v>501</v>
      </c>
      <c r="AE10" s="12">
        <f ca="1">IFERROR(__xludf.DUMMYFUNCTION("INDEX(IMPORTRANGE(""17pNv02DXDpQT9S3w4-QeNym2QJy2BzMBqDXp-XtzJBM"", ""'SPGG'!BM3:BM139""),MATCH($D10,IMPORTRANGE(""17pNv02DXDpQT9S3w4-QeNym2QJy2BzMBqDXp-XtzJBM"", ""'SPGG'!D3:D139""),0))"),763)</f>
        <v>763</v>
      </c>
    </row>
    <row r="11" spans="1:31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9" t="s">
        <v>363</v>
      </c>
      <c r="P11" s="9" t="s">
        <v>63</v>
      </c>
      <c r="Q11" s="15">
        <f t="shared" ref="Q11:R11" si="2">Q9/Q10</f>
        <v>9.0308370044052858E-2</v>
      </c>
      <c r="R11" s="15">
        <f t="shared" si="2"/>
        <v>8.7824351297405193E-2</v>
      </c>
      <c r="S11" s="15">
        <f ca="1">IFERROR(__xludf.DUMMYFUNCTION("INDEX(IMPORTRANGE(""17pNv02DXDpQT9S3w4-QeNym2QJy2BzMBqDXp-XtzJBM"", ""'SPGG'!BG3:BG139""),MATCH($D11,IMPORTRANGE(""17pNv02DXDpQT9S3w4-QeNym2QJy2BzMBqDXp-XtzJBM"", ""'SPGG'!D3:D139""),0))"),0.0878243512974051)</f>
        <v>8.7824351297405095E-2</v>
      </c>
      <c r="T11" s="26">
        <v>4.0000000000000001E-3</v>
      </c>
      <c r="U11" s="26">
        <v>4.0000000000000001E-3</v>
      </c>
      <c r="V11" s="26">
        <v>4.0000000000000001E-3</v>
      </c>
      <c r="W11" s="26">
        <v>4.0000000000000001E-3</v>
      </c>
      <c r="X11" s="26">
        <v>4.0000000000000001E-3</v>
      </c>
      <c r="Y11" s="26">
        <v>4.0000000000000001E-3</v>
      </c>
      <c r="Z11" s="15">
        <f ca="1">IFERROR(__xludf.DUMMYFUNCTION("INDEX(IMPORTRANGE(""17pNv02DXDpQT9S3w4-QeNym2QJy2BzMBqDXp-XtzJBM"", ""'SPGG'!BH3:BH139""),MATCH($D11,IMPORTRANGE(""17pNv02DXDpQT9S3w4-QeNym2QJy2BzMBqDXp-XtzJBM"", ""'SPGG'!D3:D139""),0))"),0.009009009009009)</f>
        <v>9.0090090090090003E-3</v>
      </c>
      <c r="AA11" s="15">
        <f ca="1">IFERROR(__xludf.DUMMYFUNCTION("INDEX(IMPORTRANGE(""17pNv02DXDpQT9S3w4-QeNym2QJy2BzMBqDXp-XtzJBM"", ""'SPGG'!BI3:BI139""),MATCH($D11,IMPORTRANGE(""17pNv02DXDpQT9S3w4-QeNym2QJy2BzMBqDXp-XtzJBM"", ""'SPGG'!D3:D139""),0))"),0.0226277372262773)</f>
        <v>2.2627737226277301E-2</v>
      </c>
      <c r="AB11" s="15">
        <f ca="1">IFERROR(__xludf.DUMMYFUNCTION("INDEX(IMPORTRANGE(""17pNv02DXDpQT9S3w4-QeNym2QJy2BzMBqDXp-XtzJBM"", ""'SPGG'!BJ3:BJ139""),MATCH($D11,IMPORTRANGE(""17pNv02DXDpQT9S3w4-QeNym2QJy2BzMBqDXp-XtzJBM"", ""'SPGG'!D3:D139""),0))"),0.0693069306930693)</f>
        <v>6.9306930693069299E-2</v>
      </c>
      <c r="AC11" s="15">
        <f ca="1">IFERROR(__xludf.DUMMYFUNCTION("INDEX(IMPORTRANGE(""17pNv02DXDpQT9S3w4-QeNym2QJy2BzMBqDXp-XtzJBM"", ""'SPGG'!BK3:BK139""),MATCH($D11,IMPORTRANGE(""17pNv02DXDpQT9S3w4-QeNym2QJy2BzMBqDXp-XtzJBM"", ""'SPGG'!D3:D139""),0))"),0.0433295324971493)</f>
        <v>4.3329532497149298E-2</v>
      </c>
      <c r="AD11" s="15">
        <f ca="1">IFERROR(__xludf.DUMMYFUNCTION("INDEX(IMPORTRANGE(""17pNv02DXDpQT9S3w4-QeNym2QJy2BzMBqDXp-XtzJBM"", ""'SPGG'!BL3:BL139""),MATCH($D11,IMPORTRANGE(""17pNv02DXDpQT9S3w4-QeNym2QJy2BzMBqDXp-XtzJBM"", ""'SPGG'!D3:D139""),0))"),0.161676646706586)</f>
        <v>0.16167664670658599</v>
      </c>
      <c r="AE11" s="15">
        <f ca="1">IFERROR(__xludf.DUMMYFUNCTION("INDEX(IMPORTRANGE(""17pNv02DXDpQT9S3w4-QeNym2QJy2BzMBqDXp-XtzJBM"", ""'SPGG'!BM3:BM139""),MATCH($D11,IMPORTRANGE(""17pNv02DXDpQT9S3w4-QeNym2QJy2BzMBqDXp-XtzJBM"", ""'SPGG'!D3:D139""),0))"),0.114023591087811)</f>
        <v>0.114023591087811</v>
      </c>
    </row>
    <row r="12" spans="1:31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9" t="s">
        <v>363</v>
      </c>
      <c r="P12" s="9" t="s">
        <v>63</v>
      </c>
      <c r="Q12" s="5">
        <v>6</v>
      </c>
      <c r="R12" s="5">
        <v>9</v>
      </c>
      <c r="S12" s="5">
        <f ca="1">IFERROR(__xludf.DUMMYFUNCTION("INDEX(IMPORTRANGE(""17pNv02DXDpQT9S3w4-QeNym2QJy2BzMBqDXp-XtzJBM"", ""'SPGG'!BG3:BG139""),MATCH($D12,IMPORTRANGE(""17pNv02DXDpQT9S3w4-QeNym2QJy2BzMBqDXp-XtzJBM"", ""'SPGG'!D3:D139""),0))"),8)</f>
        <v>8</v>
      </c>
      <c r="T12" s="13"/>
      <c r="U12" s="13"/>
      <c r="V12" s="13"/>
      <c r="W12" s="13"/>
      <c r="X12" s="13"/>
      <c r="Y12" s="4"/>
      <c r="Z12" s="12">
        <f ca="1">IFERROR(__xludf.DUMMYFUNCTION("INDEX(IMPORTRANGE(""17pNv02DXDpQT9S3w4-QeNym2QJy2BzMBqDXp-XtzJBM"", ""'SPGG'!BH3:BH139""),MATCH($D12,IMPORTRANGE(""17pNv02DXDpQT9S3w4-QeNym2QJy2BzMBqDXp-XtzJBM"", ""'SPGG'!D3:D139""),0))"),7)</f>
        <v>7</v>
      </c>
      <c r="AA12" s="12">
        <f ca="1">IFERROR(__xludf.DUMMYFUNCTION("INDEX(IMPORTRANGE(""17pNv02DXDpQT9S3w4-QeNym2QJy2BzMBqDXp-XtzJBM"", ""'SPGG'!BI3:BI139""),MATCH($D12,IMPORTRANGE(""17pNv02DXDpQT9S3w4-QeNym2QJy2BzMBqDXp-XtzJBM"", ""'SPGG'!D3:D139""),0))"),7)</f>
        <v>7</v>
      </c>
      <c r="AB12" s="12">
        <f ca="1">IFERROR(__xludf.DUMMYFUNCTION("INDEX(IMPORTRANGE(""17pNv02DXDpQT9S3w4-QeNym2QJy2BzMBqDXp-XtzJBM"", ""'SPGG'!BJ3:BJ139""),MATCH($D12,IMPORTRANGE(""17pNv02DXDpQT9S3w4-QeNym2QJy2BzMBqDXp-XtzJBM"", ""'SPGG'!D3:D139""),0))"),3)</f>
        <v>3</v>
      </c>
      <c r="AC12" s="12">
        <f ca="1">IFERROR(__xludf.DUMMYFUNCTION("INDEX(IMPORTRANGE(""17pNv02DXDpQT9S3w4-QeNym2QJy2BzMBqDXp-XtzJBM"", ""'SPGG'!BK3:BK139""),MATCH($D12,IMPORTRANGE(""17pNv02DXDpQT9S3w4-QeNym2QJy2BzMBqDXp-XtzJBM"", ""'SPGG'!D3:D139""),0))"),13)</f>
        <v>13</v>
      </c>
      <c r="AD12" s="12">
        <f ca="1">IFERROR(__xludf.DUMMYFUNCTION("INDEX(IMPORTRANGE(""17pNv02DXDpQT9S3w4-QeNym2QJy2BzMBqDXp-XtzJBM"", ""'SPGG'!BL3:BL139""),MATCH($D12,IMPORTRANGE(""17pNv02DXDpQT9S3w4-QeNym2QJy2BzMBqDXp-XtzJBM"", ""'SPGG'!D3:D139""),0))"),7)</f>
        <v>7</v>
      </c>
      <c r="AE12" s="12">
        <f ca="1">IFERROR(__xludf.DUMMYFUNCTION("INDEX(IMPORTRANGE(""17pNv02DXDpQT9S3w4-QeNym2QJy2BzMBqDXp-XtzJBM"", ""'SPGG'!BM3:BM139""),MATCH($D12,IMPORTRANGE(""17pNv02DXDpQT9S3w4-QeNym2QJy2BzMBqDXp-XtzJBM"", ""'SPGG'!D3:D139""),0))"),13)</f>
        <v>13</v>
      </c>
    </row>
    <row r="13" spans="1:31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9" t="s">
        <v>363</v>
      </c>
      <c r="P13" s="9" t="s">
        <v>63</v>
      </c>
      <c r="Q13" s="23">
        <f t="shared" ref="Q13:R13" si="3">(Q12/Q$2)*100000</f>
        <v>4.3182554248083775</v>
      </c>
      <c r="R13" s="23">
        <f t="shared" si="3"/>
        <v>6.4773831372125672</v>
      </c>
      <c r="S13" s="23">
        <f ca="1">IFERROR(__xludf.DUMMYFUNCTION("INDEX(IMPORTRANGE(""17pNv02DXDpQT9S3w4-QeNym2QJy2BzMBqDXp-XtzJBM"", ""'SPGG'!BG3:BG139""),MATCH($D13,IMPORTRANGE(""17pNv02DXDpQT9S3w4-QeNym2QJy2BzMBqDXp-XtzJBM"", ""'SPGG'!D3:D139""),0))"),5.7576738997445)</f>
        <v>5.7576738997444998</v>
      </c>
      <c r="T13" s="2">
        <v>5.85</v>
      </c>
      <c r="U13" s="2">
        <v>3.87</v>
      </c>
      <c r="V13" s="2">
        <v>5.85</v>
      </c>
      <c r="W13" s="2">
        <v>3.87</v>
      </c>
      <c r="X13" s="24">
        <f ca="1">+S13*(1+(Y13-R13)/R13)</f>
        <v>5.1999999999999957</v>
      </c>
      <c r="Y13" s="2">
        <v>5.85</v>
      </c>
      <c r="Z13" s="23">
        <f ca="1">IFERROR(__xludf.DUMMYFUNCTION("INDEX(IMPORTRANGE(""17pNv02DXDpQT9S3w4-QeNym2QJy2BzMBqDXp-XtzJBM"", ""'SPGG'!BH3:BH139""),MATCH($D13,IMPORTRANGE(""17pNv02DXDpQT9S3w4-QeNym2QJy2BzMBqDXp-XtzJBM"", ""'SPGG'!D3:D139""),0))"),4.98327044920623)</f>
        <v>4.9832704492062296</v>
      </c>
      <c r="AA13" s="23">
        <f ca="1">IFERROR(__xludf.DUMMYFUNCTION("INDEX(IMPORTRANGE(""17pNv02DXDpQT9S3w4-QeNym2QJy2BzMBqDXp-XtzJBM"", ""'SPGG'!BI3:BI139""),MATCH($D13,IMPORTRANGE(""17pNv02DXDpQT9S3w4-QeNym2QJy2BzMBqDXp-XtzJBM"", ""'SPGG'!D3:D139""),0))"),4.98327044920623)</f>
        <v>4.9832704492062296</v>
      </c>
      <c r="AB13" s="23">
        <f ca="1">IFERROR(__xludf.DUMMYFUNCTION("INDEX(IMPORTRANGE(""17pNv02DXDpQT9S3w4-QeNym2QJy2BzMBqDXp-XtzJBM"", ""'SPGG'!BJ3:BJ139""),MATCH($D13,IMPORTRANGE(""17pNv02DXDpQT9S3w4-QeNym2QJy2BzMBqDXp-XtzJBM"", ""'SPGG'!D3:D139""),0))"),2.10943762392946)</f>
        <v>2.1094376239294599</v>
      </c>
      <c r="AC13" s="23">
        <f ca="1">IFERROR(__xludf.DUMMYFUNCTION("INDEX(IMPORTRANGE(""17pNv02DXDpQT9S3w4-QeNym2QJy2BzMBqDXp-XtzJBM"", ""'SPGG'!BK3:BK139""),MATCH($D13,IMPORTRANGE(""17pNv02DXDpQT9S3w4-QeNym2QJy2BzMBqDXp-XtzJBM"", ""'SPGG'!D3:D139""),0))"),9.14089637036099)</f>
        <v>9.1408963703609896</v>
      </c>
      <c r="AD13" s="23">
        <f ca="1">IFERROR(__xludf.DUMMYFUNCTION("INDEX(IMPORTRANGE(""17pNv02DXDpQT9S3w4-QeNym2QJy2BzMBqDXp-XtzJBM"", ""'SPGG'!BL3:BL139""),MATCH($D13,IMPORTRANGE(""17pNv02DXDpQT9S3w4-QeNym2QJy2BzMBqDXp-XtzJBM"", ""'SPGG'!D3:D139""),0))"),4.85433526813267)</f>
        <v>4.8543352681326697</v>
      </c>
      <c r="AE13" s="23">
        <f ca="1">IFERROR(__xludf.DUMMYFUNCTION("INDEX(IMPORTRANGE(""17pNv02DXDpQT9S3w4-QeNym2QJy2BzMBqDXp-XtzJBM"", ""'SPGG'!BM3:BM139""),MATCH($D13,IMPORTRANGE(""17pNv02DXDpQT9S3w4-QeNym2QJy2BzMBqDXp-XtzJBM"", ""'SPGG'!D3:D139""),0))"),9.01519406938925)</f>
        <v>9.0151940693892492</v>
      </c>
    </row>
    <row r="14" spans="1:31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9" t="s">
        <v>363</v>
      </c>
      <c r="P14" s="9" t="s">
        <v>63</v>
      </c>
      <c r="Q14" s="5">
        <v>34</v>
      </c>
      <c r="R14" s="5">
        <v>62</v>
      </c>
      <c r="S14" s="5">
        <f ca="1">IFERROR(__xludf.DUMMYFUNCTION("INDEX(IMPORTRANGE(""17pNv02DXDpQT9S3w4-QeNym2QJy2BzMBqDXp-XtzJBM"", ""'SPGG'!BG3:BG139""),MATCH($D14,IMPORTRANGE(""17pNv02DXDpQT9S3w4-QeNym2QJy2BzMBqDXp-XtzJBM"", ""'SPGG'!D3:D139""),0))"),57)</f>
        <v>57</v>
      </c>
      <c r="T14" s="13"/>
      <c r="U14" s="13"/>
      <c r="V14" s="13"/>
      <c r="W14" s="13"/>
      <c r="X14" s="181"/>
      <c r="Y14" s="4"/>
      <c r="Z14" s="12">
        <f ca="1">IFERROR(__xludf.DUMMYFUNCTION("INDEX(IMPORTRANGE(""17pNv02DXDpQT9S3w4-QeNym2QJy2BzMBqDXp-XtzJBM"", ""'SPGG'!BH3:BH139""),MATCH($D14,IMPORTRANGE(""17pNv02DXDpQT9S3w4-QeNym2QJy2BzMBqDXp-XtzJBM"", ""'SPGG'!D3:D139""),0))"),16)</f>
        <v>16</v>
      </c>
      <c r="AA14" s="12">
        <f ca="1">IFERROR(__xludf.DUMMYFUNCTION("INDEX(IMPORTRANGE(""17pNv02DXDpQT9S3w4-QeNym2QJy2BzMBqDXp-XtzJBM"", ""'SPGG'!BI3:BI139""),MATCH($D14,IMPORTRANGE(""17pNv02DXDpQT9S3w4-QeNym2QJy2BzMBqDXp-XtzJBM"", ""'SPGG'!D3:D139""),0))"),40)</f>
        <v>40</v>
      </c>
      <c r="AB14" s="12">
        <f ca="1">IFERROR(__xludf.DUMMYFUNCTION("INDEX(IMPORTRANGE(""17pNv02DXDpQT9S3w4-QeNym2QJy2BzMBqDXp-XtzJBM"", ""'SPGG'!BJ3:BJ139""),MATCH($D14,IMPORTRANGE(""17pNv02DXDpQT9S3w4-QeNym2QJy2BzMBqDXp-XtzJBM"", ""'SPGG'!D3:D139""),0))"),19)</f>
        <v>19</v>
      </c>
      <c r="AC14" s="12">
        <f ca="1">IFERROR(__xludf.DUMMYFUNCTION("INDEX(IMPORTRANGE(""17pNv02DXDpQT9S3w4-QeNym2QJy2BzMBqDXp-XtzJBM"", ""'SPGG'!BK3:BK139""),MATCH($D14,IMPORTRANGE(""17pNv02DXDpQT9S3w4-QeNym2QJy2BzMBqDXp-XtzJBM"", ""'SPGG'!D3:D139""),0))"),37)</f>
        <v>37</v>
      </c>
      <c r="AD14" s="12">
        <f ca="1">IFERROR(__xludf.DUMMYFUNCTION("INDEX(IMPORTRANGE(""17pNv02DXDpQT9S3w4-QeNym2QJy2BzMBqDXp-XtzJBM"", ""'SPGG'!BL3:BL139""),MATCH($D14,IMPORTRANGE(""17pNv02DXDpQT9S3w4-QeNym2QJy2BzMBqDXp-XtzJBM"", ""'SPGG'!D3:D139""),0))"),13)</f>
        <v>13</v>
      </c>
      <c r="AE14" s="12">
        <f ca="1">IFERROR(__xludf.DUMMYFUNCTION("INDEX(IMPORTRANGE(""17pNv02DXDpQT9S3w4-QeNym2QJy2BzMBqDXp-XtzJBM"", ""'SPGG'!BM3:BM139""),MATCH($D14,IMPORTRANGE(""17pNv02DXDpQT9S3w4-QeNym2QJy2BzMBqDXp-XtzJBM"", ""'SPGG'!D3:D139""),0))"),27)</f>
        <v>27</v>
      </c>
    </row>
    <row r="15" spans="1:31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9" t="s">
        <v>363</v>
      </c>
      <c r="P15" s="9" t="s">
        <v>63</v>
      </c>
      <c r="Q15" s="5">
        <v>23</v>
      </c>
      <c r="R15" s="5">
        <v>42</v>
      </c>
      <c r="S15" s="5">
        <f ca="1">IFERROR(__xludf.DUMMYFUNCTION("INDEX(IMPORTRANGE(""17pNv02DXDpQT9S3w4-QeNym2QJy2BzMBqDXp-XtzJBM"", ""'SPGG'!BG3:BG139""),MATCH($D15,IMPORTRANGE(""17pNv02DXDpQT9S3w4-QeNym2QJy2BzMBqDXp-XtzJBM"", ""'SPGG'!D3:D139""),0))"),37)</f>
        <v>37</v>
      </c>
      <c r="T15" s="13"/>
      <c r="U15" s="13"/>
      <c r="V15" s="13"/>
      <c r="W15" s="13"/>
      <c r="X15" s="181"/>
      <c r="Y15" s="4"/>
      <c r="Z15" s="12">
        <f ca="1">IFERROR(__xludf.DUMMYFUNCTION("INDEX(IMPORTRANGE(""17pNv02DXDpQT9S3w4-QeNym2QJy2BzMBqDXp-XtzJBM"", ""'SPGG'!BH3:BH139""),MATCH($D15,IMPORTRANGE(""17pNv02DXDpQT9S3w4-QeNym2QJy2BzMBqDXp-XtzJBM"", ""'SPGG'!D3:D139""),0))"),27)</f>
        <v>27</v>
      </c>
      <c r="AA15" s="12">
        <f ca="1">IFERROR(__xludf.DUMMYFUNCTION("INDEX(IMPORTRANGE(""17pNv02DXDpQT9S3w4-QeNym2QJy2BzMBqDXp-XtzJBM"", ""'SPGG'!BI3:BI139""),MATCH($D15,IMPORTRANGE(""17pNv02DXDpQT9S3w4-QeNym2QJy2BzMBqDXp-XtzJBM"", ""'SPGG'!D3:D139""),0))"),46)</f>
        <v>46</v>
      </c>
      <c r="AB15" s="12">
        <f ca="1">IFERROR(__xludf.DUMMYFUNCTION("INDEX(IMPORTRANGE(""17pNv02DXDpQT9S3w4-QeNym2QJy2BzMBqDXp-XtzJBM"", ""'SPGG'!BJ3:BJ139""),MATCH($D15,IMPORTRANGE(""17pNv02DXDpQT9S3w4-QeNym2QJy2BzMBqDXp-XtzJBM"", ""'SPGG'!D3:D139""),0))"),30)</f>
        <v>30</v>
      </c>
      <c r="AC15" s="12">
        <f ca="1">IFERROR(__xludf.DUMMYFUNCTION("INDEX(IMPORTRANGE(""17pNv02DXDpQT9S3w4-QeNym2QJy2BzMBqDXp-XtzJBM"", ""'SPGG'!BK3:BK139""),MATCH($D15,IMPORTRANGE(""17pNv02DXDpQT9S3w4-QeNym2QJy2BzMBqDXp-XtzJBM"", ""'SPGG'!D3:D139""),0))"),57)</f>
        <v>57</v>
      </c>
      <c r="AD15" s="12">
        <f ca="1">IFERROR(__xludf.DUMMYFUNCTION("INDEX(IMPORTRANGE(""17pNv02DXDpQT9S3w4-QeNym2QJy2BzMBqDXp-XtzJBM"", ""'SPGG'!BL3:BL139""),MATCH($D15,IMPORTRANGE(""17pNv02DXDpQT9S3w4-QeNym2QJy2BzMBqDXp-XtzJBM"", ""'SPGG'!D3:D139""),0))"),24)</f>
        <v>24</v>
      </c>
      <c r="AE15" s="12">
        <f ca="1">IFERROR(__xludf.DUMMYFUNCTION("INDEX(IMPORTRANGE(""17pNv02DXDpQT9S3w4-QeNym2QJy2BzMBqDXp-XtzJBM"", ""'SPGG'!BM3:BM139""),MATCH($D15,IMPORTRANGE(""17pNv02DXDpQT9S3w4-QeNym2QJy2BzMBqDXp-XtzJBM"", ""'SPGG'!D3:D139""),0))"),38)</f>
        <v>38</v>
      </c>
    </row>
    <row r="16" spans="1:31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9" t="s">
        <v>363</v>
      </c>
      <c r="P16" s="9" t="s">
        <v>63</v>
      </c>
      <c r="Q16" s="5">
        <v>15</v>
      </c>
      <c r="R16" s="5">
        <v>25</v>
      </c>
      <c r="S16" s="5">
        <f ca="1">IFERROR(__xludf.DUMMYFUNCTION("INDEX(IMPORTRANGE(""17pNv02DXDpQT9S3w4-QeNym2QJy2BzMBqDXp-XtzJBM"", ""'SPGG'!BG3:BG139""),MATCH($D16,IMPORTRANGE(""17pNv02DXDpQT9S3w4-QeNym2QJy2BzMBqDXp-XtzJBM"", ""'SPGG'!D3:D139""),0))"),23)</f>
        <v>23</v>
      </c>
      <c r="T16" s="13"/>
      <c r="U16" s="13"/>
      <c r="V16" s="13"/>
      <c r="W16" s="13"/>
      <c r="X16" s="181"/>
      <c r="Y16" s="4"/>
      <c r="Z16" s="12">
        <f ca="1">IFERROR(__xludf.DUMMYFUNCTION("INDEX(IMPORTRANGE(""17pNv02DXDpQT9S3w4-QeNym2QJy2BzMBqDXp-XtzJBM"", ""'SPGG'!BH3:BH139""),MATCH($D16,IMPORTRANGE(""17pNv02DXDpQT9S3w4-QeNym2QJy2BzMBqDXp-XtzJBM"", ""'SPGG'!D3:D139""),0))"),6)</f>
        <v>6</v>
      </c>
      <c r="AA16" s="12">
        <f ca="1">IFERROR(__xludf.DUMMYFUNCTION("INDEX(IMPORTRANGE(""17pNv02DXDpQT9S3w4-QeNym2QJy2BzMBqDXp-XtzJBM"", ""'SPGG'!BI3:BI139""),MATCH($D16,IMPORTRANGE(""17pNv02DXDpQT9S3w4-QeNym2QJy2BzMBqDXp-XtzJBM"", ""'SPGG'!D3:D139""),0))"),18)</f>
        <v>18</v>
      </c>
      <c r="AB16" s="12">
        <f ca="1">IFERROR(__xludf.DUMMYFUNCTION("INDEX(IMPORTRANGE(""17pNv02DXDpQT9S3w4-QeNym2QJy2BzMBqDXp-XtzJBM"", ""'SPGG'!BJ3:BJ139""),MATCH($D16,IMPORTRANGE(""17pNv02DXDpQT9S3w4-QeNym2QJy2BzMBqDXp-XtzJBM"", ""'SPGG'!D3:D139""),0))"),8)</f>
        <v>8</v>
      </c>
      <c r="AC16" s="12">
        <f ca="1">IFERROR(__xludf.DUMMYFUNCTION("INDEX(IMPORTRANGE(""17pNv02DXDpQT9S3w4-QeNym2QJy2BzMBqDXp-XtzJBM"", ""'SPGG'!BK3:BK139""),MATCH($D16,IMPORTRANGE(""17pNv02DXDpQT9S3w4-QeNym2QJy2BzMBqDXp-XtzJBM"", ""'SPGG'!D3:D139""),0))"),25)</f>
        <v>25</v>
      </c>
      <c r="AD16" s="12">
        <f ca="1">IFERROR(__xludf.DUMMYFUNCTION("INDEX(IMPORTRANGE(""17pNv02DXDpQT9S3w4-QeNym2QJy2BzMBqDXp-XtzJBM"", ""'SPGG'!BL3:BL139""),MATCH($D16,IMPORTRANGE(""17pNv02DXDpQT9S3w4-QeNym2QJy2BzMBqDXp-XtzJBM"", ""'SPGG'!D3:D139""),0))"),11)</f>
        <v>11</v>
      </c>
      <c r="AE16" s="12">
        <f ca="1">IFERROR(__xludf.DUMMYFUNCTION("INDEX(IMPORTRANGE(""17pNv02DXDpQT9S3w4-QeNym2QJy2BzMBqDXp-XtzJBM"", ""'SPGG'!BM3:BM139""),MATCH($D16,IMPORTRANGE(""17pNv02DXDpQT9S3w4-QeNym2QJy2BzMBqDXp-XtzJBM"", ""'SPGG'!D3:D139""),0))"),21)</f>
        <v>21</v>
      </c>
    </row>
    <row r="17" spans="1:31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9" t="s">
        <v>363</v>
      </c>
      <c r="P17" s="9" t="s">
        <v>63</v>
      </c>
      <c r="Q17" s="5">
        <v>16</v>
      </c>
      <c r="R17" s="5">
        <v>29</v>
      </c>
      <c r="S17" s="5">
        <f ca="1">IFERROR(__xludf.DUMMYFUNCTION("INDEX(IMPORTRANGE(""17pNv02DXDpQT9S3w4-QeNym2QJy2BzMBqDXp-XtzJBM"", ""'SPGG'!BG3:BG139""),MATCH($D17,IMPORTRANGE(""17pNv02DXDpQT9S3w4-QeNym2QJy2BzMBqDXp-XtzJBM"", ""'SPGG'!D3:D139""),0))"),29)</f>
        <v>29</v>
      </c>
      <c r="T17" s="13"/>
      <c r="U17" s="13"/>
      <c r="V17" s="13"/>
      <c r="W17" s="13"/>
      <c r="X17" s="181"/>
      <c r="Y17" s="4"/>
      <c r="Z17" s="12">
        <f ca="1">IFERROR(__xludf.DUMMYFUNCTION("INDEX(IMPORTRANGE(""17pNv02DXDpQT9S3w4-QeNym2QJy2BzMBqDXp-XtzJBM"", ""'SPGG'!BH3:BH139""),MATCH($D17,IMPORTRANGE(""17pNv02DXDpQT9S3w4-QeNym2QJy2BzMBqDXp-XtzJBM"", ""'SPGG'!D3:D139""),0))"),10)</f>
        <v>10</v>
      </c>
      <c r="AA17" s="12">
        <f ca="1">IFERROR(__xludf.DUMMYFUNCTION("INDEX(IMPORTRANGE(""17pNv02DXDpQT9S3w4-QeNym2QJy2BzMBqDXp-XtzJBM"", ""'SPGG'!BI3:BI139""),MATCH($D17,IMPORTRANGE(""17pNv02DXDpQT9S3w4-QeNym2QJy2BzMBqDXp-XtzJBM"", ""'SPGG'!D3:D139""),0))"),20)</f>
        <v>20</v>
      </c>
      <c r="AB17" s="12">
        <f ca="1">IFERROR(__xludf.DUMMYFUNCTION("INDEX(IMPORTRANGE(""17pNv02DXDpQT9S3w4-QeNym2QJy2BzMBqDXp-XtzJBM"", ""'SPGG'!BJ3:BJ139""),MATCH($D17,IMPORTRANGE(""17pNv02DXDpQT9S3w4-QeNym2QJy2BzMBqDXp-XtzJBM"", ""'SPGG'!D3:D139""),0))"),6)</f>
        <v>6</v>
      </c>
      <c r="AC17" s="12">
        <f ca="1">IFERROR(__xludf.DUMMYFUNCTION("INDEX(IMPORTRANGE(""17pNv02DXDpQT9S3w4-QeNym2QJy2BzMBqDXp-XtzJBM"", ""'SPGG'!BK3:BK139""),MATCH($D17,IMPORTRANGE(""17pNv02DXDpQT9S3w4-QeNym2QJy2BzMBqDXp-XtzJBM"", ""'SPGG'!D3:D139""),0))"),15)</f>
        <v>15</v>
      </c>
      <c r="AD17" s="12">
        <f ca="1">IFERROR(__xludf.DUMMYFUNCTION("INDEX(IMPORTRANGE(""17pNv02DXDpQT9S3w4-QeNym2QJy2BzMBqDXp-XtzJBM"", ""'SPGG'!BL3:BL139""),MATCH($D17,IMPORTRANGE(""17pNv02DXDpQT9S3w4-QeNym2QJy2BzMBqDXp-XtzJBM"", ""'SPGG'!D3:D139""),0))"),6)</f>
        <v>6</v>
      </c>
      <c r="AE17" s="12">
        <f ca="1">IFERROR(__xludf.DUMMYFUNCTION("INDEX(IMPORTRANGE(""17pNv02DXDpQT9S3w4-QeNym2QJy2BzMBqDXp-XtzJBM"", ""'SPGG'!BM3:BM139""),MATCH($D17,IMPORTRANGE(""17pNv02DXDpQT9S3w4-QeNym2QJy2BzMBqDXp-XtzJBM"", ""'SPGG'!D3:D139""),0))"),10)</f>
        <v>10</v>
      </c>
    </row>
    <row r="18" spans="1:31">
      <c r="A18" s="16" t="s">
        <v>52</v>
      </c>
      <c r="B18" s="16" t="s">
        <v>68</v>
      </c>
      <c r="C18" s="8" t="s">
        <v>30</v>
      </c>
      <c r="D18" s="16" t="s">
        <v>342</v>
      </c>
      <c r="E18" s="16" t="str">
        <f>E17</f>
        <v>Secretaría de Seguridad Pública del Estado, CONAPO</v>
      </c>
      <c r="F18" s="313"/>
      <c r="G18" s="22" t="s">
        <v>343</v>
      </c>
      <c r="H18" s="22" t="s">
        <v>344</v>
      </c>
      <c r="I18" s="2" t="s">
        <v>362</v>
      </c>
      <c r="J18" s="21" t="s">
        <v>345</v>
      </c>
      <c r="K18" s="21" t="s">
        <v>336</v>
      </c>
      <c r="L18" s="21" t="s">
        <v>346</v>
      </c>
      <c r="M18" s="21" t="s">
        <v>347</v>
      </c>
      <c r="N18" s="21" t="s">
        <v>348</v>
      </c>
      <c r="O18" s="21" t="s">
        <v>363</v>
      </c>
      <c r="P18" s="21" t="s">
        <v>349</v>
      </c>
      <c r="Q18" s="262">
        <f t="shared" ref="Q18:R18" si="4">SUM(Q14:Q17)</f>
        <v>88</v>
      </c>
      <c r="R18" s="262">
        <f t="shared" si="4"/>
        <v>158</v>
      </c>
      <c r="S18" s="262">
        <f ca="1">IFERROR(__xludf.DUMMYFUNCTION("INDEX(IMPORTRANGE(""17pNv02DXDpQT9S3w4-QeNym2QJy2BzMBqDXp-XtzJBM"", ""'SPGG'!BG3:BG139""),MATCH($D18,IMPORTRANGE(""17pNv02DXDpQT9S3w4-QeNym2QJy2BzMBqDXp-XtzJBM"", ""'SPGG'!D3:D139""),0))"),146)</f>
        <v>146</v>
      </c>
      <c r="T18" s="360"/>
      <c r="U18" s="360"/>
      <c r="V18" s="360"/>
      <c r="W18" s="360"/>
      <c r="X18" s="477"/>
      <c r="Y18" s="360"/>
      <c r="Z18" s="262">
        <f ca="1">IFERROR(__xludf.DUMMYFUNCTION("INDEX(IMPORTRANGE(""17pNv02DXDpQT9S3w4-QeNym2QJy2BzMBqDXp-XtzJBM"", ""'SPGG'!BH3:BH139""),MATCH($D18,IMPORTRANGE(""17pNv02DXDpQT9S3w4-QeNym2QJy2BzMBqDXp-XtzJBM"", ""'SPGG'!D3:D139""),0))"),59)</f>
        <v>59</v>
      </c>
      <c r="AA18" s="262">
        <f ca="1">IFERROR(__xludf.DUMMYFUNCTION("INDEX(IMPORTRANGE(""17pNv02DXDpQT9S3w4-QeNym2QJy2BzMBqDXp-XtzJBM"", ""'SPGG'!BI3:BI139""),MATCH($D18,IMPORTRANGE(""17pNv02DXDpQT9S3w4-QeNym2QJy2BzMBqDXp-XtzJBM"", ""'SPGG'!D3:D139""),0))"),124)</f>
        <v>124</v>
      </c>
      <c r="AB18" s="262">
        <f ca="1">IFERROR(__xludf.DUMMYFUNCTION("INDEX(IMPORTRANGE(""17pNv02DXDpQT9S3w4-QeNym2QJy2BzMBqDXp-XtzJBM"", ""'SPGG'!BJ3:BJ139""),MATCH($D18,IMPORTRANGE(""17pNv02DXDpQT9S3w4-QeNym2QJy2BzMBqDXp-XtzJBM"", ""'SPGG'!D3:D139""),0))"),63)</f>
        <v>63</v>
      </c>
      <c r="AC18" s="262">
        <f ca="1">IFERROR(__xludf.DUMMYFUNCTION("INDEX(IMPORTRANGE(""17pNv02DXDpQT9S3w4-QeNym2QJy2BzMBqDXp-XtzJBM"", ""'SPGG'!BK3:BK139""),MATCH($D18,IMPORTRANGE(""17pNv02DXDpQT9S3w4-QeNym2QJy2BzMBqDXp-XtzJBM"", ""'SPGG'!D3:D139""),0))"),134)</f>
        <v>134</v>
      </c>
      <c r="AD18" s="262">
        <f ca="1">IFERROR(__xludf.DUMMYFUNCTION("INDEX(IMPORTRANGE(""17pNv02DXDpQT9S3w4-QeNym2QJy2BzMBqDXp-XtzJBM"", ""'SPGG'!BL3:BL139""),MATCH($D18,IMPORTRANGE(""17pNv02DXDpQT9S3w4-QeNym2QJy2BzMBqDXp-XtzJBM"", ""'SPGG'!D3:D139""),0))"),54)</f>
        <v>54</v>
      </c>
      <c r="AE18" s="262">
        <f ca="1">IFERROR(__xludf.DUMMYFUNCTION("INDEX(IMPORTRANGE(""17pNv02DXDpQT9S3w4-QeNym2QJy2BzMBqDXp-XtzJBM"", ""'SPGG'!BM3:BM139""),MATCH($D18,IMPORTRANGE(""17pNv02DXDpQT9S3w4-QeNym2QJy2BzMBqDXp-XtzJBM"", ""'SPGG'!D3:D139""),0))"),96)</f>
        <v>96</v>
      </c>
    </row>
    <row r="19" spans="1:31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9" t="s">
        <v>363</v>
      </c>
      <c r="P19" s="9" t="s">
        <v>63</v>
      </c>
      <c r="Q19" s="23">
        <f t="shared" ref="Q19:R19" si="5">(SUM(Q14:Q17)/Q2)*100000</f>
        <v>63.33441289718953</v>
      </c>
      <c r="R19" s="23">
        <f t="shared" si="5"/>
        <v>113.71405951995395</v>
      </c>
      <c r="S19" s="23">
        <f ca="1">IFERROR(__xludf.DUMMYFUNCTION("INDEX(IMPORTRANGE(""17pNv02DXDpQT9S3w4-QeNym2QJy2BzMBqDXp-XtzJBM"", ""'SPGG'!BG3:BG139""),MATCH($D19,IMPORTRANGE(""17pNv02DXDpQT9S3w4-QeNym2QJy2BzMBqDXp-XtzJBM"", ""'SPGG'!D3:D139""),0))"),105.077548670337)</f>
        <v>105.07754867033699</v>
      </c>
      <c r="T19" s="2">
        <v>103</v>
      </c>
      <c r="U19" s="2">
        <v>57</v>
      </c>
      <c r="V19" s="2">
        <v>103</v>
      </c>
      <c r="W19" s="2">
        <v>57</v>
      </c>
      <c r="X19" s="24">
        <f ca="1">+S19*(1+(Y19-R19)/R19)</f>
        <v>95.177215189873237</v>
      </c>
      <c r="Y19" s="2">
        <v>103</v>
      </c>
      <c r="Z19" s="23">
        <f ca="1">IFERROR(__xludf.DUMMYFUNCTION("INDEX(IMPORTRANGE(""17pNv02DXDpQT9S3w4-QeNym2QJy2BzMBqDXp-XtzJBM"", ""'SPGG'!BH3:BH139""),MATCH($D19,IMPORTRANGE(""17pNv02DXDpQT9S3w4-QeNym2QJy2BzMBqDXp-XtzJBM"", ""'SPGG'!D3:D139""),0))"),42.0018509290239)</f>
        <v>42.001850929023902</v>
      </c>
      <c r="AA19" s="23">
        <f ca="1">IFERROR(__xludf.DUMMYFUNCTION("INDEX(IMPORTRANGE(""17pNv02DXDpQT9S3w4-QeNym2QJy2BzMBqDXp-XtzJBM"", ""'SPGG'!BI3:BI139""),MATCH($D19,IMPORTRANGE(""17pNv02DXDpQT9S3w4-QeNym2QJy2BzMBqDXp-XtzJBM"", ""'SPGG'!D3:D139""),0))"),88.2750765287961)</f>
        <v>88.275076528796106</v>
      </c>
      <c r="AB19" s="23">
        <f ca="1">IFERROR(__xludf.DUMMYFUNCTION("INDEX(IMPORTRANGE(""17pNv02DXDpQT9S3w4-QeNym2QJy2BzMBqDXp-XtzJBM"", ""'SPGG'!BJ3:BJ139""),MATCH($D19,IMPORTRANGE(""17pNv02DXDpQT9S3w4-QeNym2QJy2BzMBqDXp-XtzJBM"", ""'SPGG'!D3:D139""),0))"),44.2981901025186)</f>
        <v>44.298190102518603</v>
      </c>
      <c r="AC19" s="23">
        <f ca="1">IFERROR(__xludf.DUMMYFUNCTION("INDEX(IMPORTRANGE(""17pNv02DXDpQT9S3w4-QeNym2QJy2BzMBqDXp-XtzJBM"", ""'SPGG'!BK3:BK139""),MATCH($D19,IMPORTRANGE(""17pNv02DXDpQT9S3w4-QeNym2QJy2BzMBqDXp-XtzJBM"", ""'SPGG'!D3:D139""),0))"),94.2215472021825)</f>
        <v>94.221547202182506</v>
      </c>
      <c r="AD19" s="23">
        <f ca="1">IFERROR(__xludf.DUMMYFUNCTION("INDEX(IMPORTRANGE(""17pNv02DXDpQT9S3w4-QeNym2QJy2BzMBqDXp-XtzJBM"", ""'SPGG'!BL3:BL139""),MATCH($D19,IMPORTRANGE(""17pNv02DXDpQT9S3w4-QeNym2QJy2BzMBqDXp-XtzJBM"", ""'SPGG'!D3:D139""),0))"),37.4477292113092)</f>
        <v>37.447729211309202</v>
      </c>
      <c r="AE19" s="23">
        <f ca="1">IFERROR(__xludf.DUMMYFUNCTION("INDEX(IMPORTRANGE(""17pNv02DXDpQT9S3w4-QeNym2QJy2BzMBqDXp-XtzJBM"", ""'SPGG'!BM3:BM139""),MATCH($D19,IMPORTRANGE(""17pNv02DXDpQT9S3w4-QeNym2QJy2BzMBqDXp-XtzJBM"", ""'SPGG'!D3:D139""),0))"),66.5737408201052)</f>
        <v>66.573740820105201</v>
      </c>
    </row>
    <row r="20" spans="1:31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9" t="s">
        <v>363</v>
      </c>
      <c r="P20" s="9" t="s">
        <v>63</v>
      </c>
      <c r="Q20" s="5">
        <v>129</v>
      </c>
      <c r="R20" s="5">
        <v>299</v>
      </c>
      <c r="S20" s="5">
        <f ca="1">IFERROR(__xludf.DUMMYFUNCTION("INDEX(IMPORTRANGE(""17pNv02DXDpQT9S3w4-QeNym2QJy2BzMBqDXp-XtzJBM"", ""'SPGG'!BG3:BG139""),MATCH($D20,IMPORTRANGE(""17pNv02DXDpQT9S3w4-QeNym2QJy2BzMBqDXp-XtzJBM"", ""'SPGG'!D3:D139""),0))"),272)</f>
        <v>272</v>
      </c>
      <c r="T20" s="13"/>
      <c r="U20" s="13"/>
      <c r="V20" s="13"/>
      <c r="W20" s="13"/>
      <c r="X20" s="181"/>
      <c r="Y20" s="4"/>
      <c r="Z20" s="12">
        <f ca="1">IFERROR(__xludf.DUMMYFUNCTION("INDEX(IMPORTRANGE(""17pNv02DXDpQT9S3w4-QeNym2QJy2BzMBqDXp-XtzJBM"", ""'SPGG'!BH3:BH139""),MATCH($D20,IMPORTRANGE(""17pNv02DXDpQT9S3w4-QeNym2QJy2BzMBqDXp-XtzJBM"", ""'SPGG'!D3:D139""),0))"),147)</f>
        <v>147</v>
      </c>
      <c r="AA20" s="12">
        <f ca="1">IFERROR(__xludf.DUMMYFUNCTION("INDEX(IMPORTRANGE(""17pNv02DXDpQT9S3w4-QeNym2QJy2BzMBqDXp-XtzJBM"", ""'SPGG'!BI3:BI139""),MATCH($D20,IMPORTRANGE(""17pNv02DXDpQT9S3w4-QeNym2QJy2BzMBqDXp-XtzJBM"", ""'SPGG'!D3:D139""),0))"),279)</f>
        <v>279</v>
      </c>
      <c r="AB20" s="12">
        <f ca="1">IFERROR(__xludf.DUMMYFUNCTION("INDEX(IMPORTRANGE(""17pNv02DXDpQT9S3w4-QeNym2QJy2BzMBqDXp-XtzJBM"", ""'SPGG'!BJ3:BJ139""),MATCH($D20,IMPORTRANGE(""17pNv02DXDpQT9S3w4-QeNym2QJy2BzMBqDXp-XtzJBM"", ""'SPGG'!D3:D139""),0))"),99)</f>
        <v>99</v>
      </c>
      <c r="AC20" s="12">
        <f ca="1">IFERROR(__xludf.DUMMYFUNCTION("INDEX(IMPORTRANGE(""17pNv02DXDpQT9S3w4-QeNym2QJy2BzMBqDXp-XtzJBM"", ""'SPGG'!BK3:BK139""),MATCH($D20,IMPORTRANGE(""17pNv02DXDpQT9S3w4-QeNym2QJy2BzMBqDXp-XtzJBM"", ""'SPGG'!D3:D139""),0))"),199)</f>
        <v>199</v>
      </c>
      <c r="AD20" s="12">
        <f ca="1">IFERROR(__xludf.DUMMYFUNCTION("INDEX(IMPORTRANGE(""17pNv02DXDpQT9S3w4-QeNym2QJy2BzMBqDXp-XtzJBM"", ""'SPGG'!BL3:BL139""),MATCH($D20,IMPORTRANGE(""17pNv02DXDpQT9S3w4-QeNym2QJy2BzMBqDXp-XtzJBM"", ""'SPGG'!D3:D139""),0))"),65)</f>
        <v>65</v>
      </c>
      <c r="AE20" s="12">
        <f ca="1">IFERROR(__xludf.DUMMYFUNCTION("INDEX(IMPORTRANGE(""17pNv02DXDpQT9S3w4-QeNym2QJy2BzMBqDXp-XtzJBM"", ""'SPGG'!BM3:BM139""),MATCH($D20,IMPORTRANGE(""17pNv02DXDpQT9S3w4-QeNym2QJy2BzMBqDXp-XtzJBM"", ""'SPGG'!D3:D139""),0))"),149)</f>
        <v>149</v>
      </c>
    </row>
    <row r="21" spans="1:31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9" t="s">
        <v>363</v>
      </c>
      <c r="P21" s="9" t="s">
        <v>63</v>
      </c>
      <c r="Q21" s="23">
        <f t="shared" ref="Q21:R21" si="6">(Q20/Q$2)*100000</f>
        <v>92.842491633380106</v>
      </c>
      <c r="R21" s="23">
        <f t="shared" si="6"/>
        <v>215.1930620029508</v>
      </c>
      <c r="S21" s="23">
        <f ca="1">IFERROR(__xludf.DUMMYFUNCTION("INDEX(IMPORTRANGE(""17pNv02DXDpQT9S3w4-QeNym2QJy2BzMBqDXp-XtzJBM"", ""'SPGG'!BG3:BG139""),MATCH($D21,IMPORTRANGE(""17pNv02DXDpQT9S3w4-QeNym2QJy2BzMBqDXp-XtzJBM"", ""'SPGG'!D3:D139""),0))"),195.760912591313)</f>
        <v>195.760912591313</v>
      </c>
      <c r="T21" s="2">
        <v>214.5</v>
      </c>
      <c r="U21" s="2">
        <v>92.7</v>
      </c>
      <c r="V21" s="2">
        <v>213.7</v>
      </c>
      <c r="W21" s="2">
        <v>92.6</v>
      </c>
      <c r="X21" s="24">
        <f ca="1">+S21*(1+(Y21-R21)/R21)</f>
        <v>193.76588628762534</v>
      </c>
      <c r="Y21" s="2">
        <v>213</v>
      </c>
      <c r="Z21" s="23">
        <f ca="1">IFERROR(__xludf.DUMMYFUNCTION("INDEX(IMPORTRANGE(""17pNv02DXDpQT9S3w4-QeNym2QJy2BzMBqDXp-XtzJBM"", ""'SPGG'!BH3:BH139""),MATCH($D21,IMPORTRANGE(""17pNv02DXDpQT9S3w4-QeNym2QJy2BzMBqDXp-XtzJBM"", ""'SPGG'!D3:D139""),0))"),104.64867943333)</f>
        <v>104.64867943333</v>
      </c>
      <c r="AA21" s="23">
        <f ca="1">IFERROR(__xludf.DUMMYFUNCTION("INDEX(IMPORTRANGE(""17pNv02DXDpQT9S3w4-QeNym2QJy2BzMBqDXp-XtzJBM"", ""'SPGG'!BI3:BI139""),MATCH($D21,IMPORTRANGE(""17pNv02DXDpQT9S3w4-QeNym2QJy2BzMBqDXp-XtzJBM"", ""'SPGG'!D3:D139""),0))"),198.618922189791)</f>
        <v>198.61892218979099</v>
      </c>
      <c r="AB21" s="23">
        <f ca="1">IFERROR(__xludf.DUMMYFUNCTION("INDEX(IMPORTRANGE(""17pNv02DXDpQT9S3w4-QeNym2QJy2BzMBqDXp-XtzJBM"", ""'SPGG'!BJ3:BJ139""),MATCH($D21,IMPORTRANGE(""17pNv02DXDpQT9S3w4-QeNym2QJy2BzMBqDXp-XtzJBM"", ""'SPGG'!D3:D139""),0))"),69.6114415896722)</f>
        <v>69.611441589672197</v>
      </c>
      <c r="AC21" s="23">
        <f ca="1">IFERROR(__xludf.DUMMYFUNCTION("INDEX(IMPORTRANGE(""17pNv02DXDpQT9S3w4-QeNym2QJy2BzMBqDXp-XtzJBM"", ""'SPGG'!BK3:BK139""),MATCH($D21,IMPORTRANGE(""17pNv02DXDpQT9S3w4-QeNym2QJy2BzMBqDXp-XtzJBM"", ""'SPGG'!D3:D139""),0))"),139.926029053987)</f>
        <v>139.92602905398701</v>
      </c>
      <c r="AD21" s="23">
        <f ca="1">IFERROR(__xludf.DUMMYFUNCTION("INDEX(IMPORTRANGE(""17pNv02DXDpQT9S3w4-QeNym2QJy2BzMBqDXp-XtzJBM"", ""'SPGG'!BL3:BL139""),MATCH($D21,IMPORTRANGE(""17pNv02DXDpQT9S3w4-QeNym2QJy2BzMBqDXp-XtzJBM"", ""'SPGG'!D3:D139""),0))"),45.0759703469462)</f>
        <v>45.0759703469462</v>
      </c>
      <c r="AE21" s="23">
        <f ca="1">IFERROR(__xludf.DUMMYFUNCTION("INDEX(IMPORTRANGE(""17pNv02DXDpQT9S3w4-QeNym2QJy2BzMBqDXp-XtzJBM"", ""'SPGG'!BM3:BM139""),MATCH($D21,IMPORTRANGE(""17pNv02DXDpQT9S3w4-QeNym2QJy2BzMBqDXp-XtzJBM"", ""'SPGG'!D3:D139""),0))"),103.327993564538)</f>
        <v>103.327993564538</v>
      </c>
    </row>
    <row r="22" spans="1:31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9" t="s">
        <v>363</v>
      </c>
      <c r="P22" s="9" t="s">
        <v>63</v>
      </c>
      <c r="Q22" s="5">
        <v>38</v>
      </c>
      <c r="R22" s="5">
        <v>75</v>
      </c>
      <c r="S22" s="5">
        <f ca="1">IFERROR(__xludf.DUMMYFUNCTION("INDEX(IMPORTRANGE(""17pNv02DXDpQT9S3w4-QeNym2QJy2BzMBqDXp-XtzJBM"", ""'SPGG'!BG3:BG139""),MATCH($D22,IMPORTRANGE(""17pNv02DXDpQT9S3w4-QeNym2QJy2BzMBqDXp-XtzJBM"", ""'SPGG'!D3:D139""),0))"),71)</f>
        <v>71</v>
      </c>
      <c r="T22" s="13"/>
      <c r="U22" s="13"/>
      <c r="V22" s="13"/>
      <c r="W22" s="13"/>
      <c r="X22" s="181"/>
      <c r="Y22" s="4"/>
      <c r="Z22" s="12">
        <f ca="1">IFERROR(__xludf.DUMMYFUNCTION("INDEX(IMPORTRANGE(""17pNv02DXDpQT9S3w4-QeNym2QJy2BzMBqDXp-XtzJBM"", ""'SPGG'!BH3:BH139""),MATCH($D22,IMPORTRANGE(""17pNv02DXDpQT9S3w4-QeNym2QJy2BzMBqDXp-XtzJBM"", ""'SPGG'!D3:D139""),0))"),27)</f>
        <v>27</v>
      </c>
      <c r="AA22" s="12">
        <f ca="1">IFERROR(__xludf.DUMMYFUNCTION("INDEX(IMPORTRANGE(""17pNv02DXDpQT9S3w4-QeNym2QJy2BzMBqDXp-XtzJBM"", ""'SPGG'!BI3:BI139""),MATCH($D22,IMPORTRANGE(""17pNv02DXDpQT9S3w4-QeNym2QJy2BzMBqDXp-XtzJBM"", ""'SPGG'!D3:D139""),0))"),66)</f>
        <v>66</v>
      </c>
      <c r="AB22" s="12">
        <f ca="1">IFERROR(__xludf.DUMMYFUNCTION("INDEX(IMPORTRANGE(""17pNv02DXDpQT9S3w4-QeNym2QJy2BzMBqDXp-XtzJBM"", ""'SPGG'!BJ3:BJ139""),MATCH($D22,IMPORTRANGE(""17pNv02DXDpQT9S3w4-QeNym2QJy2BzMBqDXp-XtzJBM"", ""'SPGG'!D3:D139""),0))"),24)</f>
        <v>24</v>
      </c>
      <c r="AC22" s="12">
        <f ca="1">IFERROR(__xludf.DUMMYFUNCTION("INDEX(IMPORTRANGE(""17pNv02DXDpQT9S3w4-QeNym2QJy2BzMBqDXp-XtzJBM"", ""'SPGG'!BK3:BK139""),MATCH($D22,IMPORTRANGE(""17pNv02DXDpQT9S3w4-QeNym2QJy2BzMBqDXp-XtzJBM"", ""'SPGG'!D3:D139""),0))"),45)</f>
        <v>45</v>
      </c>
      <c r="AD22" s="12">
        <f ca="1">IFERROR(__xludf.DUMMYFUNCTION("INDEX(IMPORTRANGE(""17pNv02DXDpQT9S3w4-QeNym2QJy2BzMBqDXp-XtzJBM"", ""'SPGG'!BL3:BL139""),MATCH($D22,IMPORTRANGE(""17pNv02DXDpQT9S3w4-QeNym2QJy2BzMBqDXp-XtzJBM"", ""'SPGG'!D3:D139""),0))"),11)</f>
        <v>11</v>
      </c>
      <c r="AE22" s="12">
        <f ca="1">IFERROR(__xludf.DUMMYFUNCTION("INDEX(IMPORTRANGE(""17pNv02DXDpQT9S3w4-QeNym2QJy2BzMBqDXp-XtzJBM"", ""'SPGG'!BM3:BM139""),MATCH($D22,IMPORTRANGE(""17pNv02DXDpQT9S3w4-QeNym2QJy2BzMBqDXp-XtzJBM"", ""'SPGG'!D3:D139""),0))"),26)</f>
        <v>26</v>
      </c>
    </row>
    <row r="23" spans="1:31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9" t="s">
        <v>363</v>
      </c>
      <c r="P23" s="9" t="s">
        <v>63</v>
      </c>
      <c r="Q23" s="23">
        <f t="shared" ref="Q23:R23" si="7">(Q22/Q$2)*100000</f>
        <v>27.348951023786391</v>
      </c>
      <c r="R23" s="23">
        <f t="shared" si="7"/>
        <v>53.978192810104723</v>
      </c>
      <c r="S23" s="23">
        <f ca="1">IFERROR(__xludf.DUMMYFUNCTION("INDEX(IMPORTRANGE(""17pNv02DXDpQT9S3w4-QeNym2QJy2BzMBqDXp-XtzJBM"", ""'SPGG'!BG3:BG139""),MATCH($D23,IMPORTRANGE(""17pNv02DXDpQT9S3w4-QeNym2QJy2BzMBqDXp-XtzJBM"", ""'SPGG'!D3:D139""),0))"),51.0993558602324)</f>
        <v>51.0993558602324</v>
      </c>
      <c r="T23" s="2">
        <v>53.8</v>
      </c>
      <c r="U23" s="2">
        <v>27.3</v>
      </c>
      <c r="V23" s="2">
        <v>53.6</v>
      </c>
      <c r="W23" s="2">
        <v>27.2</v>
      </c>
      <c r="X23" s="24">
        <f ca="1">+S23*(1+(Y23-R23)/R23)</f>
        <v>50.551999999999929</v>
      </c>
      <c r="Y23" s="2">
        <v>53.4</v>
      </c>
      <c r="Z23" s="23">
        <f ca="1">IFERROR(__xludf.DUMMYFUNCTION("INDEX(IMPORTRANGE(""17pNv02DXDpQT9S3w4-QeNym2QJy2BzMBqDXp-XtzJBM"", ""'SPGG'!BH3:BH139""),MATCH($D23,IMPORTRANGE(""17pNv02DXDpQT9S3w4-QeNym2QJy2BzMBqDXp-XtzJBM"", ""'SPGG'!D3:D139""),0))"),19.2211860183669)</f>
        <v>19.2211860183669</v>
      </c>
      <c r="AA23" s="23">
        <f ca="1">IFERROR(__xludf.DUMMYFUNCTION("INDEX(IMPORTRANGE(""17pNv02DXDpQT9S3w4-QeNym2QJy2BzMBqDXp-XtzJBM"", ""'SPGG'!BI3:BI139""),MATCH($D23,IMPORTRANGE(""17pNv02DXDpQT9S3w4-QeNym2QJy2BzMBqDXp-XtzJBM"", ""'SPGG'!D3:D139""),0))"),46.9851213782302)</f>
        <v>46.985121378230197</v>
      </c>
      <c r="AB23" s="23">
        <f ca="1">IFERROR(__xludf.DUMMYFUNCTION("INDEX(IMPORTRANGE(""17pNv02DXDpQT9S3w4-QeNym2QJy2BzMBqDXp-XtzJBM"", ""'SPGG'!BJ3:BJ139""),MATCH($D23,IMPORTRANGE(""17pNv02DXDpQT9S3w4-QeNym2QJy2BzMBqDXp-XtzJBM"", ""'SPGG'!D3:D139""),0))"),16.8755009914356)</f>
        <v>16.875500991435601</v>
      </c>
      <c r="AC23" s="23">
        <f ca="1">IFERROR(__xludf.DUMMYFUNCTION("INDEX(IMPORTRANGE(""17pNv02DXDpQT9S3w4-QeNym2QJy2BzMBqDXp-XtzJBM"", ""'SPGG'!BK3:BK139""),MATCH($D23,IMPORTRANGE(""17pNv02DXDpQT9S3w4-QeNym2QJy2BzMBqDXp-XtzJBM"", ""'SPGG'!D3:D139""),0))"),31.6415643589419)</f>
        <v>31.641564358941899</v>
      </c>
      <c r="AD23" s="23">
        <f ca="1">IFERROR(__xludf.DUMMYFUNCTION("INDEX(IMPORTRANGE(""17pNv02DXDpQT9S3w4-QeNym2QJy2BzMBqDXp-XtzJBM"", ""'SPGG'!BL3:BL139""),MATCH($D23,IMPORTRANGE(""17pNv02DXDpQT9S3w4-QeNym2QJy2BzMBqDXp-XtzJBM"", ""'SPGG'!D3:D139""),0))"),7.62824113563706)</f>
        <v>7.6282411356370599</v>
      </c>
      <c r="AE23" s="23">
        <f ca="1">IFERROR(__xludf.DUMMYFUNCTION("INDEX(IMPORTRANGE(""17pNv02DXDpQT9S3w4-QeNym2QJy2BzMBqDXp-XtzJBM"", ""'SPGG'!BM3:BM139""),MATCH($D23,IMPORTRANGE(""17pNv02DXDpQT9S3w4-QeNym2QJy2BzMBqDXp-XtzJBM"", ""'SPGG'!D3:D139""),0))"),18.0303881387785)</f>
        <v>18.030388138778498</v>
      </c>
    </row>
    <row r="24" spans="1:31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9" t="s">
        <v>363</v>
      </c>
      <c r="P24" s="9" t="s">
        <v>63</v>
      </c>
      <c r="Q24" s="5">
        <v>3</v>
      </c>
      <c r="R24" s="5">
        <v>4</v>
      </c>
      <c r="S24" s="5">
        <f ca="1">IFERROR(__xludf.DUMMYFUNCTION("INDEX(IMPORTRANGE(""17pNv02DXDpQT9S3w4-QeNym2QJy2BzMBqDXp-XtzJBM"", ""'SPGG'!BG3:BG139""),MATCH($D24,IMPORTRANGE(""17pNv02DXDpQT9S3w4-QeNym2QJy2BzMBqDXp-XtzJBM"", ""'SPGG'!D3:D139""),0))"),4)</f>
        <v>4</v>
      </c>
      <c r="T24" s="13"/>
      <c r="U24" s="13"/>
      <c r="V24" s="13"/>
      <c r="W24" s="13"/>
      <c r="X24" s="181"/>
      <c r="Y24" s="4"/>
      <c r="Z24" s="12">
        <f ca="1">IFERROR(__xludf.DUMMYFUNCTION("INDEX(IMPORTRANGE(""17pNv02DXDpQT9S3w4-QeNym2QJy2BzMBqDXp-XtzJBM"", ""'SPGG'!BH3:BH139""),MATCH($D24,IMPORTRANGE(""17pNv02DXDpQT9S3w4-QeNym2QJy2BzMBqDXp-XtzJBM"", ""'SPGG'!D3:D139""),0))"),1)</f>
        <v>1</v>
      </c>
      <c r="AA24" s="12">
        <f ca="1">IFERROR(__xludf.DUMMYFUNCTION("INDEX(IMPORTRANGE(""17pNv02DXDpQT9S3w4-QeNym2QJy2BzMBqDXp-XtzJBM"", ""'SPGG'!BI3:BI139""),MATCH($D24,IMPORTRANGE(""17pNv02DXDpQT9S3w4-QeNym2QJy2BzMBqDXp-XtzJBM"", ""'SPGG'!D3:D139""),0))"),3)</f>
        <v>3</v>
      </c>
      <c r="AB24" s="12">
        <f ca="1">IFERROR(__xludf.DUMMYFUNCTION("INDEX(IMPORTRANGE(""17pNv02DXDpQT9S3w4-QeNym2QJy2BzMBqDXp-XtzJBM"", ""'SPGG'!BJ3:BJ139""),MATCH($D24,IMPORTRANGE(""17pNv02DXDpQT9S3w4-QeNym2QJy2BzMBqDXp-XtzJBM"", ""'SPGG'!D3:D139""),0))"),2)</f>
        <v>2</v>
      </c>
      <c r="AC24" s="12">
        <f ca="1">IFERROR(__xludf.DUMMYFUNCTION("INDEX(IMPORTRANGE(""17pNv02DXDpQT9S3w4-QeNym2QJy2BzMBqDXp-XtzJBM"", ""'SPGG'!BK3:BK139""),MATCH($D24,IMPORTRANGE(""17pNv02DXDpQT9S3w4-QeNym2QJy2BzMBqDXp-XtzJBM"", ""'SPGG'!D3:D139""),0))"),5)</f>
        <v>5</v>
      </c>
      <c r="AD24" s="12">
        <f ca="1">IFERROR(__xludf.DUMMYFUNCTION("INDEX(IMPORTRANGE(""17pNv02DXDpQT9S3w4-QeNym2QJy2BzMBqDXp-XtzJBM"", ""'SPGG'!BL3:BL139""),MATCH($D24,IMPORTRANGE(""17pNv02DXDpQT9S3w4-QeNym2QJy2BzMBqDXp-XtzJBM"", ""'SPGG'!D3:D139""),0))"),3)</f>
        <v>3</v>
      </c>
      <c r="AE24" s="12">
        <f ca="1">IFERROR(__xludf.DUMMYFUNCTION("INDEX(IMPORTRANGE(""17pNv02DXDpQT9S3w4-QeNym2QJy2BzMBqDXp-XtzJBM"", ""'SPGG'!BM3:BM139""),MATCH($D24,IMPORTRANGE(""17pNv02DXDpQT9S3w4-QeNym2QJy2BzMBqDXp-XtzJBM"", ""'SPGG'!D3:D139""),0))"),6)</f>
        <v>6</v>
      </c>
    </row>
    <row r="25" spans="1:31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9" t="s">
        <v>363</v>
      </c>
      <c r="P25" s="9" t="s">
        <v>63</v>
      </c>
      <c r="Q25" s="5">
        <v>1</v>
      </c>
      <c r="R25" s="5">
        <v>5</v>
      </c>
      <c r="S25" s="5">
        <f ca="1">IFERROR(__xludf.DUMMYFUNCTION("INDEX(IMPORTRANGE(""17pNv02DXDpQT9S3w4-QeNym2QJy2BzMBqDXp-XtzJBM"", ""'SPGG'!BG3:BG139""),MATCH($D25,IMPORTRANGE(""17pNv02DXDpQT9S3w4-QeNym2QJy2BzMBqDXp-XtzJBM"", ""'SPGG'!D3:D139""),0))"),2)</f>
        <v>2</v>
      </c>
      <c r="T25" s="13"/>
      <c r="U25" s="13"/>
      <c r="V25" s="13"/>
      <c r="W25" s="13"/>
      <c r="X25" s="181"/>
      <c r="Y25" s="4"/>
      <c r="Z25" s="12">
        <f ca="1">IFERROR(__xludf.DUMMYFUNCTION("INDEX(IMPORTRANGE(""17pNv02DXDpQT9S3w4-QeNym2QJy2BzMBqDXp-XtzJBM"", ""'SPGG'!BH3:BH139""),MATCH($D25,IMPORTRANGE(""17pNv02DXDpQT9S3w4-QeNym2QJy2BzMBqDXp-XtzJBM"", ""'SPGG'!D3:D139""),0))"),1)</f>
        <v>1</v>
      </c>
      <c r="AA25" s="12">
        <f ca="1">IFERROR(__xludf.DUMMYFUNCTION("INDEX(IMPORTRANGE(""17pNv02DXDpQT9S3w4-QeNym2QJy2BzMBqDXp-XtzJBM"", ""'SPGG'!BI3:BI139""),MATCH($D25,IMPORTRANGE(""17pNv02DXDpQT9S3w4-QeNym2QJy2BzMBqDXp-XtzJBM"", ""'SPGG'!D3:D139""),0))"),5)</f>
        <v>5</v>
      </c>
      <c r="AB25" s="12">
        <f ca="1">IFERROR(__xludf.DUMMYFUNCTION("INDEX(IMPORTRANGE(""17pNv02DXDpQT9S3w4-QeNym2QJy2BzMBqDXp-XtzJBM"", ""'SPGG'!BJ3:BJ139""),MATCH($D25,IMPORTRANGE(""17pNv02DXDpQT9S3w4-QeNym2QJy2BzMBqDXp-XtzJBM"", ""'SPGG'!D3:D139""),0))"),2)</f>
        <v>2</v>
      </c>
      <c r="AC25" s="12">
        <f ca="1">IFERROR(__xludf.DUMMYFUNCTION("INDEX(IMPORTRANGE(""17pNv02DXDpQT9S3w4-QeNym2QJy2BzMBqDXp-XtzJBM"", ""'SPGG'!BK3:BK139""),MATCH($D25,IMPORTRANGE(""17pNv02DXDpQT9S3w4-QeNym2QJy2BzMBqDXp-XtzJBM"", ""'SPGG'!D3:D139""),0))"),3)</f>
        <v>3</v>
      </c>
      <c r="AD25" s="12">
        <f ca="1">IFERROR(__xludf.DUMMYFUNCTION("INDEX(IMPORTRANGE(""17pNv02DXDpQT9S3w4-QeNym2QJy2BzMBqDXp-XtzJBM"", ""'SPGG'!BL3:BL139""),MATCH($D25,IMPORTRANGE(""17pNv02DXDpQT9S3w4-QeNym2QJy2BzMBqDXp-XtzJBM"", ""'SPGG'!D3:D139""),0))"),0)</f>
        <v>0</v>
      </c>
      <c r="AE25" s="12">
        <f ca="1">IFERROR(__xludf.DUMMYFUNCTION("INDEX(IMPORTRANGE(""17pNv02DXDpQT9S3w4-QeNym2QJy2BzMBqDXp-XtzJBM"", ""'SPGG'!BM3:BM139""),MATCH($D25,IMPORTRANGE(""17pNv02DXDpQT9S3w4-QeNym2QJy2BzMBqDXp-XtzJBM"", ""'SPGG'!D3:D139""),0))"),0)</f>
        <v>0</v>
      </c>
    </row>
    <row r="26" spans="1:31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9" t="s">
        <v>363</v>
      </c>
      <c r="P26" s="9" t="s">
        <v>63</v>
      </c>
      <c r="Q26" s="5">
        <v>0</v>
      </c>
      <c r="R26" s="5">
        <v>3</v>
      </c>
      <c r="S26" s="5">
        <f ca="1">IFERROR(__xludf.DUMMYFUNCTION("INDEX(IMPORTRANGE(""17pNv02DXDpQT9S3w4-QeNym2QJy2BzMBqDXp-XtzJBM"", ""'SPGG'!BG3:BG139""),MATCH($D26,IMPORTRANGE(""17pNv02DXDpQT9S3w4-QeNym2QJy2BzMBqDXp-XtzJBM"", ""'SPGG'!D3:D139""),0))"),3)</f>
        <v>3</v>
      </c>
      <c r="T26" s="13"/>
      <c r="U26" s="13"/>
      <c r="V26" s="13"/>
      <c r="W26" s="13"/>
      <c r="X26" s="181"/>
      <c r="Y26" s="4"/>
      <c r="Z26" s="12">
        <f ca="1">IFERROR(__xludf.DUMMYFUNCTION("INDEX(IMPORTRANGE(""17pNv02DXDpQT9S3w4-QeNym2QJy2BzMBqDXp-XtzJBM"", ""'SPGG'!BH3:BH139""),MATCH($D26,IMPORTRANGE(""17pNv02DXDpQT9S3w4-QeNym2QJy2BzMBqDXp-XtzJBM"", ""'SPGG'!D3:D139""),0))"),1)</f>
        <v>1</v>
      </c>
      <c r="AA26" s="12">
        <f ca="1">IFERROR(__xludf.DUMMYFUNCTION("INDEX(IMPORTRANGE(""17pNv02DXDpQT9S3w4-QeNym2QJy2BzMBqDXp-XtzJBM"", ""'SPGG'!BI3:BI139""),MATCH($D26,IMPORTRANGE(""17pNv02DXDpQT9S3w4-QeNym2QJy2BzMBqDXp-XtzJBM"", ""'SPGG'!D3:D139""),0))"),2)</f>
        <v>2</v>
      </c>
      <c r="AB26" s="12">
        <f ca="1">IFERROR(__xludf.DUMMYFUNCTION("INDEX(IMPORTRANGE(""17pNv02DXDpQT9S3w4-QeNym2QJy2BzMBqDXp-XtzJBM"", ""'SPGG'!BJ3:BJ139""),MATCH($D26,IMPORTRANGE(""17pNv02DXDpQT9S3w4-QeNym2QJy2BzMBqDXp-XtzJBM"", ""'SPGG'!D3:D139""),0))"),0)</f>
        <v>0</v>
      </c>
      <c r="AC26" s="12">
        <f ca="1">IFERROR(__xludf.DUMMYFUNCTION("INDEX(IMPORTRANGE(""17pNv02DXDpQT9S3w4-QeNym2QJy2BzMBqDXp-XtzJBM"", ""'SPGG'!BK3:BK139""),MATCH($D26,IMPORTRANGE(""17pNv02DXDpQT9S3w4-QeNym2QJy2BzMBqDXp-XtzJBM"", ""'SPGG'!D3:D139""),0))"),0)</f>
        <v>0</v>
      </c>
      <c r="AD26" s="12">
        <f ca="1">IFERROR(__xludf.DUMMYFUNCTION("INDEX(IMPORTRANGE(""17pNv02DXDpQT9S3w4-QeNym2QJy2BzMBqDXp-XtzJBM"", ""'SPGG'!BL3:BL139""),MATCH($D26,IMPORTRANGE(""17pNv02DXDpQT9S3w4-QeNym2QJy2BzMBqDXp-XtzJBM"", ""'SPGG'!D3:D139""),0))"),0)</f>
        <v>0</v>
      </c>
      <c r="AE26" s="12">
        <f ca="1">IFERROR(__xludf.DUMMYFUNCTION("INDEX(IMPORTRANGE(""17pNv02DXDpQT9S3w4-QeNym2QJy2BzMBqDXp-XtzJBM"", ""'SPGG'!BM3:BM139""),MATCH($D26,IMPORTRANGE(""17pNv02DXDpQT9S3w4-QeNym2QJy2BzMBqDXp-XtzJBM"", ""'SPGG'!D3:D139""),0))"),0)</f>
        <v>0</v>
      </c>
    </row>
    <row r="27" spans="1:31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9" t="s">
        <v>363</v>
      </c>
      <c r="P27" s="9" t="s">
        <v>63</v>
      </c>
      <c r="Q27" s="5">
        <v>0</v>
      </c>
      <c r="R27" s="5">
        <v>0</v>
      </c>
      <c r="S27" s="5">
        <f ca="1">IFERROR(__xludf.DUMMYFUNCTION("INDEX(IMPORTRANGE(""17pNv02DXDpQT9S3w4-QeNym2QJy2BzMBqDXp-XtzJBM"", ""'SPGG'!BG3:BG139""),MATCH($D27,IMPORTRANGE(""17pNv02DXDpQT9S3w4-QeNym2QJy2BzMBqDXp-XtzJBM"", ""'SPGG'!D3:D139""),0))"),0)</f>
        <v>0</v>
      </c>
      <c r="T27" s="13"/>
      <c r="U27" s="13"/>
      <c r="V27" s="13"/>
      <c r="W27" s="13"/>
      <c r="X27" s="181"/>
      <c r="Y27" s="4"/>
      <c r="Z27" s="12">
        <f ca="1">IFERROR(__xludf.DUMMYFUNCTION("INDEX(IMPORTRANGE(""17pNv02DXDpQT9S3w4-QeNym2QJy2BzMBqDXp-XtzJBM"", ""'SPGG'!BH3:BH139""),MATCH($D27,IMPORTRANGE(""17pNv02DXDpQT9S3w4-QeNym2QJy2BzMBqDXp-XtzJBM"", ""'SPGG'!D3:D139""),0))"),0)</f>
        <v>0</v>
      </c>
      <c r="AA27" s="12">
        <f ca="1">IFERROR(__xludf.DUMMYFUNCTION("INDEX(IMPORTRANGE(""17pNv02DXDpQT9S3w4-QeNym2QJy2BzMBqDXp-XtzJBM"", ""'SPGG'!BI3:BI139""),MATCH($D27,IMPORTRANGE(""17pNv02DXDpQT9S3w4-QeNym2QJy2BzMBqDXp-XtzJBM"", ""'SPGG'!D3:D139""),0))"),0)</f>
        <v>0</v>
      </c>
      <c r="AB27" s="12">
        <f ca="1">IFERROR(__xludf.DUMMYFUNCTION("INDEX(IMPORTRANGE(""17pNv02DXDpQT9S3w4-QeNym2QJy2BzMBqDXp-XtzJBM"", ""'SPGG'!BJ3:BJ139""),MATCH($D27,IMPORTRANGE(""17pNv02DXDpQT9S3w4-QeNym2QJy2BzMBqDXp-XtzJBM"", ""'SPGG'!D3:D139""),0))"),0)</f>
        <v>0</v>
      </c>
      <c r="AC27" s="12">
        <f ca="1">IFERROR(__xludf.DUMMYFUNCTION("INDEX(IMPORTRANGE(""17pNv02DXDpQT9S3w4-QeNym2QJy2BzMBqDXp-XtzJBM"", ""'SPGG'!BK3:BK139""),MATCH($D27,IMPORTRANGE(""17pNv02DXDpQT9S3w4-QeNym2QJy2BzMBqDXp-XtzJBM"", ""'SPGG'!D3:D139""),0))"),0)</f>
        <v>0</v>
      </c>
      <c r="AD27" s="12">
        <f ca="1">IFERROR(__xludf.DUMMYFUNCTION("INDEX(IMPORTRANGE(""17pNv02DXDpQT9S3w4-QeNym2QJy2BzMBqDXp-XtzJBM"", ""'SPGG'!BL3:BL139""),MATCH($D27,IMPORTRANGE(""17pNv02DXDpQT9S3w4-QeNym2QJy2BzMBqDXp-XtzJBM"", ""'SPGG'!D3:D139""),0))"),0)</f>
        <v>0</v>
      </c>
      <c r="AE27" s="12">
        <f ca="1">IFERROR(__xludf.DUMMYFUNCTION("INDEX(IMPORTRANGE(""17pNv02DXDpQT9S3w4-QeNym2QJy2BzMBqDXp-XtzJBM"", ""'SPGG'!BM3:BM139""),MATCH($D27,IMPORTRANGE(""17pNv02DXDpQT9S3w4-QeNym2QJy2BzMBqDXp-XtzJBM"", ""'SPGG'!D3:D139""),0))"),0)</f>
        <v>0</v>
      </c>
    </row>
    <row r="28" spans="1:31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9" t="s">
        <v>363</v>
      </c>
      <c r="P28" s="9" t="s">
        <v>63</v>
      </c>
      <c r="Q28" s="5">
        <v>0</v>
      </c>
      <c r="R28" s="5">
        <v>0</v>
      </c>
      <c r="S28" s="5">
        <f ca="1">IFERROR(__xludf.DUMMYFUNCTION("INDEX(IMPORTRANGE(""17pNv02DXDpQT9S3w4-QeNym2QJy2BzMBqDXp-XtzJBM"", ""'SPGG'!BG3:BG139""),MATCH($D28,IMPORTRANGE(""17pNv02DXDpQT9S3w4-QeNym2QJy2BzMBqDXp-XtzJBM"", ""'SPGG'!D3:D139""),0))"),0)</f>
        <v>0</v>
      </c>
      <c r="T28" s="13"/>
      <c r="U28" s="13"/>
      <c r="V28" s="13"/>
      <c r="W28" s="13"/>
      <c r="X28" s="181"/>
      <c r="Y28" s="4"/>
      <c r="Z28" s="12">
        <f ca="1">IFERROR(__xludf.DUMMYFUNCTION("INDEX(IMPORTRANGE(""17pNv02DXDpQT9S3w4-QeNym2QJy2BzMBqDXp-XtzJBM"", ""'SPGG'!BH3:BH139""),MATCH($D28,IMPORTRANGE(""17pNv02DXDpQT9S3w4-QeNym2QJy2BzMBqDXp-XtzJBM"", ""'SPGG'!D3:D139""),0))"),0)</f>
        <v>0</v>
      </c>
      <c r="AA28" s="12">
        <f ca="1">IFERROR(__xludf.DUMMYFUNCTION("INDEX(IMPORTRANGE(""17pNv02DXDpQT9S3w4-QeNym2QJy2BzMBqDXp-XtzJBM"", ""'SPGG'!BI3:BI139""),MATCH($D28,IMPORTRANGE(""17pNv02DXDpQT9S3w4-QeNym2QJy2BzMBqDXp-XtzJBM"", ""'SPGG'!D3:D139""),0))"),1)</f>
        <v>1</v>
      </c>
      <c r="AB28" s="12">
        <f ca="1">IFERROR(__xludf.DUMMYFUNCTION("INDEX(IMPORTRANGE(""17pNv02DXDpQT9S3w4-QeNym2QJy2BzMBqDXp-XtzJBM"", ""'SPGG'!BJ3:BJ139""),MATCH($D28,IMPORTRANGE(""17pNv02DXDpQT9S3w4-QeNym2QJy2BzMBqDXp-XtzJBM"", ""'SPGG'!D3:D139""),0))"),0)</f>
        <v>0</v>
      </c>
      <c r="AC28" s="12">
        <f ca="1">IFERROR(__xludf.DUMMYFUNCTION("INDEX(IMPORTRANGE(""17pNv02DXDpQT9S3w4-QeNym2QJy2BzMBqDXp-XtzJBM"", ""'SPGG'!BK3:BK139""),MATCH($D28,IMPORTRANGE(""17pNv02DXDpQT9S3w4-QeNym2QJy2BzMBqDXp-XtzJBM"", ""'SPGG'!D3:D139""),0))"),1)</f>
        <v>1</v>
      </c>
      <c r="AD28" s="12">
        <f ca="1">IFERROR(__xludf.DUMMYFUNCTION("INDEX(IMPORTRANGE(""17pNv02DXDpQT9S3w4-QeNym2QJy2BzMBqDXp-XtzJBM"", ""'SPGG'!BL3:BL139""),MATCH($D28,IMPORTRANGE(""17pNv02DXDpQT9S3w4-QeNym2QJy2BzMBqDXp-XtzJBM"", ""'SPGG'!D3:D139""),0))"),1)</f>
        <v>1</v>
      </c>
      <c r="AE28" s="12">
        <f ca="1">IFERROR(__xludf.DUMMYFUNCTION("INDEX(IMPORTRANGE(""17pNv02DXDpQT9S3w4-QeNym2QJy2BzMBqDXp-XtzJBM"", ""'SPGG'!BM3:BM139""),MATCH($D28,IMPORTRANGE(""17pNv02DXDpQT9S3w4-QeNym2QJy2BzMBqDXp-XtzJBM"", ""'SPGG'!D3:D139""),0))"),1)</f>
        <v>1</v>
      </c>
    </row>
    <row r="29" spans="1:31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9" t="s">
        <v>363</v>
      </c>
      <c r="P29" s="9" t="s">
        <v>63</v>
      </c>
      <c r="Q29" s="5">
        <v>0</v>
      </c>
      <c r="R29" s="5">
        <v>0</v>
      </c>
      <c r="S29" s="5">
        <f ca="1">IFERROR(__xludf.DUMMYFUNCTION("INDEX(IMPORTRANGE(""17pNv02DXDpQT9S3w4-QeNym2QJy2BzMBqDXp-XtzJBM"", ""'SPGG'!BG3:BG139""),MATCH($D29,IMPORTRANGE(""17pNv02DXDpQT9S3w4-QeNym2QJy2BzMBqDXp-XtzJBM"", ""'SPGG'!D3:D139""),0))"),0)</f>
        <v>0</v>
      </c>
      <c r="T29" s="13"/>
      <c r="U29" s="13"/>
      <c r="V29" s="13"/>
      <c r="W29" s="13"/>
      <c r="X29" s="181"/>
      <c r="Y29" s="4"/>
      <c r="Z29" s="12">
        <f ca="1">IFERROR(__xludf.DUMMYFUNCTION("INDEX(IMPORTRANGE(""17pNv02DXDpQT9S3w4-QeNym2QJy2BzMBqDXp-XtzJBM"", ""'SPGG'!BH3:BH139""),MATCH($D29,IMPORTRANGE(""17pNv02DXDpQT9S3w4-QeNym2QJy2BzMBqDXp-XtzJBM"", ""'SPGG'!D3:D139""),0))"),0)</f>
        <v>0</v>
      </c>
      <c r="AA29" s="12">
        <f ca="1">IFERROR(__xludf.DUMMYFUNCTION("INDEX(IMPORTRANGE(""17pNv02DXDpQT9S3w4-QeNym2QJy2BzMBqDXp-XtzJBM"", ""'SPGG'!BI3:BI139""),MATCH($D29,IMPORTRANGE(""17pNv02DXDpQT9S3w4-QeNym2QJy2BzMBqDXp-XtzJBM"", ""'SPGG'!D3:D139""),0))"),0)</f>
        <v>0</v>
      </c>
      <c r="AB29" s="12">
        <f ca="1">IFERROR(__xludf.DUMMYFUNCTION("INDEX(IMPORTRANGE(""17pNv02DXDpQT9S3w4-QeNym2QJy2BzMBqDXp-XtzJBM"", ""'SPGG'!BJ3:BJ139""),MATCH($D29,IMPORTRANGE(""17pNv02DXDpQT9S3w4-QeNym2QJy2BzMBqDXp-XtzJBM"", ""'SPGG'!D3:D139""),0))"),0)</f>
        <v>0</v>
      </c>
      <c r="AC29" s="12">
        <f ca="1">IFERROR(__xludf.DUMMYFUNCTION("INDEX(IMPORTRANGE(""17pNv02DXDpQT9S3w4-QeNym2QJy2BzMBqDXp-XtzJBM"", ""'SPGG'!BK3:BK139""),MATCH($D29,IMPORTRANGE(""17pNv02DXDpQT9S3w4-QeNym2QJy2BzMBqDXp-XtzJBM"", ""'SPGG'!D3:D139""),0))"),0)</f>
        <v>0</v>
      </c>
      <c r="AD29" s="12">
        <f ca="1">IFERROR(__xludf.DUMMYFUNCTION("INDEX(IMPORTRANGE(""17pNv02DXDpQT9S3w4-QeNym2QJy2BzMBqDXp-XtzJBM"", ""'SPGG'!BL3:BL139""),MATCH($D29,IMPORTRANGE(""17pNv02DXDpQT9S3w4-QeNym2QJy2BzMBqDXp-XtzJBM"", ""'SPGG'!D3:D139""),0))"),0)</f>
        <v>0</v>
      </c>
      <c r="AE29" s="12">
        <f ca="1">IFERROR(__xludf.DUMMYFUNCTION("INDEX(IMPORTRANGE(""17pNv02DXDpQT9S3w4-QeNym2QJy2BzMBqDXp-XtzJBM"", ""'SPGG'!BM3:BM139""),MATCH($D29,IMPORTRANGE(""17pNv02DXDpQT9S3w4-QeNym2QJy2BzMBqDXp-XtzJBM"", ""'SPGG'!D3:D139""),0))"),0)</f>
        <v>0</v>
      </c>
    </row>
    <row r="30" spans="1:31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9" t="s">
        <v>363</v>
      </c>
      <c r="P30" s="9" t="s">
        <v>63</v>
      </c>
      <c r="Q30" s="5">
        <v>0</v>
      </c>
      <c r="R30" s="5">
        <v>1</v>
      </c>
      <c r="S30" s="5">
        <f ca="1">IFERROR(__xludf.DUMMYFUNCTION("INDEX(IMPORTRANGE(""17pNv02DXDpQT9S3w4-QeNym2QJy2BzMBqDXp-XtzJBM"", ""'SPGG'!BG3:BG139""),MATCH($D30,IMPORTRANGE(""17pNv02DXDpQT9S3w4-QeNym2QJy2BzMBqDXp-XtzJBM"", ""'SPGG'!D3:D139""),0))"),0)</f>
        <v>0</v>
      </c>
      <c r="T30" s="13"/>
      <c r="U30" s="13"/>
      <c r="V30" s="13"/>
      <c r="W30" s="13"/>
      <c r="X30" s="181"/>
      <c r="Y30" s="4"/>
      <c r="Z30" s="12">
        <f ca="1">IFERROR(__xludf.DUMMYFUNCTION("INDEX(IMPORTRANGE(""17pNv02DXDpQT9S3w4-QeNym2QJy2BzMBqDXp-XtzJBM"", ""'SPGG'!BH3:BH139""),MATCH($D30,IMPORTRANGE(""17pNv02DXDpQT9S3w4-QeNym2QJy2BzMBqDXp-XtzJBM"", ""'SPGG'!D3:D139""),0))"),2)</f>
        <v>2</v>
      </c>
      <c r="AA30" s="12">
        <f ca="1">IFERROR(__xludf.DUMMYFUNCTION("INDEX(IMPORTRANGE(""17pNv02DXDpQT9S3w4-QeNym2QJy2BzMBqDXp-XtzJBM"", ""'SPGG'!BI3:BI139""),MATCH($D30,IMPORTRANGE(""17pNv02DXDpQT9S3w4-QeNym2QJy2BzMBqDXp-XtzJBM"", ""'SPGG'!D3:D139""),0))"),3)</f>
        <v>3</v>
      </c>
      <c r="AB30" s="12">
        <f ca="1">IFERROR(__xludf.DUMMYFUNCTION("INDEX(IMPORTRANGE(""17pNv02DXDpQT9S3w4-QeNym2QJy2BzMBqDXp-XtzJBM"", ""'SPGG'!BJ3:BJ139""),MATCH($D30,IMPORTRANGE(""17pNv02DXDpQT9S3w4-QeNym2QJy2BzMBqDXp-XtzJBM"", ""'SPGG'!D3:D139""),0))"),0)</f>
        <v>0</v>
      </c>
      <c r="AC30" s="12">
        <f ca="1">IFERROR(__xludf.DUMMYFUNCTION("INDEX(IMPORTRANGE(""17pNv02DXDpQT9S3w4-QeNym2QJy2BzMBqDXp-XtzJBM"", ""'SPGG'!BK3:BK139""),MATCH($D30,IMPORTRANGE(""17pNv02DXDpQT9S3w4-QeNym2QJy2BzMBqDXp-XtzJBM"", ""'SPGG'!D3:D139""),0))"),2)</f>
        <v>2</v>
      </c>
      <c r="AD30" s="12">
        <f ca="1">IFERROR(__xludf.DUMMYFUNCTION("INDEX(IMPORTRANGE(""17pNv02DXDpQT9S3w4-QeNym2QJy2BzMBqDXp-XtzJBM"", ""'SPGG'!BL3:BL139""),MATCH($D30,IMPORTRANGE(""17pNv02DXDpQT9S3w4-QeNym2QJy2BzMBqDXp-XtzJBM"", ""'SPGG'!D3:D139""),0))"),0)</f>
        <v>0</v>
      </c>
      <c r="AE30" s="12">
        <f ca="1">IFERROR(__xludf.DUMMYFUNCTION("INDEX(IMPORTRANGE(""17pNv02DXDpQT9S3w4-QeNym2QJy2BzMBqDXp-XtzJBM"", ""'SPGG'!BM3:BM139""),MATCH($D30,IMPORTRANGE(""17pNv02DXDpQT9S3w4-QeNym2QJy2BzMBqDXp-XtzJBM"", ""'SPGG'!D3:D139""),0))"),0)</f>
        <v>0</v>
      </c>
    </row>
    <row r="31" spans="1:31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9" t="s">
        <v>363</v>
      </c>
      <c r="P31" s="9" t="s">
        <v>63</v>
      </c>
      <c r="Q31" s="5">
        <v>1</v>
      </c>
      <c r="R31" s="5">
        <v>2</v>
      </c>
      <c r="S31" s="5">
        <f ca="1">IFERROR(__xludf.DUMMYFUNCTION("INDEX(IMPORTRANGE(""17pNv02DXDpQT9S3w4-QeNym2QJy2BzMBqDXp-XtzJBM"", ""'SPGG'!BG3:BG139""),MATCH($D31,IMPORTRANGE(""17pNv02DXDpQT9S3w4-QeNym2QJy2BzMBqDXp-XtzJBM"", ""'SPGG'!D3:D139""),0))"),2)</f>
        <v>2</v>
      </c>
      <c r="T31" s="13"/>
      <c r="U31" s="13"/>
      <c r="V31" s="13"/>
      <c r="W31" s="13"/>
      <c r="X31" s="181"/>
      <c r="Y31" s="4"/>
      <c r="Z31" s="12">
        <f ca="1">IFERROR(__xludf.DUMMYFUNCTION("INDEX(IMPORTRANGE(""17pNv02DXDpQT9S3w4-QeNym2QJy2BzMBqDXp-XtzJBM"", ""'SPGG'!BH3:BH139""),MATCH($D31,IMPORTRANGE(""17pNv02DXDpQT9S3w4-QeNym2QJy2BzMBqDXp-XtzJBM"", ""'SPGG'!D3:D139""),0))"),0)</f>
        <v>0</v>
      </c>
      <c r="AA31" s="12">
        <f ca="1">IFERROR(__xludf.DUMMYFUNCTION("INDEX(IMPORTRANGE(""17pNv02DXDpQT9S3w4-QeNym2QJy2BzMBqDXp-XtzJBM"", ""'SPGG'!BI3:BI139""),MATCH($D31,IMPORTRANGE(""17pNv02DXDpQT9S3w4-QeNym2QJy2BzMBqDXp-XtzJBM"", ""'SPGG'!D3:D139""),0))"),0)</f>
        <v>0</v>
      </c>
      <c r="AB31" s="12">
        <f ca="1">IFERROR(__xludf.DUMMYFUNCTION("INDEX(IMPORTRANGE(""17pNv02DXDpQT9S3w4-QeNym2QJy2BzMBqDXp-XtzJBM"", ""'SPGG'!BJ3:BJ139""),MATCH($D31,IMPORTRANGE(""17pNv02DXDpQT9S3w4-QeNym2QJy2BzMBqDXp-XtzJBM"", ""'SPGG'!D3:D139""),0))"),0)</f>
        <v>0</v>
      </c>
      <c r="AC31" s="12">
        <f ca="1">IFERROR(__xludf.DUMMYFUNCTION("INDEX(IMPORTRANGE(""17pNv02DXDpQT9S3w4-QeNym2QJy2BzMBqDXp-XtzJBM"", ""'SPGG'!BK3:BK139""),MATCH($D31,IMPORTRANGE(""17pNv02DXDpQT9S3w4-QeNym2QJy2BzMBqDXp-XtzJBM"", ""'SPGG'!D3:D139""),0))"),1)</f>
        <v>1</v>
      </c>
      <c r="AD31" s="12">
        <f ca="1">IFERROR(__xludf.DUMMYFUNCTION("INDEX(IMPORTRANGE(""17pNv02DXDpQT9S3w4-QeNym2QJy2BzMBqDXp-XtzJBM"", ""'SPGG'!BL3:BL139""),MATCH($D31,IMPORTRANGE(""17pNv02DXDpQT9S3w4-QeNym2QJy2BzMBqDXp-XtzJBM"", ""'SPGG'!D3:D139""),0))"),0)</f>
        <v>0</v>
      </c>
      <c r="AE31" s="12">
        <f ca="1">IFERROR(__xludf.DUMMYFUNCTION("INDEX(IMPORTRANGE(""17pNv02DXDpQT9S3w4-QeNym2QJy2BzMBqDXp-XtzJBM"", ""'SPGG'!BM3:BM139""),MATCH($D31,IMPORTRANGE(""17pNv02DXDpQT9S3w4-QeNym2QJy2BzMBqDXp-XtzJBM"", ""'SPGG'!D3:D139""),0))"),0)</f>
        <v>0</v>
      </c>
    </row>
    <row r="32" spans="1:31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9" t="s">
        <v>363</v>
      </c>
      <c r="P32" s="9" t="s">
        <v>63</v>
      </c>
      <c r="Q32" s="5">
        <v>0</v>
      </c>
      <c r="R32" s="5">
        <v>0</v>
      </c>
      <c r="S32" s="5">
        <f ca="1">IFERROR(__xludf.DUMMYFUNCTION("INDEX(IMPORTRANGE(""17pNv02DXDpQT9S3w4-QeNym2QJy2BzMBqDXp-XtzJBM"", ""'SPGG'!BG3:BG139""),MATCH($D32,IMPORTRANGE(""17pNv02DXDpQT9S3w4-QeNym2QJy2BzMBqDXp-XtzJBM"", ""'SPGG'!D3:D139""),0))"),0)</f>
        <v>0</v>
      </c>
      <c r="T32" s="13"/>
      <c r="U32" s="13"/>
      <c r="V32" s="13"/>
      <c r="W32" s="13"/>
      <c r="X32" s="181"/>
      <c r="Y32" s="4"/>
      <c r="Z32" s="12">
        <f ca="1">IFERROR(__xludf.DUMMYFUNCTION("INDEX(IMPORTRANGE(""17pNv02DXDpQT9S3w4-QeNym2QJy2BzMBqDXp-XtzJBM"", ""'SPGG'!BH3:BH139""),MATCH($D32,IMPORTRANGE(""17pNv02DXDpQT9S3w4-QeNym2QJy2BzMBqDXp-XtzJBM"", ""'SPGG'!D3:D139""),0))"),0)</f>
        <v>0</v>
      </c>
      <c r="AA32" s="12">
        <f ca="1">IFERROR(__xludf.DUMMYFUNCTION("INDEX(IMPORTRANGE(""17pNv02DXDpQT9S3w4-QeNym2QJy2BzMBqDXp-XtzJBM"", ""'SPGG'!BI3:BI139""),MATCH($D32,IMPORTRANGE(""17pNv02DXDpQT9S3w4-QeNym2QJy2BzMBqDXp-XtzJBM"", ""'SPGG'!D3:D139""),0))"),0)</f>
        <v>0</v>
      </c>
      <c r="AB32" s="12">
        <f ca="1">IFERROR(__xludf.DUMMYFUNCTION("INDEX(IMPORTRANGE(""17pNv02DXDpQT9S3w4-QeNym2QJy2BzMBqDXp-XtzJBM"", ""'SPGG'!BJ3:BJ139""),MATCH($D32,IMPORTRANGE(""17pNv02DXDpQT9S3w4-QeNym2QJy2BzMBqDXp-XtzJBM"", ""'SPGG'!D3:D139""),0))"),0)</f>
        <v>0</v>
      </c>
      <c r="AC32" s="12">
        <f ca="1">IFERROR(__xludf.DUMMYFUNCTION("INDEX(IMPORTRANGE(""17pNv02DXDpQT9S3w4-QeNym2QJy2BzMBqDXp-XtzJBM"", ""'SPGG'!BK3:BK139""),MATCH($D32,IMPORTRANGE(""17pNv02DXDpQT9S3w4-QeNym2QJy2BzMBqDXp-XtzJBM"", ""'SPGG'!D3:D139""),0))"),0)</f>
        <v>0</v>
      </c>
      <c r="AD32" s="12">
        <f ca="1">IFERROR(__xludf.DUMMYFUNCTION("INDEX(IMPORTRANGE(""17pNv02DXDpQT9S3w4-QeNym2QJy2BzMBqDXp-XtzJBM"", ""'SPGG'!BL3:BL139""),MATCH($D32,IMPORTRANGE(""17pNv02DXDpQT9S3w4-QeNym2QJy2BzMBqDXp-XtzJBM"", ""'SPGG'!D3:D139""),0))"),0)</f>
        <v>0</v>
      </c>
      <c r="AE32" s="12">
        <f ca="1">IFERROR(__xludf.DUMMYFUNCTION("INDEX(IMPORTRANGE(""17pNv02DXDpQT9S3w4-QeNym2QJy2BzMBqDXp-XtzJBM"", ""'SPGG'!BM3:BM139""),MATCH($D32,IMPORTRANGE(""17pNv02DXDpQT9S3w4-QeNym2QJy2BzMBqDXp-XtzJBM"", ""'SPGG'!D3:D139""),0))"),0)</f>
        <v>0</v>
      </c>
    </row>
    <row r="33" spans="1:31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9" t="s">
        <v>363</v>
      </c>
      <c r="P33" s="9" t="s">
        <v>63</v>
      </c>
      <c r="Q33" s="5">
        <v>0</v>
      </c>
      <c r="R33" s="5">
        <v>0</v>
      </c>
      <c r="S33" s="5">
        <f ca="1">IFERROR(__xludf.DUMMYFUNCTION("INDEX(IMPORTRANGE(""17pNv02DXDpQT9S3w4-QeNym2QJy2BzMBqDXp-XtzJBM"", ""'SPGG'!BG3:BG139""),MATCH($D33,IMPORTRANGE(""17pNv02DXDpQT9S3w4-QeNym2QJy2BzMBqDXp-XtzJBM"", ""'SPGG'!D3:D139""),0))"),0)</f>
        <v>0</v>
      </c>
      <c r="T33" s="13"/>
      <c r="U33" s="13"/>
      <c r="V33" s="13"/>
      <c r="W33" s="13"/>
      <c r="X33" s="181"/>
      <c r="Y33" s="4"/>
      <c r="Z33" s="12">
        <f ca="1">IFERROR(__xludf.DUMMYFUNCTION("INDEX(IMPORTRANGE(""17pNv02DXDpQT9S3w4-QeNym2QJy2BzMBqDXp-XtzJBM"", ""'SPGG'!BH3:BH139""),MATCH($D33,IMPORTRANGE(""17pNv02DXDpQT9S3w4-QeNym2QJy2BzMBqDXp-XtzJBM"", ""'SPGG'!D3:D139""),0))"),0)</f>
        <v>0</v>
      </c>
      <c r="AA33" s="12">
        <f ca="1">IFERROR(__xludf.DUMMYFUNCTION("INDEX(IMPORTRANGE(""17pNv02DXDpQT9S3w4-QeNym2QJy2BzMBqDXp-XtzJBM"", ""'SPGG'!BI3:BI139""),MATCH($D33,IMPORTRANGE(""17pNv02DXDpQT9S3w4-QeNym2QJy2BzMBqDXp-XtzJBM"", ""'SPGG'!D3:D139""),0))"),0)</f>
        <v>0</v>
      </c>
      <c r="AB33" s="12">
        <f ca="1">IFERROR(__xludf.DUMMYFUNCTION("INDEX(IMPORTRANGE(""17pNv02DXDpQT9S3w4-QeNym2QJy2BzMBqDXp-XtzJBM"", ""'SPGG'!BJ3:BJ139""),MATCH($D33,IMPORTRANGE(""17pNv02DXDpQT9S3w4-QeNym2QJy2BzMBqDXp-XtzJBM"", ""'SPGG'!D3:D139""),0))"),0)</f>
        <v>0</v>
      </c>
      <c r="AC33" s="12">
        <f ca="1">IFERROR(__xludf.DUMMYFUNCTION("INDEX(IMPORTRANGE(""17pNv02DXDpQT9S3w4-QeNym2QJy2BzMBqDXp-XtzJBM"", ""'SPGG'!BK3:BK139""),MATCH($D33,IMPORTRANGE(""17pNv02DXDpQT9S3w4-QeNym2QJy2BzMBqDXp-XtzJBM"", ""'SPGG'!D3:D139""),0))"),0)</f>
        <v>0</v>
      </c>
      <c r="AD33" s="12">
        <f ca="1">IFERROR(__xludf.DUMMYFUNCTION("INDEX(IMPORTRANGE(""17pNv02DXDpQT9S3w4-QeNym2QJy2BzMBqDXp-XtzJBM"", ""'SPGG'!BL3:BL139""),MATCH($D33,IMPORTRANGE(""17pNv02DXDpQT9S3w4-QeNym2QJy2BzMBqDXp-XtzJBM"", ""'SPGG'!D3:D139""),0))"),0)</f>
        <v>0</v>
      </c>
      <c r="AE33" s="12">
        <f ca="1">IFERROR(__xludf.DUMMYFUNCTION("INDEX(IMPORTRANGE(""17pNv02DXDpQT9S3w4-QeNym2QJy2BzMBqDXp-XtzJBM"", ""'SPGG'!BM3:BM139""),MATCH($D33,IMPORTRANGE(""17pNv02DXDpQT9S3w4-QeNym2QJy2BzMBqDXp-XtzJBM"", ""'SPGG'!D3:D139""),0))"),0)</f>
        <v>0</v>
      </c>
    </row>
    <row r="34" spans="1:31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9" t="s">
        <v>363</v>
      </c>
      <c r="P34" s="9" t="s">
        <v>63</v>
      </c>
      <c r="Q34" s="5">
        <v>0</v>
      </c>
      <c r="R34" s="5">
        <v>0</v>
      </c>
      <c r="S34" s="5">
        <f ca="1">IFERROR(__xludf.DUMMYFUNCTION("INDEX(IMPORTRANGE(""17pNv02DXDpQT9S3w4-QeNym2QJy2BzMBqDXp-XtzJBM"", ""'SPGG'!BG3:BG139""),MATCH($D34,IMPORTRANGE(""17pNv02DXDpQT9S3w4-QeNym2QJy2BzMBqDXp-XtzJBM"", ""'SPGG'!D3:D139""),0))"),0)</f>
        <v>0</v>
      </c>
      <c r="T34" s="13"/>
      <c r="U34" s="13"/>
      <c r="V34" s="13"/>
      <c r="W34" s="13"/>
      <c r="X34" s="181"/>
      <c r="Y34" s="4"/>
      <c r="Z34" s="12">
        <f ca="1">IFERROR(__xludf.DUMMYFUNCTION("INDEX(IMPORTRANGE(""17pNv02DXDpQT9S3w4-QeNym2QJy2BzMBqDXp-XtzJBM"", ""'SPGG'!BH3:BH139""),MATCH($D34,IMPORTRANGE(""17pNv02DXDpQT9S3w4-QeNym2QJy2BzMBqDXp-XtzJBM"", ""'SPGG'!D3:D139""),0))"),0)</f>
        <v>0</v>
      </c>
      <c r="AA34" s="12">
        <f ca="1">IFERROR(__xludf.DUMMYFUNCTION("INDEX(IMPORTRANGE(""17pNv02DXDpQT9S3w4-QeNym2QJy2BzMBqDXp-XtzJBM"", ""'SPGG'!BI3:BI139""),MATCH($D34,IMPORTRANGE(""17pNv02DXDpQT9S3w4-QeNym2QJy2BzMBqDXp-XtzJBM"", ""'SPGG'!D3:D139""),0))"),0)</f>
        <v>0</v>
      </c>
      <c r="AB34" s="12">
        <f ca="1">IFERROR(__xludf.DUMMYFUNCTION("INDEX(IMPORTRANGE(""17pNv02DXDpQT9S3w4-QeNym2QJy2BzMBqDXp-XtzJBM"", ""'SPGG'!BJ3:BJ139""),MATCH($D34,IMPORTRANGE(""17pNv02DXDpQT9S3w4-QeNym2QJy2BzMBqDXp-XtzJBM"", ""'SPGG'!D3:D139""),0))"),0)</f>
        <v>0</v>
      </c>
      <c r="AC34" s="12">
        <f ca="1">IFERROR(__xludf.DUMMYFUNCTION("INDEX(IMPORTRANGE(""17pNv02DXDpQT9S3w4-QeNym2QJy2BzMBqDXp-XtzJBM"", ""'SPGG'!BK3:BK139""),MATCH($D34,IMPORTRANGE(""17pNv02DXDpQT9S3w4-QeNym2QJy2BzMBqDXp-XtzJBM"", ""'SPGG'!D3:D139""),0))"),1)</f>
        <v>1</v>
      </c>
      <c r="AD34" s="12">
        <f ca="1">IFERROR(__xludf.DUMMYFUNCTION("INDEX(IMPORTRANGE(""17pNv02DXDpQT9S3w4-QeNym2QJy2BzMBqDXp-XtzJBM"", ""'SPGG'!BL3:BL139""),MATCH($D34,IMPORTRANGE(""17pNv02DXDpQT9S3w4-QeNym2QJy2BzMBqDXp-XtzJBM"", ""'SPGG'!D3:D139""),0))"),1)</f>
        <v>1</v>
      </c>
      <c r="AE34" s="12">
        <f ca="1">IFERROR(__xludf.DUMMYFUNCTION("INDEX(IMPORTRANGE(""17pNv02DXDpQT9S3w4-QeNym2QJy2BzMBqDXp-XtzJBM"", ""'SPGG'!BM3:BM139""),MATCH($D34,IMPORTRANGE(""17pNv02DXDpQT9S3w4-QeNym2QJy2BzMBqDXp-XtzJBM"", ""'SPGG'!D3:D139""),0))"),1)</f>
        <v>1</v>
      </c>
    </row>
    <row r="35" spans="1:31">
      <c r="A35" s="16" t="s">
        <v>52</v>
      </c>
      <c r="B35" s="16" t="s">
        <v>86</v>
      </c>
      <c r="C35" s="8" t="s">
        <v>30</v>
      </c>
      <c r="D35" s="16" t="s">
        <v>350</v>
      </c>
      <c r="E35" s="16" t="s">
        <v>76</v>
      </c>
      <c r="F35" s="191"/>
      <c r="G35" s="22" t="s">
        <v>343</v>
      </c>
      <c r="H35" s="22" t="s">
        <v>344</v>
      </c>
      <c r="I35" s="2" t="s">
        <v>362</v>
      </c>
      <c r="J35" s="21" t="s">
        <v>345</v>
      </c>
      <c r="K35" s="21" t="s">
        <v>336</v>
      </c>
      <c r="L35" s="21" t="s">
        <v>346</v>
      </c>
      <c r="M35" s="21" t="s">
        <v>347</v>
      </c>
      <c r="N35" s="21" t="s">
        <v>348</v>
      </c>
      <c r="O35" s="21" t="s">
        <v>363</v>
      </c>
      <c r="P35" s="21" t="s">
        <v>349</v>
      </c>
      <c r="Q35" s="262">
        <f t="shared" ref="Q35:R35" si="8">SUM(Q24:Q34)</f>
        <v>5</v>
      </c>
      <c r="R35" s="262">
        <f t="shared" si="8"/>
        <v>15</v>
      </c>
      <c r="S35" s="262">
        <f ca="1">IFERROR(__xludf.DUMMYFUNCTION("INDEX(IMPORTRANGE(""17pNv02DXDpQT9S3w4-QeNym2QJy2BzMBqDXp-XtzJBM"", ""'SPGG'!BG3:BG139""),MATCH($D35,IMPORTRANGE(""17pNv02DXDpQT9S3w4-QeNym2QJy2BzMBqDXp-XtzJBM"", ""'SPGG'!D3:D139""),0))"),11)</f>
        <v>11</v>
      </c>
      <c r="T35" s="360"/>
      <c r="U35" s="360"/>
      <c r="V35" s="360"/>
      <c r="W35" s="360"/>
      <c r="X35" s="477"/>
      <c r="Y35" s="360"/>
      <c r="Z35" s="262">
        <f ca="1">IFERROR(__xludf.DUMMYFUNCTION("INDEX(IMPORTRANGE(""17pNv02DXDpQT9S3w4-QeNym2QJy2BzMBqDXp-XtzJBM"", ""'SPGG'!BH3:BH139""),MATCH($D35,IMPORTRANGE(""17pNv02DXDpQT9S3w4-QeNym2QJy2BzMBqDXp-XtzJBM"", ""'SPGG'!D3:D139""),0))"),5)</f>
        <v>5</v>
      </c>
      <c r="AA35" s="262">
        <f ca="1">IFERROR(__xludf.DUMMYFUNCTION("INDEX(IMPORTRANGE(""17pNv02DXDpQT9S3w4-QeNym2QJy2BzMBqDXp-XtzJBM"", ""'SPGG'!BI3:BI139""),MATCH($D35,IMPORTRANGE(""17pNv02DXDpQT9S3w4-QeNym2QJy2BzMBqDXp-XtzJBM"", ""'SPGG'!D3:D139""),0))"),14)</f>
        <v>14</v>
      </c>
      <c r="AB35" s="262">
        <f ca="1">IFERROR(__xludf.DUMMYFUNCTION("INDEX(IMPORTRANGE(""17pNv02DXDpQT9S3w4-QeNym2QJy2BzMBqDXp-XtzJBM"", ""'SPGG'!BJ3:BJ139""),MATCH($D35,IMPORTRANGE(""17pNv02DXDpQT9S3w4-QeNym2QJy2BzMBqDXp-XtzJBM"", ""'SPGG'!D3:D139""),0))"),4)</f>
        <v>4</v>
      </c>
      <c r="AC35" s="262">
        <f ca="1">IFERROR(__xludf.DUMMYFUNCTION("INDEX(IMPORTRANGE(""17pNv02DXDpQT9S3w4-QeNym2QJy2BzMBqDXp-XtzJBM"", ""'SPGG'!BK3:BK139""),MATCH($D35,IMPORTRANGE(""17pNv02DXDpQT9S3w4-QeNym2QJy2BzMBqDXp-XtzJBM"", ""'SPGG'!D3:D139""),0))"),13)</f>
        <v>13</v>
      </c>
      <c r="AD35" s="262">
        <f ca="1">IFERROR(__xludf.DUMMYFUNCTION("INDEX(IMPORTRANGE(""17pNv02DXDpQT9S3w4-QeNym2QJy2BzMBqDXp-XtzJBM"", ""'SPGG'!BL3:BL139""),MATCH($D35,IMPORTRANGE(""17pNv02DXDpQT9S3w4-QeNym2QJy2BzMBqDXp-XtzJBM"", ""'SPGG'!D3:D139""),0))"),5)</f>
        <v>5</v>
      </c>
      <c r="AE35" s="262">
        <f ca="1">IFERROR(__xludf.DUMMYFUNCTION("INDEX(IMPORTRANGE(""17pNv02DXDpQT9S3w4-QeNym2QJy2BzMBqDXp-XtzJBM"", ""'SPGG'!BM3:BM139""),MATCH($D35,IMPORTRANGE(""17pNv02DXDpQT9S3w4-QeNym2QJy2BzMBqDXp-XtzJBM"", ""'SPGG'!D3:D139""),0))"),8)</f>
        <v>8</v>
      </c>
    </row>
    <row r="36" spans="1:31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9" t="s">
        <v>363</v>
      </c>
      <c r="P36" s="9" t="s">
        <v>63</v>
      </c>
      <c r="Q36" s="23">
        <f t="shared" ref="Q36:R36" si="9">(SUM(Q24:Q34)/Q$2)*100000</f>
        <v>3.5985461873403146</v>
      </c>
      <c r="R36" s="23">
        <f t="shared" si="9"/>
        <v>10.795638562020944</v>
      </c>
      <c r="S36" s="23">
        <f ca="1">IFERROR(__xludf.DUMMYFUNCTION("INDEX(IMPORTRANGE(""17pNv02DXDpQT9S3w4-QeNym2QJy2BzMBqDXp-XtzJBM"", ""'SPGG'!BG3:BG139""),MATCH($D36,IMPORTRANGE(""17pNv02DXDpQT9S3w4-QeNym2QJy2BzMBqDXp-XtzJBM"", ""'SPGG'!D3:D139""),0))"),7.91680161214869)</f>
        <v>7.9168016121486904</v>
      </c>
      <c r="T36" s="2">
        <v>10.8</v>
      </c>
      <c r="U36" s="24">
        <v>3.597</v>
      </c>
      <c r="V36" s="2">
        <v>10.7</v>
      </c>
      <c r="W36" s="24">
        <v>3.597</v>
      </c>
      <c r="X36" s="24">
        <f ca="1">+S36*(1+(Y36-R36)/R36)</f>
        <v>7.8466666666666649</v>
      </c>
      <c r="Y36" s="24">
        <v>10.7</v>
      </c>
      <c r="Z36" s="23">
        <f ca="1">IFERROR(__xludf.DUMMYFUNCTION("INDEX(IMPORTRANGE(""17pNv02DXDpQT9S3w4-QeNym2QJy2BzMBqDXp-XtzJBM"", ""'SPGG'!BH3:BH139""),MATCH($D36,IMPORTRANGE(""17pNv02DXDpQT9S3w4-QeNym2QJy2BzMBqDXp-XtzJBM"", ""'SPGG'!D3:D139""),0))"),3.55947889229016)</f>
        <v>3.5594788922901599</v>
      </c>
      <c r="AA36" s="23">
        <f ca="1">IFERROR(__xludf.DUMMYFUNCTION("INDEX(IMPORTRANGE(""17pNv02DXDpQT9S3w4-QeNym2QJy2BzMBqDXp-XtzJBM"", ""'SPGG'!BI3:BI139""),MATCH($D36,IMPORTRANGE(""17pNv02DXDpQT9S3w4-QeNym2QJy2BzMBqDXp-XtzJBM"", ""'SPGG'!D3:D139""),0))"),9.96654089841247)</f>
        <v>9.9665408984124699</v>
      </c>
      <c r="AB36" s="23">
        <f ca="1">IFERROR(__xludf.DUMMYFUNCTION("INDEX(IMPORTRANGE(""17pNv02DXDpQT9S3w4-QeNym2QJy2BzMBqDXp-XtzJBM"", ""'SPGG'!BJ3:BJ139""),MATCH($D36,IMPORTRANGE(""17pNv02DXDpQT9S3w4-QeNym2QJy2BzMBqDXp-XtzJBM"", ""'SPGG'!D3:D139""),0))"),2.81258349857261)</f>
        <v>2.8125834985726099</v>
      </c>
      <c r="AC36" s="23">
        <f ca="1">IFERROR(__xludf.DUMMYFUNCTION("INDEX(IMPORTRANGE(""17pNv02DXDpQT9S3w4-QeNym2QJy2BzMBqDXp-XtzJBM"", ""'SPGG'!BK3:BK139""),MATCH($D36,IMPORTRANGE(""17pNv02DXDpQT9S3w4-QeNym2QJy2BzMBqDXp-XtzJBM"", ""'SPGG'!D3:D139""),0))"),9.14089637036099)</f>
        <v>9.1408963703609896</v>
      </c>
      <c r="AD36" s="23">
        <f ca="1">IFERROR(__xludf.DUMMYFUNCTION("INDEX(IMPORTRANGE(""17pNv02DXDpQT9S3w4-QeNym2QJy2BzMBqDXp-XtzJBM"", ""'SPGG'!BL3:BL139""),MATCH($D36,IMPORTRANGE(""17pNv02DXDpQT9S3w4-QeNym2QJy2BzMBqDXp-XtzJBM"", ""'SPGG'!D3:D139""),0))"),3.46738233438048)</f>
        <v>3.4673823343804799</v>
      </c>
      <c r="AE36" s="23">
        <f ca="1">IFERROR(__xludf.DUMMYFUNCTION("INDEX(IMPORTRANGE(""17pNv02DXDpQT9S3w4-QeNym2QJy2BzMBqDXp-XtzJBM"", ""'SPGG'!BM3:BM139""),MATCH($D36,IMPORTRANGE(""17pNv02DXDpQT9S3w4-QeNym2QJy2BzMBqDXp-XtzJBM"", ""'SPGG'!D3:D139""),0))"),5.54781173500877)</f>
        <v>5.5478117350087697</v>
      </c>
    </row>
    <row r="37" spans="1:31">
      <c r="A37" s="7" t="s">
        <v>119</v>
      </c>
      <c r="B37" s="7" t="s">
        <v>120</v>
      </c>
      <c r="C37" s="1" t="s">
        <v>30</v>
      </c>
      <c r="D37" s="1" t="s">
        <v>121</v>
      </c>
      <c r="E37" s="2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49">
        <v>44651</v>
      </c>
      <c r="K37" s="49">
        <v>44834</v>
      </c>
      <c r="L37" s="49">
        <v>45016</v>
      </c>
      <c r="M37" s="49">
        <v>45199</v>
      </c>
      <c r="N37" s="49">
        <v>45382</v>
      </c>
      <c r="O37" s="49" t="s">
        <v>361</v>
      </c>
      <c r="P37" s="49">
        <v>45565</v>
      </c>
      <c r="Q37" s="12">
        <v>37730</v>
      </c>
      <c r="R37" s="12">
        <v>37730</v>
      </c>
      <c r="S37" s="12">
        <f ca="1">IFERROR(__xludf.DUMMYFUNCTION("INDEX(IMPORTRANGE(""17pNv02DXDpQT9S3w4-QeNym2QJy2BzMBqDXp-XtzJBM"", ""'SPGG'!BG3:BG139""),MATCH($D37,IMPORTRANGE(""17pNv02DXDpQT9S3w4-QeNym2QJy2BzMBqDXp-XtzJBM"", ""'SPGG'!D3:D139""),0))"),37730)</f>
        <v>37730</v>
      </c>
      <c r="T37" s="13"/>
      <c r="U37" s="13"/>
      <c r="V37" s="13"/>
      <c r="W37" s="13"/>
      <c r="X37" s="13"/>
      <c r="Y37" s="4"/>
      <c r="Z37" s="12">
        <f ca="1">IFERROR(__xludf.DUMMYFUNCTION("INDEX(IMPORTRANGE(""17pNv02DXDpQT9S3w4-QeNym2QJy2BzMBqDXp-XtzJBM"", ""'SPGG'!BH3:BH139""),MATCH($D37,IMPORTRANGE(""17pNv02DXDpQT9S3w4-QeNym2QJy2BzMBqDXp-XtzJBM"", ""'SPGG'!D3:D139""),0))"),37730)</f>
        <v>37730</v>
      </c>
      <c r="AA37" s="12">
        <f ca="1">IFERROR(__xludf.DUMMYFUNCTION("INDEX(IMPORTRANGE(""17pNv02DXDpQT9S3w4-QeNym2QJy2BzMBqDXp-XtzJBM"", ""'SPGG'!BI3:BI139""),MATCH($D37,IMPORTRANGE(""17pNv02DXDpQT9S3w4-QeNym2QJy2BzMBqDXp-XtzJBM"", ""'SPGG'!D3:D139""),0))"),37730)</f>
        <v>37730</v>
      </c>
      <c r="AB37" s="12">
        <f ca="1">IFERROR(__xludf.DUMMYFUNCTION("INDEX(IMPORTRANGE(""17pNv02DXDpQT9S3w4-QeNym2QJy2BzMBqDXp-XtzJBM"", ""'SPGG'!BJ3:BJ139""),MATCH($D37,IMPORTRANGE(""17pNv02DXDpQT9S3w4-QeNym2QJy2BzMBqDXp-XtzJBM"", ""'SPGG'!D3:D139""),0))"),37730)</f>
        <v>37730</v>
      </c>
      <c r="AC37" s="12">
        <f ca="1">IFERROR(__xludf.DUMMYFUNCTION("INDEX(IMPORTRANGE(""17pNv02DXDpQT9S3w4-QeNym2QJy2BzMBqDXp-XtzJBM"", ""'SPGG'!BK3:BK139""),MATCH($D37,IMPORTRANGE(""17pNv02DXDpQT9S3w4-QeNym2QJy2BzMBqDXp-XtzJBM"", ""'SPGG'!D3:D139""),0))"),37730)</f>
        <v>37730</v>
      </c>
      <c r="AD37" s="12">
        <f ca="1">IFERROR(__xludf.DUMMYFUNCTION("INDEX(IMPORTRANGE(""17pNv02DXDpQT9S3w4-QeNym2QJy2BzMBqDXp-XtzJBM"", ""'SPGG'!BL3:BL139""),MATCH($D37,IMPORTRANGE(""17pNv02DXDpQT9S3w4-QeNym2QJy2BzMBqDXp-XtzJBM"", ""'SPGG'!D3:D139""),0))"),37730)</f>
        <v>37730</v>
      </c>
      <c r="AE37" s="12">
        <f ca="1">IFERROR(__xludf.DUMMYFUNCTION("INDEX(IMPORTRANGE(""17pNv02DXDpQT9S3w4-QeNym2QJy2BzMBqDXp-XtzJBM"", ""'SPGG'!BM3:BM139""),MATCH($D37,IMPORTRANGE(""17pNv02DXDpQT9S3w4-QeNym2QJy2BzMBqDXp-XtzJBM"", ""'SPGG'!D3:D139""),0))"),37730)</f>
        <v>37730</v>
      </c>
    </row>
    <row r="38" spans="1:31">
      <c r="A38" s="7" t="s">
        <v>119</v>
      </c>
      <c r="B38" s="7" t="s">
        <v>120</v>
      </c>
      <c r="C38" s="1" t="s">
        <v>30</v>
      </c>
      <c r="D38" s="1" t="s">
        <v>123</v>
      </c>
      <c r="E38" s="2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49">
        <v>44651</v>
      </c>
      <c r="K38" s="49">
        <v>44834</v>
      </c>
      <c r="L38" s="49">
        <v>45016</v>
      </c>
      <c r="M38" s="49">
        <v>45199</v>
      </c>
      <c r="N38" s="49">
        <v>45382</v>
      </c>
      <c r="O38" s="49" t="s">
        <v>361</v>
      </c>
      <c r="P38" s="49">
        <v>45565</v>
      </c>
      <c r="Q38" s="12">
        <v>0</v>
      </c>
      <c r="R38" s="12">
        <v>0</v>
      </c>
      <c r="S38" s="12">
        <f ca="1">IFERROR(__xludf.DUMMYFUNCTION("INDEX(IMPORTRANGE(""17pNv02DXDpQT9S3w4-QeNym2QJy2BzMBqDXp-XtzJBM"", ""'SPGG'!BG3:BG139""),MATCH($D38,IMPORTRANGE(""17pNv02DXDpQT9S3w4-QeNym2QJy2BzMBqDXp-XtzJBM"", ""'SPGG'!D3:D139""),0))"),0)</f>
        <v>0</v>
      </c>
      <c r="T38" s="1"/>
      <c r="U38" s="1"/>
      <c r="V38" s="1"/>
      <c r="W38" s="1"/>
      <c r="X38" s="1"/>
      <c r="Y38" s="492">
        <v>2171</v>
      </c>
      <c r="Z38" s="12">
        <f ca="1">IFERROR(__xludf.DUMMYFUNCTION("INDEX(IMPORTRANGE(""17pNv02DXDpQT9S3w4-QeNym2QJy2BzMBqDXp-XtzJBM"", ""'SPGG'!BH3:BH139""),MATCH($D38,IMPORTRANGE(""17pNv02DXDpQT9S3w4-QeNym2QJy2BzMBqDXp-XtzJBM"", ""'SPGG'!D3:D139""),0))"),2171)</f>
        <v>2171</v>
      </c>
      <c r="AA38" s="12">
        <f ca="1">IFERROR(__xludf.DUMMYFUNCTION("INDEX(IMPORTRANGE(""17pNv02DXDpQT9S3w4-QeNym2QJy2BzMBqDXp-XtzJBM"", ""'SPGG'!BI3:BI139""),MATCH($D38,IMPORTRANGE(""17pNv02DXDpQT9S3w4-QeNym2QJy2BzMBqDXp-XtzJBM"", ""'SPGG'!D3:D139""),0))"),2970)</f>
        <v>2970</v>
      </c>
      <c r="AB38" s="12">
        <f ca="1">IFERROR(__xludf.DUMMYFUNCTION("INDEX(IMPORTRANGE(""17pNv02DXDpQT9S3w4-QeNym2QJy2BzMBqDXp-XtzJBM"", ""'SPGG'!BJ3:BJ139""),MATCH($D38,IMPORTRANGE(""17pNv02DXDpQT9S3w4-QeNym2QJy2BzMBqDXp-XtzJBM"", ""'SPGG'!D3:D139""),0))"),5567)</f>
        <v>5567</v>
      </c>
      <c r="AC38" s="12">
        <f ca="1">IFERROR(__xludf.DUMMYFUNCTION("INDEX(IMPORTRANGE(""17pNv02DXDpQT9S3w4-QeNym2QJy2BzMBqDXp-XtzJBM"", ""'SPGG'!BK3:BK139""),MATCH($D38,IMPORTRANGE(""17pNv02DXDpQT9S3w4-QeNym2QJy2BzMBqDXp-XtzJBM"", ""'SPGG'!D3:D139""),0))"),5567)</f>
        <v>5567</v>
      </c>
      <c r="AD38" s="12">
        <f ca="1">IFERROR(__xludf.DUMMYFUNCTION("INDEX(IMPORTRANGE(""17pNv02DXDpQT9S3w4-QeNym2QJy2BzMBqDXp-XtzJBM"", ""'SPGG'!BL3:BL139""),MATCH($D38,IMPORTRANGE(""17pNv02DXDpQT9S3w4-QeNym2QJy2BzMBqDXp-XtzJBM"", ""'SPGG'!D3:D139""),0))"),5259)</f>
        <v>5259</v>
      </c>
      <c r="AE38" s="12">
        <f ca="1">IFERROR(__xludf.DUMMYFUNCTION("INDEX(IMPORTRANGE(""17pNv02DXDpQT9S3w4-QeNym2QJy2BzMBqDXp-XtzJBM"", ""'SPGG'!BM3:BM139""),MATCH($D38,IMPORTRANGE(""17pNv02DXDpQT9S3w4-QeNym2QJy2BzMBqDXp-XtzJBM"", ""'SPGG'!D3:D139""),0))"),5259)</f>
        <v>5259</v>
      </c>
    </row>
    <row r="39" spans="1:31">
      <c r="A39" s="7" t="s">
        <v>119</v>
      </c>
      <c r="B39" s="7" t="s">
        <v>120</v>
      </c>
      <c r="C39" s="1" t="s">
        <v>36</v>
      </c>
      <c r="D39" s="1" t="s">
        <v>125</v>
      </c>
      <c r="E39" s="2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49">
        <v>44651</v>
      </c>
      <c r="K39" s="49">
        <v>44834</v>
      </c>
      <c r="L39" s="49">
        <v>45016</v>
      </c>
      <c r="M39" s="49">
        <v>45199</v>
      </c>
      <c r="N39" s="49">
        <v>45382</v>
      </c>
      <c r="O39" s="49" t="s">
        <v>361</v>
      </c>
      <c r="P39" s="49">
        <v>45565</v>
      </c>
      <c r="Q39" s="15">
        <f t="shared" ref="Q39:R39" si="10">Q38/Q37</f>
        <v>0</v>
      </c>
      <c r="R39" s="15">
        <f t="shared" si="10"/>
        <v>0</v>
      </c>
      <c r="S39" s="15">
        <f ca="1">IFERROR(__xludf.DUMMYFUNCTION("INDEX(IMPORTRANGE(""17pNv02DXDpQT9S3w4-QeNym2QJy2BzMBqDXp-XtzJBM"", ""'SPGG'!BG3:BG139""),MATCH($D39,IMPORTRANGE(""17pNv02DXDpQT9S3w4-QeNym2QJy2BzMBqDXp-XtzJBM"", ""'SPGG'!D3:D139""),0))"),0)</f>
        <v>0</v>
      </c>
      <c r="T39" s="15">
        <v>5.8000000000000003E-2</v>
      </c>
      <c r="U39" s="15">
        <v>5.8000000000000003E-2</v>
      </c>
      <c r="V39" s="15">
        <v>5.8000000000000003E-2</v>
      </c>
      <c r="W39" s="15">
        <v>5.8000000000000003E-2</v>
      </c>
      <c r="X39" s="15">
        <v>5.8000000000000003E-2</v>
      </c>
      <c r="Y39" s="15">
        <v>5.8000000000000003E-2</v>
      </c>
      <c r="Z39" s="15">
        <f ca="1">IFERROR(__xludf.DUMMYFUNCTION("INDEX(IMPORTRANGE(""17pNv02DXDpQT9S3w4-QeNym2QJy2BzMBqDXp-XtzJBM"", ""'SPGG'!BH3:BH139""),MATCH($D39,IMPORTRANGE(""17pNv02DXDpQT9S3w4-QeNym2QJy2BzMBqDXp-XtzJBM"", ""'SPGG'!D3:D139""),0))"),0.0575404187649085)</f>
        <v>5.7540418764908501E-2</v>
      </c>
      <c r="AA39" s="15">
        <f ca="1">IFERROR(__xludf.DUMMYFUNCTION("INDEX(IMPORTRANGE(""17pNv02DXDpQT9S3w4-QeNym2QJy2BzMBqDXp-XtzJBM"", ""'SPGG'!BI3:BI139""),MATCH($D39,IMPORTRANGE(""17pNv02DXDpQT9S3w4-QeNym2QJy2BzMBqDXp-XtzJBM"", ""'SPGG'!D3:D139""),0))"),0.0787172011661807)</f>
        <v>7.8717201166180695E-2</v>
      </c>
      <c r="AB39" s="15">
        <f ca="1">IFERROR(__xludf.DUMMYFUNCTION("INDEX(IMPORTRANGE(""17pNv02DXDpQT9S3w4-QeNym2QJy2BzMBqDXp-XtzJBM"", ""'SPGG'!BJ3:BJ139""),MATCH($D39,IMPORTRANGE(""17pNv02DXDpQT9S3w4-QeNym2QJy2BzMBqDXp-XtzJBM"", ""'SPGG'!D3:D139""),0))"),0.147548369997349)</f>
        <v>0.14754836999734899</v>
      </c>
      <c r="AC39" s="15">
        <f ca="1">IFERROR(__xludf.DUMMYFUNCTION("INDEX(IMPORTRANGE(""17pNv02DXDpQT9S3w4-QeNym2QJy2BzMBqDXp-XtzJBM"", ""'SPGG'!BK3:BK139""),MATCH($D39,IMPORTRANGE(""17pNv02DXDpQT9S3w4-QeNym2QJy2BzMBqDXp-XtzJBM"", ""'SPGG'!D3:D139""),0))"),0.147548369997349)</f>
        <v>0.14754836999734899</v>
      </c>
      <c r="AD39" s="15">
        <f ca="1">IFERROR(__xludf.DUMMYFUNCTION("INDEX(IMPORTRANGE(""17pNv02DXDpQT9S3w4-QeNym2QJy2BzMBqDXp-XtzJBM"", ""'SPGG'!BL3:BL139""),MATCH($D39,IMPORTRANGE(""17pNv02DXDpQT9S3w4-QeNym2QJy2BzMBqDXp-XtzJBM"", ""'SPGG'!D3:D139""),0))"),0.139385104691227)</f>
        <v>0.139385104691227</v>
      </c>
      <c r="AE39" s="15">
        <f ca="1">IFERROR(__xludf.DUMMYFUNCTION("INDEX(IMPORTRANGE(""17pNv02DXDpQT9S3w4-QeNym2QJy2BzMBqDXp-XtzJBM"", ""'SPGG'!BM3:BM139""),MATCH($D39,IMPORTRANGE(""17pNv02DXDpQT9S3w4-QeNym2QJy2BzMBqDXp-XtzJBM"", ""'SPGG'!D3:D139""),0))"),0.139385104691227)</f>
        <v>0.139385104691227</v>
      </c>
    </row>
    <row r="40" spans="1:31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9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""'SPGG'!BG3:BG139""),MATCH($D40,IMPORTRANGE(""17pNv02DXDpQT9S3w4-QeNym2QJy2BzMBqDXp-XtzJBM"", ""'SPGG'!D3:D139""),0))"),"")</f>
        <v/>
      </c>
      <c r="T40" s="1"/>
      <c r="U40" s="1"/>
      <c r="V40" s="1"/>
      <c r="W40" s="1"/>
      <c r="X40" s="1"/>
      <c r="Y40" s="459"/>
      <c r="Z40" s="12" t="str">
        <f ca="1">IFERROR(__xludf.DUMMYFUNCTION("INDEX(IMPORTRANGE(""17pNv02DXDpQT9S3w4-QeNym2QJy2BzMBqDXp-XtzJBM"", ""'SPGG'!BH3:BH139""),MATCH($D40,IMPORTRANGE(""17pNv02DXDpQT9S3w4-QeNym2QJy2BzMBqDXp-XtzJBM"", ""'SPGG'!D3:D139""),0))"),"")</f>
        <v/>
      </c>
      <c r="AA40" s="12" t="str">
        <f ca="1">IFERROR(__xludf.DUMMYFUNCTION("INDEX(IMPORTRANGE(""17pNv02DXDpQT9S3w4-QeNym2QJy2BzMBqDXp-XtzJBM"", ""'SPGG'!BI3:BI139""),MATCH($D40,IMPORTRANGE(""17pNv02DXDpQT9S3w4-QeNym2QJy2BzMBqDXp-XtzJBM"", ""'SPGG'!D3:D139""),0))"),"")</f>
        <v/>
      </c>
      <c r="AB40" s="12">
        <f ca="1">IFERROR(__xludf.DUMMYFUNCTION("INDEX(IMPORTRANGE(""17pNv02DXDpQT9S3w4-QeNym2QJy2BzMBqDXp-XtzJBM"", ""'SPGG'!BJ3:BJ139""),MATCH($D40,IMPORTRANGE(""17pNv02DXDpQT9S3w4-QeNym2QJy2BzMBqDXp-XtzJBM"", ""'SPGG'!D3:D139""),0))"),194.4)</f>
        <v>194.4</v>
      </c>
      <c r="AC40" s="12">
        <f ca="1">IFERROR(__xludf.DUMMYFUNCTION("INDEX(IMPORTRANGE(""17pNv02DXDpQT9S3w4-QeNym2QJy2BzMBqDXp-XtzJBM"", ""'SPGG'!BK3:BK139""),MATCH($D40,IMPORTRANGE(""17pNv02DXDpQT9S3w4-QeNym2QJy2BzMBqDXp-XtzJBM"", ""'SPGG'!D3:D139""),0))"),477.6)</f>
        <v>477.6</v>
      </c>
      <c r="AD40" s="12">
        <f ca="1">IFERROR(__xludf.DUMMYFUNCTION("INDEX(IMPORTRANGE(""17pNv02DXDpQT9S3w4-QeNym2QJy2BzMBqDXp-XtzJBM"", ""'SPGG'!BL3:BL139""),MATCH($D40,IMPORTRANGE(""17pNv02DXDpQT9S3w4-QeNym2QJy2BzMBqDXp-XtzJBM"", ""'SPGG'!D3:D139""),0))"),272.5)</f>
        <v>272.5</v>
      </c>
      <c r="AE40" s="12">
        <f ca="1">IFERROR(__xludf.DUMMYFUNCTION("INDEX(IMPORTRANGE(""17pNv02DXDpQT9S3w4-QeNym2QJy2BzMBqDXp-XtzJBM"", ""'SPGG'!BM3:BM139""),MATCH($D40,IMPORTRANGE(""17pNv02DXDpQT9S3w4-QeNym2QJy2BzMBqDXp-XtzJBM"", ""'SPGG'!D3:D139""),0))"),517.4)</f>
        <v>517.4</v>
      </c>
    </row>
    <row r="41" spans="1:31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9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""'SPGG'!BG3:BG139""),MATCH($D41,IMPORTRANGE(""17pNv02DXDpQT9S3w4-QeNym2QJy2BzMBqDXp-XtzJBM"", ""'SPGG'!D3:D139""),0))"),"")</f>
        <v/>
      </c>
      <c r="T41" s="1"/>
      <c r="U41" s="1"/>
      <c r="V41" s="1"/>
      <c r="W41" s="1"/>
      <c r="X41" s="1"/>
      <c r="Y41" s="459"/>
      <c r="Z41" s="12" t="str">
        <f ca="1">IFERROR(__xludf.DUMMYFUNCTION("INDEX(IMPORTRANGE(""17pNv02DXDpQT9S3w4-QeNym2QJy2BzMBqDXp-XtzJBM"", ""'SPGG'!BH3:BH139""),MATCH($D41,IMPORTRANGE(""17pNv02DXDpQT9S3w4-QeNym2QJy2BzMBqDXp-XtzJBM"", ""'SPGG'!D3:D139""),0))"),"")</f>
        <v/>
      </c>
      <c r="AA41" s="12" t="str">
        <f ca="1">IFERROR(__xludf.DUMMYFUNCTION("INDEX(IMPORTRANGE(""17pNv02DXDpQT9S3w4-QeNym2QJy2BzMBqDXp-XtzJBM"", ""'SPGG'!BI3:BI139""),MATCH($D41,IMPORTRANGE(""17pNv02DXDpQT9S3w4-QeNym2QJy2BzMBqDXp-XtzJBM"", ""'SPGG'!D3:D139""),0))"),"")</f>
        <v/>
      </c>
      <c r="AB41" s="12">
        <f ca="1">IFERROR(__xludf.DUMMYFUNCTION("INDEX(IMPORTRANGE(""17pNv02DXDpQT9S3w4-QeNym2QJy2BzMBqDXp-XtzJBM"", ""'SPGG'!BJ3:BJ139""),MATCH($D41,IMPORTRANGE(""17pNv02DXDpQT9S3w4-QeNym2QJy2BzMBqDXp-XtzJBM"", ""'SPGG'!D3:D139""),0))"),19551.08)</f>
        <v>19551.080000000002</v>
      </c>
      <c r="AC41" s="12">
        <f ca="1">IFERROR(__xludf.DUMMYFUNCTION("INDEX(IMPORTRANGE(""17pNv02DXDpQT9S3w4-QeNym2QJy2BzMBqDXp-XtzJBM"", ""'SPGG'!BK3:BK139""),MATCH($D41,IMPORTRANGE(""17pNv02DXDpQT9S3w4-QeNym2QJy2BzMBqDXp-XtzJBM"", ""'SPGG'!D3:D139""),0))"),39545)</f>
        <v>39545</v>
      </c>
      <c r="AD41" s="12">
        <f ca="1">IFERROR(__xludf.DUMMYFUNCTION("INDEX(IMPORTRANGE(""17pNv02DXDpQT9S3w4-QeNym2QJy2BzMBqDXp-XtzJBM"", ""'SPGG'!BL3:BL139""),MATCH($D41,IMPORTRANGE(""17pNv02DXDpQT9S3w4-QeNym2QJy2BzMBqDXp-XtzJBM"", ""'SPGG'!D3:D139""),0))"),20160.76)</f>
        <v>20160.759999999998</v>
      </c>
      <c r="AE41" s="12">
        <f ca="1">IFERROR(__xludf.DUMMYFUNCTION("INDEX(IMPORTRANGE(""17pNv02DXDpQT9S3w4-QeNym2QJy2BzMBqDXp-XtzJBM"", ""'SPGG'!BM3:BM139""),MATCH($D41,IMPORTRANGE(""17pNv02DXDpQT9S3w4-QeNym2QJy2BzMBqDXp-XtzJBM"", ""'SPGG'!D3:D139""),0))"),37637.34)</f>
        <v>37637.339999999997</v>
      </c>
    </row>
    <row r="42" spans="1:31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9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""'SPGG'!BG3:BG139""),MATCH($D42,IMPORTRANGE(""17pNv02DXDpQT9S3w4-QeNym2QJy2BzMBqDXp-XtzJBM"", ""'SPGG'!D3:D139""),0))"),"")</f>
        <v/>
      </c>
      <c r="T42" s="2"/>
      <c r="U42" s="26">
        <v>9.9000000000000008E-3</v>
      </c>
      <c r="V42" s="26">
        <v>1.04E-2</v>
      </c>
      <c r="W42" s="26">
        <v>9.9000000000000008E-3</v>
      </c>
      <c r="X42" s="152">
        <f>((Y42-W42)/6)*5+W42</f>
        <v>1.0316666666666667E-2</v>
      </c>
      <c r="Y42" s="26">
        <v>1.04E-2</v>
      </c>
      <c r="Z42" s="15" t="str">
        <f ca="1">IFERROR(__xludf.DUMMYFUNCTION("INDEX(IMPORTRANGE(""17pNv02DXDpQT9S3w4-QeNym2QJy2BzMBqDXp-XtzJBM"", ""'SPGG'!BH3:BH139""),MATCH($D42,IMPORTRANGE(""17pNv02DXDpQT9S3w4-QeNym2QJy2BzMBqDXp-XtzJBM"", ""'SPGG'!D3:D139""),0))"),"")</f>
        <v/>
      </c>
      <c r="AA42" s="15" t="str">
        <f ca="1">IFERROR(__xludf.DUMMYFUNCTION("INDEX(IMPORTRANGE(""17pNv02DXDpQT9S3w4-QeNym2QJy2BzMBqDXp-XtzJBM"", ""'SPGG'!BI3:BI139""),MATCH($D42,IMPORTRANGE(""17pNv02DXDpQT9S3w4-QeNym2QJy2BzMBqDXp-XtzJBM"", ""'SPGG'!D3:D139""),0))"),"")</f>
        <v/>
      </c>
      <c r="AB42" s="15">
        <f ca="1">IFERROR(__xludf.DUMMYFUNCTION("INDEX(IMPORTRANGE(""17pNv02DXDpQT9S3w4-QeNym2QJy2BzMBqDXp-XtzJBM"", ""'SPGG'!BJ3:BJ139""),MATCH($D42,IMPORTRANGE(""17pNv02DXDpQT9S3w4-QeNym2QJy2BzMBqDXp-XtzJBM"", ""'SPGG'!D3:D139""),0))"),0.00994318472432213)</f>
        <v>9.9431847243221308E-3</v>
      </c>
      <c r="AC42" s="15">
        <f ca="1">IFERROR(__xludf.DUMMYFUNCTION("INDEX(IMPORTRANGE(""17pNv02DXDpQT9S3w4-QeNym2QJy2BzMBqDXp-XtzJBM"", ""'SPGG'!BK3:BK139""),MATCH($D42,IMPORTRANGE(""17pNv02DXDpQT9S3w4-QeNym2QJy2BzMBqDXp-XtzJBM"", ""'SPGG'!D3:D139""),0))"),0.0120773801997724)</f>
        <v>1.20773801997724E-2</v>
      </c>
      <c r="AD42" s="15">
        <f ca="1">IFERROR(__xludf.DUMMYFUNCTION("INDEX(IMPORTRANGE(""17pNv02DXDpQT9S3w4-QeNym2QJy2BzMBqDXp-XtzJBM"", ""'SPGG'!BL3:BL139""),MATCH($D42,IMPORTRANGE(""17pNv02DXDpQT9S3w4-QeNym2QJy2BzMBqDXp-XtzJBM"", ""'SPGG'!D3:D139""),0))"),0.0135163555342159)</f>
        <v>1.35163555342159E-2</v>
      </c>
      <c r="AE42" s="15">
        <f ca="1">IFERROR(__xludf.DUMMYFUNCTION("INDEX(IMPORTRANGE(""17pNv02DXDpQT9S3w4-QeNym2QJy2BzMBqDXp-XtzJBM"", ""'SPGG'!BM3:BM139""),MATCH($D42,IMPORTRANGE(""17pNv02DXDpQT9S3w4-QeNym2QJy2BzMBqDXp-XtzJBM"", ""'SPGG'!D3:D139""),0))"),0.0137469863704501)</f>
        <v>1.37469863704501E-2</v>
      </c>
    </row>
    <row r="43" spans="1:31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2" t="s">
        <v>364</v>
      </c>
      <c r="P43" s="12" t="s">
        <v>132</v>
      </c>
      <c r="Q43" s="12">
        <v>0</v>
      </c>
      <c r="R43" s="12">
        <v>0</v>
      </c>
      <c r="S43" s="12">
        <f ca="1">IFERROR(__xludf.DUMMYFUNCTION("INDEX(IMPORTRANGE(""17pNv02DXDpQT9S3w4-QeNym2QJy2BzMBqDXp-XtzJBM"", ""'SPGG'!BG3:BG139""),MATCH($D43,IMPORTRANGE(""17pNv02DXDpQT9S3w4-QeNym2QJy2BzMBqDXp-XtzJBM"", ""'SPGG'!D3:D139""),0))"),0)</f>
        <v>0</v>
      </c>
      <c r="T43" s="2">
        <v>1</v>
      </c>
      <c r="U43" s="2">
        <v>1</v>
      </c>
      <c r="V43" s="2">
        <v>1</v>
      </c>
      <c r="W43" s="2">
        <v>1</v>
      </c>
      <c r="X43" s="2">
        <v>1</v>
      </c>
      <c r="Y43" s="2">
        <v>1</v>
      </c>
      <c r="Z43" s="12">
        <f ca="1">IFERROR(__xludf.DUMMYFUNCTION("INDEX(IMPORTRANGE(""17pNv02DXDpQT9S3w4-QeNym2QJy2BzMBqDXp-XtzJBM"", ""'SPGG'!BH3:BH139""),MATCH($D43,IMPORTRANGE(""17pNv02DXDpQT9S3w4-QeNym2QJy2BzMBqDXp-XtzJBM"", ""'SPGG'!D3:D139""),0))"),0)</f>
        <v>0</v>
      </c>
      <c r="AA43" s="12">
        <f ca="1">IFERROR(__xludf.DUMMYFUNCTION("INDEX(IMPORTRANGE(""17pNv02DXDpQT9S3w4-QeNym2QJy2BzMBqDXp-XtzJBM"", ""'SPGG'!BI3:BI139""),MATCH($D43,IMPORTRANGE(""17pNv02DXDpQT9S3w4-QeNym2QJy2BzMBqDXp-XtzJBM"", ""'SPGG'!D3:D139""),0))"),0)</f>
        <v>0</v>
      </c>
      <c r="AB43" s="12">
        <f ca="1">IFERROR(__xludf.DUMMYFUNCTION("INDEX(IMPORTRANGE(""17pNv02DXDpQT9S3w4-QeNym2QJy2BzMBqDXp-XtzJBM"", ""'SPGG'!BJ3:BJ139""),MATCH($D43,IMPORTRANGE(""17pNv02DXDpQT9S3w4-QeNym2QJy2BzMBqDXp-XtzJBM"", ""'SPGG'!D3:D139""),0))"),1)</f>
        <v>1</v>
      </c>
      <c r="AC43" s="12">
        <f ca="1">IFERROR(__xludf.DUMMYFUNCTION("INDEX(IMPORTRANGE(""17pNv02DXDpQT9S3w4-QeNym2QJy2BzMBqDXp-XtzJBM"", ""'SPGG'!BK3:BK139""),MATCH($D43,IMPORTRANGE(""17pNv02DXDpQT9S3w4-QeNym2QJy2BzMBqDXp-XtzJBM"", ""'SPGG'!D3:D139""),0))"),1)</f>
        <v>1</v>
      </c>
      <c r="AD43" s="12">
        <f ca="1">IFERROR(__xludf.DUMMYFUNCTION("INDEX(IMPORTRANGE(""17pNv02DXDpQT9S3w4-QeNym2QJy2BzMBqDXp-XtzJBM"", ""'SPGG'!BL3:BL139""),MATCH($D43,IMPORTRANGE(""17pNv02DXDpQT9S3w4-QeNym2QJy2BzMBqDXp-XtzJBM"", ""'SPGG'!D3:D139""),0))"),1)</f>
        <v>1</v>
      </c>
      <c r="AE43" s="12">
        <f ca="1">IFERROR(__xludf.DUMMYFUNCTION("INDEX(IMPORTRANGE(""17pNv02DXDpQT9S3w4-QeNym2QJy2BzMBqDXp-XtzJBM"", ""'SPGG'!BM3:BM139""),MATCH($D43,IMPORTRANGE(""17pNv02DXDpQT9S3w4-QeNym2QJy2BzMBqDXp-XtzJBM"", ""'SPGG'!D3:D139""),0))"),1)</f>
        <v>1</v>
      </c>
    </row>
    <row r="44" spans="1:31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2" t="s">
        <v>364</v>
      </c>
      <c r="P44" s="12" t="s">
        <v>132</v>
      </c>
      <c r="Q44" s="12">
        <v>1983</v>
      </c>
      <c r="R44" s="12">
        <v>4249</v>
      </c>
      <c r="S44" s="12">
        <f ca="1">IFERROR(__xludf.DUMMYFUNCTION("INDEX(IMPORTRANGE(""17pNv02DXDpQT9S3w4-QeNym2QJy2BzMBqDXp-XtzJBM"", ""'SPGG'!BG3:BG139""),MATCH($D44,IMPORTRANGE(""17pNv02DXDpQT9S3w4-QeNym2QJy2BzMBqDXp-XtzJBM"", ""'SPGG'!D3:D139""),0))"),3967)</f>
        <v>3967</v>
      </c>
      <c r="T44" s="12">
        <v>2000</v>
      </c>
      <c r="U44" s="12">
        <f>640+T44</f>
        <v>2640</v>
      </c>
      <c r="V44" s="12">
        <f>710-640+U44</f>
        <v>2710</v>
      </c>
      <c r="W44" s="12">
        <f>70+V44</f>
        <v>2780</v>
      </c>
      <c r="X44" s="12">
        <f>3000-W44+W44</f>
        <v>3000</v>
      </c>
      <c r="Y44" s="12">
        <f>X44</f>
        <v>3000</v>
      </c>
      <c r="Z44" s="12">
        <f ca="1">IFERROR(__xludf.DUMMYFUNCTION("INDEX(IMPORTRANGE(""17pNv02DXDpQT9S3w4-QeNym2QJy2BzMBqDXp-XtzJBM"", ""'SPGG'!BH3:BH139""),MATCH($D44,IMPORTRANGE(""17pNv02DXDpQT9S3w4-QeNym2QJy2BzMBqDXp-XtzJBM"", ""'SPGG'!D3:D139""),0))"),900)</f>
        <v>900</v>
      </c>
      <c r="AA44" s="12">
        <f ca="1">IFERROR(__xludf.DUMMYFUNCTION("INDEX(IMPORTRANGE(""17pNv02DXDpQT9S3w4-QeNym2QJy2BzMBqDXp-XtzJBM"", ""'SPGG'!BI3:BI139""),MATCH($D44,IMPORTRANGE(""17pNv02DXDpQT9S3w4-QeNym2QJy2BzMBqDXp-XtzJBM"", ""'SPGG'!D3:D139""),0))"),2171)</f>
        <v>2171</v>
      </c>
      <c r="AB44" s="12">
        <f ca="1">IFERROR(__xludf.DUMMYFUNCTION("INDEX(IMPORTRANGE(""17pNv02DXDpQT9S3w4-QeNym2QJy2BzMBqDXp-XtzJBM"", ""'SPGG'!BJ3:BJ139""),MATCH($D44,IMPORTRANGE(""17pNv02DXDpQT9S3w4-QeNym2QJy2BzMBqDXp-XtzJBM"", ""'SPGG'!D3:D139""),0))"),2983)</f>
        <v>2983</v>
      </c>
      <c r="AC44" s="12">
        <f ca="1">IFERROR(__xludf.DUMMYFUNCTION("INDEX(IMPORTRANGE(""17pNv02DXDpQT9S3w4-QeNym2QJy2BzMBqDXp-XtzJBM"", ""'SPGG'!BK3:BK139""),MATCH($D44,IMPORTRANGE(""17pNv02DXDpQT9S3w4-QeNym2QJy2BzMBqDXp-XtzJBM"", ""'SPGG'!D3:D139""),0))"),3380)</f>
        <v>3380</v>
      </c>
      <c r="AD44" s="12">
        <f ca="1">IFERROR(__xludf.DUMMYFUNCTION("INDEX(IMPORTRANGE(""17pNv02DXDpQT9S3w4-QeNym2QJy2BzMBqDXp-XtzJBM"", ""'SPGG'!BL3:BL139""),MATCH($D44,IMPORTRANGE(""17pNv02DXDpQT9S3w4-QeNym2QJy2BzMBqDXp-XtzJBM"", ""'SPGG'!D3:D139""),0))"),5128)</f>
        <v>5128</v>
      </c>
      <c r="AE44" s="12">
        <f ca="1">IFERROR(__xludf.DUMMYFUNCTION("INDEX(IMPORTRANGE(""17pNv02DXDpQT9S3w4-QeNym2QJy2BzMBqDXp-XtzJBM"", ""'SPGG'!BM3:BM139""),MATCH($D44,IMPORTRANGE(""17pNv02DXDpQT9S3w4-QeNym2QJy2BzMBqDXp-XtzJBM"", ""'SPGG'!D3:D139""),0))"),5783)</f>
        <v>5783</v>
      </c>
    </row>
    <row r="45" spans="1:31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2" t="s">
        <v>364</v>
      </c>
      <c r="P45" s="12" t="s">
        <v>132</v>
      </c>
      <c r="Q45" s="12">
        <v>0</v>
      </c>
      <c r="R45" s="12">
        <v>0</v>
      </c>
      <c r="S45" s="12">
        <f ca="1">IFERROR(__xludf.DUMMYFUNCTION("INDEX(IMPORTRANGE(""17pNv02DXDpQT9S3w4-QeNym2QJy2BzMBqDXp-XtzJBM"", ""'SPGG'!BG3:BG139""),MATCH($D45,IMPORTRANGE(""17pNv02DXDpQT9S3w4-QeNym2QJy2BzMBqDXp-XtzJBM"", ""'SPGG'!D3:D139""),0))"),0)</f>
        <v>0</v>
      </c>
      <c r="T45" s="1"/>
      <c r="U45" s="1"/>
      <c r="V45" s="1"/>
      <c r="W45" s="1"/>
      <c r="X45" s="1"/>
      <c r="Y45" s="459">
        <v>4</v>
      </c>
      <c r="Z45" s="12">
        <f ca="1">IFERROR(__xludf.DUMMYFUNCTION("INDEX(IMPORTRANGE(""17pNv02DXDpQT9S3w4-QeNym2QJy2BzMBqDXp-XtzJBM"", ""'SPGG'!BH3:BH139""),MATCH($D45,IMPORTRANGE(""17pNv02DXDpQT9S3w4-QeNym2QJy2BzMBqDXp-XtzJBM"", ""'SPGG'!D3:D139""),0))"),4)</f>
        <v>4</v>
      </c>
      <c r="AA45" s="12">
        <f ca="1">IFERROR(__xludf.DUMMYFUNCTION("INDEX(IMPORTRANGE(""17pNv02DXDpQT9S3w4-QeNym2QJy2BzMBqDXp-XtzJBM"", ""'SPGG'!BI3:BI139""),MATCH($D45,IMPORTRANGE(""17pNv02DXDpQT9S3w4-QeNym2QJy2BzMBqDXp-XtzJBM"", ""'SPGG'!D3:D139""),0))"),4)</f>
        <v>4</v>
      </c>
      <c r="AB45" s="12">
        <f ca="1">IFERROR(__xludf.DUMMYFUNCTION("INDEX(IMPORTRANGE(""17pNv02DXDpQT9S3w4-QeNym2QJy2BzMBqDXp-XtzJBM"", ""'SPGG'!BJ3:BJ139""),MATCH($D45,IMPORTRANGE(""17pNv02DXDpQT9S3w4-QeNym2QJy2BzMBqDXp-XtzJBM"", ""'SPGG'!D3:D139""),0))"),4)</f>
        <v>4</v>
      </c>
      <c r="AC45" s="12">
        <f ca="1">IFERROR(__xludf.DUMMYFUNCTION("INDEX(IMPORTRANGE(""17pNv02DXDpQT9S3w4-QeNym2QJy2BzMBqDXp-XtzJBM"", ""'SPGG'!BK3:BK139""),MATCH($D45,IMPORTRANGE(""17pNv02DXDpQT9S3w4-QeNym2QJy2BzMBqDXp-XtzJBM"", ""'SPGG'!D3:D139""),0))"),4)</f>
        <v>4</v>
      </c>
      <c r="AD45" s="12">
        <f ca="1">IFERROR(__xludf.DUMMYFUNCTION("INDEX(IMPORTRANGE(""17pNv02DXDpQT9S3w4-QeNym2QJy2BzMBqDXp-XtzJBM"", ""'SPGG'!BL3:BL139""),MATCH($D45,IMPORTRANGE(""17pNv02DXDpQT9S3w4-QeNym2QJy2BzMBqDXp-XtzJBM"", ""'SPGG'!D3:D139""),0))"),5)</f>
        <v>5</v>
      </c>
      <c r="AE45" s="12">
        <f ca="1">IFERROR(__xludf.DUMMYFUNCTION("INDEX(IMPORTRANGE(""17pNv02DXDpQT9S3w4-QeNym2QJy2BzMBqDXp-XtzJBM"", ""'SPGG'!BM3:BM139""),MATCH($D45,IMPORTRANGE(""17pNv02DXDpQT9S3w4-QeNym2QJy2BzMBqDXp-XtzJBM"", ""'SPGG'!D3:D139""),0))"),5)</f>
        <v>5</v>
      </c>
    </row>
    <row r="46" spans="1:31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2" t="s">
        <v>364</v>
      </c>
      <c r="P46" s="12" t="s">
        <v>132</v>
      </c>
      <c r="Q46" s="12"/>
      <c r="R46" s="12"/>
      <c r="S46" s="12">
        <f ca="1">IFERROR(__xludf.DUMMYFUNCTION("INDEX(IMPORTRANGE(""17pNv02DXDpQT9S3w4-QeNym2QJy2BzMBqDXp-XtzJBM"", ""'SPGG'!BG3:BG139""),MATCH($D46,IMPORTRANGE(""17pNv02DXDpQT9S3w4-QeNym2QJy2BzMBqDXp-XtzJBM"", ""'SPGG'!D3:D139""),0))"),0)</f>
        <v>0</v>
      </c>
      <c r="T46" s="1"/>
      <c r="U46" s="1"/>
      <c r="V46" s="1"/>
      <c r="W46" s="1"/>
      <c r="X46" s="1"/>
      <c r="Y46" s="459"/>
      <c r="Z46" s="12" t="str">
        <f ca="1">IFERROR(__xludf.DUMMYFUNCTION("INDEX(IMPORTRANGE(""17pNv02DXDpQT9S3w4-QeNym2QJy2BzMBqDXp-XtzJBM"", ""'SPGG'!BH3:BH139""),MATCH($D46,IMPORTRANGE(""17pNv02DXDpQT9S3w4-QeNym2QJy2BzMBqDXp-XtzJBM"", ""'SPGG'!D3:D139""),0))"),"")</f>
        <v/>
      </c>
      <c r="AA46" s="12">
        <f ca="1">IFERROR(__xludf.DUMMYFUNCTION("INDEX(IMPORTRANGE(""17pNv02DXDpQT9S3w4-QeNym2QJy2BzMBqDXp-XtzJBM"", ""'SPGG'!BI3:BI139""),MATCH($D46,IMPORTRANGE(""17pNv02DXDpQT9S3w4-QeNym2QJy2BzMBqDXp-XtzJBM"", ""'SPGG'!D3:D139""),0))"),1)</f>
        <v>1</v>
      </c>
      <c r="AB46" s="12">
        <f ca="1">IFERROR(__xludf.DUMMYFUNCTION("INDEX(IMPORTRANGE(""17pNv02DXDpQT9S3w4-QeNym2QJy2BzMBqDXp-XtzJBM"", ""'SPGG'!BJ3:BJ139""),MATCH($D46,IMPORTRANGE(""17pNv02DXDpQT9S3w4-QeNym2QJy2BzMBqDXp-XtzJBM"", ""'SPGG'!D3:D139""),0))"),1)</f>
        <v>1</v>
      </c>
      <c r="AC46" s="12">
        <f ca="1">IFERROR(__xludf.DUMMYFUNCTION("INDEX(IMPORTRANGE(""17pNv02DXDpQT9S3w4-QeNym2QJy2BzMBqDXp-XtzJBM"", ""'SPGG'!BK3:BK139""),MATCH($D46,IMPORTRANGE(""17pNv02DXDpQT9S3w4-QeNym2QJy2BzMBqDXp-XtzJBM"", ""'SPGG'!D3:D139""),0))"),1)</f>
        <v>1</v>
      </c>
      <c r="AD46" s="12">
        <f ca="1">IFERROR(__xludf.DUMMYFUNCTION("INDEX(IMPORTRANGE(""17pNv02DXDpQT9S3w4-QeNym2QJy2BzMBqDXp-XtzJBM"", ""'SPGG'!BL3:BL139""),MATCH($D46,IMPORTRANGE(""17pNv02DXDpQT9S3w4-QeNym2QJy2BzMBqDXp-XtzJBM"", ""'SPGG'!D3:D139""),0))"),1)</f>
        <v>1</v>
      </c>
      <c r="AE46" s="12">
        <f ca="1">IFERROR(__xludf.DUMMYFUNCTION("INDEX(IMPORTRANGE(""17pNv02DXDpQT9S3w4-QeNym2QJy2BzMBqDXp-XtzJBM"", ""'SPGG'!BM3:BM139""),MATCH($D46,IMPORTRANGE(""17pNv02DXDpQT9S3w4-QeNym2QJy2BzMBqDXp-XtzJBM"", ""'SPGG'!D3:D139""),0))"),1)</f>
        <v>1</v>
      </c>
    </row>
    <row r="47" spans="1:31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2" t="s">
        <v>364</v>
      </c>
      <c r="P47" s="12" t="s">
        <v>132</v>
      </c>
      <c r="Q47" s="12">
        <v>0</v>
      </c>
      <c r="R47" s="12">
        <v>3</v>
      </c>
      <c r="S47" s="12">
        <f ca="1">IFERROR(__xludf.DUMMYFUNCTION("INDEX(IMPORTRANGE(""17pNv02DXDpQT9S3w4-QeNym2QJy2BzMBqDXp-XtzJBM"", ""'SPGG'!BG3:BG139""),MATCH($D47,IMPORTRANGE(""17pNv02DXDpQT9S3w4-QeNym2QJy2BzMBqDXp-XtzJBM"", ""'SPGG'!D3:D139""),0))"),0)</f>
        <v>0</v>
      </c>
      <c r="T47" s="1"/>
      <c r="U47" s="1"/>
      <c r="V47" s="1"/>
      <c r="W47" s="1"/>
      <c r="X47" s="1"/>
      <c r="Y47" s="459">
        <v>42</v>
      </c>
      <c r="Z47" s="12">
        <f ca="1">IFERROR(__xludf.DUMMYFUNCTION("INDEX(IMPORTRANGE(""17pNv02DXDpQT9S3w4-QeNym2QJy2BzMBqDXp-XtzJBM"", ""'SPGG'!BH3:BH139""),MATCH($D47,IMPORTRANGE(""17pNv02DXDpQT9S3w4-QeNym2QJy2BzMBqDXp-XtzJBM"", ""'SPGG'!D3:D139""),0))"),35)</f>
        <v>35</v>
      </c>
      <c r="AA47" s="12">
        <f ca="1">IFERROR(__xludf.DUMMYFUNCTION("INDEX(IMPORTRANGE(""17pNv02DXDpQT9S3w4-QeNym2QJy2BzMBqDXp-XtzJBM"", ""'SPGG'!BI3:BI139""),MATCH($D47,IMPORTRANGE(""17pNv02DXDpQT9S3w4-QeNym2QJy2BzMBqDXp-XtzJBM"", ""'SPGG'!D3:D139""),0))"),38)</f>
        <v>38</v>
      </c>
      <c r="AB47" s="12">
        <f ca="1">IFERROR(__xludf.DUMMYFUNCTION("INDEX(IMPORTRANGE(""17pNv02DXDpQT9S3w4-QeNym2QJy2BzMBqDXp-XtzJBM"", ""'SPGG'!BJ3:BJ139""),MATCH($D47,IMPORTRANGE(""17pNv02DXDpQT9S3w4-QeNym2QJy2BzMBqDXp-XtzJBM"", ""'SPGG'!D3:D139""),0))"),43)</f>
        <v>43</v>
      </c>
      <c r="AC47" s="12">
        <f ca="1">IFERROR(__xludf.DUMMYFUNCTION("INDEX(IMPORTRANGE(""17pNv02DXDpQT9S3w4-QeNym2QJy2BzMBqDXp-XtzJBM"", ""'SPGG'!BK3:BK139""),MATCH($D47,IMPORTRANGE(""17pNv02DXDpQT9S3w4-QeNym2QJy2BzMBqDXp-XtzJBM"", ""'SPGG'!D3:D139""),0))"),72)</f>
        <v>72</v>
      </c>
      <c r="AD47" s="12">
        <f ca="1">IFERROR(__xludf.DUMMYFUNCTION("INDEX(IMPORTRANGE(""17pNv02DXDpQT9S3w4-QeNym2QJy2BzMBqDXp-XtzJBM"", ""'SPGG'!BL3:BL139""),MATCH($D47,IMPORTRANGE(""17pNv02DXDpQT9S3w4-QeNym2QJy2BzMBqDXp-XtzJBM"", ""'SPGG'!D3:D139""),0))"),87)</f>
        <v>87</v>
      </c>
      <c r="AE47" s="12">
        <f ca="1">IFERROR(__xludf.DUMMYFUNCTION("INDEX(IMPORTRANGE(""17pNv02DXDpQT9S3w4-QeNym2QJy2BzMBqDXp-XtzJBM"", ""'SPGG'!BM3:BM139""),MATCH($D47,IMPORTRANGE(""17pNv02DXDpQT9S3w4-QeNym2QJy2BzMBqDXp-XtzJBM"", ""'SPGG'!D3:D139""),0))"),87)</f>
        <v>87</v>
      </c>
    </row>
    <row r="48" spans="1:31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2" t="s">
        <v>364</v>
      </c>
      <c r="P48" s="12" t="s">
        <v>132</v>
      </c>
      <c r="Q48" s="12"/>
      <c r="R48" s="12"/>
      <c r="S48" s="12">
        <f ca="1">IFERROR(__xludf.DUMMYFUNCTION("INDEX(IMPORTRANGE(""17pNv02DXDpQT9S3w4-QeNym2QJy2BzMBqDXp-XtzJBM"", ""'SPGG'!BG3:BG139""),MATCH($D48,IMPORTRANGE(""17pNv02DXDpQT9S3w4-QeNym2QJy2BzMBqDXp-XtzJBM"", ""'SPGG'!D3:D139""),0))"),0)</f>
        <v>0</v>
      </c>
      <c r="T48" s="1"/>
      <c r="U48" s="1"/>
      <c r="V48" s="1"/>
      <c r="W48" s="1"/>
      <c r="X48" s="1"/>
      <c r="Y48" s="459"/>
      <c r="Z48" s="12" t="str">
        <f ca="1">IFERROR(__xludf.DUMMYFUNCTION("INDEX(IMPORTRANGE(""17pNv02DXDpQT9S3w4-QeNym2QJy2BzMBqDXp-XtzJBM"", ""'SPGG'!BH3:BH139""),MATCH($D48,IMPORTRANGE(""17pNv02DXDpQT9S3w4-QeNym2QJy2BzMBqDXp-XtzJBM"", ""'SPGG'!D3:D139""),0))"),"")</f>
        <v/>
      </c>
      <c r="AA48" s="12">
        <f ca="1">IFERROR(__xludf.DUMMYFUNCTION("INDEX(IMPORTRANGE(""17pNv02DXDpQT9S3w4-QeNym2QJy2BzMBqDXp-XtzJBM"", ""'SPGG'!BI3:BI139""),MATCH($D48,IMPORTRANGE(""17pNv02DXDpQT9S3w4-QeNym2QJy2BzMBqDXp-XtzJBM"", ""'SPGG'!D3:D139""),0))"),0)</f>
        <v>0</v>
      </c>
      <c r="AB48" s="12">
        <f ca="1">IFERROR(__xludf.DUMMYFUNCTION("INDEX(IMPORTRANGE(""17pNv02DXDpQT9S3w4-QeNym2QJy2BzMBqDXp-XtzJBM"", ""'SPGG'!BJ3:BJ139""),MATCH($D48,IMPORTRANGE(""17pNv02DXDpQT9S3w4-QeNym2QJy2BzMBqDXp-XtzJBM"", ""'SPGG'!D3:D139""),0))"),0)</f>
        <v>0</v>
      </c>
      <c r="AC48" s="12">
        <f ca="1">IFERROR(__xludf.DUMMYFUNCTION("INDEX(IMPORTRANGE(""17pNv02DXDpQT9S3w4-QeNym2QJy2BzMBqDXp-XtzJBM"", ""'SPGG'!BK3:BK139""),MATCH($D48,IMPORTRANGE(""17pNv02DXDpQT9S3w4-QeNym2QJy2BzMBqDXp-XtzJBM"", ""'SPGG'!D3:D139""),0))"),0)</f>
        <v>0</v>
      </c>
      <c r="AD48" s="12">
        <f ca="1">IFERROR(__xludf.DUMMYFUNCTION("INDEX(IMPORTRANGE(""17pNv02DXDpQT9S3w4-QeNym2QJy2BzMBqDXp-XtzJBM"", ""'SPGG'!BL3:BL139""),MATCH($D48,IMPORTRANGE(""17pNv02DXDpQT9S3w4-QeNym2QJy2BzMBqDXp-XtzJBM"", ""'SPGG'!D3:D139""),0))"),0)</f>
        <v>0</v>
      </c>
      <c r="AE48" s="12">
        <f ca="1">IFERROR(__xludf.DUMMYFUNCTION("INDEX(IMPORTRANGE(""17pNv02DXDpQT9S3w4-QeNym2QJy2BzMBqDXp-XtzJBM"", ""'SPGG'!BM3:BM139""),MATCH($D48,IMPORTRANGE(""17pNv02DXDpQT9S3w4-QeNym2QJy2BzMBqDXp-XtzJBM"", ""'SPGG'!D3:D139""),0))"),0)</f>
        <v>0</v>
      </c>
    </row>
    <row r="49" spans="1:31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2" t="s">
        <v>364</v>
      </c>
      <c r="P49" s="12" t="s">
        <v>132</v>
      </c>
      <c r="Q49" s="12">
        <f t="shared" ref="Q49:R49" si="11">Q45+Q47</f>
        <v>0</v>
      </c>
      <c r="R49" s="12">
        <f t="shared" si="11"/>
        <v>3</v>
      </c>
      <c r="S49" s="12">
        <f ca="1">IFERROR(__xludf.DUMMYFUNCTION("INDEX(IMPORTRANGE(""17pNv02DXDpQT9S3w4-QeNym2QJy2BzMBqDXp-XtzJBM"", ""'SPGG'!BG3:BG139""),MATCH($D49,IMPORTRANGE(""17pNv02DXDpQT9S3w4-QeNym2QJy2BzMBqDXp-XtzJBM"", ""'SPGG'!D3:D139""),0))"),11)</f>
        <v>11</v>
      </c>
      <c r="T49" s="4">
        <v>40</v>
      </c>
      <c r="U49" s="4">
        <f>T49+1</f>
        <v>41</v>
      </c>
      <c r="V49" s="4">
        <f>U49+2</f>
        <v>43</v>
      </c>
      <c r="W49" s="4">
        <f>V49+1</f>
        <v>44</v>
      </c>
      <c r="X49" s="4">
        <f>W49+2</f>
        <v>46</v>
      </c>
      <c r="Y49" s="4">
        <v>46</v>
      </c>
      <c r="Z49" s="12">
        <f ca="1">IFERROR(__xludf.DUMMYFUNCTION("INDEX(IMPORTRANGE(""17pNv02DXDpQT9S3w4-QeNym2QJy2BzMBqDXp-XtzJBM"", ""'SPGG'!BH3:BH139""),MATCH($D49,IMPORTRANGE(""17pNv02DXDpQT9S3w4-QeNym2QJy2BzMBqDXp-XtzJBM"", ""'SPGG'!D3:D139""),0))"),39)</f>
        <v>39</v>
      </c>
      <c r="AA49" s="12">
        <f ca="1">IFERROR(__xludf.DUMMYFUNCTION("INDEX(IMPORTRANGE(""17pNv02DXDpQT9S3w4-QeNym2QJy2BzMBqDXp-XtzJBM"", ""'SPGG'!BI3:BI139""),MATCH($D49,IMPORTRANGE(""17pNv02DXDpQT9S3w4-QeNym2QJy2BzMBqDXp-XtzJBM"", ""'SPGG'!D3:D139""),0))"),43)</f>
        <v>43</v>
      </c>
      <c r="AB49" s="12">
        <f ca="1">IFERROR(__xludf.DUMMYFUNCTION("INDEX(IMPORTRANGE(""17pNv02DXDpQT9S3w4-QeNym2QJy2BzMBqDXp-XtzJBM"", ""'SPGG'!BJ3:BJ139""),MATCH($D49,IMPORTRANGE(""17pNv02DXDpQT9S3w4-QeNym2QJy2BzMBqDXp-XtzJBM"", ""'SPGG'!D3:D139""),0))"),48)</f>
        <v>48</v>
      </c>
      <c r="AC49" s="12">
        <f ca="1">IFERROR(__xludf.DUMMYFUNCTION("INDEX(IMPORTRANGE(""17pNv02DXDpQT9S3w4-QeNym2QJy2BzMBqDXp-XtzJBM"", ""'SPGG'!BK3:BK139""),MATCH($D49,IMPORTRANGE(""17pNv02DXDpQT9S3w4-QeNym2QJy2BzMBqDXp-XtzJBM"", ""'SPGG'!D3:D139""),0))"),77)</f>
        <v>77</v>
      </c>
      <c r="AD49" s="12">
        <f ca="1">IFERROR(__xludf.DUMMYFUNCTION("INDEX(IMPORTRANGE(""17pNv02DXDpQT9S3w4-QeNym2QJy2BzMBqDXp-XtzJBM"", ""'SPGG'!BL3:BL139""),MATCH($D49,IMPORTRANGE(""17pNv02DXDpQT9S3w4-QeNym2QJy2BzMBqDXp-XtzJBM"", ""'SPGG'!D3:D139""),0))"),93)</f>
        <v>93</v>
      </c>
      <c r="AE49" s="12">
        <f ca="1">IFERROR(__xludf.DUMMYFUNCTION("INDEX(IMPORTRANGE(""17pNv02DXDpQT9S3w4-QeNym2QJy2BzMBqDXp-XtzJBM"", ""'SPGG'!BM3:BM139""),MATCH($D49,IMPORTRANGE(""17pNv02DXDpQT9S3w4-QeNym2QJy2BzMBqDXp-XtzJBM"", ""'SPGG'!D3:D139""),0))"),93)</f>
        <v>93</v>
      </c>
    </row>
    <row r="50" spans="1:31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1" t="s">
        <v>361</v>
      </c>
      <c r="P50" s="11">
        <v>45565</v>
      </c>
      <c r="Q50" s="30" t="s">
        <v>150</v>
      </c>
      <c r="R50" s="30" t="s">
        <v>150</v>
      </c>
      <c r="S50" s="30" t="str">
        <f ca="1">IFERROR(__xludf.DUMMYFUNCTION("INDEX(IMPORTRANGE(""17pNv02DXDpQT9S3w4-QeNym2QJy2BzMBqDXp-XtzJBM"", ""'SPGG'!BG3:BG139""),MATCH($D50,IMPORTRANGE(""17pNv02DXDpQT9S3w4-QeNym2QJy2BzMBqDXp-XtzJBM"", ""'SPGG'!D3:D139""),0))"),"No")</f>
        <v>No</v>
      </c>
      <c r="T50" s="1" t="s">
        <v>151</v>
      </c>
      <c r="U50" s="1" t="s">
        <v>151</v>
      </c>
      <c r="V50" s="1" t="s">
        <v>151</v>
      </c>
      <c r="W50" s="1" t="s">
        <v>151</v>
      </c>
      <c r="X50" s="1" t="s">
        <v>151</v>
      </c>
      <c r="Y50" s="1" t="s">
        <v>151</v>
      </c>
      <c r="Z50" s="12" t="str">
        <f ca="1">IFERROR(__xludf.DUMMYFUNCTION("INDEX(IMPORTRANGE(""17pNv02DXDpQT9S3w4-QeNym2QJy2BzMBqDXp-XtzJBM"", ""'SPGG'!BH3:BH139""),MATCH($D50,IMPORTRANGE(""17pNv02DXDpQT9S3w4-QeNym2QJy2BzMBqDXp-XtzJBM"", ""'SPGG'!D3:D139""),0))"),"Sí")</f>
        <v>Sí</v>
      </c>
      <c r="AA50" s="12" t="str">
        <f ca="1">IFERROR(__xludf.DUMMYFUNCTION("INDEX(IMPORTRANGE(""17pNv02DXDpQT9S3w4-QeNym2QJy2BzMBqDXp-XtzJBM"", ""'SPGG'!BI3:BI139""),MATCH($D50,IMPORTRANGE(""17pNv02DXDpQT9S3w4-QeNym2QJy2BzMBqDXp-XtzJBM"", ""'SPGG'!D3:D139""),0))"),"Sí")</f>
        <v>Sí</v>
      </c>
      <c r="AB50" s="12" t="str">
        <f ca="1">IFERROR(__xludf.DUMMYFUNCTION("INDEX(IMPORTRANGE(""17pNv02DXDpQT9S3w4-QeNym2QJy2BzMBqDXp-XtzJBM"", ""'SPGG'!BJ3:BJ139""),MATCH($D50,IMPORTRANGE(""17pNv02DXDpQT9S3w4-QeNym2QJy2BzMBqDXp-XtzJBM"", ""'SPGG'!D3:D139""),0))"),"Sí")</f>
        <v>Sí</v>
      </c>
      <c r="AC50" s="12" t="str">
        <f ca="1">IFERROR(__xludf.DUMMYFUNCTION("INDEX(IMPORTRANGE(""17pNv02DXDpQT9S3w4-QeNym2QJy2BzMBqDXp-XtzJBM"", ""'SPGG'!BK3:BK139""),MATCH($D50,IMPORTRANGE(""17pNv02DXDpQT9S3w4-QeNym2QJy2BzMBqDXp-XtzJBM"", ""'SPGG'!D3:D139""),0))"),"Sí")</f>
        <v>Sí</v>
      </c>
      <c r="AD50" s="12" t="str">
        <f ca="1">IFERROR(__xludf.DUMMYFUNCTION("INDEX(IMPORTRANGE(""17pNv02DXDpQT9S3w4-QeNym2QJy2BzMBqDXp-XtzJBM"", ""'SPGG'!BL3:BL139""),MATCH($D50,IMPORTRANGE(""17pNv02DXDpQT9S3w4-QeNym2QJy2BzMBqDXp-XtzJBM"", ""'SPGG'!D3:D139""),0))"),"Sí")</f>
        <v>Sí</v>
      </c>
      <c r="AE50" s="12" t="str">
        <f ca="1">IFERROR(__xludf.DUMMYFUNCTION("INDEX(IMPORTRANGE(""17pNv02DXDpQT9S3w4-QeNym2QJy2BzMBqDXp-XtzJBM"", ""'SPGG'!BM3:BM139""),MATCH($D50,IMPORTRANGE(""17pNv02DXDpQT9S3w4-QeNym2QJy2BzMBqDXp-XtzJBM"", ""'SPGG'!D3:D139""),0))"),"Sí")</f>
        <v>Sí</v>
      </c>
    </row>
    <row r="51" spans="1:31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1" t="s">
        <v>361</v>
      </c>
      <c r="P51" s="11">
        <v>45565</v>
      </c>
      <c r="Q51" s="30" t="s">
        <v>153</v>
      </c>
      <c r="R51" s="30" t="s">
        <v>153</v>
      </c>
      <c r="S51" s="30" t="str">
        <f ca="1">IFERROR(__xludf.DUMMYFUNCTION("INDEX(IMPORTRANGE(""17pNv02DXDpQT9S3w4-QeNym2QJy2BzMBqDXp-XtzJBM"", ""'SPGG'!BG3:BG139""),MATCH($D51,IMPORTRANGE(""17pNv02DXDpQT9S3w4-QeNym2QJy2BzMBqDXp-XtzJBM"", ""'SPGG'!D3:D139""),0))"),"Sí")</f>
        <v>Sí</v>
      </c>
      <c r="T51" s="1" t="s">
        <v>151</v>
      </c>
      <c r="U51" s="1" t="s">
        <v>151</v>
      </c>
      <c r="V51" s="1" t="s">
        <v>151</v>
      </c>
      <c r="W51" s="1" t="s">
        <v>151</v>
      </c>
      <c r="X51" s="1" t="s">
        <v>151</v>
      </c>
      <c r="Y51" s="1" t="s">
        <v>151</v>
      </c>
      <c r="Z51" s="12" t="str">
        <f ca="1">IFERROR(__xludf.DUMMYFUNCTION("INDEX(IMPORTRANGE(""17pNv02DXDpQT9S3w4-QeNym2QJy2BzMBqDXp-XtzJBM"", ""'SPGG'!BH3:BH139""),MATCH($D51,IMPORTRANGE(""17pNv02DXDpQT9S3w4-QeNym2QJy2BzMBqDXp-XtzJBM"", ""'SPGG'!D3:D139""),0))"),"Sí")</f>
        <v>Sí</v>
      </c>
      <c r="AA51" s="12" t="str">
        <f ca="1">IFERROR(__xludf.DUMMYFUNCTION("INDEX(IMPORTRANGE(""17pNv02DXDpQT9S3w4-QeNym2QJy2BzMBqDXp-XtzJBM"", ""'SPGG'!BI3:BI139""),MATCH($D51,IMPORTRANGE(""17pNv02DXDpQT9S3w4-QeNym2QJy2BzMBqDXp-XtzJBM"", ""'SPGG'!D3:D139""),0))"),"Sí")</f>
        <v>Sí</v>
      </c>
      <c r="AB51" s="12" t="str">
        <f ca="1">IFERROR(__xludf.DUMMYFUNCTION("INDEX(IMPORTRANGE(""17pNv02DXDpQT9S3w4-QeNym2QJy2BzMBqDXp-XtzJBM"", ""'SPGG'!BJ3:BJ139""),MATCH($D51,IMPORTRANGE(""17pNv02DXDpQT9S3w4-QeNym2QJy2BzMBqDXp-XtzJBM"", ""'SPGG'!D3:D139""),0))"),"Sí")</f>
        <v>Sí</v>
      </c>
      <c r="AC51" s="12" t="str">
        <f ca="1">IFERROR(__xludf.DUMMYFUNCTION("INDEX(IMPORTRANGE(""17pNv02DXDpQT9S3w4-QeNym2QJy2BzMBqDXp-XtzJBM"", ""'SPGG'!BK3:BK139""),MATCH($D51,IMPORTRANGE(""17pNv02DXDpQT9S3w4-QeNym2QJy2BzMBqDXp-XtzJBM"", ""'SPGG'!D3:D139""),0))"),"Sí")</f>
        <v>Sí</v>
      </c>
      <c r="AD51" s="12" t="str">
        <f ca="1">IFERROR(__xludf.DUMMYFUNCTION("INDEX(IMPORTRANGE(""17pNv02DXDpQT9S3w4-QeNym2QJy2BzMBqDXp-XtzJBM"", ""'SPGG'!BL3:BL139""),MATCH($D51,IMPORTRANGE(""17pNv02DXDpQT9S3w4-QeNym2QJy2BzMBqDXp-XtzJBM"", ""'SPGG'!D3:D139""),0))"),"Sí")</f>
        <v>Sí</v>
      </c>
      <c r="AE51" s="12" t="str">
        <f ca="1">IFERROR(__xludf.DUMMYFUNCTION("INDEX(IMPORTRANGE(""17pNv02DXDpQT9S3w4-QeNym2QJy2BzMBqDXp-XtzJBM"", ""'SPGG'!BM3:BM139""),MATCH($D51,IMPORTRANGE(""17pNv02DXDpQT9S3w4-QeNym2QJy2BzMBqDXp-XtzJBM"", ""'SPGG'!D3:D139""),0))"),"Sí")</f>
        <v>Sí</v>
      </c>
    </row>
    <row r="52" spans="1:31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1" t="s">
        <v>361</v>
      </c>
      <c r="P52" s="11">
        <v>45565</v>
      </c>
      <c r="Q52" s="30" t="s">
        <v>153</v>
      </c>
      <c r="R52" s="30" t="s">
        <v>153</v>
      </c>
      <c r="S52" s="30" t="str">
        <f ca="1">IFERROR(__xludf.DUMMYFUNCTION("INDEX(IMPORTRANGE(""17pNv02DXDpQT9S3w4-QeNym2QJy2BzMBqDXp-XtzJBM"", ""'SPGG'!BG3:BG139""),MATCH($D52,IMPORTRANGE(""17pNv02DXDpQT9S3w4-QeNym2QJy2BzMBqDXp-XtzJBM"", ""'SPGG'!D3:D139""),0))"),"Sí")</f>
        <v>Sí</v>
      </c>
      <c r="T52" s="2" t="s">
        <v>155</v>
      </c>
      <c r="U52" s="1" t="s">
        <v>155</v>
      </c>
      <c r="V52" s="1" t="s">
        <v>155</v>
      </c>
      <c r="W52" s="1" t="s">
        <v>155</v>
      </c>
      <c r="X52" s="1" t="s">
        <v>155</v>
      </c>
      <c r="Y52" s="2" t="s">
        <v>155</v>
      </c>
      <c r="Z52" s="12" t="str">
        <f ca="1">IFERROR(__xludf.DUMMYFUNCTION("INDEX(IMPORTRANGE(""17pNv02DXDpQT9S3w4-QeNym2QJy2BzMBqDXp-XtzJBM"", ""'SPGG'!BH3:BH139""),MATCH($D52,IMPORTRANGE(""17pNv02DXDpQT9S3w4-QeNym2QJy2BzMBqDXp-XtzJBM"", ""'SPGG'!D3:D139""),0))"),"Sí")</f>
        <v>Sí</v>
      </c>
      <c r="AA52" s="12" t="str">
        <f ca="1">IFERROR(__xludf.DUMMYFUNCTION("INDEX(IMPORTRANGE(""17pNv02DXDpQT9S3w4-QeNym2QJy2BzMBqDXp-XtzJBM"", ""'SPGG'!BI3:BI139""),MATCH($D52,IMPORTRANGE(""17pNv02DXDpQT9S3w4-QeNym2QJy2BzMBqDXp-XtzJBM"", ""'SPGG'!D3:D139""),0))"),"Sí")</f>
        <v>Sí</v>
      </c>
      <c r="AB52" s="12" t="str">
        <f ca="1">IFERROR(__xludf.DUMMYFUNCTION("INDEX(IMPORTRANGE(""17pNv02DXDpQT9S3w4-QeNym2QJy2BzMBqDXp-XtzJBM"", ""'SPGG'!BJ3:BJ139""),MATCH($D52,IMPORTRANGE(""17pNv02DXDpQT9S3w4-QeNym2QJy2BzMBqDXp-XtzJBM"", ""'SPGG'!D3:D139""),0))"),"Sí")</f>
        <v>Sí</v>
      </c>
      <c r="AC52" s="12" t="str">
        <f ca="1">IFERROR(__xludf.DUMMYFUNCTION("INDEX(IMPORTRANGE(""17pNv02DXDpQT9S3w4-QeNym2QJy2BzMBqDXp-XtzJBM"", ""'SPGG'!BK3:BK139""),MATCH($D52,IMPORTRANGE(""17pNv02DXDpQT9S3w4-QeNym2QJy2BzMBqDXp-XtzJBM"", ""'SPGG'!D3:D139""),0))"),"Sí")</f>
        <v>Sí</v>
      </c>
      <c r="AD52" s="12" t="str">
        <f ca="1">IFERROR(__xludf.DUMMYFUNCTION("INDEX(IMPORTRANGE(""17pNv02DXDpQT9S3w4-QeNym2QJy2BzMBqDXp-XtzJBM"", ""'SPGG'!BL3:BL139""),MATCH($D52,IMPORTRANGE(""17pNv02DXDpQT9S3w4-QeNym2QJy2BzMBqDXp-XtzJBM"", ""'SPGG'!D3:D139""),0))"),"Sí")</f>
        <v>Sí</v>
      </c>
      <c r="AE52" s="12" t="str">
        <f ca="1">IFERROR(__xludf.DUMMYFUNCTION("INDEX(IMPORTRANGE(""17pNv02DXDpQT9S3w4-QeNym2QJy2BzMBqDXp-XtzJBM"", ""'SPGG'!BM3:BM139""),MATCH($D52,IMPORTRANGE(""17pNv02DXDpQT9S3w4-QeNym2QJy2BzMBqDXp-XtzJBM"", ""'SPGG'!D3:D139""),0))"),"Sí")</f>
        <v>Sí</v>
      </c>
    </row>
    <row r="53" spans="1:31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1" t="s">
        <v>361</v>
      </c>
      <c r="P53" s="11">
        <v>45565</v>
      </c>
      <c r="Q53" s="23">
        <f t="shared" ref="Q53:R53" si="12">COUNTIF(Q50:Q52,"Sí")*(1/3)</f>
        <v>0.66666666666666663</v>
      </c>
      <c r="R53" s="23">
        <f t="shared" si="12"/>
        <v>0.66666666666666663</v>
      </c>
      <c r="S53" s="23">
        <f ca="1">IFERROR(__xludf.DUMMYFUNCTION("INDEX(IMPORTRANGE(""17pNv02DXDpQT9S3w4-QeNym2QJy2BzMBqDXp-XtzJBM"", ""'SPGG'!BG3:BG139""),MATCH($D53,IMPORTRANGE(""17pNv02DXDpQT9S3w4-QeNym2QJy2BzMBqDXp-XtzJBM"", ""'SPGG'!D3:D139""),0))"),0.666666666666666)</f>
        <v>0.66666666666666596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12" t="str">
        <f ca="1">IFERROR(__xludf.DUMMYFUNCTION("INDEX(IMPORTRANGE(""17pNv02DXDpQT9S3w4-QeNym2QJy2BzMBqDXp-XtzJBM"", ""'SPGG'!BH3:BH139""),MATCH($D53,IMPORTRANGE(""17pNv02DXDpQT9S3w4-QeNym2QJy2BzMBqDXp-XtzJBM"", ""'SPGG'!D3:D139""),0))"),"")</f>
        <v/>
      </c>
      <c r="AA53" s="12">
        <f ca="1">IFERROR(__xludf.DUMMYFUNCTION("INDEX(IMPORTRANGE(""17pNv02DXDpQT9S3w4-QeNym2QJy2BzMBqDXp-XtzJBM"", ""'SPGG'!BI3:BI139""),MATCH($D53,IMPORTRANGE(""17pNv02DXDpQT9S3w4-QeNym2QJy2BzMBqDXp-XtzJBM"", ""'SPGG'!D3:D139""),0))"),1)</f>
        <v>1</v>
      </c>
      <c r="AB53" s="12">
        <f ca="1">IFERROR(__xludf.DUMMYFUNCTION("INDEX(IMPORTRANGE(""17pNv02DXDpQT9S3w4-QeNym2QJy2BzMBqDXp-XtzJBM"", ""'SPGG'!BJ3:BJ139""),MATCH($D53,IMPORTRANGE(""17pNv02DXDpQT9S3w4-QeNym2QJy2BzMBqDXp-XtzJBM"", ""'SPGG'!D3:D139""),0))"),1)</f>
        <v>1</v>
      </c>
      <c r="AC53" s="12">
        <f ca="1">IFERROR(__xludf.DUMMYFUNCTION("INDEX(IMPORTRANGE(""17pNv02DXDpQT9S3w4-QeNym2QJy2BzMBqDXp-XtzJBM"", ""'SPGG'!BK3:BK139""),MATCH($D53,IMPORTRANGE(""17pNv02DXDpQT9S3w4-QeNym2QJy2BzMBqDXp-XtzJBM"", ""'SPGG'!D3:D139""),0))"),1)</f>
        <v>1</v>
      </c>
      <c r="AD53" s="12">
        <f ca="1">IFERROR(__xludf.DUMMYFUNCTION("INDEX(IMPORTRANGE(""17pNv02DXDpQT9S3w4-QeNym2QJy2BzMBqDXp-XtzJBM"", ""'SPGG'!BL3:BL139""),MATCH($D53,IMPORTRANGE(""17pNv02DXDpQT9S3w4-QeNym2QJy2BzMBqDXp-XtzJBM"", ""'SPGG'!D3:D139""),0))"),1)</f>
        <v>1</v>
      </c>
      <c r="AE53" s="12">
        <f ca="1">IFERROR(__xludf.DUMMYFUNCTION("INDEX(IMPORTRANGE(""17pNv02DXDpQT9S3w4-QeNym2QJy2BzMBqDXp-XtzJBM"", ""'SPGG'!BM3:BM139""),MATCH($D53,IMPORTRANGE(""17pNv02DXDpQT9S3w4-QeNym2QJy2BzMBqDXp-XtzJBM"", ""'SPGG'!D3:D139""),0))"),1)</f>
        <v>1</v>
      </c>
    </row>
    <row r="54" spans="1:31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1" t="s">
        <v>361</v>
      </c>
      <c r="P54" s="11">
        <v>45565</v>
      </c>
      <c r="Q54" s="12">
        <v>1</v>
      </c>
      <c r="R54" s="12">
        <v>1</v>
      </c>
      <c r="S54" s="12">
        <f ca="1">IFERROR(__xludf.DUMMYFUNCTION("INDEX(IMPORTRANGE(""17pNv02DXDpQT9S3w4-QeNym2QJy2BzMBqDXp-XtzJBM"", ""'SPGG'!BG3:BG139""),MATCH($D54,IMPORTRANGE(""17pNv02DXDpQT9S3w4-QeNym2QJy2BzMBqDXp-XtzJBM"", ""'SPGG'!D3:D139""),0))"),1)</f>
        <v>1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12">
        <f ca="1">IFERROR(__xludf.DUMMYFUNCTION("INDEX(IMPORTRANGE(""17pNv02DXDpQT9S3w4-QeNym2QJy2BzMBqDXp-XtzJBM"", ""'SPGG'!BH3:BH139""),MATCH($D54,IMPORTRANGE(""17pNv02DXDpQT9S3w4-QeNym2QJy2BzMBqDXp-XtzJBM"", ""'SPGG'!D3:D139""),0))"),1)</f>
        <v>1</v>
      </c>
      <c r="AA54" s="12">
        <f ca="1">IFERROR(__xludf.DUMMYFUNCTION("INDEX(IMPORTRANGE(""17pNv02DXDpQT9S3w4-QeNym2QJy2BzMBqDXp-XtzJBM"", ""'SPGG'!BI3:BI139""),MATCH($D54,IMPORTRANGE(""17pNv02DXDpQT9S3w4-QeNym2QJy2BzMBqDXp-XtzJBM"", ""'SPGG'!D3:D139""),0))"),1)</f>
        <v>1</v>
      </c>
      <c r="AB54" s="12">
        <f ca="1">IFERROR(__xludf.DUMMYFUNCTION("INDEX(IMPORTRANGE(""17pNv02DXDpQT9S3w4-QeNym2QJy2BzMBqDXp-XtzJBM"", ""'SPGG'!BJ3:BJ139""),MATCH($D54,IMPORTRANGE(""17pNv02DXDpQT9S3w4-QeNym2QJy2BzMBqDXp-XtzJBM"", ""'SPGG'!D3:D139""),0))"),1)</f>
        <v>1</v>
      </c>
      <c r="AC54" s="12">
        <f ca="1">IFERROR(__xludf.DUMMYFUNCTION("INDEX(IMPORTRANGE(""17pNv02DXDpQT9S3w4-QeNym2QJy2BzMBqDXp-XtzJBM"", ""'SPGG'!BK3:BK139""),MATCH($D54,IMPORTRANGE(""17pNv02DXDpQT9S3w4-QeNym2QJy2BzMBqDXp-XtzJBM"", ""'SPGG'!D3:D139""),0))"),1)</f>
        <v>1</v>
      </c>
      <c r="AD54" s="12">
        <f ca="1">IFERROR(__xludf.DUMMYFUNCTION("INDEX(IMPORTRANGE(""17pNv02DXDpQT9S3w4-QeNym2QJy2BzMBqDXp-XtzJBM"", ""'SPGG'!BL3:BL139""),MATCH($D54,IMPORTRANGE(""17pNv02DXDpQT9S3w4-QeNym2QJy2BzMBqDXp-XtzJBM"", ""'SPGG'!D3:D139""),0))"),1)</f>
        <v>1</v>
      </c>
      <c r="AE54" s="12">
        <f ca="1">IFERROR(__xludf.DUMMYFUNCTION("INDEX(IMPORTRANGE(""17pNv02DXDpQT9S3w4-QeNym2QJy2BzMBqDXp-XtzJBM"", ""'SPGG'!BM3:BM139""),MATCH($D54,IMPORTRANGE(""17pNv02DXDpQT9S3w4-QeNym2QJy2BzMBqDXp-XtzJBM"", ""'SPGG'!D3:D139""),0))"),1)</f>
        <v>1</v>
      </c>
    </row>
    <row r="55" spans="1:31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1" t="s">
        <v>361</v>
      </c>
      <c r="P55" s="11">
        <v>45565</v>
      </c>
      <c r="Q55" s="12">
        <v>0</v>
      </c>
      <c r="R55" s="12">
        <v>0</v>
      </c>
      <c r="S55" s="12">
        <f ca="1">IFERROR(__xludf.DUMMYFUNCTION("INDEX(IMPORTRANGE(""17pNv02DXDpQT9S3w4-QeNym2QJy2BzMBqDXp-XtzJBM"", ""'SPGG'!BG3:BG139""),MATCH($D55,IMPORTRANGE(""17pNv02DXDpQT9S3w4-QeNym2QJy2BzMBqDXp-XtzJBM"", ""'SPGG'!D3:D139""),0))"),0)</f>
        <v>0</v>
      </c>
      <c r="T55" s="13"/>
      <c r="U55" s="13"/>
      <c r="V55" s="13"/>
      <c r="W55" s="13"/>
      <c r="X55" s="13"/>
      <c r="Y55" s="4"/>
      <c r="Z55" s="12">
        <f ca="1">IFERROR(__xludf.DUMMYFUNCTION("INDEX(IMPORTRANGE(""17pNv02DXDpQT9S3w4-QeNym2QJy2BzMBqDXp-XtzJBM"", ""'SPGG'!BH3:BH139""),MATCH($D55,IMPORTRANGE(""17pNv02DXDpQT9S3w4-QeNym2QJy2BzMBqDXp-XtzJBM"", ""'SPGG'!D3:D139""),0))"),0)</f>
        <v>0</v>
      </c>
      <c r="AA55" s="12">
        <f ca="1">IFERROR(__xludf.DUMMYFUNCTION("INDEX(IMPORTRANGE(""17pNv02DXDpQT9S3w4-QeNym2QJy2BzMBqDXp-XtzJBM"", ""'SPGG'!BI3:BI139""),MATCH($D55,IMPORTRANGE(""17pNv02DXDpQT9S3w4-QeNym2QJy2BzMBqDXp-XtzJBM"", ""'SPGG'!D3:D139""),0))"),0)</f>
        <v>0</v>
      </c>
      <c r="AB55" s="12">
        <f ca="1">IFERROR(__xludf.DUMMYFUNCTION("INDEX(IMPORTRANGE(""17pNv02DXDpQT9S3w4-QeNym2QJy2BzMBqDXp-XtzJBM"", ""'SPGG'!BJ3:BJ139""),MATCH($D55,IMPORTRANGE(""17pNv02DXDpQT9S3w4-QeNym2QJy2BzMBqDXp-XtzJBM"", ""'SPGG'!D3:D139""),0))"),0)</f>
        <v>0</v>
      </c>
      <c r="AC55" s="12">
        <f ca="1">IFERROR(__xludf.DUMMYFUNCTION("INDEX(IMPORTRANGE(""17pNv02DXDpQT9S3w4-QeNym2QJy2BzMBqDXp-XtzJBM"", ""'SPGG'!BK3:BK139""),MATCH($D55,IMPORTRANGE(""17pNv02DXDpQT9S3w4-QeNym2QJy2BzMBqDXp-XtzJBM"", ""'SPGG'!D3:D139""),0))"),0)</f>
        <v>0</v>
      </c>
      <c r="AD55" s="12">
        <f ca="1">IFERROR(__xludf.DUMMYFUNCTION("INDEX(IMPORTRANGE(""17pNv02DXDpQT9S3w4-QeNym2QJy2BzMBqDXp-XtzJBM"", ""'SPGG'!BL3:BL139""),MATCH($D55,IMPORTRANGE(""17pNv02DXDpQT9S3w4-QeNym2QJy2BzMBqDXp-XtzJBM"", ""'SPGG'!D3:D139""),0))"),0)</f>
        <v>0</v>
      </c>
      <c r="AE55" s="12">
        <f ca="1">IFERROR(__xludf.DUMMYFUNCTION("INDEX(IMPORTRANGE(""17pNv02DXDpQT9S3w4-QeNym2QJy2BzMBqDXp-XtzJBM"", ""'SPGG'!BM3:BM139""),MATCH($D55,IMPORTRANGE(""17pNv02DXDpQT9S3w4-QeNym2QJy2BzMBqDXp-XtzJBM"", ""'SPGG'!D3:D139""),0))"),0)</f>
        <v>0</v>
      </c>
    </row>
    <row r="56" spans="1:31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1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""'SPGG'!BG3:BG139""),MATCH($D56,IMPORTRANGE(""17pNv02DXDpQT9S3w4-QeNym2QJy2BzMBqDXp-XtzJBM"", ""'SPGG'!D3:D139""),0))"),0)</f>
        <v>0</v>
      </c>
      <c r="T56" s="13"/>
      <c r="U56" s="13"/>
      <c r="V56" s="13"/>
      <c r="W56" s="13"/>
      <c r="X56" s="13"/>
      <c r="Y56" s="4"/>
      <c r="Z56" s="12">
        <f ca="1">IFERROR(__xludf.DUMMYFUNCTION("INDEX(IMPORTRANGE(""17pNv02DXDpQT9S3w4-QeNym2QJy2BzMBqDXp-XtzJBM"", ""'SPGG'!BH3:BH139""),MATCH($D56,IMPORTRANGE(""17pNv02DXDpQT9S3w4-QeNym2QJy2BzMBqDXp-XtzJBM"", ""'SPGG'!D3:D139""),0))"),0)</f>
        <v>0</v>
      </c>
      <c r="AA56" s="12">
        <f ca="1">IFERROR(__xludf.DUMMYFUNCTION("INDEX(IMPORTRANGE(""17pNv02DXDpQT9S3w4-QeNym2QJy2BzMBqDXp-XtzJBM"", ""'SPGG'!BI3:BI139""),MATCH($D56,IMPORTRANGE(""17pNv02DXDpQT9S3w4-QeNym2QJy2BzMBqDXp-XtzJBM"", ""'SPGG'!D3:D139""),0))"),0)</f>
        <v>0</v>
      </c>
      <c r="AB56" s="12">
        <f ca="1">IFERROR(__xludf.DUMMYFUNCTION("INDEX(IMPORTRANGE(""17pNv02DXDpQT9S3w4-QeNym2QJy2BzMBqDXp-XtzJBM"", ""'SPGG'!BJ3:BJ139""),MATCH($D56,IMPORTRANGE(""17pNv02DXDpQT9S3w4-QeNym2QJy2BzMBqDXp-XtzJBM"", ""'SPGG'!D3:D139""),0))"),0)</f>
        <v>0</v>
      </c>
      <c r="AC56" s="12">
        <f ca="1">IFERROR(__xludf.DUMMYFUNCTION("INDEX(IMPORTRANGE(""17pNv02DXDpQT9S3w4-QeNym2QJy2BzMBqDXp-XtzJBM"", ""'SPGG'!BK3:BK139""),MATCH($D56,IMPORTRANGE(""17pNv02DXDpQT9S3w4-QeNym2QJy2BzMBqDXp-XtzJBM"", ""'SPGG'!D3:D139""),0))"),0)</f>
        <v>0</v>
      </c>
      <c r="AD56" s="12">
        <f ca="1">IFERROR(__xludf.DUMMYFUNCTION("INDEX(IMPORTRANGE(""17pNv02DXDpQT9S3w4-QeNym2QJy2BzMBqDXp-XtzJBM"", ""'SPGG'!BL3:BL139""),MATCH($D56,IMPORTRANGE(""17pNv02DXDpQT9S3w4-QeNym2QJy2BzMBqDXp-XtzJBM"", ""'SPGG'!D3:D139""),0))"),0)</f>
        <v>0</v>
      </c>
      <c r="AE56" s="12">
        <f ca="1">IFERROR(__xludf.DUMMYFUNCTION("INDEX(IMPORTRANGE(""17pNv02DXDpQT9S3w4-QeNym2QJy2BzMBqDXp-XtzJBM"", ""'SPGG'!BM3:BM139""),MATCH($D56,IMPORTRANGE(""17pNv02DXDpQT9S3w4-QeNym2QJy2BzMBqDXp-XtzJBM"", ""'SPGG'!D3:D139""),0))"),0)</f>
        <v>0</v>
      </c>
    </row>
    <row r="57" spans="1:31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1" t="s">
        <v>361</v>
      </c>
      <c r="P57" s="11">
        <v>45565</v>
      </c>
      <c r="Q57" s="30" t="str">
        <f t="shared" ref="Q57:R57" si="13">IFERROR(Q56/Q55,"NA")</f>
        <v>NA</v>
      </c>
      <c r="R57" s="30" t="str">
        <f t="shared" si="13"/>
        <v>NA</v>
      </c>
      <c r="S57" s="30" t="str">
        <f ca="1">IFERROR(__xludf.DUMMYFUNCTION("INDEX(IMPORTRANGE(""17pNv02DXDpQT9S3w4-QeNym2QJy2BzMBqDXp-XtzJBM"", ""'SPGG'!BG3:BG139""),MATCH($D57,IMPORTRANGE(""17pNv02DXDpQT9S3w4-QeNym2QJy2BzMBqDXp-XtzJBM"", ""'SPGG'!D3:D139""),0))"),"#DIV/0!")</f>
        <v>#DIV/0!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2" t="str">
        <f ca="1">IFERROR(__xludf.DUMMYFUNCTION("INDEX(IMPORTRANGE(""17pNv02DXDpQT9S3w4-QeNym2QJy2BzMBqDXp-XtzJBM"", ""'SPGG'!BH3:BH139""),MATCH($D57,IMPORTRANGE(""17pNv02DXDpQT9S3w4-QeNym2QJy2BzMBqDXp-XtzJBM"", ""'SPGG'!D3:D139""),0))"),"NA")</f>
        <v>NA</v>
      </c>
      <c r="AA57" s="12" t="str">
        <f ca="1">IFERROR(__xludf.DUMMYFUNCTION("INDEX(IMPORTRANGE(""17pNv02DXDpQT9S3w4-QeNym2QJy2BzMBqDXp-XtzJBM"", ""'SPGG'!BI3:BI139""),MATCH($D57,IMPORTRANGE(""17pNv02DXDpQT9S3w4-QeNym2QJy2BzMBqDXp-XtzJBM"", ""'SPGG'!D3:D139""),0))"),"NA")</f>
        <v>NA</v>
      </c>
      <c r="AB57" s="12" t="str">
        <f ca="1">IFERROR(__xludf.DUMMYFUNCTION("INDEX(IMPORTRANGE(""17pNv02DXDpQT9S3w4-QeNym2QJy2BzMBqDXp-XtzJBM"", ""'SPGG'!BJ3:BJ139""),MATCH($D57,IMPORTRANGE(""17pNv02DXDpQT9S3w4-QeNym2QJy2BzMBqDXp-XtzJBM"", ""'SPGG'!D3:D139""),0))"),"NA")</f>
        <v>NA</v>
      </c>
      <c r="AC57" s="12" t="str">
        <f ca="1">IFERROR(__xludf.DUMMYFUNCTION("INDEX(IMPORTRANGE(""17pNv02DXDpQT9S3w4-QeNym2QJy2BzMBqDXp-XtzJBM"", ""'SPGG'!BK3:BK139""),MATCH($D57,IMPORTRANGE(""17pNv02DXDpQT9S3w4-QeNym2QJy2BzMBqDXp-XtzJBM"", ""'SPGG'!D3:D139""),0))"),"NA")</f>
        <v>NA</v>
      </c>
      <c r="AD57" s="12" t="str">
        <f ca="1">IFERROR(__xludf.DUMMYFUNCTION("INDEX(IMPORTRANGE(""17pNv02DXDpQT9S3w4-QeNym2QJy2BzMBqDXp-XtzJBM"", ""'SPGG'!BL3:BL139""),MATCH($D57,IMPORTRANGE(""17pNv02DXDpQT9S3w4-QeNym2QJy2BzMBqDXp-XtzJBM"", ""'SPGG'!D3:D139""),0))"),"NA")</f>
        <v>NA</v>
      </c>
      <c r="AE57" s="12" t="str">
        <f ca="1">IFERROR(__xludf.DUMMYFUNCTION("INDEX(IMPORTRANGE(""17pNv02DXDpQT9S3w4-QeNym2QJy2BzMBqDXp-XtzJBM"", ""'SPGG'!BM3:BM139""),MATCH($D57,IMPORTRANGE(""17pNv02DXDpQT9S3w4-QeNym2QJy2BzMBqDXp-XtzJBM"", ""'SPGG'!D3:D139""),0))"),"NA")</f>
        <v>NA</v>
      </c>
    </row>
    <row r="58" spans="1:31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1" t="s">
        <v>361</v>
      </c>
      <c r="P58" s="11">
        <v>45565</v>
      </c>
      <c r="Q58" s="12">
        <v>18932</v>
      </c>
      <c r="R58" s="12">
        <v>18932</v>
      </c>
      <c r="S58" s="12">
        <f ca="1">IFERROR(__xludf.DUMMYFUNCTION("INDEX(IMPORTRANGE(""17pNv02DXDpQT9S3w4-QeNym2QJy2BzMBqDXp-XtzJBM"", ""'SPGG'!BG3:BG139""),MATCH($D58,IMPORTRANGE(""17pNv02DXDpQT9S3w4-QeNym2QJy2BzMBqDXp-XtzJBM"", ""'SPGG'!D3:D139""),0))"),18932)</f>
        <v>18932</v>
      </c>
      <c r="T58" s="13"/>
      <c r="U58" s="13"/>
      <c r="V58" s="13"/>
      <c r="W58" s="13"/>
      <c r="X58" s="13"/>
      <c r="Y58" s="4"/>
      <c r="Z58" s="12">
        <f ca="1">IFERROR(__xludf.DUMMYFUNCTION("INDEX(IMPORTRANGE(""17pNv02DXDpQT9S3w4-QeNym2QJy2BzMBqDXp-XtzJBM"", ""'SPGG'!BH3:BH139""),MATCH($D58,IMPORTRANGE(""17pNv02DXDpQT9S3w4-QeNym2QJy2BzMBqDXp-XtzJBM"", ""'SPGG'!D3:D139""),0))"),18932)</f>
        <v>18932</v>
      </c>
      <c r="AA58" s="12">
        <f ca="1">IFERROR(__xludf.DUMMYFUNCTION("INDEX(IMPORTRANGE(""17pNv02DXDpQT9S3w4-QeNym2QJy2BzMBqDXp-XtzJBM"", ""'SPGG'!BI3:BI139""),MATCH($D58,IMPORTRANGE(""17pNv02DXDpQT9S3w4-QeNym2QJy2BzMBqDXp-XtzJBM"", ""'SPGG'!D3:D139""),0))"),18932)</f>
        <v>18932</v>
      </c>
      <c r="AB58" s="12">
        <f ca="1">IFERROR(__xludf.DUMMYFUNCTION("INDEX(IMPORTRANGE(""17pNv02DXDpQT9S3w4-QeNym2QJy2BzMBqDXp-XtzJBM"", ""'SPGG'!BJ3:BJ139""),MATCH($D58,IMPORTRANGE(""17pNv02DXDpQT9S3w4-QeNym2QJy2BzMBqDXp-XtzJBM"", ""'SPGG'!D3:D139""),0))"),18932)</f>
        <v>18932</v>
      </c>
      <c r="AC58" s="12">
        <f ca="1">IFERROR(__xludf.DUMMYFUNCTION("INDEX(IMPORTRANGE(""17pNv02DXDpQT9S3w4-QeNym2QJy2BzMBqDXp-XtzJBM"", ""'SPGG'!BK3:BK139""),MATCH($D58,IMPORTRANGE(""17pNv02DXDpQT9S3w4-QeNym2QJy2BzMBqDXp-XtzJBM"", ""'SPGG'!D3:D139""),0))"),18932)</f>
        <v>18932</v>
      </c>
      <c r="AD58" s="12">
        <f ca="1">IFERROR(__xludf.DUMMYFUNCTION("INDEX(IMPORTRANGE(""17pNv02DXDpQT9S3w4-QeNym2QJy2BzMBqDXp-XtzJBM"", ""'SPGG'!BL3:BL139""),MATCH($D58,IMPORTRANGE(""17pNv02DXDpQT9S3w4-QeNym2QJy2BzMBqDXp-XtzJBM"", ""'SPGG'!D3:D139""),0))"),18967)</f>
        <v>18967</v>
      </c>
      <c r="AE58" s="12">
        <f ca="1">IFERROR(__xludf.DUMMYFUNCTION("INDEX(IMPORTRANGE(""17pNv02DXDpQT9S3w4-QeNym2QJy2BzMBqDXp-XtzJBM"", ""'SPGG'!BM3:BM139""),MATCH($D58,IMPORTRANGE(""17pNv02DXDpQT9S3w4-QeNym2QJy2BzMBqDXp-XtzJBM"", ""'SPGG'!D3:D139""),0))"),18967)</f>
        <v>18967</v>
      </c>
    </row>
    <row r="59" spans="1:31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1" t="s">
        <v>361</v>
      </c>
      <c r="P59" s="11">
        <v>45565</v>
      </c>
      <c r="Q59" s="12">
        <v>18932</v>
      </c>
      <c r="R59" s="12">
        <v>18932</v>
      </c>
      <c r="S59" s="12">
        <f ca="1">IFERROR(__xludf.DUMMYFUNCTION("INDEX(IMPORTRANGE(""17pNv02DXDpQT9S3w4-QeNym2QJy2BzMBqDXp-XtzJBM"", ""'SPGG'!BG3:BG139""),MATCH($D59,IMPORTRANGE(""17pNv02DXDpQT9S3w4-QeNym2QJy2BzMBqDXp-XtzJBM"", ""'SPGG'!D3:D139""),0))"),18932)</f>
        <v>18932</v>
      </c>
      <c r="T59" s="13"/>
      <c r="U59" s="13"/>
      <c r="V59" s="13"/>
      <c r="W59" s="13"/>
      <c r="X59" s="13"/>
      <c r="Y59" s="4"/>
      <c r="Z59" s="12">
        <f ca="1">IFERROR(__xludf.DUMMYFUNCTION("INDEX(IMPORTRANGE(""17pNv02DXDpQT9S3w4-QeNym2QJy2BzMBqDXp-XtzJBM"", ""'SPGG'!BH3:BH139""),MATCH($D59,IMPORTRANGE(""17pNv02DXDpQT9S3w4-QeNym2QJy2BzMBqDXp-XtzJBM"", ""'SPGG'!D3:D139""),0))"),18932)</f>
        <v>18932</v>
      </c>
      <c r="AA59" s="12">
        <f ca="1">IFERROR(__xludf.DUMMYFUNCTION("INDEX(IMPORTRANGE(""17pNv02DXDpQT9S3w4-QeNym2QJy2BzMBqDXp-XtzJBM"", ""'SPGG'!BI3:BI139""),MATCH($D59,IMPORTRANGE(""17pNv02DXDpQT9S3w4-QeNym2QJy2BzMBqDXp-XtzJBM"", ""'SPGG'!D3:D139""),0))"),18932)</f>
        <v>18932</v>
      </c>
      <c r="AB59" s="12">
        <f ca="1">IFERROR(__xludf.DUMMYFUNCTION("INDEX(IMPORTRANGE(""17pNv02DXDpQT9S3w4-QeNym2QJy2BzMBqDXp-XtzJBM"", ""'SPGG'!BJ3:BJ139""),MATCH($D59,IMPORTRANGE(""17pNv02DXDpQT9S3w4-QeNym2QJy2BzMBqDXp-XtzJBM"", ""'SPGG'!D3:D139""),0))"),18932)</f>
        <v>18932</v>
      </c>
      <c r="AC59" s="12">
        <f ca="1">IFERROR(__xludf.DUMMYFUNCTION("INDEX(IMPORTRANGE(""17pNv02DXDpQT9S3w4-QeNym2QJy2BzMBqDXp-XtzJBM"", ""'SPGG'!BK3:BK139""),MATCH($D59,IMPORTRANGE(""17pNv02DXDpQT9S3w4-QeNym2QJy2BzMBqDXp-XtzJBM"", ""'SPGG'!D3:D139""),0))"),18932)</f>
        <v>18932</v>
      </c>
      <c r="AD59" s="12">
        <f ca="1">IFERROR(__xludf.DUMMYFUNCTION("INDEX(IMPORTRANGE(""17pNv02DXDpQT9S3w4-QeNym2QJy2BzMBqDXp-XtzJBM"", ""'SPGG'!BL3:BL139""),MATCH($D59,IMPORTRANGE(""17pNv02DXDpQT9S3w4-QeNym2QJy2BzMBqDXp-XtzJBM"", ""'SPGG'!D3:D139""),0))"),18967)</f>
        <v>18967</v>
      </c>
      <c r="AE59" s="12">
        <f ca="1">IFERROR(__xludf.DUMMYFUNCTION("INDEX(IMPORTRANGE(""17pNv02DXDpQT9S3w4-QeNym2QJy2BzMBqDXp-XtzJBM"", ""'SPGG'!BM3:BM139""),MATCH($D59,IMPORTRANGE(""17pNv02DXDpQT9S3w4-QeNym2QJy2BzMBqDXp-XtzJBM"", ""'SPGG'!D3:D139""),0))"),18967)</f>
        <v>18967</v>
      </c>
    </row>
    <row r="60" spans="1:31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1" t="s">
        <v>361</v>
      </c>
      <c r="P60" s="11">
        <v>45565</v>
      </c>
      <c r="Q60" s="14">
        <f t="shared" ref="Q60:R60" si="14">Q58/Q59</f>
        <v>1</v>
      </c>
      <c r="R60" s="14">
        <f t="shared" si="14"/>
        <v>1</v>
      </c>
      <c r="S60" s="14">
        <f ca="1">IFERROR(__xludf.DUMMYFUNCTION("INDEX(IMPORTRANGE(""17pNv02DXDpQT9S3w4-QeNym2QJy2BzMBqDXp-XtzJBM"", ""'SPGG'!BG3:BG139""),MATCH($D60,IMPORTRANGE(""17pNv02DXDpQT9S3w4-QeNym2QJy2BzMBqDXp-XtzJBM"", ""'SPGG'!D3:D139""),0))"),1)</f>
        <v>1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""'SPGG'!BH3:BH139""),MATCH($D60,IMPORTRANGE(""17pNv02DXDpQT9S3w4-QeNym2QJy2BzMBqDXp-XtzJBM"", ""'SPGG'!D3:D139""),0))"),1)</f>
        <v>1</v>
      </c>
      <c r="AA60" s="15">
        <f ca="1">IFERROR(__xludf.DUMMYFUNCTION("INDEX(IMPORTRANGE(""17pNv02DXDpQT9S3w4-QeNym2QJy2BzMBqDXp-XtzJBM"", ""'SPGG'!BI3:BI139""),MATCH($D60,IMPORTRANGE(""17pNv02DXDpQT9S3w4-QeNym2QJy2BzMBqDXp-XtzJBM"", ""'SPGG'!D3:D139""),0))"),1)</f>
        <v>1</v>
      </c>
      <c r="AB60" s="15">
        <f ca="1">IFERROR(__xludf.DUMMYFUNCTION("INDEX(IMPORTRANGE(""17pNv02DXDpQT9S3w4-QeNym2QJy2BzMBqDXp-XtzJBM"", ""'SPGG'!BJ3:BJ139""),MATCH($D60,IMPORTRANGE(""17pNv02DXDpQT9S3w4-QeNym2QJy2BzMBqDXp-XtzJBM"", ""'SPGG'!D3:D139""),0))"),1)</f>
        <v>1</v>
      </c>
      <c r="AC60" s="15">
        <f ca="1">IFERROR(__xludf.DUMMYFUNCTION("INDEX(IMPORTRANGE(""17pNv02DXDpQT9S3w4-QeNym2QJy2BzMBqDXp-XtzJBM"", ""'SPGG'!BK3:BK139""),MATCH($D60,IMPORTRANGE(""17pNv02DXDpQT9S3w4-QeNym2QJy2BzMBqDXp-XtzJBM"", ""'SPGG'!D3:D139""),0))"),1)</f>
        <v>1</v>
      </c>
      <c r="AD60" s="15">
        <f ca="1">IFERROR(__xludf.DUMMYFUNCTION("INDEX(IMPORTRANGE(""17pNv02DXDpQT9S3w4-QeNym2QJy2BzMBqDXp-XtzJBM"", ""'SPGG'!BL3:BL139""),MATCH($D60,IMPORTRANGE(""17pNv02DXDpQT9S3w4-QeNym2QJy2BzMBqDXp-XtzJBM"", ""'SPGG'!D3:D139""),0))"),1)</f>
        <v>1</v>
      </c>
      <c r="AE60" s="15">
        <f ca="1">IFERROR(__xludf.DUMMYFUNCTION("INDEX(IMPORTRANGE(""17pNv02DXDpQT9S3w4-QeNym2QJy2BzMBqDXp-XtzJBM"", ""'SPGG'!BM3:BM139""),MATCH($D60,IMPORTRANGE(""17pNv02DXDpQT9S3w4-QeNym2QJy2BzMBqDXp-XtzJBM"", ""'SPGG'!D3:D139""),0))"),1)</f>
        <v>1</v>
      </c>
    </row>
    <row r="61" spans="1:31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1" t="s">
        <v>361</v>
      </c>
      <c r="P61" s="11">
        <v>45565</v>
      </c>
      <c r="Q61" s="12">
        <v>37730</v>
      </c>
      <c r="R61" s="12">
        <v>37730</v>
      </c>
      <c r="S61" s="12">
        <f ca="1">IFERROR(__xludf.DUMMYFUNCTION("INDEX(IMPORTRANGE(""17pNv02DXDpQT9S3w4-QeNym2QJy2BzMBqDXp-XtzJBM"", ""'SPGG'!BG3:BG139""),MATCH($D61,IMPORTRANGE(""17pNv02DXDpQT9S3w4-QeNym2QJy2BzMBqDXp-XtzJBM"", ""'SPGG'!D3:D139""),0))"),37730)</f>
        <v>37730</v>
      </c>
      <c r="T61" s="13"/>
      <c r="U61" s="13"/>
      <c r="V61" s="13"/>
      <c r="W61" s="13"/>
      <c r="X61" s="13"/>
      <c r="Y61" s="4"/>
      <c r="Z61" s="12">
        <f ca="1">IFERROR(__xludf.DUMMYFUNCTION("INDEX(IMPORTRANGE(""17pNv02DXDpQT9S3w4-QeNym2QJy2BzMBqDXp-XtzJBM"", ""'SPGG'!BH3:BH139""),MATCH($D61,IMPORTRANGE(""17pNv02DXDpQT9S3w4-QeNym2QJy2BzMBqDXp-XtzJBM"", ""'SPGG'!D3:D139""),0))"),37730)</f>
        <v>37730</v>
      </c>
      <c r="AA61" s="12">
        <f ca="1">IFERROR(__xludf.DUMMYFUNCTION("INDEX(IMPORTRANGE(""17pNv02DXDpQT9S3w4-QeNym2QJy2BzMBqDXp-XtzJBM"", ""'SPGG'!BI3:BI139""),MATCH($D61,IMPORTRANGE(""17pNv02DXDpQT9S3w4-QeNym2QJy2BzMBqDXp-XtzJBM"", ""'SPGG'!D3:D139""),0))"),37730)</f>
        <v>37730</v>
      </c>
      <c r="AB61" s="12">
        <f ca="1">IFERROR(__xludf.DUMMYFUNCTION("INDEX(IMPORTRANGE(""17pNv02DXDpQT9S3w4-QeNym2QJy2BzMBqDXp-XtzJBM"", ""'SPGG'!BJ3:BJ139""),MATCH($D61,IMPORTRANGE(""17pNv02DXDpQT9S3w4-QeNym2QJy2BzMBqDXp-XtzJBM"", ""'SPGG'!D3:D139""),0))"),37730)</f>
        <v>37730</v>
      </c>
      <c r="AC61" s="12">
        <f ca="1">IFERROR(__xludf.DUMMYFUNCTION("INDEX(IMPORTRANGE(""17pNv02DXDpQT9S3w4-QeNym2QJy2BzMBqDXp-XtzJBM"", ""'SPGG'!BK3:BK139""),MATCH($D61,IMPORTRANGE(""17pNv02DXDpQT9S3w4-QeNym2QJy2BzMBqDXp-XtzJBM"", ""'SPGG'!D3:D139""),0))"),37730)</f>
        <v>37730</v>
      </c>
      <c r="AD61" s="12">
        <f ca="1">IFERROR(__xludf.DUMMYFUNCTION("INDEX(IMPORTRANGE(""17pNv02DXDpQT9S3w4-QeNym2QJy2BzMBqDXp-XtzJBM"", ""'SPGG'!BL3:BL139""),MATCH($D61,IMPORTRANGE(""17pNv02DXDpQT9S3w4-QeNym2QJy2BzMBqDXp-XtzJBM"", ""'SPGG'!D3:D139""),0))"),37730)</f>
        <v>37730</v>
      </c>
      <c r="AE61" s="12">
        <f ca="1">IFERROR(__xludf.DUMMYFUNCTION("INDEX(IMPORTRANGE(""17pNv02DXDpQT9S3w4-QeNym2QJy2BzMBqDXp-XtzJBM"", ""'SPGG'!BM3:BM139""),MATCH($D61,IMPORTRANGE(""17pNv02DXDpQT9S3w4-QeNym2QJy2BzMBqDXp-XtzJBM"", ""'SPGG'!D3:D139""),0))"),37730)</f>
        <v>37730</v>
      </c>
    </row>
    <row r="62" spans="1:31">
      <c r="A62" s="7" t="s">
        <v>147</v>
      </c>
      <c r="B62" s="7" t="s">
        <v>168</v>
      </c>
      <c r="C62" s="1" t="s">
        <v>36</v>
      </c>
      <c r="D62" s="7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1" t="s">
        <v>361</v>
      </c>
      <c r="P62" s="11">
        <v>45565</v>
      </c>
      <c r="Q62" s="15">
        <f t="shared" ref="Q62:R62" si="15">Q61/Q37</f>
        <v>1</v>
      </c>
      <c r="R62" s="15">
        <f t="shared" si="15"/>
        <v>1</v>
      </c>
      <c r="S62" s="15">
        <f ca="1">IFERROR(__xludf.DUMMYFUNCTION("INDEX(IMPORTRANGE(""17pNv02DXDpQT9S3w4-QeNym2QJy2BzMBqDXp-XtzJBM"", ""'SPGG'!BG3:BG139""),MATCH($D62,IMPORTRANGE(""17pNv02DXDpQT9S3w4-QeNym2QJy2BzMBqDXp-XtzJBM"", ""'SPGG'!D3:D139""),0))"),1)</f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""'SPGG'!BH3:BH139""),MATCH($D62,IMPORTRANGE(""17pNv02DXDpQT9S3w4-QeNym2QJy2BzMBqDXp-XtzJBM"", ""'SPGG'!D3:D139""),0))"),1)</f>
        <v>1</v>
      </c>
      <c r="AA62" s="15">
        <f ca="1">IFERROR(__xludf.DUMMYFUNCTION("INDEX(IMPORTRANGE(""17pNv02DXDpQT9S3w4-QeNym2QJy2BzMBqDXp-XtzJBM"", ""'SPGG'!BI3:BI139""),MATCH($D62,IMPORTRANGE(""17pNv02DXDpQT9S3w4-QeNym2QJy2BzMBqDXp-XtzJBM"", ""'SPGG'!D3:D139""),0))"),1)</f>
        <v>1</v>
      </c>
      <c r="AB62" s="15">
        <f ca="1">IFERROR(__xludf.DUMMYFUNCTION("INDEX(IMPORTRANGE(""17pNv02DXDpQT9S3w4-QeNym2QJy2BzMBqDXp-XtzJBM"", ""'SPGG'!BJ3:BJ139""),MATCH($D62,IMPORTRANGE(""17pNv02DXDpQT9S3w4-QeNym2QJy2BzMBqDXp-XtzJBM"", ""'SPGG'!D3:D139""),0))"),1)</f>
        <v>1</v>
      </c>
      <c r="AC62" s="15">
        <f ca="1">IFERROR(__xludf.DUMMYFUNCTION("INDEX(IMPORTRANGE(""17pNv02DXDpQT9S3w4-QeNym2QJy2BzMBqDXp-XtzJBM"", ""'SPGG'!BK3:BK139""),MATCH($D62,IMPORTRANGE(""17pNv02DXDpQT9S3w4-QeNym2QJy2BzMBqDXp-XtzJBM"", ""'SPGG'!D3:D139""),0))"),1)</f>
        <v>1</v>
      </c>
      <c r="AD62" s="15">
        <f ca="1">IFERROR(__xludf.DUMMYFUNCTION("INDEX(IMPORTRANGE(""17pNv02DXDpQT9S3w4-QeNym2QJy2BzMBqDXp-XtzJBM"", ""'SPGG'!BL3:BL139""),MATCH($D62,IMPORTRANGE(""17pNv02DXDpQT9S3w4-QeNym2QJy2BzMBqDXp-XtzJBM"", ""'SPGG'!D3:D139""),0))"),1)</f>
        <v>1</v>
      </c>
      <c r="AE62" s="15">
        <f ca="1">IFERROR(__xludf.DUMMYFUNCTION("INDEX(IMPORTRANGE(""17pNv02DXDpQT9S3w4-QeNym2QJy2BzMBqDXp-XtzJBM"", ""'SPGG'!BM3:BM139""),MATCH($D62,IMPORTRANGE(""17pNv02DXDpQT9S3w4-QeNym2QJy2BzMBqDXp-XtzJBM"", ""'SPGG'!D3:D139""),0))"),1)</f>
        <v>1</v>
      </c>
    </row>
    <row r="63" spans="1:31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1" t="s">
        <v>361</v>
      </c>
      <c r="P63" s="11">
        <v>45565</v>
      </c>
      <c r="Q63" s="12">
        <v>7659036</v>
      </c>
      <c r="R63" s="12">
        <v>7659036</v>
      </c>
      <c r="S63" s="12">
        <f ca="1">IFERROR(__xludf.DUMMYFUNCTION("INDEX(IMPORTRANGE(""17pNv02DXDpQT9S3w4-QeNym2QJy2BzMBqDXp-XtzJBM"", ""'SPGG'!BG3:BG139""),MATCH($D63,IMPORTRANGE(""17pNv02DXDpQT9S3w4-QeNym2QJy2BzMBqDXp-XtzJBM"", ""'SPGG'!D3:D139""),0))"),7659036)</f>
        <v>7659036</v>
      </c>
      <c r="T63" s="13"/>
      <c r="U63" s="13"/>
      <c r="V63" s="13"/>
      <c r="W63" s="13"/>
      <c r="X63" s="13"/>
      <c r="Y63" s="4"/>
      <c r="Z63" s="12">
        <f ca="1">IFERROR(__xludf.DUMMYFUNCTION("INDEX(IMPORTRANGE(""17pNv02DXDpQT9S3w4-QeNym2QJy2BzMBqDXp-XtzJBM"", ""'SPGG'!BH3:BH139""),MATCH($D63,IMPORTRANGE(""17pNv02DXDpQT9S3w4-QeNym2QJy2BzMBqDXp-XtzJBM"", ""'SPGG'!D3:D139""),0))"),7659036)</f>
        <v>7659036</v>
      </c>
      <c r="AA63" s="12">
        <f ca="1">IFERROR(__xludf.DUMMYFUNCTION("INDEX(IMPORTRANGE(""17pNv02DXDpQT9S3w4-QeNym2QJy2BzMBqDXp-XtzJBM"", ""'SPGG'!BI3:BI139""),MATCH($D63,IMPORTRANGE(""17pNv02DXDpQT9S3w4-QeNym2QJy2BzMBqDXp-XtzJBM"", ""'SPGG'!D3:D139""),0))"),7659036)</f>
        <v>7659036</v>
      </c>
      <c r="AB63" s="12">
        <f ca="1">IFERROR(__xludf.DUMMYFUNCTION("INDEX(IMPORTRANGE(""17pNv02DXDpQT9S3w4-QeNym2QJy2BzMBqDXp-XtzJBM"", ""'SPGG'!BJ3:BJ139""),MATCH($D63,IMPORTRANGE(""17pNv02DXDpQT9S3w4-QeNym2QJy2BzMBqDXp-XtzJBM"", ""'SPGG'!D3:D139""),0))"),7659036)</f>
        <v>7659036</v>
      </c>
      <c r="AC63" s="12">
        <f ca="1">IFERROR(__xludf.DUMMYFUNCTION("INDEX(IMPORTRANGE(""17pNv02DXDpQT9S3w4-QeNym2QJy2BzMBqDXp-XtzJBM"", ""'SPGG'!BK3:BK139""),MATCH($D63,IMPORTRANGE(""17pNv02DXDpQT9S3w4-QeNym2QJy2BzMBqDXp-XtzJBM"", ""'SPGG'!D3:D139""),0))"),7659036)</f>
        <v>7659036</v>
      </c>
      <c r="AD63" s="12">
        <f ca="1">IFERROR(__xludf.DUMMYFUNCTION("INDEX(IMPORTRANGE(""17pNv02DXDpQT9S3w4-QeNym2QJy2BzMBqDXp-XtzJBM"", ""'SPGG'!BL3:BL139""),MATCH($D63,IMPORTRANGE(""17pNv02DXDpQT9S3w4-QeNym2QJy2BzMBqDXp-XtzJBM"", ""'SPGG'!D3:D139""),0))"),7659036)</f>
        <v>7659036</v>
      </c>
      <c r="AE63" s="12">
        <f ca="1">IFERROR(__xludf.DUMMYFUNCTION("INDEX(IMPORTRANGE(""17pNv02DXDpQT9S3w4-QeNym2QJy2BzMBqDXp-XtzJBM"", ""'SPGG'!BM3:BM139""),MATCH($D63,IMPORTRANGE(""17pNv02DXDpQT9S3w4-QeNym2QJy2BzMBqDXp-XtzJBM"", ""'SPGG'!D3:D139""),0))"),7659036)</f>
        <v>7659036</v>
      </c>
    </row>
    <row r="64" spans="1:31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1" t="s">
        <v>361</v>
      </c>
      <c r="P64" s="11">
        <v>45565</v>
      </c>
      <c r="Q64" s="12">
        <v>7659036</v>
      </c>
      <c r="R64" s="12">
        <v>7659036</v>
      </c>
      <c r="S64" s="12">
        <f ca="1">IFERROR(__xludf.DUMMYFUNCTION("INDEX(IMPORTRANGE(""17pNv02DXDpQT9S3w4-QeNym2QJy2BzMBqDXp-XtzJBM"", ""'SPGG'!BG3:BG139""),MATCH($D64,IMPORTRANGE(""17pNv02DXDpQT9S3w4-QeNym2QJy2BzMBqDXp-XtzJBM"", ""'SPGG'!D3:D139""),0))"),7659036)</f>
        <v>7659036</v>
      </c>
      <c r="T64" s="13"/>
      <c r="U64" s="13"/>
      <c r="V64" s="13"/>
      <c r="W64" s="13"/>
      <c r="X64" s="13"/>
      <c r="Y64" s="4"/>
      <c r="Z64" s="12">
        <f ca="1">IFERROR(__xludf.DUMMYFUNCTION("INDEX(IMPORTRANGE(""17pNv02DXDpQT9S3w4-QeNym2QJy2BzMBqDXp-XtzJBM"", ""'SPGG'!BH3:BH139""),MATCH($D64,IMPORTRANGE(""17pNv02DXDpQT9S3w4-QeNym2QJy2BzMBqDXp-XtzJBM"", ""'SPGG'!D3:D139""),0))"),7659036)</f>
        <v>7659036</v>
      </c>
      <c r="AA64" s="12">
        <f ca="1">IFERROR(__xludf.DUMMYFUNCTION("INDEX(IMPORTRANGE(""17pNv02DXDpQT9S3w4-QeNym2QJy2BzMBqDXp-XtzJBM"", ""'SPGG'!BI3:BI139""),MATCH($D64,IMPORTRANGE(""17pNv02DXDpQT9S3w4-QeNym2QJy2BzMBqDXp-XtzJBM"", ""'SPGG'!D3:D139""),0))"),7659036)</f>
        <v>7659036</v>
      </c>
      <c r="AB64" s="12">
        <f ca="1">IFERROR(__xludf.DUMMYFUNCTION("INDEX(IMPORTRANGE(""17pNv02DXDpQT9S3w4-QeNym2QJy2BzMBqDXp-XtzJBM"", ""'SPGG'!BJ3:BJ139""),MATCH($D64,IMPORTRANGE(""17pNv02DXDpQT9S3w4-QeNym2QJy2BzMBqDXp-XtzJBM"", ""'SPGG'!D3:D139""),0))"),7659036)</f>
        <v>7659036</v>
      </c>
      <c r="AC64" s="12">
        <f ca="1">IFERROR(__xludf.DUMMYFUNCTION("INDEX(IMPORTRANGE(""17pNv02DXDpQT9S3w4-QeNym2QJy2BzMBqDXp-XtzJBM"", ""'SPGG'!BK3:BK139""),MATCH($D64,IMPORTRANGE(""17pNv02DXDpQT9S3w4-QeNym2QJy2BzMBqDXp-XtzJBM"", ""'SPGG'!D3:D139""),0))"),7659036)</f>
        <v>7659036</v>
      </c>
      <c r="AD64" s="12">
        <f ca="1">IFERROR(__xludf.DUMMYFUNCTION("INDEX(IMPORTRANGE(""17pNv02DXDpQT9S3w4-QeNym2QJy2BzMBqDXp-XtzJBM"", ""'SPGG'!BL3:BL139""),MATCH($D64,IMPORTRANGE(""17pNv02DXDpQT9S3w4-QeNym2QJy2BzMBqDXp-XtzJBM"", ""'SPGG'!D3:D139""),0))"),7659036)</f>
        <v>7659036</v>
      </c>
      <c r="AE64" s="12">
        <f ca="1">IFERROR(__xludf.DUMMYFUNCTION("INDEX(IMPORTRANGE(""17pNv02DXDpQT9S3w4-QeNym2QJy2BzMBqDXp-XtzJBM"", ""'SPGG'!BM3:BM139""),MATCH($D64,IMPORTRANGE(""17pNv02DXDpQT9S3w4-QeNym2QJy2BzMBqDXp-XtzJBM"", ""'SPGG'!D3:D139""),0))"),7659036)</f>
        <v>7659036</v>
      </c>
    </row>
    <row r="65" spans="1:31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1" t="s">
        <v>361</v>
      </c>
      <c r="P65" s="11">
        <v>45565</v>
      </c>
      <c r="Q65" s="15">
        <f t="shared" ref="Q65:R65" si="16">Q63/Q64</f>
        <v>1</v>
      </c>
      <c r="R65" s="15">
        <f t="shared" si="16"/>
        <v>1</v>
      </c>
      <c r="S65" s="15">
        <f ca="1">IFERROR(__xludf.DUMMYFUNCTION("INDEX(IMPORTRANGE(""17pNv02DXDpQT9S3w4-QeNym2QJy2BzMBqDXp-XtzJBM"", ""'SPGG'!BG3:BG139""),MATCH($D65,IMPORTRANGE(""17pNv02DXDpQT9S3w4-QeNym2QJy2BzMBqDXp-XtzJBM"", ""'SPGG'!D3:D139""),0))"),1)</f>
        <v>1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""'SPGG'!BH3:BH139""),MATCH($D65,IMPORTRANGE(""17pNv02DXDpQT9S3w4-QeNym2QJy2BzMBqDXp-XtzJBM"", ""'SPGG'!D3:D139""),0))"),1)</f>
        <v>1</v>
      </c>
      <c r="AA65" s="15">
        <f ca="1">IFERROR(__xludf.DUMMYFUNCTION("INDEX(IMPORTRANGE(""17pNv02DXDpQT9S3w4-QeNym2QJy2BzMBqDXp-XtzJBM"", ""'SPGG'!BI3:BI139""),MATCH($D65,IMPORTRANGE(""17pNv02DXDpQT9S3w4-QeNym2QJy2BzMBqDXp-XtzJBM"", ""'SPGG'!D3:D139""),0))"),1)</f>
        <v>1</v>
      </c>
      <c r="AB65" s="15">
        <f ca="1">IFERROR(__xludf.DUMMYFUNCTION("INDEX(IMPORTRANGE(""17pNv02DXDpQT9S3w4-QeNym2QJy2BzMBqDXp-XtzJBM"", ""'SPGG'!BJ3:BJ139""),MATCH($D65,IMPORTRANGE(""17pNv02DXDpQT9S3w4-QeNym2QJy2BzMBqDXp-XtzJBM"", ""'SPGG'!D3:D139""),0))"),1)</f>
        <v>1</v>
      </c>
      <c r="AC65" s="15">
        <f ca="1">IFERROR(__xludf.DUMMYFUNCTION("INDEX(IMPORTRANGE(""17pNv02DXDpQT9S3w4-QeNym2QJy2BzMBqDXp-XtzJBM"", ""'SPGG'!BK3:BK139""),MATCH($D65,IMPORTRANGE(""17pNv02DXDpQT9S3w4-QeNym2QJy2BzMBqDXp-XtzJBM"", ""'SPGG'!D3:D139""),0))"),1)</f>
        <v>1</v>
      </c>
      <c r="AD65" s="15">
        <f ca="1">IFERROR(__xludf.DUMMYFUNCTION("INDEX(IMPORTRANGE(""17pNv02DXDpQT9S3w4-QeNym2QJy2BzMBqDXp-XtzJBM"", ""'SPGG'!BL3:BL139""),MATCH($D65,IMPORTRANGE(""17pNv02DXDpQT9S3w4-QeNym2QJy2BzMBqDXp-XtzJBM"", ""'SPGG'!D3:D139""),0))"),1)</f>
        <v>1</v>
      </c>
      <c r="AE65" s="15">
        <f ca="1">IFERROR(__xludf.DUMMYFUNCTION("INDEX(IMPORTRANGE(""17pNv02DXDpQT9S3w4-QeNym2QJy2BzMBqDXp-XtzJBM"", ""'SPGG'!BM3:BM139""),MATCH($D65,IMPORTRANGE(""17pNv02DXDpQT9S3w4-QeNym2QJy2BzMBqDXp-XtzJBM"", ""'SPGG'!D3:D139""),0))"),1)</f>
        <v>1</v>
      </c>
    </row>
    <row r="66" spans="1:31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1" t="s">
        <v>361</v>
      </c>
      <c r="P66" s="11">
        <v>45565</v>
      </c>
      <c r="Q66" s="12">
        <v>78745</v>
      </c>
      <c r="R66" s="12">
        <v>78745</v>
      </c>
      <c r="S66" s="12">
        <f ca="1">IFERROR(__xludf.DUMMYFUNCTION("INDEX(IMPORTRANGE(""17pNv02DXDpQT9S3w4-QeNym2QJy2BzMBqDXp-XtzJBM"", ""'SPGG'!BG3:BG139""),MATCH($D66,IMPORTRANGE(""17pNv02DXDpQT9S3w4-QeNym2QJy2BzMBqDXp-XtzJBM"", ""'SPGG'!D3:D139""),0))"),78745)</f>
        <v>78745</v>
      </c>
      <c r="T66" s="13"/>
      <c r="U66" s="13"/>
      <c r="V66" s="13"/>
      <c r="W66" s="13"/>
      <c r="X66" s="13"/>
      <c r="Y66" s="4"/>
      <c r="Z66" s="12">
        <f ca="1">IFERROR(__xludf.DUMMYFUNCTION("INDEX(IMPORTRANGE(""17pNv02DXDpQT9S3w4-QeNym2QJy2BzMBqDXp-XtzJBM"", ""'SPGG'!BH3:BH139""),MATCH($D66,IMPORTRANGE(""17pNv02DXDpQT9S3w4-QeNym2QJy2BzMBqDXp-XtzJBM"", ""'SPGG'!D3:D139""),0))"),78855)</f>
        <v>78855</v>
      </c>
      <c r="AA66" s="12">
        <f ca="1">IFERROR(__xludf.DUMMYFUNCTION("INDEX(IMPORTRANGE(""17pNv02DXDpQT9S3w4-QeNym2QJy2BzMBqDXp-XtzJBM"", ""'SPGG'!BI3:BI139""),MATCH($D66,IMPORTRANGE(""17pNv02DXDpQT9S3w4-QeNym2QJy2BzMBqDXp-XtzJBM"", ""'SPGG'!D3:D139""),0))"),82516)</f>
        <v>82516</v>
      </c>
      <c r="AB66" s="12">
        <f ca="1">IFERROR(__xludf.DUMMYFUNCTION("INDEX(IMPORTRANGE(""17pNv02DXDpQT9S3w4-QeNym2QJy2BzMBqDXp-XtzJBM"", ""'SPGG'!BJ3:BJ139""),MATCH($D66,IMPORTRANGE(""17pNv02DXDpQT9S3w4-QeNym2QJy2BzMBqDXp-XtzJBM"", ""'SPGG'!D3:D139""),0))"),83518)</f>
        <v>83518</v>
      </c>
      <c r="AC66" s="12">
        <f ca="1">IFERROR(__xludf.DUMMYFUNCTION("INDEX(IMPORTRANGE(""17pNv02DXDpQT9S3w4-QeNym2QJy2BzMBqDXp-XtzJBM"", ""'SPGG'!BK3:BK139""),MATCH($D66,IMPORTRANGE(""17pNv02DXDpQT9S3w4-QeNym2QJy2BzMBqDXp-XtzJBM"", ""'SPGG'!D3:D139""),0))"),83858)</f>
        <v>83858</v>
      </c>
      <c r="AD66" s="12">
        <f ca="1">IFERROR(__xludf.DUMMYFUNCTION("INDEX(IMPORTRANGE(""17pNv02DXDpQT9S3w4-QeNym2QJy2BzMBqDXp-XtzJBM"", ""'SPGG'!BL3:BL139""),MATCH($D66,IMPORTRANGE(""17pNv02DXDpQT9S3w4-QeNym2QJy2BzMBqDXp-XtzJBM"", ""'SPGG'!D3:D139""),0))"),83858)</f>
        <v>83858</v>
      </c>
      <c r="AE66" s="12">
        <f ca="1">IFERROR(__xludf.DUMMYFUNCTION("INDEX(IMPORTRANGE(""17pNv02DXDpQT9S3w4-QeNym2QJy2BzMBqDXp-XtzJBM"", ""'SPGG'!BM3:BM139""),MATCH($D66,IMPORTRANGE(""17pNv02DXDpQT9S3w4-QeNym2QJy2BzMBqDXp-XtzJBM"", ""'SPGG'!D3:D139""),0))"),85112)</f>
        <v>85112</v>
      </c>
    </row>
    <row r="67" spans="1:31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1" t="s">
        <v>361</v>
      </c>
      <c r="P67" s="11">
        <v>45565</v>
      </c>
      <c r="Q67" s="12">
        <v>88000</v>
      </c>
      <c r="R67" s="12">
        <v>88000</v>
      </c>
      <c r="S67" s="12">
        <f ca="1">IFERROR(__xludf.DUMMYFUNCTION("INDEX(IMPORTRANGE(""17pNv02DXDpQT9S3w4-QeNym2QJy2BzMBqDXp-XtzJBM"", ""'SPGG'!BG3:BG139""),MATCH($D67,IMPORTRANGE(""17pNv02DXDpQT9S3w4-QeNym2QJy2BzMBqDXp-XtzJBM"", ""'SPGG'!D3:D139""),0))"),88000)</f>
        <v>88000</v>
      </c>
      <c r="T67" s="13"/>
      <c r="U67" s="13"/>
      <c r="V67" s="13"/>
      <c r="W67" s="13"/>
      <c r="X67" s="13"/>
      <c r="Y67" s="4"/>
      <c r="Z67" s="12">
        <f ca="1">IFERROR(__xludf.DUMMYFUNCTION("INDEX(IMPORTRANGE(""17pNv02DXDpQT9S3w4-QeNym2QJy2BzMBqDXp-XtzJBM"", ""'SPGG'!BH3:BH139""),MATCH($D67,IMPORTRANGE(""17pNv02DXDpQT9S3w4-QeNym2QJy2BzMBqDXp-XtzJBM"", ""'SPGG'!D3:D139""),0))"),88000)</f>
        <v>88000</v>
      </c>
      <c r="AA67" s="12">
        <f ca="1">IFERROR(__xludf.DUMMYFUNCTION("INDEX(IMPORTRANGE(""17pNv02DXDpQT9S3w4-QeNym2QJy2BzMBqDXp-XtzJBM"", ""'SPGG'!BI3:BI139""),MATCH($D67,IMPORTRANGE(""17pNv02DXDpQT9S3w4-QeNym2QJy2BzMBqDXp-XtzJBM"", ""'SPGG'!D3:D139""),0))"),88000)</f>
        <v>88000</v>
      </c>
      <c r="AB67" s="12">
        <f ca="1">IFERROR(__xludf.DUMMYFUNCTION("INDEX(IMPORTRANGE(""17pNv02DXDpQT9S3w4-QeNym2QJy2BzMBqDXp-XtzJBM"", ""'SPGG'!BJ3:BJ139""),MATCH($D67,IMPORTRANGE(""17pNv02DXDpQT9S3w4-QeNym2QJy2BzMBqDXp-XtzJBM"", ""'SPGG'!D3:D139""),0))"),88000)</f>
        <v>88000</v>
      </c>
      <c r="AC67" s="12">
        <f ca="1">IFERROR(__xludf.DUMMYFUNCTION("INDEX(IMPORTRANGE(""17pNv02DXDpQT9S3w4-QeNym2QJy2BzMBqDXp-XtzJBM"", ""'SPGG'!BK3:BK139""),MATCH($D67,IMPORTRANGE(""17pNv02DXDpQT9S3w4-QeNym2QJy2BzMBqDXp-XtzJBM"", ""'SPGG'!D3:D139""),0))"),88000)</f>
        <v>88000</v>
      </c>
      <c r="AD67" s="12">
        <f ca="1">IFERROR(__xludf.DUMMYFUNCTION("INDEX(IMPORTRANGE(""17pNv02DXDpQT9S3w4-QeNym2QJy2BzMBqDXp-XtzJBM"", ""'SPGG'!BL3:BL139""),MATCH($D67,IMPORTRANGE(""17pNv02DXDpQT9S3w4-QeNym2QJy2BzMBqDXp-XtzJBM"", ""'SPGG'!D3:D139""),0))"),88000)</f>
        <v>88000</v>
      </c>
      <c r="AE67" s="12">
        <f ca="1">IFERROR(__xludf.DUMMYFUNCTION("INDEX(IMPORTRANGE(""17pNv02DXDpQT9S3w4-QeNym2QJy2BzMBqDXp-XtzJBM"", ""'SPGG'!BM3:BM139""),MATCH($D67,IMPORTRANGE(""17pNv02DXDpQT9S3w4-QeNym2QJy2BzMBqDXp-XtzJBM"", ""'SPGG'!D3:D139""),0))"),88000)</f>
        <v>88000</v>
      </c>
    </row>
    <row r="68" spans="1:31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1" t="s">
        <v>361</v>
      </c>
      <c r="P68" s="11">
        <v>45565</v>
      </c>
      <c r="Q68" s="15">
        <f t="shared" ref="Q68:R68" si="17">Q66/Q67</f>
        <v>0.89482954545454541</v>
      </c>
      <c r="R68" s="15">
        <f t="shared" si="17"/>
        <v>0.89482954545454541</v>
      </c>
      <c r="S68" s="15">
        <f ca="1">IFERROR(__xludf.DUMMYFUNCTION("INDEX(IMPORTRANGE(""17pNv02DXDpQT9S3w4-QeNym2QJy2BzMBqDXp-XtzJBM"", ""'SPGG'!BG3:BG139""),MATCH($D68,IMPORTRANGE(""17pNv02DXDpQT9S3w4-QeNym2QJy2BzMBqDXp-XtzJBM"", ""'SPGG'!D3:D139""),0))"),0.894829545454545)</f>
        <v>0.89482954545454496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""'SPGG'!BH3:BH139""),MATCH($D68,IMPORTRANGE(""17pNv02DXDpQT9S3w4-QeNym2QJy2BzMBqDXp-XtzJBM"", ""'SPGG'!D3:D139""),0))"),0.896079545454545)</f>
        <v>0.89607954545454505</v>
      </c>
      <c r="AA68" s="15">
        <f ca="1">IFERROR(__xludf.DUMMYFUNCTION("INDEX(IMPORTRANGE(""17pNv02DXDpQT9S3w4-QeNym2QJy2BzMBqDXp-XtzJBM"", ""'SPGG'!BI3:BI139""),MATCH($D68,IMPORTRANGE(""17pNv02DXDpQT9S3w4-QeNym2QJy2BzMBqDXp-XtzJBM"", ""'SPGG'!D3:D139""),0))"),0.937681818181818)</f>
        <v>0.93768181818181795</v>
      </c>
      <c r="AB68" s="15">
        <f ca="1">IFERROR(__xludf.DUMMYFUNCTION("INDEX(IMPORTRANGE(""17pNv02DXDpQT9S3w4-QeNym2QJy2BzMBqDXp-XtzJBM"", ""'SPGG'!BJ3:BJ139""),MATCH($D68,IMPORTRANGE(""17pNv02DXDpQT9S3w4-QeNym2QJy2BzMBqDXp-XtzJBM"", ""'SPGG'!D3:D139""),0))"),0.949068181818181)</f>
        <v>0.94906818181818098</v>
      </c>
      <c r="AC68" s="15">
        <f ca="1">IFERROR(__xludf.DUMMYFUNCTION("INDEX(IMPORTRANGE(""17pNv02DXDpQT9S3w4-QeNym2QJy2BzMBqDXp-XtzJBM"", ""'SPGG'!BK3:BK139""),MATCH($D68,IMPORTRANGE(""17pNv02DXDpQT9S3w4-QeNym2QJy2BzMBqDXp-XtzJBM"", ""'SPGG'!D3:D139""),0))"),0.952931818181818)</f>
        <v>0.95293181818181805</v>
      </c>
      <c r="AD68" s="15">
        <f ca="1">IFERROR(__xludf.DUMMYFUNCTION("INDEX(IMPORTRANGE(""17pNv02DXDpQT9S3w4-QeNym2QJy2BzMBqDXp-XtzJBM"", ""'SPGG'!BL3:BL139""),MATCH($D68,IMPORTRANGE(""17pNv02DXDpQT9S3w4-QeNym2QJy2BzMBqDXp-XtzJBM"", ""'SPGG'!D3:D139""),0))"),0.952931818181818)</f>
        <v>0.95293181818181805</v>
      </c>
      <c r="AE68" s="15">
        <f ca="1">IFERROR(__xludf.DUMMYFUNCTION("INDEX(IMPORTRANGE(""17pNv02DXDpQT9S3w4-QeNym2QJy2BzMBqDXp-XtzJBM"", ""'SPGG'!BM3:BM139""),MATCH($D68,IMPORTRANGE(""17pNv02DXDpQT9S3w4-QeNym2QJy2BzMBqDXp-XtzJBM"", ""'SPGG'!D3:D139""),0))"),0.967181818181818)</f>
        <v>0.96718181818181803</v>
      </c>
    </row>
    <row r="69" spans="1:31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" t="s">
        <v>63</v>
      </c>
      <c r="P69" s="2" t="s">
        <v>132</v>
      </c>
      <c r="Q69" s="23">
        <v>0</v>
      </c>
      <c r="R69" s="23">
        <v>0</v>
      </c>
      <c r="S69" s="23">
        <f ca="1">IFERROR(__xludf.DUMMYFUNCTION("INDEX(IMPORTRANGE(""17pNv02DXDpQT9S3w4-QeNym2QJy2BzMBqDXp-XtzJBM"", ""'SPGG'!BG3:BG139""),MATCH($D69,IMPORTRANGE(""17pNv02DXDpQT9S3w4-QeNym2QJy2BzMBqDXp-XtzJBM"", ""'SPGG'!D3:D139""),0))"),0)</f>
        <v>0</v>
      </c>
      <c r="T69" s="1"/>
      <c r="U69" s="1"/>
      <c r="V69" s="1"/>
      <c r="W69" s="1"/>
      <c r="X69" s="1"/>
      <c r="Y69" s="2"/>
      <c r="Z69" s="23">
        <f ca="1">IFERROR(__xludf.DUMMYFUNCTION("INDEX(IMPORTRANGE(""17pNv02DXDpQT9S3w4-QeNym2QJy2BzMBqDXp-XtzJBM"", ""'SPGG'!BH3:BH139""),MATCH($D69,IMPORTRANGE(""17pNv02DXDpQT9S3w4-QeNym2QJy2BzMBqDXp-XtzJBM"", ""'SPGG'!D3:D139""),0))"),0)</f>
        <v>0</v>
      </c>
      <c r="AA69" s="23">
        <f ca="1">IFERROR(__xludf.DUMMYFUNCTION("INDEX(IMPORTRANGE(""17pNv02DXDpQT9S3w4-QeNym2QJy2BzMBqDXp-XtzJBM"", ""'SPGG'!BI3:BI139""),MATCH($D69,IMPORTRANGE(""17pNv02DXDpQT9S3w4-QeNym2QJy2BzMBqDXp-XtzJBM"", ""'SPGG'!D3:D139""),0))"),1.207)</f>
        <v>1.2070000000000001</v>
      </c>
      <c r="AB69" s="23">
        <f ca="1">IFERROR(__xludf.DUMMYFUNCTION("INDEX(IMPORTRANGE(""17pNv02DXDpQT9S3w4-QeNym2QJy2BzMBqDXp-XtzJBM"", ""'SPGG'!BJ3:BJ139""),MATCH($D69,IMPORTRANGE(""17pNv02DXDpQT9S3w4-QeNym2QJy2BzMBqDXp-XtzJBM"", ""'SPGG'!D3:D139""),0))"),1.32)</f>
        <v>1.32</v>
      </c>
      <c r="AC69" s="23">
        <f ca="1">IFERROR(__xludf.DUMMYFUNCTION("INDEX(IMPORTRANGE(""17pNv02DXDpQT9S3w4-QeNym2QJy2BzMBqDXp-XtzJBM"", ""'SPGG'!BK3:BK139""),MATCH($D69,IMPORTRANGE(""17pNv02DXDpQT9S3w4-QeNym2QJy2BzMBqDXp-XtzJBM"", ""'SPGG'!D3:D139""),0))"),2.958)</f>
        <v>2.9580000000000002</v>
      </c>
      <c r="AD69" s="23">
        <f ca="1">IFERROR(__xludf.DUMMYFUNCTION("INDEX(IMPORTRANGE(""17pNv02DXDpQT9S3w4-QeNym2QJy2BzMBqDXp-XtzJBM"", ""'SPGG'!BL3:BL139""),MATCH($D69,IMPORTRANGE(""17pNv02DXDpQT9S3w4-QeNym2QJy2BzMBqDXp-XtzJBM"", ""'SPGG'!D3:D139""),0))"),0.451999999999999)</f>
        <v>0.45199999999999901</v>
      </c>
      <c r="AE69" s="23">
        <f ca="1">IFERROR(__xludf.DUMMYFUNCTION("INDEX(IMPORTRANGE(""17pNv02DXDpQT9S3w4-QeNym2QJy2BzMBqDXp-XtzJBM"", ""'SPGG'!BM3:BM139""),MATCH($D69,IMPORTRANGE(""17pNv02DXDpQT9S3w4-QeNym2QJy2BzMBqDXp-XtzJBM"", ""'SPGG'!D3:D139""),0))"),2.36899999999999)</f>
        <v>2.36899999999999</v>
      </c>
    </row>
    <row r="70" spans="1:31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" t="s">
        <v>63</v>
      </c>
      <c r="P70" s="2" t="s">
        <v>132</v>
      </c>
      <c r="Q70" s="23">
        <v>0.188</v>
      </c>
      <c r="R70" s="23">
        <v>4.3849999999999998</v>
      </c>
      <c r="S70" s="23">
        <f ca="1">IFERROR(__xludf.DUMMYFUNCTION("INDEX(IMPORTRANGE(""17pNv02DXDpQT9S3w4-QeNym2QJy2BzMBqDXp-XtzJBM"", ""'SPGG'!BG3:BG139""),MATCH($D70,IMPORTRANGE(""17pNv02DXDpQT9S3w4-QeNym2QJy2BzMBqDXp-XtzJBM"", ""'SPGG'!D3:D139""),0))"),4.385)</f>
        <v>4.3849999999999998</v>
      </c>
      <c r="T70" s="1"/>
      <c r="U70" s="1"/>
      <c r="V70" s="1"/>
      <c r="W70" s="1"/>
      <c r="X70" s="1"/>
      <c r="Y70" s="2">
        <v>2.37</v>
      </c>
      <c r="Z70" s="23">
        <f ca="1">IFERROR(__xludf.DUMMYFUNCTION("INDEX(IMPORTRANGE(""17pNv02DXDpQT9S3w4-QeNym2QJy2BzMBqDXp-XtzJBM"", ""'SPGG'!BH3:BH139""),MATCH($D70,IMPORTRANGE(""17pNv02DXDpQT9S3w4-QeNym2QJy2BzMBqDXp-XtzJBM"", ""'SPGG'!D3:D139""),0))"),0.11)</f>
        <v>0.11</v>
      </c>
      <c r="AA70" s="23">
        <f ca="1">IFERROR(__xludf.DUMMYFUNCTION("INDEX(IMPORTRANGE(""17pNv02DXDpQT9S3w4-QeNym2QJy2BzMBqDXp-XtzJBM"", ""'SPGG'!BI3:BI139""),MATCH($D70,IMPORTRANGE(""17pNv02DXDpQT9S3w4-QeNym2QJy2BzMBqDXp-XtzJBM"", ""'SPGG'!D3:D139""),0))"),0.218)</f>
        <v>0.218</v>
      </c>
      <c r="AB70" s="23">
        <f ca="1">IFERROR(__xludf.DUMMYFUNCTION("INDEX(IMPORTRANGE(""17pNv02DXDpQT9S3w4-QeNym2QJy2BzMBqDXp-XtzJBM"", ""'SPGG'!BJ3:BJ139""),MATCH($D70,IMPORTRANGE(""17pNv02DXDpQT9S3w4-QeNym2QJy2BzMBqDXp-XtzJBM"", ""'SPGG'!D3:D139""),0))"),0)</f>
        <v>0</v>
      </c>
      <c r="AC70" s="23">
        <f ca="1">IFERROR(__xludf.DUMMYFUNCTION("INDEX(IMPORTRANGE(""17pNv02DXDpQT9S3w4-QeNym2QJy2BzMBqDXp-XtzJBM"", ""'SPGG'!BK3:BK139""),MATCH($D70,IMPORTRANGE(""17pNv02DXDpQT9S3w4-QeNym2QJy2BzMBqDXp-XtzJBM"", ""'SPGG'!D3:D139""),0))"),0)</f>
        <v>0</v>
      </c>
      <c r="AD70" s="23">
        <f ca="1">IFERROR(__xludf.DUMMYFUNCTION("INDEX(IMPORTRANGE(""17pNv02DXDpQT9S3w4-QeNym2QJy2BzMBqDXp-XtzJBM"", ""'SPGG'!BL3:BL139""),MATCH($D70,IMPORTRANGE(""17pNv02DXDpQT9S3w4-QeNym2QJy2BzMBqDXp-XtzJBM"", ""'SPGG'!D3:D139""),0))"),0)</f>
        <v>0</v>
      </c>
      <c r="AE70" s="23">
        <f ca="1">IFERROR(__xludf.DUMMYFUNCTION("INDEX(IMPORTRANGE(""17pNv02DXDpQT9S3w4-QeNym2QJy2BzMBqDXp-XtzJBM"", ""'SPGG'!BM3:BM139""),MATCH($D70,IMPORTRANGE(""17pNv02DXDpQT9S3w4-QeNym2QJy2BzMBqDXp-XtzJBM"", ""'SPGG'!D3:D139""),0))"),0)</f>
        <v>0</v>
      </c>
    </row>
    <row r="71" spans="1:31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1" t="s">
        <v>361</v>
      </c>
      <c r="P71" s="11">
        <v>45565</v>
      </c>
      <c r="Q71" s="30"/>
      <c r="R71" s="2"/>
      <c r="S71" s="2" t="str">
        <f ca="1">IFERROR(__xludf.DUMMYFUNCTION("INDEX(IMPORTRANGE(""17pNv02DXDpQT9S3w4-QeNym2QJy2BzMBqDXp-XtzJBM"", ""'SPGG'!BG3:BG139""),MATCH($D71,IMPORTRANGE(""17pNv02DXDpQT9S3w4-QeNym2QJy2BzMBqDXp-XtzJBM"", ""'SPGG'!D3:D139""),0))"),"")</f>
        <v/>
      </c>
      <c r="T71" s="13"/>
      <c r="U71" s="13"/>
      <c r="V71" s="13"/>
      <c r="W71" s="13"/>
      <c r="X71" s="13"/>
      <c r="Y71" s="4"/>
      <c r="Z71" s="12">
        <f ca="1">IFERROR(__xludf.DUMMYFUNCTION("INDEX(IMPORTRANGE(""17pNv02DXDpQT9S3w4-QeNym2QJy2BzMBqDXp-XtzJBM"", ""'SPGG'!BH3:BH139""),MATCH($D71,IMPORTRANGE(""17pNv02DXDpQT9S3w4-QeNym2QJy2BzMBqDXp-XtzJBM"", ""'SPGG'!D3:D139""),0))"),0)</f>
        <v>0</v>
      </c>
      <c r="AA71" s="12" t="str">
        <f ca="1">IFERROR(__xludf.DUMMYFUNCTION("INDEX(IMPORTRANGE(""17pNv02DXDpQT9S3w4-QeNym2QJy2BzMBqDXp-XtzJBM"", ""'SPGG'!BI3:BI139""),MATCH($D71,IMPORTRANGE(""17pNv02DXDpQT9S3w4-QeNym2QJy2BzMBqDXp-XtzJBM"", ""'SPGG'!D3:D139""),0))"),"")</f>
        <v/>
      </c>
      <c r="AB71" s="12" t="str">
        <f ca="1">IFERROR(__xludf.DUMMYFUNCTION("INDEX(IMPORTRANGE(""17pNv02DXDpQT9S3w4-QeNym2QJy2BzMBqDXp-XtzJBM"", ""'SPGG'!BJ3:BJ139""),MATCH($D71,IMPORTRANGE(""17pNv02DXDpQT9S3w4-QeNym2QJy2BzMBqDXp-XtzJBM"", ""'SPGG'!D3:D139""),0))"),"")</f>
        <v/>
      </c>
      <c r="AC71" s="12" t="str">
        <f ca="1">IFERROR(__xludf.DUMMYFUNCTION("INDEX(IMPORTRANGE(""17pNv02DXDpQT9S3w4-QeNym2QJy2BzMBqDXp-XtzJBM"", ""'SPGG'!BK3:BK139""),MATCH($D71,IMPORTRANGE(""17pNv02DXDpQT9S3w4-QeNym2QJy2BzMBqDXp-XtzJBM"", ""'SPGG'!D3:D139""),0))"),"")</f>
        <v/>
      </c>
      <c r="AD71" s="12" t="str">
        <f ca="1">IFERROR(__xludf.DUMMYFUNCTION("INDEX(IMPORTRANGE(""17pNv02DXDpQT9S3w4-QeNym2QJy2BzMBqDXp-XtzJBM"", ""'SPGG'!BL3:BL139""),MATCH($D71,IMPORTRANGE(""17pNv02DXDpQT9S3w4-QeNym2QJy2BzMBqDXp-XtzJBM"", ""'SPGG'!D3:D139""),0))"),"""Página 93, 94, 95 y 96 del Plan Municipal de Desarrollo 2021-2024 (Plan de obras - mantenimientos). https://sanpedro.gob.mx/plan-municipal-de-desarrollo"" https://cms-api.sanpedro.gob.mx/storage/files/e0580de1-e0f9-4c9b-b83c-adc7f5703a20.pdf")</f>
        <v>"Página 93, 94, 95 y 96 del Plan Municipal de Desarrollo 2021-2024 (Plan de obras - mantenimientos). https://sanpedro.gob.mx/plan-municipal-de-desarrollo" https://cms-api.sanpedro.gob.mx/storage/files/e0580de1-e0f9-4c9b-b83c-adc7f5703a20.pdf</v>
      </c>
      <c r="AE71" s="12" t="str">
        <f ca="1">IFERROR(__xludf.DUMMYFUNCTION("INDEX(IMPORTRANGE(""17pNv02DXDpQT9S3w4-QeNym2QJy2BzMBqDXp-XtzJBM"", ""'SPGG'!BM3:BM139""),MATCH($D71,IMPORTRANGE(""17pNv02DXDpQT9S3w4-QeNym2QJy2BzMBqDXp-XtzJBM"", ""'SPGG'!D3:D139""),0))"),"")</f>
        <v/>
      </c>
    </row>
    <row r="72" spans="1:31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" t="s">
        <v>63</v>
      </c>
      <c r="P72" s="2" t="s">
        <v>132</v>
      </c>
      <c r="Q72" s="23">
        <f t="shared" ref="Q72:R72" si="18">Q69+Q70</f>
        <v>0.188</v>
      </c>
      <c r="R72" s="23">
        <f t="shared" si="18"/>
        <v>4.3849999999999998</v>
      </c>
      <c r="S72" s="23">
        <f ca="1">IFERROR(__xludf.DUMMYFUNCTION("INDEX(IMPORTRANGE(""17pNv02DXDpQT9S3w4-QeNym2QJy2BzMBqDXp-XtzJBM"", ""'SPGG'!BG3:BG139""),MATCH($D72,IMPORTRANGE(""17pNv02DXDpQT9S3w4-QeNym2QJy2BzMBqDXp-XtzJBM"", ""'SPGG'!D3:D139""),0))"),4.385)</f>
        <v>4.3849999999999998</v>
      </c>
      <c r="T72" s="4">
        <v>0.9</v>
      </c>
      <c r="U72" s="4">
        <v>0.2</v>
      </c>
      <c r="V72" s="4">
        <v>0.83</v>
      </c>
      <c r="W72" s="4">
        <v>0.63</v>
      </c>
      <c r="X72" s="4">
        <f>(1.23-W72)*5/6+W72</f>
        <v>1.1299999999999999</v>
      </c>
      <c r="Y72" s="4">
        <v>2.37</v>
      </c>
      <c r="Z72" s="23">
        <f ca="1">IFERROR(__xludf.DUMMYFUNCTION("INDEX(IMPORTRANGE(""17pNv02DXDpQT9S3w4-QeNym2QJy2BzMBqDXp-XtzJBM"", ""'SPGG'!BH3:BH139""),MATCH($D72,IMPORTRANGE(""17pNv02DXDpQT9S3w4-QeNym2QJy2BzMBqDXp-XtzJBM"", ""'SPGG'!D3:D139""),0))"),0.11)</f>
        <v>0.11</v>
      </c>
      <c r="AA72" s="23">
        <f ca="1">IFERROR(__xludf.DUMMYFUNCTION("INDEX(IMPORTRANGE(""17pNv02DXDpQT9S3w4-QeNym2QJy2BzMBqDXp-XtzJBM"", ""'SPGG'!BI3:BI139""),MATCH($D72,IMPORTRANGE(""17pNv02DXDpQT9S3w4-QeNym2QJy2BzMBqDXp-XtzJBM"", ""'SPGG'!D3:D139""),0))"),1.425)</f>
        <v>1.425</v>
      </c>
      <c r="AB72" s="23">
        <f ca="1">IFERROR(__xludf.DUMMYFUNCTION("INDEX(IMPORTRANGE(""17pNv02DXDpQT9S3w4-QeNym2QJy2BzMBqDXp-XtzJBM"", ""'SPGG'!BJ3:BJ139""),MATCH($D72,IMPORTRANGE(""17pNv02DXDpQT9S3w4-QeNym2QJy2BzMBqDXp-XtzJBM"", ""'SPGG'!D3:D139""),0))"),1.32)</f>
        <v>1.32</v>
      </c>
      <c r="AC72" s="23">
        <f ca="1">IFERROR(__xludf.DUMMYFUNCTION("INDEX(IMPORTRANGE(""17pNv02DXDpQT9S3w4-QeNym2QJy2BzMBqDXp-XtzJBM"", ""'SPGG'!BK3:BK139""),MATCH($D72,IMPORTRANGE(""17pNv02DXDpQT9S3w4-QeNym2QJy2BzMBqDXp-XtzJBM"", ""'SPGG'!D3:D139""),0))"),2.958)</f>
        <v>2.9580000000000002</v>
      </c>
      <c r="AD72" s="23">
        <f ca="1">IFERROR(__xludf.DUMMYFUNCTION("INDEX(IMPORTRANGE(""17pNv02DXDpQT9S3w4-QeNym2QJy2BzMBqDXp-XtzJBM"", ""'SPGG'!BL3:BL139""),MATCH($D72,IMPORTRANGE(""17pNv02DXDpQT9S3w4-QeNym2QJy2BzMBqDXp-XtzJBM"", ""'SPGG'!D3:D139""),0))"),0.451999999999999)</f>
        <v>0.45199999999999901</v>
      </c>
      <c r="AE72" s="23">
        <f ca="1">IFERROR(__xludf.DUMMYFUNCTION("INDEX(IMPORTRANGE(""17pNv02DXDpQT9S3w4-QeNym2QJy2BzMBqDXp-XtzJBM"", ""'SPGG'!BM3:BM139""),MATCH($D72,IMPORTRANGE(""17pNv02DXDpQT9S3w4-QeNym2QJy2BzMBqDXp-XtzJBM"", ""'SPGG'!D3:D139""),0))"),2.36899999999999)</f>
        <v>2.36899999999999</v>
      </c>
    </row>
    <row r="73" spans="1:31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1" t="s">
        <v>361</v>
      </c>
      <c r="P73" s="11">
        <v>45565</v>
      </c>
      <c r="Q73" s="23">
        <v>15.26</v>
      </c>
      <c r="R73" s="23">
        <v>15.26</v>
      </c>
      <c r="S73" s="23">
        <v>4.05</v>
      </c>
      <c r="T73" s="2">
        <v>19.010000000000002</v>
      </c>
      <c r="U73" s="2">
        <v>19.11</v>
      </c>
      <c r="V73" s="2">
        <v>19.510000000000002</v>
      </c>
      <c r="W73" s="2">
        <v>19.510000000000002</v>
      </c>
      <c r="X73" s="23">
        <v>9.49</v>
      </c>
      <c r="Y73" s="23">
        <v>20.9</v>
      </c>
      <c r="Z73" s="23">
        <f ca="1">IFERROR(__xludf.DUMMYFUNCTION("INDEX(IMPORTRANGE(""17pNv02DXDpQT9S3w4-QeNym2QJy2BzMBqDXp-XtzJBM"", ""'SPGG'!BH3:BH139""),MATCH($D73,IMPORTRANGE(""17pNv02DXDpQT9S3w4-QeNym2QJy2BzMBqDXp-XtzJBM"", ""'SPGG'!D3:D139""),0))"),23.06)</f>
        <v>23.06</v>
      </c>
      <c r="AA73" s="23">
        <f ca="1">IFERROR(__xludf.DUMMYFUNCTION("INDEX(IMPORTRANGE(""17pNv02DXDpQT9S3w4-QeNym2QJy2BzMBqDXp-XtzJBM"", ""'SPGG'!BI3:BI139""),MATCH($D73,IMPORTRANGE(""17pNv02DXDpQT9S3w4-QeNym2QJy2BzMBqDXp-XtzJBM"", ""'SPGG'!D3:D139""),0))"),26.1)</f>
        <v>26.1</v>
      </c>
      <c r="AB73" s="23">
        <f ca="1">IFERROR(__xludf.DUMMYFUNCTION("INDEX(IMPORTRANGE(""17pNv02DXDpQT9S3w4-QeNym2QJy2BzMBqDXp-XtzJBM"", ""'SPGG'!BJ3:BJ139""),MATCH($D73,IMPORTRANGE(""17pNv02DXDpQT9S3w4-QeNym2QJy2BzMBqDXp-XtzJBM"", ""'SPGG'!D3:D139""),0))"),19.01)</f>
        <v>19.010000000000002</v>
      </c>
      <c r="AC73" s="23">
        <f ca="1">IFERROR(__xludf.DUMMYFUNCTION("INDEX(IMPORTRANGE(""17pNv02DXDpQT9S3w4-QeNym2QJy2BzMBqDXp-XtzJBM"", ""'SPGG'!BK3:BK139""),MATCH($D73,IMPORTRANGE(""17pNv02DXDpQT9S3w4-QeNym2QJy2BzMBqDXp-XtzJBM"", ""'SPGG'!D3:D139""),0))"),7.8)</f>
        <v>7.8</v>
      </c>
      <c r="AD73" s="23">
        <f ca="1">IFERROR(__xludf.DUMMYFUNCTION("INDEX(IMPORTRANGE(""17pNv02DXDpQT9S3w4-QeNym2QJy2BzMBqDXp-XtzJBM"", ""'SPGG'!BL3:BL139""),MATCH($D73,IMPORTRANGE(""17pNv02DXDpQT9S3w4-QeNym2QJy2BzMBqDXp-XtzJBM"", ""'SPGG'!D3:D139""),0))"),14.666)</f>
        <v>14.666</v>
      </c>
      <c r="AE73" s="23">
        <f ca="1">IFERROR(__xludf.DUMMYFUNCTION("INDEX(IMPORTRANGE(""17pNv02DXDpQT9S3w4-QeNym2QJy2BzMBqDXp-XtzJBM"", ""'SPGG'!BM3:BM139""),MATCH($D73,IMPORTRANGE(""17pNv02DXDpQT9S3w4-QeNym2QJy2BzMBqDXp-XtzJBM"", ""'SPGG'!D3:D139""),0))"),14.648)</f>
        <v>14.648</v>
      </c>
    </row>
    <row r="74" spans="1:31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" t="s">
        <v>363</v>
      </c>
      <c r="P74" s="2" t="s">
        <v>132</v>
      </c>
      <c r="Q74" s="254"/>
      <c r="R74" s="254"/>
      <c r="S74" s="30" t="str">
        <f ca="1">IFERROR(__xludf.DUMMYFUNCTION("INDEX(IMPORTRANGE(""17pNv02DXDpQT9S3w4-QeNym2QJy2BzMBqDXp-XtzJBM"", ""'SPGG'!BG3:BG139""),MATCH($D74,IMPORTRANGE(""17pNv02DXDpQT9S3w4-QeNym2QJy2BzMBqDXp-XtzJBM"", ""'SPGG'!D3:D139""),0))"),"")</f>
        <v/>
      </c>
      <c r="T74" s="1"/>
      <c r="U74" s="1"/>
      <c r="V74" s="1"/>
      <c r="W74" s="1"/>
      <c r="X74" s="1"/>
      <c r="Y74" s="2"/>
      <c r="Z74" s="12">
        <f ca="1">IFERROR(__xludf.DUMMYFUNCTION("INDEX(IMPORTRANGE(""17pNv02DXDpQT9S3w4-QeNym2QJy2BzMBqDXp-XtzJBM"", ""'SPGG'!BH3:BH139""),MATCH($D74,IMPORTRANGE(""17pNv02DXDpQT9S3w4-QeNym2QJy2BzMBqDXp-XtzJBM"", ""'SPGG'!D3:D139""),0))"),0)</f>
        <v>0</v>
      </c>
      <c r="AA74" s="12">
        <f ca="1">IFERROR(__xludf.DUMMYFUNCTION("INDEX(IMPORTRANGE(""17pNv02DXDpQT9S3w4-QeNym2QJy2BzMBqDXp-XtzJBM"", ""'SPGG'!BI3:BI139""),MATCH($D74,IMPORTRANGE(""17pNv02DXDpQT9S3w4-QeNym2QJy2BzMBqDXp-XtzJBM"", ""'SPGG'!D3:D139""),0))"),28)</f>
        <v>28</v>
      </c>
      <c r="AB74" s="12">
        <f ca="1">IFERROR(__xludf.DUMMYFUNCTION("INDEX(IMPORTRANGE(""17pNv02DXDpQT9S3w4-QeNym2QJy2BzMBqDXp-XtzJBM"", ""'SPGG'!BJ3:BJ139""),MATCH($D74,IMPORTRANGE(""17pNv02DXDpQT9S3w4-QeNym2QJy2BzMBqDXp-XtzJBM"", ""'SPGG'!D3:D139""),0))"),0)</f>
        <v>0</v>
      </c>
      <c r="AC74" s="12">
        <f ca="1">IFERROR(__xludf.DUMMYFUNCTION("INDEX(IMPORTRANGE(""17pNv02DXDpQT9S3w4-QeNym2QJy2BzMBqDXp-XtzJBM"", ""'SPGG'!BK3:BK139""),MATCH($D74,IMPORTRANGE(""17pNv02DXDpQT9S3w4-QeNym2QJy2BzMBqDXp-XtzJBM"", ""'SPGG'!D3:D139""),0))"),22690)</f>
        <v>22690</v>
      </c>
      <c r="AD74" s="12">
        <f ca="1">IFERROR(__xludf.DUMMYFUNCTION("INDEX(IMPORTRANGE(""17pNv02DXDpQT9S3w4-QeNym2QJy2BzMBqDXp-XtzJBM"", ""'SPGG'!BL3:BL139""),MATCH($D74,IMPORTRANGE(""17pNv02DXDpQT9S3w4-QeNym2QJy2BzMBqDXp-XtzJBM"", ""'SPGG'!D3:D139""),0))"),4751)</f>
        <v>4751</v>
      </c>
      <c r="AE74" s="12">
        <f ca="1">IFERROR(__xludf.DUMMYFUNCTION("INDEX(IMPORTRANGE(""17pNv02DXDpQT9S3w4-QeNym2QJy2BzMBqDXp-XtzJBM"", ""'SPGG'!BM3:BM139""),MATCH($D74,IMPORTRANGE(""17pNv02DXDpQT9S3w4-QeNym2QJy2BzMBqDXp-XtzJBM"", ""'SPGG'!D3:D139""),0))"),20196)</f>
        <v>20196</v>
      </c>
    </row>
    <row r="75" spans="1:31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" t="s">
        <v>363</v>
      </c>
      <c r="P75" s="2" t="s">
        <v>132</v>
      </c>
      <c r="Q75" s="254"/>
      <c r="R75" s="254"/>
      <c r="S75" s="30">
        <f ca="1">IFERROR(__xludf.DUMMYFUNCTION("INDEX(IMPORTRANGE(""17pNv02DXDpQT9S3w4-QeNym2QJy2BzMBqDXp-XtzJBM"", ""'SPGG'!BG3:BG139""),MATCH($D75,IMPORTRANGE(""17pNv02DXDpQT9S3w4-QeNym2QJy2BzMBqDXp-XtzJBM"", ""'SPGG'!D3:D139""),0))"),137)</f>
        <v>137</v>
      </c>
      <c r="T75" s="1"/>
      <c r="U75" s="1"/>
      <c r="V75" s="1"/>
      <c r="W75" s="1"/>
      <c r="X75" s="1"/>
      <c r="Y75" s="9">
        <v>8261</v>
      </c>
      <c r="Z75" s="12">
        <f ca="1">IFERROR(__xludf.DUMMYFUNCTION("INDEX(IMPORTRANGE(""17pNv02DXDpQT9S3w4-QeNym2QJy2BzMBqDXp-XtzJBM"", ""'SPGG'!BH3:BH139""),MATCH($D75,IMPORTRANGE(""17pNv02DXDpQT9S3w4-QeNym2QJy2BzMBqDXp-XtzJBM"", ""'SPGG'!D3:D139""),0))"),4161.7)</f>
        <v>4161.7</v>
      </c>
      <c r="AA75" s="12">
        <f ca="1">IFERROR(__xludf.DUMMYFUNCTION("INDEX(IMPORTRANGE(""17pNv02DXDpQT9S3w4-QeNym2QJy2BzMBqDXp-XtzJBM"", ""'SPGG'!BI3:BI139""),MATCH($D75,IMPORTRANGE(""17pNv02DXDpQT9S3w4-QeNym2QJy2BzMBqDXp-XtzJBM"", ""'SPGG'!D3:D139""),0))"),4560.7)</f>
        <v>4560.7</v>
      </c>
      <c r="AB75" s="12">
        <f ca="1">IFERROR(__xludf.DUMMYFUNCTION("INDEX(IMPORTRANGE(""17pNv02DXDpQT9S3w4-QeNym2QJy2BzMBqDXp-XtzJBM"", ""'SPGG'!BJ3:BJ139""),MATCH($D75,IMPORTRANGE(""17pNv02DXDpQT9S3w4-QeNym2QJy2BzMBqDXp-XtzJBM"", ""'SPGG'!D3:D139""),0))"),431)</f>
        <v>431</v>
      </c>
      <c r="AC75" s="12">
        <f ca="1">IFERROR(__xludf.DUMMYFUNCTION("INDEX(IMPORTRANGE(""17pNv02DXDpQT9S3w4-QeNym2QJy2BzMBqDXp-XtzJBM"", ""'SPGG'!BK3:BK139""),MATCH($D75,IMPORTRANGE(""17pNv02DXDpQT9S3w4-QeNym2QJy2BzMBqDXp-XtzJBM"", ""'SPGG'!D3:D139""),0))"),14162)</f>
        <v>14162</v>
      </c>
      <c r="AD75" s="12">
        <f ca="1">IFERROR(__xludf.DUMMYFUNCTION("INDEX(IMPORTRANGE(""17pNv02DXDpQT9S3w4-QeNym2QJy2BzMBqDXp-XtzJBM"", ""'SPGG'!BL3:BL139""),MATCH($D75,IMPORTRANGE(""17pNv02DXDpQT9S3w4-QeNym2QJy2BzMBqDXp-XtzJBM"", ""'SPGG'!D3:D139""),0))"),1766)</f>
        <v>1766</v>
      </c>
      <c r="AE75" s="12">
        <f ca="1">IFERROR(__xludf.DUMMYFUNCTION("INDEX(IMPORTRANGE(""17pNv02DXDpQT9S3w4-QeNym2QJy2BzMBqDXp-XtzJBM"", ""'SPGG'!BM3:BM139""),MATCH($D75,IMPORTRANGE(""17pNv02DXDpQT9S3w4-QeNym2QJy2BzMBqDXp-XtzJBM"", ""'SPGG'!D3:D139""),0))"),4791.05999999999)</f>
        <v>4791.0599999999904</v>
      </c>
    </row>
    <row r="76" spans="1:31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""'SPGG'!BG3:BG139""),MATCH($D76,IMPORTRANGE(""17pNv02DXDpQT9S3w4-QeNym2QJy2BzMBqDXp-XtzJBM"", ""'SPGG'!D3:D139""),0))"),"")</f>
        <v/>
      </c>
      <c r="T76" s="1"/>
      <c r="U76" s="1"/>
      <c r="V76" s="1"/>
      <c r="W76" s="1"/>
      <c r="X76" s="1"/>
      <c r="Y76" s="2"/>
      <c r="Z76" s="12">
        <f ca="1">IFERROR(__xludf.DUMMYFUNCTION("INDEX(IMPORTRANGE(""17pNv02DXDpQT9S3w4-QeNym2QJy2BzMBqDXp-XtzJBM"", ""'SPGG'!BH3:BH139""),MATCH($D76,IMPORTRANGE(""17pNv02DXDpQT9S3w4-QeNym2QJy2BzMBqDXp-XtzJBM"", ""'SPGG'!D3:D139""),0))"),0)</f>
        <v>0</v>
      </c>
      <c r="AA76" s="12">
        <f ca="1">IFERROR(__xludf.DUMMYFUNCTION("INDEX(IMPORTRANGE(""17pNv02DXDpQT9S3w4-QeNym2QJy2BzMBqDXp-XtzJBM"", ""'SPGG'!BI3:BI139""),MATCH($D76,IMPORTRANGE(""17pNv02DXDpQT9S3w4-QeNym2QJy2BzMBqDXp-XtzJBM"", ""'SPGG'!D3:D139""),0))"),0)</f>
        <v>0</v>
      </c>
      <c r="AB76" s="12">
        <f ca="1">IFERROR(__xludf.DUMMYFUNCTION("INDEX(IMPORTRANGE(""17pNv02DXDpQT9S3w4-QeNym2QJy2BzMBqDXp-XtzJBM"", ""'SPGG'!BJ3:BJ139""),MATCH($D76,IMPORTRANGE(""17pNv02DXDpQT9S3w4-QeNym2QJy2BzMBqDXp-XtzJBM"", ""'SPGG'!D3:D139""),0))"),0)</f>
        <v>0</v>
      </c>
      <c r="AC76" s="12">
        <f ca="1">IFERROR(__xludf.DUMMYFUNCTION("INDEX(IMPORTRANGE(""17pNv02DXDpQT9S3w4-QeNym2QJy2BzMBqDXp-XtzJBM"", ""'SPGG'!BK3:BK139""),MATCH($D76,IMPORTRANGE(""17pNv02DXDpQT9S3w4-QeNym2QJy2BzMBqDXp-XtzJBM"", ""'SPGG'!D3:D139""),0))"),0)</f>
        <v>0</v>
      </c>
      <c r="AD76" s="12">
        <f ca="1">IFERROR(__xludf.DUMMYFUNCTION("INDEX(IMPORTRANGE(""17pNv02DXDpQT9S3w4-QeNym2QJy2BzMBqDXp-XtzJBM"", ""'SPGG'!BL3:BL139""),MATCH($D76,IMPORTRANGE(""17pNv02DXDpQT9S3w4-QeNym2QJy2BzMBqDXp-XtzJBM"", ""'SPGG'!D3:D139""),0))"),0)</f>
        <v>0</v>
      </c>
      <c r="AE76" s="12">
        <f ca="1">IFERROR(__xludf.DUMMYFUNCTION("INDEX(IMPORTRANGE(""17pNv02DXDpQT9S3w4-QeNym2QJy2BzMBqDXp-XtzJBM"", ""'SPGG'!BM3:BM139""),MATCH($D76,IMPORTRANGE(""17pNv02DXDpQT9S3w4-QeNym2QJy2BzMBqDXp-XtzJBM"", ""'SPGG'!D3:D139""),0))"),798.46)</f>
        <v>798.46</v>
      </c>
    </row>
    <row r="77" spans="1:31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" t="s">
        <v>363</v>
      </c>
      <c r="P77" s="2" t="s">
        <v>132</v>
      </c>
      <c r="Q77" s="254"/>
      <c r="R77" s="254"/>
      <c r="S77" s="30" t="str">
        <f ca="1">IFERROR(__xludf.DUMMYFUNCTION("INDEX(IMPORTRANGE(""17pNv02DXDpQT9S3w4-QeNym2QJy2BzMBqDXp-XtzJBM"", ""'SPGG'!BG3:BG139""),MATCH($D77,IMPORTRANGE(""17pNv02DXDpQT9S3w4-QeNym2QJy2BzMBqDXp-XtzJBM"", ""'SPGG'!D3:D139""),0))"),"")</f>
        <v/>
      </c>
      <c r="T77" s="4">
        <v>4265.7</v>
      </c>
      <c r="U77" s="4">
        <v>209</v>
      </c>
      <c r="V77" s="4">
        <f>200+U77</f>
        <v>409</v>
      </c>
      <c r="W77" s="4">
        <v>209</v>
      </c>
      <c r="X77" s="217">
        <f>200*5/6+W77</f>
        <v>375.66666666666663</v>
      </c>
      <c r="Y77" s="4">
        <v>5500</v>
      </c>
      <c r="Z77" s="12">
        <f ca="1">IFERROR(__xludf.DUMMYFUNCTION("INDEX(IMPORTRANGE(""17pNv02DXDpQT9S3w4-QeNym2QJy2BzMBqDXp-XtzJBM"", ""'SPGG'!BH3:BH139""),MATCH($D77,IMPORTRANGE(""17pNv02DXDpQT9S3w4-QeNym2QJy2BzMBqDXp-XtzJBM"", ""'SPGG'!D3:D139""),0))"),4161.7)</f>
        <v>4161.7</v>
      </c>
      <c r="AA77" s="12">
        <f ca="1">IFERROR(__xludf.DUMMYFUNCTION("INDEX(IMPORTRANGE(""17pNv02DXDpQT9S3w4-QeNym2QJy2BzMBqDXp-XtzJBM"", ""'SPGG'!BI3:BI139""),MATCH($D77,IMPORTRANGE(""17pNv02DXDpQT9S3w4-QeNym2QJy2BzMBqDXp-XtzJBM"", ""'SPGG'!D3:D139""),0))"),4588.7)</f>
        <v>4588.7</v>
      </c>
      <c r="AB77" s="12">
        <f ca="1">IFERROR(__xludf.DUMMYFUNCTION("INDEX(IMPORTRANGE(""17pNv02DXDpQT9S3w4-QeNym2QJy2BzMBqDXp-XtzJBM"", ""'SPGG'!BJ3:BJ139""),MATCH($D77,IMPORTRANGE(""17pNv02DXDpQT9S3w4-QeNym2QJy2BzMBqDXp-XtzJBM"", ""'SPGG'!D3:D139""),0))"),431)</f>
        <v>431</v>
      </c>
      <c r="AC77" s="12">
        <f ca="1">IFERROR(__xludf.DUMMYFUNCTION("INDEX(IMPORTRANGE(""17pNv02DXDpQT9S3w4-QeNym2QJy2BzMBqDXp-XtzJBM"", ""'SPGG'!BK3:BK139""),MATCH($D77,IMPORTRANGE(""17pNv02DXDpQT9S3w4-QeNym2QJy2BzMBqDXp-XtzJBM"", ""'SPGG'!D3:D139""),0))"),36852)</f>
        <v>36852</v>
      </c>
      <c r="AD77" s="12">
        <f ca="1">IFERROR(__xludf.DUMMYFUNCTION("INDEX(IMPORTRANGE(""17pNv02DXDpQT9S3w4-QeNym2QJy2BzMBqDXp-XtzJBM"", ""'SPGG'!BL3:BL139""),MATCH($D77,IMPORTRANGE(""17pNv02DXDpQT9S3w4-QeNym2QJy2BzMBqDXp-XtzJBM"", ""'SPGG'!D3:D139""),0))"),6517)</f>
        <v>6517</v>
      </c>
      <c r="AE77" s="12">
        <f ca="1">IFERROR(__xludf.DUMMYFUNCTION("INDEX(IMPORTRANGE(""17pNv02DXDpQT9S3w4-QeNym2QJy2BzMBqDXp-XtzJBM"", ""'SPGG'!BM3:BM139""),MATCH($D77,IMPORTRANGE(""17pNv02DXDpQT9S3w4-QeNym2QJy2BzMBqDXp-XtzJBM"", ""'SPGG'!D3:D139""),0))"),25785.5199999999)</f>
        <v>25785.519999999899</v>
      </c>
    </row>
    <row r="78" spans="1:31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7" t="s">
        <v>213</v>
      </c>
      <c r="H78" s="1" t="s">
        <v>214</v>
      </c>
      <c r="I78" s="2" t="s">
        <v>365</v>
      </c>
      <c r="J78" s="7" t="s">
        <v>215</v>
      </c>
      <c r="K78" s="13"/>
      <c r="L78" s="7" t="s">
        <v>216</v>
      </c>
      <c r="M78" s="13"/>
      <c r="N78" s="7" t="s">
        <v>217</v>
      </c>
      <c r="O78" s="7" t="s">
        <v>366</v>
      </c>
      <c r="P78" s="1" t="s">
        <v>218</v>
      </c>
      <c r="Q78" s="36">
        <v>218977806.03</v>
      </c>
      <c r="R78" s="36">
        <v>218977806.03</v>
      </c>
      <c r="S78" s="36">
        <f ca="1">IFERROR(__xludf.DUMMYFUNCTION("INDEX(IMPORTRANGE(""17pNv02DXDpQT9S3w4-QeNym2QJy2BzMBqDXp-XtzJBM"", ""'SPGG'!BG3:BG139""),MATCH($D78,IMPORTRANGE(""17pNv02DXDpQT9S3w4-QeNym2QJy2BzMBqDXp-XtzJBM"", ""'SPGG'!D3:D139""),0))"),76811404.16)</f>
        <v>76811404.159999996</v>
      </c>
      <c r="T78" s="13"/>
      <c r="U78" s="44"/>
      <c r="V78" s="13"/>
      <c r="W78" s="44"/>
      <c r="X78" s="44"/>
      <c r="Y78" s="44"/>
      <c r="Z78" s="36">
        <f ca="1">IFERROR(__xludf.DUMMYFUNCTION("INDEX(IMPORTRANGE(""17pNv02DXDpQT9S3w4-QeNym2QJy2BzMBqDXp-XtzJBM"", ""'SPGG'!BH3:BH139""),MATCH($D78,IMPORTRANGE(""17pNv02DXDpQT9S3w4-QeNym2QJy2BzMBqDXp-XtzJBM"", ""'SPGG'!D3:D139""),0))"),218977806.03)</f>
        <v>218977806.03</v>
      </c>
      <c r="AA78" s="6" t="str">
        <f ca="1">IFERROR(__xludf.DUMMYFUNCTION("INDEX(IMPORTRANGE(""17pNv02DXDpQT9S3w4-QeNym2QJy2BzMBqDXp-XtzJBM"", ""'SPGG'!BI3:BI139""),MATCH($D78,IMPORTRANGE(""17pNv02DXDpQT9S3w4-QeNym2QJy2BzMBqDXp-XtzJBM"", ""'SPGG'!D3:D139""),0))"),"")</f>
        <v/>
      </c>
      <c r="AB78" s="36">
        <f ca="1">IFERROR(__xludf.DUMMYFUNCTION("INDEX(IMPORTRANGE(""17pNv02DXDpQT9S3w4-QeNym2QJy2BzMBqDXp-XtzJBM"", ""'SPGG'!BJ3:BJ139""),MATCH($D78,IMPORTRANGE(""17pNv02DXDpQT9S3w4-QeNym2QJy2BzMBqDXp-XtzJBM"", ""'SPGG'!D3:D139""),0))"),114143754.509999)</f>
        <v>114143754.50999901</v>
      </c>
      <c r="AC78" s="6" t="str">
        <f ca="1">IFERROR(__xludf.DUMMYFUNCTION("INDEX(IMPORTRANGE(""17pNv02DXDpQT9S3w4-QeNym2QJy2BzMBqDXp-XtzJBM"", ""'SPGG'!BK3:BK139""),MATCH($D78,IMPORTRANGE(""17pNv02DXDpQT9S3w4-QeNym2QJy2BzMBqDXp-XtzJBM"", ""'SPGG'!D3:D139""),0))"),"")</f>
        <v/>
      </c>
      <c r="AD78" s="36">
        <f ca="1">IFERROR(__xludf.DUMMYFUNCTION("INDEX(IMPORTRANGE(""17pNv02DXDpQT9S3w4-QeNym2QJy2BzMBqDXp-XtzJBM"", ""'SPGG'!BL3:BL139""),MATCH($D78,IMPORTRANGE(""17pNv02DXDpQT9S3w4-QeNym2QJy2BzMBqDXp-XtzJBM"", ""'SPGG'!D3:D139""),0))"),94520700.1599999)</f>
        <v>94520700.159999907</v>
      </c>
      <c r="AE78" s="36">
        <f ca="1">IFERROR(__xludf.DUMMYFUNCTION("INDEX(IMPORTRANGE(""17pNv02DXDpQT9S3w4-QeNym2QJy2BzMBqDXp-XtzJBM"", ""'SPGG'!BM3:BM139""),MATCH($D78,IMPORTRANGE(""17pNv02DXDpQT9S3w4-QeNym2QJy2BzMBqDXp-XtzJBM"", ""'SPGG'!D3:D139""),0))"),102482409.199999)</f>
        <v>102482409.199999</v>
      </c>
    </row>
    <row r="79" spans="1:31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7" t="s">
        <v>213</v>
      </c>
      <c r="H79" s="1" t="s">
        <v>214</v>
      </c>
      <c r="I79" s="2" t="s">
        <v>365</v>
      </c>
      <c r="J79" s="7" t="s">
        <v>215</v>
      </c>
      <c r="K79" s="13"/>
      <c r="L79" s="7" t="s">
        <v>216</v>
      </c>
      <c r="M79" s="13"/>
      <c r="N79" s="7" t="s">
        <v>217</v>
      </c>
      <c r="O79" s="7" t="s">
        <v>366</v>
      </c>
      <c r="P79" s="1" t="s">
        <v>218</v>
      </c>
      <c r="Q79" s="36">
        <v>131930760</v>
      </c>
      <c r="R79" s="36">
        <v>131930759.79000001</v>
      </c>
      <c r="S79" s="36">
        <f ca="1">IFERROR(__xludf.DUMMYFUNCTION("INDEX(IMPORTRANGE(""17pNv02DXDpQT9S3w4-QeNym2QJy2BzMBqDXp-XtzJBM"", ""'SPGG'!BG3:BG139""),MATCH($D79,IMPORTRANGE(""17pNv02DXDpQT9S3w4-QeNym2QJy2BzMBqDXp-XtzJBM"", ""'SPGG'!D3:D139""),0))"),27954008.09)</f>
        <v>27954008.09</v>
      </c>
      <c r="T79" s="13"/>
      <c r="U79" s="13"/>
      <c r="V79" s="13"/>
      <c r="W79" s="13"/>
      <c r="X79" s="13"/>
      <c r="Y79" s="4"/>
      <c r="Z79" s="36">
        <f ca="1">IFERROR(__xludf.DUMMYFUNCTION("INDEX(IMPORTRANGE(""17pNv02DXDpQT9S3w4-QeNym2QJy2BzMBqDXp-XtzJBM"", ""'SPGG'!BH3:BH139""),MATCH($D79,IMPORTRANGE(""17pNv02DXDpQT9S3w4-QeNym2QJy2BzMBqDXp-XtzJBM"", ""'SPGG'!D3:D139""),0))"),131930759.79)</f>
        <v>131930759.79000001</v>
      </c>
      <c r="AA79" s="6" t="str">
        <f ca="1">IFERROR(__xludf.DUMMYFUNCTION("INDEX(IMPORTRANGE(""17pNv02DXDpQT9S3w4-QeNym2QJy2BzMBqDXp-XtzJBM"", ""'SPGG'!BI3:BI139""),MATCH($D79,IMPORTRANGE(""17pNv02DXDpQT9S3w4-QeNym2QJy2BzMBqDXp-XtzJBM"", ""'SPGG'!D3:D139""),0))"),"")</f>
        <v/>
      </c>
      <c r="AB79" s="36">
        <f ca="1">IFERROR(__xludf.DUMMYFUNCTION("INDEX(IMPORTRANGE(""17pNv02DXDpQT9S3w4-QeNym2QJy2BzMBqDXp-XtzJBM"", ""'SPGG'!BJ3:BJ139""),MATCH($D79,IMPORTRANGE(""17pNv02DXDpQT9S3w4-QeNym2QJy2BzMBqDXp-XtzJBM"", ""'SPGG'!D3:D139""),0))"),7403921.82)</f>
        <v>7403921.8200000003</v>
      </c>
      <c r="AC79" s="6" t="str">
        <f ca="1">IFERROR(__xludf.DUMMYFUNCTION("INDEX(IMPORTRANGE(""17pNv02DXDpQT9S3w4-QeNym2QJy2BzMBqDXp-XtzJBM"", ""'SPGG'!BK3:BK139""),MATCH($D79,IMPORTRANGE(""17pNv02DXDpQT9S3w4-QeNym2QJy2BzMBqDXp-XtzJBM"", ""'SPGG'!D3:D139""),0))"),"")</f>
        <v/>
      </c>
      <c r="AD79" s="36">
        <f ca="1">IFERROR(__xludf.DUMMYFUNCTION("INDEX(IMPORTRANGE(""17pNv02DXDpQT9S3w4-QeNym2QJy2BzMBqDXp-XtzJBM"", ""'SPGG'!BL3:BL139""),MATCH($D79,IMPORTRANGE(""17pNv02DXDpQT9S3w4-QeNym2QJy2BzMBqDXp-XtzJBM"", ""'SPGG'!D3:D139""),0))"),19419296.9)</f>
        <v>19419296.899999999</v>
      </c>
      <c r="AE79" s="36">
        <f ca="1">IFERROR(__xludf.DUMMYFUNCTION("INDEX(IMPORTRANGE(""17pNv02DXDpQT9S3w4-QeNym2QJy2BzMBqDXp-XtzJBM"", ""'SPGG'!BM3:BM139""),MATCH($D79,IMPORTRANGE(""17pNv02DXDpQT9S3w4-QeNym2QJy2BzMBqDXp-XtzJBM"", ""'SPGG'!D3:D139""),0))"),13260336.01)</f>
        <v>13260336.01</v>
      </c>
    </row>
    <row r="80" spans="1:31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7" t="s">
        <v>213</v>
      </c>
      <c r="H80" s="1" t="s">
        <v>214</v>
      </c>
      <c r="I80" s="2" t="s">
        <v>365</v>
      </c>
      <c r="J80" s="7" t="s">
        <v>215</v>
      </c>
      <c r="K80" s="13"/>
      <c r="L80" s="7" t="s">
        <v>216</v>
      </c>
      <c r="M80" s="13"/>
      <c r="N80" s="7" t="s">
        <v>217</v>
      </c>
      <c r="O80" s="7" t="s">
        <v>366</v>
      </c>
      <c r="P80" s="1" t="s">
        <v>218</v>
      </c>
      <c r="Q80" s="467">
        <f t="shared" ref="Q80:R80" si="19">Q79/Q78</f>
        <v>0.60248461883815507</v>
      </c>
      <c r="R80" s="467">
        <f t="shared" si="19"/>
        <v>0.60248461787915375</v>
      </c>
      <c r="S80" s="15">
        <f ca="1">IFERROR(__xludf.DUMMYFUNCTION("INDEX(IMPORTRANGE(""17pNv02DXDpQT9S3w4-QeNym2QJy2BzMBqDXp-XtzJBM"", ""'SPGG'!BG3:BG139""),MATCH($D80,IMPORTRANGE(""17pNv02DXDpQT9S3w4-QeNym2QJy2BzMBqDXp-XtzJBM"", ""'SPGG'!D3:D139""),0))"),0.363930439700999)</f>
        <v>0.36393043970099898</v>
      </c>
      <c r="T80" s="4"/>
      <c r="U80" s="14">
        <v>0.06</v>
      </c>
      <c r="V80" s="4"/>
      <c r="W80" s="14">
        <v>0.05</v>
      </c>
      <c r="X80" s="14">
        <v>0.05</v>
      </c>
      <c r="Y80" s="14">
        <v>0.05</v>
      </c>
      <c r="Z80" s="192">
        <f ca="1">IFERROR(__xludf.DUMMYFUNCTION("INDEX(IMPORTRANGE(""17pNv02DXDpQT9S3w4-QeNym2QJy2BzMBqDXp-XtzJBM"", ""'SPGG'!BH3:BH139""),MATCH($D80,IMPORTRANGE(""17pNv02DXDpQT9S3w4-QeNym2QJy2BzMBqDXp-XtzJBM"", ""'SPGG'!D3:D139""),0))"),0.602484617879153)</f>
        <v>0.60248461787915297</v>
      </c>
      <c r="AA80" s="6" t="str">
        <f ca="1">IFERROR(__xludf.DUMMYFUNCTION("INDEX(IMPORTRANGE(""17pNv02DXDpQT9S3w4-QeNym2QJy2BzMBqDXp-XtzJBM"", ""'SPGG'!BI3:BI139""),MATCH($D80,IMPORTRANGE(""17pNv02DXDpQT9S3w4-QeNym2QJy2BzMBqDXp-XtzJBM"", ""'SPGG'!D3:D139""),0))"),"")</f>
        <v/>
      </c>
      <c r="AB80" s="192">
        <f ca="1">IFERROR(__xludf.DUMMYFUNCTION("INDEX(IMPORTRANGE(""17pNv02DXDpQT9S3w4-QeNym2QJy2BzMBqDXp-XtzJBM"", ""'SPGG'!BJ3:BJ139""),MATCH($D80,IMPORTRANGE(""17pNv02DXDpQT9S3w4-QeNym2QJy2BzMBqDXp-XtzJBM"", ""'SPGG'!D3:D139""),0))"),0.0648648877179815)</f>
        <v>6.4864887717981504E-2</v>
      </c>
      <c r="AC80" s="6" t="str">
        <f ca="1">IFERROR(__xludf.DUMMYFUNCTION("INDEX(IMPORTRANGE(""17pNv02DXDpQT9S3w4-QeNym2QJy2BzMBqDXp-XtzJBM"", ""'SPGG'!BK3:BK139""),MATCH($D80,IMPORTRANGE(""17pNv02DXDpQT9S3w4-QeNym2QJy2BzMBqDXp-XtzJBM"", ""'SPGG'!D3:D139""),0))"),"")</f>
        <v/>
      </c>
      <c r="AD80" s="192">
        <f ca="1">IFERROR(__xludf.DUMMYFUNCTION("INDEX(IMPORTRANGE(""17pNv02DXDpQT9S3w4-QeNym2QJy2BzMBqDXp-XtzJBM"", ""'SPGG'!BL3:BL139""),MATCH($D80,IMPORTRANGE(""17pNv02DXDpQT9S3w4-QeNym2QJy2BzMBqDXp-XtzJBM"", ""'SPGG'!D3:D139""),0))"),0.205450201565667)</f>
        <v>0.20545020156566701</v>
      </c>
      <c r="AE80" s="192">
        <f ca="1">IFERROR(__xludf.DUMMYFUNCTION("INDEX(IMPORTRANGE(""17pNv02DXDpQT9S3w4-QeNym2QJy2BzMBqDXp-XtzJBM"", ""'SPGG'!BM3:BM139""),MATCH($D80,IMPORTRANGE(""17pNv02DXDpQT9S3w4-QeNym2QJy2BzMBqDXp-XtzJBM"", ""'SPGG'!D3:D139""),0))"),0.129391337630653)</f>
        <v>0.129391337630653</v>
      </c>
    </row>
    <row r="81" spans="1:31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" t="s">
        <v>363</v>
      </c>
      <c r="P81" s="2" t="s">
        <v>132</v>
      </c>
      <c r="Q81" s="5">
        <v>0</v>
      </c>
      <c r="R81" s="5">
        <v>0</v>
      </c>
      <c r="S81" s="5">
        <f ca="1">IFERROR(__xludf.DUMMYFUNCTION("INDEX(IMPORTRANGE(""17pNv02DXDpQT9S3w4-QeNym2QJy2BzMBqDXp-XtzJBM"", ""'SPGG'!BG3:BG139""),MATCH($D81,IMPORTRANGE(""17pNv02DXDpQT9S3w4-QeNym2QJy2BzMBqDXp-XtzJBM"", ""'SPGG'!D3:D139""),0))"),0)</f>
        <v>0</v>
      </c>
      <c r="T81" s="1"/>
      <c r="U81" s="1"/>
      <c r="V81" s="1"/>
      <c r="W81" s="1"/>
      <c r="X81" s="1"/>
      <c r="Y81" s="2"/>
      <c r="Z81" s="12">
        <f ca="1">IFERROR(__xludf.DUMMYFUNCTION("INDEX(IMPORTRANGE(""17pNv02DXDpQT9S3w4-QeNym2QJy2BzMBqDXp-XtzJBM"", ""'SPGG'!BH3:BH139""),MATCH($D81,IMPORTRANGE(""17pNv02DXDpQT9S3w4-QeNym2QJy2BzMBqDXp-XtzJBM"", ""'SPGG'!D3:D139""),0))"),4)</f>
        <v>4</v>
      </c>
      <c r="AA81" s="12">
        <f ca="1">IFERROR(__xludf.DUMMYFUNCTION("INDEX(IMPORTRANGE(""17pNv02DXDpQT9S3w4-QeNym2QJy2BzMBqDXp-XtzJBM"", ""'SPGG'!BI3:BI139""),MATCH($D81,IMPORTRANGE(""17pNv02DXDpQT9S3w4-QeNym2QJy2BzMBqDXp-XtzJBM"", ""'SPGG'!D3:D139""),0))"),4)</f>
        <v>4</v>
      </c>
      <c r="AB81" s="12">
        <f ca="1">IFERROR(__xludf.DUMMYFUNCTION("INDEX(IMPORTRANGE(""17pNv02DXDpQT9S3w4-QeNym2QJy2BzMBqDXp-XtzJBM"", ""'SPGG'!BJ3:BJ139""),MATCH($D81,IMPORTRANGE(""17pNv02DXDpQT9S3w4-QeNym2QJy2BzMBqDXp-XtzJBM"", ""'SPGG'!D3:D139""),0))"),86)</f>
        <v>86</v>
      </c>
      <c r="AC81" s="12">
        <f ca="1">IFERROR(__xludf.DUMMYFUNCTION("INDEX(IMPORTRANGE(""17pNv02DXDpQT9S3w4-QeNym2QJy2BzMBqDXp-XtzJBM"", ""'SPGG'!BK3:BK139""),MATCH($D81,IMPORTRANGE(""17pNv02DXDpQT9S3w4-QeNym2QJy2BzMBqDXp-XtzJBM"", ""'SPGG'!D3:D139""),0))"),135)</f>
        <v>135</v>
      </c>
      <c r="AD81" s="12">
        <f ca="1">IFERROR(__xludf.DUMMYFUNCTION("INDEX(IMPORTRANGE(""17pNv02DXDpQT9S3w4-QeNym2QJy2BzMBqDXp-XtzJBM"", ""'SPGG'!BL3:BL139""),MATCH($D81,IMPORTRANGE(""17pNv02DXDpQT9S3w4-QeNym2QJy2BzMBqDXp-XtzJBM"", ""'SPGG'!D3:D139""),0))"),31)</f>
        <v>31</v>
      </c>
      <c r="AE81" s="12">
        <f ca="1">IFERROR(__xludf.DUMMYFUNCTION("INDEX(IMPORTRANGE(""17pNv02DXDpQT9S3w4-QeNym2QJy2BzMBqDXp-XtzJBM"", ""'SPGG'!BM3:BM139""),MATCH($D81,IMPORTRANGE(""17pNv02DXDpQT9S3w4-QeNym2QJy2BzMBqDXp-XtzJBM"", ""'SPGG'!D3:D139""),0))"),34)</f>
        <v>34</v>
      </c>
    </row>
    <row r="82" spans="1:31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" t="s">
        <v>363</v>
      </c>
      <c r="P82" s="2" t="s">
        <v>132</v>
      </c>
      <c r="Q82" s="5">
        <v>92</v>
      </c>
      <c r="R82" s="5">
        <v>242</v>
      </c>
      <c r="S82" s="5">
        <f ca="1">IFERROR(__xludf.DUMMYFUNCTION("INDEX(IMPORTRANGE(""17pNv02DXDpQT9S3w4-QeNym2QJy2BzMBqDXp-XtzJBM"", ""'SPGG'!BG3:BG139""),MATCH($D82,IMPORTRANGE(""17pNv02DXDpQT9S3w4-QeNym2QJy2BzMBqDXp-XtzJBM"", ""'SPGG'!D3:D139""),0))"),192)</f>
        <v>192</v>
      </c>
      <c r="T82" s="1"/>
      <c r="U82" s="1"/>
      <c r="V82" s="1"/>
      <c r="W82" s="1"/>
      <c r="X82" s="1"/>
      <c r="Y82" s="1"/>
      <c r="Z82" s="12">
        <f ca="1">IFERROR(__xludf.DUMMYFUNCTION("INDEX(IMPORTRANGE(""17pNv02DXDpQT9S3w4-QeNym2QJy2BzMBqDXp-XtzJBM"", ""'SPGG'!BH3:BH139""),MATCH($D82,IMPORTRANGE(""17pNv02DXDpQT9S3w4-QeNym2QJy2BzMBqDXp-XtzJBM"", ""'SPGG'!D3:D139""),0))"),125)</f>
        <v>125</v>
      </c>
      <c r="AA82" s="12">
        <f ca="1">IFERROR(__xludf.DUMMYFUNCTION("INDEX(IMPORTRANGE(""17pNv02DXDpQT9S3w4-QeNym2QJy2BzMBqDXp-XtzJBM"", ""'SPGG'!BI3:BI139""),MATCH($D82,IMPORTRANGE(""17pNv02DXDpQT9S3w4-QeNym2QJy2BzMBqDXp-XtzJBM"", ""'SPGG'!D3:D139""),0))"),275)</f>
        <v>275</v>
      </c>
      <c r="AB82" s="12">
        <f ca="1">IFERROR(__xludf.DUMMYFUNCTION("INDEX(IMPORTRANGE(""17pNv02DXDpQT9S3w4-QeNym2QJy2BzMBqDXp-XtzJBM"", ""'SPGG'!BJ3:BJ139""),MATCH($D82,IMPORTRANGE(""17pNv02DXDpQT9S3w4-QeNym2QJy2BzMBqDXp-XtzJBM"", ""'SPGG'!D3:D139""),0))"),34)</f>
        <v>34</v>
      </c>
      <c r="AC82" s="12">
        <f ca="1">IFERROR(__xludf.DUMMYFUNCTION("INDEX(IMPORTRANGE(""17pNv02DXDpQT9S3w4-QeNym2QJy2BzMBqDXp-XtzJBM"", ""'SPGG'!BK3:BK139""),MATCH($D82,IMPORTRANGE(""17pNv02DXDpQT9S3w4-QeNym2QJy2BzMBqDXp-XtzJBM"", ""'SPGG'!D3:D139""),0))"),132)</f>
        <v>132</v>
      </c>
      <c r="AD82" s="12">
        <f ca="1">IFERROR(__xludf.DUMMYFUNCTION("INDEX(IMPORTRANGE(""17pNv02DXDpQT9S3w4-QeNym2QJy2BzMBqDXp-XtzJBM"", ""'SPGG'!BL3:BL139""),MATCH($D82,IMPORTRANGE(""17pNv02DXDpQT9S3w4-QeNym2QJy2BzMBqDXp-XtzJBM"", ""'SPGG'!D3:D139""),0))"),27)</f>
        <v>27</v>
      </c>
      <c r="AE82" s="12">
        <f ca="1">IFERROR(__xludf.DUMMYFUNCTION("INDEX(IMPORTRANGE(""17pNv02DXDpQT9S3w4-QeNym2QJy2BzMBqDXp-XtzJBM"", ""'SPGG'!BM3:BM139""),MATCH($D82,IMPORTRANGE(""17pNv02DXDpQT9S3w4-QeNym2QJy2BzMBqDXp-XtzJBM"", ""'SPGG'!D3:D139""),0))"),60)</f>
        <v>60</v>
      </c>
    </row>
    <row r="83" spans="1:31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" t="s">
        <v>363</v>
      </c>
      <c r="P83" s="2" t="s">
        <v>132</v>
      </c>
      <c r="Q83" s="12">
        <f t="shared" ref="Q83:R83" si="20">Q81+Q82</f>
        <v>92</v>
      </c>
      <c r="R83" s="12">
        <f t="shared" si="20"/>
        <v>242</v>
      </c>
      <c r="S83" s="12">
        <f ca="1">IFERROR(__xludf.DUMMYFUNCTION("INDEX(IMPORTRANGE(""17pNv02DXDpQT9S3w4-QeNym2QJy2BzMBqDXp-XtzJBM"", ""'SPGG'!BG3:BG139""),MATCH($D83,IMPORTRANGE(""17pNv02DXDpQT9S3w4-QeNym2QJy2BzMBqDXp-XtzJBM"", ""'SPGG'!D3:D139""),0))"),192)</f>
        <v>192</v>
      </c>
      <c r="T83" s="4">
        <v>240</v>
      </c>
      <c r="U83" s="4">
        <v>80</v>
      </c>
      <c r="V83" s="4">
        <v>170</v>
      </c>
      <c r="W83" s="4">
        <v>50</v>
      </c>
      <c r="X83" s="217">
        <f>(90-W83)*5/6+W83</f>
        <v>83.333333333333343</v>
      </c>
      <c r="Y83" s="4">
        <v>500</v>
      </c>
      <c r="Z83" s="12">
        <f ca="1">IFERROR(__xludf.DUMMYFUNCTION("INDEX(IMPORTRANGE(""17pNv02DXDpQT9S3w4-QeNym2QJy2BzMBqDXp-XtzJBM"", ""'SPGG'!BH3:BH139""),MATCH($D83,IMPORTRANGE(""17pNv02DXDpQT9S3w4-QeNym2QJy2BzMBqDXp-XtzJBM"", ""'SPGG'!D3:D139""),0))"),129)</f>
        <v>129</v>
      </c>
      <c r="AA83" s="12">
        <f ca="1">IFERROR(__xludf.DUMMYFUNCTION("INDEX(IMPORTRANGE(""17pNv02DXDpQT9S3w4-QeNym2QJy2BzMBqDXp-XtzJBM"", ""'SPGG'!BI3:BI139""),MATCH($D83,IMPORTRANGE(""17pNv02DXDpQT9S3w4-QeNym2QJy2BzMBqDXp-XtzJBM"", ""'SPGG'!D3:D139""),0))"),279)</f>
        <v>279</v>
      </c>
      <c r="AB83" s="12">
        <f ca="1">IFERROR(__xludf.DUMMYFUNCTION("INDEX(IMPORTRANGE(""17pNv02DXDpQT9S3w4-QeNym2QJy2BzMBqDXp-XtzJBM"", ""'SPGG'!BJ3:BJ139""),MATCH($D83,IMPORTRANGE(""17pNv02DXDpQT9S3w4-QeNym2QJy2BzMBqDXp-XtzJBM"", ""'SPGG'!D3:D139""),0))"),120)</f>
        <v>120</v>
      </c>
      <c r="AC83" s="12">
        <f ca="1">IFERROR(__xludf.DUMMYFUNCTION("INDEX(IMPORTRANGE(""17pNv02DXDpQT9S3w4-QeNym2QJy2BzMBqDXp-XtzJBM"", ""'SPGG'!BK3:BK139""),MATCH($D83,IMPORTRANGE(""17pNv02DXDpQT9S3w4-QeNym2QJy2BzMBqDXp-XtzJBM"", ""'SPGG'!D3:D139""),0))"),267)</f>
        <v>267</v>
      </c>
      <c r="AD83" s="12">
        <f ca="1">IFERROR(__xludf.DUMMYFUNCTION("INDEX(IMPORTRANGE(""17pNv02DXDpQT9S3w4-QeNym2QJy2BzMBqDXp-XtzJBM"", ""'SPGG'!BL3:BL139""),MATCH($D83,IMPORTRANGE(""17pNv02DXDpQT9S3w4-QeNym2QJy2BzMBqDXp-XtzJBM"", ""'SPGG'!D3:D139""),0))"),58)</f>
        <v>58</v>
      </c>
      <c r="AE83" s="12">
        <f ca="1">IFERROR(__xludf.DUMMYFUNCTION("INDEX(IMPORTRANGE(""17pNv02DXDpQT9S3w4-QeNym2QJy2BzMBqDXp-XtzJBM"", ""'SPGG'!BM3:BM139""),MATCH($D83,IMPORTRANGE(""17pNv02DXDpQT9S3w4-QeNym2QJy2BzMBqDXp-XtzJBM"", ""'SPGG'!D3:D139""),0))"),94)</f>
        <v>94</v>
      </c>
    </row>
    <row r="84" spans="1:31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" t="s">
        <v>363</v>
      </c>
      <c r="P84" s="2" t="s">
        <v>63</v>
      </c>
      <c r="Q84" s="12">
        <v>35</v>
      </c>
      <c r="R84" s="12">
        <v>74</v>
      </c>
      <c r="S84" s="12">
        <f ca="1">IFERROR(__xludf.DUMMYFUNCTION("INDEX(IMPORTRANGE(""17pNv02DXDpQT9S3w4-QeNym2QJy2BzMBqDXp-XtzJBM"", ""'SPGG'!BG3:BG139""),MATCH($D84,IMPORTRANGE(""17pNv02DXDpQT9S3w4-QeNym2QJy2BzMBqDXp-XtzJBM"", ""'SPGG'!D3:D139""),0))"),65)</f>
        <v>65</v>
      </c>
      <c r="T84" s="13"/>
      <c r="U84" s="13"/>
      <c r="V84" s="13"/>
      <c r="W84" s="13"/>
      <c r="X84" s="13"/>
      <c r="Y84" s="4"/>
      <c r="Z84" s="12">
        <f ca="1">IFERROR(__xludf.DUMMYFUNCTION("INDEX(IMPORTRANGE(""17pNv02DXDpQT9S3w4-QeNym2QJy2BzMBqDXp-XtzJBM"", ""'SPGG'!BH3:BH139""),MATCH($D84,IMPORTRANGE(""17pNv02DXDpQT9S3w4-QeNym2QJy2BzMBqDXp-XtzJBM"", ""'SPGG'!D3:D139""),0))"),33)</f>
        <v>33</v>
      </c>
      <c r="AA84" s="12">
        <f ca="1">IFERROR(__xludf.DUMMYFUNCTION("INDEX(IMPORTRANGE(""17pNv02DXDpQT9S3w4-QeNym2QJy2BzMBqDXp-XtzJBM"", ""'SPGG'!BI3:BI139""),MATCH($D84,IMPORTRANGE(""17pNv02DXDpQT9S3w4-QeNym2QJy2BzMBqDXp-XtzJBM"", ""'SPGG'!D3:D139""),0))"),66)</f>
        <v>66</v>
      </c>
      <c r="AB84" s="12">
        <f ca="1">IFERROR(__xludf.DUMMYFUNCTION("INDEX(IMPORTRANGE(""17pNv02DXDpQT9S3w4-QeNym2QJy2BzMBqDXp-XtzJBM"", ""'SPGG'!BJ3:BJ139""),MATCH($D84,IMPORTRANGE(""17pNv02DXDpQT9S3w4-QeNym2QJy2BzMBqDXp-XtzJBM"", ""'SPGG'!D3:D139""),0))"),44)</f>
        <v>44</v>
      </c>
      <c r="AC84" s="12">
        <f ca="1">IFERROR(__xludf.DUMMYFUNCTION("INDEX(IMPORTRANGE(""17pNv02DXDpQT9S3w4-QeNym2QJy2BzMBqDXp-XtzJBM"", ""'SPGG'!BK3:BK139""),MATCH($D84,IMPORTRANGE(""17pNv02DXDpQT9S3w4-QeNym2QJy2BzMBqDXp-XtzJBM"", ""'SPGG'!D3:D139""),0))"),82)</f>
        <v>82</v>
      </c>
      <c r="AD84" s="12">
        <f ca="1">IFERROR(__xludf.DUMMYFUNCTION("INDEX(IMPORTRANGE(""17pNv02DXDpQT9S3w4-QeNym2QJy2BzMBqDXp-XtzJBM"", ""'SPGG'!BL3:BL139""),MATCH($D84,IMPORTRANGE(""17pNv02DXDpQT9S3w4-QeNym2QJy2BzMBqDXp-XtzJBM"", ""'SPGG'!D3:D139""),0))"),44)</f>
        <v>44</v>
      </c>
      <c r="AE84" s="12">
        <f ca="1">IFERROR(__xludf.DUMMYFUNCTION("INDEX(IMPORTRANGE(""17pNv02DXDpQT9S3w4-QeNym2QJy2BzMBqDXp-XtzJBM"", ""'SPGG'!BM3:BM139""),MATCH($D84,IMPORTRANGE(""17pNv02DXDpQT9S3w4-QeNym2QJy2BzMBqDXp-XtzJBM"", ""'SPGG'!D3:D139""),0))"),78)</f>
        <v>78</v>
      </c>
    </row>
    <row r="85" spans="1:31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" t="s">
        <v>363</v>
      </c>
      <c r="P85" s="2" t="s">
        <v>63</v>
      </c>
      <c r="Q85" s="12">
        <v>10</v>
      </c>
      <c r="R85" s="12">
        <v>23</v>
      </c>
      <c r="S85" s="12">
        <f ca="1">IFERROR(__xludf.DUMMYFUNCTION("INDEX(IMPORTRANGE(""17pNv02DXDpQT9S3w4-QeNym2QJy2BzMBqDXp-XtzJBM"", ""'SPGG'!BG3:BG139""),MATCH($D85,IMPORTRANGE(""17pNv02DXDpQT9S3w4-QeNym2QJy2BzMBqDXp-XtzJBM"", ""'SPGG'!D3:D139""),0))"),21)</f>
        <v>21</v>
      </c>
      <c r="T85" s="13"/>
      <c r="U85" s="13"/>
      <c r="V85" s="13"/>
      <c r="W85" s="13"/>
      <c r="X85" s="13"/>
      <c r="Y85" s="4"/>
      <c r="Z85" s="12">
        <f ca="1">IFERROR(__xludf.DUMMYFUNCTION("INDEX(IMPORTRANGE(""17pNv02DXDpQT9S3w4-QeNym2QJy2BzMBqDXp-XtzJBM"", ""'SPGG'!BH3:BH139""),MATCH($D85,IMPORTRANGE(""17pNv02DXDpQT9S3w4-QeNym2QJy2BzMBqDXp-XtzJBM"", ""'SPGG'!D3:D139""),0))"),21)</f>
        <v>21</v>
      </c>
      <c r="AA85" s="12">
        <f ca="1">IFERROR(__xludf.DUMMYFUNCTION("INDEX(IMPORTRANGE(""17pNv02DXDpQT9S3w4-QeNym2QJy2BzMBqDXp-XtzJBM"", ""'SPGG'!BI3:BI139""),MATCH($D85,IMPORTRANGE(""17pNv02DXDpQT9S3w4-QeNym2QJy2BzMBqDXp-XtzJBM"", ""'SPGG'!D3:D139""),0))"),32)</f>
        <v>32</v>
      </c>
      <c r="AB85" s="12">
        <f ca="1">IFERROR(__xludf.DUMMYFUNCTION("INDEX(IMPORTRANGE(""17pNv02DXDpQT9S3w4-QeNym2QJy2BzMBqDXp-XtzJBM"", ""'SPGG'!BJ3:BJ139""),MATCH($D85,IMPORTRANGE(""17pNv02DXDpQT9S3w4-QeNym2QJy2BzMBqDXp-XtzJBM"", ""'SPGG'!D3:D139""),0))"),8)</f>
        <v>8</v>
      </c>
      <c r="AC85" s="12">
        <f ca="1">IFERROR(__xludf.DUMMYFUNCTION("INDEX(IMPORTRANGE(""17pNv02DXDpQT9S3w4-QeNym2QJy2BzMBqDXp-XtzJBM"", ""'SPGG'!BK3:BK139""),MATCH($D85,IMPORTRANGE(""17pNv02DXDpQT9S3w4-QeNym2QJy2BzMBqDXp-XtzJBM"", ""'SPGG'!D3:D139""),0))"),21)</f>
        <v>21</v>
      </c>
      <c r="AD85" s="12">
        <f ca="1">IFERROR(__xludf.DUMMYFUNCTION("INDEX(IMPORTRANGE(""17pNv02DXDpQT9S3w4-QeNym2QJy2BzMBqDXp-XtzJBM"", ""'SPGG'!BL3:BL139""),MATCH($D85,IMPORTRANGE(""17pNv02DXDpQT9S3w4-QeNym2QJy2BzMBqDXp-XtzJBM"", ""'SPGG'!D3:D139""),0))"),7)</f>
        <v>7</v>
      </c>
      <c r="AE85" s="12">
        <f ca="1">IFERROR(__xludf.DUMMYFUNCTION("INDEX(IMPORTRANGE(""17pNv02DXDpQT9S3w4-QeNym2QJy2BzMBqDXp-XtzJBM"", ""'SPGG'!BM3:BM139""),MATCH($D85,IMPORTRANGE(""17pNv02DXDpQT9S3w4-QeNym2QJy2BzMBqDXp-XtzJBM"", ""'SPGG'!D3:D139""),0))"),30)</f>
        <v>30</v>
      </c>
    </row>
    <row r="86" spans="1:31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" t="s">
        <v>363</v>
      </c>
      <c r="P86" s="2" t="s">
        <v>63</v>
      </c>
      <c r="Q86" s="12">
        <v>2730</v>
      </c>
      <c r="R86" s="12">
        <v>4964</v>
      </c>
      <c r="S86" s="12">
        <f ca="1">IFERROR(__xludf.DUMMYFUNCTION("INDEX(IMPORTRANGE(""17pNv02DXDpQT9S3w4-QeNym2QJy2BzMBqDXp-XtzJBM"", ""'SPGG'!BG3:BG139""),MATCH($D86,IMPORTRANGE(""17pNv02DXDpQT9S3w4-QeNym2QJy2BzMBqDXp-XtzJBM"", ""'SPGG'!D3:D139""),0))"),4608)</f>
        <v>4608</v>
      </c>
      <c r="T86" s="13"/>
      <c r="U86" s="13"/>
      <c r="V86" s="13"/>
      <c r="W86" s="13"/>
      <c r="X86" s="13"/>
      <c r="Y86" s="4"/>
      <c r="Z86" s="12">
        <f ca="1">IFERROR(__xludf.DUMMYFUNCTION("INDEX(IMPORTRANGE(""17pNv02DXDpQT9S3w4-QeNym2QJy2BzMBqDXp-XtzJBM"", ""'SPGG'!BH3:BH139""),MATCH($D86,IMPORTRANGE(""17pNv02DXDpQT9S3w4-QeNym2QJy2BzMBqDXp-XtzJBM"", ""'SPGG'!D3:D139""),0))"),2667)</f>
        <v>2667</v>
      </c>
      <c r="AA86" s="12">
        <f ca="1">IFERROR(__xludf.DUMMYFUNCTION("INDEX(IMPORTRANGE(""17pNv02DXDpQT9S3w4-QeNym2QJy2BzMBqDXp-XtzJBM"", ""'SPGG'!BI3:BI139""),MATCH($D86,IMPORTRANGE(""17pNv02DXDpQT9S3w4-QeNym2QJy2BzMBqDXp-XtzJBM"", ""'SPGG'!D3:D139""),0))"),5494)</f>
        <v>5494</v>
      </c>
      <c r="AB86" s="12">
        <f ca="1">IFERROR(__xludf.DUMMYFUNCTION("INDEX(IMPORTRANGE(""17pNv02DXDpQT9S3w4-QeNym2QJy2BzMBqDXp-XtzJBM"", ""'SPGG'!BJ3:BJ139""),MATCH($D86,IMPORTRANGE(""17pNv02DXDpQT9S3w4-QeNym2QJy2BzMBqDXp-XtzJBM"", ""'SPGG'!D3:D139""),0))"),3233)</f>
        <v>3233</v>
      </c>
      <c r="AC86" s="12">
        <f ca="1">IFERROR(__xludf.DUMMYFUNCTION("INDEX(IMPORTRANGE(""17pNv02DXDpQT9S3w4-QeNym2QJy2BzMBqDXp-XtzJBM"", ""'SPGG'!BK3:BK139""),MATCH($D86,IMPORTRANGE(""17pNv02DXDpQT9S3w4-QeNym2QJy2BzMBqDXp-XtzJBM"", ""'SPGG'!D3:D139""),0))"),6166)</f>
        <v>6166</v>
      </c>
      <c r="AD86" s="12">
        <f ca="1">IFERROR(__xludf.DUMMYFUNCTION("INDEX(IMPORTRANGE(""17pNv02DXDpQT9S3w4-QeNym2QJy2BzMBqDXp-XtzJBM"", ""'SPGG'!BL3:BL139""),MATCH($D86,IMPORTRANGE(""17pNv02DXDpQT9S3w4-QeNym2QJy2BzMBqDXp-XtzJBM"", ""'SPGG'!D3:D139""),0))"),2946)</f>
        <v>2946</v>
      </c>
      <c r="AE86" s="12">
        <f ca="1">IFERROR(__xludf.DUMMYFUNCTION("INDEX(IMPORTRANGE(""17pNv02DXDpQT9S3w4-QeNym2QJy2BzMBqDXp-XtzJBM"", ""'SPGG'!BM3:BM139""),MATCH($D86,IMPORTRANGE(""17pNv02DXDpQT9S3w4-QeNym2QJy2BzMBqDXp-XtzJBM"", ""'SPGG'!D3:D139""),0))"),5488)</f>
        <v>5488</v>
      </c>
    </row>
    <row r="87" spans="1:31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" t="s">
        <v>363</v>
      </c>
      <c r="P87" s="2" t="s">
        <v>63</v>
      </c>
      <c r="Q87" s="12">
        <v>112</v>
      </c>
      <c r="R87" s="12">
        <v>227</v>
      </c>
      <c r="S87" s="12">
        <f ca="1">IFERROR(__xludf.DUMMYFUNCTION("INDEX(IMPORTRANGE(""17pNv02DXDpQT9S3w4-QeNym2QJy2BzMBqDXp-XtzJBM"", ""'SPGG'!BG3:BG139""),MATCH($D87,IMPORTRANGE(""17pNv02DXDpQT9S3w4-QeNym2QJy2BzMBqDXp-XtzJBM"", ""'SPGG'!D3:D139""),0))"),214)</f>
        <v>214</v>
      </c>
      <c r="T87" s="13"/>
      <c r="U87" s="13"/>
      <c r="V87" s="13"/>
      <c r="W87" s="13"/>
      <c r="X87" s="13"/>
      <c r="Y87" s="4"/>
      <c r="Z87" s="12">
        <f ca="1">IFERROR(__xludf.DUMMYFUNCTION("INDEX(IMPORTRANGE(""17pNv02DXDpQT9S3w4-QeNym2QJy2BzMBqDXp-XtzJBM"", ""'SPGG'!BH3:BH139""),MATCH($D87,IMPORTRANGE(""17pNv02DXDpQT9S3w4-QeNym2QJy2BzMBqDXp-XtzJBM"", ""'SPGG'!D3:D139""),0))"),58)</f>
        <v>58</v>
      </c>
      <c r="AA87" s="12">
        <f ca="1">IFERROR(__xludf.DUMMYFUNCTION("INDEX(IMPORTRANGE(""17pNv02DXDpQT9S3w4-QeNym2QJy2BzMBqDXp-XtzJBM"", ""'SPGG'!BI3:BI139""),MATCH($D87,IMPORTRANGE(""17pNv02DXDpQT9S3w4-QeNym2QJy2BzMBqDXp-XtzJBM"", ""'SPGG'!D3:D139""),0))"),218)</f>
        <v>218</v>
      </c>
      <c r="AB87" s="12">
        <f ca="1">IFERROR(__xludf.DUMMYFUNCTION("INDEX(IMPORTRANGE(""17pNv02DXDpQT9S3w4-QeNym2QJy2BzMBqDXp-XtzJBM"", ""'SPGG'!BJ3:BJ139""),MATCH($D87,IMPORTRANGE(""17pNv02DXDpQT9S3w4-QeNym2QJy2BzMBqDXp-XtzJBM"", ""'SPGG'!D3:D139""),0))"),161)</f>
        <v>161</v>
      </c>
      <c r="AC87" s="12">
        <f ca="1">IFERROR(__xludf.DUMMYFUNCTION("INDEX(IMPORTRANGE(""17pNv02DXDpQT9S3w4-QeNym2QJy2BzMBqDXp-XtzJBM"", ""'SPGG'!BK3:BK139""),MATCH($D87,IMPORTRANGE(""17pNv02DXDpQT9S3w4-QeNym2QJy2BzMBqDXp-XtzJBM"", ""'SPGG'!D3:D139""),0))"),327)</f>
        <v>327</v>
      </c>
      <c r="AD87" s="12">
        <f ca="1">IFERROR(__xludf.DUMMYFUNCTION("INDEX(IMPORTRANGE(""17pNv02DXDpQT9S3w4-QeNym2QJy2BzMBqDXp-XtzJBM"", ""'SPGG'!BL3:BL139""),MATCH($D87,IMPORTRANGE(""17pNv02DXDpQT9S3w4-QeNym2QJy2BzMBqDXp-XtzJBM"", ""'SPGG'!D3:D139""),0))"),156)</f>
        <v>156</v>
      </c>
      <c r="AE87" s="12">
        <f ca="1">IFERROR(__xludf.DUMMYFUNCTION("INDEX(IMPORTRANGE(""17pNv02DXDpQT9S3w4-QeNym2QJy2BzMBqDXp-XtzJBM"", ""'SPGG'!BM3:BM139""),MATCH($D87,IMPORTRANGE(""17pNv02DXDpQT9S3w4-QeNym2QJy2BzMBqDXp-XtzJBM"", ""'SPGG'!D3:D139""),0))"),321)</f>
        <v>321</v>
      </c>
    </row>
    <row r="88" spans="1:31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" t="s">
        <v>363</v>
      </c>
      <c r="P88" s="2" t="s">
        <v>63</v>
      </c>
      <c r="Q88" s="12">
        <v>602</v>
      </c>
      <c r="R88" s="12">
        <v>1060</v>
      </c>
      <c r="S88" s="12">
        <f ca="1">IFERROR(__xludf.DUMMYFUNCTION("INDEX(IMPORTRANGE(""17pNv02DXDpQT9S3w4-QeNym2QJy2BzMBqDXp-XtzJBM"", ""'SPGG'!BG3:BG139""),MATCH($D88,IMPORTRANGE(""17pNv02DXDpQT9S3w4-QeNym2QJy2BzMBqDXp-XtzJBM"", ""'SPGG'!D3:D139""),0))"),975)</f>
        <v>975</v>
      </c>
      <c r="T88" s="13"/>
      <c r="U88" s="13"/>
      <c r="V88" s="13"/>
      <c r="W88" s="13"/>
      <c r="X88" s="13"/>
      <c r="Y88" s="4"/>
      <c r="Z88" s="12">
        <f ca="1">IFERROR(__xludf.DUMMYFUNCTION("INDEX(IMPORTRANGE(""17pNv02DXDpQT9S3w4-QeNym2QJy2BzMBqDXp-XtzJBM"", ""'SPGG'!BH3:BH139""),MATCH($D88,IMPORTRANGE(""17pNv02DXDpQT9S3w4-QeNym2QJy2BzMBqDXp-XtzJBM"", ""'SPGG'!D3:D139""),0))"),0)</f>
        <v>0</v>
      </c>
      <c r="AA88" s="12">
        <f ca="1">IFERROR(__xludf.DUMMYFUNCTION("INDEX(IMPORTRANGE(""17pNv02DXDpQT9S3w4-QeNym2QJy2BzMBqDXp-XtzJBM"", ""'SPGG'!BI3:BI139""),MATCH($D88,IMPORTRANGE(""17pNv02DXDpQT9S3w4-QeNym2QJy2BzMBqDXp-XtzJBM"", ""'SPGG'!D3:D139""),0))"),0)</f>
        <v>0</v>
      </c>
      <c r="AB88" s="12">
        <f ca="1">IFERROR(__xludf.DUMMYFUNCTION("INDEX(IMPORTRANGE(""17pNv02DXDpQT9S3w4-QeNym2QJy2BzMBqDXp-XtzJBM"", ""'SPGG'!BJ3:BJ139""),MATCH($D88,IMPORTRANGE(""17pNv02DXDpQT9S3w4-QeNym2QJy2BzMBqDXp-XtzJBM"", ""'SPGG'!D3:D139""),0))"),0)</f>
        <v>0</v>
      </c>
      <c r="AC88" s="12">
        <f ca="1">IFERROR(__xludf.DUMMYFUNCTION("INDEX(IMPORTRANGE(""17pNv02DXDpQT9S3w4-QeNym2QJy2BzMBqDXp-XtzJBM"", ""'SPGG'!BK3:BK139""),MATCH($D88,IMPORTRANGE(""17pNv02DXDpQT9S3w4-QeNym2QJy2BzMBqDXp-XtzJBM"", ""'SPGG'!D3:D139""),0))"),0)</f>
        <v>0</v>
      </c>
      <c r="AD88" s="12">
        <f ca="1">IFERROR(__xludf.DUMMYFUNCTION("INDEX(IMPORTRANGE(""17pNv02DXDpQT9S3w4-QeNym2QJy2BzMBqDXp-XtzJBM"", ""'SPGG'!BL3:BL139""),MATCH($D88,IMPORTRANGE(""17pNv02DXDpQT9S3w4-QeNym2QJy2BzMBqDXp-XtzJBM"", ""'SPGG'!D3:D139""),0))"),0)</f>
        <v>0</v>
      </c>
      <c r="AE88" s="12">
        <f ca="1">IFERROR(__xludf.DUMMYFUNCTION("INDEX(IMPORTRANGE(""17pNv02DXDpQT9S3w4-QeNym2QJy2BzMBqDXp-XtzJBM"", ""'SPGG'!BM3:BM139""),MATCH($D88,IMPORTRANGE(""17pNv02DXDpQT9S3w4-QeNym2QJy2BzMBqDXp-XtzJBM"", ""'SPGG'!D3:D139""),0))"),0)</f>
        <v>0</v>
      </c>
    </row>
    <row r="89" spans="1:31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" t="s">
        <v>363</v>
      </c>
      <c r="P89" s="2" t="s">
        <v>63</v>
      </c>
      <c r="Q89" s="12">
        <f t="shared" ref="Q89:R89" si="21">SUM(Q84:Q88)</f>
        <v>3489</v>
      </c>
      <c r="R89" s="12">
        <f t="shared" si="21"/>
        <v>6348</v>
      </c>
      <c r="S89" s="12">
        <f ca="1">IFERROR(__xludf.DUMMYFUNCTION("INDEX(IMPORTRANGE(""17pNv02DXDpQT9S3w4-QeNym2QJy2BzMBqDXp-XtzJBM"", ""'SPGG'!BG3:BG139""),MATCH($D89,IMPORTRANGE(""17pNv02DXDpQT9S3w4-QeNym2QJy2BzMBqDXp-XtzJBM"", ""'SPGG'!D3:D139""),0))"),5883)</f>
        <v>5883</v>
      </c>
      <c r="T89" s="12">
        <v>6317</v>
      </c>
      <c r="U89" s="12">
        <v>3472</v>
      </c>
      <c r="V89" s="12">
        <v>6317</v>
      </c>
      <c r="W89" s="12">
        <v>3472</v>
      </c>
      <c r="X89" s="12">
        <f ca="1">+S89*(1+(Y89-R89)/R89)</f>
        <v>5824.6148393194708</v>
      </c>
      <c r="Y89" s="12">
        <v>6285</v>
      </c>
      <c r="Z89" s="12">
        <f ca="1">IFERROR(__xludf.DUMMYFUNCTION("INDEX(IMPORTRANGE(""17pNv02DXDpQT9S3w4-QeNym2QJy2BzMBqDXp-XtzJBM"", ""'SPGG'!BH3:BH139""),MATCH($D89,IMPORTRANGE(""17pNv02DXDpQT9S3w4-QeNym2QJy2BzMBqDXp-XtzJBM"", ""'SPGG'!D3:D139""),0))"),2779)</f>
        <v>2779</v>
      </c>
      <c r="AA89" s="12">
        <f ca="1">IFERROR(__xludf.DUMMYFUNCTION("INDEX(IMPORTRANGE(""17pNv02DXDpQT9S3w4-QeNym2QJy2BzMBqDXp-XtzJBM"", ""'SPGG'!BI3:BI139""),MATCH($D89,IMPORTRANGE(""17pNv02DXDpQT9S3w4-QeNym2QJy2BzMBqDXp-XtzJBM"", ""'SPGG'!D3:D139""),0))"),5810)</f>
        <v>5810</v>
      </c>
      <c r="AB89" s="12">
        <f ca="1">IFERROR(__xludf.DUMMYFUNCTION("INDEX(IMPORTRANGE(""17pNv02DXDpQT9S3w4-QeNym2QJy2BzMBqDXp-XtzJBM"", ""'SPGG'!BJ3:BJ139""),MATCH($D89,IMPORTRANGE(""17pNv02DXDpQT9S3w4-QeNym2QJy2BzMBqDXp-XtzJBM"", ""'SPGG'!D3:D139""),0))"),3446)</f>
        <v>3446</v>
      </c>
      <c r="AC89" s="12">
        <f ca="1">IFERROR(__xludf.DUMMYFUNCTION("INDEX(IMPORTRANGE(""17pNv02DXDpQT9S3w4-QeNym2QJy2BzMBqDXp-XtzJBM"", ""'SPGG'!BK3:BK139""),MATCH($D89,IMPORTRANGE(""17pNv02DXDpQT9S3w4-QeNym2QJy2BzMBqDXp-XtzJBM"", ""'SPGG'!D3:D139""),0))"),6596)</f>
        <v>6596</v>
      </c>
      <c r="AD89" s="12">
        <f ca="1">IFERROR(__xludf.DUMMYFUNCTION("INDEX(IMPORTRANGE(""17pNv02DXDpQT9S3w4-QeNym2QJy2BzMBqDXp-XtzJBM"", ""'SPGG'!BL3:BL139""),MATCH($D89,IMPORTRANGE(""17pNv02DXDpQT9S3w4-QeNym2QJy2BzMBqDXp-XtzJBM"", ""'SPGG'!D3:D139""),0))"),3153)</f>
        <v>3153</v>
      </c>
      <c r="AE89" s="12">
        <f ca="1">IFERROR(__xludf.DUMMYFUNCTION("INDEX(IMPORTRANGE(""17pNv02DXDpQT9S3w4-QeNym2QJy2BzMBqDXp-XtzJBM"", ""'SPGG'!BM3:BM139""),MATCH($D89,IMPORTRANGE(""17pNv02DXDpQT9S3w4-QeNym2QJy2BzMBqDXp-XtzJBM"", ""'SPGG'!D3:D139""),0))"),5917)</f>
        <v>5917</v>
      </c>
    </row>
    <row r="90" spans="1:31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" t="s">
        <v>363</v>
      </c>
      <c r="P90" s="2" t="s">
        <v>132</v>
      </c>
      <c r="Q90" s="12">
        <v>116</v>
      </c>
      <c r="R90" s="12">
        <v>201</v>
      </c>
      <c r="S90" s="12">
        <f ca="1">IFERROR(__xludf.DUMMYFUNCTION("INDEX(IMPORTRANGE(""17pNv02DXDpQT9S3w4-QeNym2QJy2BzMBqDXp-XtzJBM"", ""'SPGG'!BG3:BG139""),MATCH($D90,IMPORTRANGE(""17pNv02DXDpQT9S3w4-QeNym2QJy2BzMBqDXp-XtzJBM"", ""'SPGG'!D3:D139""),0))"),197)</f>
        <v>197</v>
      </c>
      <c r="T90" s="2">
        <v>74</v>
      </c>
      <c r="U90" s="2">
        <v>37</v>
      </c>
      <c r="V90" s="2">
        <v>74</v>
      </c>
      <c r="W90" s="2">
        <v>36</v>
      </c>
      <c r="X90" s="2">
        <v>73</v>
      </c>
      <c r="Y90" s="12">
        <v>221</v>
      </c>
      <c r="Z90" s="12">
        <f ca="1">IFERROR(__xludf.DUMMYFUNCTION("INDEX(IMPORTRANGE(""17pNv02DXDpQT9S3w4-QeNym2QJy2BzMBqDXp-XtzJBM"", ""'SPGG'!BH3:BH139""),MATCH($D90,IMPORTRANGE(""17pNv02DXDpQT9S3w4-QeNym2QJy2BzMBqDXp-XtzJBM"", ""'SPGG'!D3:D139""),0))"),35)</f>
        <v>35</v>
      </c>
      <c r="AA90" s="12">
        <f ca="1">IFERROR(__xludf.DUMMYFUNCTION("INDEX(IMPORTRANGE(""17pNv02DXDpQT9S3w4-QeNym2QJy2BzMBqDXp-XtzJBM"", ""'SPGG'!BI3:BI139""),MATCH($D90,IMPORTRANGE(""17pNv02DXDpQT9S3w4-QeNym2QJy2BzMBqDXp-XtzJBM"", ""'SPGG'!D3:D139""),0))"),106)</f>
        <v>106</v>
      </c>
      <c r="AB90" s="12">
        <f ca="1">IFERROR(__xludf.DUMMYFUNCTION("INDEX(IMPORTRANGE(""17pNv02DXDpQT9S3w4-QeNym2QJy2BzMBqDXp-XtzJBM"", ""'SPGG'!BJ3:BJ139""),MATCH($D90,IMPORTRANGE(""17pNv02DXDpQT9S3w4-QeNym2QJy2BzMBqDXp-XtzJBM"", ""'SPGG'!D3:D139""),0))"),48)</f>
        <v>48</v>
      </c>
      <c r="AC90" s="12">
        <f ca="1">IFERROR(__xludf.DUMMYFUNCTION("INDEX(IMPORTRANGE(""17pNv02DXDpQT9S3w4-QeNym2QJy2BzMBqDXp-XtzJBM"", ""'SPGG'!BK3:BK139""),MATCH($D90,IMPORTRANGE(""17pNv02DXDpQT9S3w4-QeNym2QJy2BzMBqDXp-XtzJBM"", ""'SPGG'!D3:D139""),0))"),93)</f>
        <v>93</v>
      </c>
      <c r="AD90" s="12">
        <f ca="1">IFERROR(__xludf.DUMMYFUNCTION("INDEX(IMPORTRANGE(""17pNv02DXDpQT9S3w4-QeNym2QJy2BzMBqDXp-XtzJBM"", ""'SPGG'!BL3:BL139""),MATCH($D90,IMPORTRANGE(""17pNv02DXDpQT9S3w4-QeNym2QJy2BzMBqDXp-XtzJBM"", ""'SPGG'!D3:D139""),0))"),71)</f>
        <v>71</v>
      </c>
      <c r="AE90" s="12">
        <f ca="1">IFERROR(__xludf.DUMMYFUNCTION("INDEX(IMPORTRANGE(""17pNv02DXDpQT9S3w4-QeNym2QJy2BzMBqDXp-XtzJBM"", ""'SPGG'!BM3:BM139""),MATCH($D90,IMPORTRANGE(""17pNv02DXDpQT9S3w4-QeNym2QJy2BzMBqDXp-XtzJBM"", ""'SPGG'!D3:D139""),0))"),83)</f>
        <v>83</v>
      </c>
    </row>
    <row r="91" spans="1:31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1" t="s">
        <v>361</v>
      </c>
      <c r="P91" s="11">
        <v>45565</v>
      </c>
      <c r="Q91" s="4"/>
      <c r="R91" s="2">
        <v>37</v>
      </c>
      <c r="S91" s="2" t="str">
        <f ca="1">IFERROR(__xludf.DUMMYFUNCTION("INDEX(IMPORTRANGE(""17pNv02DXDpQT9S3w4-QeNym2QJy2BzMBqDXp-XtzJBM"", ""'SPGG'!BG3:BG139""),MATCH($D91,IMPORTRANGE(""17pNv02DXDpQT9S3w4-QeNym2QJy2BzMBqDXp-XtzJBM"", ""'SPGG'!D3:D139""),0))"),"")</f>
        <v/>
      </c>
      <c r="T91" s="2">
        <v>11</v>
      </c>
      <c r="U91" s="2">
        <v>11</v>
      </c>
      <c r="V91" s="2">
        <v>12</v>
      </c>
      <c r="W91" s="2">
        <v>13</v>
      </c>
      <c r="X91" s="2">
        <v>15</v>
      </c>
      <c r="Y91" s="12">
        <v>15</v>
      </c>
      <c r="Z91" s="12">
        <f ca="1">IFERROR(__xludf.DUMMYFUNCTION("INDEX(IMPORTRANGE(""17pNv02DXDpQT9S3w4-QeNym2QJy2BzMBqDXp-XtzJBM"", ""'SPGG'!BH3:BH139""),MATCH($D91,IMPORTRANGE(""17pNv02DXDpQT9S3w4-QeNym2QJy2BzMBqDXp-XtzJBM"", ""'SPGG'!D3:D139""),0))"),51)</f>
        <v>51</v>
      </c>
      <c r="AA91" s="12">
        <f ca="1">IFERROR(__xludf.DUMMYFUNCTION("INDEX(IMPORTRANGE(""17pNv02DXDpQT9S3w4-QeNym2QJy2BzMBqDXp-XtzJBM"", ""'SPGG'!BI3:BI139""),MATCH($D91,IMPORTRANGE(""17pNv02DXDpQT9S3w4-QeNym2QJy2BzMBqDXp-XtzJBM"", ""'SPGG'!D3:D139""),0))"),31)</f>
        <v>31</v>
      </c>
      <c r="AB91" s="12">
        <f ca="1">IFERROR(__xludf.DUMMYFUNCTION("INDEX(IMPORTRANGE(""17pNv02DXDpQT9S3w4-QeNym2QJy2BzMBqDXp-XtzJBM"", ""'SPGG'!BJ3:BJ139""),MATCH($D91,IMPORTRANGE(""17pNv02DXDpQT9S3w4-QeNym2QJy2BzMBqDXp-XtzJBM"", ""'SPGG'!D3:D139""),0))"),31)</f>
        <v>31</v>
      </c>
      <c r="AC91" s="12">
        <f ca="1">IFERROR(__xludf.DUMMYFUNCTION("INDEX(IMPORTRANGE(""17pNv02DXDpQT9S3w4-QeNym2QJy2BzMBqDXp-XtzJBM"", ""'SPGG'!BK3:BK139""),MATCH($D91,IMPORTRANGE(""17pNv02DXDpQT9S3w4-QeNym2QJy2BzMBqDXp-XtzJBM"", ""'SPGG'!D3:D139""),0))"),33)</f>
        <v>33</v>
      </c>
      <c r="AD91" s="12">
        <f ca="1">IFERROR(__xludf.DUMMYFUNCTION("INDEX(IMPORTRANGE(""17pNv02DXDpQT9S3w4-QeNym2QJy2BzMBqDXp-XtzJBM"", ""'SPGG'!BL3:BL139""),MATCH($D91,IMPORTRANGE(""17pNv02DXDpQT9S3w4-QeNym2QJy2BzMBqDXp-XtzJBM"", ""'SPGG'!D3:D139""),0))"),43)</f>
        <v>43</v>
      </c>
      <c r="AE91" s="12">
        <f ca="1">IFERROR(__xludf.DUMMYFUNCTION("INDEX(IMPORTRANGE(""17pNv02DXDpQT9S3w4-QeNym2QJy2BzMBqDXp-XtzJBM"", ""'SPGG'!BM3:BM139""),MATCH($D91,IMPORTRANGE(""17pNv02DXDpQT9S3w4-QeNym2QJy2BzMBqDXp-XtzJBM"", ""'SPGG'!D3:D139""),0))"),47)</f>
        <v>47</v>
      </c>
    </row>
    <row r="92" spans="1:31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1">
        <v>45444</v>
      </c>
      <c r="P92" s="11">
        <v>45444</v>
      </c>
      <c r="Q92" s="12">
        <v>98.4</v>
      </c>
      <c r="R92" s="12">
        <v>98.4</v>
      </c>
      <c r="S92" s="12">
        <f ca="1">IFERROR(__xludf.DUMMYFUNCTION("INDEX(IMPORTRANGE(""17pNv02DXDpQT9S3w4-QeNym2QJy2BzMBqDXp-XtzJBM"", ""'SPGG'!BG3:BG139""),MATCH($D92,IMPORTRANGE(""17pNv02DXDpQT9S3w4-QeNym2QJy2BzMBqDXp-XtzJBM"", ""'SPGG'!D3:D139""),0))"),98.41)</f>
        <v>98.41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12">
        <f ca="1">IFERROR(__xludf.DUMMYFUNCTION("INDEX(IMPORTRANGE(""17pNv02DXDpQT9S3w4-QeNym2QJy2BzMBqDXp-XtzJBM"", ""'SPGG'!BH3:BH139""),MATCH($D92,IMPORTRANGE(""17pNv02DXDpQT9S3w4-QeNym2QJy2BzMBqDXp-XtzJBM"", ""'SPGG'!D3:D139""),0))"),96.47)</f>
        <v>96.47</v>
      </c>
      <c r="AA92" s="12">
        <f ca="1">IFERROR(__xludf.DUMMYFUNCTION("INDEX(IMPORTRANGE(""17pNv02DXDpQT9S3w4-QeNym2QJy2BzMBqDXp-XtzJBM"", ""'SPGG'!BI3:BI139""),MATCH($D92,IMPORTRANGE(""17pNv02DXDpQT9S3w4-QeNym2QJy2BzMBqDXp-XtzJBM"", ""'SPGG'!D3:D139""),0))"),100)</f>
        <v>100</v>
      </c>
      <c r="AB92" s="12">
        <f ca="1">IFERROR(__xludf.DUMMYFUNCTION("INDEX(IMPORTRANGE(""17pNv02DXDpQT9S3w4-QeNym2QJy2BzMBqDXp-XtzJBM"", ""'SPGG'!BJ3:BJ139""),MATCH($D92,IMPORTRANGE(""17pNv02DXDpQT9S3w4-QeNym2QJy2BzMBqDXp-XtzJBM"", ""'SPGG'!D3:D139""),0))"),100)</f>
        <v>100</v>
      </c>
      <c r="AC92" s="12">
        <f ca="1">IFERROR(__xludf.DUMMYFUNCTION("INDEX(IMPORTRANGE(""17pNv02DXDpQT9S3w4-QeNym2QJy2BzMBqDXp-XtzJBM"", ""'SPGG'!BK3:BK139""),MATCH($D92,IMPORTRANGE(""17pNv02DXDpQT9S3w4-QeNym2QJy2BzMBqDXp-XtzJBM"", ""'SPGG'!D3:D139""),0))"),100)</f>
        <v>100</v>
      </c>
      <c r="AD92" s="12">
        <f ca="1">IFERROR(__xludf.DUMMYFUNCTION("INDEX(IMPORTRANGE(""17pNv02DXDpQT9S3w4-QeNym2QJy2BzMBqDXp-XtzJBM"", ""'SPGG'!BL3:BL139""),MATCH($D92,IMPORTRANGE(""17pNv02DXDpQT9S3w4-QeNym2QJy2BzMBqDXp-XtzJBM"", ""'SPGG'!D3:D139""),0))"),100)</f>
        <v>100</v>
      </c>
      <c r="AE92" s="12">
        <f ca="1">IFERROR(__xludf.DUMMYFUNCTION("INDEX(IMPORTRANGE(""17pNv02DXDpQT9S3w4-QeNym2QJy2BzMBqDXp-XtzJBM"", ""'SPGG'!BM3:BM139""),MATCH($D92,IMPORTRANGE(""17pNv02DXDpQT9S3w4-QeNym2QJy2BzMBqDXp-XtzJBM"", ""'SPGG'!D3:D139""),0))"),100)</f>
        <v>100</v>
      </c>
    </row>
    <row r="93" spans="1:31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1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""'SPGG'!BG3:BG139""),MATCH($D93,IMPORTRANGE(""17pNv02DXDpQT9S3w4-QeNym2QJy2BzMBqDXp-XtzJBM"", ""'SPGG'!D3:D139""),0))"),0)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23">
        <f ca="1">IFERROR(__xludf.DUMMYFUNCTION("INDEX(IMPORTRANGE(""17pNv02DXDpQT9S3w4-QeNym2QJy2BzMBqDXp-XtzJBM"", ""'SPGG'!BH3:BH139""),MATCH($D93,IMPORTRANGE(""17pNv02DXDpQT9S3w4-QeNym2QJy2BzMBqDXp-XtzJBM"", ""'SPGG'!D3:D139""),0))"),0)</f>
        <v>0</v>
      </c>
      <c r="AA93" s="23">
        <f ca="1">IFERROR(__xludf.DUMMYFUNCTION("INDEX(IMPORTRANGE(""17pNv02DXDpQT9S3w4-QeNym2QJy2BzMBqDXp-XtzJBM"", ""'SPGG'!BI3:BI139""),MATCH($D93,IMPORTRANGE(""17pNv02DXDpQT9S3w4-QeNym2QJy2BzMBqDXp-XtzJBM"", ""'SPGG'!D3:D139""),0))"),4)</f>
        <v>4</v>
      </c>
      <c r="AB93" s="23">
        <f ca="1">IFERROR(__xludf.DUMMYFUNCTION("INDEX(IMPORTRANGE(""17pNv02DXDpQT9S3w4-QeNym2QJy2BzMBqDXp-XtzJBM"", ""'SPGG'!BJ3:BJ139""),MATCH($D93,IMPORTRANGE(""17pNv02DXDpQT9S3w4-QeNym2QJy2BzMBqDXp-XtzJBM"", ""'SPGG'!D3:D139""),0))"),3.21225832990538)</f>
        <v>3.2122583299053802</v>
      </c>
      <c r="AC93" s="23">
        <f ca="1">IFERROR(__xludf.DUMMYFUNCTION("INDEX(IMPORTRANGE(""17pNv02DXDpQT9S3w4-QeNym2QJy2BzMBqDXp-XtzJBM"", ""'SPGG'!BK3:BK139""),MATCH($D93,IMPORTRANGE(""17pNv02DXDpQT9S3w4-QeNym2QJy2BzMBqDXp-XtzJBM"", ""'SPGG'!D3:D139""),0))"),2.64171122994652)</f>
        <v>2.64171122994652</v>
      </c>
      <c r="AD93" s="23">
        <f ca="1">IFERROR(__xludf.DUMMYFUNCTION("INDEX(IMPORTRANGE(""17pNv02DXDpQT9S3w4-QeNym2QJy2BzMBqDXp-XtzJBM"", ""'SPGG'!BL3:BL139""),MATCH($D93,IMPORTRANGE(""17pNv02DXDpQT9S3w4-QeNym2QJy2BzMBqDXp-XtzJBM"", ""'SPGG'!D3:D139""),0))"),3.81818181818181)</f>
        <v>3.8181818181818099</v>
      </c>
      <c r="AE93" s="23">
        <f ca="1">IFERROR(__xludf.DUMMYFUNCTION("INDEX(IMPORTRANGE(""17pNv02DXDpQT9S3w4-QeNym2QJy2BzMBqDXp-XtzJBM"", ""'SPGG'!BM3:BM139""),MATCH($D93,IMPORTRANGE(""17pNv02DXDpQT9S3w4-QeNym2QJy2BzMBqDXp-XtzJBM"", ""'SPGG'!D3:D139""),0))"),3.35664335664335)</f>
        <v>3.35664335664335</v>
      </c>
    </row>
    <row r="94" spans="1:31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180"/>
      <c r="I94" s="49">
        <v>44440</v>
      </c>
      <c r="J94" s="11">
        <v>44651</v>
      </c>
      <c r="K94" s="181"/>
      <c r="L94" s="11">
        <v>45016</v>
      </c>
      <c r="M94" s="181"/>
      <c r="N94" s="11">
        <v>45382</v>
      </c>
      <c r="O94" s="11" t="s">
        <v>361</v>
      </c>
      <c r="P94" s="11">
        <v>45565</v>
      </c>
      <c r="Q94" s="484"/>
      <c r="R94" s="484"/>
      <c r="S94" s="509" t="str">
        <f ca="1">IFERROR(__xludf.DUMMYFUNCTION("INDEX(IMPORTRANGE(""17pNv02DXDpQT9S3w4-QeNym2QJy2BzMBqDXp-XtzJBM"", ""'SPGG'!BG3:BG139""),MATCH($D94,IMPORTRANGE(""17pNv02DXDpQT9S3w4-QeNym2QJy2BzMBqDXp-XtzJBM"", ""'SPGG'!D3:D139""),0))"),"")</f>
        <v/>
      </c>
      <c r="T94" s="181"/>
      <c r="U94" s="181"/>
      <c r="V94" s="181"/>
      <c r="W94" s="181"/>
      <c r="X94" s="181"/>
      <c r="Y94" s="182"/>
      <c r="Z94" s="12">
        <f ca="1">IFERROR(__xludf.DUMMYFUNCTION("INDEX(IMPORTRANGE(""17pNv02DXDpQT9S3w4-QeNym2QJy2BzMBqDXp-XtzJBM"", ""'SPGG'!BH3:BH139""),MATCH($D94,IMPORTRANGE(""17pNv02DXDpQT9S3w4-QeNym2QJy2BzMBqDXp-XtzJBM"", ""'SPGG'!D3:D139""),0))"),9)</f>
        <v>9</v>
      </c>
      <c r="AA94" s="12">
        <f ca="1">IFERROR(__xludf.DUMMYFUNCTION("INDEX(IMPORTRANGE(""17pNv02DXDpQT9S3w4-QeNym2QJy2BzMBqDXp-XtzJBM"", ""'SPGG'!BI3:BI139""),MATCH($D94,IMPORTRANGE(""17pNv02DXDpQT9S3w4-QeNym2QJy2BzMBqDXp-XtzJBM"", ""'SPGG'!D3:D139""),0))"),10)</f>
        <v>10</v>
      </c>
      <c r="AB94" s="12">
        <f ca="1">IFERROR(__xludf.DUMMYFUNCTION("INDEX(IMPORTRANGE(""17pNv02DXDpQT9S3w4-QeNym2QJy2BzMBqDXp-XtzJBM"", ""'SPGG'!BJ3:BJ139""),MATCH($D94,IMPORTRANGE(""17pNv02DXDpQT9S3w4-QeNym2QJy2BzMBqDXp-XtzJBM"", ""'SPGG'!D3:D139""),0))"),10)</f>
        <v>10</v>
      </c>
      <c r="AC94" s="12" t="str">
        <f ca="1">IFERROR(__xludf.DUMMYFUNCTION("INDEX(IMPORTRANGE(""17pNv02DXDpQT9S3w4-QeNym2QJy2BzMBqDXp-XtzJBM"", ""'SPGG'!BK3:BK139""),MATCH($D94,IMPORTRANGE(""17pNv02DXDpQT9S3w4-QeNym2QJy2BzMBqDXp-XtzJBM"", ""'SPGG'!D3:D139""),0))"),"")</f>
        <v/>
      </c>
      <c r="AD94" s="12">
        <f ca="1">IFERROR(__xludf.DUMMYFUNCTION("INDEX(IMPORTRANGE(""17pNv02DXDpQT9S3w4-QeNym2QJy2BzMBqDXp-XtzJBM"", ""'SPGG'!BL3:BL139""),MATCH($D94,IMPORTRANGE(""17pNv02DXDpQT9S3w4-QeNym2QJy2BzMBqDXp-XtzJBM"", ""'SPGG'!D3:D139""),0))"),10)</f>
        <v>10</v>
      </c>
      <c r="AE94" s="12">
        <f ca="1">IFERROR(__xludf.DUMMYFUNCTION("INDEX(IMPORTRANGE(""17pNv02DXDpQT9S3w4-QeNym2QJy2BzMBqDXp-XtzJBM"", ""'SPGG'!BM3:BM139""),MATCH($D94,IMPORTRANGE(""17pNv02DXDpQT9S3w4-QeNym2QJy2BzMBqDXp-XtzJBM"", ""'SPGG'!D3:D139""),0))"),10)</f>
        <v>10</v>
      </c>
    </row>
    <row r="95" spans="1:31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1"/>
      <c r="I95" s="49">
        <v>44440</v>
      </c>
      <c r="J95" s="11">
        <v>44651</v>
      </c>
      <c r="K95" s="181"/>
      <c r="L95" s="11">
        <v>45016</v>
      </c>
      <c r="M95" s="181"/>
      <c r="N95" s="11">
        <v>45382</v>
      </c>
      <c r="O95" s="11" t="s">
        <v>361</v>
      </c>
      <c r="P95" s="11">
        <v>45565</v>
      </c>
      <c r="Q95" s="484"/>
      <c r="R95" s="484"/>
      <c r="S95" s="509" t="str">
        <f ca="1">IFERROR(__xludf.DUMMYFUNCTION("INDEX(IMPORTRANGE(""17pNv02DXDpQT9S3w4-QeNym2QJy2BzMBqDXp-XtzJBM"", ""'SPGG'!BG3:BG139""),MATCH($D95,IMPORTRANGE(""17pNv02DXDpQT9S3w4-QeNym2QJy2BzMBqDXp-XtzJBM"", ""'SPGG'!D3:D139""),0))"),"")</f>
        <v/>
      </c>
      <c r="T95" s="181"/>
      <c r="U95" s="181"/>
      <c r="V95" s="181"/>
      <c r="W95" s="181"/>
      <c r="X95" s="181"/>
      <c r="Y95" s="182"/>
      <c r="Z95" s="12">
        <f ca="1">IFERROR(__xludf.DUMMYFUNCTION("INDEX(IMPORTRANGE(""17pNv02DXDpQT9S3w4-QeNym2QJy2BzMBqDXp-XtzJBM"", ""'SPGG'!BH3:BH139""),MATCH($D95,IMPORTRANGE(""17pNv02DXDpQT9S3w4-QeNym2QJy2BzMBqDXp-XtzJBM"", ""'SPGG'!D3:D139""),0))"),15)</f>
        <v>15</v>
      </c>
      <c r="AA95" s="12">
        <f ca="1">IFERROR(__xludf.DUMMYFUNCTION("INDEX(IMPORTRANGE(""17pNv02DXDpQT9S3w4-QeNym2QJy2BzMBqDXp-XtzJBM"", ""'SPGG'!BI3:BI139""),MATCH($D95,IMPORTRANGE(""17pNv02DXDpQT9S3w4-QeNym2QJy2BzMBqDXp-XtzJBM"", ""'SPGG'!D3:D139""),0))"),13)</f>
        <v>13</v>
      </c>
      <c r="AB95" s="12">
        <f ca="1">IFERROR(__xludf.DUMMYFUNCTION("INDEX(IMPORTRANGE(""17pNv02DXDpQT9S3w4-QeNym2QJy2BzMBqDXp-XtzJBM"", ""'SPGG'!BJ3:BJ139""),MATCH($D95,IMPORTRANGE(""17pNv02DXDpQT9S3w4-QeNym2QJy2BzMBqDXp-XtzJBM"", ""'SPGG'!D3:D139""),0))"),14)</f>
        <v>14</v>
      </c>
      <c r="AC95" s="12">
        <f ca="1">IFERROR(__xludf.DUMMYFUNCTION("INDEX(IMPORTRANGE(""17pNv02DXDpQT9S3w4-QeNym2QJy2BzMBqDXp-XtzJBM"", ""'SPGG'!BK3:BK139""),MATCH($D95,IMPORTRANGE(""17pNv02DXDpQT9S3w4-QeNym2QJy2BzMBqDXp-XtzJBM"", ""'SPGG'!D3:D139""),0))"),0)</f>
        <v>0</v>
      </c>
      <c r="AD95" s="12">
        <f ca="1">IFERROR(__xludf.DUMMYFUNCTION("INDEX(IMPORTRANGE(""17pNv02DXDpQT9S3w4-QeNym2QJy2BzMBqDXp-XtzJBM"", ""'SPGG'!BL3:BL139""),MATCH($D95,IMPORTRANGE(""17pNv02DXDpQT9S3w4-QeNym2QJy2BzMBqDXp-XtzJBM"", ""'SPGG'!D3:D139""),0))"),14)</f>
        <v>14</v>
      </c>
      <c r="AE95" s="12">
        <f ca="1">IFERROR(__xludf.DUMMYFUNCTION("INDEX(IMPORTRANGE(""17pNv02DXDpQT9S3w4-QeNym2QJy2BzMBqDXp-XtzJBM"", ""'SPGG'!BM3:BM139""),MATCH($D95,IMPORTRANGE(""17pNv02DXDpQT9S3w4-QeNym2QJy2BzMBqDXp-XtzJBM"", ""'SPGG'!D3:D139""),0))"),14)</f>
        <v>14</v>
      </c>
    </row>
    <row r="96" spans="1:31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1"/>
      <c r="I96" s="49">
        <v>44440</v>
      </c>
      <c r="J96" s="11">
        <v>44651</v>
      </c>
      <c r="K96" s="181"/>
      <c r="L96" s="11">
        <v>45016</v>
      </c>
      <c r="M96" s="181"/>
      <c r="N96" s="11">
        <v>45382</v>
      </c>
      <c r="O96" s="11" t="s">
        <v>361</v>
      </c>
      <c r="P96" s="11">
        <v>45565</v>
      </c>
      <c r="Q96" s="484"/>
      <c r="R96" s="484"/>
      <c r="S96" s="509" t="str">
        <f ca="1">IFERROR(__xludf.DUMMYFUNCTION("INDEX(IMPORTRANGE(""17pNv02DXDpQT9S3w4-QeNym2QJy2BzMBqDXp-XtzJBM"", ""'SPGG'!BG3:BG139""),MATCH($D96,IMPORTRANGE(""17pNv02DXDpQT9S3w4-QeNym2QJy2BzMBqDXp-XtzJBM"", ""'SPGG'!D3:D139""),0))"),"")</f>
        <v/>
      </c>
      <c r="T96" s="181"/>
      <c r="U96" s="181"/>
      <c r="V96" s="181"/>
      <c r="W96" s="181"/>
      <c r="X96" s="181"/>
      <c r="Y96" s="182"/>
      <c r="Z96" s="12" t="str">
        <f ca="1">IFERROR(__xludf.DUMMYFUNCTION("INDEX(IMPORTRANGE(""17pNv02DXDpQT9S3w4-QeNym2QJy2BzMBqDXp-XtzJBM"", ""'SPGG'!BH3:BH139""),MATCH($D96,IMPORTRANGE(""17pNv02DXDpQT9S3w4-QeNym2QJy2BzMBqDXp-XtzJBM"", ""'SPGG'!D3:D139""),0))"),"N/A")</f>
        <v>N/A</v>
      </c>
      <c r="AA96" s="12">
        <f ca="1">IFERROR(__xludf.DUMMYFUNCTION("INDEX(IMPORTRANGE(""17pNv02DXDpQT9S3w4-QeNym2QJy2BzMBqDXp-XtzJBM"", ""'SPGG'!BI3:BI139""),MATCH($D96,IMPORTRANGE(""17pNv02DXDpQT9S3w4-QeNym2QJy2BzMBqDXp-XtzJBM"", ""'SPGG'!D3:D139""),0))"),0)</f>
        <v>0</v>
      </c>
      <c r="AB96" s="12">
        <f ca="1">IFERROR(__xludf.DUMMYFUNCTION("INDEX(IMPORTRANGE(""17pNv02DXDpQT9S3w4-QeNym2QJy2BzMBqDXp-XtzJBM"", ""'SPGG'!BJ3:BJ139""),MATCH($D96,IMPORTRANGE(""17pNv02DXDpQT9S3w4-QeNym2QJy2BzMBqDXp-XtzJBM"", ""'SPGG'!D3:D139""),0))"),0)</f>
        <v>0</v>
      </c>
      <c r="AC96" s="12" t="str">
        <f ca="1">IFERROR(__xludf.DUMMYFUNCTION("INDEX(IMPORTRANGE(""17pNv02DXDpQT9S3w4-QeNym2QJy2BzMBqDXp-XtzJBM"", ""'SPGG'!BK3:BK139""),MATCH($D96,IMPORTRANGE(""17pNv02DXDpQT9S3w4-QeNym2QJy2BzMBqDXp-XtzJBM"", ""'SPGG'!D3:D139""),0))"),"")</f>
        <v/>
      </c>
      <c r="AD96" s="12">
        <f ca="1">IFERROR(__xludf.DUMMYFUNCTION("INDEX(IMPORTRANGE(""17pNv02DXDpQT9S3w4-QeNym2QJy2BzMBqDXp-XtzJBM"", ""'SPGG'!BL3:BL139""),MATCH($D96,IMPORTRANGE(""17pNv02DXDpQT9S3w4-QeNym2QJy2BzMBqDXp-XtzJBM"", ""'SPGG'!D3:D139""),0))"),0)</f>
        <v>0</v>
      </c>
      <c r="AE96" s="12">
        <f ca="1">IFERROR(__xludf.DUMMYFUNCTION("INDEX(IMPORTRANGE(""17pNv02DXDpQT9S3w4-QeNym2QJy2BzMBqDXp-XtzJBM"", ""'SPGG'!BM3:BM139""),MATCH($D96,IMPORTRANGE(""17pNv02DXDpQT9S3w4-QeNym2QJy2BzMBqDXp-XtzJBM"", ""'SPGG'!D3:D139""),0))"),0)</f>
        <v>0</v>
      </c>
    </row>
    <row r="97" spans="1:31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1"/>
      <c r="I97" s="49">
        <v>44440</v>
      </c>
      <c r="J97" s="11">
        <v>44651</v>
      </c>
      <c r="K97" s="181"/>
      <c r="L97" s="11">
        <v>45016</v>
      </c>
      <c r="M97" s="181"/>
      <c r="N97" s="11">
        <v>45382</v>
      </c>
      <c r="O97" s="11" t="s">
        <v>361</v>
      </c>
      <c r="P97" s="11">
        <v>45565</v>
      </c>
      <c r="Q97" s="484"/>
      <c r="R97" s="484"/>
      <c r="S97" s="509" t="str">
        <f ca="1">IFERROR(__xludf.DUMMYFUNCTION("INDEX(IMPORTRANGE(""17pNv02DXDpQT9S3w4-QeNym2QJy2BzMBqDXp-XtzJBM"", ""'SPGG'!BG3:BG139""),MATCH($D97,IMPORTRANGE(""17pNv02DXDpQT9S3w4-QeNym2QJy2BzMBqDXp-XtzJBM"", ""'SPGG'!D3:D139""),0))"),"")</f>
        <v/>
      </c>
      <c r="T97" s="181"/>
      <c r="U97" s="181"/>
      <c r="V97" s="181"/>
      <c r="W97" s="181"/>
      <c r="X97" s="181"/>
      <c r="Y97" s="182"/>
      <c r="Z97" s="12">
        <f ca="1">IFERROR(__xludf.DUMMYFUNCTION("INDEX(IMPORTRANGE(""17pNv02DXDpQT9S3w4-QeNym2QJy2BzMBqDXp-XtzJBM"", ""'SPGG'!BH3:BH139""),MATCH($D97,IMPORTRANGE(""17pNv02DXDpQT9S3w4-QeNym2QJy2BzMBqDXp-XtzJBM"", ""'SPGG'!D3:D139""),0))"),0)</f>
        <v>0</v>
      </c>
      <c r="AA97" s="12">
        <f ca="1">IFERROR(__xludf.DUMMYFUNCTION("INDEX(IMPORTRANGE(""17pNv02DXDpQT9S3w4-QeNym2QJy2BzMBqDXp-XtzJBM"", ""'SPGG'!BI3:BI139""),MATCH($D97,IMPORTRANGE(""17pNv02DXDpQT9S3w4-QeNym2QJy2BzMBqDXp-XtzJBM"", ""'SPGG'!D3:D139""),0))"),0)</f>
        <v>0</v>
      </c>
      <c r="AB97" s="12">
        <f ca="1">IFERROR(__xludf.DUMMYFUNCTION("INDEX(IMPORTRANGE(""17pNv02DXDpQT9S3w4-QeNym2QJy2BzMBqDXp-XtzJBM"", ""'SPGG'!BJ3:BJ139""),MATCH($D97,IMPORTRANGE(""17pNv02DXDpQT9S3w4-QeNym2QJy2BzMBqDXp-XtzJBM"", ""'SPGG'!D3:D139""),0))"),0)</f>
        <v>0</v>
      </c>
      <c r="AC97" s="12">
        <f ca="1">IFERROR(__xludf.DUMMYFUNCTION("INDEX(IMPORTRANGE(""17pNv02DXDpQT9S3w4-QeNym2QJy2BzMBqDXp-XtzJBM"", ""'SPGG'!BK3:BK139""),MATCH($D97,IMPORTRANGE(""17pNv02DXDpQT9S3w4-QeNym2QJy2BzMBqDXp-XtzJBM"", ""'SPGG'!D3:D139""),0))"),0)</f>
        <v>0</v>
      </c>
      <c r="AD97" s="12">
        <f ca="1">IFERROR(__xludf.DUMMYFUNCTION("INDEX(IMPORTRANGE(""17pNv02DXDpQT9S3w4-QeNym2QJy2BzMBqDXp-XtzJBM"", ""'SPGG'!BL3:BL139""),MATCH($D97,IMPORTRANGE(""17pNv02DXDpQT9S3w4-QeNym2QJy2BzMBqDXp-XtzJBM"", ""'SPGG'!D3:D139""),0))"),0)</f>
        <v>0</v>
      </c>
      <c r="AE97" s="12">
        <f ca="1">IFERROR(__xludf.DUMMYFUNCTION("INDEX(IMPORTRANGE(""17pNv02DXDpQT9S3w4-QeNym2QJy2BzMBqDXp-XtzJBM"", ""'SPGG'!BM3:BM139""),MATCH($D97,IMPORTRANGE(""17pNv02DXDpQT9S3w4-QeNym2QJy2BzMBqDXp-XtzJBM"", ""'SPGG'!D3:D139""),0))"),0)</f>
        <v>0</v>
      </c>
    </row>
    <row r="98" spans="1:31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1"/>
      <c r="I98" s="49">
        <v>44440</v>
      </c>
      <c r="J98" s="11">
        <v>44651</v>
      </c>
      <c r="K98" s="181"/>
      <c r="L98" s="11">
        <v>45016</v>
      </c>
      <c r="M98" s="181"/>
      <c r="N98" s="11">
        <v>45382</v>
      </c>
      <c r="O98" s="11" t="s">
        <v>361</v>
      </c>
      <c r="P98" s="11">
        <v>45565</v>
      </c>
      <c r="Q98" s="484"/>
      <c r="R98" s="484"/>
      <c r="S98" s="509" t="str">
        <f ca="1">IFERROR(__xludf.DUMMYFUNCTION("INDEX(IMPORTRANGE(""17pNv02DXDpQT9S3w4-QeNym2QJy2BzMBqDXp-XtzJBM"", ""'SPGG'!BG3:BG139""),MATCH($D98,IMPORTRANGE(""17pNv02DXDpQT9S3w4-QeNym2QJy2BzMBqDXp-XtzJBM"", ""'SPGG'!D3:D139""),0))"),"")</f>
        <v/>
      </c>
      <c r="T98" s="181"/>
      <c r="U98" s="181"/>
      <c r="V98" s="181"/>
      <c r="W98" s="181"/>
      <c r="X98" s="181"/>
      <c r="Y98" s="182"/>
      <c r="Z98" s="12">
        <f ca="1">IFERROR(__xludf.DUMMYFUNCTION("INDEX(IMPORTRANGE(""17pNv02DXDpQT9S3w4-QeNym2QJy2BzMBqDXp-XtzJBM"", ""'SPGG'!BH3:BH139""),MATCH($D98,IMPORTRANGE(""17pNv02DXDpQT9S3w4-QeNym2QJy2BzMBqDXp-XtzJBM"", ""'SPGG'!D3:D139""),0))"),24)</f>
        <v>24</v>
      </c>
      <c r="AA98" s="12">
        <f ca="1">IFERROR(__xludf.DUMMYFUNCTION("INDEX(IMPORTRANGE(""17pNv02DXDpQT9S3w4-QeNym2QJy2BzMBqDXp-XtzJBM"", ""'SPGG'!BI3:BI139""),MATCH($D98,IMPORTRANGE(""17pNv02DXDpQT9S3w4-QeNym2QJy2BzMBqDXp-XtzJBM"", ""'SPGG'!D3:D139""),0))"),26)</f>
        <v>26</v>
      </c>
      <c r="AB98" s="12">
        <f ca="1">IFERROR(__xludf.DUMMYFUNCTION("INDEX(IMPORTRANGE(""17pNv02DXDpQT9S3w4-QeNym2QJy2BzMBqDXp-XtzJBM"", ""'SPGG'!BJ3:BJ139""),MATCH($D98,IMPORTRANGE(""17pNv02DXDpQT9S3w4-QeNym2QJy2BzMBqDXp-XtzJBM"", ""'SPGG'!D3:D139""),0))"),28)</f>
        <v>28</v>
      </c>
      <c r="AC98" s="12" t="str">
        <f ca="1">IFERROR(__xludf.DUMMYFUNCTION("INDEX(IMPORTRANGE(""17pNv02DXDpQT9S3w4-QeNym2QJy2BzMBqDXp-XtzJBM"", ""'SPGG'!BK3:BK139""),MATCH($D98,IMPORTRANGE(""17pNv02DXDpQT9S3w4-QeNym2QJy2BzMBqDXp-XtzJBM"", ""'SPGG'!D3:D139""),0))"),"")</f>
        <v/>
      </c>
      <c r="AD98" s="12">
        <f ca="1">IFERROR(__xludf.DUMMYFUNCTION("INDEX(IMPORTRANGE(""17pNv02DXDpQT9S3w4-QeNym2QJy2BzMBqDXp-XtzJBM"", ""'SPGG'!BL3:BL139""),MATCH($D98,IMPORTRANGE(""17pNv02DXDpQT9S3w4-QeNym2QJy2BzMBqDXp-XtzJBM"", ""'SPGG'!D3:D139""),0))"),28)</f>
        <v>28</v>
      </c>
      <c r="AE98" s="12">
        <f ca="1">IFERROR(__xludf.DUMMYFUNCTION("INDEX(IMPORTRANGE(""17pNv02DXDpQT9S3w4-QeNym2QJy2BzMBqDXp-XtzJBM"", ""'SPGG'!BM3:BM139""),MATCH($D98,IMPORTRANGE(""17pNv02DXDpQT9S3w4-QeNym2QJy2BzMBqDXp-XtzJBM"", ""'SPGG'!D3:D139""),0))"),28)</f>
        <v>28</v>
      </c>
    </row>
    <row r="99" spans="1:31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1"/>
      <c r="I99" s="49">
        <v>44440</v>
      </c>
      <c r="J99" s="11">
        <v>44651</v>
      </c>
      <c r="K99" s="181"/>
      <c r="L99" s="11">
        <v>45016</v>
      </c>
      <c r="M99" s="181"/>
      <c r="N99" s="11">
        <v>45382</v>
      </c>
      <c r="O99" s="11" t="s">
        <v>361</v>
      </c>
      <c r="P99" s="11">
        <v>45565</v>
      </c>
      <c r="Q99" s="484"/>
      <c r="R99" s="484"/>
      <c r="S99" s="509" t="str">
        <f ca="1">IFERROR(__xludf.DUMMYFUNCTION("INDEX(IMPORTRANGE(""17pNv02DXDpQT9S3w4-QeNym2QJy2BzMBqDXp-XtzJBM"", ""'SPGG'!BG3:BG139""),MATCH($D99,IMPORTRANGE(""17pNv02DXDpQT9S3w4-QeNym2QJy2BzMBqDXp-XtzJBM"", ""'SPGG'!D3:D139""),0))"),"")</f>
        <v/>
      </c>
      <c r="T99" s="181"/>
      <c r="U99" s="181"/>
      <c r="V99" s="181"/>
      <c r="W99" s="181"/>
      <c r="X99" s="181"/>
      <c r="Y99" s="182"/>
      <c r="Z99" s="12">
        <f ca="1">IFERROR(__xludf.DUMMYFUNCTION("INDEX(IMPORTRANGE(""17pNv02DXDpQT9S3w4-QeNym2QJy2BzMBqDXp-XtzJBM"", ""'SPGG'!BH3:BH139""),MATCH($D99,IMPORTRANGE(""17pNv02DXDpQT9S3w4-QeNym2QJy2BzMBqDXp-XtzJBM"", ""'SPGG'!D3:D139""),0))"),58)</f>
        <v>58</v>
      </c>
      <c r="AA99" s="12">
        <f ca="1">IFERROR(__xludf.DUMMYFUNCTION("INDEX(IMPORTRANGE(""17pNv02DXDpQT9S3w4-QeNym2QJy2BzMBqDXp-XtzJBM"", ""'SPGG'!BI3:BI139""),MATCH($D99,IMPORTRANGE(""17pNv02DXDpQT9S3w4-QeNym2QJy2BzMBqDXp-XtzJBM"", ""'SPGG'!D3:D139""),0))"),57)</f>
        <v>57</v>
      </c>
      <c r="AB99" s="12">
        <f ca="1">IFERROR(__xludf.DUMMYFUNCTION("INDEX(IMPORTRANGE(""17pNv02DXDpQT9S3w4-QeNym2QJy2BzMBqDXp-XtzJBM"", ""'SPGG'!BJ3:BJ139""),MATCH($D99,IMPORTRANGE(""17pNv02DXDpQT9S3w4-QeNym2QJy2BzMBqDXp-XtzJBM"", ""'SPGG'!D3:D139""),0))"),61)</f>
        <v>61</v>
      </c>
      <c r="AC99" s="12">
        <f ca="1">IFERROR(__xludf.DUMMYFUNCTION("INDEX(IMPORTRANGE(""17pNv02DXDpQT9S3w4-QeNym2QJy2BzMBqDXp-XtzJBM"", ""'SPGG'!BK3:BK139""),MATCH($D99,IMPORTRANGE(""17pNv02DXDpQT9S3w4-QeNym2QJy2BzMBqDXp-XtzJBM"", ""'SPGG'!D3:D139""),0))"),0)</f>
        <v>0</v>
      </c>
      <c r="AD99" s="12">
        <f ca="1">IFERROR(__xludf.DUMMYFUNCTION("INDEX(IMPORTRANGE(""17pNv02DXDpQT9S3w4-QeNym2QJy2BzMBqDXp-XtzJBM"", ""'SPGG'!BL3:BL139""),MATCH($D99,IMPORTRANGE(""17pNv02DXDpQT9S3w4-QeNym2QJy2BzMBqDXp-XtzJBM"", ""'SPGG'!D3:D139""),0))"),60)</f>
        <v>60</v>
      </c>
      <c r="AE99" s="12">
        <f ca="1">IFERROR(__xludf.DUMMYFUNCTION("INDEX(IMPORTRANGE(""17pNv02DXDpQT9S3w4-QeNym2QJy2BzMBqDXp-XtzJBM"", ""'SPGG'!BM3:BM139""),MATCH($D99,IMPORTRANGE(""17pNv02DXDpQT9S3w4-QeNym2QJy2BzMBqDXp-XtzJBM"", ""'SPGG'!D3:D139""),0))"),60)</f>
        <v>60</v>
      </c>
    </row>
    <row r="100" spans="1:31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1"/>
      <c r="I100" s="49">
        <v>44440</v>
      </c>
      <c r="J100" s="11">
        <v>44651</v>
      </c>
      <c r="K100" s="181"/>
      <c r="L100" s="11">
        <v>45016</v>
      </c>
      <c r="M100" s="181"/>
      <c r="N100" s="11">
        <v>45382</v>
      </c>
      <c r="O100" s="11" t="s">
        <v>361</v>
      </c>
      <c r="P100" s="11">
        <v>45565</v>
      </c>
      <c r="Q100" s="484"/>
      <c r="R100" s="484"/>
      <c r="S100" s="509" t="str">
        <f ca="1">IFERROR(__xludf.DUMMYFUNCTION("INDEX(IMPORTRANGE(""17pNv02DXDpQT9S3w4-QeNym2QJy2BzMBqDXp-XtzJBM"", ""'SPGG'!BG3:BG139""),MATCH($D100,IMPORTRANGE(""17pNv02DXDpQT9S3w4-QeNym2QJy2BzMBqDXp-XtzJBM"", ""'SPGG'!D3:D139""),0))"),"")</f>
        <v/>
      </c>
      <c r="T100" s="182"/>
      <c r="U100" s="60">
        <v>0.5</v>
      </c>
      <c r="V100" s="4"/>
      <c r="W100" s="60">
        <v>0.5</v>
      </c>
      <c r="X100" s="60">
        <v>0.5</v>
      </c>
      <c r="Y100" s="60">
        <v>0.5</v>
      </c>
      <c r="Z100" s="26">
        <f ca="1">IFERROR(__xludf.DUMMYFUNCTION("INDEX(IMPORTRANGE(""17pNv02DXDpQT9S3w4-QeNym2QJy2BzMBqDXp-XtzJBM"", ""'SPGG'!BH3:BH139""),MATCH($D100,IMPORTRANGE(""17pNv02DXDpQT9S3w4-QeNym2QJy2BzMBqDXp-XtzJBM"", ""'SPGG'!D3:D139""),0))"),0.452054794520547)</f>
        <v>0.45205479452054698</v>
      </c>
      <c r="AA100" s="26">
        <f ca="1">IFERROR(__xludf.DUMMYFUNCTION("INDEX(IMPORTRANGE(""17pNv02DXDpQT9S3w4-QeNym2QJy2BzMBqDXp-XtzJBM"", ""'SPGG'!BI3:BI139""),MATCH($D100,IMPORTRANGE(""17pNv02DXDpQT9S3w4-QeNym2QJy2BzMBqDXp-XtzJBM"", ""'SPGG'!D3:D139""),0))"),0.514285714285714)</f>
        <v>0.51428571428571401</v>
      </c>
      <c r="AB100" s="26">
        <f ca="1">IFERROR(__xludf.DUMMYFUNCTION("INDEX(IMPORTRANGE(""17pNv02DXDpQT9S3w4-QeNym2QJy2BzMBqDXp-XtzJBM"", ""'SPGG'!BJ3:BJ139""),MATCH($D100,IMPORTRANGE(""17pNv02DXDpQT9S3w4-QeNym2QJy2BzMBqDXp-XtzJBM"", ""'SPGG'!D3:D139""),0))"),0.506666666666666)</f>
        <v>0.50666666666666604</v>
      </c>
      <c r="AC100" s="26" t="str">
        <f ca="1">IFERROR(__xludf.DUMMYFUNCTION("INDEX(IMPORTRANGE(""17pNv02DXDpQT9S3w4-QeNym2QJy2BzMBqDXp-XtzJBM"", ""'SPGG'!BK3:BK139""),MATCH($D100,IMPORTRANGE(""17pNv02DXDpQT9S3w4-QeNym2QJy2BzMBqDXp-XtzJBM"", ""'SPGG'!D3:D139""),0))"),"")</f>
        <v/>
      </c>
      <c r="AD100" s="26">
        <f ca="1">IFERROR(__xludf.DUMMYFUNCTION("INDEX(IMPORTRANGE(""17pNv02DXDpQT9S3w4-QeNym2QJy2BzMBqDXp-XtzJBM"", ""'SPGG'!BL3:BL139""),MATCH($D100,IMPORTRANGE(""17pNv02DXDpQT9S3w4-QeNym2QJy2BzMBqDXp-XtzJBM"", ""'SPGG'!D3:D139""),0))"),0.513513513513513)</f>
        <v>0.51351351351351304</v>
      </c>
      <c r="AE100" s="26">
        <f ca="1">IFERROR(__xludf.DUMMYFUNCTION("INDEX(IMPORTRANGE(""17pNv02DXDpQT9S3w4-QeNym2QJy2BzMBqDXp-XtzJBM"", ""'SPGG'!BM3:BM139""),MATCH($D100,IMPORTRANGE(""17pNv02DXDpQT9S3w4-QeNym2QJy2BzMBqDXp-XtzJBM"", ""'SPGG'!D3:D139""),0))"),0.513513513513513)</f>
        <v>0.51351351351351304</v>
      </c>
    </row>
    <row r="101" spans="1:31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83" t="s">
        <v>213</v>
      </c>
      <c r="H101" s="1" t="s">
        <v>214</v>
      </c>
      <c r="I101" s="2" t="s">
        <v>368</v>
      </c>
      <c r="J101" s="7" t="s">
        <v>215</v>
      </c>
      <c r="K101" s="13"/>
      <c r="L101" s="7" t="s">
        <v>216</v>
      </c>
      <c r="M101" s="13"/>
      <c r="N101" s="7" t="s">
        <v>217</v>
      </c>
      <c r="O101" s="7" t="s">
        <v>369</v>
      </c>
      <c r="P101" s="1" t="s">
        <v>218</v>
      </c>
      <c r="Q101" s="494">
        <v>1461896000</v>
      </c>
      <c r="R101" s="494">
        <v>1461896000</v>
      </c>
      <c r="S101" s="494">
        <f ca="1">IFERROR(__xludf.DUMMYFUNCTION("INDEX(IMPORTRANGE(""17pNv02DXDpQT9S3w4-QeNym2QJy2BzMBqDXp-XtzJBM"", ""'SPGG'!BG3:BG139""),MATCH($D101,IMPORTRANGE(""17pNv02DXDpQT9S3w4-QeNym2QJy2BzMBqDXp-XtzJBM"", ""'SPGG'!D3:D139""),0))"),973336000)</f>
        <v>973336000</v>
      </c>
      <c r="T101" s="13"/>
      <c r="U101" s="13"/>
      <c r="V101" s="13"/>
      <c r="W101" s="13"/>
      <c r="X101" s="13"/>
      <c r="Y101" s="4"/>
      <c r="Z101" s="36">
        <f ca="1">IFERROR(__xludf.DUMMYFUNCTION("INDEX(IMPORTRANGE(""17pNv02DXDpQT9S3w4-QeNym2QJy2BzMBqDXp-XtzJBM"", ""'SPGG'!BH3:BH139""),MATCH($D101,IMPORTRANGE(""17pNv02DXDpQT9S3w4-QeNym2QJy2BzMBqDXp-XtzJBM"", ""'SPGG'!D3:D139""),0))"),1461896000)</f>
        <v>1461896000</v>
      </c>
      <c r="AA101" s="6" t="str">
        <f ca="1">IFERROR(__xludf.DUMMYFUNCTION("INDEX(IMPORTRANGE(""17pNv02DXDpQT9S3w4-QeNym2QJy2BzMBqDXp-XtzJBM"", ""'SPGG'!BI3:BI139""),MATCH($D101,IMPORTRANGE(""17pNv02DXDpQT9S3w4-QeNym2QJy2BzMBqDXp-XtzJBM"", ""'SPGG'!D3:D139""),0))"),"")</f>
        <v/>
      </c>
      <c r="AB101" s="36">
        <f ca="1">IFERROR(__xludf.DUMMYFUNCTION("INDEX(IMPORTRANGE(""17pNv02DXDpQT9S3w4-QeNym2QJy2BzMBqDXp-XtzJBM"", ""'SPGG'!BJ3:BJ139""),MATCH($D101,IMPORTRANGE(""17pNv02DXDpQT9S3w4-QeNym2QJy2BzMBqDXp-XtzJBM"", ""'SPGG'!D3:D139""),0))"),1959485000)</f>
        <v>1959485000</v>
      </c>
      <c r="AC101" s="6" t="str">
        <f ca="1">IFERROR(__xludf.DUMMYFUNCTION("INDEX(IMPORTRANGE(""17pNv02DXDpQT9S3w4-QeNym2QJy2BzMBqDXp-XtzJBM"", ""'SPGG'!BK3:BK139""),MATCH($D101,IMPORTRANGE(""17pNv02DXDpQT9S3w4-QeNym2QJy2BzMBqDXp-XtzJBM"", ""'SPGG'!D3:D139""),0))"),"")</f>
        <v/>
      </c>
      <c r="AD101" s="36">
        <f ca="1">IFERROR(__xludf.DUMMYFUNCTION("INDEX(IMPORTRANGE(""17pNv02DXDpQT9S3w4-QeNym2QJy2BzMBqDXp-XtzJBM"", ""'SPGG'!BL3:BL139""),MATCH($D101,IMPORTRANGE(""17pNv02DXDpQT9S3w4-QeNym2QJy2BzMBqDXp-XtzJBM"", ""'SPGG'!D3:D139""),0))"),2082324)</f>
        <v>2082324</v>
      </c>
      <c r="AE101" s="36">
        <f ca="1">IFERROR(__xludf.DUMMYFUNCTION("INDEX(IMPORTRANGE(""17pNv02DXDpQT9S3w4-QeNym2QJy2BzMBqDXp-XtzJBM"", ""'SPGG'!BM3:BM139""),MATCH($D101,IMPORTRANGE(""17pNv02DXDpQT9S3w4-QeNym2QJy2BzMBqDXp-XtzJBM"", ""'SPGG'!D3:D139""),0))"),1589959000)</f>
        <v>1589959000</v>
      </c>
    </row>
    <row r="102" spans="1:31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7" t="s">
        <v>213</v>
      </c>
      <c r="H102" s="1" t="s">
        <v>214</v>
      </c>
      <c r="I102" s="2" t="s">
        <v>368</v>
      </c>
      <c r="J102" s="7" t="s">
        <v>215</v>
      </c>
      <c r="K102" s="13"/>
      <c r="L102" s="7" t="s">
        <v>216</v>
      </c>
      <c r="M102" s="13"/>
      <c r="N102" s="7" t="s">
        <v>217</v>
      </c>
      <c r="O102" s="7" t="s">
        <v>369</v>
      </c>
      <c r="P102" s="1" t="s">
        <v>218</v>
      </c>
      <c r="Q102" s="494">
        <v>3092558000</v>
      </c>
      <c r="R102" s="494">
        <v>3092558000</v>
      </c>
      <c r="S102" s="494">
        <f ca="1">IFERROR(__xludf.DUMMYFUNCTION("INDEX(IMPORTRANGE(""17pNv02DXDpQT9S3w4-QeNym2QJy2BzMBqDXp-XtzJBM"", ""'SPGG'!BG3:BG139""),MATCH($D102,IMPORTRANGE(""17pNv02DXDpQT9S3w4-QeNym2QJy2BzMBqDXp-XtzJBM"", ""'SPGG'!D3:D139""),0))"),1793608000)</f>
        <v>1793608000</v>
      </c>
      <c r="T102" s="13"/>
      <c r="U102" s="13"/>
      <c r="V102" s="13"/>
      <c r="W102" s="13"/>
      <c r="X102" s="13"/>
      <c r="Y102" s="4"/>
      <c r="Z102" s="36">
        <f ca="1">IFERROR(__xludf.DUMMYFUNCTION("INDEX(IMPORTRANGE(""17pNv02DXDpQT9S3w4-QeNym2QJy2BzMBqDXp-XtzJBM"", ""'SPGG'!BH3:BH139""),MATCH($D102,IMPORTRANGE(""17pNv02DXDpQT9S3w4-QeNym2QJy2BzMBqDXp-XtzJBM"", ""'SPGG'!D3:D139""),0))"),3092558000)</f>
        <v>3092558000</v>
      </c>
      <c r="AA102" s="6" t="str">
        <f ca="1">IFERROR(__xludf.DUMMYFUNCTION("INDEX(IMPORTRANGE(""17pNv02DXDpQT9S3w4-QeNym2QJy2BzMBqDXp-XtzJBM"", ""'SPGG'!BI3:BI139""),MATCH($D102,IMPORTRANGE(""17pNv02DXDpQT9S3w4-QeNym2QJy2BzMBqDXp-XtzJBM"", ""'SPGG'!D3:D139""),0))"),"")</f>
        <v/>
      </c>
      <c r="AB102" s="36">
        <f ca="1">IFERROR(__xludf.DUMMYFUNCTION("INDEX(IMPORTRANGE(""17pNv02DXDpQT9S3w4-QeNym2QJy2BzMBqDXp-XtzJBM"", ""'SPGG'!BJ3:BJ139""),MATCH($D102,IMPORTRANGE(""17pNv02DXDpQT9S3w4-QeNym2QJy2BzMBqDXp-XtzJBM"", ""'SPGG'!D3:D139""),0))"),3835874000)</f>
        <v>3835874000</v>
      </c>
      <c r="AC102" s="6" t="str">
        <f ca="1">IFERROR(__xludf.DUMMYFUNCTION("INDEX(IMPORTRANGE(""17pNv02DXDpQT9S3w4-QeNym2QJy2BzMBqDXp-XtzJBM"", ""'SPGG'!BK3:BK139""),MATCH($D102,IMPORTRANGE(""17pNv02DXDpQT9S3w4-QeNym2QJy2BzMBqDXp-XtzJBM"", ""'SPGG'!D3:D139""),0))"),"")</f>
        <v/>
      </c>
      <c r="AD102" s="36">
        <f ca="1">IFERROR(__xludf.DUMMYFUNCTION("INDEX(IMPORTRANGE(""17pNv02DXDpQT9S3w4-QeNym2QJy2BzMBqDXp-XtzJBM"", ""'SPGG'!BL3:BL139""),MATCH($D102,IMPORTRANGE(""17pNv02DXDpQT9S3w4-QeNym2QJy2BzMBqDXp-XtzJBM"", ""'SPGG'!D3:D139""),0))"),4439806)</f>
        <v>4439806</v>
      </c>
      <c r="AE102" s="36">
        <f ca="1">IFERROR(__xludf.DUMMYFUNCTION("INDEX(IMPORTRANGE(""17pNv02DXDpQT9S3w4-QeNym2QJy2BzMBqDXp-XtzJBM"", ""'SPGG'!BM3:BM139""),MATCH($D102,IMPORTRANGE(""17pNv02DXDpQT9S3w4-QeNym2QJy2BzMBqDXp-XtzJBM"", ""'SPGG'!D3:D139""),0))"),2831132000)</f>
        <v>2831132000</v>
      </c>
    </row>
    <row r="103" spans="1:31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7" t="s">
        <v>213</v>
      </c>
      <c r="H103" s="1" t="s">
        <v>214</v>
      </c>
      <c r="I103" s="2" t="s">
        <v>368</v>
      </c>
      <c r="J103" s="7" t="s">
        <v>215</v>
      </c>
      <c r="K103" s="13"/>
      <c r="L103" s="7" t="s">
        <v>216</v>
      </c>
      <c r="M103" s="13"/>
      <c r="N103" s="7" t="s">
        <v>217</v>
      </c>
      <c r="O103" s="7" t="s">
        <v>369</v>
      </c>
      <c r="P103" s="1" t="s">
        <v>218</v>
      </c>
      <c r="Q103" s="15">
        <f t="shared" ref="Q103:R103" si="22">Q101/Q102</f>
        <v>0.47271417383279474</v>
      </c>
      <c r="R103" s="15">
        <f t="shared" si="22"/>
        <v>0.47271417383279474</v>
      </c>
      <c r="S103" s="15">
        <f ca="1">IFERROR(__xludf.DUMMYFUNCTION("INDEX(IMPORTRANGE(""17pNv02DXDpQT9S3w4-QeNym2QJy2BzMBqDXp-XtzJBM"", ""'SPGG'!BG3:BG139""),MATCH($D103,IMPORTRANGE(""17pNv02DXDpQT9S3w4-QeNym2QJy2BzMBqDXp-XtzJBM"", ""'SPGG'!D3:D139""),0))"),0.542669301207398)</f>
        <v>0.54266930120739798</v>
      </c>
      <c r="T103" s="2"/>
      <c r="U103" s="15">
        <v>0.48</v>
      </c>
      <c r="V103" s="15"/>
      <c r="W103" s="15">
        <v>0.49</v>
      </c>
      <c r="X103" s="15">
        <f>(Y103-W103)/6*5+W103</f>
        <v>0.49</v>
      </c>
      <c r="Y103" s="15">
        <v>0.49</v>
      </c>
      <c r="Z103" s="15">
        <f ca="1">IFERROR(__xludf.DUMMYFUNCTION("INDEX(IMPORTRANGE(""17pNv02DXDpQT9S3w4-QeNym2QJy2BzMBqDXp-XtzJBM"", ""'SPGG'!BH3:BH139""),MATCH($D103,IMPORTRANGE(""17pNv02DXDpQT9S3w4-QeNym2QJy2BzMBqDXp-XtzJBM"", ""'SPGG'!D3:D139""),0))"),0.472714173832794)</f>
        <v>0.47271417383279402</v>
      </c>
      <c r="AA103" s="6" t="str">
        <f ca="1">IFERROR(__xludf.DUMMYFUNCTION("INDEX(IMPORTRANGE(""17pNv02DXDpQT9S3w4-QeNym2QJy2BzMBqDXp-XtzJBM"", ""'SPGG'!BI3:BI139""),MATCH($D103,IMPORTRANGE(""17pNv02DXDpQT9S3w4-QeNym2QJy2BzMBqDXp-XtzJBM"", ""'SPGG'!D3:D139""),0))"),"")</f>
        <v/>
      </c>
      <c r="AB103" s="15">
        <f ca="1">IFERROR(__xludf.DUMMYFUNCTION("INDEX(IMPORTRANGE(""17pNv02DXDpQT9S3w4-QeNym2QJy2BzMBqDXp-XtzJBM"", ""'SPGG'!BJ3:BJ139""),MATCH($D103,IMPORTRANGE(""17pNv02DXDpQT9S3w4-QeNym2QJy2BzMBqDXp-XtzJBM"", ""'SPGG'!D3:D139""),0))"),0.510831429812345)</f>
        <v>0.51083142981234497</v>
      </c>
      <c r="AC103" s="6" t="str">
        <f ca="1">IFERROR(__xludf.DUMMYFUNCTION("INDEX(IMPORTRANGE(""17pNv02DXDpQT9S3w4-QeNym2QJy2BzMBqDXp-XtzJBM"", ""'SPGG'!BK3:BK139""),MATCH($D103,IMPORTRANGE(""17pNv02DXDpQT9S3w4-QeNym2QJy2BzMBqDXp-XtzJBM"", ""'SPGG'!D3:D139""),0))"),"")</f>
        <v/>
      </c>
      <c r="AD103" s="15">
        <f ca="1">IFERROR(__xludf.DUMMYFUNCTION("INDEX(IMPORTRANGE(""17pNv02DXDpQT9S3w4-QeNym2QJy2BzMBqDXp-XtzJBM"", ""'SPGG'!BL3:BL139""),MATCH($D103,IMPORTRANGE(""17pNv02DXDpQT9S3w4-QeNym2QJy2BzMBqDXp-XtzJBM"", ""'SPGG'!D3:D139""),0))"),0.46901238477537)</f>
        <v>0.46901238477536999</v>
      </c>
      <c r="AE103" s="15">
        <f ca="1">IFERROR(__xludf.DUMMYFUNCTION("INDEX(IMPORTRANGE(""17pNv02DXDpQT9S3w4-QeNym2QJy2BzMBqDXp-XtzJBM"", ""'SPGG'!BM3:BM139""),MATCH($D103,IMPORTRANGE(""17pNv02DXDpQT9S3w4-QeNym2QJy2BzMBqDXp-XtzJBM"", ""'SPGG'!D3:D139""),0))"),0.561598328866333)</f>
        <v>0.56159832886633299</v>
      </c>
    </row>
    <row r="104" spans="1:31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7" t="s">
        <v>213</v>
      </c>
      <c r="H104" s="1" t="s">
        <v>214</v>
      </c>
      <c r="I104" s="2" t="s">
        <v>368</v>
      </c>
      <c r="J104" s="7" t="s">
        <v>215</v>
      </c>
      <c r="K104" s="13"/>
      <c r="L104" s="7" t="s">
        <v>216</v>
      </c>
      <c r="M104" s="13"/>
      <c r="N104" s="7" t="s">
        <v>217</v>
      </c>
      <c r="O104" s="7" t="s">
        <v>369</v>
      </c>
      <c r="P104" s="1" t="s">
        <v>218</v>
      </c>
      <c r="Q104" s="36">
        <v>2295269000</v>
      </c>
      <c r="R104" s="36">
        <v>2295269000</v>
      </c>
      <c r="S104" s="36">
        <f ca="1">IFERROR(__xludf.DUMMYFUNCTION("INDEX(IMPORTRANGE(""17pNv02DXDpQT9S3w4-QeNym2QJy2BzMBqDXp-XtzJBM"", ""'SPGG'!BG3:BG139""),MATCH($D104,IMPORTRANGE(""17pNv02DXDpQT9S3w4-QeNym2QJy2BzMBqDXp-XtzJBM"", ""'SPGG'!D3:D139""),0))"),1009893000)</f>
        <v>1009893000</v>
      </c>
      <c r="T104" s="13"/>
      <c r="U104" s="13"/>
      <c r="V104" s="13"/>
      <c r="W104" s="13"/>
      <c r="X104" s="181"/>
      <c r="Y104" s="4"/>
      <c r="Z104" s="36">
        <f ca="1">IFERROR(__xludf.DUMMYFUNCTION("INDEX(IMPORTRANGE(""17pNv02DXDpQT9S3w4-QeNym2QJy2BzMBqDXp-XtzJBM"", ""'SPGG'!BH3:BH139""),MATCH($D104,IMPORTRANGE(""17pNv02DXDpQT9S3w4-QeNym2QJy2BzMBqDXp-XtzJBM"", ""'SPGG'!D3:D139""),0))"),2295269000)</f>
        <v>2295269000</v>
      </c>
      <c r="AA104" s="6" t="str">
        <f ca="1">IFERROR(__xludf.DUMMYFUNCTION("INDEX(IMPORTRANGE(""17pNv02DXDpQT9S3w4-QeNym2QJy2BzMBqDXp-XtzJBM"", ""'SPGG'!BI3:BI139""),MATCH($D104,IMPORTRANGE(""17pNv02DXDpQT9S3w4-QeNym2QJy2BzMBqDXp-XtzJBM"", ""'SPGG'!D3:D139""),0))"),"")</f>
        <v/>
      </c>
      <c r="AB104" s="36">
        <f ca="1">IFERROR(__xludf.DUMMYFUNCTION("INDEX(IMPORTRANGE(""17pNv02DXDpQT9S3w4-QeNym2QJy2BzMBqDXp-XtzJBM"", ""'SPGG'!BJ3:BJ139""),MATCH($D104,IMPORTRANGE(""17pNv02DXDpQT9S3w4-QeNym2QJy2BzMBqDXp-XtzJBM"", ""'SPGG'!D3:D139""),0))"),2424080000)</f>
        <v>2424080000</v>
      </c>
      <c r="AC104" s="6" t="str">
        <f ca="1">IFERROR(__xludf.DUMMYFUNCTION("INDEX(IMPORTRANGE(""17pNv02DXDpQT9S3w4-QeNym2QJy2BzMBqDXp-XtzJBM"", ""'SPGG'!BK3:BK139""),MATCH($D104,IMPORTRANGE(""17pNv02DXDpQT9S3w4-QeNym2QJy2BzMBqDXp-XtzJBM"", ""'SPGG'!D3:D139""),0))"),"")</f>
        <v/>
      </c>
      <c r="AD104" s="36">
        <f ca="1">IFERROR(__xludf.DUMMYFUNCTION("INDEX(IMPORTRANGE(""17pNv02DXDpQT9S3w4-QeNym2QJy2BzMBqDXp-XtzJBM"", ""'SPGG'!BL3:BL139""),MATCH($D104,IMPORTRANGE(""17pNv02DXDpQT9S3w4-QeNym2QJy2BzMBqDXp-XtzJBM"", ""'SPGG'!D3:D139""),0))"),2907242)</f>
        <v>2907242</v>
      </c>
      <c r="AE104" s="36">
        <f ca="1">IFERROR(__xludf.DUMMYFUNCTION("INDEX(IMPORTRANGE(""17pNv02DXDpQT9S3w4-QeNym2QJy2BzMBqDXp-XtzJBM"", ""'SPGG'!BM3:BM139""),MATCH($D104,IMPORTRANGE(""17pNv02DXDpQT9S3w4-QeNym2QJy2BzMBqDXp-XtzJBM"", ""'SPGG'!D3:D139""),0))"),1543201000)</f>
        <v>1543201000</v>
      </c>
    </row>
    <row r="105" spans="1:31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7" t="s">
        <v>213</v>
      </c>
      <c r="H105" s="1" t="s">
        <v>214</v>
      </c>
      <c r="I105" s="2" t="s">
        <v>368</v>
      </c>
      <c r="J105" s="7" t="s">
        <v>215</v>
      </c>
      <c r="K105" s="13"/>
      <c r="L105" s="7" t="s">
        <v>216</v>
      </c>
      <c r="M105" s="13"/>
      <c r="N105" s="7" t="s">
        <v>217</v>
      </c>
      <c r="O105" s="7" t="s">
        <v>369</v>
      </c>
      <c r="P105" s="1" t="s">
        <v>218</v>
      </c>
      <c r="Q105" s="15">
        <f t="shared" ref="Q105:R105" si="23">Q101/Q104</f>
        <v>0.63691706723699926</v>
      </c>
      <c r="R105" s="15">
        <f t="shared" si="23"/>
        <v>0.63691706723699926</v>
      </c>
      <c r="S105" s="15">
        <f ca="1">IFERROR(__xludf.DUMMYFUNCTION("INDEX(IMPORTRANGE(""17pNv02DXDpQT9S3w4-QeNym2QJy2BzMBqDXp-XtzJBM"", ""'SPGG'!BG3:BG139""),MATCH($D105,IMPORTRANGE(""17pNv02DXDpQT9S3w4-QeNym2QJy2BzMBqDXp-XtzJBM"", ""'SPGG'!D3:D139""),0))"),0.636917067236999)</f>
        <v>0.63691706723699903</v>
      </c>
      <c r="T105" s="2"/>
      <c r="U105" s="15">
        <v>0.66</v>
      </c>
      <c r="V105" s="15"/>
      <c r="W105" s="15">
        <v>0.67</v>
      </c>
      <c r="X105" s="15">
        <f>(Y105-W105)/6*5+W105</f>
        <v>0.67833333333333334</v>
      </c>
      <c r="Y105" s="15">
        <v>0.68</v>
      </c>
      <c r="Z105" s="15">
        <f ca="1">IFERROR(__xludf.DUMMYFUNCTION("INDEX(IMPORTRANGE(""17pNv02DXDpQT9S3w4-QeNym2QJy2BzMBqDXp-XtzJBM"", ""'SPGG'!BH3:BH139""),MATCH($D105,IMPORTRANGE(""17pNv02DXDpQT9S3w4-QeNym2QJy2BzMBqDXp-XtzJBM"", ""'SPGG'!D3:D139""),0))"),0.636917067236999)</f>
        <v>0.63691706723699903</v>
      </c>
      <c r="AA105" s="6" t="str">
        <f ca="1">IFERROR(__xludf.DUMMYFUNCTION("INDEX(IMPORTRANGE(""17pNv02DXDpQT9S3w4-QeNym2QJy2BzMBqDXp-XtzJBM"", ""'SPGG'!BI3:BI139""),MATCH($D105,IMPORTRANGE(""17pNv02DXDpQT9S3w4-QeNym2QJy2BzMBqDXp-XtzJBM"", ""'SPGG'!D3:D139""),0))"),"")</f>
        <v/>
      </c>
      <c r="AB105" s="15">
        <f ca="1">IFERROR(__xludf.DUMMYFUNCTION("INDEX(IMPORTRANGE(""17pNv02DXDpQT9S3w4-QeNym2QJy2BzMBqDXp-XtzJBM"", ""'SPGG'!BJ3:BJ139""),MATCH($D105,IMPORTRANGE(""17pNv02DXDpQT9S3w4-QeNym2QJy2BzMBqDXp-XtzJBM"", ""'SPGG'!D3:D139""),0))"),0.808341721395333)</f>
        <v>0.808341721395333</v>
      </c>
      <c r="AC105" s="6" t="str">
        <f ca="1">IFERROR(__xludf.DUMMYFUNCTION("INDEX(IMPORTRANGE(""17pNv02DXDpQT9S3w4-QeNym2QJy2BzMBqDXp-XtzJBM"", ""'SPGG'!BK3:BK139""),MATCH($D105,IMPORTRANGE(""17pNv02DXDpQT9S3w4-QeNym2QJy2BzMBqDXp-XtzJBM"", ""'SPGG'!D3:D139""),0))"),"")</f>
        <v/>
      </c>
      <c r="AD105" s="15">
        <f ca="1">IFERROR(__xludf.DUMMYFUNCTION("INDEX(IMPORTRANGE(""17pNv02DXDpQT9S3w4-QeNym2QJy2BzMBqDXp-XtzJBM"", ""'SPGG'!BL3:BL139""),MATCH($D105,IMPORTRANGE(""17pNv02DXDpQT9S3w4-QeNym2QJy2BzMBqDXp-XtzJBM"", ""'SPGG'!D3:D139""),0))"),0.716254099245952)</f>
        <v>0.71625409924595196</v>
      </c>
      <c r="AE105" s="15">
        <f ca="1">IFERROR(__xludf.DUMMYFUNCTION("INDEX(IMPORTRANGE(""17pNv02DXDpQT9S3w4-QeNym2QJy2BzMBqDXp-XtzJBM"", ""'SPGG'!BM3:BM139""),MATCH($D105,IMPORTRANGE(""17pNv02DXDpQT9S3w4-QeNym2QJy2BzMBqDXp-XtzJBM"", ""'SPGG'!D3:D139""),0))"),1.0302993582819)</f>
        <v>1.0302993582819</v>
      </c>
    </row>
    <row r="106" spans="1:31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7" t="s">
        <v>254</v>
      </c>
      <c r="H106" s="7" t="s">
        <v>254</v>
      </c>
      <c r="I106" s="2" t="s">
        <v>370</v>
      </c>
      <c r="J106" s="7" t="s">
        <v>254</v>
      </c>
      <c r="K106" s="13"/>
      <c r="L106" s="7" t="s">
        <v>255</v>
      </c>
      <c r="M106" s="13"/>
      <c r="N106" s="7" t="s">
        <v>256</v>
      </c>
      <c r="O106" s="7" t="s">
        <v>361</v>
      </c>
      <c r="P106" s="1" t="s">
        <v>218</v>
      </c>
      <c r="Q106" s="5">
        <v>66960</v>
      </c>
      <c r="R106" s="5">
        <v>66960</v>
      </c>
      <c r="S106" s="5">
        <f ca="1">IFERROR(__xludf.DUMMYFUNCTION("INDEX(IMPORTRANGE(""17pNv02DXDpQT9S3w4-QeNym2QJy2BzMBqDXp-XtzJBM"", ""'SPGG'!BG3:BG139""),MATCH($D106,IMPORTRANGE(""17pNv02DXDpQT9S3w4-QeNym2QJy2BzMBqDXp-XtzJBM"", ""'SPGG'!D3:D139""),0))"),67064)</f>
        <v>67064</v>
      </c>
      <c r="T106" s="13"/>
      <c r="U106" s="13"/>
      <c r="V106" s="13"/>
      <c r="W106" s="13"/>
      <c r="X106" s="13"/>
      <c r="Y106" s="4"/>
      <c r="Z106" s="12">
        <f ca="1">IFERROR(__xludf.DUMMYFUNCTION("INDEX(IMPORTRANGE(""17pNv02DXDpQT9S3w4-QeNym2QJy2BzMBqDXp-XtzJBM"", ""'SPGG'!BH3:BH139""),MATCH($D106,IMPORTRANGE(""17pNv02DXDpQT9S3w4-QeNym2QJy2BzMBqDXp-XtzJBM"", ""'SPGG'!D3:D139""),0))"),66960)</f>
        <v>66960</v>
      </c>
      <c r="AA106" s="6" t="str">
        <f ca="1">IFERROR(__xludf.DUMMYFUNCTION("INDEX(IMPORTRANGE(""17pNv02DXDpQT9S3w4-QeNym2QJy2BzMBqDXp-XtzJBM"", ""'SPGG'!BI3:BI139""),MATCH($D106,IMPORTRANGE(""17pNv02DXDpQT9S3w4-QeNym2QJy2BzMBqDXp-XtzJBM"", ""'SPGG'!D3:D139""),0))"),"")</f>
        <v/>
      </c>
      <c r="AB106" s="12">
        <f ca="1">IFERROR(__xludf.DUMMYFUNCTION("INDEX(IMPORTRANGE(""17pNv02DXDpQT9S3w4-QeNym2QJy2BzMBqDXp-XtzJBM"", ""'SPGG'!BJ3:BJ139""),MATCH($D106,IMPORTRANGE(""17pNv02DXDpQT9S3w4-QeNym2QJy2BzMBqDXp-XtzJBM"", ""'SPGG'!D3:D139""),0))"),67149)</f>
        <v>67149</v>
      </c>
      <c r="AC106" s="6" t="str">
        <f ca="1">IFERROR(__xludf.DUMMYFUNCTION("INDEX(IMPORTRANGE(""17pNv02DXDpQT9S3w4-QeNym2QJy2BzMBqDXp-XtzJBM"", ""'SPGG'!BK3:BK139""),MATCH($D106,IMPORTRANGE(""17pNv02DXDpQT9S3w4-QeNym2QJy2BzMBqDXp-XtzJBM"", ""'SPGG'!D3:D139""),0))"),"")</f>
        <v/>
      </c>
      <c r="AD106" s="12">
        <f ca="1">IFERROR(__xludf.DUMMYFUNCTION("INDEX(IMPORTRANGE(""17pNv02DXDpQT9S3w4-QeNym2QJy2BzMBqDXp-XtzJBM"", ""'SPGG'!BL3:BL139""),MATCH($D106,IMPORTRANGE(""17pNv02DXDpQT9S3w4-QeNym2QJy2BzMBqDXp-XtzJBM"", ""'SPGG'!D3:D139""),0))"),68859)</f>
        <v>68859</v>
      </c>
      <c r="AE106" s="12">
        <f ca="1">IFERROR(__xludf.DUMMYFUNCTION("INDEX(IMPORTRANGE(""17pNv02DXDpQT9S3w4-QeNym2QJy2BzMBqDXp-XtzJBM"", ""'SPGG'!BM3:BM139""),MATCH($D106,IMPORTRANGE(""17pNv02DXDpQT9S3w4-QeNym2QJy2BzMBqDXp-XtzJBM"", ""'SPGG'!D3:D139""),0))"),68859)</f>
        <v>68859</v>
      </c>
    </row>
    <row r="107" spans="1:31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7" t="s">
        <v>213</v>
      </c>
      <c r="H107" s="1" t="s">
        <v>214</v>
      </c>
      <c r="I107" s="2" t="s">
        <v>365</v>
      </c>
      <c r="J107" s="7" t="s">
        <v>215</v>
      </c>
      <c r="K107" s="13"/>
      <c r="L107" s="7" t="s">
        <v>216</v>
      </c>
      <c r="M107" s="13"/>
      <c r="N107" s="7" t="s">
        <v>217</v>
      </c>
      <c r="O107" s="7" t="s">
        <v>366</v>
      </c>
      <c r="P107" s="1" t="s">
        <v>218</v>
      </c>
      <c r="Q107" s="5">
        <v>53789</v>
      </c>
      <c r="R107" s="5">
        <v>53789</v>
      </c>
      <c r="S107" s="5">
        <f ca="1">IFERROR(__xludf.DUMMYFUNCTION("INDEX(IMPORTRANGE(""17pNv02DXDpQT9S3w4-QeNym2QJy2BzMBqDXp-XtzJBM"", ""'SPGG'!BG3:BG139""),MATCH($D107,IMPORTRANGE(""17pNv02DXDpQT9S3w4-QeNym2QJy2BzMBqDXp-XtzJBM"", ""'SPGG'!D3:D139""),0))"),49590)</f>
        <v>49590</v>
      </c>
      <c r="T107" s="1"/>
      <c r="U107" s="1"/>
      <c r="V107" s="1"/>
      <c r="W107" s="1"/>
      <c r="X107" s="1"/>
      <c r="Y107" s="2"/>
      <c r="Z107" s="12">
        <f ca="1">IFERROR(__xludf.DUMMYFUNCTION("INDEX(IMPORTRANGE(""17pNv02DXDpQT9S3w4-QeNym2QJy2BzMBqDXp-XtzJBM"", ""'SPGG'!BH3:BH139""),MATCH($D107,IMPORTRANGE(""17pNv02DXDpQT9S3w4-QeNym2QJy2BzMBqDXp-XtzJBM"", ""'SPGG'!D3:D139""),0))"),53789)</f>
        <v>53789</v>
      </c>
      <c r="AA107" s="6" t="str">
        <f ca="1">IFERROR(__xludf.DUMMYFUNCTION("INDEX(IMPORTRANGE(""17pNv02DXDpQT9S3w4-QeNym2QJy2BzMBqDXp-XtzJBM"", ""'SPGG'!BI3:BI139""),MATCH($D107,IMPORTRANGE(""17pNv02DXDpQT9S3w4-QeNym2QJy2BzMBqDXp-XtzJBM"", ""'SPGG'!D3:D139""),0))"),"")</f>
        <v/>
      </c>
      <c r="AB107" s="12">
        <f ca="1">IFERROR(__xludf.DUMMYFUNCTION("INDEX(IMPORTRANGE(""17pNv02DXDpQT9S3w4-QeNym2QJy2BzMBqDXp-XtzJBM"", ""'SPGG'!BJ3:BJ139""),MATCH($D107,IMPORTRANGE(""17pNv02DXDpQT9S3w4-QeNym2QJy2BzMBqDXp-XtzJBM"", ""'SPGG'!D3:D139""),0))"),54874)</f>
        <v>54874</v>
      </c>
      <c r="AC107" s="6" t="str">
        <f ca="1">IFERROR(__xludf.DUMMYFUNCTION("INDEX(IMPORTRANGE(""17pNv02DXDpQT9S3w4-QeNym2QJy2BzMBqDXp-XtzJBM"", ""'SPGG'!BK3:BK139""),MATCH($D107,IMPORTRANGE(""17pNv02DXDpQT9S3w4-QeNym2QJy2BzMBqDXp-XtzJBM"", ""'SPGG'!D3:D139""),0))"),"")</f>
        <v/>
      </c>
      <c r="AD107" s="12">
        <f ca="1">IFERROR(__xludf.DUMMYFUNCTION("INDEX(IMPORTRANGE(""17pNv02DXDpQT9S3w4-QeNym2QJy2BzMBqDXp-XtzJBM"", ""'SPGG'!BL3:BL139""),MATCH($D107,IMPORTRANGE(""17pNv02DXDpQT9S3w4-QeNym2QJy2BzMBqDXp-XtzJBM"", ""'SPGG'!D3:D139""),0))"),58482)</f>
        <v>58482</v>
      </c>
      <c r="AE107" s="12">
        <f ca="1">IFERROR(__xludf.DUMMYFUNCTION("INDEX(IMPORTRANGE(""17pNv02DXDpQT9S3w4-QeNym2QJy2BzMBqDXp-XtzJBM"", ""'SPGG'!BM3:BM139""),MATCH($D107,IMPORTRANGE(""17pNv02DXDpQT9S3w4-QeNym2QJy2BzMBqDXp-XtzJBM"", ""'SPGG'!D3:D139""),0))"),56947)</f>
        <v>56947</v>
      </c>
    </row>
    <row r="108" spans="1:31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7" t="s">
        <v>213</v>
      </c>
      <c r="H108" s="1" t="s">
        <v>214</v>
      </c>
      <c r="I108" s="2" t="s">
        <v>365</v>
      </c>
      <c r="J108" s="7" t="s">
        <v>215</v>
      </c>
      <c r="K108" s="13"/>
      <c r="L108" s="7" t="s">
        <v>216</v>
      </c>
      <c r="M108" s="13"/>
      <c r="N108" s="7" t="s">
        <v>217</v>
      </c>
      <c r="O108" s="7" t="s">
        <v>366</v>
      </c>
      <c r="P108" s="1" t="s">
        <v>218</v>
      </c>
      <c r="Q108" s="15">
        <f t="shared" ref="Q108:R108" si="24">Q107/Q106</f>
        <v>0.80330047789725212</v>
      </c>
      <c r="R108" s="15">
        <f t="shared" si="24"/>
        <v>0.80330047789725212</v>
      </c>
      <c r="S108" s="15">
        <f ca="1">IFERROR(__xludf.DUMMYFUNCTION("INDEX(IMPORTRANGE(""17pNv02DXDpQT9S3w4-QeNym2QJy2BzMBqDXp-XtzJBM"", ""'SPGG'!BG3:BG139""),MATCH($D108,IMPORTRANGE(""17pNv02DXDpQT9S3w4-QeNym2QJy2BzMBqDXp-XtzJBM"", ""'SPGG'!D3:D139""),0))"),0.739442920195634)</f>
        <v>0.73944292019563396</v>
      </c>
      <c r="T108" s="2"/>
      <c r="U108" s="15">
        <v>0.8</v>
      </c>
      <c r="V108" s="15"/>
      <c r="W108" s="15">
        <v>0.8</v>
      </c>
      <c r="X108" s="15">
        <f>(Y108-W108)/6*5+W108</f>
        <v>0.7583333333333333</v>
      </c>
      <c r="Y108" s="15">
        <v>0.75</v>
      </c>
      <c r="Z108" s="15">
        <f ca="1">IFERROR(__xludf.DUMMYFUNCTION("INDEX(IMPORTRANGE(""17pNv02DXDpQT9S3w4-QeNym2QJy2BzMBqDXp-XtzJBM"", ""'SPGG'!BH3:BH139""),MATCH($D108,IMPORTRANGE(""17pNv02DXDpQT9S3w4-QeNym2QJy2BzMBqDXp-XtzJBM"", ""'SPGG'!D3:D139""),0))"),0.803300477897252)</f>
        <v>0.80330047789725201</v>
      </c>
      <c r="AA108" s="6" t="str">
        <f ca="1">IFERROR(__xludf.DUMMYFUNCTION("INDEX(IMPORTRANGE(""17pNv02DXDpQT9S3w4-QeNym2QJy2BzMBqDXp-XtzJBM"", ""'SPGG'!BI3:BI139""),MATCH($D108,IMPORTRANGE(""17pNv02DXDpQT9S3w4-QeNym2QJy2BzMBqDXp-XtzJBM"", ""'SPGG'!D3:D139""),0))"),"")</f>
        <v/>
      </c>
      <c r="AB108" s="15">
        <f ca="1">IFERROR(__xludf.DUMMYFUNCTION("INDEX(IMPORTRANGE(""17pNv02DXDpQT9S3w4-QeNym2QJy2BzMBqDXp-XtzJBM"", ""'SPGG'!BJ3:BJ139""),MATCH($D108,IMPORTRANGE(""17pNv02DXDpQT9S3w4-QeNym2QJy2BzMBqDXp-XtzJBM"", ""'SPGG'!D3:D139""),0))"),0.817197575540961)</f>
        <v>0.81719757554096095</v>
      </c>
      <c r="AC108" s="6" t="str">
        <f ca="1">IFERROR(__xludf.DUMMYFUNCTION("INDEX(IMPORTRANGE(""17pNv02DXDpQT9S3w4-QeNym2QJy2BzMBqDXp-XtzJBM"", ""'SPGG'!BK3:BK139""),MATCH($D108,IMPORTRANGE(""17pNv02DXDpQT9S3w4-QeNym2QJy2BzMBqDXp-XtzJBM"", ""'SPGG'!D3:D139""),0))"),"")</f>
        <v/>
      </c>
      <c r="AD108" s="15">
        <f ca="1">IFERROR(__xludf.DUMMYFUNCTION("INDEX(IMPORTRANGE(""17pNv02DXDpQT9S3w4-QeNym2QJy2BzMBqDXp-XtzJBM"", ""'SPGG'!BL3:BL139""),MATCH($D108,IMPORTRANGE(""17pNv02DXDpQT9S3w4-QeNym2QJy2BzMBqDXp-XtzJBM"", ""'SPGG'!D3:D139""),0))"),0.849300745000653)</f>
        <v>0.849300745000653</v>
      </c>
      <c r="AE108" s="15">
        <f ca="1">IFERROR(__xludf.DUMMYFUNCTION("INDEX(IMPORTRANGE(""17pNv02DXDpQT9S3w4-QeNym2QJy2BzMBqDXp-XtzJBM"", ""'SPGG'!BM3:BM139""),MATCH($D108,IMPORTRANGE(""17pNv02DXDpQT9S3w4-QeNym2QJy2BzMBqDXp-XtzJBM"", ""'SPGG'!D3:D139""),0))"),0.827008815114945)</f>
        <v>0.82700881511494495</v>
      </c>
    </row>
    <row r="109" spans="1:31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7" t="s">
        <v>213</v>
      </c>
      <c r="H109" s="1" t="s">
        <v>214</v>
      </c>
      <c r="I109" s="2" t="s">
        <v>365</v>
      </c>
      <c r="J109" s="7" t="s">
        <v>215</v>
      </c>
      <c r="K109" s="13"/>
      <c r="L109" s="7" t="s">
        <v>216</v>
      </c>
      <c r="M109" s="13"/>
      <c r="N109" s="7" t="s">
        <v>217</v>
      </c>
      <c r="O109" s="7" t="s">
        <v>366</v>
      </c>
      <c r="P109" s="1" t="s">
        <v>218</v>
      </c>
      <c r="Q109" s="36"/>
      <c r="R109" s="36"/>
      <c r="S109" s="36">
        <f ca="1">IFERROR(__xludf.DUMMYFUNCTION("INDEX(IMPORTRANGE(""17pNv02DXDpQT9S3w4-QeNym2QJy2BzMBqDXp-XtzJBM"", ""'SPGG'!BG3:BG139""),MATCH($D109,IMPORTRANGE(""17pNv02DXDpQT9S3w4-QeNym2QJy2BzMBqDXp-XtzJBM"", ""'SPGG'!D3:D139""),0))"),730048554)</f>
        <v>730048554</v>
      </c>
      <c r="T109" s="1"/>
      <c r="U109" s="1"/>
      <c r="V109" s="1"/>
      <c r="W109" s="1"/>
      <c r="X109" s="491"/>
      <c r="Y109" s="499"/>
      <c r="Z109" s="36">
        <f ca="1">IFERROR(__xludf.DUMMYFUNCTION("INDEX(IMPORTRANGE(""17pNv02DXDpQT9S3w4-QeNym2QJy2BzMBqDXp-XtzJBM"", ""'SPGG'!BH3:BH139""),MATCH($D109,IMPORTRANGE(""17pNv02DXDpQT9S3w4-QeNym2QJy2BzMBqDXp-XtzJBM"", ""'SPGG'!D3:D139""),0))"),846769779)</f>
        <v>846769779</v>
      </c>
      <c r="AA109" s="6" t="str">
        <f ca="1">IFERROR(__xludf.DUMMYFUNCTION("INDEX(IMPORTRANGE(""17pNv02DXDpQT9S3w4-QeNym2QJy2BzMBqDXp-XtzJBM"", ""'SPGG'!BI3:BI139""),MATCH($D109,IMPORTRANGE(""17pNv02DXDpQT9S3w4-QeNym2QJy2BzMBqDXp-XtzJBM"", ""'SPGG'!D3:D139""),0))"),"")</f>
        <v/>
      </c>
      <c r="AB109" s="36">
        <f ca="1">IFERROR(__xludf.DUMMYFUNCTION("INDEX(IMPORTRANGE(""17pNv02DXDpQT9S3w4-QeNym2QJy2BzMBqDXp-XtzJBM"", ""'SPGG'!BJ3:BJ139""),MATCH($D109,IMPORTRANGE(""17pNv02DXDpQT9S3w4-QeNym2QJy2BzMBqDXp-XtzJBM"", ""'SPGG'!D3:D139""),0))"),978250587)</f>
        <v>978250587</v>
      </c>
      <c r="AC109" s="6" t="str">
        <f ca="1">IFERROR(__xludf.DUMMYFUNCTION("INDEX(IMPORTRANGE(""17pNv02DXDpQT9S3w4-QeNym2QJy2BzMBqDXp-XtzJBM"", ""'SPGG'!BK3:BK139""),MATCH($D109,IMPORTRANGE(""17pNv02DXDpQT9S3w4-QeNym2QJy2BzMBqDXp-XtzJBM"", ""'SPGG'!D3:D139""),0))"),"")</f>
        <v/>
      </c>
      <c r="AD109" s="36">
        <f ca="1">IFERROR(__xludf.DUMMYFUNCTION("INDEX(IMPORTRANGE(""17pNv02DXDpQT9S3w4-QeNym2QJy2BzMBqDXp-XtzJBM"", ""'SPGG'!BL3:BL139""),MATCH($D109,IMPORTRANGE(""17pNv02DXDpQT9S3w4-QeNym2QJy2BzMBqDXp-XtzJBM"", ""'SPGG'!D3:D139""),0))"),1033263374)</f>
        <v>1033263374</v>
      </c>
      <c r="AE109" s="36">
        <f ca="1">IFERROR(__xludf.DUMMYFUNCTION("INDEX(IMPORTRANGE(""17pNv02DXDpQT9S3w4-QeNym2QJy2BzMBqDXp-XtzJBM"", ""'SPGG'!BM3:BM139""),MATCH($D109,IMPORTRANGE(""17pNv02DXDpQT9S3w4-QeNym2QJy2BzMBqDXp-XtzJBM"", ""'SPGG'!D3:D139""),0))"),976068871)</f>
        <v>976068871</v>
      </c>
    </row>
    <row r="110" spans="1:31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7" t="s">
        <v>213</v>
      </c>
      <c r="H110" s="1" t="s">
        <v>214</v>
      </c>
      <c r="I110" s="2" t="s">
        <v>365</v>
      </c>
      <c r="J110" s="7" t="s">
        <v>215</v>
      </c>
      <c r="K110" s="13"/>
      <c r="L110" s="7" t="s">
        <v>216</v>
      </c>
      <c r="M110" s="13"/>
      <c r="N110" s="7" t="s">
        <v>217</v>
      </c>
      <c r="O110" s="7" t="s">
        <v>366</v>
      </c>
      <c r="P110" s="1" t="s">
        <v>218</v>
      </c>
      <c r="Q110" s="36">
        <v>846769779</v>
      </c>
      <c r="R110" s="36">
        <v>846769779</v>
      </c>
      <c r="S110" s="36" t="str">
        <f ca="1">IFERROR(__xludf.DUMMYFUNCTION("INDEX(IMPORTRANGE(""17pNv02DXDpQT9S3w4-QeNym2QJy2BzMBqDXp-XtzJBM"", ""'SPGG'!BG3:BG139""),MATCH($D110,IMPORTRANGE(""17pNv02DXDpQT9S3w4-QeNym2QJy2BzMBqDXp-XtzJBM"", ""'SPGG'!D3:D139""),0))"),"")</f>
        <v/>
      </c>
      <c r="T110" s="2"/>
      <c r="U110" s="349">
        <v>892000000</v>
      </c>
      <c r="V110" s="349"/>
      <c r="W110" s="349">
        <v>920000000</v>
      </c>
      <c r="X110" s="36">
        <f>(Y110-W110)/6*5+W110</f>
        <v>886666666.66666663</v>
      </c>
      <c r="Y110" s="36">
        <v>880000000</v>
      </c>
      <c r="Z110" s="36" t="str">
        <f ca="1">IFERROR(__xludf.DUMMYFUNCTION("INDEX(IMPORTRANGE(""17pNv02DXDpQT9S3w4-QeNym2QJy2BzMBqDXp-XtzJBM"", ""'SPGG'!BH3:BH139""),MATCH($D110,IMPORTRANGE(""17pNv02DXDpQT9S3w4-QeNym2QJy2BzMBqDXp-XtzJBM"", ""'SPGG'!D3:D139""),0))"),"")</f>
        <v/>
      </c>
      <c r="AA110" s="6" t="str">
        <f ca="1">IFERROR(__xludf.DUMMYFUNCTION("INDEX(IMPORTRANGE(""17pNv02DXDpQT9S3w4-QeNym2QJy2BzMBqDXp-XtzJBM"", ""'SPGG'!BI3:BI139""),MATCH($D110,IMPORTRANGE(""17pNv02DXDpQT9S3w4-QeNym2QJy2BzMBqDXp-XtzJBM"", ""'SPGG'!D3:D139""),0))"),"")</f>
        <v/>
      </c>
      <c r="AB110" s="36">
        <f ca="1">IFERROR(__xludf.DUMMYFUNCTION("INDEX(IMPORTRANGE(""17pNv02DXDpQT9S3w4-QeNym2QJy2BzMBqDXp-XtzJBM"", ""'SPGG'!BJ3:BJ139""),MATCH($D110,IMPORTRANGE(""17pNv02DXDpQT9S3w4-QeNym2QJy2BzMBqDXp-XtzJBM"", ""'SPGG'!D3:D139""),0))"),1020323231)</f>
        <v>1020323231</v>
      </c>
      <c r="AC110" s="6" t="str">
        <f ca="1">IFERROR(__xludf.DUMMYFUNCTION("INDEX(IMPORTRANGE(""17pNv02DXDpQT9S3w4-QeNym2QJy2BzMBqDXp-XtzJBM"", ""'SPGG'!BK3:BK139""),MATCH($D110,IMPORTRANGE(""17pNv02DXDpQT9S3w4-QeNym2QJy2BzMBqDXp-XtzJBM"", ""'SPGG'!D3:D139""),0))"),"")</f>
        <v/>
      </c>
      <c r="AD110" s="36">
        <f ca="1">IFERROR(__xludf.DUMMYFUNCTION("INDEX(IMPORTRANGE(""17pNv02DXDpQT9S3w4-QeNym2QJy2BzMBqDXp-XtzJBM"", ""'SPGG'!BL3:BL139""),MATCH($D110,IMPORTRANGE(""17pNv02DXDpQT9S3w4-QeNym2QJy2BzMBqDXp-XtzJBM"", ""'SPGG'!D3:D139""),0))"),1091376168)</f>
        <v>1091376168</v>
      </c>
      <c r="AE110" s="36">
        <f ca="1">IFERROR(__xludf.DUMMYFUNCTION("INDEX(IMPORTRANGE(""17pNv02DXDpQT9S3w4-QeNym2QJy2BzMBqDXp-XtzJBM"", ""'SPGG'!BM3:BM139""),MATCH($D110,IMPORTRANGE(""17pNv02DXDpQT9S3w4-QeNym2QJy2BzMBqDXp-XtzJBM"", ""'SPGG'!D3:D139""),0))"),1010317494)</f>
        <v>1010317494</v>
      </c>
    </row>
    <row r="111" spans="1:31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7" t="s">
        <v>213</v>
      </c>
      <c r="H111" s="1" t="s">
        <v>214</v>
      </c>
      <c r="I111" s="2" t="s">
        <v>368</v>
      </c>
      <c r="J111" s="7" t="s">
        <v>215</v>
      </c>
      <c r="K111" s="13"/>
      <c r="L111" s="7" t="s">
        <v>216</v>
      </c>
      <c r="M111" s="13"/>
      <c r="N111" s="7" t="s">
        <v>217</v>
      </c>
      <c r="O111" s="7" t="s">
        <v>369</v>
      </c>
      <c r="P111" s="1" t="s">
        <v>218</v>
      </c>
      <c r="Q111" s="36">
        <v>3142218000</v>
      </c>
      <c r="R111" s="36">
        <v>3142218000</v>
      </c>
      <c r="S111" s="36">
        <f ca="1">IFERROR(__xludf.DUMMYFUNCTION("INDEX(IMPORTRANGE(""17pNv02DXDpQT9S3w4-QeNym2QJy2BzMBqDXp-XtzJBM"", ""'SPGG'!BG3:BG139""),MATCH($D111,IMPORTRANGE(""17pNv02DXDpQT9S3w4-QeNym2QJy2BzMBqDXp-XtzJBM"", ""'SPGG'!D3:D139""),0))"),1459513000)</f>
        <v>1459513000</v>
      </c>
      <c r="T111" s="13"/>
      <c r="U111" s="13"/>
      <c r="V111" s="13"/>
      <c r="W111" s="13"/>
      <c r="X111" s="336"/>
      <c r="Y111" s="4"/>
      <c r="Z111" s="36">
        <f ca="1">IFERROR(__xludf.DUMMYFUNCTION("INDEX(IMPORTRANGE(""17pNv02DXDpQT9S3w4-QeNym2QJy2BzMBqDXp-XtzJBM"", ""'SPGG'!BH3:BH139""),MATCH($D111,IMPORTRANGE(""17pNv02DXDpQT9S3w4-QeNym2QJy2BzMBqDXp-XtzJBM"", ""'SPGG'!D3:D139""),0))"),3142218000)</f>
        <v>3142218000</v>
      </c>
      <c r="AA111" s="6" t="str">
        <f ca="1">IFERROR(__xludf.DUMMYFUNCTION("INDEX(IMPORTRANGE(""17pNv02DXDpQT9S3w4-QeNym2QJy2BzMBqDXp-XtzJBM"", ""'SPGG'!BI3:BI139""),MATCH($D111,IMPORTRANGE(""17pNv02DXDpQT9S3w4-QeNym2QJy2BzMBqDXp-XtzJBM"", ""'SPGG'!D3:D139""),0))"),"")</f>
        <v/>
      </c>
      <c r="AB111" s="36">
        <f ca="1">IFERROR(__xludf.DUMMYFUNCTION("INDEX(IMPORTRANGE(""17pNv02DXDpQT9S3w4-QeNym2QJy2BzMBqDXp-XtzJBM"", ""'SPGG'!BJ3:BJ139""),MATCH($D111,IMPORTRANGE(""17pNv02DXDpQT9S3w4-QeNym2QJy2BzMBqDXp-XtzJBM"", ""'SPGG'!D3:D139""),0))"),3183724000)</f>
        <v>3183724000</v>
      </c>
      <c r="AC111" s="6" t="str">
        <f ca="1">IFERROR(__xludf.DUMMYFUNCTION("INDEX(IMPORTRANGE(""17pNv02DXDpQT9S3w4-QeNym2QJy2BzMBqDXp-XtzJBM"", ""'SPGG'!BK3:BK139""),MATCH($D111,IMPORTRANGE(""17pNv02DXDpQT9S3w4-QeNym2QJy2BzMBqDXp-XtzJBM"", ""'SPGG'!D3:D139""),0))"),"")</f>
        <v/>
      </c>
      <c r="AD111" s="36">
        <f ca="1">IFERROR(__xludf.DUMMYFUNCTION("INDEX(IMPORTRANGE(""17pNv02DXDpQT9S3w4-QeNym2QJy2BzMBqDXp-XtzJBM"", ""'SPGG'!BL3:BL139""),MATCH($D111,IMPORTRANGE(""17pNv02DXDpQT9S3w4-QeNym2QJy2BzMBqDXp-XtzJBM"", ""'SPGG'!D3:D139""),0))"),3988303)</f>
        <v>3988303</v>
      </c>
      <c r="AE111" s="36">
        <f ca="1">IFERROR(__xludf.DUMMYFUNCTION("INDEX(IMPORTRANGE(""17pNv02DXDpQT9S3w4-QeNym2QJy2BzMBqDXp-XtzJBM"", ""'SPGG'!BM3:BM139""),MATCH($D111,IMPORTRANGE(""17pNv02DXDpQT9S3w4-QeNym2QJy2BzMBqDXp-XtzJBM"", ""'SPGG'!D3:D139""),0))"),2040857000)</f>
        <v>2040857000</v>
      </c>
    </row>
    <row r="112" spans="1:31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7" t="s">
        <v>213</v>
      </c>
      <c r="H112" s="1" t="s">
        <v>214</v>
      </c>
      <c r="I112" s="2" t="s">
        <v>368</v>
      </c>
      <c r="J112" s="7" t="s">
        <v>215</v>
      </c>
      <c r="K112" s="13"/>
      <c r="L112" s="7" t="s">
        <v>216</v>
      </c>
      <c r="M112" s="13"/>
      <c r="N112" s="7" t="s">
        <v>217</v>
      </c>
      <c r="O112" s="7" t="s">
        <v>369</v>
      </c>
      <c r="P112" s="1" t="s">
        <v>218</v>
      </c>
      <c r="Q112" s="15">
        <f t="shared" ref="Q112:R112" si="25">Q104/Q111</f>
        <v>0.73046141292551947</v>
      </c>
      <c r="R112" s="15">
        <f t="shared" si="25"/>
        <v>0.73046141292551947</v>
      </c>
      <c r="S112" s="15">
        <f ca="1">IFERROR(__xludf.DUMMYFUNCTION("INDEX(IMPORTRANGE(""17pNv02DXDpQT9S3w4-QeNym2QJy2BzMBqDXp-XtzJBM"", ""'SPGG'!BG3:BG139""),MATCH($D112,IMPORTRANGE(""17pNv02DXDpQT9S3w4-QeNym2QJy2BzMBqDXp-XtzJBM"", ""'SPGG'!D3:D139""),0))"),0.691938338336143)</f>
        <v>0.69193833833614304</v>
      </c>
      <c r="T112" s="2"/>
      <c r="U112" s="15">
        <v>0.73</v>
      </c>
      <c r="V112" s="15"/>
      <c r="W112" s="15">
        <v>0.73</v>
      </c>
      <c r="X112" s="15">
        <f>(Y112-W112)/6*5+W112</f>
        <v>0.73833333333333329</v>
      </c>
      <c r="Y112" s="15">
        <v>0.74</v>
      </c>
      <c r="Z112" s="15">
        <f ca="1">IFERROR(__xludf.DUMMYFUNCTION("INDEX(IMPORTRANGE(""17pNv02DXDpQT9S3w4-QeNym2QJy2BzMBqDXp-XtzJBM"", ""'SPGG'!BH3:BH139""),MATCH($D112,IMPORTRANGE(""17pNv02DXDpQT9S3w4-QeNym2QJy2BzMBqDXp-XtzJBM"", ""'SPGG'!D3:D139""),0))"),0.730461412925519)</f>
        <v>0.73046141292551903</v>
      </c>
      <c r="AA112" s="6" t="str">
        <f ca="1">IFERROR(__xludf.DUMMYFUNCTION("INDEX(IMPORTRANGE(""17pNv02DXDpQT9S3w4-QeNym2QJy2BzMBqDXp-XtzJBM"", ""'SPGG'!BI3:BI139""),MATCH($D112,IMPORTRANGE(""17pNv02DXDpQT9S3w4-QeNym2QJy2BzMBqDXp-XtzJBM"", ""'SPGG'!D3:D139""),0))"),"")</f>
        <v/>
      </c>
      <c r="AB112" s="15">
        <f ca="1">IFERROR(__xludf.DUMMYFUNCTION("INDEX(IMPORTRANGE(""17pNv02DXDpQT9S3w4-QeNym2QJy2BzMBqDXp-XtzJBM"", ""'SPGG'!BJ3:BJ139""),MATCH($D112,IMPORTRANGE(""17pNv02DXDpQT9S3w4-QeNym2QJy2BzMBqDXp-XtzJBM"", ""'SPGG'!D3:D139""),0))"),0.761397658842286)</f>
        <v>0.76139765884228605</v>
      </c>
      <c r="AC112" s="6" t="str">
        <f ca="1">IFERROR(__xludf.DUMMYFUNCTION("INDEX(IMPORTRANGE(""17pNv02DXDpQT9S3w4-QeNym2QJy2BzMBqDXp-XtzJBM"", ""'SPGG'!BK3:BK139""),MATCH($D112,IMPORTRANGE(""17pNv02DXDpQT9S3w4-QeNym2QJy2BzMBqDXp-XtzJBM"", ""'SPGG'!D3:D139""),0))"),"")</f>
        <v/>
      </c>
      <c r="AD112" s="15">
        <f ca="1">IFERROR(__xludf.DUMMYFUNCTION("INDEX(IMPORTRANGE(""17pNv02DXDpQT9S3w4-QeNym2QJy2BzMBqDXp-XtzJBM"", ""'SPGG'!BL3:BL139""),MATCH($D112,IMPORTRANGE(""17pNv02DXDpQT9S3w4-QeNym2QJy2BzMBqDXp-XtzJBM"", ""'SPGG'!D3:D139""),0))"),0.728942108962132)</f>
        <v>0.72894210896213196</v>
      </c>
      <c r="AE112" s="15">
        <f ca="1">IFERROR(__xludf.DUMMYFUNCTION("INDEX(IMPORTRANGE(""17pNv02DXDpQT9S3w4-QeNym2QJy2BzMBqDXp-XtzJBM"", ""'SPGG'!BM3:BM139""),MATCH($D112,IMPORTRANGE(""17pNv02DXDpQT9S3w4-QeNym2QJy2BzMBqDXp-XtzJBM"", ""'SPGG'!D3:D139""),0))"),0.756153419862342)</f>
        <v>0.75615341986234197</v>
      </c>
    </row>
    <row r="113" spans="1:31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3"/>
      <c r="I113" s="49">
        <v>44348</v>
      </c>
      <c r="J113" s="1" t="s">
        <v>254</v>
      </c>
      <c r="K113" s="13"/>
      <c r="L113" s="1" t="s">
        <v>255</v>
      </c>
      <c r="M113" s="13"/>
      <c r="N113" s="1" t="s">
        <v>256</v>
      </c>
      <c r="O113" s="49">
        <v>45473</v>
      </c>
      <c r="P113" s="1"/>
      <c r="Q113" s="2" t="s">
        <v>308</v>
      </c>
      <c r="R113" s="2" t="s">
        <v>308</v>
      </c>
      <c r="S113" s="2" t="str">
        <f ca="1">IFERROR(__xludf.DUMMYFUNCTION("INDEX(IMPORTRANGE(""17pNv02DXDpQT9S3w4-QeNym2QJy2BzMBqDXp-XtzJBM"", ""'SPGG'!BG3:BG139""),MATCH($D113,IMPORTRANGE(""17pNv02DXDpQT9S3w4-QeNym2QJy2BzMBqDXp-XtzJBM"", ""'SPGG'!D3:D139""),0))"),"Verde")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12" t="str">
        <f ca="1">IFERROR(__xludf.DUMMYFUNCTION("INDEX(IMPORTRANGE(""17pNv02DXDpQT9S3w4-QeNym2QJy2BzMBqDXp-XtzJBM"", ""'SPGG'!BH3:BH139""),MATCH($D113,IMPORTRANGE(""17pNv02DXDpQT9S3w4-QeNym2QJy2BzMBqDXp-XtzJBM"", ""'SPGG'!D3:D139""),0))"),"Verde")</f>
        <v>Verde</v>
      </c>
      <c r="AA113" s="6" t="str">
        <f ca="1">IFERROR(__xludf.DUMMYFUNCTION("INDEX(IMPORTRANGE(""17pNv02DXDpQT9S3w4-QeNym2QJy2BzMBqDXp-XtzJBM"", ""'SPGG'!BI3:BI139""),MATCH($D113,IMPORTRANGE(""17pNv02DXDpQT9S3w4-QeNym2QJy2BzMBqDXp-XtzJBM"", ""'SPGG'!D3:D139""),0))"),"")</f>
        <v/>
      </c>
      <c r="AB113" s="12" t="str">
        <f ca="1">IFERROR(__xludf.DUMMYFUNCTION("INDEX(IMPORTRANGE(""17pNv02DXDpQT9S3w4-QeNym2QJy2BzMBqDXp-XtzJBM"", ""'SPGG'!BJ3:BJ139""),MATCH($D113,IMPORTRANGE(""17pNv02DXDpQT9S3w4-QeNym2QJy2BzMBqDXp-XtzJBM"", ""'SPGG'!D3:D139""),0))"),"Verde")</f>
        <v>Verde</v>
      </c>
      <c r="AC113" s="6" t="str">
        <f ca="1">IFERROR(__xludf.DUMMYFUNCTION("INDEX(IMPORTRANGE(""17pNv02DXDpQT9S3w4-QeNym2QJy2BzMBqDXp-XtzJBM"", ""'SPGG'!BK3:BK139""),MATCH($D113,IMPORTRANGE(""17pNv02DXDpQT9S3w4-QeNym2QJy2BzMBqDXp-XtzJBM"", ""'SPGG'!D3:D139""),0))"),"")</f>
        <v/>
      </c>
      <c r="AD113" s="12" t="str">
        <f ca="1">IFERROR(__xludf.DUMMYFUNCTION("INDEX(IMPORTRANGE(""17pNv02DXDpQT9S3w4-QeNym2QJy2BzMBqDXp-XtzJBM"", ""'SPGG'!BL3:BL139""),MATCH($D113,IMPORTRANGE(""17pNv02DXDpQT9S3w4-QeNym2QJy2BzMBqDXp-XtzJBM"", ""'SPGG'!D3:D139""),0))"),"Verde")</f>
        <v>Verde</v>
      </c>
      <c r="AE113" s="12" t="str">
        <f ca="1">IFERROR(__xludf.DUMMYFUNCTION("INDEX(IMPORTRANGE(""17pNv02DXDpQT9S3w4-QeNym2QJy2BzMBqDXp-XtzJBM"", ""'SPGG'!BM3:BM139""),MATCH($D113,IMPORTRANGE(""17pNv02DXDpQT9S3w4-QeNym2QJy2BzMBqDXp-XtzJBM"", ""'SPGG'!D3:D139""),0))"),"Verde")</f>
        <v>Verde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BADA-610C-0245-94BB-5C4C74145DA1}">
  <dimension ref="A1:M39"/>
  <sheetViews>
    <sheetView workbookViewId="0">
      <selection activeCell="P3" sqref="P3"/>
    </sheetView>
  </sheetViews>
  <sheetFormatPr baseColWidth="10" defaultRowHeight="16"/>
  <cols>
    <col min="3" max="3" width="22.6640625" customWidth="1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72" t="s">
        <v>34</v>
      </c>
      <c r="B2" s="72" t="s">
        <v>35</v>
      </c>
      <c r="C2" s="71" t="s">
        <v>37</v>
      </c>
      <c r="D2" s="75">
        <f>VLOOKUP(C2,'BD EVA 5 SPGG'!$D$3:$AE$113,6,0)</f>
        <v>44469</v>
      </c>
      <c r="E2" s="212">
        <f ca="1">VLOOKUP(C2,'BD EVA 5 SPGG'!$D$3:$AE$113,16,0)</f>
        <v>524</v>
      </c>
      <c r="F2" s="75" t="str">
        <f>VLOOKUP(C2,'BD EVA 5 SPGG'!$D$3:$AE$113,12,0)</f>
        <v>Ago 2024</v>
      </c>
      <c r="G2" s="212">
        <f ca="1">VLOOKUP(C2,'BD EVA 5 SPGG'!$D$3:$AE$113,28,0)</f>
        <v>627</v>
      </c>
      <c r="H2" s="212">
        <f>VLOOKUP(C2,'BD EVA 5 SPGG'!$D$3:$AE$113,21,0)</f>
        <v>595</v>
      </c>
      <c r="I2" s="78">
        <f ca="1">IF(G2&gt;=E2,G2/H2,0)</f>
        <v>1.053781512605042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67">
        <f ca="1">SUM(L2:L4)</f>
        <v>10</v>
      </c>
    </row>
    <row r="3" spans="1:13" ht="52">
      <c r="A3" s="72" t="s">
        <v>34</v>
      </c>
      <c r="B3" s="72" t="s">
        <v>40</v>
      </c>
      <c r="C3" s="71" t="s">
        <v>43</v>
      </c>
      <c r="D3" s="75">
        <f>VLOOKUP(C3,'BD EVA 5 SPGG'!$D$3:$AE$113,6,0)</f>
        <v>44469</v>
      </c>
      <c r="E3" s="207">
        <f ca="1">VLOOKUP(C3,'BD EVA 5 SPGG'!$D$3:$AE$113,16,0)</f>
        <v>0.95992366412213703</v>
      </c>
      <c r="F3" s="75" t="str">
        <f>VLOOKUP(C3,'BD EVA 5 SPGG'!$D$3:$AE$113,12,0)</f>
        <v>Ago 2024</v>
      </c>
      <c r="G3" s="207">
        <f ca="1">VLOOKUP(C3,'BD EVA 5 SPGG'!$D$3:$AE$113,28,0)</f>
        <v>0.97288676236044602</v>
      </c>
      <c r="H3" s="207" t="str">
        <f>VLOOKUP(C3,'BD EVA 5 SPGG'!$D$3:$AE$113,21,0)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68"/>
    </row>
    <row r="4" spans="1:13" ht="143">
      <c r="A4" s="72" t="s">
        <v>34</v>
      </c>
      <c r="B4" s="72" t="s">
        <v>45</v>
      </c>
      <c r="C4" s="71" t="s">
        <v>50</v>
      </c>
      <c r="D4" s="89">
        <f>VLOOKUP(C4,'BD EVA 5 SPGG'!$D$3:$AE$113,6,0)</f>
        <v>44469</v>
      </c>
      <c r="E4" s="207">
        <f ca="1">VLOOKUP(C4,'BD EVA 5 SPGG'!$D$3:$AE$113,16,0)</f>
        <v>2.4809160305343501E-2</v>
      </c>
      <c r="F4" s="89" t="str">
        <f>VLOOKUP(C4,'BD EVA 5 SPGG'!$D$3:$AE$113,12,0)</f>
        <v>Ago 2024</v>
      </c>
      <c r="G4" s="207">
        <f ca="1">VLOOKUP(C4,'BD EVA 5 SPGG'!$D$3:$AE$113,28,0)</f>
        <v>1.9138755980861202E-2</v>
      </c>
      <c r="H4" s="207">
        <f>VLOOKUP(C4,'BD EVA 5 SPGG'!$D$3:$AE$113,21,0)</f>
        <v>1.2999999999999999E-2</v>
      </c>
      <c r="I4" s="77">
        <f t="shared" ref="I4:I5" ca="1" si="1">G4/H4</f>
        <v>1.4722119985277848</v>
      </c>
      <c r="J4" s="75" t="s">
        <v>318</v>
      </c>
      <c r="K4" s="81">
        <v>3.5</v>
      </c>
      <c r="L4" s="81">
        <f t="shared" ca="1" si="0"/>
        <v>3.5</v>
      </c>
      <c r="M4" s="168"/>
    </row>
    <row r="5" spans="1:13" ht="143">
      <c r="A5" s="72" t="s">
        <v>52</v>
      </c>
      <c r="B5" s="72" t="s">
        <v>53</v>
      </c>
      <c r="C5" s="72" t="s">
        <v>66</v>
      </c>
      <c r="D5" s="75" t="str">
        <f>VLOOKUP(C5,'BD EVA 5 SPGG'!$D$3:$AE$113,6,0)</f>
        <v>octubre 20 - agosto 21</v>
      </c>
      <c r="E5" s="207">
        <f ca="1">VLOOKUP(C5,'BD EVA 5 SPGG'!$D$3:$AE$113,16,0)</f>
        <v>8.7824351297405095E-2</v>
      </c>
      <c r="F5" s="75" t="str">
        <f>VLOOKUP(C5,'BD EVA 5 SPGG'!$D$3:$AE$113,12,0)</f>
        <v>octubre 23 - agosto 24</v>
      </c>
      <c r="G5" s="207">
        <f ca="1">VLOOKUP(C5,'BD EVA 5 SPGG'!$D$3:$AE$113,28,0)</f>
        <v>0.114023591087811</v>
      </c>
      <c r="H5" s="207">
        <f>VLOOKUP(C5,'BD EVA 5 SPGG'!$D$3:$AE$113,21,0)</f>
        <v>4.0000000000000001E-3</v>
      </c>
      <c r="I5" s="77">
        <f t="shared" ca="1" si="1"/>
        <v>28.50589777195275</v>
      </c>
      <c r="J5" s="75" t="s">
        <v>318</v>
      </c>
      <c r="K5" s="208">
        <v>1.6</v>
      </c>
      <c r="L5" s="209">
        <f t="shared" ca="1" si="0"/>
        <v>1.6</v>
      </c>
      <c r="M5" s="169">
        <f ca="1">SUM(L5:L10)</f>
        <v>8.3000000000000007</v>
      </c>
    </row>
    <row r="6" spans="1:13" ht="65">
      <c r="A6" s="72" t="s">
        <v>52</v>
      </c>
      <c r="B6" s="72" t="s">
        <v>68</v>
      </c>
      <c r="C6" s="72" t="s">
        <v>72</v>
      </c>
      <c r="D6" s="75" t="str">
        <f>VLOOKUP(C6,'BD EVA 5 SPGG'!$D$3:$AE$113,6,0)</f>
        <v>octubre 20 - agosto 21</v>
      </c>
      <c r="E6" s="209">
        <f ca="1">VLOOKUP(C6,'BD EVA 5 SPGG'!$D$3:$AE$113,16,0)</f>
        <v>5.7576738997444998</v>
      </c>
      <c r="F6" s="75" t="str">
        <f>VLOOKUP(C6,'BD EVA 5 SPGG'!$D$3:$AE$113,12,0)</f>
        <v>octubre 23 - agosto 24</v>
      </c>
      <c r="G6" s="209">
        <f ca="1">VLOOKUP(C6,'BD EVA 5 SPGG'!$D$3:$AE$113,28,0)</f>
        <v>9.0151940693892492</v>
      </c>
      <c r="H6" s="209">
        <f ca="1">VLOOKUP(C6,'BD EVA 5 SPGG'!$D$3:$AE$113,21,0)</f>
        <v>5.1999999999999957</v>
      </c>
      <c r="I6" s="78">
        <f t="shared" ref="I6:I10" ca="1" si="2">(G6-E6)/(H6-E6)</f>
        <v>-5.841263453672779</v>
      </c>
      <c r="J6" s="71" t="s">
        <v>319</v>
      </c>
      <c r="K6" s="208">
        <v>1.7</v>
      </c>
      <c r="L6" s="209">
        <f t="shared" ca="1" si="0"/>
        <v>0</v>
      </c>
      <c r="M6" s="168"/>
    </row>
    <row r="7" spans="1:13" ht="91">
      <c r="A7" s="72" t="s">
        <v>52</v>
      </c>
      <c r="B7" s="72" t="s">
        <v>68</v>
      </c>
      <c r="C7" s="72" t="s">
        <v>84</v>
      </c>
      <c r="D7" s="75" t="str">
        <f>VLOOKUP(C7,'BD EVA 5 SPGG'!$D$3:$AE$113,6,0)</f>
        <v>octubre 20 - agosto 21</v>
      </c>
      <c r="E7" s="208">
        <f ca="1">VLOOKUP(C7,'BD EVA 5 SPGG'!$D$3:$AE$113,16,0)</f>
        <v>105.07754867033699</v>
      </c>
      <c r="F7" s="75" t="str">
        <f>VLOOKUP(C7,'BD EVA 5 SPGG'!$D$3:$AE$113,12,0)</f>
        <v>octubre 23 - agosto 24</v>
      </c>
      <c r="G7" s="208">
        <f ca="1">VLOOKUP(C7,'BD EVA 5 SPGG'!$D$3:$AE$113,28,0)</f>
        <v>66.573740820105201</v>
      </c>
      <c r="H7" s="208">
        <f ca="1">VLOOKUP(C7,'BD EVA 5 SPGG'!$D$3:$AE$113,21,0)</f>
        <v>95.177215189873237</v>
      </c>
      <c r="I7" s="78">
        <f t="shared" ca="1" si="2"/>
        <v>3.8891425148669008</v>
      </c>
      <c r="J7" s="71" t="s">
        <v>319</v>
      </c>
      <c r="K7" s="208">
        <v>1.6</v>
      </c>
      <c r="L7" s="209">
        <f t="shared" ca="1" si="0"/>
        <v>1.6</v>
      </c>
      <c r="M7" s="168"/>
    </row>
    <row r="8" spans="1:13" ht="104">
      <c r="A8" s="72" t="s">
        <v>52</v>
      </c>
      <c r="B8" s="72" t="s">
        <v>86</v>
      </c>
      <c r="C8" s="72" t="s">
        <v>89</v>
      </c>
      <c r="D8" s="75" t="str">
        <f>VLOOKUP(C8,'BD EVA 5 SPGG'!$D$3:$AE$113,6,0)</f>
        <v>octubre 20 - agosto 21</v>
      </c>
      <c r="E8" s="208">
        <f ca="1">VLOOKUP(C8,'BD EVA 5 SPGG'!$D$3:$AE$113,16,0)</f>
        <v>195.760912591313</v>
      </c>
      <c r="F8" s="75" t="str">
        <f>VLOOKUP(C8,'BD EVA 5 SPGG'!$D$3:$AE$113,12,0)</f>
        <v>octubre 23 - agosto 24</v>
      </c>
      <c r="G8" s="208">
        <f ca="1">VLOOKUP(C8,'BD EVA 5 SPGG'!$D$3:$AE$113,28,0)</f>
        <v>103.327993564538</v>
      </c>
      <c r="H8" s="208">
        <f ca="1">VLOOKUP(C8,'BD EVA 5 SPGG'!$D$3:$AE$113,21,0)</f>
        <v>193.76588628762534</v>
      </c>
      <c r="I8" s="78">
        <f t="shared" ca="1" si="2"/>
        <v>46.331679364787938</v>
      </c>
      <c r="J8" s="71" t="s">
        <v>319</v>
      </c>
      <c r="K8" s="208">
        <v>1.7</v>
      </c>
      <c r="L8" s="209">
        <f t="shared" ca="1" si="0"/>
        <v>1.7</v>
      </c>
      <c r="M8" s="168"/>
    </row>
    <row r="9" spans="1:13" ht="104">
      <c r="A9" s="72" t="s">
        <v>52</v>
      </c>
      <c r="B9" s="72" t="s">
        <v>86</v>
      </c>
      <c r="C9" s="72" t="s">
        <v>93</v>
      </c>
      <c r="D9" s="75" t="str">
        <f>VLOOKUP(C9,'BD EVA 5 SPGG'!$D$3:$AE$113,6,0)</f>
        <v>octubre 20 - agosto 21</v>
      </c>
      <c r="E9" s="208">
        <f ca="1">VLOOKUP(C9,'BD EVA 5 SPGG'!$D$3:$AE$113,16,0)</f>
        <v>51.0993558602324</v>
      </c>
      <c r="F9" s="75" t="str">
        <f>VLOOKUP(C9,'BD EVA 5 SPGG'!$D$3:$AE$113,12,0)</f>
        <v>octubre 23 - agosto 24</v>
      </c>
      <c r="G9" s="208">
        <f ca="1">VLOOKUP(C9,'BD EVA 5 SPGG'!$D$3:$AE$113,28,0)</f>
        <v>18.030388138778498</v>
      </c>
      <c r="H9" s="208">
        <f ca="1">VLOOKUP(C9,'BD EVA 5 SPGG'!$D$3:$AE$113,21,0)</f>
        <v>50.551999999999929</v>
      </c>
      <c r="I9" s="78">
        <f t="shared" ca="1" si="2"/>
        <v>60.415846662185984</v>
      </c>
      <c r="J9" s="71" t="s">
        <v>319</v>
      </c>
      <c r="K9" s="208">
        <v>1.7</v>
      </c>
      <c r="L9" s="209">
        <f t="shared" ca="1" si="0"/>
        <v>1.7</v>
      </c>
      <c r="M9" s="168"/>
    </row>
    <row r="10" spans="1:13" ht="156">
      <c r="A10" s="72" t="s">
        <v>52</v>
      </c>
      <c r="B10" s="72" t="s">
        <v>86</v>
      </c>
      <c r="C10" s="72" t="s">
        <v>117</v>
      </c>
      <c r="D10" s="89" t="str">
        <f>VLOOKUP(C10,'BD EVA 5 SPGG'!$D$3:$AE$113,6,0)</f>
        <v>octubre 20 - agosto 21</v>
      </c>
      <c r="E10" s="208">
        <f ca="1">VLOOKUP(C10,'BD EVA 5 SPGG'!$D$3:$AE$113,16,0)</f>
        <v>7.9168016121486904</v>
      </c>
      <c r="F10" s="89" t="str">
        <f>VLOOKUP(C10,'BD EVA 5 SPGG'!$D$3:$AE$113,12,0)</f>
        <v>octubre 23 - agosto 24</v>
      </c>
      <c r="G10" s="208">
        <f ca="1">VLOOKUP(C10,'BD EVA 5 SPGG'!$D$3:$AE$113,28,0)</f>
        <v>5.5478117350087697</v>
      </c>
      <c r="H10" s="208">
        <f ca="1">VLOOKUP(C10,'BD EVA 5 SPGG'!$D$3:$AE$113,21,0)</f>
        <v>7.8466666666666649</v>
      </c>
      <c r="I10" s="78">
        <f t="shared" ca="1" si="2"/>
        <v>33.77759633030665</v>
      </c>
      <c r="J10" s="71" t="s">
        <v>319</v>
      </c>
      <c r="K10" s="208">
        <v>1.7</v>
      </c>
      <c r="L10" s="209">
        <f t="shared" ca="1" si="0"/>
        <v>1.7</v>
      </c>
      <c r="M10" s="168"/>
    </row>
    <row r="11" spans="1:13" ht="91">
      <c r="A11" s="72" t="s">
        <v>119</v>
      </c>
      <c r="B11" s="72" t="s">
        <v>120</v>
      </c>
      <c r="C11" s="72" t="s">
        <v>125</v>
      </c>
      <c r="D11" s="75">
        <f>VLOOKUP(C11,'BD EVA 5 SPGG'!$D$3:$AE$113,6,0)</f>
        <v>44469</v>
      </c>
      <c r="E11" s="78">
        <f ca="1">VLOOKUP(C11,'BD EVA 5 SPGG'!$D$3:$AE$113,16,0)</f>
        <v>0</v>
      </c>
      <c r="F11" s="75" t="str">
        <f>VLOOKUP(C11,'BD EVA 5 SPGG'!$D$3:$AE$113,12,0)</f>
        <v>Ago 2024</v>
      </c>
      <c r="G11" s="78">
        <f ca="1">VLOOKUP(C11,'BD EVA 5 SPGG'!$D$3:$AE$113,28,0)</f>
        <v>0.139385104691227</v>
      </c>
      <c r="H11" s="78">
        <f>VLOOKUP(C11,'BD EVA 5 SPGG'!$D$3:$AE$113,21,0)</f>
        <v>5.8000000000000003E-2</v>
      </c>
      <c r="I11" s="77">
        <f t="shared" ref="I11:I15" ca="1" si="3">G11/H11</f>
        <v>2.4031914601935687</v>
      </c>
      <c r="J11" s="89" t="s">
        <v>318</v>
      </c>
      <c r="K11" s="81">
        <v>1.05</v>
      </c>
      <c r="L11" s="209">
        <f t="shared" ca="1" si="0"/>
        <v>1.05</v>
      </c>
      <c r="M11" s="169">
        <f ca="1">SUM(L11:L15)</f>
        <v>10</v>
      </c>
    </row>
    <row r="12" spans="1:13" ht="91">
      <c r="A12" s="142" t="s">
        <v>119</v>
      </c>
      <c r="B12" s="72" t="s">
        <v>120</v>
      </c>
      <c r="C12" s="72" t="s">
        <v>333</v>
      </c>
      <c r="D12" s="75" t="str">
        <f>VLOOKUP(C12,'BD EVA 5 SPGG'!$D$3:$AE$113,6,0)</f>
        <v>octubre 20 - agosto 21</v>
      </c>
      <c r="E12" s="210" t="str">
        <f ca="1">VLOOKUP(C12,'BD EVA 5 SPGG'!$D$3:$AE$113,16,0)</f>
        <v/>
      </c>
      <c r="F12" s="75" t="str">
        <f>VLOOKUP(C12,'BD EVA 5 SPGG'!$D$3:$AE$113,12,0)</f>
        <v>octubre 23 - agosto 24</v>
      </c>
      <c r="G12" s="210">
        <f ca="1">VLOOKUP(C12,'BD EVA 5 SPGG'!$D$3:$AE$113,28,0)</f>
        <v>1.37469863704501E-2</v>
      </c>
      <c r="H12" s="210">
        <f>VLOOKUP(C12,'BD EVA 5 SPGG'!$D$3:$AE$113,21,0)</f>
        <v>1.0316666666666667E-2</v>
      </c>
      <c r="I12" s="78">
        <f t="shared" ca="1" si="3"/>
        <v>1.3325027176526754</v>
      </c>
      <c r="J12" s="75" t="s">
        <v>318</v>
      </c>
      <c r="K12" s="81">
        <v>1.05</v>
      </c>
      <c r="L12" s="209">
        <f t="shared" ca="1" si="0"/>
        <v>1.05</v>
      </c>
      <c r="M12" s="168"/>
    </row>
    <row r="13" spans="1:13" ht="91">
      <c r="A13" s="72" t="s">
        <v>119</v>
      </c>
      <c r="B13" s="72" t="s">
        <v>127</v>
      </c>
      <c r="C13" s="72" t="s">
        <v>128</v>
      </c>
      <c r="D13" s="75" t="str">
        <f>VLOOKUP(C13,'BD EVA 5 SPGG'!$D$3:$AE$113,6,0)</f>
        <v>octubre 20 - agosto 21</v>
      </c>
      <c r="E13" s="212">
        <f ca="1">VLOOKUP(C13,'BD EVA 5 SPGG'!$D$3:$AE$113,16,0)</f>
        <v>0</v>
      </c>
      <c r="F13" s="75" t="str">
        <f>VLOOKUP(C13,'BD EVA 5 SPGG'!$D$3:$AE$113,12,0)</f>
        <v>octubre 21 - agosto 24</v>
      </c>
      <c r="G13" s="212">
        <f ca="1">VLOOKUP(C13,'BD EVA 5 SPGG'!$D$3:$AE$113,28,0)</f>
        <v>1</v>
      </c>
      <c r="H13" s="212">
        <f>VLOOKUP(C13,'BD EVA 5 SPGG'!$D$3:$AE$113,21,0)</f>
        <v>1</v>
      </c>
      <c r="I13" s="78">
        <f t="shared" ca="1" si="3"/>
        <v>1</v>
      </c>
      <c r="J13" s="75" t="s">
        <v>318</v>
      </c>
      <c r="K13" s="81">
        <v>2.4</v>
      </c>
      <c r="L13" s="209">
        <f t="shared" ca="1" si="0"/>
        <v>2.4</v>
      </c>
      <c r="M13" s="168"/>
    </row>
    <row r="14" spans="1:13" ht="78">
      <c r="A14" s="72" t="s">
        <v>119</v>
      </c>
      <c r="B14" s="72" t="s">
        <v>133</v>
      </c>
      <c r="C14" s="72" t="s">
        <v>134</v>
      </c>
      <c r="D14" s="75" t="str">
        <f>VLOOKUP(C14,'BD EVA 5 SPGG'!$D$3:$AE$113,6,0)</f>
        <v>octubre 20 - agosto 21</v>
      </c>
      <c r="E14" s="212">
        <f ca="1">VLOOKUP(C14,'BD EVA 5 SPGG'!$D$3:$AE$113,16,0)</f>
        <v>3967</v>
      </c>
      <c r="F14" s="75" t="str">
        <f>VLOOKUP(C14,'BD EVA 5 SPGG'!$D$3:$AE$113,12,0)</f>
        <v>octubre 21 - agosto 24</v>
      </c>
      <c r="G14" s="212">
        <f ca="1">VLOOKUP(C14,'BD EVA 5 SPGG'!$D$3:$AE$113,28,0)</f>
        <v>5783</v>
      </c>
      <c r="H14" s="212">
        <f>VLOOKUP(C14,'BD EVA 5 SPGG'!$D$3:$AE$113,21,0)</f>
        <v>3000</v>
      </c>
      <c r="I14" s="78">
        <f t="shared" ca="1" si="3"/>
        <v>1.9276666666666666</v>
      </c>
      <c r="J14" s="75" t="s">
        <v>318</v>
      </c>
      <c r="K14" s="81">
        <v>2.4</v>
      </c>
      <c r="L14" s="209">
        <f t="shared" ca="1" si="0"/>
        <v>2.4</v>
      </c>
      <c r="M14" s="168"/>
    </row>
    <row r="15" spans="1:13" ht="78">
      <c r="A15" s="72" t="s">
        <v>119</v>
      </c>
      <c r="B15" s="72" t="s">
        <v>136</v>
      </c>
      <c r="C15" s="72" t="s">
        <v>145</v>
      </c>
      <c r="D15" s="89" t="str">
        <f>VLOOKUP(C15,'BD EVA 5 SPGG'!$D$3:$AE$113,6,0)</f>
        <v>octubre 20 - agosto 21</v>
      </c>
      <c r="E15" s="212">
        <f ca="1">VLOOKUP(C15,'BD EVA 5 SPGG'!$D$3:$AE$113,16,0)</f>
        <v>11</v>
      </c>
      <c r="F15" s="89" t="str">
        <f>VLOOKUP(C15,'BD EVA 5 SPGG'!$D$3:$AE$113,12,0)</f>
        <v>octubre 21 - agosto 24</v>
      </c>
      <c r="G15" s="212">
        <f ca="1">VLOOKUP(C15,'BD EVA 5 SPGG'!$D$3:$AE$113,28,0)</f>
        <v>93</v>
      </c>
      <c r="H15" s="212">
        <f>VLOOKUP(C15,'BD EVA 5 SPGG'!$D$3:$AE$113,21,0)</f>
        <v>46</v>
      </c>
      <c r="I15" s="78">
        <f t="shared" ca="1" si="3"/>
        <v>2.0217391304347827</v>
      </c>
      <c r="J15" s="75" t="s">
        <v>318</v>
      </c>
      <c r="K15" s="81">
        <v>3.1</v>
      </c>
      <c r="L15" s="209">
        <f t="shared" ca="1" si="0"/>
        <v>3.1</v>
      </c>
      <c r="M15" s="168"/>
    </row>
    <row r="16" spans="1:13" ht="409.6">
      <c r="A16" s="72" t="s">
        <v>147</v>
      </c>
      <c r="B16" s="72" t="s">
        <v>148</v>
      </c>
      <c r="C16" s="72" t="s">
        <v>156</v>
      </c>
      <c r="D16" s="75">
        <f>VLOOKUP(C16,'BD EVA 5 SPGG'!$D$3:$AE$113,6,0)</f>
        <v>44469</v>
      </c>
      <c r="E16" s="213">
        <f ca="1">VLOOKUP(C16,'BD EVA 5 SPGG'!$D$3:$AE$113,16,0)</f>
        <v>0.66666666666666596</v>
      </c>
      <c r="F16" s="75" t="str">
        <f>VLOOKUP(C16,'BD EVA 5 SPGG'!$D$3:$AE$113,12,0)</f>
        <v>Ago 2024</v>
      </c>
      <c r="G16" s="213">
        <f ca="1">VLOOKUP(C16,'BD EVA 5 SPGG'!$D$3:$AE$113,28,0)</f>
        <v>1</v>
      </c>
      <c r="H16" s="213" t="str">
        <f>VLOOKUP(C16,'BD EVA 5 SPGG'!$D$3:$AE$113,21,0)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09">
        <f t="shared" ca="1" si="0"/>
        <v>1.5</v>
      </c>
      <c r="M16" s="169">
        <f ca="1">SUM(L16:L23)</f>
        <v>9.950772727272728</v>
      </c>
    </row>
    <row r="17" spans="1:13" ht="52">
      <c r="A17" s="72" t="s">
        <v>147</v>
      </c>
      <c r="B17" s="72" t="s">
        <v>148</v>
      </c>
      <c r="C17" s="72" t="s">
        <v>351</v>
      </c>
      <c r="D17" s="75">
        <f>VLOOKUP(C17,'BD EVA 5 SPGG'!$D$3:$AE$113,6,0)</f>
        <v>44469</v>
      </c>
      <c r="E17" s="212">
        <f ca="1">VLOOKUP(C17,'BD EVA 5 SPGG'!$D$3:$AE$113,16,0)</f>
        <v>1</v>
      </c>
      <c r="F17" s="75" t="str">
        <f>VLOOKUP(C17,'BD EVA 5 SPGG'!$D$3:$AE$113,12,0)</f>
        <v>Ago 2024</v>
      </c>
      <c r="G17" s="212">
        <f ca="1">VLOOKUP(C17,'BD EVA 5 SPGG'!$D$3:$AE$113,28,0)</f>
        <v>1</v>
      </c>
      <c r="H17" s="212" t="str">
        <f>VLOOKUP(C17,'BD EVA 5 SPGG'!$D$3:$AE$113,21,0)</f>
        <v>Actualizado al 2019</v>
      </c>
      <c r="I17" s="214">
        <f t="shared" ca="1" si="4"/>
        <v>1</v>
      </c>
      <c r="J17" s="75" t="s">
        <v>318</v>
      </c>
      <c r="K17" s="81">
        <v>1.5</v>
      </c>
      <c r="L17" s="209">
        <f t="shared" ca="1" si="0"/>
        <v>1.5</v>
      </c>
      <c r="M17" s="168"/>
    </row>
    <row r="18" spans="1:13" ht="104">
      <c r="A18" s="72" t="s">
        <v>147</v>
      </c>
      <c r="B18" s="72" t="s">
        <v>148</v>
      </c>
      <c r="C18" s="72" t="s">
        <v>166</v>
      </c>
      <c r="D18" s="75">
        <f>VLOOKUP(C18,'BD EVA 5 SPGG'!$D$3:$AE$113,6,0)</f>
        <v>44469</v>
      </c>
      <c r="E18" s="72" t="s">
        <v>320</v>
      </c>
      <c r="F18" s="75" t="str">
        <f>VLOOKUP(C18,'BD EVA 5 SPGG'!$D$3:$AE$113,12,0)</f>
        <v>Ago 2024</v>
      </c>
      <c r="G18" s="207" t="str">
        <f ca="1">VLOOKUP(C18,'BD EVA 5 SPGG'!$D$3:$AE$113,28,0)</f>
        <v>NA</v>
      </c>
      <c r="H18" s="207">
        <f>VLOOKUP(C18,'BD EVA 5 SPGG'!$D$3:$AE$113,21,0)</f>
        <v>1</v>
      </c>
      <c r="I18" s="214">
        <f ca="1">IF(G18="NA",1,(G18/H18))</f>
        <v>1</v>
      </c>
      <c r="J18" s="75" t="s">
        <v>318</v>
      </c>
      <c r="K18" s="81">
        <v>0.3</v>
      </c>
      <c r="L18" s="209">
        <f t="shared" ca="1" si="0"/>
        <v>0.3</v>
      </c>
      <c r="M18" s="168"/>
    </row>
    <row r="19" spans="1:13" ht="91">
      <c r="A19" s="72" t="s">
        <v>147</v>
      </c>
      <c r="B19" s="72" t="s">
        <v>168</v>
      </c>
      <c r="C19" s="72" t="s">
        <v>173</v>
      </c>
      <c r="D19" s="75">
        <f>VLOOKUP(C19,'BD EVA 5 SPGG'!$D$3:$AE$113,6,0)</f>
        <v>44469</v>
      </c>
      <c r="E19" s="207">
        <f ca="1">VLOOKUP(C19,'BD EVA 5 SPGG'!$D$3:$AE$113,16,0)</f>
        <v>1</v>
      </c>
      <c r="F19" s="75" t="str">
        <f>VLOOKUP(C19,'BD EVA 5 SPGG'!$D$3:$AE$113,12,0)</f>
        <v>Ago 2024</v>
      </c>
      <c r="G19" s="207">
        <f ca="1">VLOOKUP(C19,'BD EVA 5 SPGG'!$D$3:$AE$113,28,0)</f>
        <v>1</v>
      </c>
      <c r="H19" s="207">
        <f>VLOOKUP(C19,'BD EVA 5 SPGG'!$D$3:$AE$113,21,0)</f>
        <v>1</v>
      </c>
      <c r="I19" s="214">
        <f t="shared" ref="I19:I27" ca="1" si="5">G19/H19</f>
        <v>1</v>
      </c>
      <c r="J19" s="75" t="s">
        <v>318</v>
      </c>
      <c r="K19" s="81">
        <v>1.5</v>
      </c>
      <c r="L19" s="209">
        <f t="shared" ca="1" si="0"/>
        <v>1.5</v>
      </c>
      <c r="M19" s="168"/>
    </row>
    <row r="20" spans="1:13" ht="117">
      <c r="A20" s="72" t="s">
        <v>147</v>
      </c>
      <c r="B20" s="72" t="s">
        <v>168</v>
      </c>
      <c r="C20" s="71" t="s">
        <v>177</v>
      </c>
      <c r="D20" s="75">
        <f>VLOOKUP(C20,'BD EVA 5 SPGG'!$D$3:$AE$113,6,0)</f>
        <v>44469</v>
      </c>
      <c r="E20" s="214">
        <f ca="1">VLOOKUP(C20,'BD EVA 5 SPGG'!$D$3:$AE$113,16,0)</f>
        <v>1</v>
      </c>
      <c r="F20" s="75" t="str">
        <f>VLOOKUP(C20,'BD EVA 5 SPGG'!$D$3:$AE$113,12,0)</f>
        <v>Ago 2024</v>
      </c>
      <c r="G20" s="214">
        <f ca="1">VLOOKUP(C20,'BD EVA 5 SPGG'!$D$3:$AE$113,28,0)</f>
        <v>1</v>
      </c>
      <c r="H20" s="214">
        <f>VLOOKUP(C20,'BD EVA 5 SPGG'!$D$3:$AE$113,21,0)</f>
        <v>1</v>
      </c>
      <c r="I20" s="214">
        <f t="shared" ca="1" si="5"/>
        <v>1</v>
      </c>
      <c r="J20" s="75" t="s">
        <v>318</v>
      </c>
      <c r="K20" s="81">
        <v>1.5</v>
      </c>
      <c r="L20" s="209">
        <f t="shared" ca="1" si="0"/>
        <v>1.5</v>
      </c>
      <c r="M20" s="168"/>
    </row>
    <row r="21" spans="1:13" ht="117">
      <c r="A21" s="72" t="s">
        <v>147</v>
      </c>
      <c r="B21" s="72" t="s">
        <v>168</v>
      </c>
      <c r="C21" s="72" t="s">
        <v>183</v>
      </c>
      <c r="D21" s="75">
        <f>VLOOKUP(C21,'BD EVA 5 SPGG'!$D$3:$AE$113,6,0)</f>
        <v>44469</v>
      </c>
      <c r="E21" s="207">
        <f ca="1">VLOOKUP(C21,'BD EVA 5 SPGG'!$D$3:$AE$113,16,0)</f>
        <v>1</v>
      </c>
      <c r="F21" s="75" t="str">
        <f>VLOOKUP(C21,'BD EVA 5 SPGG'!$D$3:$AE$113,12,0)</f>
        <v>Ago 2024</v>
      </c>
      <c r="G21" s="207">
        <f ca="1">VLOOKUP(C21,'BD EVA 5 SPGG'!$D$3:$AE$113,28,0)</f>
        <v>1</v>
      </c>
      <c r="H21" s="207">
        <f>VLOOKUP(C21,'BD EVA 5 SPGG'!$D$3:$AE$113,21,0)</f>
        <v>1</v>
      </c>
      <c r="I21" s="214">
        <f t="shared" ca="1" si="5"/>
        <v>1</v>
      </c>
      <c r="J21" s="75" t="s">
        <v>318</v>
      </c>
      <c r="K21" s="81">
        <v>0.9</v>
      </c>
      <c r="L21" s="209">
        <f t="shared" ca="1" si="0"/>
        <v>0.9</v>
      </c>
      <c r="M21" s="168"/>
    </row>
    <row r="22" spans="1:13" ht="78">
      <c r="A22" s="72" t="s">
        <v>147</v>
      </c>
      <c r="B22" s="72" t="s">
        <v>168</v>
      </c>
      <c r="C22" s="72" t="s">
        <v>189</v>
      </c>
      <c r="D22" s="75">
        <f>VLOOKUP(C22,'BD EVA 5 SPGG'!$D$3:$AE$113,6,0)</f>
        <v>44469</v>
      </c>
      <c r="E22" s="207">
        <f ca="1">VLOOKUP(C22,'BD EVA 5 SPGG'!$D$3:$AE$113,16,0)</f>
        <v>0.89482954545454496</v>
      </c>
      <c r="F22" s="75" t="str">
        <f>VLOOKUP(C22,'BD EVA 5 SPGG'!$D$3:$AE$113,12,0)</f>
        <v>Ago 2024</v>
      </c>
      <c r="G22" s="207">
        <f ca="1">VLOOKUP(C22,'BD EVA 5 SPGG'!$D$3:$AE$113,28,0)</f>
        <v>0.96718181818181803</v>
      </c>
      <c r="H22" s="207">
        <f>VLOOKUP(C22,'BD EVA 5 SPGG'!$D$3:$AE$113,21,0)</f>
        <v>1</v>
      </c>
      <c r="I22" s="214">
        <f t="shared" ca="1" si="5"/>
        <v>0.96718181818181803</v>
      </c>
      <c r="J22" s="75" t="s">
        <v>318</v>
      </c>
      <c r="K22" s="81">
        <v>1.5</v>
      </c>
      <c r="L22" s="209">
        <f t="shared" ca="1" si="0"/>
        <v>1.4507727272727271</v>
      </c>
      <c r="M22" s="168"/>
    </row>
    <row r="23" spans="1:13" ht="195">
      <c r="A23" s="72" t="s">
        <v>147</v>
      </c>
      <c r="B23" s="72" t="s">
        <v>168</v>
      </c>
      <c r="C23" s="72" t="s">
        <v>197</v>
      </c>
      <c r="D23" s="89" t="str">
        <f>VLOOKUP(C23,'BD EVA 5 SPGG'!$D$3:$AE$113,6,0)</f>
        <v>octubre 20 - septiembre 21</v>
      </c>
      <c r="E23" s="208">
        <f ca="1">VLOOKUP(C23,'BD EVA 5 SPGG'!$D$3:$AE$113,16,0)</f>
        <v>4.3849999999999998</v>
      </c>
      <c r="F23" s="89" t="str">
        <f>VLOOKUP(C23,'BD EVA 5 SPGG'!$D$3:$AE$113,12,0)</f>
        <v>octubre 23 - septiembre 24</v>
      </c>
      <c r="G23" s="208">
        <f ca="1">VLOOKUP(C23,'BD EVA 5 SPGG'!$D$3:$AE$113,28,0)</f>
        <v>2.36899999999999</v>
      </c>
      <c r="H23" s="208">
        <f>VLOOKUP(C23,'BD EVA 5 SPGG'!$D$3:$AE$113,21,0)</f>
        <v>1.1299999999999999</v>
      </c>
      <c r="I23" s="214">
        <f t="shared" ca="1" si="5"/>
        <v>2.0964601769911417</v>
      </c>
      <c r="J23" s="75" t="s">
        <v>318</v>
      </c>
      <c r="K23" s="81">
        <v>1.3</v>
      </c>
      <c r="L23" s="209">
        <f t="shared" ca="1" si="0"/>
        <v>1.3</v>
      </c>
      <c r="M23" s="168"/>
    </row>
    <row r="24" spans="1:13" ht="156">
      <c r="A24" s="72" t="s">
        <v>199</v>
      </c>
      <c r="B24" s="72" t="s">
        <v>200</v>
      </c>
      <c r="C24" s="72" t="s">
        <v>201</v>
      </c>
      <c r="D24" s="75">
        <f>VLOOKUP(C24,'BD EVA 5 SPGG'!$D$3:$AE$113,6,0)</f>
        <v>44469</v>
      </c>
      <c r="E24" s="171">
        <f>VLOOKUP(C24,'BD EVA 5 SPGG'!$D$3:$AE$113,16,0)</f>
        <v>4.05</v>
      </c>
      <c r="F24" s="75" t="str">
        <f>VLOOKUP(C24,'BD EVA 5 SPGG'!$D$3:$AE$113,12,0)</f>
        <v>Ago 2024</v>
      </c>
      <c r="G24" s="171">
        <f ca="1">VLOOKUP(C24,'BD EVA 5 SPGG'!$D$3:$AE$113,28,0)</f>
        <v>14.648</v>
      </c>
      <c r="H24" s="171">
        <f>VLOOKUP(C24,'BD EVA 5 SPGG'!$D$3:$AE$113,21,0)</f>
        <v>9.49</v>
      </c>
      <c r="I24" s="214">
        <f t="shared" ca="1" si="5"/>
        <v>1.5435194942044257</v>
      </c>
      <c r="J24" s="75" t="s">
        <v>318</v>
      </c>
      <c r="K24" s="81">
        <v>1.9450000000000001</v>
      </c>
      <c r="L24" s="82">
        <f t="shared" ca="1" si="0"/>
        <v>1.9450000000000001</v>
      </c>
      <c r="M24" s="169">
        <f ca="1">SUM(L24:L28)</f>
        <v>7.78</v>
      </c>
    </row>
    <row r="25" spans="1:13" ht="130">
      <c r="A25" s="72" t="s">
        <v>199</v>
      </c>
      <c r="B25" s="72" t="s">
        <v>200</v>
      </c>
      <c r="C25" s="72" t="s">
        <v>209</v>
      </c>
      <c r="D25" s="75" t="str">
        <f>VLOOKUP(C25,'BD EVA 5 SPGG'!$D$3:$AE$113,6,0)</f>
        <v>octubre 20 - agosto 21</v>
      </c>
      <c r="E25" s="212" t="str">
        <f ca="1">VLOOKUP(C25,'BD EVA 5 SPGG'!$D$3:$AE$113,16,0)</f>
        <v/>
      </c>
      <c r="F25" s="75" t="str">
        <f>VLOOKUP(C25,'BD EVA 5 SPGG'!$D$3:$AE$113,12,0)</f>
        <v>octubre 23 - agosto 24</v>
      </c>
      <c r="G25" s="212">
        <f ca="1">VLOOKUP(C25,'BD EVA 5 SPGG'!$D$3:$AE$113,28,0)</f>
        <v>25785.519999999899</v>
      </c>
      <c r="H25" s="212">
        <f>VLOOKUP(C25,'BD EVA 5 SPGG'!$D$3:$AE$113,21,0)</f>
        <v>375.66666666666663</v>
      </c>
      <c r="I25" s="214">
        <f t="shared" ca="1" si="5"/>
        <v>68.639361135758392</v>
      </c>
      <c r="J25" s="75" t="s">
        <v>318</v>
      </c>
      <c r="K25" s="81">
        <v>1.6337999999999999</v>
      </c>
      <c r="L25" s="209">
        <f t="shared" ca="1" si="0"/>
        <v>1.6337999999999999</v>
      </c>
      <c r="M25" s="168"/>
    </row>
    <row r="26" spans="1:13" ht="117">
      <c r="A26" s="72" t="s">
        <v>199</v>
      </c>
      <c r="B26" s="72" t="s">
        <v>200</v>
      </c>
      <c r="C26" s="72" t="s">
        <v>221</v>
      </c>
      <c r="D26" s="75" t="str">
        <f>VLOOKUP(C26,'BD EVA 5 SPGG'!$D$3:$AE$113,6,0)</f>
        <v>enero - agosto 2021</v>
      </c>
      <c r="E26" s="210">
        <f ca="1">VLOOKUP(C26,'BD EVA 5 SPGG'!$D$3:$AE$113,16,0)</f>
        <v>0.36393043970099898</v>
      </c>
      <c r="F26" s="75" t="str">
        <f>VLOOKUP(C26,'BD EVA 5 SPGG'!$D$3:$AE$113,12,0)</f>
        <v>enero- agosto 2024</v>
      </c>
      <c r="G26" s="210">
        <f ca="1">VLOOKUP(C26,'BD EVA 5 SPGG'!$D$3:$AE$113,28,0)</f>
        <v>0.129391337630653</v>
      </c>
      <c r="H26" s="210">
        <f>VLOOKUP(C26,'BD EVA 5 SPGG'!$D$3:$AE$113,21,0)</f>
        <v>0.05</v>
      </c>
      <c r="I26" s="214">
        <f t="shared" ca="1" si="5"/>
        <v>2.5878267526130596</v>
      </c>
      <c r="J26" s="75" t="s">
        <v>318</v>
      </c>
      <c r="K26" s="81">
        <v>2.1006</v>
      </c>
      <c r="L26" s="209">
        <f t="shared" ca="1" si="0"/>
        <v>2.1006</v>
      </c>
      <c r="M26" s="168"/>
    </row>
    <row r="27" spans="1:13" ht="104">
      <c r="A27" s="72" t="s">
        <v>199</v>
      </c>
      <c r="B27" s="72" t="s">
        <v>200</v>
      </c>
      <c r="C27" s="72" t="s">
        <v>226</v>
      </c>
      <c r="D27" s="75" t="str">
        <f>VLOOKUP(C27,'BD EVA 5 SPGG'!$D$3:$AE$113,6,0)</f>
        <v>octubre 20 - agosto 21</v>
      </c>
      <c r="E27" s="212">
        <f ca="1">VLOOKUP(C27,'BD EVA 5 SPGG'!$D$3:$AE$113,16,0)</f>
        <v>192</v>
      </c>
      <c r="F27" s="75" t="str">
        <f>VLOOKUP(C27,'BD EVA 5 SPGG'!$D$3:$AE$113,12,0)</f>
        <v>octubre 23 - agosto 24</v>
      </c>
      <c r="G27" s="212">
        <f ca="1">VLOOKUP(C27,'BD EVA 5 SPGG'!$D$3:$AE$113,28,0)</f>
        <v>94</v>
      </c>
      <c r="H27" s="212">
        <f>VLOOKUP(C27,'BD EVA 5 SPGG'!$D$3:$AE$113,21,0)</f>
        <v>83.333333333333343</v>
      </c>
      <c r="I27" s="214">
        <f t="shared" ca="1" si="5"/>
        <v>1.1279999999999999</v>
      </c>
      <c r="J27" s="75" t="s">
        <v>318</v>
      </c>
      <c r="K27" s="81">
        <v>2.1006</v>
      </c>
      <c r="L27" s="209">
        <f t="shared" ca="1" si="0"/>
        <v>2.1006</v>
      </c>
      <c r="M27" s="168"/>
    </row>
    <row r="28" spans="1:13" ht="52">
      <c r="A28" s="72" t="s">
        <v>199</v>
      </c>
      <c r="B28" s="72" t="s">
        <v>228</v>
      </c>
      <c r="C28" s="72" t="s">
        <v>241</v>
      </c>
      <c r="D28" s="89" t="str">
        <f>VLOOKUP(C28,'BD EVA 5 SPGG'!$D$3:$AE$113,6,0)</f>
        <v>octubre 18 - agosto 19</v>
      </c>
      <c r="E28" s="212">
        <f ca="1">VLOOKUP(C28,'BD EVA 5 SPGG'!$D$3:$AE$113,16,0)</f>
        <v>5883</v>
      </c>
      <c r="F28" s="89" t="str">
        <f>VLOOKUP(C28,'BD EVA 5 SPGG'!$D$3:$AE$113,12,0)</f>
        <v>octubre 23 - agosto 24</v>
      </c>
      <c r="G28" s="212">
        <f ca="1">VLOOKUP(C28,'BD EVA 5 SPGG'!$D$3:$AE$113,28,0)</f>
        <v>5917</v>
      </c>
      <c r="H28" s="212">
        <f ca="1">VLOOKUP(C28,'BD EVA 5 SPGG'!$D$3:$AE$113,21,0)</f>
        <v>5824.6148393194708</v>
      </c>
      <c r="I28" s="78">
        <f ca="1">(G28-E28)/(H28-E28)</f>
        <v>-0.5823397521510737</v>
      </c>
      <c r="J28" s="89" t="s">
        <v>319</v>
      </c>
      <c r="K28" s="81">
        <v>2.2200000000000002</v>
      </c>
      <c r="L28" s="209">
        <f t="shared" ca="1" si="0"/>
        <v>0</v>
      </c>
      <c r="M28" s="168"/>
    </row>
    <row r="29" spans="1:13" ht="208">
      <c r="A29" s="72" t="s">
        <v>243</v>
      </c>
      <c r="B29" s="72" t="s">
        <v>244</v>
      </c>
      <c r="C29" s="142" t="s">
        <v>338</v>
      </c>
      <c r="D29" s="75" t="str">
        <f>VLOOKUP(C29,'BD EVA 5 SPGG'!$D$3:$AE$113,6,0)</f>
        <v>octubre 20 - agosto 21</v>
      </c>
      <c r="E29" s="212">
        <f ca="1">VLOOKUP(C29,'BD EVA 5 SPGG'!$D$3:$AE$113,16,0)</f>
        <v>197</v>
      </c>
      <c r="F29" s="75" t="str">
        <f>VLOOKUP(C29,'BD EVA 5 SPGG'!$D$3:$AE$113,12,0)</f>
        <v>octubre 23 - agosto 24</v>
      </c>
      <c r="G29" s="212">
        <f ca="1">VLOOKUP(C29,'BD EVA 5 SPGG'!$D$3:$AE$113,28,0)</f>
        <v>83</v>
      </c>
      <c r="H29" s="212">
        <f>VLOOKUP(C29,'BD EVA 5 SPGG'!$D$3:$AE$113,21,0)</f>
        <v>73</v>
      </c>
      <c r="I29" s="78">
        <f t="shared" ref="I29:I33" ca="1" si="6">G29/H29</f>
        <v>1.1369863013698631</v>
      </c>
      <c r="J29" s="75" t="s">
        <v>318</v>
      </c>
      <c r="K29" s="81">
        <v>2</v>
      </c>
      <c r="L29" s="209">
        <f t="shared" ca="1" si="0"/>
        <v>2</v>
      </c>
      <c r="M29" s="169">
        <f ca="1">SUM(L29:L33)</f>
        <v>9.6783216783216748</v>
      </c>
    </row>
    <row r="30" spans="1:13" ht="65">
      <c r="A30" s="72" t="s">
        <v>243</v>
      </c>
      <c r="B30" s="72" t="s">
        <v>247</v>
      </c>
      <c r="C30" s="72" t="s">
        <v>248</v>
      </c>
      <c r="D30" s="75">
        <f>VLOOKUP(C30,'BD EVA 5 SPGG'!$D$3:$AE$113,6,0)</f>
        <v>44469</v>
      </c>
      <c r="E30" s="212" t="str">
        <f ca="1">VLOOKUP(C30,'BD EVA 5 SPGG'!$D$3:$AE$113,16,0)</f>
        <v/>
      </c>
      <c r="F30" s="75" t="str">
        <f>VLOOKUP(C30,'BD EVA 5 SPGG'!$D$3:$AE$113,12,0)</f>
        <v>Ago 2024</v>
      </c>
      <c r="G30" s="212">
        <f ca="1">VLOOKUP(C30,'BD EVA 5 SPGG'!$D$3:$AE$113,28,0)</f>
        <v>47</v>
      </c>
      <c r="H30" s="212">
        <f>VLOOKUP(C30,'BD EVA 5 SPGG'!$D$3:$AE$113,21,0)</f>
        <v>15</v>
      </c>
      <c r="I30" s="78">
        <f t="shared" ca="1" si="6"/>
        <v>3.1333333333333333</v>
      </c>
      <c r="J30" s="75" t="s">
        <v>318</v>
      </c>
      <c r="K30" s="81">
        <v>2</v>
      </c>
      <c r="L30" s="209">
        <f t="shared" ca="1" si="0"/>
        <v>2</v>
      </c>
      <c r="M30" s="168"/>
    </row>
    <row r="31" spans="1:13" ht="91">
      <c r="A31" s="72" t="s">
        <v>243</v>
      </c>
      <c r="B31" s="72" t="s">
        <v>250</v>
      </c>
      <c r="C31" s="72" t="s">
        <v>251</v>
      </c>
      <c r="D31" s="75">
        <f>VLOOKUP(C31,'BD EVA 5 SPGG'!$D$3:$AE$113,6,0)</f>
        <v>44440</v>
      </c>
      <c r="E31" s="212">
        <f ca="1">VLOOKUP(C31,'BD EVA 5 SPGG'!$D$3:$AE$113,16,0)</f>
        <v>98.41</v>
      </c>
      <c r="F31" s="75">
        <f>VLOOKUP(C31,'BD EVA 5 SPGG'!$D$3:$AE$113,12,0)</f>
        <v>45444</v>
      </c>
      <c r="G31" s="212">
        <f ca="1">VLOOKUP(C31,'BD EVA 5 SPGG'!$D$3:$AE$113,28,0)</f>
        <v>100</v>
      </c>
      <c r="H31" s="212">
        <f>VLOOKUP(C31,'BD EVA 5 SPGG'!$D$3:$AE$113,21,0)</f>
        <v>100</v>
      </c>
      <c r="I31" s="78">
        <f t="shared" ca="1" si="6"/>
        <v>1</v>
      </c>
      <c r="J31" s="75" t="s">
        <v>318</v>
      </c>
      <c r="K31" s="81">
        <v>2</v>
      </c>
      <c r="L31" s="209">
        <f t="shared" ca="1" si="0"/>
        <v>2</v>
      </c>
      <c r="M31" s="168"/>
    </row>
    <row r="32" spans="1:13" ht="260">
      <c r="A32" s="72" t="s">
        <v>243</v>
      </c>
      <c r="B32" s="72" t="s">
        <v>257</v>
      </c>
      <c r="C32" s="72" t="s">
        <v>258</v>
      </c>
      <c r="D32" s="75">
        <f>VLOOKUP(C32,'BD EVA 5 SPGG'!$D$3:$AE$113,6,0)</f>
        <v>44440</v>
      </c>
      <c r="E32" s="209">
        <f ca="1">VLOOKUP(C32,'BD EVA 5 SPGG'!$D$3:$AE$113,16,0)</f>
        <v>0</v>
      </c>
      <c r="F32" s="75" t="str">
        <f>VLOOKUP(C32,'BD EVA 5 SPGG'!$D$3:$AE$113,12,0)</f>
        <v>Ago 2024</v>
      </c>
      <c r="G32" s="209">
        <f ca="1">VLOOKUP(C32,'BD EVA 5 SPGG'!$D$3:$AE$113,28,0)</f>
        <v>3.35664335664335</v>
      </c>
      <c r="H32" s="209">
        <f>VLOOKUP(C32,'BD EVA 5 SPGG'!$D$3:$AE$113,21,0)</f>
        <v>4</v>
      </c>
      <c r="I32" s="78">
        <f t="shared" ca="1" si="6"/>
        <v>0.8391608391608375</v>
      </c>
      <c r="J32" s="75" t="s">
        <v>318</v>
      </c>
      <c r="K32" s="81">
        <v>2</v>
      </c>
      <c r="L32" s="209">
        <f t="shared" ca="1" si="0"/>
        <v>1.678321678321675</v>
      </c>
      <c r="M32" s="168"/>
    </row>
    <row r="33" spans="1:13" ht="91">
      <c r="A33" s="72" t="s">
        <v>243</v>
      </c>
      <c r="B33" s="72" t="s">
        <v>260</v>
      </c>
      <c r="C33" s="72" t="s">
        <v>273</v>
      </c>
      <c r="D33" s="75">
        <f>VLOOKUP(C33,'BD EVA 5 SPGG'!$D$3:$AE$113,6,0)</f>
        <v>44440</v>
      </c>
      <c r="E33" s="75" t="str">
        <f ca="1">VLOOKUP(C33,'BD EVA 5 SPGG'!$D$3:$AE$113,16,0)</f>
        <v/>
      </c>
      <c r="F33" s="75" t="str">
        <f>VLOOKUP(C33,'BD EVA 5 SPGG'!$D$3:$AE$113,12,0)</f>
        <v>Ago 2024</v>
      </c>
      <c r="G33" s="207">
        <f ca="1">VLOOKUP(C33,'BD EVA 5 SPGG'!$D$3:$AE$113,28,0)</f>
        <v>0.51351351351351304</v>
      </c>
      <c r="H33" s="207">
        <f>VLOOKUP(C33,'BD EVA 5 SPGG'!$D$3:$AE$113,21,0)</f>
        <v>0.5</v>
      </c>
      <c r="I33" s="78">
        <f t="shared" ca="1" si="6"/>
        <v>1.0270270270270261</v>
      </c>
      <c r="J33" s="75" t="s">
        <v>318</v>
      </c>
      <c r="K33" s="81">
        <v>2</v>
      </c>
      <c r="L33" s="209">
        <f t="shared" ca="1" si="0"/>
        <v>2</v>
      </c>
      <c r="M33" s="168"/>
    </row>
    <row r="34" spans="1:13" ht="91">
      <c r="A34" s="72" t="s">
        <v>275</v>
      </c>
      <c r="B34" s="72" t="s">
        <v>276</v>
      </c>
      <c r="C34" s="72" t="s">
        <v>282</v>
      </c>
      <c r="D34" s="75" t="str">
        <f>VLOOKUP(C34,'BD EVA 5 SPGG'!$D$3:$AE$113,6,0)</f>
        <v>enero - junio 2021</v>
      </c>
      <c r="E34" s="78">
        <f ca="1">VLOOKUP(C34,'BD EVA 5 SPGG'!$D$3:$AE$113,16,0)</f>
        <v>0.54266930120739798</v>
      </c>
      <c r="F34" s="75" t="str">
        <f>VLOOKUP(C34,'BD EVA 5 SPGG'!$D$3:$AE$113,12,0)</f>
        <v>enero- junio 2024</v>
      </c>
      <c r="G34" s="78">
        <f ca="1">VLOOKUP(C34,'BD EVA 5 SPGG'!$D$3:$AE$113,28,0)</f>
        <v>0.56159832886633299</v>
      </c>
      <c r="H34" s="78">
        <f>VLOOKUP(C34,'BD EVA 5 SPGG'!$D$3:$AE$113,21,0)</f>
        <v>0.49</v>
      </c>
      <c r="I34" s="78">
        <f ca="1">(G34/H34)</f>
        <v>1.1461190385027205</v>
      </c>
      <c r="J34" s="75" t="s">
        <v>318</v>
      </c>
      <c r="K34" s="81">
        <v>2.1631999999999998</v>
      </c>
      <c r="L34" s="209">
        <f t="shared" ca="1" si="0"/>
        <v>2.1631999999999998</v>
      </c>
      <c r="M34" s="169">
        <f ca="1">SUM(L34:L39)</f>
        <v>9.9618218480288689</v>
      </c>
    </row>
    <row r="35" spans="1:13" ht="117">
      <c r="A35" s="72" t="s">
        <v>275</v>
      </c>
      <c r="B35" s="72" t="s">
        <v>276</v>
      </c>
      <c r="C35" s="72" t="s">
        <v>287</v>
      </c>
      <c r="D35" s="75" t="str">
        <f>VLOOKUP(C35,'BD EVA 5 SPGG'!$D$3:$AE$113,6,0)</f>
        <v>enero - junio 2021</v>
      </c>
      <c r="E35" s="78">
        <f ca="1">VLOOKUP(C35,'BD EVA 5 SPGG'!$D$3:$AE$113,16,0)</f>
        <v>0.63691706723699903</v>
      </c>
      <c r="F35" s="75" t="str">
        <f>VLOOKUP(C35,'BD EVA 5 SPGG'!$D$3:$AE$113,12,0)</f>
        <v>enero- junio 2024</v>
      </c>
      <c r="G35" s="78">
        <f ca="1">VLOOKUP(C35,'BD EVA 5 SPGG'!$D$3:$AE$113,28,0)</f>
        <v>1.0302993582819</v>
      </c>
      <c r="H35" s="78">
        <f>VLOOKUP(C35,'BD EVA 5 SPGG'!$D$3:$AE$113,21,0)</f>
        <v>0.67833333333333334</v>
      </c>
      <c r="I35" s="78">
        <f ca="1">G35/H35</f>
        <v>1.5188688328480098</v>
      </c>
      <c r="J35" s="75" t="s">
        <v>318</v>
      </c>
      <c r="K35" s="81">
        <v>1.3520000000000001</v>
      </c>
      <c r="L35" s="209">
        <f t="shared" ca="1" si="0"/>
        <v>1.3520000000000001</v>
      </c>
      <c r="M35" s="168"/>
    </row>
    <row r="36" spans="1:13" ht="117">
      <c r="A36" s="72" t="s">
        <v>275</v>
      </c>
      <c r="B36" s="72" t="s">
        <v>276</v>
      </c>
      <c r="C36" s="72" t="s">
        <v>292</v>
      </c>
      <c r="D36" s="75" t="str">
        <f>VLOOKUP(C36,'BD EVA 5 SPGG'!$D$3:$AE$113,6,0)</f>
        <v>enero - agosto 2021</v>
      </c>
      <c r="E36" s="78">
        <f ca="1">VLOOKUP(C36,'BD EVA 5 SPGG'!$D$3:$AE$113,16,0)</f>
        <v>0.73944292019563396</v>
      </c>
      <c r="F36" s="75" t="str">
        <f>VLOOKUP(C36,'BD EVA 5 SPGG'!$D$3:$AE$113,12,0)</f>
        <v>enero- agosto 2024</v>
      </c>
      <c r="G36" s="78">
        <f ca="1">VLOOKUP(C36,'BD EVA 5 SPGG'!$D$3:$AE$113,28,0)</f>
        <v>0.82700881511494495</v>
      </c>
      <c r="H36" s="78">
        <f>VLOOKUP(C36,'BD EVA 5 SPGG'!$D$3:$AE$113,21,0)</f>
        <v>0.7583333333333333</v>
      </c>
      <c r="I36" s="78">
        <f ca="1">IF(G36&lt;E36,0,G36/H36)</f>
        <v>1.0905610748768506</v>
      </c>
      <c r="J36" s="72" t="s">
        <v>316</v>
      </c>
      <c r="K36" s="81">
        <v>2.1631999999999998</v>
      </c>
      <c r="L36" s="209">
        <f t="shared" ca="1" si="0"/>
        <v>2.1631999999999998</v>
      </c>
      <c r="M36" s="168"/>
    </row>
    <row r="37" spans="1:13" ht="78">
      <c r="A37" s="72" t="s">
        <v>275</v>
      </c>
      <c r="B37" s="72" t="s">
        <v>276</v>
      </c>
      <c r="C37" s="72" t="s">
        <v>296</v>
      </c>
      <c r="D37" s="75" t="str">
        <f>VLOOKUP(C37,'BD EVA 5 SPGG'!$D$3:$AE$113,6,0)</f>
        <v>enero - agosto 2021</v>
      </c>
      <c r="E37" s="90" t="str">
        <f ca="1">VLOOKUP(C37,'BD EVA 5 SPGG'!$D$3:$AE$113,16,0)</f>
        <v/>
      </c>
      <c r="F37" s="75" t="str">
        <f>VLOOKUP(C37,'BD EVA 5 SPGG'!$D$3:$AE$113,12,0)</f>
        <v>enero- agosto 2024</v>
      </c>
      <c r="G37" s="90">
        <f ca="1">VLOOKUP(C37,'BD EVA 5 SPGG'!$D$3:$AE$113,28,0)</f>
        <v>1010317494</v>
      </c>
      <c r="H37" s="90">
        <f>VLOOKUP(C37,'BD EVA 5 SPGG'!$D$3:$AE$113,21,0)</f>
        <v>886666666.66666663</v>
      </c>
      <c r="I37" s="78">
        <f ca="1">G37/H37</f>
        <v>1.1394558203007519</v>
      </c>
      <c r="J37" s="75" t="s">
        <v>318</v>
      </c>
      <c r="K37" s="81">
        <v>1.0815999999999999</v>
      </c>
      <c r="L37" s="209">
        <f t="shared" ca="1" si="0"/>
        <v>1.0815999999999999</v>
      </c>
      <c r="M37" s="168"/>
    </row>
    <row r="38" spans="1:13" ht="78">
      <c r="A38" s="72" t="s">
        <v>275</v>
      </c>
      <c r="B38" s="72" t="s">
        <v>298</v>
      </c>
      <c r="C38" s="142" t="s">
        <v>301</v>
      </c>
      <c r="D38" s="75" t="str">
        <f>VLOOKUP(C38,'BD EVA 5 SPGG'!$D$3:$AE$113,6,0)</f>
        <v>enero - junio 2021</v>
      </c>
      <c r="E38" s="78">
        <f ca="1">VLOOKUP(C38,'BD EVA 5 SPGG'!$D$3:$AE$113,16,0)</f>
        <v>0.69193833833614304</v>
      </c>
      <c r="F38" s="75" t="str">
        <f>VLOOKUP(C38,'BD EVA 5 SPGG'!$D$3:$AE$113,12,0)</f>
        <v>enero- junio 2024</v>
      </c>
      <c r="G38" s="78">
        <f ca="1">VLOOKUP(C38,'BD EVA 5 SPGG'!$D$3:$AE$113,28,0)</f>
        <v>0.75615341986234197</v>
      </c>
      <c r="H38" s="78">
        <f>VLOOKUP(C38,'BD EVA 5 SPGG'!$D$3:$AE$113,21,0)</f>
        <v>0.73833333333333329</v>
      </c>
      <c r="I38" s="78">
        <f ca="1">(H38/G38)</f>
        <v>0.97643323952399386</v>
      </c>
      <c r="J38" s="89" t="s">
        <v>341</v>
      </c>
      <c r="K38" s="81">
        <v>1.62</v>
      </c>
      <c r="L38" s="209">
        <f t="shared" ca="1" si="0"/>
        <v>1.5818218480288702</v>
      </c>
      <c r="M38" s="168"/>
    </row>
    <row r="39" spans="1:13" ht="78">
      <c r="A39" s="72" t="s">
        <v>275</v>
      </c>
      <c r="B39" s="72" t="s">
        <v>303</v>
      </c>
      <c r="C39" s="72" t="s">
        <v>304</v>
      </c>
      <c r="D39" s="75">
        <f>VLOOKUP(C39,'BD EVA 5 SPGG'!$D$3:$AE$113,6,0)</f>
        <v>44348</v>
      </c>
      <c r="E39" s="75" t="str">
        <f ca="1">VLOOKUP(C39,'BD EVA 5 SPGG'!$D$3:$AE$113,16,0)</f>
        <v>Verde</v>
      </c>
      <c r="F39" s="75">
        <f>VLOOKUP(C39,'BD EVA 5 SPGG'!$D$3:$AE$113,12,0)</f>
        <v>45473</v>
      </c>
      <c r="G39" s="75" t="str">
        <f ca="1">VLOOKUP(C39,'BD EVA 5 SPGG'!$D$3:$AE$113,28,0)</f>
        <v>Verde</v>
      </c>
      <c r="H39" s="207" t="str">
        <f>VLOOKUP(C39,'BD EVA 5 SPGG'!$D$3:$AE$113,21,0)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68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84D3-75AF-5145-B508-6DCD58A2579B}">
  <dimension ref="A1:L15"/>
  <sheetViews>
    <sheetView workbookViewId="0">
      <selection activeCell="K26" sqref="K26"/>
    </sheetView>
  </sheetViews>
  <sheetFormatPr baseColWidth="10" defaultRowHeight="16"/>
  <cols>
    <col min="1" max="1" width="22.33203125" customWidth="1"/>
    <col min="2" max="2" width="12.6640625" customWidth="1"/>
    <col min="4" max="4" width="12.83203125" customWidth="1"/>
    <col min="6" max="6" width="12.83203125" customWidth="1"/>
    <col min="8" max="8" width="12.83203125" customWidth="1"/>
    <col min="10" max="10" width="12.33203125" customWidth="1"/>
  </cols>
  <sheetData>
    <row r="1" spans="1:12" ht="22">
      <c r="A1" s="220" t="s">
        <v>376</v>
      </c>
    </row>
    <row r="2" spans="1:12">
      <c r="A2" s="221" t="s">
        <v>446</v>
      </c>
    </row>
    <row r="4" spans="1:12" ht="30">
      <c r="A4" s="224" t="s">
        <v>0</v>
      </c>
      <c r="B4" s="225" t="s">
        <v>380</v>
      </c>
      <c r="C4" s="225" t="s">
        <v>381</v>
      </c>
      <c r="D4" s="225" t="s">
        <v>382</v>
      </c>
      <c r="E4" s="225" t="s">
        <v>386</v>
      </c>
      <c r="F4" s="225" t="s">
        <v>383</v>
      </c>
      <c r="G4" s="225" t="s">
        <v>387</v>
      </c>
      <c r="H4" s="225" t="s">
        <v>384</v>
      </c>
      <c r="I4" s="225" t="s">
        <v>388</v>
      </c>
      <c r="J4" s="225" t="s">
        <v>385</v>
      </c>
      <c r="K4" s="225" t="s">
        <v>389</v>
      </c>
      <c r="L4" s="225" t="s">
        <v>391</v>
      </c>
    </row>
    <row r="5" spans="1:12">
      <c r="A5" s="222" t="s">
        <v>34</v>
      </c>
      <c r="B5" s="227">
        <v>0.1</v>
      </c>
      <c r="C5" s="229">
        <f ca="1">'EVA 1 SPGG'!M2</f>
        <v>9.9518987341772132</v>
      </c>
      <c r="D5" s="228">
        <v>8.5000000000000006E-2</v>
      </c>
      <c r="E5" s="229">
        <f ca="1">'EVA 2 SPGG'!M2</f>
        <v>10</v>
      </c>
      <c r="F5" s="228">
        <v>0.1</v>
      </c>
      <c r="G5" s="229">
        <f ca="1">'EVA 3 SPGG'!M2</f>
        <v>10</v>
      </c>
      <c r="H5" s="228">
        <v>8.5000000000000006E-2</v>
      </c>
      <c r="I5" s="229">
        <f ca="1">'EVA 4 SPGG'!M2</f>
        <v>10</v>
      </c>
      <c r="J5" s="228">
        <v>8.5000000000000006E-2</v>
      </c>
      <c r="K5" s="229">
        <f ca="1">'EVA 5 SPGG'!M2</f>
        <v>10</v>
      </c>
      <c r="L5" s="236">
        <f ca="1">AVERAGE(C5,E5,G5,I5,K5)</f>
        <v>9.9903797468354423</v>
      </c>
    </row>
    <row r="6" spans="1:12">
      <c r="A6" s="222" t="s">
        <v>52</v>
      </c>
      <c r="B6" s="227">
        <v>0.22</v>
      </c>
      <c r="C6" s="229">
        <f ca="1">'EVA 1 SPGG'!M5</f>
        <v>10.014000000000001</v>
      </c>
      <c r="D6" s="228">
        <v>0.188</v>
      </c>
      <c r="E6" s="229">
        <f ca="1">'EVA 2 SPGG'!M5</f>
        <v>10</v>
      </c>
      <c r="F6" s="228">
        <v>0.221</v>
      </c>
      <c r="G6" s="229">
        <f ca="1">'EVA 3 SPGG'!M5</f>
        <v>8.3000000000000007</v>
      </c>
      <c r="H6" s="228">
        <v>0.188</v>
      </c>
      <c r="I6" s="229">
        <f ca="1">'EVA 4 SPGG'!M5</f>
        <v>8.3000000000000007</v>
      </c>
      <c r="J6" s="228">
        <v>0.188</v>
      </c>
      <c r="K6" s="229">
        <f ca="1">'EVA 5 SPGG'!M5</f>
        <v>8.3000000000000007</v>
      </c>
      <c r="L6" s="236">
        <f t="shared" ref="L6:L11" ca="1" si="0">AVERAGE(C6,E6,G6,I6,K6)</f>
        <v>8.982800000000001</v>
      </c>
    </row>
    <row r="7" spans="1:12">
      <c r="A7" s="222" t="s">
        <v>119</v>
      </c>
      <c r="B7" s="227">
        <v>0.11</v>
      </c>
      <c r="C7" s="229">
        <f ca="1">'EVA 1 SPGG'!M11</f>
        <v>7.6</v>
      </c>
      <c r="D7" s="228">
        <v>9.5000000000000001E-2</v>
      </c>
      <c r="E7" s="229">
        <f ca="1">'EVA 2 SPGG'!M11</f>
        <v>10</v>
      </c>
      <c r="F7" s="228">
        <v>0.111</v>
      </c>
      <c r="G7" s="229">
        <f ca="1">'EVA 3 SPGG'!M11</f>
        <v>10</v>
      </c>
      <c r="H7" s="228">
        <v>9.5000000000000001E-2</v>
      </c>
      <c r="I7" s="229">
        <f ca="1">'EVA 4 SPGG'!M11</f>
        <v>10</v>
      </c>
      <c r="J7" s="228">
        <v>9.5000000000000001E-2</v>
      </c>
      <c r="K7" s="229">
        <f ca="1">'EVA 5 SPGG'!M11</f>
        <v>10</v>
      </c>
      <c r="L7" s="236">
        <f t="shared" ca="1" si="0"/>
        <v>9.52</v>
      </c>
    </row>
    <row r="8" spans="1:12">
      <c r="A8" s="222" t="s">
        <v>378</v>
      </c>
      <c r="B8" s="227">
        <v>0.24</v>
      </c>
      <c r="C8" s="229">
        <f ca="1">'EVA 1 SPGG'!M15</f>
        <v>9.9065227272727281</v>
      </c>
      <c r="D8" s="228">
        <v>0.2</v>
      </c>
      <c r="E8" s="229">
        <f ca="1">'EVA 2 SPGG'!M16</f>
        <v>9.9236022727272726</v>
      </c>
      <c r="F8" s="228">
        <v>0.23699999999999999</v>
      </c>
      <c r="G8" s="229">
        <f ca="1">'EVA 3 SPGG'!M16</f>
        <v>9.929397727272729</v>
      </c>
      <c r="H8" s="228">
        <v>0.2</v>
      </c>
      <c r="I8" s="229">
        <f ca="1">'EVA 4 SPGG'!M16</f>
        <v>9.5620961399711391</v>
      </c>
      <c r="J8" s="228">
        <v>0.2</v>
      </c>
      <c r="K8" s="229">
        <f ca="1">'EVA 5 SPGG'!M16</f>
        <v>9.950772727272728</v>
      </c>
      <c r="L8" s="236">
        <f t="shared" ca="1" si="0"/>
        <v>9.85447831890332</v>
      </c>
    </row>
    <row r="9" spans="1:12">
      <c r="A9" s="222" t="s">
        <v>199</v>
      </c>
      <c r="B9" s="227">
        <v>0.17</v>
      </c>
      <c r="C9" s="229">
        <f ca="1">'EVA 1 SPGG'!M23</f>
        <v>10</v>
      </c>
      <c r="D9" s="228">
        <v>0.14499999999999999</v>
      </c>
      <c r="E9" s="229">
        <f ca="1">'EVA 2 SPGG'!M24</f>
        <v>9.8900575614861346</v>
      </c>
      <c r="F9" s="228">
        <v>0.17</v>
      </c>
      <c r="G9" s="229">
        <f ca="1">'EVA 3 SPGG'!M24</f>
        <v>6.1894566888774989</v>
      </c>
      <c r="H9" s="228">
        <v>0.14499999999999999</v>
      </c>
      <c r="I9" s="229">
        <f ca="1">'EVA 4 SPGG'!M24</f>
        <v>9.5170896975909791</v>
      </c>
      <c r="J9" s="228">
        <v>0.14499999999999999</v>
      </c>
      <c r="K9" s="229">
        <f ca="1">'EVA 5 SPGG'!M24</f>
        <v>7.78</v>
      </c>
      <c r="L9" s="236">
        <f t="shared" ca="1" si="0"/>
        <v>8.6753207895909235</v>
      </c>
    </row>
    <row r="10" spans="1:12">
      <c r="A10" s="222" t="s">
        <v>243</v>
      </c>
      <c r="B10" s="227">
        <v>0.16</v>
      </c>
      <c r="C10" s="229">
        <f ca="1">'EVA 1 SPGG'!M27</f>
        <v>10</v>
      </c>
      <c r="D10" s="228">
        <v>0.13800000000000001</v>
      </c>
      <c r="E10" s="229">
        <f ca="1">'EVA 2 SPGG'!M29</f>
        <v>9.6061291649526908</v>
      </c>
      <c r="F10" s="228">
        <v>0.161</v>
      </c>
      <c r="G10" s="229">
        <f ca="1">'EVA 3 SPGG'!M28</f>
        <v>9.1510695187165751</v>
      </c>
      <c r="H10" s="228">
        <v>0.13800000000000001</v>
      </c>
      <c r="I10" s="229">
        <f ca="1">'EVA 4 SPGG'!M29</f>
        <v>9.9499999999999993</v>
      </c>
      <c r="J10" s="228">
        <v>0.13800000000000001</v>
      </c>
      <c r="K10" s="229">
        <f ca="1">'EVA 5 SPGG'!M29</f>
        <v>9.6783216783216748</v>
      </c>
      <c r="L10" s="236">
        <f t="shared" ca="1" si="0"/>
        <v>9.6771040723981869</v>
      </c>
    </row>
    <row r="11" spans="1:12">
      <c r="A11" s="222" t="s">
        <v>379</v>
      </c>
      <c r="B11" s="232"/>
      <c r="C11" s="235"/>
      <c r="D11" s="228">
        <v>0.14899999999999999</v>
      </c>
      <c r="E11" s="229">
        <f ca="1">'EVA 2 SPGG'!M34</f>
        <v>10.034021002607176</v>
      </c>
      <c r="F11" s="232"/>
      <c r="G11" s="232"/>
      <c r="H11" s="228">
        <v>0.14899999999999999</v>
      </c>
      <c r="I11" s="229">
        <f ca="1">'EVA 4 SPGG'!M34</f>
        <v>9.9073461035634303</v>
      </c>
      <c r="J11" s="228">
        <v>0.14899999999999999</v>
      </c>
      <c r="K11" s="229">
        <f ca="1">'EVA 5 SPGG'!M34</f>
        <v>9.9618218480288689</v>
      </c>
      <c r="L11" s="236">
        <f t="shared" ca="1" si="0"/>
        <v>9.967729651399825</v>
      </c>
    </row>
    <row r="12" spans="1:12">
      <c r="A12" s="223" t="s">
        <v>392</v>
      </c>
      <c r="B12" s="234"/>
      <c r="C12" s="231">
        <f ca="1">SUMPRODUCT(B5:B10,C5:C10)</f>
        <v>9.7118353279631773</v>
      </c>
      <c r="D12" s="234"/>
      <c r="E12" s="231">
        <f ca="1">SUMPRODUCT(D5:D11,E5:E11)</f>
        <v>9.9194937551128852</v>
      </c>
      <c r="F12" s="234"/>
      <c r="G12" s="231">
        <f ca="1">SUMPRODUCT(F5:F10,G5:G10)</f>
        <v>8.823097090986181</v>
      </c>
      <c r="H12" s="234"/>
      <c r="I12" s="231">
        <f ca="1">SUMPRODUCT(H5:H11,I5:I11)</f>
        <v>9.5020918035758726</v>
      </c>
      <c r="J12" s="233"/>
      <c r="K12" s="231">
        <f ca="1">SUMPRODUCT(J5:J11,K5:K11)</f>
        <v>9.2985743924192388</v>
      </c>
      <c r="L12" s="238"/>
    </row>
    <row r="13" spans="1:1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</row>
    <row r="15" spans="1:12" ht="64">
      <c r="A15" s="237" t="s">
        <v>390</v>
      </c>
      <c r="B15" s="231">
        <f ca="1">AVERAGE(C12,E12,G12,I12,K12)</f>
        <v>9.4510184740114713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E6F5-08CC-3849-822A-6463FA7D7A13}">
  <dimension ref="A1:M39"/>
  <sheetViews>
    <sheetView workbookViewId="0"/>
  </sheetViews>
  <sheetFormatPr baseColWidth="10" defaultRowHeight="16"/>
  <cols>
    <col min="1" max="1" width="10.83203125" style="118"/>
    <col min="3" max="3" width="19.1640625" customWidth="1"/>
    <col min="4" max="4" width="12" customWidth="1"/>
    <col min="5" max="5" width="11.5" customWidth="1"/>
    <col min="7" max="7" width="12.6640625" customWidth="1"/>
    <col min="8" max="8" width="12.16406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70" t="s">
        <v>311</v>
      </c>
      <c r="J1" s="70" t="s">
        <v>312</v>
      </c>
      <c r="K1" s="196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APO'!$D$3:$AB$113,4,0)</f>
        <v>44469</v>
      </c>
      <c r="E2" s="72">
        <f ca="1">'BD EVA 4 APO'!Y3</f>
        <v>818</v>
      </c>
      <c r="F2" s="75">
        <f>VLOOKUP(C2,'BD EVA 4 APO'!$D$3:$AB$113,10,0)</f>
        <v>45382</v>
      </c>
      <c r="G2" s="72">
        <f ca="1">VLOOKUP(C2,'BD EVA 4 APO'!$D$3:$AC$113,25,0)</f>
        <v>775</v>
      </c>
      <c r="H2" s="72">
        <f>VLOOKUP(C2,'BD EVA 4 APO'!$D$3:$AC$113,18,0)</f>
        <v>890</v>
      </c>
      <c r="I2" s="78">
        <f ca="1">IF(G2&gt;=E2,G2/H2,0)</f>
        <v>0</v>
      </c>
      <c r="J2" s="72" t="s">
        <v>316</v>
      </c>
      <c r="K2" s="81">
        <v>2.7</v>
      </c>
      <c r="L2" s="81">
        <f t="shared" ref="L2:L39" ca="1" si="0">IF(I2&lt;0,0,IF(I2&gt;1,K2,I2*K2))</f>
        <v>0</v>
      </c>
      <c r="M2" s="124">
        <f ca="1">SUM(L2:L4)</f>
        <v>7.3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APO'!$D$3:$AB$113,4,0)</f>
        <v>44469</v>
      </c>
      <c r="E3" s="207">
        <f>VLOOKUP(C3,'BD EVA 4 APO'!$D$3:$AB$113,13,0)</f>
        <v>1</v>
      </c>
      <c r="F3" s="75">
        <f>VLOOKUP(C3,'BD EVA 4 APO'!$D$3:$AB$113,10,0)</f>
        <v>45382</v>
      </c>
      <c r="G3" s="207">
        <f ca="1">VLOOKUP(C3,'BD EVA 4 APO'!$D$3:$AC$113,25,0)</f>
        <v>0.99096774193548298</v>
      </c>
      <c r="H3" s="207" t="str">
        <f>VLOOKUP(C3,'BD EVA 4 APO'!$D$3:$AC$113,18,0)</f>
        <v>&gt;=97%</v>
      </c>
      <c r="I3" s="78">
        <f ca="1">IF(G3&gt;=97%,1,G3/97%)</f>
        <v>1</v>
      </c>
      <c r="J3" s="75" t="s">
        <v>318</v>
      </c>
      <c r="K3" s="81">
        <v>3.8</v>
      </c>
      <c r="L3" s="81">
        <f t="shared" ca="1" si="0"/>
        <v>3.8</v>
      </c>
      <c r="M3" s="14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APO'!$D$3:$AB$113,4,0)</f>
        <v>44469</v>
      </c>
      <c r="E4" s="207">
        <f>VLOOKUP(C4,'BD EVA 4 APO'!$D$3:$AB$113,13,0)</f>
        <v>0</v>
      </c>
      <c r="F4" s="75">
        <f>VLOOKUP(C4,'BD EVA 4 APO'!$D$3:$AB$113,10,0)</f>
        <v>45382</v>
      </c>
      <c r="G4" s="207">
        <f ca="1">VLOOKUP(C4,'BD EVA 4 APO'!$D$3:$AC$113,25,0)</f>
        <v>1.41935483870967E-2</v>
      </c>
      <c r="H4" s="207">
        <f>VLOOKUP(C4,'BD EVA 4 APO'!$D$3:$AC$113,18,0)</f>
        <v>6.7000000000000002E-3</v>
      </c>
      <c r="I4" s="77">
        <f t="shared" ref="I4:I5" ca="1" si="1">G4/H4</f>
        <v>2.1184400577756271</v>
      </c>
      <c r="J4" s="75" t="s">
        <v>318</v>
      </c>
      <c r="K4" s="81">
        <v>3.5</v>
      </c>
      <c r="L4" s="81">
        <f t="shared" ca="1" si="0"/>
        <v>3.5</v>
      </c>
      <c r="M4" s="14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4 APO'!$D$3:$AB$113,4,0)</f>
        <v>octubre 20 - mar 21</v>
      </c>
      <c r="E5" s="207">
        <f>VLOOKUP(C5,'BD EVA 4 APO'!$D$3:$AB$113,13,0)</f>
        <v>0</v>
      </c>
      <c r="F5" s="75" t="str">
        <f>VLOOKUP(C5,'BD EVA 4 APO'!$D$3:$AB$113,10,0)</f>
        <v>octubre 23- mar 24</v>
      </c>
      <c r="G5" s="207">
        <f ca="1">VLOOKUP(C5,'BD EVA 4 APO'!$D$3:$AC$113,25,0)</f>
        <v>0.31742243436754097</v>
      </c>
      <c r="H5" s="207">
        <f>VLOOKUP(C5,'BD EVA 4 APO'!$D$3:$AC$113,18,0)</f>
        <v>0.26700000000000002</v>
      </c>
      <c r="I5" s="77">
        <f t="shared" ca="1" si="1"/>
        <v>1.1888480687922882</v>
      </c>
      <c r="J5" s="75" t="s">
        <v>318</v>
      </c>
      <c r="K5" s="208">
        <v>1.6</v>
      </c>
      <c r="L5" s="209">
        <f t="shared" ca="1" si="0"/>
        <v>1.6</v>
      </c>
      <c r="M5" s="130">
        <f ca="1">SUM(L5:L10)</f>
        <v>8.3000000000000007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4 APO'!$D$3:$AB$113,4,0)</f>
        <v>octubre 20 - mar 21</v>
      </c>
      <c r="E6" s="209">
        <f>VLOOKUP(C6,'BD EVA 4 APO'!$D$3:$AB$113,13,0)</f>
        <v>4.5063043197433208</v>
      </c>
      <c r="F6" s="75" t="str">
        <f>VLOOKUP(C6,'BD EVA 4 APO'!$D$3:$AB$113,10,0)</f>
        <v>octubre 23- mar 24</v>
      </c>
      <c r="G6" s="209">
        <f ca="1">VLOOKUP(C6,'BD EVA 4 APO'!$D$3:$AC$113,25,0)</f>
        <v>6.5750636423279696</v>
      </c>
      <c r="H6" s="209">
        <f>VLOOKUP(C6,'BD EVA 4 APO'!$D$3:$AC$113,18,0)</f>
        <v>3.5</v>
      </c>
      <c r="I6" s="78">
        <f t="shared" ref="I6:I10" ca="1" si="2">(G6-E6)/(H6-E6)</f>
        <v>-2.0557989089347539</v>
      </c>
      <c r="J6" s="71" t="s">
        <v>319</v>
      </c>
      <c r="K6" s="208">
        <v>1.7</v>
      </c>
      <c r="L6" s="209">
        <f t="shared" ca="1" si="0"/>
        <v>0</v>
      </c>
      <c r="M6" s="14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4 APO'!$D$3:$AB$113,4,0)</f>
        <v>octubre 20 - mar 21</v>
      </c>
      <c r="E7" s="208">
        <f>VLOOKUP(C7,'BD EVA 4 APO'!$D$3:$AB$113,13,0)</f>
        <v>146.90552082363226</v>
      </c>
      <c r="F7" s="75" t="str">
        <f>VLOOKUP(C7,'BD EVA 4 APO'!$D$3:$AB$113,10,0)</f>
        <v>octubre 23- mar 24</v>
      </c>
      <c r="G7" s="208">
        <f ca="1">VLOOKUP(C7,'BD EVA 4 APO'!$D$3:$AC$113,25,0)</f>
        <v>94.051997318517493</v>
      </c>
      <c r="H7" s="208">
        <f>VLOOKUP(C7,'BD EVA 4 APO'!$D$3:$AC$113,18,0)</f>
        <v>130</v>
      </c>
      <c r="I7" s="78">
        <f t="shared" ca="1" si="2"/>
        <v>3.1264061046395404</v>
      </c>
      <c r="J7" s="71" t="s">
        <v>319</v>
      </c>
      <c r="K7" s="208">
        <v>1.6</v>
      </c>
      <c r="L7" s="209">
        <f t="shared" ca="1" si="0"/>
        <v>1.6</v>
      </c>
      <c r="M7" s="14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4 APO'!$D$3:$AB$113,4,0)</f>
        <v>octubre 20 - mar 21</v>
      </c>
      <c r="E8" s="208">
        <f>VLOOKUP(C8,'BD EVA 4 APO'!$D$3:$AB$113,13,0)</f>
        <v>332.41504865306564</v>
      </c>
      <c r="F8" s="75" t="str">
        <f>VLOOKUP(C8,'BD EVA 4 APO'!$D$3:$AB$113,10,0)</f>
        <v>octubre 23- mar 24</v>
      </c>
      <c r="G8" s="208">
        <f ca="1">VLOOKUP(C8,'BD EVA 4 APO'!$D$3:$AC$113,25,0)</f>
        <v>259.57207770581698</v>
      </c>
      <c r="H8" s="208">
        <f>VLOOKUP(C8,'BD EVA 4 APO'!$D$3:$AC$113,18,0)</f>
        <v>298.02</v>
      </c>
      <c r="I8" s="78">
        <f t="shared" ca="1" si="2"/>
        <v>2.1178330544607649</v>
      </c>
      <c r="J8" s="71" t="s">
        <v>319</v>
      </c>
      <c r="K8" s="208">
        <v>1.7</v>
      </c>
      <c r="L8" s="209">
        <f t="shared" ca="1" si="0"/>
        <v>1.7</v>
      </c>
      <c r="M8" s="14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4 APO'!$D$3:$AB$113,4,0)</f>
        <v>octubre 20 - mar 21</v>
      </c>
      <c r="E9" s="208">
        <f>VLOOKUP(C9,'BD EVA 4 APO'!$D$3:$AB$113,13,0)</f>
        <v>55.127122844859954</v>
      </c>
      <c r="F9" s="75" t="str">
        <f>VLOOKUP(C9,'BD EVA 4 APO'!$D$3:$AB$113,10,0)</f>
        <v>octubre 23- mar 24</v>
      </c>
      <c r="G9" s="208">
        <f ca="1">VLOOKUP(C9,'BD EVA 4 APO'!$D$3:$AC$113,25,0)</f>
        <v>36.162850032803803</v>
      </c>
      <c r="H9" s="208">
        <f>VLOOKUP(C9,'BD EVA 4 APO'!$D$3:$AC$113,18,0)</f>
        <v>50.17</v>
      </c>
      <c r="I9" s="78">
        <f t="shared" ca="1" si="2"/>
        <v>3.8256612566541963</v>
      </c>
      <c r="J9" s="71" t="s">
        <v>319</v>
      </c>
      <c r="K9" s="208">
        <v>1.7</v>
      </c>
      <c r="L9" s="209">
        <f t="shared" ca="1" si="0"/>
        <v>1.7</v>
      </c>
      <c r="M9" s="14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4 APO'!$D$3:$AB$113,4,0)</f>
        <v>octubre 20 - mar 21</v>
      </c>
      <c r="E10" s="208">
        <f>VLOOKUP(C10,'BD EVA 4 APO'!$D$3:$AB$113,13,0)</f>
        <v>6.1586159036492054</v>
      </c>
      <c r="F10" s="75" t="str">
        <f>VLOOKUP(C10,'BD EVA 4 APO'!$D$3:$AB$113,10,0)</f>
        <v>octubre 23- mar 24</v>
      </c>
      <c r="G10" s="208">
        <f ca="1">VLOOKUP(C10,'BD EVA 4 APO'!$D$3:$AC$113,25,0)</f>
        <v>4.5739573164020602</v>
      </c>
      <c r="H10" s="208">
        <f>VLOOKUP(C10,'BD EVA 4 APO'!$D$3:$AC$113,18,0)</f>
        <v>5.43</v>
      </c>
      <c r="I10" s="78">
        <f t="shared" ca="1" si="2"/>
        <v>2.1748888259376833</v>
      </c>
      <c r="J10" s="71" t="s">
        <v>319</v>
      </c>
      <c r="K10" s="208">
        <v>1.7</v>
      </c>
      <c r="L10" s="209">
        <f t="shared" ca="1" si="0"/>
        <v>1.7</v>
      </c>
      <c r="M10" s="14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APO'!$D$3:$AB$113,4,0)</f>
        <v>44469</v>
      </c>
      <c r="E11" s="78">
        <f>VLOOKUP(C11,'BD EVA 4 APO'!$D$3:$AB$113,13,0)</f>
        <v>0</v>
      </c>
      <c r="F11" s="89">
        <f>VLOOKUP(C11,'BD EVA 4 APO'!$D$3:$AB$113,10,0)</f>
        <v>45382</v>
      </c>
      <c r="G11" s="80">
        <f ca="1">VLOOKUP(C11,'BD EVA 4 APO'!$D$3:$AC$113,25,0)</f>
        <v>1.11611814110523E-4</v>
      </c>
      <c r="H11" s="78">
        <f>VLOOKUP(C11,'BD EVA 4 APO'!$D$3:$AC$113,18,0)</f>
        <v>7.4000000000000003E-3</v>
      </c>
      <c r="I11" s="77">
        <f t="shared" ref="I11:I15" ca="1" si="3">G11/H11</f>
        <v>1.5082677582503107E-2</v>
      </c>
      <c r="J11" s="89" t="s">
        <v>318</v>
      </c>
      <c r="K11" s="85">
        <v>1.05</v>
      </c>
      <c r="L11" s="209">
        <f t="shared" ca="1" si="0"/>
        <v>1.5836811461628263E-2</v>
      </c>
      <c r="M11" s="130">
        <f ca="1">SUM(L11:L15)</f>
        <v>7.1773752730000897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4 APO'!$D$3:$AB$113,4,0)</f>
        <v>octubre 20 - mar 21</v>
      </c>
      <c r="E12" s="210">
        <f>VLOOKUP(C12,'BD EVA 4 APO'!$D$3:$AB$113,13,0)</f>
        <v>0</v>
      </c>
      <c r="F12" s="89" t="str">
        <f>VLOOKUP(C12,'BD EVA 4 APO'!$D$3:$AB$113,10,0)</f>
        <v>octubre 23- mar 24</v>
      </c>
      <c r="G12" s="210">
        <f ca="1">VLOOKUP(C12,'BD EVA 4 APO'!$D$3:$AC$113,25,0)</f>
        <v>1.3626379982981799E-2</v>
      </c>
      <c r="H12" s="210">
        <f ca="1">VLOOKUP(C12,'BD EVA 4 APO'!$D$3:$AC$113,18,0)</f>
        <v>5.9416668538291731E-3</v>
      </c>
      <c r="I12" s="78">
        <f t="shared" ca="1" si="3"/>
        <v>2.2933598126929864</v>
      </c>
      <c r="J12" s="75" t="s">
        <v>318</v>
      </c>
      <c r="K12" s="85">
        <v>1.05</v>
      </c>
      <c r="L12" s="211">
        <f t="shared" ca="1" si="0"/>
        <v>1.05</v>
      </c>
      <c r="M12" s="14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4 APO'!$D$3:$AB$113,4,0)</f>
        <v>octubre 20 - mar 21</v>
      </c>
      <c r="E13" s="212">
        <f>VLOOKUP(C13,'BD EVA 4 APO'!$D$3:$AB$113,13,0)</f>
        <v>0</v>
      </c>
      <c r="F13" s="89" t="str">
        <f>VLOOKUP(C13,'BD EVA 4 APO'!$D$3:$AB$113,10,0)</f>
        <v>octubre 21 - mar 24</v>
      </c>
      <c r="G13" s="212">
        <f ca="1">VLOOKUP(C13,'BD EVA 4 APO'!$D$3:$AC$113,25,0)</f>
        <v>3</v>
      </c>
      <c r="H13" s="212">
        <f>VLOOKUP(C13,'BD EVA 4 APO'!$D$3:$AC$113,18,0)</f>
        <v>1</v>
      </c>
      <c r="I13" s="78">
        <f t="shared" ca="1" si="3"/>
        <v>3</v>
      </c>
      <c r="J13" s="75" t="s">
        <v>318</v>
      </c>
      <c r="K13" s="81">
        <v>2.4</v>
      </c>
      <c r="L13" s="209">
        <f t="shared" ca="1" si="0"/>
        <v>2.4</v>
      </c>
      <c r="M13" s="14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4 APO'!$D$3:$AB$113,4,0)</f>
        <v>octubre 20 - mar 21</v>
      </c>
      <c r="E14" s="212">
        <f>VLOOKUP(C14,'BD EVA 4 APO'!$D$3:$AB$113,13,0)</f>
        <v>348</v>
      </c>
      <c r="F14" s="89" t="str">
        <f>VLOOKUP(C14,'BD EVA 4 APO'!$D$3:$AB$113,10,0)</f>
        <v>octubre 21 - mar 24</v>
      </c>
      <c r="G14" s="212">
        <f ca="1">VLOOKUP(C14,'BD EVA 4 APO'!$D$3:$AC$113,25,0)</f>
        <v>19572</v>
      </c>
      <c r="H14" s="212">
        <f>VLOOKUP(C14,'BD EVA 4 APO'!$D$3:$AC$113,18,0)</f>
        <v>4215</v>
      </c>
      <c r="I14" s="78">
        <f t="shared" ca="1" si="3"/>
        <v>4.6434163701067614</v>
      </c>
      <c r="J14" s="75" t="s">
        <v>318</v>
      </c>
      <c r="K14" s="81">
        <v>2.4</v>
      </c>
      <c r="L14" s="209">
        <f t="shared" ca="1" si="0"/>
        <v>2.4</v>
      </c>
      <c r="M14" s="147"/>
    </row>
    <row r="15" spans="1:13" ht="78">
      <c r="A15" s="121" t="s">
        <v>119</v>
      </c>
      <c r="B15" s="72" t="s">
        <v>136</v>
      </c>
      <c r="C15" s="72" t="s">
        <v>145</v>
      </c>
      <c r="D15" s="71" t="str">
        <f>VLOOKUP(C15,'BD EVA 4 APO'!$D$3:$AB$113,4,0)</f>
        <v>octubre 20 - mar 21</v>
      </c>
      <c r="E15" s="212">
        <f>VLOOKUP(C15,'BD EVA 4 APO'!$D$3:$AB$113,13,0)</f>
        <v>1</v>
      </c>
      <c r="F15" s="89" t="str">
        <f>VLOOKUP(C15,'BD EVA 4 APO'!$D$3:$AB$113,10,0)</f>
        <v>octubre 21 - mar 24</v>
      </c>
      <c r="G15" s="212">
        <f ca="1">VLOOKUP(C15,'BD EVA 4 APO'!$D$3:$AC$113,25,0)</f>
        <v>11</v>
      </c>
      <c r="H15" s="212">
        <f>VLOOKUP(C15,'BD EVA 4 APO'!$D$3:$AC$113,18,0)</f>
        <v>26</v>
      </c>
      <c r="I15" s="78">
        <f t="shared" ca="1" si="3"/>
        <v>0.42307692307692307</v>
      </c>
      <c r="J15" s="75" t="s">
        <v>318</v>
      </c>
      <c r="K15" s="81">
        <v>3.1</v>
      </c>
      <c r="L15" s="209">
        <f t="shared" ca="1" si="0"/>
        <v>1.3115384615384615</v>
      </c>
      <c r="M15" s="14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APO'!$D$3:$AB$113,4,0)</f>
        <v>44469</v>
      </c>
      <c r="E16" s="213">
        <f>VLOOKUP(C16,'BD EVA 4 APO'!$D$3:$AB$113,13,0)</f>
        <v>0.66666666666666663</v>
      </c>
      <c r="F16" s="75">
        <f>VLOOKUP(C16,'BD EVA 4 APO'!$D$3:$AB$113,10,0)</f>
        <v>45382</v>
      </c>
      <c r="G16" s="213">
        <f ca="1">VLOOKUP(C16,'BD EVA 4 APO'!$D$3:$AC$113,25,0)</f>
        <v>1</v>
      </c>
      <c r="H16" s="213" t="str">
        <f>VLOOKUP(C16,'BD EVA 4 APO'!$D$3:$AC$113,18,0)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81">
        <v>1.5</v>
      </c>
      <c r="L16" s="211">
        <f t="shared" ca="1" si="0"/>
        <v>1.5</v>
      </c>
      <c r="M16" s="130">
        <f ca="1">SUM(L16:L23)</f>
        <v>9.2147172681326719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APO'!$D$3:$AB$113,4,0)</f>
        <v>44469</v>
      </c>
      <c r="E17" s="212">
        <f>VLOOKUP(C17,'BD EVA 4 APO'!$D$3:$AB$113,13,0)</f>
        <v>1</v>
      </c>
      <c r="F17" s="75">
        <f>VLOOKUP(C17,'BD EVA 4 APO'!$D$3:$AB$113,10,0)</f>
        <v>45382</v>
      </c>
      <c r="G17" s="212">
        <f ca="1">VLOOKUP(C17,'BD EVA 4 APO'!$D$3:$AC$113,25,0)</f>
        <v>1</v>
      </c>
      <c r="H17" s="212" t="str">
        <f>VLOOKUP(C17,'BD EVA 4 APO'!$D$3:$AC$113,18,0)</f>
        <v>Actualizado al 2019</v>
      </c>
      <c r="I17" s="214">
        <f t="shared" ca="1" si="4"/>
        <v>1</v>
      </c>
      <c r="J17" s="75" t="s">
        <v>318</v>
      </c>
      <c r="K17" s="81">
        <v>1.5</v>
      </c>
      <c r="L17" s="211">
        <f t="shared" ca="1" si="0"/>
        <v>1.5</v>
      </c>
      <c r="M17" s="14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APO'!$D$3:$AB$113,4,0)</f>
        <v>44469</v>
      </c>
      <c r="E18" s="207">
        <f>VLOOKUP(C18,'BD EVA 4 APO'!$D$3:$AB$113,13,0)</f>
        <v>0</v>
      </c>
      <c r="F18" s="75">
        <f>VLOOKUP(C18,'BD EVA 4 APO'!$D$3:$AB$113,10,0)</f>
        <v>45382</v>
      </c>
      <c r="G18" s="207">
        <f ca="1">VLOOKUP(C18,'BD EVA 4 APO'!$D$3:$AC$113,25,0)</f>
        <v>0</v>
      </c>
      <c r="H18" s="207">
        <f>VLOOKUP(C18,'BD EVA 4 APO'!$D$3:$AC$113,18,0)</f>
        <v>1</v>
      </c>
      <c r="I18" s="214">
        <f t="shared" ref="I18:I27" ca="1" si="5">G18/H18</f>
        <v>0</v>
      </c>
      <c r="J18" s="75" t="s">
        <v>318</v>
      </c>
      <c r="K18" s="81">
        <v>0.3</v>
      </c>
      <c r="L18" s="211">
        <f t="shared" ca="1" si="0"/>
        <v>0</v>
      </c>
      <c r="M18" s="14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APO'!$D$3:$AB$113,4,0)</f>
        <v>44469</v>
      </c>
      <c r="E19" s="207">
        <f>VLOOKUP(C19,'BD EVA 4 APO'!$D$3:$AB$113,13,0)</f>
        <v>0.99790476190476185</v>
      </c>
      <c r="F19" s="75">
        <f>VLOOKUP(C19,'BD EVA 4 APO'!$D$3:$AB$113,10,0)</f>
        <v>45382</v>
      </c>
      <c r="G19" s="207">
        <f ca="1">VLOOKUP(C19,'BD EVA 4 APO'!$D$3:$AC$113,25,0)</f>
        <v>0.98636076235209103</v>
      </c>
      <c r="H19" s="207">
        <f>VLOOKUP(C19,'BD EVA 4 APO'!$D$3:$AC$113,18,0)</f>
        <v>1</v>
      </c>
      <c r="I19" s="214">
        <f t="shared" ca="1" si="5"/>
        <v>0.98636076235209103</v>
      </c>
      <c r="J19" s="75" t="s">
        <v>318</v>
      </c>
      <c r="K19" s="81">
        <v>1.5</v>
      </c>
      <c r="L19" s="211">
        <f t="shared" ca="1" si="0"/>
        <v>1.4795411435281365</v>
      </c>
      <c r="M19" s="14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APO'!$D$3:$AB$113,4,0)</f>
        <v>44469</v>
      </c>
      <c r="E20" s="214">
        <f>VLOOKUP(C20,'BD EVA 4 APO'!$D$3:$AB$113,13,0)</f>
        <v>1</v>
      </c>
      <c r="F20" s="75">
        <f>VLOOKUP(C20,'BD EVA 4 APO'!$D$3:$AB$113,10,0)</f>
        <v>45382</v>
      </c>
      <c r="G20" s="214">
        <f ca="1">VLOOKUP(C20,'BD EVA 4 APO'!$D$3:$AC$113,25,0)</f>
        <v>1</v>
      </c>
      <c r="H20" s="214">
        <f>VLOOKUP(C20,'BD EVA 4 APO'!$D$3:$AC$113,18,0)</f>
        <v>1</v>
      </c>
      <c r="I20" s="214">
        <f t="shared" ca="1" si="5"/>
        <v>1</v>
      </c>
      <c r="J20" s="75" t="s">
        <v>318</v>
      </c>
      <c r="K20" s="81">
        <v>1.5</v>
      </c>
      <c r="L20" s="211">
        <f t="shared" ca="1" si="0"/>
        <v>1.5</v>
      </c>
      <c r="M20" s="14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APO'!$D$3:$AB$113,4,0)</f>
        <v>44469</v>
      </c>
      <c r="E21" s="207">
        <f>VLOOKUP(C21,'BD EVA 4 APO'!$D$3:$AB$113,13,0)</f>
        <v>0.52489848972141995</v>
      </c>
      <c r="F21" s="75">
        <f>VLOOKUP(C21,'BD EVA 4 APO'!$D$3:$AB$113,10,0)</f>
        <v>45382</v>
      </c>
      <c r="G21" s="207">
        <f ca="1">VLOOKUP(C21,'BD EVA 4 APO'!$D$3:$AC$113,25,0)</f>
        <v>0.80016385363144504</v>
      </c>
      <c r="H21" s="207">
        <f>VLOOKUP(C21,'BD EVA 4 APO'!$D$3:$AC$113,18,0)</f>
        <v>1</v>
      </c>
      <c r="I21" s="214">
        <f t="shared" ca="1" si="5"/>
        <v>0.80016385363144504</v>
      </c>
      <c r="J21" s="75" t="s">
        <v>318</v>
      </c>
      <c r="K21" s="81">
        <v>0.9</v>
      </c>
      <c r="L21" s="211">
        <f t="shared" ca="1" si="0"/>
        <v>0.72014746826830056</v>
      </c>
      <c r="M21" s="14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APO'!$D$3:$AB$113,4,0)</f>
        <v>44469</v>
      </c>
      <c r="E22" s="207">
        <f>VLOOKUP(C22,'BD EVA 4 APO'!$D$3:$AB$113,13,0)</f>
        <v>0.69675834672650638</v>
      </c>
      <c r="F22" s="75">
        <f>VLOOKUP(C22,'BD EVA 4 APO'!$D$3:$AB$113,10,0)</f>
        <v>45382</v>
      </c>
      <c r="G22" s="207">
        <f ca="1">VLOOKUP(C22,'BD EVA 4 APO'!$D$3:$AC$113,25,0)</f>
        <v>0.81001910422415602</v>
      </c>
      <c r="H22" s="207">
        <f>VLOOKUP(C22,'BD EVA 4 APO'!$D$3:$AC$113,18,0)</f>
        <v>1</v>
      </c>
      <c r="I22" s="214">
        <f t="shared" ca="1" si="5"/>
        <v>0.81001910422415602</v>
      </c>
      <c r="J22" s="75" t="s">
        <v>318</v>
      </c>
      <c r="K22" s="81">
        <v>1.5</v>
      </c>
      <c r="L22" s="211">
        <f t="shared" ca="1" si="0"/>
        <v>1.215028656336234</v>
      </c>
      <c r="M22" s="147"/>
    </row>
    <row r="23" spans="1:13" ht="195">
      <c r="A23" s="121" t="s">
        <v>147</v>
      </c>
      <c r="B23" s="72" t="s">
        <v>168</v>
      </c>
      <c r="C23" s="72" t="s">
        <v>197</v>
      </c>
      <c r="D23" s="71" t="str">
        <f>VLOOKUP(C23,'BD EVA 4 APO'!$D$3:$AB$113,4,0)</f>
        <v>octubre 20 - mar 21</v>
      </c>
      <c r="E23" s="208">
        <f>VLOOKUP(C23,'BD EVA 4 APO'!$D$3:$AB$113,13,0)</f>
        <v>0</v>
      </c>
      <c r="F23" s="89" t="str">
        <f>VLOOKUP(C23,'BD EVA 4 APO'!$D$3:$AB$113,10,0)</f>
        <v>octubre 23 - mar 24</v>
      </c>
      <c r="G23" s="208">
        <f ca="1">VLOOKUP(C23,'BD EVA 4 APO'!$D$3:$AC$113,25,0)</f>
        <v>10</v>
      </c>
      <c r="H23" s="208">
        <f>VLOOKUP(C23,'BD EVA 4 APO'!$D$3:$AC$113,18,0)</f>
        <v>9.5</v>
      </c>
      <c r="I23" s="214">
        <f t="shared" ca="1" si="5"/>
        <v>1.0526315789473684</v>
      </c>
      <c r="J23" s="75" t="s">
        <v>318</v>
      </c>
      <c r="K23" s="81">
        <v>1.3</v>
      </c>
      <c r="L23" s="211">
        <f t="shared" ca="1" si="0"/>
        <v>1.3</v>
      </c>
      <c r="M23" s="14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APO'!$D$3:$AB$113,4,0)</f>
        <v>44469</v>
      </c>
      <c r="E24" s="171">
        <f>VLOOKUP(C24,'BD EVA 4 APO'!$D$3:$AB$113,13,0)</f>
        <v>6.0339999999999998</v>
      </c>
      <c r="F24" s="75">
        <f>VLOOKUP(C24,'BD EVA 4 APO'!$D$3:$AB$113,10,0)</f>
        <v>45382</v>
      </c>
      <c r="G24" s="171">
        <f ca="1">VLOOKUP(C24,'BD EVA 4 APO'!$D$3:$AC$113,25,0)</f>
        <v>2.6</v>
      </c>
      <c r="H24" s="171">
        <f>VLOOKUP(C24,'BD EVA 4 APO'!$D$3:$AC$113,18,0)</f>
        <v>7.6340000000000012</v>
      </c>
      <c r="I24" s="214">
        <f t="shared" ca="1" si="5"/>
        <v>0.34058160859313591</v>
      </c>
      <c r="J24" s="75" t="s">
        <v>318</v>
      </c>
      <c r="K24" s="81">
        <v>1.9450000000000001</v>
      </c>
      <c r="L24" s="82">
        <f t="shared" ca="1" si="0"/>
        <v>0.66243122871364934</v>
      </c>
      <c r="M24" s="130">
        <f ca="1">SUM(L24:L28)</f>
        <v>8.7174312287136502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APO'!$D$3:$AB$113,4,0)</f>
        <v>octubre 20 - mar 21</v>
      </c>
      <c r="E25" s="212">
        <f>VLOOKUP(C25,'BD EVA 4 APO'!$D$3:$AB$113,13,0)</f>
        <v>0</v>
      </c>
      <c r="F25" s="71" t="str">
        <f>VLOOKUP(C25,'BD EVA 4 APO'!$D$3:$AB$113,10,0)</f>
        <v>octubre 23 - mar 24</v>
      </c>
      <c r="G25" s="212">
        <f ca="1">VLOOKUP(C25,'BD EVA 4 APO'!$D$3:$AC$113,25,0)</f>
        <v>868.15</v>
      </c>
      <c r="H25" s="212">
        <f>VLOOKUP(C25,'BD EVA 4 APO'!$D$3:$AC$113,18,0)</f>
        <v>675</v>
      </c>
      <c r="I25" s="214">
        <f t="shared" ca="1" si="5"/>
        <v>1.286148148148148</v>
      </c>
      <c r="J25" s="75" t="s">
        <v>318</v>
      </c>
      <c r="K25" s="81">
        <v>1.6337999999999999</v>
      </c>
      <c r="L25" s="209">
        <f t="shared" ca="1" si="0"/>
        <v>1.6337999999999999</v>
      </c>
      <c r="M25" s="14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APO'!$D$3:$AB$113,4,0)</f>
        <v>enero - diciembre 2021</v>
      </c>
      <c r="E26" s="210">
        <f>VLOOKUP(C26,'BD EVA 4 APO'!$D$3:$AB$113,13,0)</f>
        <v>0.14974251745121794</v>
      </c>
      <c r="F26" s="71" t="str">
        <f>VLOOKUP(C26,'BD EVA 4 APO'!$D$3:$AB$113,10,0)</f>
        <v>enero- diciembre 2023</v>
      </c>
      <c r="G26" s="210">
        <f ca="1">VLOOKUP(C26,'BD EVA 4 APO'!$D$3:$AC$113,25,0)</f>
        <v>0.18319485900730501</v>
      </c>
      <c r="H26" s="210">
        <f>VLOOKUP(C26,'BD EVA 4 APO'!$D$3:$AC$113,18,0)</f>
        <v>0.17</v>
      </c>
      <c r="I26" s="214">
        <f t="shared" ca="1" si="5"/>
        <v>1.0776168176900294</v>
      </c>
      <c r="J26" s="75" t="s">
        <v>318</v>
      </c>
      <c r="K26" s="81">
        <v>2.1006</v>
      </c>
      <c r="L26" s="209">
        <f t="shared" ca="1" si="0"/>
        <v>2.1006</v>
      </c>
      <c r="M26" s="14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APO'!$D$3:$AB$113,4,0)</f>
        <v>octubre 20 - mar 21</v>
      </c>
      <c r="E27" s="212">
        <f>VLOOKUP(C27,'BD EVA 4 APO'!$D$3:$AB$113,13,0)</f>
        <v>4</v>
      </c>
      <c r="F27" s="71" t="str">
        <f>VLOOKUP(C27,'BD EVA 4 APO'!$D$3:$AB$113,10,0)</f>
        <v>octubre 23 - mar 24</v>
      </c>
      <c r="G27" s="212">
        <f ca="1">VLOOKUP(C27,'BD EVA 4 APO'!$D$3:$AC$113,25,0)</f>
        <v>12</v>
      </c>
      <c r="H27" s="212">
        <f>VLOOKUP(C27,'BD EVA 4 APO'!$D$3:$AC$113,18,0)</f>
        <v>4</v>
      </c>
      <c r="I27" s="214">
        <f t="shared" ca="1" si="5"/>
        <v>3</v>
      </c>
      <c r="J27" s="75" t="s">
        <v>318</v>
      </c>
      <c r="K27" s="81">
        <v>2.1006</v>
      </c>
      <c r="L27" s="209">
        <f t="shared" ca="1" si="0"/>
        <v>2.1006</v>
      </c>
      <c r="M27" s="147"/>
    </row>
    <row r="28" spans="1:13" ht="52">
      <c r="A28" s="121" t="s">
        <v>199</v>
      </c>
      <c r="B28" s="72" t="s">
        <v>228</v>
      </c>
      <c r="C28" s="72" t="s">
        <v>241</v>
      </c>
      <c r="D28" s="71" t="str">
        <f>VLOOKUP(C28,'BD EVA 4 APO'!$D$3:$AB$113,4,0)</f>
        <v>octubre 2018 - marzo 2019</v>
      </c>
      <c r="E28" s="212">
        <f>VLOOKUP(C28,'BD EVA 4 APO'!$D$3:$AB$113,13,0)</f>
        <v>2257</v>
      </c>
      <c r="F28" s="89" t="str">
        <f>VLOOKUP(C28,'BD EVA 4 APO'!$D$3:$AB$113,10,0)</f>
        <v>octubre 23 - mar 24</v>
      </c>
      <c r="G28" s="212">
        <f ca="1">VLOOKUP(C28,'BD EVA 4 APO'!$D$3:$AC$113,25,0)</f>
        <v>2115</v>
      </c>
      <c r="H28" s="212">
        <f>VLOOKUP(C28,'BD EVA 4 APO'!$D$3:$AC$113,18,0)</f>
        <v>2167</v>
      </c>
      <c r="I28" s="78">
        <f ca="1">(G28-E28)/(H28-E28)</f>
        <v>1.5777777777777777</v>
      </c>
      <c r="J28" s="89" t="s">
        <v>319</v>
      </c>
      <c r="K28" s="81">
        <v>2.2200000000000002</v>
      </c>
      <c r="L28" s="209">
        <f t="shared" ca="1" si="0"/>
        <v>2.2200000000000002</v>
      </c>
      <c r="M28" s="14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4 APO'!$D$3:$AB$113,4,0)</f>
        <v>octubre 20 - mar 21</v>
      </c>
      <c r="E29" s="212">
        <f>VLOOKUP(C29,'BD EVA 4 APO'!$D$3:$AB$113,13,0)</f>
        <v>3</v>
      </c>
      <c r="F29" s="89" t="str">
        <f>VLOOKUP(C29,'BD EVA 4 APO'!$D$3:$AB$113,10,0)</f>
        <v>octubre 23 - mar 24</v>
      </c>
      <c r="G29" s="212">
        <f ca="1">VLOOKUP(C29,'BD EVA 4 APO'!$D$3:$AC$113,25,0)</f>
        <v>5</v>
      </c>
      <c r="H29" s="212">
        <f>VLOOKUP(C29,'BD EVA 4 APO'!$D$3:$AC$113,18,0)</f>
        <v>5</v>
      </c>
      <c r="I29" s="78">
        <f t="shared" ref="I29:I33" ca="1" si="6">G29/H29</f>
        <v>1</v>
      </c>
      <c r="J29" s="75" t="s">
        <v>318</v>
      </c>
      <c r="K29" s="81">
        <v>2</v>
      </c>
      <c r="L29" s="209">
        <f t="shared" ca="1" si="0"/>
        <v>2</v>
      </c>
      <c r="M29" s="130">
        <f ca="1">SUM(L29:L33)</f>
        <v>9.1655823168428192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APO'!$D$3:$AB$113,4,0)</f>
        <v>44469</v>
      </c>
      <c r="E30" s="212">
        <f>VLOOKUP(C30,'BD EVA 4 APO'!$D$3:$AB$113,13,0)</f>
        <v>3</v>
      </c>
      <c r="F30" s="75">
        <f>VLOOKUP(C30,'BD EVA 4 APO'!$D$3:$AB$113,10,0)</f>
        <v>45382</v>
      </c>
      <c r="G30" s="212">
        <f ca="1">VLOOKUP(C30,'BD EVA 4 APO'!$D$3:$AC$113,25,0)</f>
        <v>6</v>
      </c>
      <c r="H30" s="212">
        <f>VLOOKUP(C30,'BD EVA 4 APO'!$D$3:$AC$113,18,0)</f>
        <v>6</v>
      </c>
      <c r="I30" s="78">
        <f t="shared" ca="1" si="6"/>
        <v>1</v>
      </c>
      <c r="J30" s="75" t="s">
        <v>318</v>
      </c>
      <c r="K30" s="81">
        <v>2</v>
      </c>
      <c r="L30" s="209">
        <f t="shared" ca="1" si="0"/>
        <v>2</v>
      </c>
      <c r="M30" s="14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APO'!$D$3:$AB$113,4,0)</f>
        <v>44469</v>
      </c>
      <c r="E31" s="212">
        <f>VLOOKUP(C31,'BD EVA 4 APO'!$D$3:$AB$113,13,0)</f>
        <v>100</v>
      </c>
      <c r="F31" s="75" t="str">
        <f>VLOOKUP(C31,'BD EVA 4 APO'!$D$3:$AB$113,10,0)</f>
        <v>Dic 2023</v>
      </c>
      <c r="G31" s="212">
        <f ca="1">VLOOKUP(C31,'BD EVA 4 APO'!$D$3:$AC$113,25,0)</f>
        <v>100</v>
      </c>
      <c r="H31" s="212">
        <f>VLOOKUP(C31,'BD EVA 4 APO'!$D$3:$AC$113,18,0)</f>
        <v>100</v>
      </c>
      <c r="I31" s="78">
        <f t="shared" ca="1" si="6"/>
        <v>1</v>
      </c>
      <c r="J31" s="75" t="s">
        <v>318</v>
      </c>
      <c r="K31" s="81">
        <v>2</v>
      </c>
      <c r="L31" s="209">
        <f t="shared" ca="1" si="0"/>
        <v>2</v>
      </c>
      <c r="M31" s="14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APO'!$D$3:$AB$113,4,0)</f>
        <v>44469</v>
      </c>
      <c r="E32" s="209">
        <f>VLOOKUP(C32,'BD EVA 4 APO'!$D$3:$AB$113,13,0)</f>
        <v>0</v>
      </c>
      <c r="F32" s="75">
        <f>VLOOKUP(C32,'BD EVA 4 APO'!$D$3:$AB$113,10,0)</f>
        <v>45382</v>
      </c>
      <c r="G32" s="209">
        <f ca="1">VLOOKUP(C32,'BD EVA 4 APO'!$D$3:$AC$113,25,0)</f>
        <v>3.2291238173591101</v>
      </c>
      <c r="H32" s="209">
        <f>VLOOKUP(C32,'BD EVA 4 APO'!$D$3:$AC$113,18,0)</f>
        <v>4</v>
      </c>
      <c r="I32" s="78">
        <f t="shared" ca="1" si="6"/>
        <v>0.80728095433977753</v>
      </c>
      <c r="J32" s="75" t="s">
        <v>318</v>
      </c>
      <c r="K32" s="81">
        <v>2</v>
      </c>
      <c r="L32" s="209">
        <f t="shared" ca="1" si="0"/>
        <v>1.6145619086795551</v>
      </c>
      <c r="M32" s="14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APO'!$D$3:$AB$113,4,0)</f>
        <v>44469</v>
      </c>
      <c r="E33" s="207">
        <f>VLOOKUP(C33,'BD EVA 4 APO'!$D$3:$AB$113,13,0)</f>
        <v>0</v>
      </c>
      <c r="F33" s="75">
        <f>VLOOKUP(C33,'BD EVA 4 APO'!$D$3:$AB$113,10,0)</f>
        <v>45382</v>
      </c>
      <c r="G33" s="207">
        <f ca="1">VLOOKUP(C33,'BD EVA 4 APO'!$D$3:$AC$113,25,0)</f>
        <v>0.38775510204081598</v>
      </c>
      <c r="H33" s="207">
        <f>VLOOKUP(C33,'BD EVA 4 APO'!$D$3:$AC$113,18,0)</f>
        <v>0.5</v>
      </c>
      <c r="I33" s="78">
        <f t="shared" ca="1" si="6"/>
        <v>0.77551020408163196</v>
      </c>
      <c r="J33" s="75" t="s">
        <v>318</v>
      </c>
      <c r="K33" s="81">
        <v>2</v>
      </c>
      <c r="L33" s="209">
        <f t="shared" ca="1" si="0"/>
        <v>1.5510204081632639</v>
      </c>
      <c r="M33" s="14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4 APO'!$D$3:$AB$113,4,0)</f>
        <v>enero - diciembre 2021</v>
      </c>
      <c r="E34" s="78">
        <f>VLOOKUP(C34,'BD EVA 4 APO'!$D$3:$AB$113,13,0)</f>
        <v>0.44489675065612877</v>
      </c>
      <c r="F34" s="89" t="str">
        <f>VLOOKUP(C34,'BD EVA 4 APO'!$D$3:$AB$113,10,0)</f>
        <v>enero- diciembre 2023</v>
      </c>
      <c r="G34" s="78">
        <f ca="1">VLOOKUP(C34,'BD EVA 4 APO'!$D$3:$AC$113,25,0)</f>
        <v>0.37540218883364601</v>
      </c>
      <c r="H34" s="78">
        <f>VLOOKUP(C34,'BD EVA 4 APO'!$D$3:$AC$113,18,0)</f>
        <v>0.48163225021870959</v>
      </c>
      <c r="I34" s="78">
        <f ca="1">(G34/H34)</f>
        <v>0.77943739993153605</v>
      </c>
      <c r="J34" s="75" t="s">
        <v>318</v>
      </c>
      <c r="K34" s="81">
        <v>2.1631999999999998</v>
      </c>
      <c r="L34" s="209">
        <f t="shared" ca="1" si="0"/>
        <v>1.6860789835318986</v>
      </c>
      <c r="M34" s="130">
        <f ca="1">SUM(L34:L39)</f>
        <v>9.2744735636755777</v>
      </c>
    </row>
    <row r="35" spans="1:13" ht="117">
      <c r="A35" s="121" t="s">
        <v>275</v>
      </c>
      <c r="B35" s="72" t="s">
        <v>276</v>
      </c>
      <c r="C35" s="72" t="s">
        <v>287</v>
      </c>
      <c r="D35" s="71" t="str">
        <f>VLOOKUP(C35,'BD EVA 4 APO'!$D$3:$AB$113,4,0)</f>
        <v>enero - diciembre 2021</v>
      </c>
      <c r="E35" s="78">
        <f>VLOOKUP(C35,'BD EVA 4 APO'!$D$3:$AB$113,13,0)</f>
        <v>0.54200847224788795</v>
      </c>
      <c r="F35" s="89" t="str">
        <f>VLOOKUP(C35,'BD EVA 4 APO'!$D$3:$AB$113,10,0)</f>
        <v>enero- diciembre 2023</v>
      </c>
      <c r="G35" s="78">
        <f ca="1">VLOOKUP(C35,'BD EVA 4 APO'!$D$3:$AC$113,25,0)</f>
        <v>0.50277872432185799</v>
      </c>
      <c r="H35" s="78">
        <f>VLOOKUP(C35,'BD EVA 4 APO'!$D$3:$AC$113,18,0)</f>
        <v>0.57399999999999995</v>
      </c>
      <c r="I35" s="78">
        <f ca="1">G35/H35</f>
        <v>0.87592112251194776</v>
      </c>
      <c r="J35" s="75" t="s">
        <v>318</v>
      </c>
      <c r="K35" s="81">
        <v>1.3520000000000001</v>
      </c>
      <c r="L35" s="209">
        <f t="shared" ca="1" si="0"/>
        <v>1.1842453576361534</v>
      </c>
      <c r="M35" s="147"/>
    </row>
    <row r="36" spans="1:13" ht="117">
      <c r="A36" s="121" t="s">
        <v>275</v>
      </c>
      <c r="B36" s="72" t="s">
        <v>276</v>
      </c>
      <c r="C36" s="72" t="s">
        <v>292</v>
      </c>
      <c r="D36" s="71" t="str">
        <f>VLOOKUP(C36,'BD EVA 4 APO'!$D$3:$AB$113,4,0)</f>
        <v>enero - diciembre 2021</v>
      </c>
      <c r="E36" s="78">
        <f>VLOOKUP(C36,'BD EVA 4 APO'!$D$3:$AB$113,13,0)</f>
        <v>0.49541559297656856</v>
      </c>
      <c r="F36" s="89" t="str">
        <f>VLOOKUP(C36,'BD EVA 4 APO'!$D$3:$AB$113,10,0)</f>
        <v>enero- diciembre 2023</v>
      </c>
      <c r="G36" s="78">
        <f ca="1">VLOOKUP(C36,'BD EVA 4 APO'!$D$3:$AC$113,25,0)</f>
        <v>0.49868736004941699</v>
      </c>
      <c r="H36" s="78">
        <f>VLOOKUP(C36,'BD EVA 4 APO'!$D$3:$AC$113,18,0)</f>
        <v>0.51800000000000002</v>
      </c>
      <c r="I36" s="78">
        <f ca="1">IF(G36&lt;E36,0,G36/H36)</f>
        <v>0.96271691129231074</v>
      </c>
      <c r="J36" s="72" t="s">
        <v>316</v>
      </c>
      <c r="K36" s="81">
        <v>2.1631999999999998</v>
      </c>
      <c r="L36" s="209">
        <f t="shared" ca="1" si="0"/>
        <v>2.0825492225075264</v>
      </c>
      <c r="M36" s="147"/>
    </row>
    <row r="37" spans="1:13" ht="78">
      <c r="A37" s="121" t="s">
        <v>275</v>
      </c>
      <c r="B37" s="72" t="s">
        <v>276</v>
      </c>
      <c r="C37" s="72" t="s">
        <v>296</v>
      </c>
      <c r="D37" s="71" t="str">
        <f>VLOOKUP(C37,'BD EVA 4 APO'!$D$3:$AB$113,4,0)</f>
        <v>enero - diciembre 2021</v>
      </c>
      <c r="E37" s="90">
        <f>VLOOKUP(C37,'BD EVA 4 APO'!$D$3:$AB$113,13,0)</f>
        <v>325523993.34999996</v>
      </c>
      <c r="F37" s="89" t="str">
        <f>VLOOKUP(C37,'BD EVA 4 APO'!$D$3:$AB$113,10,0)</f>
        <v>enero- diciembre 2023</v>
      </c>
      <c r="G37" s="90">
        <f ca="1">VLOOKUP(C37,'BD EVA 4 APO'!$D$3:$AC$113,25,0)</f>
        <v>370066435.39999998</v>
      </c>
      <c r="H37" s="90">
        <f>VLOOKUP(C37,'BD EVA 4 APO'!$D$3:$AC$113,18,0)</f>
        <v>332126920.5</v>
      </c>
      <c r="I37" s="78">
        <f ca="1">G37/H37</f>
        <v>1.1142319774707934</v>
      </c>
      <c r="J37" s="75" t="s">
        <v>318</v>
      </c>
      <c r="K37" s="81">
        <v>1.0815999999999999</v>
      </c>
      <c r="L37" s="209">
        <f t="shared" ca="1" si="0"/>
        <v>1.0815999999999999</v>
      </c>
      <c r="M37" s="147"/>
    </row>
    <row r="38" spans="1:13" ht="78">
      <c r="A38" s="121" t="s">
        <v>275</v>
      </c>
      <c r="B38" s="72" t="s">
        <v>298</v>
      </c>
      <c r="C38" s="72" t="s">
        <v>301</v>
      </c>
      <c r="D38" s="71" t="str">
        <f>VLOOKUP(C38,'BD EVA 4 APO'!$D$3:$AB$113,4,0)</f>
        <v>enero - diciembre 2021</v>
      </c>
      <c r="E38" s="78">
        <f>VLOOKUP(C38,'BD EVA 4 APO'!$D$3:$AB$113,13,0)</f>
        <v>0.81743848971462973</v>
      </c>
      <c r="F38" s="89" t="str">
        <f>VLOOKUP(C38,'BD EVA 4 APO'!$D$3:$AB$113,10,0)</f>
        <v>enero- diciembre 2023</v>
      </c>
      <c r="G38" s="78">
        <f ca="1">VLOOKUP(C38,'BD EVA 4 APO'!$D$3:$AC$113,25,0)</f>
        <v>0.76932618950119602</v>
      </c>
      <c r="H38" s="78">
        <f>VLOOKUP(C38,'BD EVA 4 APO'!$D$3:$AC$113,18,0)</f>
        <v>0.8</v>
      </c>
      <c r="I38" s="78">
        <f ca="1">(H38/G38)</f>
        <v>1.0398710077953954</v>
      </c>
      <c r="J38" s="71" t="s">
        <v>341</v>
      </c>
      <c r="K38" s="81">
        <v>1.62</v>
      </c>
      <c r="L38" s="209">
        <f t="shared" ca="1" si="0"/>
        <v>1.62</v>
      </c>
      <c r="M38" s="14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APO'!$D$3:$AB$113,4,0)</f>
        <v>Dic 2020</v>
      </c>
      <c r="E39" s="76" t="str">
        <f>VLOOKUP(C39,'BD EVA 4 APO'!$D$3:$AB$113,13,0)</f>
        <v>Verde</v>
      </c>
      <c r="F39" s="89" t="str">
        <f>VLOOKUP(C39,'BD EVA 4 APO'!$D$3:$AB$113,10,0)</f>
        <v>Dic 2023</v>
      </c>
      <c r="G39" s="76" t="str">
        <f ca="1">VLOOKUP(C39,'BD EVA 4 APO'!$D$3:$AC$113,25,0)</f>
        <v>Verde</v>
      </c>
      <c r="H39" s="76" t="str">
        <f>VLOOKUP(C39,'BD EVA 4 APO'!$D$3:$AC$113,18,0)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4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88DCC-60BA-6F42-9CF2-99D3E36AC8EA}">
  <dimension ref="A1:AC108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17</v>
      </c>
      <c r="S1" s="64" t="s">
        <v>18</v>
      </c>
      <c r="T1" s="64" t="s">
        <v>19</v>
      </c>
      <c r="U1" s="64" t="s">
        <v>20</v>
      </c>
      <c r="V1" s="64" t="s">
        <v>21</v>
      </c>
      <c r="W1" s="64" t="s">
        <v>22</v>
      </c>
      <c r="X1" s="61" t="s">
        <v>23</v>
      </c>
      <c r="Y1" s="61" t="s">
        <v>24</v>
      </c>
      <c r="Z1" s="61" t="s">
        <v>25</v>
      </c>
      <c r="AA1" s="61" t="s">
        <v>26</v>
      </c>
      <c r="AB1" s="61" t="s">
        <v>27</v>
      </c>
      <c r="AC1" s="61" t="s">
        <v>28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1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325468</v>
      </c>
      <c r="Q2" s="12">
        <v>325468</v>
      </c>
      <c r="R2" s="13"/>
      <c r="S2" s="316"/>
      <c r="T2" s="316"/>
      <c r="U2" s="316"/>
      <c r="V2" s="316"/>
      <c r="W2" s="316"/>
      <c r="X2" s="12">
        <v>328847</v>
      </c>
      <c r="Y2" s="12">
        <v>328847</v>
      </c>
      <c r="Z2" s="12">
        <v>332214</v>
      </c>
      <c r="AA2" s="12">
        <v>332214</v>
      </c>
      <c r="AB2" s="12">
        <v>335570</v>
      </c>
      <c r="AC2" s="12">
        <v>335570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7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265</v>
      </c>
      <c r="Q3" s="12">
        <v>265</v>
      </c>
      <c r="R3" s="13">
        <v>299</v>
      </c>
      <c r="S3" s="13">
        <v>333</v>
      </c>
      <c r="T3" s="13">
        <v>366</v>
      </c>
      <c r="U3" s="13">
        <v>400</v>
      </c>
      <c r="V3" s="13">
        <v>434</v>
      </c>
      <c r="W3" s="13">
        <f>V3</f>
        <v>434</v>
      </c>
      <c r="X3" s="2">
        <v>284</v>
      </c>
      <c r="Y3" s="2">
        <f ca="1">IFERROR(__xludf.DUMMYFUNCTION("INDEX(IMPORTRANGE(""1y0FWgjbB0gVlqn-q5LMJbGIsqOrzru4yowQz67dz2yc"", ""'STC'!AM3:AM139""),MATCH(D3,IMPORTRANGE(""1y0FWgjbB0gVlqn-q5LMJbGIsqOrzru4yowQz67dz2yc"", ""'STC'!D3:D139""),0))"),371)</f>
        <v>371</v>
      </c>
      <c r="Z3" s="1"/>
      <c r="AA3" s="1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7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262</v>
      </c>
      <c r="Q4" s="12">
        <v>262</v>
      </c>
      <c r="R4" s="13"/>
      <c r="S4" s="13"/>
      <c r="T4" s="13"/>
      <c r="U4" s="13"/>
      <c r="V4" s="13"/>
      <c r="W4" s="13"/>
      <c r="X4" s="2">
        <v>241</v>
      </c>
      <c r="Y4" s="2">
        <f ca="1">IFERROR(__xludf.DUMMYFUNCTION("INDEX(IMPORTRANGE(""1y0FWgjbB0gVlqn-q5LMJbGIsqOrzru4yowQz67dz2yc"", ""'STC'!AM3:AM139""),MATCH(D4,IMPORTRANGE(""1y0FWgjbB0gVlqn-q5LMJbGIsqOrzru4yowQz67dz2yc"", ""'STC'!D3:D139""),0))"),280)</f>
        <v>280</v>
      </c>
      <c r="Z4" s="1"/>
      <c r="AA4" s="1"/>
      <c r="AB4" s="1"/>
      <c r="AC4" s="1"/>
    </row>
    <row r="5" spans="1:29">
      <c r="A5" s="261" t="s">
        <v>34</v>
      </c>
      <c r="B5" s="261" t="s">
        <v>40</v>
      </c>
      <c r="C5" s="47" t="s">
        <v>36</v>
      </c>
      <c r="D5" s="156" t="s">
        <v>43</v>
      </c>
      <c r="E5" s="261" t="s">
        <v>38</v>
      </c>
      <c r="F5" s="192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0.98867924528301887</v>
      </c>
      <c r="Q5" s="15">
        <f t="shared" si="0"/>
        <v>0.98867924528301887</v>
      </c>
      <c r="R5" s="15">
        <v>1</v>
      </c>
      <c r="S5" s="15">
        <v>1</v>
      </c>
      <c r="T5" s="15">
        <v>1</v>
      </c>
      <c r="U5" s="15">
        <v>1</v>
      </c>
      <c r="V5" s="15">
        <v>1</v>
      </c>
      <c r="W5" s="15">
        <v>1</v>
      </c>
      <c r="X5" s="15">
        <f>X4/X3</f>
        <v>0.84859154929577463</v>
      </c>
      <c r="Y5" s="15">
        <f ca="1">IFERROR(__xludf.DUMMYFUNCTION("INDEX(IMPORTRANGE(""1y0FWgjbB0gVlqn-q5LMJbGIsqOrzru4yowQz67dz2yc"", ""'STC'!AM3:AM139""),MATCH(D5,IMPORTRANGE(""1y0FWgjbB0gVlqn-q5LMJbGIsqOrzru4yowQz67dz2yc"", ""'STC'!D3:D139""),0))"),0.754716981132075)</f>
        <v>0.75471698113207497</v>
      </c>
      <c r="Z5" s="47"/>
      <c r="AA5" s="47"/>
      <c r="AB5" s="47"/>
      <c r="AC5" s="47"/>
    </row>
    <row r="6" spans="1:29">
      <c r="A6" s="7" t="s">
        <v>34</v>
      </c>
      <c r="B6" s="7" t="s">
        <v>45</v>
      </c>
      <c r="C6" s="1" t="s">
        <v>30</v>
      </c>
      <c r="D6" s="156" t="s">
        <v>46</v>
      </c>
      <c r="E6" s="155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7"/>
      <c r="Q6" s="18"/>
      <c r="R6" s="1"/>
      <c r="S6" s="1"/>
      <c r="T6" s="1"/>
      <c r="U6" s="1"/>
      <c r="V6" s="1"/>
      <c r="W6" s="1"/>
      <c r="X6" s="18"/>
      <c r="Y6" s="2">
        <f ca="1">IFERROR(__xludf.DUMMYFUNCTION("INDEX(IMPORTRANGE(""1y0FWgjbB0gVlqn-q5LMJbGIsqOrzru4yowQz67dz2yc"", ""'STC'!AM3:AM139""),MATCH(D6,IMPORTRANGE(""1y0FWgjbB0gVlqn-q5LMJbGIsqOrzru4yowQz67dz2yc"", ""'STC'!D3:D139""),0))"),22)</f>
        <v>22</v>
      </c>
      <c r="Z6" s="1"/>
      <c r="AA6" s="1"/>
      <c r="AB6" s="1"/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48</v>
      </c>
      <c r="E7" s="155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7"/>
      <c r="Q7" s="18"/>
      <c r="R7" s="20">
        <v>3.9E-2</v>
      </c>
      <c r="S7" s="20">
        <v>4.2999999999999997E-2</v>
      </c>
      <c r="T7" s="20">
        <v>4.9000000000000002E-2</v>
      </c>
      <c r="U7" s="20">
        <v>5.7000000000000002E-2</v>
      </c>
      <c r="V7" s="20">
        <v>6.5000000000000002E-2</v>
      </c>
      <c r="W7" s="20">
        <v>0.11799999999999999</v>
      </c>
      <c r="X7" s="18"/>
      <c r="Y7" s="2">
        <f ca="1">IFERROR(__xludf.DUMMYFUNCTION("INDEX(IMPORTRANGE(""1y0FWgjbB0gVlqn-q5LMJbGIsqOrzru4yowQz67dz2yc"", ""'STC'!AM3:AM139""),MATCH(D7,IMPORTRANGE(""1y0FWgjbB0gVlqn-q5LMJbGIsqOrzru4yowQz67dz2yc"", ""'STC'!D3:D139""),0))"),0)</f>
        <v>0</v>
      </c>
      <c r="Z7" s="1"/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155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9">
        <f t="shared" ref="P8:Q8" si="1">P6/P3</f>
        <v>0</v>
      </c>
      <c r="Q8" s="19">
        <f t="shared" si="1"/>
        <v>0</v>
      </c>
      <c r="R8" s="20">
        <v>9.2999999999999999E-2</v>
      </c>
      <c r="S8" s="20">
        <v>9.6000000000000002E-2</v>
      </c>
      <c r="T8" s="20">
        <v>9.8000000000000004E-2</v>
      </c>
      <c r="U8" s="20">
        <v>0.10100000000000001</v>
      </c>
      <c r="V8" s="20">
        <v>0.104</v>
      </c>
      <c r="W8" s="20">
        <f>V8</f>
        <v>0.104</v>
      </c>
      <c r="X8" s="19">
        <f>X6/X3</f>
        <v>0</v>
      </c>
      <c r="Y8" s="15">
        <f ca="1">IFERROR(__xludf.DUMMYFUNCTION("INDEX(IMPORTRANGE(""1y0FWgjbB0gVlqn-q5LMJbGIsqOrzru4yowQz67dz2yc"", ""'STC'!AM3:AM139""),MATCH(D8,IMPORTRANGE(""1y0FWgjbB0gVlqn-q5LMJbGIsqOrzru4yowQz67dz2yc"", ""'STC'!D3:D139""),0))"),0.059299191374663)</f>
        <v>5.9299191374663003E-2</v>
      </c>
      <c r="Z8" s="1"/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7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9</v>
      </c>
      <c r="Q9" s="2">
        <v>74</v>
      </c>
      <c r="R9" s="13"/>
      <c r="S9" s="13"/>
      <c r="T9" s="13"/>
      <c r="U9" s="13"/>
      <c r="V9" s="13"/>
      <c r="W9" s="13"/>
      <c r="X9" s="2">
        <v>18</v>
      </c>
      <c r="Y9" s="2">
        <f ca="1">IFERROR(__xludf.DUMMYFUNCTION("INDEX(IMPORTRANGE(""1y0FWgjbB0gVlqn-q5LMJbGIsqOrzru4yowQz67dz2yc"", ""'STC'!AM3:AM139""),MATCH(D9,IMPORTRANGE(""1y0FWgjbB0gVlqn-q5LMJbGIsqOrzru4yowQz67dz2yc"", ""'STC'!D3:D139""),0))"),318)</f>
        <v>318</v>
      </c>
      <c r="Z9" s="1"/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7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1695</v>
      </c>
      <c r="Q10" s="12">
        <v>2149</v>
      </c>
      <c r="R10" s="13"/>
      <c r="S10" s="13"/>
      <c r="T10" s="13"/>
      <c r="U10" s="13"/>
      <c r="V10" s="13"/>
      <c r="W10" s="13"/>
      <c r="X10" s="12">
        <v>312</v>
      </c>
      <c r="Y10" s="12">
        <f ca="1">IFERROR(__xludf.DUMMYFUNCTION("INDEX(IMPORTRANGE(""1y0FWgjbB0gVlqn-q5LMJbGIsqOrzru4yowQz67dz2yc"", ""'STC'!AM3:AM139""),MATCH(D10,IMPORTRANGE(""1y0FWgjbB0gVlqn-q5LMJbGIsqOrzru4yowQz67dz2yc"", ""'STC'!D3:D139""),0))"),983)</f>
        <v>983</v>
      </c>
      <c r="Z10" s="1"/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7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5.3097345132743362E-3</v>
      </c>
      <c r="Q11" s="15">
        <f t="shared" si="2"/>
        <v>3.4434620753838997E-2</v>
      </c>
      <c r="R11" s="20">
        <v>3.9E-2</v>
      </c>
      <c r="S11" s="20">
        <v>4.2999999999999997E-2</v>
      </c>
      <c r="T11" s="20">
        <v>4.9000000000000002E-2</v>
      </c>
      <c r="U11" s="20">
        <v>5.7000000000000002E-2</v>
      </c>
      <c r="V11" s="20">
        <v>6.5000000000000002E-2</v>
      </c>
      <c r="W11" s="20">
        <v>0.11799999999999999</v>
      </c>
      <c r="X11" s="15">
        <f>X9/X10</f>
        <v>5.7692307692307696E-2</v>
      </c>
      <c r="Y11" s="15">
        <f ca="1">IFERROR(__xludf.DUMMYFUNCTION("INDEX(IMPORTRANGE(""1y0FWgjbB0gVlqn-q5LMJbGIsqOrzru4yowQz67dz2yc"", ""'STC'!AM3:AM139""),MATCH(D11,IMPORTRANGE(""1y0FWgjbB0gVlqn-q5LMJbGIsqOrzru4yowQz67dz2yc"", ""'STC'!D3:D139""),0))"),0.323499491353001)</f>
        <v>0.32349949135300099</v>
      </c>
      <c r="Z11" s="1"/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7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30">
        <v>23</v>
      </c>
      <c r="Q12" s="2">
        <v>42</v>
      </c>
      <c r="R12" s="13"/>
      <c r="S12" s="13"/>
      <c r="T12" s="13"/>
      <c r="U12" s="13"/>
      <c r="V12" s="13"/>
      <c r="W12" s="13"/>
      <c r="X12" s="2">
        <v>44</v>
      </c>
      <c r="Y12" s="2">
        <f ca="1">IFERROR(__xludf.DUMMYFUNCTION("INDEX(IMPORTRANGE(""1y0FWgjbB0gVlqn-q5LMJbGIsqOrzru4yowQz67dz2yc"", ""'STC'!AM3:AM139""),MATCH(D12,IMPORTRANGE(""1y0FWgjbB0gVlqn-q5LMJbGIsqOrzru4yowQz67dz2yc"", ""'STC'!D3:D139""),0))"),87)</f>
        <v>87</v>
      </c>
      <c r="Z12" s="1"/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7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3">(P12/P$2)*100000</f>
        <v>7.066746961298807</v>
      </c>
      <c r="Q13" s="23">
        <f t="shared" si="3"/>
        <v>12.904494451067386</v>
      </c>
      <c r="R13" s="1">
        <v>12.6</v>
      </c>
      <c r="S13" s="1">
        <v>6.7</v>
      </c>
      <c r="T13" s="1">
        <v>12.3</v>
      </c>
      <c r="U13" s="1">
        <v>6.6</v>
      </c>
      <c r="V13" s="1">
        <v>12</v>
      </c>
      <c r="W13" s="1">
        <v>12</v>
      </c>
      <c r="X13" s="23">
        <f>(X12/X$2)*100000</f>
        <v>13.380082530781792</v>
      </c>
      <c r="Y13" s="23">
        <f ca="1">IFERROR(__xludf.DUMMYFUNCTION("INDEX(IMPORTRANGE(""1y0FWgjbB0gVlqn-q5LMJbGIsqOrzru4yowQz67dz2yc"", ""'STC'!AM3:AM139""),MATCH(D13,IMPORTRANGE(""1y0FWgjbB0gVlqn-q5LMJbGIsqOrzru4yowQz67dz2yc"", ""'STC'!D3:D139""),0))"),26.456072276773)</f>
        <v>26.456072276773</v>
      </c>
      <c r="Z13" s="1"/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7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30">
        <v>101</v>
      </c>
      <c r="Q14" s="2">
        <v>221</v>
      </c>
      <c r="R14" s="13"/>
      <c r="S14" s="13"/>
      <c r="T14" s="13"/>
      <c r="U14" s="13"/>
      <c r="V14" s="13"/>
      <c r="W14" s="13"/>
      <c r="X14" s="2">
        <v>76</v>
      </c>
      <c r="Y14" s="2">
        <f ca="1">IFERROR(__xludf.DUMMYFUNCTION("INDEX(IMPORTRANGE(""1y0FWgjbB0gVlqn-q5LMJbGIsqOrzru4yowQz67dz2yc"", ""'STC'!AM3:AM139""),MATCH(D14,IMPORTRANGE(""1y0FWgjbB0gVlqn-q5LMJbGIsqOrzru4yowQz67dz2yc"", ""'STC'!D3:D139""),0))"),190)</f>
        <v>190</v>
      </c>
      <c r="Z14" s="1"/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7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30">
        <v>185</v>
      </c>
      <c r="Q15" s="2">
        <v>401</v>
      </c>
      <c r="R15" s="13"/>
      <c r="S15" s="13"/>
      <c r="T15" s="13"/>
      <c r="U15" s="13"/>
      <c r="V15" s="13"/>
      <c r="W15" s="13"/>
      <c r="X15" s="2">
        <v>253</v>
      </c>
      <c r="Y15" s="2">
        <f ca="1">IFERROR(__xludf.DUMMYFUNCTION("INDEX(IMPORTRANGE(""1y0FWgjbB0gVlqn-q5LMJbGIsqOrzru4yowQz67dz2yc"", ""'STC'!AM3:AM139""),MATCH(D15,IMPORTRANGE(""1y0FWgjbB0gVlqn-q5LMJbGIsqOrzru4yowQz67dz2yc"", ""'STC'!D3:D139""),0))"),500)</f>
        <v>500</v>
      </c>
      <c r="Z15" s="1"/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7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30">
        <v>97</v>
      </c>
      <c r="Q16" s="2">
        <v>226</v>
      </c>
      <c r="R16" s="13"/>
      <c r="S16" s="13"/>
      <c r="T16" s="13"/>
      <c r="U16" s="13"/>
      <c r="V16" s="13"/>
      <c r="W16" s="13"/>
      <c r="X16" s="2">
        <v>93</v>
      </c>
      <c r="Y16" s="2">
        <f ca="1">IFERROR(__xludf.DUMMYFUNCTION("INDEX(IMPORTRANGE(""1y0FWgjbB0gVlqn-q5LMJbGIsqOrzru4yowQz67dz2yc"", ""'STC'!AM3:AM139""),MATCH(D16,IMPORTRANGE(""1y0FWgjbB0gVlqn-q5LMJbGIsqOrzru4yowQz67dz2yc"", ""'STC'!D3:D139""),0))"),194)</f>
        <v>194</v>
      </c>
      <c r="Z16" s="1"/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7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30">
        <v>101</v>
      </c>
      <c r="Q17" s="2">
        <v>176</v>
      </c>
      <c r="R17" s="13"/>
      <c r="S17" s="13"/>
      <c r="T17" s="13"/>
      <c r="U17" s="13"/>
      <c r="V17" s="13"/>
      <c r="W17" s="13"/>
      <c r="X17" s="2">
        <v>56</v>
      </c>
      <c r="Y17" s="2">
        <f ca="1">IFERROR(__xludf.DUMMYFUNCTION("INDEX(IMPORTRANGE(""1y0FWgjbB0gVlqn-q5LMJbGIsqOrzru4yowQz67dz2yc"", ""'STC'!AM3:AM139""),MATCH(D17,IMPORTRANGE(""1y0FWgjbB0gVlqn-q5LMJbGIsqOrzru4yowQz67dz2yc"", ""'STC'!D3:D139""),0))"),136)</f>
        <v>136</v>
      </c>
      <c r="Z17" s="1"/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7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4">(SUM(P14:P17)/P2)*100000</f>
        <v>148.70893605515749</v>
      </c>
      <c r="Q18" s="23">
        <f t="shared" si="4"/>
        <v>314.62386471173818</v>
      </c>
      <c r="R18" s="1">
        <v>257.10000000000002</v>
      </c>
      <c r="S18" s="1">
        <v>94.3</v>
      </c>
      <c r="T18" s="1">
        <v>199.5</v>
      </c>
      <c r="U18" s="1">
        <v>67.099999999999994</v>
      </c>
      <c r="V18" s="1">
        <v>142</v>
      </c>
      <c r="W18" s="1">
        <v>142</v>
      </c>
      <c r="X18" s="23">
        <f>(SUM(X14:X17)/X2)*100000</f>
        <v>145.35635112985673</v>
      </c>
      <c r="Y18" s="23">
        <f ca="1">IFERROR(__xludf.DUMMYFUNCTION("INDEX(IMPORTRANGE(""1y0FWgjbB0gVlqn-q5LMJbGIsqOrzru4yowQz67dz2yc"", ""'STC'!AM3:AM139""),MATCH(D18,IMPORTRANGE(""1y0FWgjbB0gVlqn-q5LMJbGIsqOrzru4yowQz67dz2yc"", ""'STC'!D3:D139""),0))"),310.174640486305)</f>
        <v>310.17464048630501</v>
      </c>
      <c r="Z18" s="1"/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7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1241</v>
      </c>
      <c r="Q19" s="12">
        <v>2802</v>
      </c>
      <c r="R19" s="13"/>
      <c r="S19" s="13"/>
      <c r="T19" s="13"/>
      <c r="U19" s="13"/>
      <c r="V19" s="13"/>
      <c r="W19" s="13"/>
      <c r="X19" s="12">
        <v>1347</v>
      </c>
      <c r="Y19" s="12">
        <f ca="1">IFERROR(__xludf.DUMMYFUNCTION("INDEX(IMPORTRANGE(""1y0FWgjbB0gVlqn-q5LMJbGIsqOrzru4yowQz67dz2yc"", ""'STC'!AM3:AM139""),MATCH(D19,IMPORTRANGE(""1y0FWgjbB0gVlqn-q5LMJbGIsqOrzru4yowQz67dz2yc"", ""'STC'!D3:D139""),0))"),2976)</f>
        <v>2976</v>
      </c>
      <c r="Z19" s="1"/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7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5">(P19/P$2)*100000</f>
        <v>381.297086042253</v>
      </c>
      <c r="Q20" s="23">
        <f t="shared" si="5"/>
        <v>860.91412980692417</v>
      </c>
      <c r="R20" s="1">
        <v>760.6</v>
      </c>
      <c r="S20" s="1">
        <v>292.39999999999998</v>
      </c>
      <c r="T20" s="1">
        <v>660.3</v>
      </c>
      <c r="U20" s="1">
        <v>248</v>
      </c>
      <c r="V20" s="1">
        <v>560</v>
      </c>
      <c r="W20" s="1">
        <v>560</v>
      </c>
      <c r="X20" s="23">
        <f>(X19/X$2)*100000</f>
        <v>409.61298111279717</v>
      </c>
      <c r="Y20" s="23">
        <f ca="1">IFERROR(__xludf.DUMMYFUNCTION("INDEX(IMPORTRANGE(""1y0FWgjbB0gVlqn-q5LMJbGIsqOrzru4yowQz67dz2yc"", ""'STC'!AM3:AM139""),MATCH(D20,IMPORTRANGE(""1y0FWgjbB0gVlqn-q5LMJbGIsqOrzru4yowQz67dz2yc"", ""'STC'!D3:D139""),0))"),904.980127536514)</f>
        <v>904.98012753651403</v>
      </c>
      <c r="Z20" s="1"/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7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215</v>
      </c>
      <c r="Q21" s="12">
        <v>470</v>
      </c>
      <c r="R21" s="13"/>
      <c r="S21" s="13"/>
      <c r="T21" s="13"/>
      <c r="U21" s="13"/>
      <c r="V21" s="13"/>
      <c r="W21" s="13"/>
      <c r="X21" s="12">
        <v>188</v>
      </c>
      <c r="Y21" s="12">
        <f ca="1">IFERROR(__xludf.DUMMYFUNCTION("INDEX(IMPORTRANGE(""1y0FWgjbB0gVlqn-q5LMJbGIsqOrzru4yowQz67dz2yc"", ""'STC'!AM3:AM139""),MATCH(D21,IMPORTRANGE(""1y0FWgjbB0gVlqn-q5LMJbGIsqOrzru4yowQz67dz2yc"", ""'STC'!D3:D139""),0))"),483)</f>
        <v>483</v>
      </c>
      <c r="Z21" s="1"/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7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6">(P21/P$2)*100000</f>
        <v>66.058721594749713</v>
      </c>
      <c r="Q22" s="23">
        <f t="shared" si="6"/>
        <v>144.4074379048017</v>
      </c>
      <c r="R22" s="1">
        <v>118.6</v>
      </c>
      <c r="S22" s="1">
        <v>42.5</v>
      </c>
      <c r="T22" s="1">
        <v>92.8</v>
      </c>
      <c r="U22" s="1">
        <v>30.6</v>
      </c>
      <c r="V22" s="1">
        <v>67</v>
      </c>
      <c r="W22" s="1">
        <v>67</v>
      </c>
      <c r="X22" s="23">
        <f>(X21/X$2)*100000</f>
        <v>57.169443540613116</v>
      </c>
      <c r="Y22" s="23">
        <f ca="1">IFERROR(__xludf.DUMMYFUNCTION("INDEX(IMPORTRANGE(""1y0FWgjbB0gVlqn-q5LMJbGIsqOrzru4yowQz67dz2yc"", ""'STC'!AM3:AM139""),MATCH(D22,IMPORTRANGE(""1y0FWgjbB0gVlqn-q5LMJbGIsqOrzru4yowQz67dz2yc"", ""'STC'!D3:D139""),0))"),146.876815053809)</f>
        <v>146.876815053809</v>
      </c>
      <c r="Z22" s="1"/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7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3</v>
      </c>
      <c r="Q23" s="12">
        <v>11</v>
      </c>
      <c r="R23" s="13"/>
      <c r="S23" s="13"/>
      <c r="T23" s="13"/>
      <c r="U23" s="13"/>
      <c r="V23" s="13"/>
      <c r="W23" s="13"/>
      <c r="X23" s="12">
        <v>11</v>
      </c>
      <c r="Y23" s="12">
        <f ca="1">IFERROR(__xludf.DUMMYFUNCTION("INDEX(IMPORTRANGE(""1y0FWgjbB0gVlqn-q5LMJbGIsqOrzru4yowQz67dz2yc"", ""'STC'!AM3:AM139""),MATCH(D23,IMPORTRANGE(""1y0FWgjbB0gVlqn-q5LMJbGIsqOrzru4yowQz67dz2yc"", ""'STC'!D3:D139""),0))"),22)</f>
        <v>22</v>
      </c>
      <c r="Z23" s="1"/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7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8</v>
      </c>
      <c r="Q24" s="12">
        <v>21</v>
      </c>
      <c r="R24" s="13"/>
      <c r="S24" s="13"/>
      <c r="T24" s="13"/>
      <c r="U24" s="13"/>
      <c r="V24" s="13"/>
      <c r="W24" s="13"/>
      <c r="X24" s="12">
        <v>9</v>
      </c>
      <c r="Y24" s="12">
        <f ca="1">IFERROR(__xludf.DUMMYFUNCTION("INDEX(IMPORTRANGE(""1y0FWgjbB0gVlqn-q5LMJbGIsqOrzru4yowQz67dz2yc"", ""'STC'!AM3:AM139""),MATCH(D24,IMPORTRANGE(""1y0FWgjbB0gVlqn-q5LMJbGIsqOrzru4yowQz67dz2yc"", ""'STC'!D3:D139""),0))"),34)</f>
        <v>34</v>
      </c>
      <c r="Z24" s="1"/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7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14</v>
      </c>
      <c r="Q25" s="12">
        <v>19</v>
      </c>
      <c r="R25" s="13"/>
      <c r="S25" s="13"/>
      <c r="T25" s="13"/>
      <c r="U25" s="13"/>
      <c r="V25" s="13"/>
      <c r="W25" s="13"/>
      <c r="X25" s="12">
        <v>10</v>
      </c>
      <c r="Y25" s="12">
        <f ca="1">IFERROR(__xludf.DUMMYFUNCTION("INDEX(IMPORTRANGE(""1y0FWgjbB0gVlqn-q5LMJbGIsqOrzru4yowQz67dz2yc"", ""'STC'!AM3:AM139""),MATCH(D25,IMPORTRANGE(""1y0FWgjbB0gVlqn-q5LMJbGIsqOrzru4yowQz67dz2yc"", ""'STC'!D3:D139""),0))"),18)</f>
        <v>18</v>
      </c>
      <c r="Z25" s="1"/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7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</v>
      </c>
      <c r="Q26" s="12">
        <v>1</v>
      </c>
      <c r="R26" s="13"/>
      <c r="S26" s="13"/>
      <c r="T26" s="13"/>
      <c r="U26" s="13"/>
      <c r="V26" s="13"/>
      <c r="W26" s="13"/>
      <c r="X26" s="12">
        <v>1</v>
      </c>
      <c r="Y26" s="12">
        <f ca="1">IFERROR(__xludf.DUMMYFUNCTION("INDEX(IMPORTRANGE(""1y0FWgjbB0gVlqn-q5LMJbGIsqOrzru4yowQz67dz2yc"", ""'STC'!AM3:AM139""),MATCH(D26,IMPORTRANGE(""1y0FWgjbB0gVlqn-q5LMJbGIsqOrzru4yowQz67dz2yc"", ""'STC'!D3:D139""),0))"),2)</f>
        <v>2</v>
      </c>
      <c r="Z26" s="1"/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7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1</v>
      </c>
      <c r="R27" s="13"/>
      <c r="S27" s="13"/>
      <c r="T27" s="13"/>
      <c r="U27" s="13"/>
      <c r="V27" s="13"/>
      <c r="W27" s="13"/>
      <c r="X27" s="12">
        <v>0</v>
      </c>
      <c r="Y27" s="12">
        <f ca="1">IFERROR(__xludf.DUMMYFUNCTION("INDEX(IMPORTRANGE(""1y0FWgjbB0gVlqn-q5LMJbGIsqOrzru4yowQz67dz2yc"", ""'STC'!AM3:AM139""),MATCH(D27,IMPORTRANGE(""1y0FWgjbB0gVlqn-q5LMJbGIsqOrzru4yowQz67dz2yc"", ""'STC'!D3:D139""),0))"),0)</f>
        <v>0</v>
      </c>
      <c r="Z27" s="1"/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7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13"/>
      <c r="S28" s="13"/>
      <c r="T28" s="13"/>
      <c r="U28" s="13"/>
      <c r="V28" s="13"/>
      <c r="W28" s="13"/>
      <c r="X28" s="12">
        <v>0</v>
      </c>
      <c r="Y28" s="12">
        <f ca="1">IFERROR(__xludf.DUMMYFUNCTION("INDEX(IMPORTRANGE(""1y0FWgjbB0gVlqn-q5LMJbGIsqOrzru4yowQz67dz2yc"", ""'STC'!AM3:AM139""),MATCH(D28,IMPORTRANGE(""1y0FWgjbB0gVlqn-q5LMJbGIsqOrzru4yowQz67dz2yc"", ""'STC'!D3:D139""),0))"),0)</f>
        <v>0</v>
      </c>
      <c r="Z28" s="1"/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7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2</v>
      </c>
      <c r="Q29" s="12">
        <v>6</v>
      </c>
      <c r="R29" s="13"/>
      <c r="S29" s="13"/>
      <c r="T29" s="13"/>
      <c r="U29" s="13"/>
      <c r="V29" s="13"/>
      <c r="W29" s="13"/>
      <c r="X29" s="12">
        <v>0</v>
      </c>
      <c r="Y29" s="12">
        <f ca="1">IFERROR(__xludf.DUMMYFUNCTION("INDEX(IMPORTRANGE(""1y0FWgjbB0gVlqn-q5LMJbGIsqOrzru4yowQz67dz2yc"", ""'STC'!AM3:AM139""),MATCH(D29,IMPORTRANGE(""1y0FWgjbB0gVlqn-q5LMJbGIsqOrzru4yowQz67dz2yc"", ""'STC'!D3:D139""),0))"),3)</f>
        <v>3</v>
      </c>
      <c r="Z29" s="1"/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7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0</v>
      </c>
      <c r="Q30" s="12">
        <v>0</v>
      </c>
      <c r="R30" s="13"/>
      <c r="S30" s="13"/>
      <c r="T30" s="13"/>
      <c r="U30" s="13"/>
      <c r="V30" s="13"/>
      <c r="W30" s="13"/>
      <c r="X30" s="12">
        <v>1</v>
      </c>
      <c r="Y30" s="12">
        <f ca="1">IFERROR(__xludf.DUMMYFUNCTION("INDEX(IMPORTRANGE(""1y0FWgjbB0gVlqn-q5LMJbGIsqOrzru4yowQz67dz2yc"", ""'STC'!AM3:AM139""),MATCH(D30,IMPORTRANGE(""1y0FWgjbB0gVlqn-q5LMJbGIsqOrzru4yowQz67dz2yc"", ""'STC'!D3:D139""),0))"),2)</f>
        <v>2</v>
      </c>
      <c r="Z30" s="1"/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7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13"/>
      <c r="S31" s="13"/>
      <c r="T31" s="13"/>
      <c r="U31" s="13"/>
      <c r="V31" s="13"/>
      <c r="W31" s="13"/>
      <c r="X31" s="12">
        <v>0</v>
      </c>
      <c r="Y31" s="12">
        <f ca="1">IFERROR(__xludf.DUMMYFUNCTION("INDEX(IMPORTRANGE(""1y0FWgjbB0gVlqn-q5LMJbGIsqOrzru4yowQz67dz2yc"", ""'STC'!AM3:AM139""),MATCH(D31,IMPORTRANGE(""1y0FWgjbB0gVlqn-q5LMJbGIsqOrzru4yowQz67dz2yc"", ""'STC'!D3:D139""),0))"),0)</f>
        <v>0</v>
      </c>
      <c r="Z31" s="1"/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7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13"/>
      <c r="S32" s="13"/>
      <c r="T32" s="13"/>
      <c r="U32" s="13"/>
      <c r="V32" s="13"/>
      <c r="W32" s="13"/>
      <c r="X32" s="12">
        <v>4</v>
      </c>
      <c r="Y32" s="12">
        <f ca="1">IFERROR(__xludf.DUMMYFUNCTION("INDEX(IMPORTRANGE(""1y0FWgjbB0gVlqn-q5LMJbGIsqOrzru4yowQz67dz2yc"", ""'STC'!AM3:AM139""),MATCH(D32,IMPORTRANGE(""1y0FWgjbB0gVlqn-q5LMJbGIsqOrzru4yowQz67dz2yc"", ""'STC'!D3:D139""),0))"),6)</f>
        <v>6</v>
      </c>
      <c r="Z32" s="1"/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7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13"/>
      <c r="S33" s="13"/>
      <c r="T33" s="13"/>
      <c r="U33" s="13"/>
      <c r="V33" s="13"/>
      <c r="W33" s="13"/>
      <c r="X33" s="12">
        <v>1</v>
      </c>
      <c r="Y33" s="12">
        <f ca="1">IFERROR(__xludf.DUMMYFUNCTION("INDEX(IMPORTRANGE(""1y0FWgjbB0gVlqn-q5LMJbGIsqOrzru4yowQz67dz2yc"", ""'STC'!AM3:AM139""),MATCH(D33,IMPORTRANGE(""1y0FWgjbB0gVlqn-q5LMJbGIsqOrzru4yowQz67dz2yc"", ""'STC'!D3:D139""),0))"),4)</f>
        <v>4</v>
      </c>
      <c r="Z33" s="1"/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7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7">(SUM(P23:P33)/P$2)*100000</f>
        <v>8.6029963007115899</v>
      </c>
      <c r="Q34" s="23">
        <f t="shared" si="7"/>
        <v>18.127742205070852</v>
      </c>
      <c r="R34" s="1">
        <v>16.100000000000001</v>
      </c>
      <c r="S34" s="1">
        <v>6.7</v>
      </c>
      <c r="T34" s="1">
        <v>14</v>
      </c>
      <c r="U34" s="1">
        <v>5.7</v>
      </c>
      <c r="V34" s="1">
        <v>12</v>
      </c>
      <c r="W34" s="1">
        <v>12</v>
      </c>
      <c r="X34" s="23">
        <f>(SUM(X23:X33)/X$2)*100000</f>
        <v>11.251433037248326</v>
      </c>
      <c r="Y34" s="23">
        <f ca="1">IFERROR(__xludf.DUMMYFUNCTION("INDEX(IMPORTRANGE(""1y0FWgjbB0gVlqn-q5LMJbGIsqOrzru4yowQz67dz2yc"", ""'STC'!AM3:AM139""),MATCH(D34,IMPORTRANGE(""1y0FWgjbB0gVlqn-q5LMJbGIsqOrzru4yowQz67dz2yc"", ""'STC'!D3:D139""),0))"),27.672443415935)</f>
        <v>27.672443415935</v>
      </c>
      <c r="Z34" s="1"/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7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87144</v>
      </c>
      <c r="Q35" s="12">
        <v>87144</v>
      </c>
      <c r="R35" s="13"/>
      <c r="S35" s="13"/>
      <c r="T35" s="13"/>
      <c r="U35" s="13"/>
      <c r="V35" s="13"/>
      <c r="W35" s="13"/>
      <c r="X35" s="12">
        <v>87144</v>
      </c>
      <c r="Y35" s="510">
        <f ca="1">IFERROR(__xludf.DUMMYFUNCTION("INDEX(IMPORTRANGE(""1y0FWgjbB0gVlqn-q5LMJbGIsqOrzru4yowQz67dz2yc"", ""'STC'!AM3:AM139""),MATCH(D35,IMPORTRANGE(""1y0FWgjbB0gVlqn-q5LMJbGIsqOrzru4yowQz67dz2yc"", ""'STC'!D3:D139""),0))"),87144)</f>
        <v>87144</v>
      </c>
      <c r="Z35" s="1"/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7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12">
        <v>0</v>
      </c>
      <c r="R36" s="1"/>
      <c r="S36" s="1"/>
      <c r="T36" s="1"/>
      <c r="U36" s="1"/>
      <c r="V36" s="1"/>
      <c r="W36" s="1"/>
      <c r="X36" s="2">
        <v>0</v>
      </c>
      <c r="Y36" s="2">
        <f ca="1">IFERROR(__xludf.DUMMYFUNCTION("INDEX(IMPORTRANGE(""1y0FWgjbB0gVlqn-q5LMJbGIsqOrzru4yowQz67dz2yc"", ""'STC'!AM3:AM139""),MATCH(D36,IMPORTRANGE(""1y0FWgjbB0gVlqn-q5LMJbGIsqOrzru4yowQz67dz2yc"", ""'STC'!D3:D139""),0))"),0)</f>
        <v>0</v>
      </c>
      <c r="Z36" s="1"/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7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f t="shared" ref="P37:Q37" si="8">P36/P35</f>
        <v>0</v>
      </c>
      <c r="Q37" s="12">
        <f t="shared" si="8"/>
        <v>0</v>
      </c>
      <c r="R37" s="20">
        <v>2E-3</v>
      </c>
      <c r="S37" s="20">
        <v>4.0000000000000001E-3</v>
      </c>
      <c r="T37" s="20">
        <v>6.0000000000000001E-3</v>
      </c>
      <c r="U37" s="20">
        <v>8.0000000000000002E-3</v>
      </c>
      <c r="V37" s="20">
        <v>0.01</v>
      </c>
      <c r="W37" s="37">
        <v>0.01</v>
      </c>
      <c r="X37" s="17">
        <f>X36/X35</f>
        <v>0</v>
      </c>
      <c r="Y37" s="492">
        <f ca="1">IFERROR(__xludf.DUMMYFUNCTION("INDEX(IMPORTRANGE(""1y0FWgjbB0gVlqn-q5LMJbGIsqOrzru4yowQz67dz2yc"", ""'STC'!AM3:AM139""),MATCH(D37,IMPORTRANGE(""1y0FWgjbB0gVlqn-q5LMJbGIsqOrzru4yowQz67dz2yc"", ""'STC'!D3:D139""),0))"),0)</f>
        <v>0</v>
      </c>
      <c r="Z37" s="1"/>
      <c r="AA37" s="1"/>
      <c r="AB37" s="1"/>
      <c r="AC37" s="1"/>
    </row>
    <row r="38" spans="1:29">
      <c r="A38" s="7" t="s">
        <v>119</v>
      </c>
      <c r="B38" s="7" t="s">
        <v>127</v>
      </c>
      <c r="C38" s="1" t="s">
        <v>36</v>
      </c>
      <c r="D38" s="7" t="s">
        <v>128</v>
      </c>
      <c r="E38" s="7" t="s">
        <v>38</v>
      </c>
      <c r="F38" s="9" t="s">
        <v>129</v>
      </c>
      <c r="G38" s="22" t="s">
        <v>56</v>
      </c>
      <c r="H38" s="22" t="s">
        <v>57</v>
      </c>
      <c r="I38" s="2" t="s">
        <v>58</v>
      </c>
      <c r="J38" s="2" t="s">
        <v>59</v>
      </c>
      <c r="K38" s="2" t="s">
        <v>130</v>
      </c>
      <c r="L38" s="2" t="s">
        <v>61</v>
      </c>
      <c r="M38" s="2" t="s">
        <v>131</v>
      </c>
      <c r="N38" s="2" t="s">
        <v>63</v>
      </c>
      <c r="O38" s="2" t="s">
        <v>132</v>
      </c>
      <c r="P38" s="12">
        <v>0</v>
      </c>
      <c r="Q38" s="12">
        <v>0</v>
      </c>
      <c r="R38" s="1">
        <v>6</v>
      </c>
      <c r="S38" s="1">
        <v>11</v>
      </c>
      <c r="T38" s="1">
        <v>16</v>
      </c>
      <c r="U38" s="1">
        <v>21</v>
      </c>
      <c r="V38" s="1">
        <v>25</v>
      </c>
      <c r="W38" s="1">
        <v>25</v>
      </c>
      <c r="X38" s="2">
        <v>0</v>
      </c>
      <c r="Y38" s="2">
        <f ca="1">IFERROR(__xludf.DUMMYFUNCTION("INDEX(IMPORTRANGE(""1y0FWgjbB0gVlqn-q5LMJbGIsqOrzru4yowQz67dz2yc"", ""'STC'!AM3:AM139""),MATCH(D38,IMPORTRANGE(""1y0FWgjbB0gVlqn-q5LMJbGIsqOrzru4yowQz67dz2yc"", ""'STC'!D3:D139""),0))"),6)</f>
        <v>6</v>
      </c>
      <c r="Z38" s="1"/>
      <c r="AA38" s="1"/>
      <c r="AB38" s="1"/>
      <c r="AC38" s="1"/>
    </row>
    <row r="39" spans="1:29">
      <c r="A39" s="7" t="s">
        <v>119</v>
      </c>
      <c r="B39" s="7" t="s">
        <v>133</v>
      </c>
      <c r="C39" s="1" t="s">
        <v>36</v>
      </c>
      <c r="D39" s="7" t="s">
        <v>134</v>
      </c>
      <c r="E39" s="7" t="s">
        <v>38</v>
      </c>
      <c r="F39" s="9" t="s">
        <v>135</v>
      </c>
      <c r="G39" s="22" t="s">
        <v>56</v>
      </c>
      <c r="H39" s="22" t="s">
        <v>57</v>
      </c>
      <c r="I39" s="2" t="s">
        <v>58</v>
      </c>
      <c r="J39" s="2" t="s">
        <v>59</v>
      </c>
      <c r="K39" s="2" t="s">
        <v>130</v>
      </c>
      <c r="L39" s="2" t="s">
        <v>61</v>
      </c>
      <c r="M39" s="2" t="s">
        <v>131</v>
      </c>
      <c r="N39" s="2" t="s">
        <v>63</v>
      </c>
      <c r="O39" s="2" t="s">
        <v>132</v>
      </c>
      <c r="P39" s="12">
        <v>2219</v>
      </c>
      <c r="Q39" s="12">
        <v>3265</v>
      </c>
      <c r="R39" s="1">
        <v>180</v>
      </c>
      <c r="S39" s="1">
        <v>220</v>
      </c>
      <c r="T39" s="1">
        <v>250</v>
      </c>
      <c r="U39" s="1">
        <v>280</v>
      </c>
      <c r="V39" s="1">
        <v>450</v>
      </c>
      <c r="W39" s="1">
        <v>1380</v>
      </c>
      <c r="X39" s="12">
        <v>153</v>
      </c>
      <c r="Y39" s="12">
        <f ca="1">IFERROR(__xludf.DUMMYFUNCTION("INDEX(IMPORTRANGE(""1y0FWgjbB0gVlqn-q5LMJbGIsqOrzru4yowQz67dz2yc"", ""'STC'!AM3:AM139""),MATCH(D39,IMPORTRANGE(""1y0FWgjbB0gVlqn-q5LMJbGIsqOrzru4yowQz67dz2yc"", ""'STC'!D3:D139""),0))"),309)</f>
        <v>309</v>
      </c>
      <c r="Z39" s="1"/>
      <c r="AA39" s="1"/>
      <c r="AB39" s="1"/>
      <c r="AC39" s="1"/>
    </row>
    <row r="40" spans="1:29">
      <c r="A40" s="155" t="s">
        <v>119</v>
      </c>
      <c r="B40" s="155" t="s">
        <v>136</v>
      </c>
      <c r="C40" s="156" t="s">
        <v>30</v>
      </c>
      <c r="D40" s="155" t="s">
        <v>137</v>
      </c>
      <c r="E40" s="155" t="s">
        <v>38</v>
      </c>
      <c r="F40" s="22" t="s">
        <v>138</v>
      </c>
      <c r="G40" s="22" t="s">
        <v>56</v>
      </c>
      <c r="H40" s="22" t="s">
        <v>57</v>
      </c>
      <c r="I40" s="22" t="s">
        <v>58</v>
      </c>
      <c r="J40" s="22" t="s">
        <v>59</v>
      </c>
      <c r="K40" s="22" t="s">
        <v>130</v>
      </c>
      <c r="L40" s="22" t="s">
        <v>61</v>
      </c>
      <c r="M40" s="22" t="s">
        <v>131</v>
      </c>
      <c r="N40" s="22" t="s">
        <v>63</v>
      </c>
      <c r="O40" s="22" t="s">
        <v>132</v>
      </c>
      <c r="P40" s="12">
        <v>0</v>
      </c>
      <c r="Q40" s="2">
        <v>1</v>
      </c>
      <c r="R40" s="13"/>
      <c r="S40" s="13"/>
      <c r="T40" s="13"/>
      <c r="U40" s="13"/>
      <c r="V40" s="13"/>
      <c r="W40" s="13"/>
      <c r="X40" s="2">
        <v>5</v>
      </c>
      <c r="Y40" s="2">
        <f ca="1">IFERROR(__xludf.DUMMYFUNCTION("INDEX(IMPORTRANGE(""1y0FWgjbB0gVlqn-q5LMJbGIsqOrzru4yowQz67dz2yc"", ""'STC'!AM3:AM139""),MATCH(D40,IMPORTRANGE(""1y0FWgjbB0gVlqn-q5LMJbGIsqOrzru4yowQz67dz2yc"", ""'STC'!D3:D139""),0))"),7)</f>
        <v>7</v>
      </c>
      <c r="Z40" s="1"/>
      <c r="AA40" s="1"/>
      <c r="AB40" s="1"/>
      <c r="AC40" s="1"/>
    </row>
    <row r="41" spans="1:29">
      <c r="A41" s="155" t="s">
        <v>119</v>
      </c>
      <c r="B41" s="155" t="s">
        <v>136</v>
      </c>
      <c r="C41" s="156" t="s">
        <v>30</v>
      </c>
      <c r="D41" s="155" t="s">
        <v>139</v>
      </c>
      <c r="E41" s="155" t="s">
        <v>38</v>
      </c>
      <c r="F41" s="22" t="s">
        <v>140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130</v>
      </c>
      <c r="L41" s="22" t="s">
        <v>61</v>
      </c>
      <c r="M41" s="22" t="s">
        <v>131</v>
      </c>
      <c r="N41" s="22" t="s">
        <v>63</v>
      </c>
      <c r="O41" s="22" t="s">
        <v>132</v>
      </c>
      <c r="P41" s="12"/>
      <c r="Q41" s="2"/>
      <c r="R41" s="13"/>
      <c r="S41" s="13"/>
      <c r="T41" s="13"/>
      <c r="U41" s="13"/>
      <c r="V41" s="13"/>
      <c r="W41" s="13"/>
      <c r="X41" s="2"/>
      <c r="Y41" s="2">
        <f ca="1">IFERROR(__xludf.DUMMYFUNCTION("INDEX(IMPORTRANGE(""1y0FWgjbB0gVlqn-q5LMJbGIsqOrzru4yowQz67dz2yc"", ""'STC'!AM3:AM139""),MATCH(D41,IMPORTRANGE(""1y0FWgjbB0gVlqn-q5LMJbGIsqOrzru4yowQz67dz2yc"", ""'STC'!D3:D139""),0))"),0)</f>
        <v>0</v>
      </c>
      <c r="Z41" s="1"/>
      <c r="AA41" s="1"/>
      <c r="AB41" s="1"/>
      <c r="AC41" s="1"/>
    </row>
    <row r="42" spans="1:29">
      <c r="A42" s="155" t="s">
        <v>119</v>
      </c>
      <c r="B42" s="155" t="s">
        <v>136</v>
      </c>
      <c r="C42" s="156" t="s">
        <v>30</v>
      </c>
      <c r="D42" s="155" t="s">
        <v>141</v>
      </c>
      <c r="E42" s="155" t="s">
        <v>38</v>
      </c>
      <c r="F42" s="22" t="s">
        <v>142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130</v>
      </c>
      <c r="L42" s="22" t="s">
        <v>61</v>
      </c>
      <c r="M42" s="22" t="s">
        <v>131</v>
      </c>
      <c r="N42" s="22" t="s">
        <v>63</v>
      </c>
      <c r="O42" s="22" t="s">
        <v>132</v>
      </c>
      <c r="P42" s="12">
        <v>0</v>
      </c>
      <c r="Q42" s="2">
        <v>14</v>
      </c>
      <c r="R42" s="13"/>
      <c r="S42" s="13"/>
      <c r="T42" s="13"/>
      <c r="U42" s="13"/>
      <c r="V42" s="13"/>
      <c r="W42" s="13"/>
      <c r="X42" s="2">
        <v>3</v>
      </c>
      <c r="Y42" s="2">
        <f ca="1">IFERROR(__xludf.DUMMYFUNCTION("INDEX(IMPORTRANGE(""1y0FWgjbB0gVlqn-q5LMJbGIsqOrzru4yowQz67dz2yc"", ""'STC'!AM3:AM139""),MATCH(D42,IMPORTRANGE(""1y0FWgjbB0gVlqn-q5LMJbGIsqOrzru4yowQz67dz2yc"", ""'STC'!D3:D139""),0))"),9)</f>
        <v>9</v>
      </c>
      <c r="Z42" s="1"/>
      <c r="AA42" s="1"/>
      <c r="AB42" s="1"/>
      <c r="AC42" s="1"/>
    </row>
    <row r="43" spans="1:29">
      <c r="A43" s="155" t="s">
        <v>119</v>
      </c>
      <c r="B43" s="155" t="s">
        <v>136</v>
      </c>
      <c r="C43" s="156" t="s">
        <v>30</v>
      </c>
      <c r="D43" s="155" t="s">
        <v>143</v>
      </c>
      <c r="E43" s="155" t="s">
        <v>38</v>
      </c>
      <c r="F43" s="22" t="s">
        <v>144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130</v>
      </c>
      <c r="L43" s="22" t="s">
        <v>61</v>
      </c>
      <c r="M43" s="22" t="s">
        <v>131</v>
      </c>
      <c r="N43" s="22" t="s">
        <v>63</v>
      </c>
      <c r="O43" s="22" t="s">
        <v>132</v>
      </c>
      <c r="P43" s="12"/>
      <c r="Q43" s="12"/>
      <c r="R43" s="13"/>
      <c r="S43" s="13"/>
      <c r="T43" s="13"/>
      <c r="U43" s="13"/>
      <c r="V43" s="13"/>
      <c r="W43" s="13"/>
      <c r="X43" s="2"/>
      <c r="Y43" s="2">
        <f ca="1">IFERROR(__xludf.DUMMYFUNCTION("INDEX(IMPORTRANGE(""1y0FWgjbB0gVlqn-q5LMJbGIsqOrzru4yowQz67dz2yc"", ""'STC'!AM3:AM139""),MATCH(D43,IMPORTRANGE(""1y0FWgjbB0gVlqn-q5LMJbGIsqOrzru4yowQz67dz2yc"", ""'STC'!D3:D139""),0))"),1)</f>
        <v>1</v>
      </c>
      <c r="Z43" s="1"/>
      <c r="AA43" s="1"/>
      <c r="AB43" s="1"/>
      <c r="AC43" s="1"/>
    </row>
    <row r="44" spans="1:29">
      <c r="A44" s="155" t="s">
        <v>119</v>
      </c>
      <c r="B44" s="155" t="s">
        <v>136</v>
      </c>
      <c r="C44" s="156" t="s">
        <v>36</v>
      </c>
      <c r="D44" s="155" t="s">
        <v>145</v>
      </c>
      <c r="E44" s="155" t="s">
        <v>38</v>
      </c>
      <c r="F44" s="22" t="s">
        <v>146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130</v>
      </c>
      <c r="L44" s="22" t="s">
        <v>61</v>
      </c>
      <c r="M44" s="22" t="s">
        <v>131</v>
      </c>
      <c r="N44" s="22" t="s">
        <v>63</v>
      </c>
      <c r="O44" s="22" t="s">
        <v>132</v>
      </c>
      <c r="P44" s="12">
        <v>0</v>
      </c>
      <c r="Q44" s="12">
        <f>SUM(Q40:Q42)</f>
        <v>15</v>
      </c>
      <c r="R44" s="1">
        <v>7</v>
      </c>
      <c r="S44" s="1">
        <v>3</v>
      </c>
      <c r="T44" s="1">
        <v>7</v>
      </c>
      <c r="U44" s="1">
        <v>3</v>
      </c>
      <c r="V44" s="1">
        <v>7</v>
      </c>
      <c r="W44" s="1">
        <v>21</v>
      </c>
      <c r="X44" s="2">
        <f>SUM(X40:X42)</f>
        <v>8</v>
      </c>
      <c r="Y44" s="2">
        <f ca="1">IFERROR(__xludf.DUMMYFUNCTION("INDEX(IMPORTRANGE(""1y0FWgjbB0gVlqn-q5LMJbGIsqOrzru4yowQz67dz2yc"", ""'STC'!AM3:AM139""),MATCH(D44,IMPORTRANGE(""1y0FWgjbB0gVlqn-q5LMJbGIsqOrzru4yowQz67dz2yc"", ""'STC'!D3:D139""),0))"),17)</f>
        <v>17</v>
      </c>
      <c r="Z44" s="1"/>
      <c r="AA44" s="1"/>
      <c r="AB44" s="1"/>
      <c r="AC44" s="1"/>
    </row>
    <row r="45" spans="1:29">
      <c r="A45" s="7" t="s">
        <v>147</v>
      </c>
      <c r="B45" s="7" t="s">
        <v>148</v>
      </c>
      <c r="C45" s="1" t="s">
        <v>30</v>
      </c>
      <c r="D45" s="7" t="s">
        <v>149</v>
      </c>
      <c r="E45" s="7" t="s">
        <v>38</v>
      </c>
      <c r="F45" s="9"/>
      <c r="G45" s="10">
        <v>44469</v>
      </c>
      <c r="H45" s="10">
        <v>44469</v>
      </c>
      <c r="I45" s="11">
        <v>44651</v>
      </c>
      <c r="J45" s="11">
        <v>44834</v>
      </c>
      <c r="K45" s="11">
        <v>45016</v>
      </c>
      <c r="L45" s="11">
        <v>45199</v>
      </c>
      <c r="M45" s="11">
        <v>45382</v>
      </c>
      <c r="N45" s="11">
        <v>45565</v>
      </c>
      <c r="O45" s="11">
        <v>45565</v>
      </c>
      <c r="P45" s="30" t="s">
        <v>150</v>
      </c>
      <c r="Q45" s="30" t="s">
        <v>150</v>
      </c>
      <c r="R45" s="2" t="s">
        <v>151</v>
      </c>
      <c r="S45" s="2" t="s">
        <v>151</v>
      </c>
      <c r="T45" s="2" t="s">
        <v>151</v>
      </c>
      <c r="U45" s="2" t="s">
        <v>151</v>
      </c>
      <c r="V45" s="2" t="s">
        <v>151</v>
      </c>
      <c r="W45" s="2" t="s">
        <v>151</v>
      </c>
      <c r="X45" s="2" t="s">
        <v>150</v>
      </c>
      <c r="Y45" s="2" t="str">
        <f ca="1">IFERROR(__xludf.DUMMYFUNCTION("INDEX(IMPORTRANGE(""1y0FWgjbB0gVlqn-q5LMJbGIsqOrzru4yowQz67dz2yc"", ""'STC'!AM3:AM139""),MATCH(D45,IMPORTRANGE(""1y0FWgjbB0gVlqn-q5LMJbGIsqOrzru4yowQz67dz2yc"", ""'STC'!D3:D139""),0))"),"No")</f>
        <v>No</v>
      </c>
      <c r="Z45" s="1"/>
      <c r="AA45" s="1"/>
      <c r="AB45" s="1"/>
      <c r="AC45" s="1"/>
    </row>
    <row r="46" spans="1:29">
      <c r="A46" s="7" t="s">
        <v>147</v>
      </c>
      <c r="B46" s="7" t="s">
        <v>148</v>
      </c>
      <c r="C46" s="1" t="s">
        <v>30</v>
      </c>
      <c r="D46" s="7" t="s">
        <v>152</v>
      </c>
      <c r="E46" s="7" t="s">
        <v>38</v>
      </c>
      <c r="F46" s="9"/>
      <c r="G46" s="10">
        <v>44469</v>
      </c>
      <c r="H46" s="10">
        <v>44469</v>
      </c>
      <c r="I46" s="11">
        <v>44651</v>
      </c>
      <c r="J46" s="11">
        <v>44834</v>
      </c>
      <c r="K46" s="11">
        <v>45016</v>
      </c>
      <c r="L46" s="11">
        <v>45199</v>
      </c>
      <c r="M46" s="11">
        <v>45382</v>
      </c>
      <c r="N46" s="11">
        <v>45565</v>
      </c>
      <c r="O46" s="11">
        <v>45565</v>
      </c>
      <c r="P46" s="30" t="s">
        <v>150</v>
      </c>
      <c r="Q46" s="30" t="s">
        <v>150</v>
      </c>
      <c r="R46" s="2" t="s">
        <v>151</v>
      </c>
      <c r="S46" s="2" t="s">
        <v>151</v>
      </c>
      <c r="T46" s="2" t="s">
        <v>151</v>
      </c>
      <c r="U46" s="2" t="s">
        <v>151</v>
      </c>
      <c r="V46" s="2" t="s">
        <v>151</v>
      </c>
      <c r="W46" s="2" t="s">
        <v>151</v>
      </c>
      <c r="X46" s="2" t="s">
        <v>150</v>
      </c>
      <c r="Y46" s="2" t="str">
        <f ca="1">IFERROR(__xludf.DUMMYFUNCTION("INDEX(IMPORTRANGE(""1y0FWgjbB0gVlqn-q5LMJbGIsqOrzru4yowQz67dz2yc"", ""'STC'!AM3:AM139""),MATCH(D46,IMPORTRANGE(""1y0FWgjbB0gVlqn-q5LMJbGIsqOrzru4yowQz67dz2yc"", ""'STC'!D3:D139""),0))"),"Sí")</f>
        <v>Sí</v>
      </c>
      <c r="Z46" s="1"/>
      <c r="AA46" s="1"/>
      <c r="AB46" s="1"/>
      <c r="AC46" s="1"/>
    </row>
    <row r="47" spans="1:29">
      <c r="A47" s="7" t="s">
        <v>147</v>
      </c>
      <c r="B47" s="7" t="s">
        <v>148</v>
      </c>
      <c r="C47" s="1" t="s">
        <v>30</v>
      </c>
      <c r="D47" s="7" t="s">
        <v>154</v>
      </c>
      <c r="E47" s="7" t="s">
        <v>38</v>
      </c>
      <c r="F47" s="9"/>
      <c r="G47" s="10">
        <v>44469</v>
      </c>
      <c r="H47" s="10">
        <v>44469</v>
      </c>
      <c r="I47" s="11">
        <v>44651</v>
      </c>
      <c r="J47" s="11">
        <v>44834</v>
      </c>
      <c r="K47" s="11">
        <v>45016</v>
      </c>
      <c r="L47" s="11">
        <v>45199</v>
      </c>
      <c r="M47" s="11">
        <v>45382</v>
      </c>
      <c r="N47" s="11">
        <v>45565</v>
      </c>
      <c r="O47" s="11">
        <v>45565</v>
      </c>
      <c r="P47" s="30" t="s">
        <v>153</v>
      </c>
      <c r="Q47" s="30" t="s">
        <v>153</v>
      </c>
      <c r="R47" s="2" t="s">
        <v>155</v>
      </c>
      <c r="S47" s="1" t="s">
        <v>155</v>
      </c>
      <c r="T47" s="1" t="s">
        <v>155</v>
      </c>
      <c r="U47" s="1" t="s">
        <v>155</v>
      </c>
      <c r="V47" s="1" t="s">
        <v>155</v>
      </c>
      <c r="W47" s="2" t="s">
        <v>155</v>
      </c>
      <c r="X47" s="2" t="s">
        <v>153</v>
      </c>
      <c r="Y47" s="2" t="str">
        <f ca="1">IFERROR(__xludf.DUMMYFUNCTION("INDEX(IMPORTRANGE(""1y0FWgjbB0gVlqn-q5LMJbGIsqOrzru4yowQz67dz2yc"", ""'STC'!AM3:AM139""),MATCH(D47,IMPORTRANGE(""1y0FWgjbB0gVlqn-q5LMJbGIsqOrzru4yowQz67dz2yc"", ""'STC'!D3:D139""),0))"),"Sí")</f>
        <v>Sí</v>
      </c>
      <c r="Z47" s="1"/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36</v>
      </c>
      <c r="D48" s="7" t="s">
        <v>156</v>
      </c>
      <c r="E48" s="7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>
        <f>COUNTIF(P45:P47,"Sí")*(1/3)</f>
        <v>0.33333333333333331</v>
      </c>
      <c r="Q48" s="30">
        <f>COUNTIF(Q45:Q47,"Sí")*0.33</f>
        <v>0.33</v>
      </c>
      <c r="R48" s="2" t="s">
        <v>157</v>
      </c>
      <c r="S48" s="1" t="s">
        <v>157</v>
      </c>
      <c r="T48" s="1" t="s">
        <v>157</v>
      </c>
      <c r="U48" s="1" t="s">
        <v>157</v>
      </c>
      <c r="V48" s="1" t="s">
        <v>157</v>
      </c>
      <c r="W48" s="2" t="s">
        <v>157</v>
      </c>
      <c r="X48" s="30">
        <f>COUNTIF(X45:X47,"Sí")*0.33</f>
        <v>0.33</v>
      </c>
      <c r="Y48" s="30">
        <f ca="1">IFERROR(__xludf.DUMMYFUNCTION("INDEX(IMPORTRANGE(""1y0FWgjbB0gVlqn-q5LMJbGIsqOrzru4yowQz67dz2yc"", ""'STC'!AM3:AM139""),MATCH(D48,IMPORTRANGE(""1y0FWgjbB0gVlqn-q5LMJbGIsqOrzru4yowQz67dz2yc"", ""'STC'!D3:D139""),0))"),0.666666666666666)</f>
        <v>0.66666666666666596</v>
      </c>
      <c r="Z48" s="1"/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36</v>
      </c>
      <c r="D49" s="7" t="s">
        <v>158</v>
      </c>
      <c r="E49" s="7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12">
        <v>1</v>
      </c>
      <c r="Q49" s="12">
        <v>1</v>
      </c>
      <c r="R49" s="2" t="s">
        <v>159</v>
      </c>
      <c r="S49" s="1" t="s">
        <v>160</v>
      </c>
      <c r="T49" s="1" t="s">
        <v>160</v>
      </c>
      <c r="U49" s="1" t="s">
        <v>161</v>
      </c>
      <c r="V49" s="1" t="s">
        <v>161</v>
      </c>
      <c r="W49" s="2" t="s">
        <v>161</v>
      </c>
      <c r="X49" s="12">
        <v>1</v>
      </c>
      <c r="Y49" s="12">
        <f ca="1">IFERROR(__xludf.DUMMYFUNCTION("INDEX(IMPORTRANGE(""1y0FWgjbB0gVlqn-q5LMJbGIsqOrzru4yowQz67dz2yc"", ""'STC'!AM3:AM139""),MATCH(D49,IMPORTRANGE(""1y0FWgjbB0gVlqn-q5LMJbGIsqOrzru4yowQz67dz2yc"", ""'STC'!D3:D139""),0))"),1)</f>
        <v>1</v>
      </c>
      <c r="Z49" s="1"/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162</v>
      </c>
      <c r="E50" s="7" t="s">
        <v>38</v>
      </c>
      <c r="F50" s="9" t="s">
        <v>163</v>
      </c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12">
        <v>0</v>
      </c>
      <c r="Q50" s="12">
        <v>0</v>
      </c>
      <c r="R50" s="13"/>
      <c r="S50" s="13"/>
      <c r="T50" s="13"/>
      <c r="U50" s="13"/>
      <c r="V50" s="13"/>
      <c r="W50" s="13"/>
      <c r="X50" s="2">
        <v>0</v>
      </c>
      <c r="Y50" s="2">
        <f ca="1">IFERROR(__xludf.DUMMYFUNCTION("INDEX(IMPORTRANGE(""1y0FWgjbB0gVlqn-q5LMJbGIsqOrzru4yowQz67dz2yc"", ""'STC'!AM3:AM139""),MATCH(D50,IMPORTRANGE(""1y0FWgjbB0gVlqn-q5LMJbGIsqOrzru4yowQz67dz2yc"", ""'STC'!D3:D139""),0))"),0)</f>
        <v>0</v>
      </c>
      <c r="Z50" s="1"/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164</v>
      </c>
      <c r="E51" s="7" t="s">
        <v>38</v>
      </c>
      <c r="F51" s="9" t="s">
        <v>165</v>
      </c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12">
        <v>0</v>
      </c>
      <c r="Q51" s="12">
        <v>0</v>
      </c>
      <c r="R51" s="13"/>
      <c r="S51" s="13"/>
      <c r="T51" s="13"/>
      <c r="U51" s="13"/>
      <c r="V51" s="13"/>
      <c r="W51" s="13"/>
      <c r="X51" s="2">
        <v>0</v>
      </c>
      <c r="Y51" s="2">
        <f ca="1">IFERROR(__xludf.DUMMYFUNCTION("INDEX(IMPORTRANGE(""1y0FWgjbB0gVlqn-q5LMJbGIsqOrzru4yowQz67dz2yc"", ""'STC'!AM3:AM139""),MATCH(D51,IMPORTRANGE(""1y0FWgjbB0gVlqn-q5LMJbGIsqOrzru4yowQz67dz2yc"", ""'STC'!D3:D139""),0))"),0)</f>
        <v>0</v>
      </c>
      <c r="Z51" s="1"/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166</v>
      </c>
      <c r="E52" s="7" t="s">
        <v>38</v>
      </c>
      <c r="F52" s="9" t="s">
        <v>167</v>
      </c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320</v>
      </c>
      <c r="Q52" s="30" t="s">
        <v>320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30" t="s">
        <v>320</v>
      </c>
      <c r="Y52" s="30" t="str">
        <f ca="1">IFERROR(__xludf.DUMMYFUNCTION("INDEX(IMPORTRANGE(""1y0FWgjbB0gVlqn-q5LMJbGIsqOrzru4yowQz67dz2yc"", ""'STC'!AM3:AM139""),MATCH(D52,IMPORTRANGE(""1y0FWgjbB0gVlqn-q5LMJbGIsqOrzru4yowQz67dz2yc"", ""'STC'!D3:D139""),0))"),"NA")</f>
        <v>NA</v>
      </c>
      <c r="Z52" s="1"/>
      <c r="AA52" s="1"/>
      <c r="AB52" s="1"/>
      <c r="AC52" s="1"/>
    </row>
    <row r="53" spans="1:29">
      <c r="A53" s="7" t="s">
        <v>147</v>
      </c>
      <c r="B53" s="7" t="s">
        <v>168</v>
      </c>
      <c r="C53" s="1" t="s">
        <v>30</v>
      </c>
      <c r="D53" s="155" t="s">
        <v>169</v>
      </c>
      <c r="E53" s="7" t="s">
        <v>38</v>
      </c>
      <c r="F53" s="9" t="s">
        <v>170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24153</v>
      </c>
      <c r="Q53" s="12">
        <v>24153</v>
      </c>
      <c r="R53" s="13"/>
      <c r="S53" s="13"/>
      <c r="T53" s="13"/>
      <c r="U53" s="13"/>
      <c r="V53" s="13"/>
      <c r="W53" s="13"/>
      <c r="X53" s="12">
        <v>24659</v>
      </c>
      <c r="Y53" s="510">
        <f ca="1">IFERROR(__xludf.DUMMYFUNCTION("INDEX(IMPORTRANGE(""1y0FWgjbB0gVlqn-q5LMJbGIsqOrzru4yowQz67dz2yc"", ""'STC'!AM3:AM139""),MATCH(D53,IMPORTRANGE(""1y0FWgjbB0gVlqn-q5LMJbGIsqOrzru4yowQz67dz2yc"", ""'STC'!D3:D139""),0))"),24985)</f>
        <v>24985</v>
      </c>
      <c r="Z53" s="1"/>
      <c r="AA53" s="1"/>
      <c r="AB53" s="1"/>
      <c r="AC53" s="1"/>
    </row>
    <row r="54" spans="1:29">
      <c r="A54" s="7" t="s">
        <v>147</v>
      </c>
      <c r="B54" s="7" t="s">
        <v>168</v>
      </c>
      <c r="C54" s="1" t="s">
        <v>30</v>
      </c>
      <c r="D54" s="155" t="s">
        <v>171</v>
      </c>
      <c r="E54" s="7" t="s">
        <v>38</v>
      </c>
      <c r="F54" s="9" t="s">
        <v>172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24659</v>
      </c>
      <c r="Q54" s="12">
        <v>24659</v>
      </c>
      <c r="R54" s="13"/>
      <c r="S54" s="13"/>
      <c r="T54" s="13"/>
      <c r="U54" s="13"/>
      <c r="V54" s="13"/>
      <c r="W54" s="13"/>
      <c r="X54" s="12">
        <v>26225</v>
      </c>
      <c r="Y54" s="510">
        <f ca="1">IFERROR(__xludf.DUMMYFUNCTION("INDEX(IMPORTRANGE(""1y0FWgjbB0gVlqn-q5LMJbGIsqOrzru4yowQz67dz2yc"", ""'STC'!AM3:AM139""),MATCH(D54,IMPORTRANGE(""1y0FWgjbB0gVlqn-q5LMJbGIsqOrzru4yowQz67dz2yc"", ""'STC'!D3:D139""),0))"),26225)</f>
        <v>26225</v>
      </c>
      <c r="Z54" s="1"/>
      <c r="AA54" s="1"/>
      <c r="AB54" s="1"/>
      <c r="AC54" s="1"/>
    </row>
    <row r="55" spans="1:29">
      <c r="A55" s="7" t="s">
        <v>147</v>
      </c>
      <c r="B55" s="7" t="s">
        <v>168</v>
      </c>
      <c r="C55" s="1" t="s">
        <v>36</v>
      </c>
      <c r="D55" s="7" t="s">
        <v>173</v>
      </c>
      <c r="E55" s="7" t="s">
        <v>38</v>
      </c>
      <c r="F55" s="9" t="s">
        <v>174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5">
        <f t="shared" ref="P55:Q55" si="9">P53/P54</f>
        <v>0.9794801086824283</v>
      </c>
      <c r="Q55" s="15">
        <f t="shared" si="9"/>
        <v>0.9794801086824283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467">
        <f>X53/X54</f>
        <v>0.94028598665395613</v>
      </c>
      <c r="Y55" s="317">
        <f ca="1">IFERROR(__xludf.DUMMYFUNCTION("INDEX(IMPORTRANGE(""1y0FWgjbB0gVlqn-q5LMJbGIsqOrzru4yowQz67dz2yc"", ""'STC'!AM3:AM139""),MATCH(D55,IMPORTRANGE(""1y0FWgjbB0gVlqn-q5LMJbGIsqOrzru4yowQz67dz2yc"", ""'STC'!D3:D139""),0))"),0.952716873212583)</f>
        <v>0.95271687321258303</v>
      </c>
      <c r="Z55" s="1"/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7" t="s">
        <v>175</v>
      </c>
      <c r="E56" s="7" t="s">
        <v>38</v>
      </c>
      <c r="F56" s="9" t="s">
        <v>176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84053</v>
      </c>
      <c r="Q56" s="12">
        <v>84053</v>
      </c>
      <c r="R56" s="13"/>
      <c r="S56" s="13"/>
      <c r="T56" s="13"/>
      <c r="U56" s="13"/>
      <c r="V56" s="13"/>
      <c r="W56" s="13"/>
      <c r="X56" s="12">
        <v>84053</v>
      </c>
      <c r="Y56" s="510">
        <f ca="1">IFERROR(__xludf.DUMMYFUNCTION("INDEX(IMPORTRANGE(""1y0FWgjbB0gVlqn-q5LMJbGIsqOrzru4yowQz67dz2yc"", ""'STC'!AM3:AM139""),MATCH(D56,IMPORTRANGE(""1y0FWgjbB0gVlqn-q5LMJbGIsqOrzru4yowQz67dz2yc"", ""'STC'!D3:D139""),0))"),84054)</f>
        <v>84054</v>
      </c>
      <c r="Z56" s="1"/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36</v>
      </c>
      <c r="D57" s="1" t="s">
        <v>177</v>
      </c>
      <c r="E57" s="7" t="s">
        <v>38</v>
      </c>
      <c r="F57" s="2" t="s">
        <v>178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5">
        <f t="shared" ref="P57:Q57" si="10">P56/P35</f>
        <v>0.96452997337739832</v>
      </c>
      <c r="Q57" s="15">
        <f t="shared" si="10"/>
        <v>0.96452997337739832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5">
        <f>X56/X35</f>
        <v>0.96452997337739832</v>
      </c>
      <c r="Y57" s="317">
        <f ca="1">IFERROR(__xludf.DUMMYFUNCTION("INDEX(IMPORTRANGE(""1y0FWgjbB0gVlqn-q5LMJbGIsqOrzru4yowQz67dz2yc"", ""'STC'!AM3:AM139""),MATCH(D57,IMPORTRANGE(""1y0FWgjbB0gVlqn-q5LMJbGIsqOrzru4yowQz67dz2yc"", ""'STC'!D3:D139""),0))"),0.964541448636739)</f>
        <v>0.96454144863673896</v>
      </c>
      <c r="Z57" s="1"/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179</v>
      </c>
      <c r="E58" s="7" t="s">
        <v>38</v>
      </c>
      <c r="F58" s="9" t="s">
        <v>180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30">
        <v>6302632.9800000004</v>
      </c>
      <c r="Q58" s="30">
        <v>6302632.9800000004</v>
      </c>
      <c r="R58" s="13"/>
      <c r="S58" s="13"/>
      <c r="T58" s="13"/>
      <c r="U58" s="13"/>
      <c r="V58" s="13"/>
      <c r="W58" s="13"/>
      <c r="X58" s="30">
        <v>6302632.9800000004</v>
      </c>
      <c r="Y58" s="511">
        <f ca="1">IFERROR(__xludf.DUMMYFUNCTION("INDEX(IMPORTRANGE(""1y0FWgjbB0gVlqn-q5LMJbGIsqOrzru4yowQz67dz2yc"", ""'STC'!AM3:AM139""),MATCH(D58,IMPORTRANGE(""1y0FWgjbB0gVlqn-q5LMJbGIsqOrzru4yowQz67dz2yc"", ""'STC'!D3:D139""),0))"),6302632.98)</f>
        <v>6302632.9800000004</v>
      </c>
      <c r="Z58" s="1"/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181</v>
      </c>
      <c r="E59" s="7" t="s">
        <v>38</v>
      </c>
      <c r="F59" s="9" t="s">
        <v>182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30">
        <v>6347377.9800000004</v>
      </c>
      <c r="Q59" s="30">
        <v>6347377.9800000004</v>
      </c>
      <c r="R59" s="13"/>
      <c r="S59" s="13"/>
      <c r="T59" s="13"/>
      <c r="U59" s="13"/>
      <c r="V59" s="13"/>
      <c r="W59" s="13"/>
      <c r="X59" s="30">
        <v>6347377.9800000004</v>
      </c>
      <c r="Y59" s="511">
        <f ca="1">IFERROR(__xludf.DUMMYFUNCTION("INDEX(IMPORTRANGE(""1y0FWgjbB0gVlqn-q5LMJbGIsqOrzru4yowQz67dz2yc"", ""'STC'!AM3:AM139""),MATCH(D59,IMPORTRANGE(""1y0FWgjbB0gVlqn-q5LMJbGIsqOrzru4yowQz67dz2yc"", ""'STC'!D3:D139""),0))"),6347377.98)</f>
        <v>6347377.9800000004</v>
      </c>
      <c r="Z59" s="1"/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183</v>
      </c>
      <c r="E60" s="7" t="s">
        <v>38</v>
      </c>
      <c r="F60" s="9" t="s">
        <v>184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1">P58/P59</f>
        <v>0.99295063250668425</v>
      </c>
      <c r="Q60" s="15">
        <f t="shared" si="11"/>
        <v>0.99295063250668425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X58/X59</f>
        <v>0.99295063250668425</v>
      </c>
      <c r="Y60" s="317">
        <f ca="1">IFERROR(__xludf.DUMMYFUNCTION("INDEX(IMPORTRANGE(""1y0FWgjbB0gVlqn-q5LMJbGIsqOrzru4yowQz67dz2yc"", ""'STC'!AM3:AM139""),MATCH(D60,IMPORTRANGE(""1y0FWgjbB0gVlqn-q5LMJbGIsqOrzru4yowQz67dz2yc"", ""'STC'!D3:D139""),0))"),0.992950632506684)</f>
        <v>0.99295063250668403</v>
      </c>
      <c r="Z60" s="1"/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185</v>
      </c>
      <c r="E61" s="7" t="s">
        <v>38</v>
      </c>
      <c r="F61" s="9" t="s">
        <v>186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30">
        <v>22901</v>
      </c>
      <c r="Q61" s="30">
        <v>22901</v>
      </c>
      <c r="R61" s="13"/>
      <c r="S61" s="13"/>
      <c r="T61" s="13"/>
      <c r="U61" s="13"/>
      <c r="V61" s="13"/>
      <c r="W61" s="13"/>
      <c r="X61" s="12">
        <v>22901</v>
      </c>
      <c r="Y61" s="510">
        <f ca="1">IFERROR(__xludf.DUMMYFUNCTION("INDEX(IMPORTRANGE(""1y0FWgjbB0gVlqn-q5LMJbGIsqOrzru4yowQz67dz2yc"", ""'STC'!AM3:AM139""),MATCH(D61,IMPORTRANGE(""1y0FWgjbB0gVlqn-q5LMJbGIsqOrzru4yowQz67dz2yc"", ""'STC'!D3:D139""),0))"),22901)</f>
        <v>22901</v>
      </c>
      <c r="Z61" s="1"/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187</v>
      </c>
      <c r="E62" s="7" t="s">
        <v>38</v>
      </c>
      <c r="F62" s="9" t="s">
        <v>188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30">
        <v>42125</v>
      </c>
      <c r="Q62" s="30">
        <v>42125</v>
      </c>
      <c r="R62" s="13"/>
      <c r="S62" s="13"/>
      <c r="T62" s="13"/>
      <c r="U62" s="13"/>
      <c r="V62" s="13"/>
      <c r="W62" s="13"/>
      <c r="X62" s="12">
        <v>42125</v>
      </c>
      <c r="Y62" s="510">
        <f ca="1">IFERROR(__xludf.DUMMYFUNCTION("INDEX(IMPORTRANGE(""1y0FWgjbB0gVlqn-q5LMJbGIsqOrzru4yowQz67dz2yc"", ""'STC'!AM3:AM139""),MATCH(D62,IMPORTRANGE(""1y0FWgjbB0gVlqn-q5LMJbGIsqOrzru4yowQz67dz2yc"", ""'STC'!D3:D139""),0))"),42125)</f>
        <v>42125</v>
      </c>
      <c r="Z62" s="1"/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189</v>
      </c>
      <c r="E63" s="7" t="s">
        <v>38</v>
      </c>
      <c r="F63" s="9" t="s">
        <v>190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2">P61/P62</f>
        <v>0.54364391691394653</v>
      </c>
      <c r="Q63" s="15">
        <f t="shared" si="12"/>
        <v>0.54364391691394653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0.54364391691394653</v>
      </c>
      <c r="Y63" s="317">
        <f ca="1">IFERROR(__xludf.DUMMYFUNCTION("INDEX(IMPORTRANGE(""1y0FWgjbB0gVlqn-q5LMJbGIsqOrzru4yowQz67dz2yc"", ""'STC'!AM3:AM139""),MATCH(D63,IMPORTRANGE(""1y0FWgjbB0gVlqn-q5LMJbGIsqOrzru4yowQz67dz2yc"", ""'STC'!D3:D139""),0))"),0.543643916913946)</f>
        <v>0.54364391691394598</v>
      </c>
      <c r="Z63" s="1"/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191</v>
      </c>
      <c r="E64" s="7" t="s">
        <v>38</v>
      </c>
      <c r="F64" s="9" t="s">
        <v>192</v>
      </c>
      <c r="G64" s="22" t="s">
        <v>56</v>
      </c>
      <c r="H64" s="22" t="s">
        <v>57</v>
      </c>
      <c r="I64" s="2" t="s">
        <v>58</v>
      </c>
      <c r="J64" s="2" t="s">
        <v>59</v>
      </c>
      <c r="K64" s="2" t="s">
        <v>130</v>
      </c>
      <c r="L64" s="2" t="s">
        <v>61</v>
      </c>
      <c r="M64" s="2" t="s">
        <v>131</v>
      </c>
      <c r="N64" s="2" t="s">
        <v>63</v>
      </c>
      <c r="O64" s="2" t="s">
        <v>132</v>
      </c>
      <c r="P64" s="12">
        <v>0</v>
      </c>
      <c r="Q64" s="2">
        <v>0</v>
      </c>
      <c r="R64" s="13"/>
      <c r="S64" s="13"/>
      <c r="T64" s="13"/>
      <c r="U64" s="13"/>
      <c r="V64" s="13"/>
      <c r="W64" s="13"/>
      <c r="X64" s="24">
        <v>4.57</v>
      </c>
      <c r="Y64" s="24">
        <f ca="1">IFERROR(__xludf.DUMMYFUNCTION("INDEX(IMPORTRANGE(""1y0FWgjbB0gVlqn-q5LMJbGIsqOrzru4yowQz67dz2yc"", ""'STC'!AM3:AM139""),MATCH(D64,IMPORTRANGE(""1y0FWgjbB0gVlqn-q5LMJbGIsqOrzru4yowQz67dz2yc"", ""'STC'!D3:D139""),0))"),19.17)</f>
        <v>19.170000000000002</v>
      </c>
      <c r="Z64" s="1"/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193</v>
      </c>
      <c r="E65" s="7" t="s">
        <v>38</v>
      </c>
      <c r="F65" s="9" t="s">
        <v>194</v>
      </c>
      <c r="G65" s="22" t="s">
        <v>56</v>
      </c>
      <c r="H65" s="22" t="s">
        <v>57</v>
      </c>
      <c r="I65" s="2" t="s">
        <v>58</v>
      </c>
      <c r="J65" s="2" t="s">
        <v>59</v>
      </c>
      <c r="K65" s="2" t="s">
        <v>130</v>
      </c>
      <c r="L65" s="2" t="s">
        <v>61</v>
      </c>
      <c r="M65" s="2" t="s">
        <v>131</v>
      </c>
      <c r="N65" s="2" t="s">
        <v>63</v>
      </c>
      <c r="O65" s="2" t="s">
        <v>132</v>
      </c>
      <c r="P65" s="12">
        <v>0</v>
      </c>
      <c r="Q65" s="2">
        <v>0</v>
      </c>
      <c r="R65" s="13"/>
      <c r="S65" s="13"/>
      <c r="T65" s="13"/>
      <c r="U65" s="13"/>
      <c r="V65" s="13"/>
      <c r="W65" s="13"/>
      <c r="X65" s="29">
        <v>0</v>
      </c>
      <c r="Y65" s="29">
        <f ca="1">IFERROR(__xludf.DUMMYFUNCTION("INDEX(IMPORTRANGE(""1y0FWgjbB0gVlqn-q5LMJbGIsqOrzru4yowQz67dz2yc"", ""'STC'!AM3:AM139""),MATCH(D65,IMPORTRANGE(""1y0FWgjbB0gVlqn-q5LMJbGIsqOrzru4yowQz67dz2yc"", ""'STC'!D3:D139""),0))"),0)</f>
        <v>0</v>
      </c>
      <c r="Z65" s="1"/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195</v>
      </c>
      <c r="E66" s="7" t="s">
        <v>38</v>
      </c>
      <c r="F66" s="9" t="s">
        <v>196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30">
        <v>0</v>
      </c>
      <c r="Q66" s="2">
        <v>0</v>
      </c>
      <c r="R66" s="13"/>
      <c r="S66" s="13"/>
      <c r="T66" s="13"/>
      <c r="U66" s="13"/>
      <c r="V66" s="13"/>
      <c r="W66" s="13"/>
      <c r="X66" s="29">
        <v>1</v>
      </c>
      <c r="Y66" s="2">
        <f ca="1">IFERROR(__xludf.DUMMYFUNCTION("INDEX(IMPORTRANGE(""1y0FWgjbB0gVlqn-q5LMJbGIsqOrzru4yowQz67dz2yc"", ""'STC'!AM3:AM139""),MATCH(D66,IMPORTRANGE(""1y0FWgjbB0gVlqn-q5LMJbGIsqOrzru4yowQz67dz2yc"", ""'STC'!D3:D139""),0))"),0)</f>
        <v>0</v>
      </c>
      <c r="Z66" s="1"/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36</v>
      </c>
      <c r="D67" s="7" t="s">
        <v>197</v>
      </c>
      <c r="E67" s="7" t="s">
        <v>38</v>
      </c>
      <c r="F67" s="9" t="s">
        <v>198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12">
        <f>P64+P65</f>
        <v>0</v>
      </c>
      <c r="Q67" s="2">
        <v>0</v>
      </c>
      <c r="R67" s="13">
        <v>6</v>
      </c>
      <c r="S67" s="13">
        <v>3</v>
      </c>
      <c r="T67" s="13">
        <v>6</v>
      </c>
      <c r="U67" s="13">
        <v>3</v>
      </c>
      <c r="V67" s="13">
        <v>6</v>
      </c>
      <c r="W67" s="13">
        <v>18</v>
      </c>
      <c r="X67" s="24">
        <f>X64+X65</f>
        <v>4.57</v>
      </c>
      <c r="Y67" s="24">
        <f ca="1">IFERROR(__xludf.DUMMYFUNCTION("INDEX(IMPORTRANGE(""1y0FWgjbB0gVlqn-q5LMJbGIsqOrzru4yowQz67dz2yc"", ""'STC'!AM3:AM139""),MATCH(D67,IMPORTRANGE(""1y0FWgjbB0gVlqn-q5LMJbGIsqOrzru4yowQz67dz2yc"", ""'STC'!D3:D139""),0))"),19.17)</f>
        <v>19.170000000000002</v>
      </c>
      <c r="Z67" s="1"/>
      <c r="AA67" s="1"/>
      <c r="AB67" s="1"/>
      <c r="AC67" s="1"/>
    </row>
    <row r="68" spans="1:29">
      <c r="A68" s="7" t="s">
        <v>199</v>
      </c>
      <c r="B68" s="7" t="s">
        <v>200</v>
      </c>
      <c r="C68" s="1" t="s">
        <v>36</v>
      </c>
      <c r="D68" s="7" t="s">
        <v>201</v>
      </c>
      <c r="E68" s="7" t="s">
        <v>38</v>
      </c>
      <c r="F68" s="9" t="s">
        <v>202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2">
        <v>0</v>
      </c>
      <c r="Q68" s="12">
        <v>0</v>
      </c>
      <c r="R68" s="1">
        <v>1</v>
      </c>
      <c r="S68" s="1">
        <v>2</v>
      </c>
      <c r="T68" s="1">
        <v>2</v>
      </c>
      <c r="U68" s="1">
        <v>3</v>
      </c>
      <c r="V68" s="1">
        <v>4</v>
      </c>
      <c r="W68" s="1">
        <v>4</v>
      </c>
      <c r="X68" s="2">
        <v>0</v>
      </c>
      <c r="Y68" s="2">
        <f ca="1">IFERROR(__xludf.DUMMYFUNCTION("INDEX(IMPORTRANGE(""1y0FWgjbB0gVlqn-q5LMJbGIsqOrzru4yowQz67dz2yc"", ""'STC'!AM3:AM139""),MATCH(D68,IMPORTRANGE(""1y0FWgjbB0gVlqn-q5LMJbGIsqOrzru4yowQz67dz2yc"", ""'STC'!D3:D139""),0))"),0)</f>
        <v>0</v>
      </c>
      <c r="Z68" s="1"/>
      <c r="AA68" s="1"/>
      <c r="AB68" s="1"/>
      <c r="AC68" s="1"/>
    </row>
    <row r="69" spans="1:29">
      <c r="A69" s="7" t="s">
        <v>199</v>
      </c>
      <c r="B69" s="7" t="s">
        <v>200</v>
      </c>
      <c r="C69" s="1" t="s">
        <v>30</v>
      </c>
      <c r="D69" s="7" t="s">
        <v>203</v>
      </c>
      <c r="E69" s="7" t="s">
        <v>38</v>
      </c>
      <c r="F69" s="9" t="s">
        <v>204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254"/>
      <c r="Q69" s="254"/>
      <c r="R69" s="13"/>
      <c r="S69" s="13"/>
      <c r="T69" s="13"/>
      <c r="U69" s="13"/>
      <c r="V69" s="13"/>
      <c r="W69" s="13"/>
      <c r="X69" s="2">
        <v>740.38</v>
      </c>
      <c r="Y69" s="2">
        <f ca="1">IFERROR(__xludf.DUMMYFUNCTION("INDEX(IMPORTRANGE(""1y0FWgjbB0gVlqn-q5LMJbGIsqOrzru4yowQz67dz2yc"", ""'STC'!AM3:AM139""),MATCH(D69,IMPORTRANGE(""1y0FWgjbB0gVlqn-q5LMJbGIsqOrzru4yowQz67dz2yc"", ""'STC'!D3:D139""),0))"),740.38)</f>
        <v>740.38</v>
      </c>
      <c r="Z69" s="1"/>
      <c r="AA69" s="1"/>
      <c r="AB69" s="1"/>
      <c r="AC69" s="1"/>
    </row>
    <row r="70" spans="1:29">
      <c r="A70" s="7" t="s">
        <v>199</v>
      </c>
      <c r="B70" s="7" t="s">
        <v>200</v>
      </c>
      <c r="C70" s="1" t="s">
        <v>30</v>
      </c>
      <c r="D70" s="7" t="s">
        <v>205</v>
      </c>
      <c r="E70" s="7" t="s">
        <v>38</v>
      </c>
      <c r="F70" s="9" t="s">
        <v>206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254"/>
      <c r="Q70" s="254"/>
      <c r="R70" s="13"/>
      <c r="S70" s="13"/>
      <c r="T70" s="13"/>
      <c r="U70" s="13"/>
      <c r="V70" s="13"/>
      <c r="W70" s="13"/>
      <c r="X70" s="2">
        <v>1870.34</v>
      </c>
      <c r="Y70" s="2">
        <f ca="1">IFERROR(__xludf.DUMMYFUNCTION("INDEX(IMPORTRANGE(""1y0FWgjbB0gVlqn-q5LMJbGIsqOrzru4yowQz67dz2yc"", ""'STC'!AM3:AM139""),MATCH(D70,IMPORTRANGE(""1y0FWgjbB0gVlqn-q5LMJbGIsqOrzru4yowQz67dz2yc"", ""'STC'!D3:D139""),0))"),5653.03)</f>
        <v>5653.03</v>
      </c>
      <c r="Z70" s="1"/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30</v>
      </c>
      <c r="D71" s="7" t="s">
        <v>207</v>
      </c>
      <c r="E71" s="7" t="s">
        <v>38</v>
      </c>
      <c r="F71" s="9" t="s">
        <v>208</v>
      </c>
      <c r="G71" s="22" t="s">
        <v>56</v>
      </c>
      <c r="H71" s="22" t="s">
        <v>57</v>
      </c>
      <c r="I71" s="2" t="s">
        <v>58</v>
      </c>
      <c r="J71" s="2" t="s">
        <v>59</v>
      </c>
      <c r="K71" s="2" t="s">
        <v>130</v>
      </c>
      <c r="L71" s="2" t="s">
        <v>61</v>
      </c>
      <c r="M71" s="2" t="s">
        <v>131</v>
      </c>
      <c r="N71" s="2" t="s">
        <v>63</v>
      </c>
      <c r="O71" s="2" t="s">
        <v>132</v>
      </c>
      <c r="P71" s="254"/>
      <c r="Q71" s="254"/>
      <c r="R71" s="13"/>
      <c r="S71" s="13"/>
      <c r="T71" s="13"/>
      <c r="U71" s="13"/>
      <c r="V71" s="13"/>
      <c r="W71" s="13"/>
      <c r="X71" s="2">
        <v>0</v>
      </c>
      <c r="Y71" s="2">
        <f ca="1">IFERROR(__xludf.DUMMYFUNCTION("INDEX(IMPORTRANGE(""1y0FWgjbB0gVlqn-q5LMJbGIsqOrzru4yowQz67dz2yc"", ""'STC'!AM3:AM139""),MATCH(D71,IMPORTRANGE(""1y0FWgjbB0gVlqn-q5LMJbGIsqOrzru4yowQz67dz2yc"", ""'STC'!D3:D139""),0))"),0)</f>
        <v>0</v>
      </c>
      <c r="Z71" s="1"/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36</v>
      </c>
      <c r="D72" s="7" t="s">
        <v>209</v>
      </c>
      <c r="E72" s="7" t="s">
        <v>38</v>
      </c>
      <c r="F72" s="9" t="s">
        <v>210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30">
        <f>P69+P70+P71</f>
        <v>0</v>
      </c>
      <c r="Q72" s="2"/>
      <c r="R72" s="28">
        <v>1666</v>
      </c>
      <c r="S72" s="1">
        <v>833</v>
      </c>
      <c r="T72" s="28">
        <v>1666</v>
      </c>
      <c r="U72" s="1">
        <v>833</v>
      </c>
      <c r="V72" s="28">
        <v>1666</v>
      </c>
      <c r="W72" s="512">
        <v>4997.1400000000003</v>
      </c>
      <c r="X72" s="30">
        <f>X69+X70+X71</f>
        <v>2610.7199999999998</v>
      </c>
      <c r="Y72" s="30">
        <f ca="1">IFERROR(__xludf.DUMMYFUNCTION("INDEX(IMPORTRANGE(""1y0FWgjbB0gVlqn-q5LMJbGIsqOrzru4yowQz67dz2yc"", ""'STC'!AM3:AM139""),MATCH(D72,IMPORTRANGE(""1y0FWgjbB0gVlqn-q5LMJbGIsqOrzru4yowQz67dz2yc"", ""'STC'!D3:D139""),0))"),6393.41)</f>
        <v>6393.41</v>
      </c>
      <c r="Z72" s="1"/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155" t="s">
        <v>211</v>
      </c>
      <c r="E73" s="7" t="s">
        <v>38</v>
      </c>
      <c r="F73" s="9" t="s">
        <v>212</v>
      </c>
      <c r="G73" s="155" t="s">
        <v>213</v>
      </c>
      <c r="H73" s="156" t="s">
        <v>214</v>
      </c>
      <c r="I73" s="7" t="s">
        <v>215</v>
      </c>
      <c r="J73" s="181"/>
      <c r="K73" s="7" t="s">
        <v>216</v>
      </c>
      <c r="L73" s="181"/>
      <c r="M73" s="7" t="s">
        <v>217</v>
      </c>
      <c r="N73" s="1" t="s">
        <v>218</v>
      </c>
      <c r="O73" s="1" t="s">
        <v>218</v>
      </c>
      <c r="P73" s="36">
        <v>17147781.029999997</v>
      </c>
      <c r="Q73" s="36">
        <v>17147781.029999997</v>
      </c>
      <c r="R73" s="13"/>
      <c r="S73" s="13"/>
      <c r="T73" s="13"/>
      <c r="U73" s="13"/>
      <c r="V73" s="13"/>
      <c r="W73" s="13"/>
      <c r="X73" s="36">
        <v>17147781.029999997</v>
      </c>
      <c r="Y73" s="178" t="str">
        <f ca="1">IFERROR(__xludf.DUMMYFUNCTION("INDEX(IMPORTRANGE(""1y0FWgjbB0gVlqn-q5LMJbGIsqOrzru4yowQz67dz2yc"", ""'STC'!AM3:AM139""),MATCH(D73,IMPORTRANGE(""1y0FWgjbB0gVlqn-q5LMJbGIsqOrzru4yowQz67dz2yc"", ""'STC'!D3:D139""),0))"),"")</f>
        <v/>
      </c>
      <c r="Z73" s="1"/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155" t="s">
        <v>219</v>
      </c>
      <c r="E74" s="7" t="s">
        <v>38</v>
      </c>
      <c r="F74" s="9" t="s">
        <v>220</v>
      </c>
      <c r="G74" s="155" t="s">
        <v>213</v>
      </c>
      <c r="H74" s="156" t="s">
        <v>214</v>
      </c>
      <c r="I74" s="7" t="s">
        <v>215</v>
      </c>
      <c r="J74" s="181"/>
      <c r="K74" s="7" t="s">
        <v>216</v>
      </c>
      <c r="L74" s="181"/>
      <c r="M74" s="7" t="s">
        <v>217</v>
      </c>
      <c r="N74" s="1" t="s">
        <v>218</v>
      </c>
      <c r="O74" s="1" t="s">
        <v>218</v>
      </c>
      <c r="P74" s="36">
        <v>1843794.19</v>
      </c>
      <c r="Q74" s="36">
        <v>1843794.19</v>
      </c>
      <c r="R74" s="13"/>
      <c r="S74" s="13"/>
      <c r="T74" s="13"/>
      <c r="U74" s="13"/>
      <c r="V74" s="13"/>
      <c r="W74" s="13"/>
      <c r="X74" s="36">
        <v>1843794.19</v>
      </c>
      <c r="Y74" s="178" t="str">
        <f ca="1">IFERROR(__xludf.DUMMYFUNCTION("INDEX(IMPORTRANGE(""1y0FWgjbB0gVlqn-q5LMJbGIsqOrzru4yowQz67dz2yc"", ""'STC'!AM3:AM139""),MATCH(D74,IMPORTRANGE(""1y0FWgjbB0gVlqn-q5LMJbGIsqOrzru4yowQz67dz2yc"", ""'STC'!D3:D139""),0))"),"")</f>
        <v/>
      </c>
      <c r="Z74" s="1"/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221</v>
      </c>
      <c r="E75" s="7" t="s">
        <v>38</v>
      </c>
      <c r="F75" s="9" t="s">
        <v>222</v>
      </c>
      <c r="G75" s="155" t="s">
        <v>213</v>
      </c>
      <c r="H75" s="156" t="s">
        <v>214</v>
      </c>
      <c r="I75" s="7" t="s">
        <v>215</v>
      </c>
      <c r="J75" s="181"/>
      <c r="K75" s="7" t="s">
        <v>216</v>
      </c>
      <c r="L75" s="181"/>
      <c r="M75" s="7" t="s">
        <v>217</v>
      </c>
      <c r="N75" s="1" t="s">
        <v>218</v>
      </c>
      <c r="O75" s="1" t="s">
        <v>218</v>
      </c>
      <c r="P75" s="15">
        <f t="shared" ref="P75:Q75" si="13">P74/P73</f>
        <v>0.10752377737820928</v>
      </c>
      <c r="Q75" s="15">
        <f t="shared" si="13"/>
        <v>0.10752377737820928</v>
      </c>
      <c r="R75" s="20">
        <v>0.1183</v>
      </c>
      <c r="S75" s="1"/>
      <c r="T75" s="20">
        <v>0.12920000000000001</v>
      </c>
      <c r="U75" s="1"/>
      <c r="V75" s="37">
        <v>0.14000000000000001</v>
      </c>
      <c r="W75" s="37">
        <v>0.14000000000000001</v>
      </c>
      <c r="X75" s="15">
        <f>X74/X73</f>
        <v>0.10752377737820928</v>
      </c>
      <c r="Y75" s="179" t="str">
        <f ca="1">IFERROR(__xludf.DUMMYFUNCTION("INDEX(IMPORTRANGE(""1y0FWgjbB0gVlqn-q5LMJbGIsqOrzru4yowQz67dz2yc"", ""'STC'!AM3:AM139""),MATCH(D75,IMPORTRANGE(""1y0FWgjbB0gVlqn-q5LMJbGIsqOrzru4yowQz67dz2yc"", ""'STC'!D3:D139""),0))"),"")</f>
        <v/>
      </c>
      <c r="Z75" s="1"/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223</v>
      </c>
      <c r="E76" s="7" t="s">
        <v>38</v>
      </c>
      <c r="F76" s="9" t="s">
        <v>224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12">
        <v>19</v>
      </c>
      <c r="Q76" s="2">
        <v>19</v>
      </c>
      <c r="R76" s="1"/>
      <c r="S76" s="1"/>
      <c r="T76" s="1"/>
      <c r="U76" s="1"/>
      <c r="V76" s="1"/>
      <c r="W76" s="1"/>
      <c r="X76" s="2">
        <v>0</v>
      </c>
      <c r="Y76" s="2">
        <f ca="1">IFERROR(__xludf.DUMMYFUNCTION("INDEX(IMPORTRANGE(""1y0FWgjbB0gVlqn-q5LMJbGIsqOrzru4yowQz67dz2yc"", ""'STC'!AM3:AM139""),MATCH(D76,IMPORTRANGE(""1y0FWgjbB0gVlqn-q5LMJbGIsqOrzru4yowQz67dz2yc"", ""'STC'!D3:D139""),0))"),4)</f>
        <v>4</v>
      </c>
      <c r="Z76" s="1"/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155" t="s">
        <v>225</v>
      </c>
      <c r="E77" s="7" t="s">
        <v>38</v>
      </c>
      <c r="F77" s="9" t="s">
        <v>182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12">
        <v>6</v>
      </c>
      <c r="Q77" s="2">
        <v>6</v>
      </c>
      <c r="R77" s="1"/>
      <c r="S77" s="1"/>
      <c r="T77" s="1"/>
      <c r="U77" s="1"/>
      <c r="V77" s="1"/>
      <c r="W77" s="1"/>
      <c r="X77" s="2">
        <v>0</v>
      </c>
      <c r="Y77" s="2">
        <f ca="1">IFERROR(__xludf.DUMMYFUNCTION("INDEX(IMPORTRANGE(""1y0FWgjbB0gVlqn-q5LMJbGIsqOrzru4yowQz67dz2yc"", ""'STC'!AM3:AM139""),MATCH(D77,IMPORTRANGE(""1y0FWgjbB0gVlqn-q5LMJbGIsqOrzru4yowQz67dz2yc"", ""'STC'!D3:D139""),0))"),0)</f>
        <v>0</v>
      </c>
      <c r="Z77" s="1"/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155" t="s">
        <v>226</v>
      </c>
      <c r="E78" s="7" t="s">
        <v>38</v>
      </c>
      <c r="F78" s="9" t="s">
        <v>227</v>
      </c>
      <c r="G78" s="22" t="s">
        <v>56</v>
      </c>
      <c r="H78" s="22" t="s">
        <v>57</v>
      </c>
      <c r="I78" s="2" t="s">
        <v>58</v>
      </c>
      <c r="J78" s="2" t="s">
        <v>59</v>
      </c>
      <c r="K78" s="2" t="s">
        <v>130</v>
      </c>
      <c r="L78" s="2" t="s">
        <v>61</v>
      </c>
      <c r="M78" s="2" t="s">
        <v>131</v>
      </c>
      <c r="N78" s="2" t="s">
        <v>63</v>
      </c>
      <c r="O78" s="2" t="s">
        <v>132</v>
      </c>
      <c r="P78" s="12">
        <f t="shared" ref="P78:Q78" si="14">P76+P77</f>
        <v>25</v>
      </c>
      <c r="Q78" s="2">
        <f t="shared" si="14"/>
        <v>25</v>
      </c>
      <c r="R78" s="13">
        <v>9</v>
      </c>
      <c r="S78" s="13">
        <v>5</v>
      </c>
      <c r="T78" s="13">
        <v>9</v>
      </c>
      <c r="U78" s="13">
        <v>5</v>
      </c>
      <c r="V78" s="13">
        <v>9</v>
      </c>
      <c r="W78" s="13">
        <v>28</v>
      </c>
      <c r="X78" s="2">
        <f>SUM(X76:X77)</f>
        <v>0</v>
      </c>
      <c r="Y78" s="2">
        <f ca="1">IFERROR(__xludf.DUMMYFUNCTION("INDEX(IMPORTRANGE(""1y0FWgjbB0gVlqn-q5LMJbGIsqOrzru4yowQz67dz2yc"", ""'STC'!AM3:AM139""),MATCH(D78,IMPORTRANGE(""1y0FWgjbB0gVlqn-q5LMJbGIsqOrzru4yowQz67dz2yc"", ""'STC'!D3:D139""),0))"),4)</f>
        <v>4</v>
      </c>
      <c r="Z78" s="1"/>
      <c r="AA78" s="1"/>
      <c r="AB78" s="1"/>
      <c r="AC78" s="1"/>
    </row>
    <row r="79" spans="1:29">
      <c r="A79" s="7" t="s">
        <v>199</v>
      </c>
      <c r="B79" s="7" t="s">
        <v>228</v>
      </c>
      <c r="C79" s="1" t="s">
        <v>30</v>
      </c>
      <c r="D79" s="7" t="s">
        <v>229</v>
      </c>
      <c r="E79" s="7" t="s">
        <v>38</v>
      </c>
      <c r="F79" s="9" t="s">
        <v>230</v>
      </c>
      <c r="G79" s="22" t="s">
        <v>231</v>
      </c>
      <c r="H79" s="22" t="s">
        <v>232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63</v>
      </c>
      <c r="P79" s="12">
        <v>51</v>
      </c>
      <c r="Q79" s="2">
        <v>77</v>
      </c>
      <c r="R79" s="13"/>
      <c r="S79" s="13"/>
      <c r="T79" s="13"/>
      <c r="U79" s="13"/>
      <c r="V79" s="13"/>
      <c r="W79" s="13"/>
      <c r="X79" s="2">
        <v>40</v>
      </c>
      <c r="Y79" s="2">
        <f ca="1">IFERROR(__xludf.DUMMYFUNCTION("INDEX(IMPORTRANGE(""1y0FWgjbB0gVlqn-q5LMJbGIsqOrzru4yowQz67dz2yc"", ""'STC'!AM3:AM139""),MATCH(D79,IMPORTRANGE(""1y0FWgjbB0gVlqn-q5LMJbGIsqOrzru4yowQz67dz2yc"", ""'STC'!D3:D139""),0))"),1564)</f>
        <v>1564</v>
      </c>
      <c r="Z79" s="1"/>
      <c r="AA79" s="1"/>
      <c r="AB79" s="1"/>
      <c r="AC79" s="1"/>
    </row>
    <row r="80" spans="1:29">
      <c r="A80" s="7" t="s">
        <v>199</v>
      </c>
      <c r="B80" s="7" t="s">
        <v>228</v>
      </c>
      <c r="C80" s="1" t="s">
        <v>30</v>
      </c>
      <c r="D80" s="7" t="s">
        <v>233</v>
      </c>
      <c r="E80" s="7" t="s">
        <v>38</v>
      </c>
      <c r="F80" s="9" t="s">
        <v>234</v>
      </c>
      <c r="G80" s="22" t="s">
        <v>231</v>
      </c>
      <c r="H80" s="22" t="s">
        <v>232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63</v>
      </c>
      <c r="P80" s="12">
        <v>5</v>
      </c>
      <c r="Q80" s="2">
        <v>7</v>
      </c>
      <c r="R80" s="13"/>
      <c r="S80" s="13"/>
      <c r="T80" s="13"/>
      <c r="U80" s="13"/>
      <c r="V80" s="13"/>
      <c r="W80" s="13"/>
      <c r="X80" s="2">
        <v>3</v>
      </c>
      <c r="Y80" s="2">
        <f ca="1">IFERROR(__xludf.DUMMYFUNCTION("INDEX(IMPORTRANGE(""1y0FWgjbB0gVlqn-q5LMJbGIsqOrzru4yowQz67dz2yc"", ""'STC'!AM3:AM139""),MATCH(D80,IMPORTRANGE(""1y0FWgjbB0gVlqn-q5LMJbGIsqOrzru4yowQz67dz2yc"", ""'STC'!D3:D139""),0))"),131)</f>
        <v>131</v>
      </c>
      <c r="Z80" s="1"/>
      <c r="AA80" s="1"/>
      <c r="AB80" s="1"/>
      <c r="AC80" s="1"/>
    </row>
    <row r="81" spans="1:29">
      <c r="A81" s="7" t="s">
        <v>199</v>
      </c>
      <c r="B81" s="7" t="s">
        <v>228</v>
      </c>
      <c r="C81" s="1" t="s">
        <v>30</v>
      </c>
      <c r="D81" s="7" t="s">
        <v>235</v>
      </c>
      <c r="E81" s="7" t="s">
        <v>38</v>
      </c>
      <c r="F81" s="9" t="s">
        <v>236</v>
      </c>
      <c r="G81" s="22" t="s">
        <v>231</v>
      </c>
      <c r="H81" s="22" t="s">
        <v>232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63</v>
      </c>
      <c r="P81" s="12">
        <v>1650</v>
      </c>
      <c r="Q81" s="12">
        <v>2853</v>
      </c>
      <c r="R81" s="13"/>
      <c r="S81" s="13"/>
      <c r="T81" s="13"/>
      <c r="U81" s="13"/>
      <c r="V81" s="13"/>
      <c r="W81" s="13"/>
      <c r="X81" s="12">
        <v>1738</v>
      </c>
      <c r="Y81" s="12">
        <f ca="1">IFERROR(__xludf.DUMMYFUNCTION("INDEX(IMPORTRANGE(""1y0FWgjbB0gVlqn-q5LMJbGIsqOrzru4yowQz67dz2yc"", ""'STC'!AM3:AM139""),MATCH(D81,IMPORTRANGE(""1y0FWgjbB0gVlqn-q5LMJbGIsqOrzru4yowQz67dz2yc"", ""'STC'!D3:D139""),0))"),1740)</f>
        <v>1740</v>
      </c>
      <c r="Z81" s="1"/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237</v>
      </c>
      <c r="E82" s="7" t="s">
        <v>38</v>
      </c>
      <c r="F82" s="9" t="s">
        <v>238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65</v>
      </c>
      <c r="Q82" s="12">
        <v>139</v>
      </c>
      <c r="R82" s="13"/>
      <c r="S82" s="13"/>
      <c r="T82" s="13"/>
      <c r="U82" s="13"/>
      <c r="V82" s="13"/>
      <c r="W82" s="13"/>
      <c r="X82" s="12">
        <v>88</v>
      </c>
      <c r="Y82" s="12">
        <f ca="1">IFERROR(__xludf.DUMMYFUNCTION("INDEX(IMPORTRANGE(""1y0FWgjbB0gVlqn-q5LMJbGIsqOrzru4yowQz67dz2yc"", ""'STC'!AM3:AM139""),MATCH(D82,IMPORTRANGE(""1y0FWgjbB0gVlqn-q5LMJbGIsqOrzru4yowQz67dz2yc"", ""'STC'!D3:D139""),0))"),210)</f>
        <v>210</v>
      </c>
      <c r="Z82" s="1"/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239</v>
      </c>
      <c r="E83" s="7" t="s">
        <v>38</v>
      </c>
      <c r="F83" s="9" t="s">
        <v>240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173</v>
      </c>
      <c r="Q83" s="12">
        <v>313</v>
      </c>
      <c r="R83" s="13"/>
      <c r="S83" s="13"/>
      <c r="T83" s="13"/>
      <c r="U83" s="13"/>
      <c r="V83" s="13"/>
      <c r="W83" s="13"/>
      <c r="X83" s="12">
        <v>413</v>
      </c>
      <c r="Y83" s="12">
        <f ca="1">IFERROR(__xludf.DUMMYFUNCTION("INDEX(IMPORTRANGE(""1y0FWgjbB0gVlqn-q5LMJbGIsqOrzru4yowQz67dz2yc"", ""'STC'!AM3:AM139""),MATCH(D83,IMPORTRANGE(""1y0FWgjbB0gVlqn-q5LMJbGIsqOrzru4yowQz67dz2yc"", ""'STC'!D3:D139""),0))"),852)</f>
        <v>852</v>
      </c>
      <c r="Z83" s="1"/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36</v>
      </c>
      <c r="D84" s="7" t="s">
        <v>241</v>
      </c>
      <c r="E84" s="7" t="s">
        <v>38</v>
      </c>
      <c r="F84" s="2" t="s">
        <v>242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1944</v>
      </c>
      <c r="Q84" s="12">
        <v>3389</v>
      </c>
      <c r="R84" s="1">
        <v>3009.3</v>
      </c>
      <c r="S84" s="1">
        <v>1508.4</v>
      </c>
      <c r="T84" s="1">
        <v>2629.7</v>
      </c>
      <c r="U84" s="1">
        <v>1290.5999999999999</v>
      </c>
      <c r="V84" s="1">
        <v>2250</v>
      </c>
      <c r="W84" s="1">
        <v>2250</v>
      </c>
      <c r="X84" s="12">
        <v>2282</v>
      </c>
      <c r="Y84" s="12">
        <f ca="1">IFERROR(__xludf.DUMMYFUNCTION("INDEX(IMPORTRANGE(""1y0FWgjbB0gVlqn-q5LMJbGIsqOrzru4yowQz67dz2yc"", ""'STC'!AM3:AM139""),MATCH(D84,IMPORTRANGE(""1y0FWgjbB0gVlqn-q5LMJbGIsqOrzru4yowQz67dz2yc"", ""'STC'!D3:D139""),0))"),4497)</f>
        <v>4497</v>
      </c>
      <c r="Z84" s="1"/>
      <c r="AA84" s="1"/>
      <c r="AB84" s="1"/>
      <c r="AC84" s="1"/>
    </row>
    <row r="85" spans="1:29">
      <c r="A85" s="7" t="s">
        <v>243</v>
      </c>
      <c r="B85" s="7" t="s">
        <v>244</v>
      </c>
      <c r="C85" s="1" t="s">
        <v>36</v>
      </c>
      <c r="D85" s="7" t="s">
        <v>245</v>
      </c>
      <c r="E85" s="7" t="s">
        <v>38</v>
      </c>
      <c r="F85" s="9" t="s">
        <v>246</v>
      </c>
      <c r="G85" s="22" t="s">
        <v>56</v>
      </c>
      <c r="H85" s="22" t="s">
        <v>57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132</v>
      </c>
      <c r="P85" s="12">
        <v>1</v>
      </c>
      <c r="Q85" s="12">
        <v>1</v>
      </c>
      <c r="R85" s="1">
        <v>1</v>
      </c>
      <c r="S85" s="1">
        <v>2</v>
      </c>
      <c r="T85" s="1">
        <v>3</v>
      </c>
      <c r="U85" s="1">
        <v>3</v>
      </c>
      <c r="V85" s="1">
        <v>4</v>
      </c>
      <c r="W85" s="1">
        <v>4</v>
      </c>
      <c r="X85" s="2">
        <v>8</v>
      </c>
      <c r="Y85" s="2">
        <f ca="1">IFERROR(__xludf.DUMMYFUNCTION("INDEX(IMPORTRANGE(""1y0FWgjbB0gVlqn-q5LMJbGIsqOrzru4yowQz67dz2yc"", ""'STC'!AM3:AM139""),MATCH(D85,IMPORTRANGE(""1y0FWgjbB0gVlqn-q5LMJbGIsqOrzru4yowQz67dz2yc"", ""'STC'!D3:D139""),0))"),9)</f>
        <v>9</v>
      </c>
      <c r="Z85" s="1"/>
      <c r="AA85" s="1"/>
      <c r="AB85" s="1"/>
      <c r="AC85" s="1"/>
    </row>
    <row r="86" spans="1:29">
      <c r="A86" s="7" t="s">
        <v>243</v>
      </c>
      <c r="B86" s="7" t="s">
        <v>247</v>
      </c>
      <c r="C86" s="1" t="s">
        <v>36</v>
      </c>
      <c r="D86" s="7" t="s">
        <v>248</v>
      </c>
      <c r="E86" s="7" t="s">
        <v>38</v>
      </c>
      <c r="F86" s="9" t="s">
        <v>249</v>
      </c>
      <c r="G86" s="10">
        <v>44469</v>
      </c>
      <c r="H86" s="10">
        <v>44469</v>
      </c>
      <c r="I86" s="11">
        <v>44651</v>
      </c>
      <c r="J86" s="11">
        <v>44834</v>
      </c>
      <c r="K86" s="11">
        <v>45016</v>
      </c>
      <c r="L86" s="11">
        <v>45199</v>
      </c>
      <c r="M86" s="11">
        <v>45382</v>
      </c>
      <c r="N86" s="11">
        <v>45565</v>
      </c>
      <c r="O86" s="11">
        <v>45565</v>
      </c>
      <c r="P86" s="12">
        <v>2</v>
      </c>
      <c r="Q86" s="12">
        <v>2</v>
      </c>
      <c r="R86" s="156">
        <v>2</v>
      </c>
      <c r="S86" s="156">
        <v>2</v>
      </c>
      <c r="T86" s="156">
        <v>3</v>
      </c>
      <c r="U86" s="156">
        <v>3</v>
      </c>
      <c r="V86" s="156">
        <v>4</v>
      </c>
      <c r="W86" s="1">
        <v>4</v>
      </c>
      <c r="X86" s="2">
        <v>2</v>
      </c>
      <c r="Y86" s="2">
        <f ca="1">IFERROR(__xludf.DUMMYFUNCTION("INDEX(IMPORTRANGE(""1y0FWgjbB0gVlqn-q5LMJbGIsqOrzru4yowQz67dz2yc"", ""'STC'!AM3:AM139""),MATCH(D86,IMPORTRANGE(""1y0FWgjbB0gVlqn-q5LMJbGIsqOrzru4yowQz67dz2yc"", ""'STC'!D3:D139""),0))"),2)</f>
        <v>2</v>
      </c>
      <c r="Z86" s="1"/>
      <c r="AA86" s="1"/>
      <c r="AB86" s="1"/>
      <c r="AC86" s="1"/>
    </row>
    <row r="87" spans="1:29">
      <c r="A87" s="7" t="s">
        <v>243</v>
      </c>
      <c r="B87" s="7" t="s">
        <v>250</v>
      </c>
      <c r="C87" s="1" t="s">
        <v>36</v>
      </c>
      <c r="D87" s="7" t="s">
        <v>251</v>
      </c>
      <c r="E87" s="7" t="s">
        <v>252</v>
      </c>
      <c r="F87" s="9" t="s">
        <v>253</v>
      </c>
      <c r="G87" s="10">
        <v>44469</v>
      </c>
      <c r="H87" s="10">
        <v>44469</v>
      </c>
      <c r="I87" s="11" t="s">
        <v>254</v>
      </c>
      <c r="J87" s="11">
        <v>44713</v>
      </c>
      <c r="K87" s="11" t="s">
        <v>255</v>
      </c>
      <c r="L87" s="11">
        <v>45078</v>
      </c>
      <c r="M87" s="11" t="s">
        <v>256</v>
      </c>
      <c r="N87" s="11">
        <v>45444</v>
      </c>
      <c r="O87" s="11">
        <v>45444</v>
      </c>
      <c r="P87" s="12">
        <v>100</v>
      </c>
      <c r="Q87" s="12">
        <v>100</v>
      </c>
      <c r="R87" s="1">
        <v>100</v>
      </c>
      <c r="S87" s="1">
        <v>100</v>
      </c>
      <c r="T87" s="1">
        <v>100</v>
      </c>
      <c r="U87" s="1">
        <v>100</v>
      </c>
      <c r="V87" s="1">
        <v>100</v>
      </c>
      <c r="W87" s="1">
        <v>100</v>
      </c>
      <c r="X87" s="2">
        <v>100</v>
      </c>
      <c r="Y87" s="2">
        <f ca="1">IFERROR(__xludf.DUMMYFUNCTION("INDEX(IMPORTRANGE(""1y0FWgjbB0gVlqn-q5LMJbGIsqOrzru4yowQz67dz2yc"", ""'STC'!AM3:AM139""),MATCH(D87,IMPORTRANGE(""1y0FWgjbB0gVlqn-q5LMJbGIsqOrzru4yowQz67dz2yc"", ""'STC'!D3:D139""),0))"),96.24)</f>
        <v>96.24</v>
      </c>
      <c r="Z87" s="1"/>
      <c r="AA87" s="1"/>
      <c r="AB87" s="1"/>
      <c r="AC87" s="1"/>
    </row>
    <row r="88" spans="1:29">
      <c r="A88" s="7" t="s">
        <v>243</v>
      </c>
      <c r="B88" s="7" t="s">
        <v>257</v>
      </c>
      <c r="C88" s="1" t="s">
        <v>36</v>
      </c>
      <c r="D88" s="7" t="s">
        <v>258</v>
      </c>
      <c r="E88" s="7" t="s">
        <v>38</v>
      </c>
      <c r="F88" s="9" t="s">
        <v>259</v>
      </c>
      <c r="G88" s="10">
        <v>44469</v>
      </c>
      <c r="H88" s="10">
        <v>44469</v>
      </c>
      <c r="I88" s="11">
        <v>44651</v>
      </c>
      <c r="J88" s="11">
        <v>44834</v>
      </c>
      <c r="K88" s="11">
        <v>45016</v>
      </c>
      <c r="L88" s="11">
        <v>45199</v>
      </c>
      <c r="M88" s="11">
        <v>45382</v>
      </c>
      <c r="N88" s="11">
        <v>45565</v>
      </c>
      <c r="O88" s="11">
        <v>45565</v>
      </c>
      <c r="P88" s="12">
        <v>0</v>
      </c>
      <c r="Q88" s="12">
        <v>0</v>
      </c>
      <c r="R88" s="1">
        <v>4</v>
      </c>
      <c r="S88" s="1">
        <v>4</v>
      </c>
      <c r="T88" s="1">
        <v>4</v>
      </c>
      <c r="U88" s="1">
        <v>4</v>
      </c>
      <c r="V88" s="1">
        <v>4</v>
      </c>
      <c r="W88" s="1">
        <v>4</v>
      </c>
      <c r="X88" s="2">
        <v>0</v>
      </c>
      <c r="Y88" s="2">
        <f ca="1">IFERROR(__xludf.DUMMYFUNCTION("INDEX(IMPORTRANGE(""1y0FWgjbB0gVlqn-q5LMJbGIsqOrzru4yowQz67dz2yc"", ""'STC'!AM3:AM139""),MATCH(D88,IMPORTRANGE(""1y0FWgjbB0gVlqn-q5LMJbGIsqOrzru4yowQz67dz2yc"", ""'STC'!D3:D139""),0))"),0)</f>
        <v>0</v>
      </c>
      <c r="Z88" s="1"/>
      <c r="AA88" s="1"/>
      <c r="AB88" s="1"/>
      <c r="AC88" s="1"/>
    </row>
    <row r="89" spans="1:29">
      <c r="A89" s="7" t="s">
        <v>243</v>
      </c>
      <c r="B89" s="7" t="s">
        <v>260</v>
      </c>
      <c r="C89" s="1" t="s">
        <v>30</v>
      </c>
      <c r="D89" s="7" t="s">
        <v>261</v>
      </c>
      <c r="E89" s="7" t="s">
        <v>38</v>
      </c>
      <c r="F89" s="9" t="s">
        <v>262</v>
      </c>
      <c r="G89" s="10">
        <v>44469</v>
      </c>
      <c r="H89" s="157"/>
      <c r="I89" s="11">
        <v>44651</v>
      </c>
      <c r="J89" s="181"/>
      <c r="K89" s="11">
        <v>45016</v>
      </c>
      <c r="L89" s="181"/>
      <c r="M89" s="11">
        <v>45382</v>
      </c>
      <c r="N89" s="181"/>
      <c r="O89" s="11">
        <v>45565</v>
      </c>
      <c r="P89" s="254"/>
      <c r="Q89" s="254"/>
      <c r="R89" s="13"/>
      <c r="S89" s="13"/>
      <c r="T89" s="13"/>
      <c r="U89" s="13"/>
      <c r="V89" s="13"/>
      <c r="W89" s="13"/>
      <c r="X89" s="2">
        <v>2</v>
      </c>
      <c r="Y89" s="2">
        <f ca="1">IFERROR(__xludf.DUMMYFUNCTION("INDEX(IMPORTRANGE(""1y0FWgjbB0gVlqn-q5LMJbGIsqOrzru4yowQz67dz2yc"", ""'STC'!AM3:AM139""),MATCH(D89,IMPORTRANGE(""1y0FWgjbB0gVlqn-q5LMJbGIsqOrzru4yowQz67dz2yc"", ""'STC'!D3:D139""),0))"),1)</f>
        <v>1</v>
      </c>
      <c r="Z89" s="1"/>
      <c r="AA89" s="1"/>
      <c r="AB89" s="1"/>
      <c r="AC89" s="1"/>
    </row>
    <row r="90" spans="1:29">
      <c r="A90" s="7" t="s">
        <v>243</v>
      </c>
      <c r="B90" s="7" t="s">
        <v>260</v>
      </c>
      <c r="C90" s="1" t="s">
        <v>30</v>
      </c>
      <c r="D90" s="7" t="s">
        <v>263</v>
      </c>
      <c r="E90" s="7" t="s">
        <v>38</v>
      </c>
      <c r="F90" s="9" t="s">
        <v>264</v>
      </c>
      <c r="G90" s="10">
        <v>44469</v>
      </c>
      <c r="H90" s="158"/>
      <c r="I90" s="11">
        <v>44651</v>
      </c>
      <c r="J90" s="181"/>
      <c r="K90" s="11">
        <v>45016</v>
      </c>
      <c r="L90" s="181"/>
      <c r="M90" s="11">
        <v>45382</v>
      </c>
      <c r="N90" s="181"/>
      <c r="O90" s="11">
        <v>45565</v>
      </c>
      <c r="P90" s="254"/>
      <c r="Q90" s="254"/>
      <c r="R90" s="13"/>
      <c r="S90" s="13"/>
      <c r="T90" s="13"/>
      <c r="U90" s="13"/>
      <c r="V90" s="13"/>
      <c r="W90" s="13"/>
      <c r="X90" s="2">
        <v>14</v>
      </c>
      <c r="Y90" s="2">
        <f ca="1">IFERROR(__xludf.DUMMYFUNCTION("INDEX(IMPORTRANGE(""1y0FWgjbB0gVlqn-q5LMJbGIsqOrzru4yowQz67dz2yc"", ""'STC'!AM3:AM139""),MATCH(D90,IMPORTRANGE(""1y0FWgjbB0gVlqn-q5LMJbGIsqOrzru4yowQz67dz2yc"", ""'STC'!D3:D139""),0))"),13)</f>
        <v>13</v>
      </c>
      <c r="Z90" s="1"/>
      <c r="AA90" s="1"/>
      <c r="AB90" s="1"/>
      <c r="AC90" s="1"/>
    </row>
    <row r="91" spans="1:29">
      <c r="A91" s="7" t="s">
        <v>243</v>
      </c>
      <c r="B91" s="7" t="s">
        <v>260</v>
      </c>
      <c r="C91" s="1" t="s">
        <v>30</v>
      </c>
      <c r="D91" s="7" t="s">
        <v>265</v>
      </c>
      <c r="E91" s="7" t="s">
        <v>38</v>
      </c>
      <c r="F91" s="9" t="s">
        <v>266</v>
      </c>
      <c r="G91" s="10">
        <v>44469</v>
      </c>
      <c r="H91" s="158"/>
      <c r="I91" s="11">
        <v>44651</v>
      </c>
      <c r="J91" s="181"/>
      <c r="K91" s="11">
        <v>45016</v>
      </c>
      <c r="L91" s="181"/>
      <c r="M91" s="11">
        <v>45382</v>
      </c>
      <c r="N91" s="181"/>
      <c r="O91" s="11">
        <v>45565</v>
      </c>
      <c r="P91" s="254"/>
      <c r="Q91" s="254"/>
      <c r="R91" s="13"/>
      <c r="S91" s="13"/>
      <c r="T91" s="13"/>
      <c r="U91" s="13"/>
      <c r="V91" s="13"/>
      <c r="W91" s="13"/>
      <c r="X91" s="2">
        <v>0</v>
      </c>
      <c r="Y91" s="2">
        <f ca="1">IFERROR(__xludf.DUMMYFUNCTION("INDEX(IMPORTRANGE(""1y0FWgjbB0gVlqn-q5LMJbGIsqOrzru4yowQz67dz2yc"", ""'STC'!AM3:AM139""),MATCH(D91,IMPORTRANGE(""1y0FWgjbB0gVlqn-q5LMJbGIsqOrzru4yowQz67dz2yc"", ""'STC'!D3:D139""),0))"),0)</f>
        <v>0</v>
      </c>
      <c r="Z91" s="1"/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267</v>
      </c>
      <c r="E92" s="7" t="s">
        <v>38</v>
      </c>
      <c r="F92" s="9" t="s">
        <v>268</v>
      </c>
      <c r="G92" s="10">
        <v>44469</v>
      </c>
      <c r="H92" s="158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254"/>
      <c r="Q92" s="254"/>
      <c r="R92" s="13"/>
      <c r="S92" s="13"/>
      <c r="T92" s="13"/>
      <c r="U92" s="13"/>
      <c r="V92" s="13"/>
      <c r="W92" s="13"/>
      <c r="X92" s="2">
        <v>0</v>
      </c>
      <c r="Y92" s="2">
        <f ca="1">IFERROR(__xludf.DUMMYFUNCTION("INDEX(IMPORTRANGE(""1y0FWgjbB0gVlqn-q5LMJbGIsqOrzru4yowQz67dz2yc"", ""'STC'!AM3:AM139""),MATCH(D92,IMPORTRANGE(""1y0FWgjbB0gVlqn-q5LMJbGIsqOrzru4yowQz67dz2yc"", ""'STC'!D3:D139""),0))"),0)</f>
        <v>0</v>
      </c>
      <c r="Z92" s="1"/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269</v>
      </c>
      <c r="E93" s="7" t="s">
        <v>38</v>
      </c>
      <c r="F93" s="9" t="s">
        <v>270</v>
      </c>
      <c r="G93" s="10">
        <v>44469</v>
      </c>
      <c r="H93" s="158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254"/>
      <c r="Q93" s="254"/>
      <c r="R93" s="13"/>
      <c r="S93" s="13"/>
      <c r="T93" s="13"/>
      <c r="U93" s="13"/>
      <c r="V93" s="13"/>
      <c r="W93" s="13"/>
      <c r="X93" s="2">
        <v>13</v>
      </c>
      <c r="Y93" s="2">
        <f ca="1">IFERROR(__xludf.DUMMYFUNCTION("INDEX(IMPORTRANGE(""1y0FWgjbB0gVlqn-q5LMJbGIsqOrzru4yowQz67dz2yc"", ""'STC'!AM3:AM139""),MATCH(D93,IMPORTRANGE(""1y0FWgjbB0gVlqn-q5LMJbGIsqOrzru4yowQz67dz2yc"", ""'STC'!D3:D139""),0))"),14)</f>
        <v>14</v>
      </c>
      <c r="Z93" s="1"/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271</v>
      </c>
      <c r="E94" s="7" t="s">
        <v>38</v>
      </c>
      <c r="F94" s="9" t="s">
        <v>272</v>
      </c>
      <c r="G94" s="10">
        <v>44469</v>
      </c>
      <c r="H94" s="158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254"/>
      <c r="Q94" s="254"/>
      <c r="R94" s="13"/>
      <c r="S94" s="13"/>
      <c r="T94" s="13"/>
      <c r="U94" s="13"/>
      <c r="V94" s="13"/>
      <c r="W94" s="13"/>
      <c r="X94" s="2">
        <v>60</v>
      </c>
      <c r="Y94" s="2">
        <f ca="1">IFERROR(__xludf.DUMMYFUNCTION("INDEX(IMPORTRANGE(""1y0FWgjbB0gVlqn-q5LMJbGIsqOrzru4yowQz67dz2yc"", ""'STC'!AM3:AM139""),MATCH(D94,IMPORTRANGE(""1y0FWgjbB0gVlqn-q5LMJbGIsqOrzru4yowQz67dz2yc"", ""'STC'!D3:D139""),0))"),58)</f>
        <v>58</v>
      </c>
      <c r="Z94" s="1"/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36</v>
      </c>
      <c r="D95" s="7" t="s">
        <v>273</v>
      </c>
      <c r="E95" s="7" t="s">
        <v>38</v>
      </c>
      <c r="F95" s="9" t="s">
        <v>274</v>
      </c>
      <c r="G95" s="10">
        <v>44469</v>
      </c>
      <c r="H95" s="158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254"/>
      <c r="Q95" s="254"/>
      <c r="R95" s="13"/>
      <c r="S95" s="13"/>
      <c r="T95" s="13"/>
      <c r="U95" s="13"/>
      <c r="V95" s="13"/>
      <c r="W95" s="13"/>
      <c r="X95" s="15">
        <f>SUM(X89,X91,X93)/SUM(X90,X92,X94)</f>
        <v>0.20270270270270271</v>
      </c>
      <c r="Y95" s="15">
        <f ca="1">IFERROR(__xludf.DUMMYFUNCTION("INDEX(IMPORTRANGE(""1y0FWgjbB0gVlqn-q5LMJbGIsqOrzru4yowQz67dz2yc"", ""'STC'!AM3:AM139""),MATCH(D95,IMPORTRANGE(""1y0FWgjbB0gVlqn-q5LMJbGIsqOrzru4yowQz67dz2yc"", ""'STC'!D3:D139""),0))"),0.211267605633802)</f>
        <v>0.21126760563380201</v>
      </c>
      <c r="Z95" s="1"/>
      <c r="AA95" s="1"/>
      <c r="AB95" s="1"/>
      <c r="AC95" s="1"/>
    </row>
    <row r="96" spans="1:29">
      <c r="A96" s="7" t="s">
        <v>275</v>
      </c>
      <c r="B96" s="7" t="s">
        <v>276</v>
      </c>
      <c r="C96" s="1" t="s">
        <v>30</v>
      </c>
      <c r="D96" s="7" t="s">
        <v>277</v>
      </c>
      <c r="E96" s="7" t="s">
        <v>278</v>
      </c>
      <c r="F96" s="9" t="s">
        <v>279</v>
      </c>
      <c r="G96" s="159" t="s">
        <v>213</v>
      </c>
      <c r="H96" s="156" t="s">
        <v>214</v>
      </c>
      <c r="I96" s="7" t="s">
        <v>215</v>
      </c>
      <c r="J96" s="181"/>
      <c r="K96" s="7" t="s">
        <v>216</v>
      </c>
      <c r="L96" s="181"/>
      <c r="M96" s="7" t="s">
        <v>217</v>
      </c>
      <c r="N96" s="1" t="s">
        <v>218</v>
      </c>
      <c r="O96" s="1" t="s">
        <v>218</v>
      </c>
      <c r="P96" s="36">
        <v>412666403</v>
      </c>
      <c r="Q96" s="36">
        <v>412666403</v>
      </c>
      <c r="R96" s="13"/>
      <c r="S96" s="13"/>
      <c r="T96" s="13"/>
      <c r="U96" s="13"/>
      <c r="V96" s="13"/>
      <c r="W96" s="13"/>
      <c r="X96" s="36">
        <v>412666403</v>
      </c>
      <c r="Y96" s="178" t="str">
        <f ca="1">IFERROR(__xludf.DUMMYFUNCTION("INDEX(IMPORTRANGE(""1y0FWgjbB0gVlqn-q5LMJbGIsqOrzru4yowQz67dz2yc"", ""'STC'!AM3:AM139""),MATCH(D96,IMPORTRANGE(""1y0FWgjbB0gVlqn-q5LMJbGIsqOrzru4yowQz67dz2yc"", ""'STC'!D3:D139""),0))"),"")</f>
        <v/>
      </c>
      <c r="Z96" s="1"/>
      <c r="AA96" s="1"/>
      <c r="AB96" s="1"/>
      <c r="AC96" s="1"/>
    </row>
    <row r="97" spans="1:29">
      <c r="A97" s="7" t="s">
        <v>275</v>
      </c>
      <c r="B97" s="7" t="s">
        <v>276</v>
      </c>
      <c r="C97" s="1" t="s">
        <v>30</v>
      </c>
      <c r="D97" s="7" t="s">
        <v>280</v>
      </c>
      <c r="E97" s="7" t="s">
        <v>278</v>
      </c>
      <c r="F97" s="9" t="s">
        <v>281</v>
      </c>
      <c r="G97" s="155" t="s">
        <v>213</v>
      </c>
      <c r="H97" s="156" t="s">
        <v>214</v>
      </c>
      <c r="I97" s="7" t="s">
        <v>215</v>
      </c>
      <c r="J97" s="181"/>
      <c r="K97" s="7" t="s">
        <v>216</v>
      </c>
      <c r="L97" s="181"/>
      <c r="M97" s="7" t="s">
        <v>217</v>
      </c>
      <c r="N97" s="1" t="s">
        <v>218</v>
      </c>
      <c r="O97" s="1" t="s">
        <v>218</v>
      </c>
      <c r="P97" s="36">
        <v>1342608130</v>
      </c>
      <c r="Q97" s="36">
        <v>1342608130</v>
      </c>
      <c r="R97" s="13"/>
      <c r="S97" s="13"/>
      <c r="T97" s="13"/>
      <c r="U97" s="13"/>
      <c r="V97" s="13"/>
      <c r="W97" s="13"/>
      <c r="X97" s="36">
        <v>1342608130</v>
      </c>
      <c r="Y97" s="178" t="str">
        <f ca="1">IFERROR(__xludf.DUMMYFUNCTION("INDEX(IMPORTRANGE(""1y0FWgjbB0gVlqn-q5LMJbGIsqOrzru4yowQz67dz2yc"", ""'STC'!AM3:AM139""),MATCH(D97,IMPORTRANGE(""1y0FWgjbB0gVlqn-q5LMJbGIsqOrzru4yowQz67dz2yc"", ""'STC'!D3:D139""),0))"),"")</f>
        <v/>
      </c>
      <c r="Z97" s="1"/>
      <c r="AA97" s="1"/>
      <c r="AB97" s="1"/>
      <c r="AC97" s="1"/>
    </row>
    <row r="98" spans="1:29">
      <c r="A98" s="7" t="s">
        <v>275</v>
      </c>
      <c r="B98" s="7" t="s">
        <v>276</v>
      </c>
      <c r="C98" s="1" t="s">
        <v>36</v>
      </c>
      <c r="D98" s="7" t="s">
        <v>282</v>
      </c>
      <c r="E98" s="7" t="s">
        <v>278</v>
      </c>
      <c r="F98" s="9" t="s">
        <v>283</v>
      </c>
      <c r="G98" s="155" t="s">
        <v>213</v>
      </c>
      <c r="H98" s="156" t="s">
        <v>214</v>
      </c>
      <c r="I98" s="7" t="s">
        <v>215</v>
      </c>
      <c r="J98" s="181"/>
      <c r="K98" s="7" t="s">
        <v>216</v>
      </c>
      <c r="L98" s="181"/>
      <c r="M98" s="7" t="s">
        <v>217</v>
      </c>
      <c r="N98" s="1" t="s">
        <v>218</v>
      </c>
      <c r="O98" s="1" t="s">
        <v>218</v>
      </c>
      <c r="P98" s="15">
        <f t="shared" ref="P98:Q98" si="15">P96/P97</f>
        <v>0.30736176385286745</v>
      </c>
      <c r="Q98" s="15">
        <f t="shared" si="15"/>
        <v>0.30736176385286745</v>
      </c>
      <c r="R98" s="1"/>
      <c r="S98" s="1"/>
      <c r="T98" s="1"/>
      <c r="U98" s="1"/>
      <c r="V98" s="1"/>
      <c r="W98" s="1"/>
      <c r="X98" s="15">
        <f>X96/X97</f>
        <v>0.30736176385286745</v>
      </c>
      <c r="Y98" s="179" t="str">
        <f ca="1">IFERROR(__xludf.DUMMYFUNCTION("INDEX(IMPORTRANGE(""1y0FWgjbB0gVlqn-q5LMJbGIsqOrzru4yowQz67dz2yc"", ""'STC'!AM3:AM139""),MATCH(D98,IMPORTRANGE(""1y0FWgjbB0gVlqn-q5LMJbGIsqOrzru4yowQz67dz2yc"", ""'STC'!D3:D139""),0))"),"")</f>
        <v/>
      </c>
      <c r="Z98" s="1"/>
      <c r="AA98" s="1"/>
      <c r="AB98" s="1"/>
      <c r="AC98" s="1"/>
    </row>
    <row r="99" spans="1:29">
      <c r="A99" s="7" t="s">
        <v>275</v>
      </c>
      <c r="B99" s="7" t="s">
        <v>284</v>
      </c>
      <c r="C99" s="1" t="s">
        <v>30</v>
      </c>
      <c r="D99" s="155" t="s">
        <v>285</v>
      </c>
      <c r="E99" s="7" t="s">
        <v>278</v>
      </c>
      <c r="F99" s="9" t="s">
        <v>286</v>
      </c>
      <c r="G99" s="155" t="s">
        <v>213</v>
      </c>
      <c r="H99" s="156" t="s">
        <v>214</v>
      </c>
      <c r="I99" s="7" t="s">
        <v>215</v>
      </c>
      <c r="J99" s="181"/>
      <c r="K99" s="7" t="s">
        <v>216</v>
      </c>
      <c r="L99" s="181"/>
      <c r="M99" s="7" t="s">
        <v>217</v>
      </c>
      <c r="N99" s="1" t="s">
        <v>218</v>
      </c>
      <c r="O99" s="1" t="s">
        <v>218</v>
      </c>
      <c r="P99" s="36">
        <v>968130919</v>
      </c>
      <c r="Q99" s="36">
        <v>968130919</v>
      </c>
      <c r="R99" s="13"/>
      <c r="S99" s="13"/>
      <c r="T99" s="13"/>
      <c r="U99" s="13"/>
      <c r="V99" s="13"/>
      <c r="W99" s="13"/>
      <c r="X99" s="36">
        <v>968130919</v>
      </c>
      <c r="Y99" s="178" t="str">
        <f ca="1">IFERROR(__xludf.DUMMYFUNCTION("INDEX(IMPORTRANGE(""1y0FWgjbB0gVlqn-q5LMJbGIsqOrzru4yowQz67dz2yc"", ""'STC'!AM3:AM139""),MATCH(D99,IMPORTRANGE(""1y0FWgjbB0gVlqn-q5LMJbGIsqOrzru4yowQz67dz2yc"", ""'STC'!D3:D139""),0))"),"")</f>
        <v/>
      </c>
      <c r="Z99" s="1"/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36</v>
      </c>
      <c r="D100" s="155" t="s">
        <v>287</v>
      </c>
      <c r="E100" s="7" t="s">
        <v>278</v>
      </c>
      <c r="F100" s="9" t="s">
        <v>288</v>
      </c>
      <c r="G100" s="155" t="s">
        <v>213</v>
      </c>
      <c r="H100" s="156" t="s">
        <v>214</v>
      </c>
      <c r="I100" s="7" t="s">
        <v>215</v>
      </c>
      <c r="J100" s="181"/>
      <c r="K100" s="7" t="s">
        <v>216</v>
      </c>
      <c r="L100" s="181"/>
      <c r="M100" s="7" t="s">
        <v>217</v>
      </c>
      <c r="N100" s="1" t="s">
        <v>218</v>
      </c>
      <c r="O100" s="1" t="s">
        <v>218</v>
      </c>
      <c r="P100" s="15">
        <f t="shared" ref="P100:Q100" si="16">P96/P99</f>
        <v>0.42625061848685775</v>
      </c>
      <c r="Q100" s="15">
        <f t="shared" si="16"/>
        <v>0.42625061848685775</v>
      </c>
      <c r="R100" s="1"/>
      <c r="S100" s="1"/>
      <c r="T100" s="1"/>
      <c r="U100" s="1"/>
      <c r="V100" s="1"/>
      <c r="W100" s="1"/>
      <c r="X100" s="15">
        <f>X96/X99</f>
        <v>0.42625061848685775</v>
      </c>
      <c r="Y100" s="179" t="str">
        <f ca="1">IFERROR(__xludf.DUMMYFUNCTION("INDEX(IMPORTRANGE(""1y0FWgjbB0gVlqn-q5LMJbGIsqOrzru4yowQz67dz2yc"", ""'STC'!AM3:AM139""),MATCH(D100,IMPORTRANGE(""1y0FWgjbB0gVlqn-q5LMJbGIsqOrzru4yowQz67dz2yc"", ""'STC'!D3:D139""),0))"),"")</f>
        <v/>
      </c>
      <c r="Z100" s="1"/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289</v>
      </c>
      <c r="E101" s="7" t="s">
        <v>38</v>
      </c>
      <c r="F101" s="9" t="s">
        <v>112</v>
      </c>
      <c r="G101" s="155" t="s">
        <v>254</v>
      </c>
      <c r="H101" s="155" t="s">
        <v>254</v>
      </c>
      <c r="I101" s="7" t="s">
        <v>254</v>
      </c>
      <c r="J101" s="181"/>
      <c r="K101" s="7" t="s">
        <v>255</v>
      </c>
      <c r="L101" s="181"/>
      <c r="M101" s="7" t="s">
        <v>256</v>
      </c>
      <c r="N101" s="260">
        <v>45536</v>
      </c>
      <c r="O101" s="1" t="s">
        <v>218</v>
      </c>
      <c r="P101" s="12">
        <v>106593</v>
      </c>
      <c r="Q101" s="12">
        <v>106593</v>
      </c>
      <c r="R101" s="13"/>
      <c r="S101" s="13"/>
      <c r="T101" s="13"/>
      <c r="U101" s="13"/>
      <c r="V101" s="13"/>
      <c r="W101" s="13"/>
      <c r="X101" s="12">
        <v>106593</v>
      </c>
      <c r="Y101" s="6" t="str">
        <f ca="1">IFERROR(__xludf.DUMMYFUNCTION("INDEX(IMPORTRANGE(""1y0FWgjbB0gVlqn-q5LMJbGIsqOrzru4yowQz67dz2yc"", ""'STC'!AM3:AM139""),MATCH(D101,IMPORTRANGE(""1y0FWgjbB0gVlqn-q5LMJbGIsqOrzru4yowQz67dz2yc"", ""'STC'!D3:D139""),0))"),"")</f>
        <v/>
      </c>
      <c r="Z101" s="1"/>
      <c r="AA101" s="1"/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290</v>
      </c>
      <c r="E102" s="7" t="s">
        <v>38</v>
      </c>
      <c r="F102" s="9" t="s">
        <v>291</v>
      </c>
      <c r="G102" s="155" t="s">
        <v>213</v>
      </c>
      <c r="H102" s="156" t="s">
        <v>214</v>
      </c>
      <c r="I102" s="7" t="s">
        <v>215</v>
      </c>
      <c r="J102" s="181"/>
      <c r="K102" s="7" t="s">
        <v>216</v>
      </c>
      <c r="L102" s="181"/>
      <c r="M102" s="7" t="s">
        <v>217</v>
      </c>
      <c r="N102" s="1" t="s">
        <v>218</v>
      </c>
      <c r="O102" s="1" t="s">
        <v>218</v>
      </c>
      <c r="P102" s="12">
        <v>56902</v>
      </c>
      <c r="Q102" s="12">
        <v>56902</v>
      </c>
      <c r="R102" s="1"/>
      <c r="S102" s="1"/>
      <c r="T102" s="1"/>
      <c r="U102" s="1"/>
      <c r="V102" s="1"/>
      <c r="W102" s="1"/>
      <c r="X102" s="12">
        <v>56902</v>
      </c>
      <c r="Y102" s="6" t="str">
        <f ca="1">IFERROR(__xludf.DUMMYFUNCTION("INDEX(IMPORTRANGE(""1y0FWgjbB0gVlqn-q5LMJbGIsqOrzru4yowQz67dz2yc"", ""'STC'!AM3:AM139""),MATCH(D102,IMPORTRANGE(""1y0FWgjbB0gVlqn-q5LMJbGIsqOrzru4yowQz67dz2yc"", ""'STC'!D3:D139""),0))"),"")</f>
        <v/>
      </c>
      <c r="Z102" s="1"/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292</v>
      </c>
      <c r="E103" s="7" t="s">
        <v>38</v>
      </c>
      <c r="F103" s="9" t="s">
        <v>293</v>
      </c>
      <c r="G103" s="155" t="s">
        <v>213</v>
      </c>
      <c r="H103" s="156" t="s">
        <v>214</v>
      </c>
      <c r="I103" s="7" t="s">
        <v>215</v>
      </c>
      <c r="J103" s="181"/>
      <c r="K103" s="7" t="s">
        <v>216</v>
      </c>
      <c r="L103" s="181"/>
      <c r="M103" s="7" t="s">
        <v>217</v>
      </c>
      <c r="N103" s="1" t="s">
        <v>218</v>
      </c>
      <c r="O103" s="1" t="s">
        <v>218</v>
      </c>
      <c r="P103" s="15">
        <f t="shared" ref="P103:Q103" si="17">P102/P101</f>
        <v>0.53382492283733451</v>
      </c>
      <c r="Q103" s="15">
        <f t="shared" si="17"/>
        <v>0.53382492283733451</v>
      </c>
      <c r="R103" s="1"/>
      <c r="S103" s="1"/>
      <c r="T103" s="1"/>
      <c r="U103" s="1"/>
      <c r="V103" s="1"/>
      <c r="W103" s="1"/>
      <c r="X103" s="15">
        <f>X102/X101</f>
        <v>0.53382492283733451</v>
      </c>
      <c r="Y103" s="179" t="str">
        <f ca="1">IFERROR(__xludf.DUMMYFUNCTION("INDEX(IMPORTRANGE(""1y0FWgjbB0gVlqn-q5LMJbGIsqOrzru4yowQz67dz2yc"", ""'STC'!AM3:AM139""),MATCH(D103,IMPORTRANGE(""1y0FWgjbB0gVlqn-q5LMJbGIsqOrzru4yowQz67dz2yc"", ""'STC'!D3:D139""),0))"),"")</f>
        <v/>
      </c>
      <c r="Z103" s="1"/>
      <c r="AA103" s="1"/>
      <c r="AB103" s="1"/>
      <c r="AC103" s="1"/>
    </row>
    <row r="104" spans="1:29">
      <c r="A104" s="155" t="s">
        <v>275</v>
      </c>
      <c r="B104" s="155" t="s">
        <v>276</v>
      </c>
      <c r="C104" s="155" t="s">
        <v>30</v>
      </c>
      <c r="D104" s="155" t="s">
        <v>294</v>
      </c>
      <c r="E104" s="155" t="s">
        <v>38</v>
      </c>
      <c r="F104" s="21" t="s">
        <v>295</v>
      </c>
      <c r="G104" s="155" t="s">
        <v>213</v>
      </c>
      <c r="H104" s="156" t="s">
        <v>214</v>
      </c>
      <c r="I104" s="155" t="s">
        <v>215</v>
      </c>
      <c r="J104" s="158"/>
      <c r="K104" s="155" t="s">
        <v>216</v>
      </c>
      <c r="L104" s="158"/>
      <c r="M104" s="155" t="s">
        <v>217</v>
      </c>
      <c r="N104" s="156" t="s">
        <v>218</v>
      </c>
      <c r="O104" s="156" t="s">
        <v>218</v>
      </c>
      <c r="P104" s="349"/>
      <c r="Q104" s="349"/>
      <c r="R104" s="1"/>
      <c r="S104" s="1"/>
      <c r="T104" s="1"/>
      <c r="U104" s="1"/>
      <c r="V104" s="1"/>
      <c r="W104" s="1"/>
      <c r="X104" s="349"/>
      <c r="Y104" s="350" t="str">
        <f ca="1">IFERROR(__xludf.DUMMYFUNCTION("INDEX(IMPORTRANGE(""1y0FWgjbB0gVlqn-q5LMJbGIsqOrzru4yowQz67dz2yc"", ""'STC'!AM3:AM139""),MATCH(D104,IMPORTRANGE(""1y0FWgjbB0gVlqn-q5LMJbGIsqOrzru4yowQz67dz2yc"", ""'STC'!D3:D139""),0))"),"")</f>
        <v/>
      </c>
      <c r="Z104" s="1"/>
      <c r="AA104" s="1"/>
      <c r="AB104" s="1"/>
      <c r="AC104" s="1"/>
    </row>
    <row r="105" spans="1:29">
      <c r="A105" s="155" t="s">
        <v>275</v>
      </c>
      <c r="B105" s="155" t="s">
        <v>276</v>
      </c>
      <c r="C105" s="155" t="s">
        <v>36</v>
      </c>
      <c r="D105" s="155" t="s">
        <v>296</v>
      </c>
      <c r="E105" s="155" t="s">
        <v>38</v>
      </c>
      <c r="F105" s="21" t="s">
        <v>297</v>
      </c>
      <c r="G105" s="155" t="s">
        <v>213</v>
      </c>
      <c r="H105" s="156" t="s">
        <v>214</v>
      </c>
      <c r="I105" s="155" t="s">
        <v>215</v>
      </c>
      <c r="J105" s="158"/>
      <c r="K105" s="155" t="s">
        <v>216</v>
      </c>
      <c r="L105" s="158"/>
      <c r="M105" s="155" t="s">
        <v>217</v>
      </c>
      <c r="N105" s="156" t="s">
        <v>218</v>
      </c>
      <c r="O105" s="156" t="s">
        <v>218</v>
      </c>
      <c r="P105" s="349">
        <v>122025706</v>
      </c>
      <c r="Q105" s="349">
        <v>122025706</v>
      </c>
      <c r="R105" s="1"/>
      <c r="S105" s="1"/>
      <c r="T105" s="1"/>
      <c r="U105" s="1"/>
      <c r="V105" s="1"/>
      <c r="W105" s="1"/>
      <c r="X105" s="349">
        <v>122025706</v>
      </c>
      <c r="Y105" s="350" t="str">
        <f ca="1">IFERROR(__xludf.DUMMYFUNCTION("INDEX(IMPORTRANGE(""1y0FWgjbB0gVlqn-q5LMJbGIsqOrzru4yowQz67dz2yc"", ""'STC'!AM3:AM139""),MATCH(D105,IMPORTRANGE(""1y0FWgjbB0gVlqn-q5LMJbGIsqOrzru4yowQz67dz2yc"", ""'STC'!D3:D139""),0))"),"")</f>
        <v/>
      </c>
      <c r="Z105" s="1"/>
      <c r="AA105" s="1"/>
      <c r="AB105" s="1"/>
      <c r="AC105" s="1"/>
    </row>
    <row r="106" spans="1:29">
      <c r="A106" s="7" t="s">
        <v>275</v>
      </c>
      <c r="B106" s="7" t="s">
        <v>298</v>
      </c>
      <c r="C106" s="1" t="s">
        <v>30</v>
      </c>
      <c r="D106" s="7" t="s">
        <v>299</v>
      </c>
      <c r="E106" s="7" t="s">
        <v>278</v>
      </c>
      <c r="F106" s="9" t="s">
        <v>300</v>
      </c>
      <c r="G106" s="155" t="s">
        <v>213</v>
      </c>
      <c r="H106" s="156" t="s">
        <v>214</v>
      </c>
      <c r="I106" s="7" t="s">
        <v>215</v>
      </c>
      <c r="J106" s="181"/>
      <c r="K106" s="7" t="s">
        <v>216</v>
      </c>
      <c r="L106" s="181"/>
      <c r="M106" s="7" t="s">
        <v>217</v>
      </c>
      <c r="N106" s="1" t="s">
        <v>218</v>
      </c>
      <c r="O106" s="1" t="s">
        <v>218</v>
      </c>
      <c r="P106" s="50">
        <v>1352030259</v>
      </c>
      <c r="Q106" s="50">
        <v>1352030259</v>
      </c>
      <c r="R106" s="13"/>
      <c r="S106" s="13"/>
      <c r="T106" s="13"/>
      <c r="U106" s="13"/>
      <c r="V106" s="13"/>
      <c r="W106" s="13"/>
      <c r="X106" s="36">
        <v>1352030259</v>
      </c>
      <c r="Y106" s="178" t="str">
        <f ca="1">IFERROR(__xludf.DUMMYFUNCTION("INDEX(IMPORTRANGE(""1y0FWgjbB0gVlqn-q5LMJbGIsqOrzru4yowQz67dz2yc"", ""'STC'!AM3:AM139""),MATCH(D106,IMPORTRANGE(""1y0FWgjbB0gVlqn-q5LMJbGIsqOrzru4yowQz67dz2yc"", ""'STC'!D3:D139""),0))"),"")</f>
        <v/>
      </c>
      <c r="Z106" s="1"/>
      <c r="AA106" s="1"/>
      <c r="AB106" s="1"/>
      <c r="AC106" s="1"/>
    </row>
    <row r="107" spans="1:29">
      <c r="A107" s="7" t="s">
        <v>275</v>
      </c>
      <c r="B107" s="7" t="s">
        <v>298</v>
      </c>
      <c r="C107" s="1" t="s">
        <v>36</v>
      </c>
      <c r="D107" s="7" t="s">
        <v>301</v>
      </c>
      <c r="E107" s="7" t="s">
        <v>278</v>
      </c>
      <c r="F107" s="9" t="s">
        <v>302</v>
      </c>
      <c r="G107" s="155" t="s">
        <v>213</v>
      </c>
      <c r="H107" s="156" t="s">
        <v>214</v>
      </c>
      <c r="I107" s="7" t="s">
        <v>215</v>
      </c>
      <c r="J107" s="181"/>
      <c r="K107" s="7" t="s">
        <v>216</v>
      </c>
      <c r="L107" s="181"/>
      <c r="M107" s="7" t="s">
        <v>217</v>
      </c>
      <c r="N107" s="1" t="s">
        <v>218</v>
      </c>
      <c r="O107" s="1" t="s">
        <v>218</v>
      </c>
      <c r="P107" s="15">
        <f t="shared" ref="P107:Q107" si="18">P99/P106</f>
        <v>0.71605713892532041</v>
      </c>
      <c r="Q107" s="15">
        <f t="shared" si="18"/>
        <v>0.71605713892532041</v>
      </c>
      <c r="R107" s="1"/>
      <c r="S107" s="1"/>
      <c r="T107" s="1"/>
      <c r="U107" s="1"/>
      <c r="V107" s="1"/>
      <c r="W107" s="1"/>
      <c r="X107" s="26">
        <f>X99/X106</f>
        <v>0.71605713892532041</v>
      </c>
      <c r="Y107" s="38" t="str">
        <f ca="1">IFERROR(__xludf.DUMMYFUNCTION("INDEX(IMPORTRANGE(""1y0FWgjbB0gVlqn-q5LMJbGIsqOrzru4yowQz67dz2yc"", ""'STC'!AM3:AM139""),MATCH(D107,IMPORTRANGE(""1y0FWgjbB0gVlqn-q5LMJbGIsqOrzru4yowQz67dz2yc"", ""'STC'!D3:D139""),0))"),"")</f>
        <v/>
      </c>
      <c r="Z107" s="1"/>
      <c r="AA107" s="1"/>
      <c r="AB107" s="1"/>
      <c r="AC107" s="1"/>
    </row>
    <row r="108" spans="1:29">
      <c r="A108" s="7" t="s">
        <v>275</v>
      </c>
      <c r="B108" s="7" t="s">
        <v>303</v>
      </c>
      <c r="C108" s="1" t="s">
        <v>36</v>
      </c>
      <c r="D108" s="7" t="s">
        <v>304</v>
      </c>
      <c r="E108" s="7" t="s">
        <v>305</v>
      </c>
      <c r="F108" s="9" t="s">
        <v>306</v>
      </c>
      <c r="G108" s="10" t="s">
        <v>307</v>
      </c>
      <c r="H108" s="158"/>
      <c r="I108" s="1" t="s">
        <v>254</v>
      </c>
      <c r="J108" s="181"/>
      <c r="K108" s="1" t="s">
        <v>255</v>
      </c>
      <c r="L108" s="181"/>
      <c r="M108" s="1" t="s">
        <v>256</v>
      </c>
      <c r="N108" s="49">
        <v>45473</v>
      </c>
      <c r="O108" s="1"/>
      <c r="P108" s="30" t="s">
        <v>308</v>
      </c>
      <c r="Q108" s="30" t="s">
        <v>308</v>
      </c>
      <c r="R108" s="1" t="s">
        <v>308</v>
      </c>
      <c r="S108" s="1" t="s">
        <v>308</v>
      </c>
      <c r="T108" s="1" t="s">
        <v>308</v>
      </c>
      <c r="U108" s="1" t="s">
        <v>308</v>
      </c>
      <c r="V108" s="1" t="s">
        <v>308</v>
      </c>
      <c r="W108" s="1" t="s">
        <v>308</v>
      </c>
      <c r="X108" s="2" t="s">
        <v>308</v>
      </c>
      <c r="Y108" s="4" t="str">
        <f ca="1">IFERROR(__xludf.DUMMYFUNCTION("INDEX(IMPORTRANGE(""1y0FWgjbB0gVlqn-q5LMJbGIsqOrzru4yowQz67dz2yc"", ""'STC'!AM3:AM139""),MATCH(D108,IMPORTRANGE(""1y0FWgjbB0gVlqn-q5LMJbGIsqOrzru4yowQz67dz2yc"", ""'STC'!D3:D139""),0))"),"")</f>
        <v/>
      </c>
      <c r="Z108" s="1"/>
      <c r="AA108" s="1"/>
      <c r="AB108" s="1"/>
      <c r="AC108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1768B-1419-084E-AEE0-C004F5BC96F8}">
  <dimension ref="A1:M30"/>
  <sheetViews>
    <sheetView workbookViewId="0">
      <selection activeCell="G3" sqref="G3"/>
    </sheetView>
  </sheetViews>
  <sheetFormatPr baseColWidth="10" defaultRowHeight="16"/>
  <cols>
    <col min="1" max="1" width="10.83203125" style="118"/>
    <col min="3" max="3" width="20.6640625" customWidth="1"/>
    <col min="4" max="4" width="12.5" customWidth="1"/>
    <col min="5" max="5" width="12.1640625" customWidth="1"/>
    <col min="6" max="6" width="11.5" customWidth="1"/>
    <col min="7" max="7" width="11.6640625" customWidth="1"/>
    <col min="8" max="8" width="11.832031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69" t="s">
        <v>16</v>
      </c>
      <c r="F1" s="69" t="s">
        <v>9</v>
      </c>
      <c r="G1" s="70" t="s">
        <v>310</v>
      </c>
      <c r="H1" s="70" t="s">
        <v>17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v>44469</v>
      </c>
      <c r="E2" s="137">
        <f>VLOOKUP(C2,'BD EVA 1 STC'!$D$3:$Q$108,14,0)</f>
        <v>265</v>
      </c>
      <c r="F2" s="75">
        <v>44834</v>
      </c>
      <c r="G2" s="123">
        <f ca="1">VLOOKUP(C2,'BD EVA 1 STC'!$D$3:$Y$108,22,0)</f>
        <v>371</v>
      </c>
      <c r="H2" s="123">
        <f>VLOOKUP(C2,'BD EVA 1 STC'!$D$3:$R$108,15,0)</f>
        <v>299</v>
      </c>
      <c r="I2" s="80">
        <f ca="1">IF(G2&gt;=H2,G2/H2,0)</f>
        <v>1.2408026755852843</v>
      </c>
      <c r="J2" s="72" t="s">
        <v>316</v>
      </c>
      <c r="K2" s="81">
        <v>2.7</v>
      </c>
      <c r="L2" s="81">
        <f t="shared" ref="L2:L10" ca="1" si="0">IF(I2&lt;0,0,IF(I2&gt;1,K2,I2*K2))</f>
        <v>2.7</v>
      </c>
      <c r="M2" s="124">
        <f ca="1">SUM(L2:L4)</f>
        <v>7.888313223024678</v>
      </c>
    </row>
    <row r="3" spans="1:13" ht="52">
      <c r="A3" s="121" t="s">
        <v>34</v>
      </c>
      <c r="B3" s="72" t="s">
        <v>40</v>
      </c>
      <c r="C3" s="71" t="s">
        <v>43</v>
      </c>
      <c r="D3" s="75">
        <v>44469</v>
      </c>
      <c r="E3" s="126">
        <f>VLOOKUP(C3,'BD EVA 1 STC'!$D$3:$Q$108,14,0)</f>
        <v>0.98867924528301887</v>
      </c>
      <c r="F3" s="75">
        <v>44834</v>
      </c>
      <c r="G3" s="293">
        <f ca="1">VLOOKUP(C3,'BD EVA 1 STC'!$D$3:$Y$108,22,0)</f>
        <v>0.75471698113207497</v>
      </c>
      <c r="H3" s="79" t="s">
        <v>317</v>
      </c>
      <c r="I3" s="83">
        <f ca="1">G3/97%</f>
        <v>0.77805874343512882</v>
      </c>
      <c r="J3" s="75" t="s">
        <v>318</v>
      </c>
      <c r="K3" s="81">
        <v>3.8</v>
      </c>
      <c r="L3" s="81">
        <f t="shared" ca="1" si="0"/>
        <v>2.9566232250534892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v>44469</v>
      </c>
      <c r="E4" s="126">
        <f>VLOOKUP(C4,'BD EVA 1 STC'!$D$3:$Q$108,14,0)</f>
        <v>0</v>
      </c>
      <c r="F4" s="75">
        <v>44834</v>
      </c>
      <c r="G4" s="126">
        <f ca="1">VLOOKUP(C4,'BD EVA 1 STC'!$D$3:$Y$108,22,0)</f>
        <v>5.9299191374663003E-2</v>
      </c>
      <c r="H4" s="128">
        <f>VLOOKUP(C4,'BD EVA 1 STC'!$D$3:$R$108,15,0)</f>
        <v>9.2999999999999999E-2</v>
      </c>
      <c r="I4" s="77">
        <f t="shared" ref="I4:I5" ca="1" si="1">G4/H4</f>
        <v>0.63762571370605381</v>
      </c>
      <c r="J4" s="75" t="s">
        <v>318</v>
      </c>
      <c r="K4" s="81">
        <v>3.5</v>
      </c>
      <c r="L4" s="81">
        <f t="shared" ca="1" si="0"/>
        <v>2.2316899979711882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">
        <v>57</v>
      </c>
      <c r="E5" s="126">
        <f>VLOOKUP(C5,'BD EVA 1 STC'!$D$3:$Q$108,14,0)</f>
        <v>3.4434620753838997E-2</v>
      </c>
      <c r="F5" s="72" t="s">
        <v>59</v>
      </c>
      <c r="G5" s="126">
        <f ca="1">VLOOKUP(C5,'BD EVA 1 STC'!$D$3:$Y$108,22,0)</f>
        <v>0.32349949135300099</v>
      </c>
      <c r="H5" s="128">
        <f>VLOOKUP(C5,'BD EVA 1 STC'!$D$3:$R$108,15,0)</f>
        <v>3.9E-2</v>
      </c>
      <c r="I5" s="77">
        <f t="shared" ca="1" si="1"/>
        <v>8.2948587526410513</v>
      </c>
      <c r="J5" s="75" t="s">
        <v>318</v>
      </c>
      <c r="K5" s="129">
        <f>3.25*0.488</f>
        <v>1.5859999999999999</v>
      </c>
      <c r="L5" s="129">
        <f t="shared" ca="1" si="0"/>
        <v>1.5859999999999999</v>
      </c>
      <c r="M5" s="130">
        <f ca="1">SUM(L5:L10)</f>
        <v>1.7086702979171891</v>
      </c>
    </row>
    <row r="6" spans="1:13" ht="65">
      <c r="A6" s="121" t="s">
        <v>52</v>
      </c>
      <c r="B6" s="72" t="s">
        <v>68</v>
      </c>
      <c r="C6" s="72" t="s">
        <v>72</v>
      </c>
      <c r="D6" s="71" t="s">
        <v>57</v>
      </c>
      <c r="E6" s="131">
        <f>VLOOKUP(C6,'BD EVA 1 STC'!$D$3:$Q$108,14,0)</f>
        <v>12.904494451067386</v>
      </c>
      <c r="F6" s="72" t="s">
        <v>59</v>
      </c>
      <c r="G6" s="132">
        <f ca="1">VLOOKUP(C6,'BD EVA 1 STC'!$D$3:$Y$108,22,0)</f>
        <v>26.456072276773</v>
      </c>
      <c r="H6" s="123">
        <f>VLOOKUP(C6,'BD EVA 1 STC'!$D$3:$R$108,15,0)</f>
        <v>12.6</v>
      </c>
      <c r="I6" s="78">
        <f t="shared" ref="I6:I10" ca="1" si="2">(G6-E6)/(H6-E6)</f>
        <v>-44.50517169755117</v>
      </c>
      <c r="J6" s="71" t="s">
        <v>319</v>
      </c>
      <c r="K6" s="129">
        <f>3.5*0.488</f>
        <v>1.708</v>
      </c>
      <c r="L6" s="12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1" t="s">
        <v>57</v>
      </c>
      <c r="E7" s="131">
        <f>VLOOKUP(C7,'BD EVA 1 STC'!$D$3:$Q$108,14,0)</f>
        <v>314.62386471173818</v>
      </c>
      <c r="F7" s="72" t="s">
        <v>59</v>
      </c>
      <c r="G7" s="131">
        <f ca="1">VLOOKUP(C7,'BD EVA 1 STC'!$D$3:$Y$108,22,0)</f>
        <v>310.17464048630501</v>
      </c>
      <c r="H7" s="123">
        <f>VLOOKUP(C7,'BD EVA 1 STC'!$D$3:$R$108,15,0)</f>
        <v>257.10000000000002</v>
      </c>
      <c r="I7" s="78">
        <f t="shared" ca="1" si="2"/>
        <v>7.7345711170989415E-2</v>
      </c>
      <c r="J7" s="71" t="s">
        <v>319</v>
      </c>
      <c r="K7" s="129">
        <f>3.25*0.488</f>
        <v>1.5859999999999999</v>
      </c>
      <c r="L7" s="129">
        <f t="shared" ca="1" si="0"/>
        <v>0.1226702979171892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1" t="s">
        <v>57</v>
      </c>
      <c r="E8" s="131">
        <f>VLOOKUP(C8,'BD EVA 1 STC'!$D$3:$Q$108,14,0)</f>
        <v>860.91412980692417</v>
      </c>
      <c r="F8" s="72" t="s">
        <v>59</v>
      </c>
      <c r="G8" s="131">
        <f ca="1">VLOOKUP(C8,'BD EVA 1 STC'!$D$3:$Y$108,22,0)</f>
        <v>904.98012753651403</v>
      </c>
      <c r="H8" s="123">
        <f>VLOOKUP(C8,'BD EVA 1 STC'!$D$3:$R$108,15,0)</f>
        <v>760.6</v>
      </c>
      <c r="I8" s="78">
        <f t="shared" ca="1" si="2"/>
        <v>-0.43928006766747857</v>
      </c>
      <c r="J8" s="71" t="s">
        <v>319</v>
      </c>
      <c r="K8" s="129">
        <f t="shared" ref="K8:K10" si="3">10/3*0.512</f>
        <v>1.7066666666666668</v>
      </c>
      <c r="L8" s="12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1" t="s">
        <v>57</v>
      </c>
      <c r="E9" s="131">
        <f>VLOOKUP(C9,'BD EVA 1 STC'!$D$3:$Q$108,14,0)</f>
        <v>144.4074379048017</v>
      </c>
      <c r="F9" s="72" t="s">
        <v>59</v>
      </c>
      <c r="G9" s="131">
        <f ca="1">VLOOKUP(C9,'BD EVA 1 STC'!$D$3:$Y$108,22,0)</f>
        <v>146.876815053809</v>
      </c>
      <c r="H9" s="123">
        <f>VLOOKUP(C9,'BD EVA 1 STC'!$D$3:$R$108,15,0)</f>
        <v>118.6</v>
      </c>
      <c r="I9" s="78">
        <f t="shared" ca="1" si="2"/>
        <v>-9.5684707568272437E-2</v>
      </c>
      <c r="J9" s="71" t="s">
        <v>319</v>
      </c>
      <c r="K9" s="129">
        <f t="shared" si="3"/>
        <v>1.7066666666666668</v>
      </c>
      <c r="L9" s="129">
        <f t="shared" ca="1" si="0"/>
        <v>0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1" t="s">
        <v>57</v>
      </c>
      <c r="E10" s="131">
        <f>VLOOKUP(C10,'BD EVA 1 STC'!$D$3:$Q$108,14,0)</f>
        <v>18.127742205070852</v>
      </c>
      <c r="F10" s="72" t="s">
        <v>59</v>
      </c>
      <c r="G10" s="131">
        <f ca="1">VLOOKUP(C10,'BD EVA 1 STC'!$D$3:$Y$108,22,0)</f>
        <v>27.672443415935</v>
      </c>
      <c r="H10" s="123">
        <f>VLOOKUP(C10,'BD EVA 1 STC'!$D$3:$R$108,15,0)</f>
        <v>16.100000000000001</v>
      </c>
      <c r="I10" s="78">
        <f t="shared" ca="1" si="2"/>
        <v>-4.7070585141421608</v>
      </c>
      <c r="J10" s="71" t="s">
        <v>319</v>
      </c>
      <c r="K10" s="129">
        <f t="shared" si="3"/>
        <v>1.7066666666666668</v>
      </c>
      <c r="L10" s="12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1" t="s">
        <v>125</v>
      </c>
      <c r="D11" s="75">
        <v>44469</v>
      </c>
      <c r="E11" s="137">
        <f>VLOOKUP(C11,'BD EVA 1 STC'!$D$3:$Q$108,14,0)</f>
        <v>0</v>
      </c>
      <c r="F11" s="75">
        <v>44834</v>
      </c>
      <c r="G11" s="277">
        <f ca="1">VLOOKUP(C11,'BD EVA 1 STC'!$D$3:$Y$108,22,0)</f>
        <v>0</v>
      </c>
      <c r="H11" s="278">
        <f>VLOOKUP(C11,'BD EVA 1 STC'!$D$3:$R$108,15,0)</f>
        <v>2E-3</v>
      </c>
      <c r="I11" s="144">
        <f t="shared" ref="I11:I14" ca="1" si="4">G11/H11</f>
        <v>0</v>
      </c>
      <c r="J11" s="145" t="s">
        <v>318</v>
      </c>
      <c r="K11" s="146" t="s">
        <v>320</v>
      </c>
      <c r="L11" s="279"/>
      <c r="M11" s="130">
        <f ca="1">SUM(L11:L14)</f>
        <v>10</v>
      </c>
    </row>
    <row r="12" spans="1:13" ht="91">
      <c r="A12" s="121" t="s">
        <v>119</v>
      </c>
      <c r="B12" s="72" t="s">
        <v>127</v>
      </c>
      <c r="C12" s="72" t="s">
        <v>128</v>
      </c>
      <c r="D12" s="71" t="s">
        <v>57</v>
      </c>
      <c r="E12" s="137">
        <f>VLOOKUP(C12,'BD EVA 1 STC'!$D$3:$Q$108,14,0)</f>
        <v>0</v>
      </c>
      <c r="F12" s="71" t="s">
        <v>59</v>
      </c>
      <c r="G12" s="79">
        <f ca="1">VLOOKUP(C12,'BD EVA 1 STC'!$D$3:$Y$108,22,0)</f>
        <v>6</v>
      </c>
      <c r="H12" s="79">
        <f>VLOOKUP(C12,'BD EVA 1 STC'!$D$3:$R$108,15,0)</f>
        <v>6</v>
      </c>
      <c r="I12" s="83">
        <f t="shared" ca="1" si="4"/>
        <v>1</v>
      </c>
      <c r="J12" s="74" t="s">
        <v>318</v>
      </c>
      <c r="K12" s="73">
        <f t="shared" ref="K12:K13" si="5">2.4+2.1/3</f>
        <v>3.1</v>
      </c>
      <c r="L12" s="280">
        <f t="shared" ref="L12:L30" ca="1" si="6">IF(I12&lt;0,0,IF(I12&gt;1,K12,I12*K12))</f>
        <v>3.1</v>
      </c>
      <c r="M12" s="127"/>
    </row>
    <row r="13" spans="1:13" ht="78">
      <c r="A13" s="121" t="s">
        <v>119</v>
      </c>
      <c r="B13" s="72" t="s">
        <v>133</v>
      </c>
      <c r="C13" s="72" t="s">
        <v>134</v>
      </c>
      <c r="D13" s="71" t="s">
        <v>57</v>
      </c>
      <c r="E13" s="137">
        <f>VLOOKUP(C13,'BD EVA 1 STC'!$D$3:$Q$108,14,0)</f>
        <v>3265</v>
      </c>
      <c r="F13" s="71" t="s">
        <v>59</v>
      </c>
      <c r="G13" s="281">
        <f ca="1">VLOOKUP(C13,'BD EVA 1 STC'!$D$3:$Y$108,22,0)</f>
        <v>309</v>
      </c>
      <c r="H13" s="281">
        <f>VLOOKUP(C13,'BD EVA 1 STC'!$D$3:$R$108,15,0)</f>
        <v>180</v>
      </c>
      <c r="I13" s="83">
        <f t="shared" ca="1" si="4"/>
        <v>1.7166666666666666</v>
      </c>
      <c r="J13" s="74" t="s">
        <v>318</v>
      </c>
      <c r="K13" s="73">
        <f t="shared" si="5"/>
        <v>3.1</v>
      </c>
      <c r="L13" s="280">
        <f t="shared" ca="1" si="6"/>
        <v>3.1</v>
      </c>
      <c r="M13" s="127"/>
    </row>
    <row r="14" spans="1:13" ht="78">
      <c r="A14" s="121" t="s">
        <v>119</v>
      </c>
      <c r="B14" s="72" t="s">
        <v>136</v>
      </c>
      <c r="C14" s="72" t="s">
        <v>145</v>
      </c>
      <c r="D14" s="71" t="s">
        <v>57</v>
      </c>
      <c r="E14" s="137">
        <f>VLOOKUP(C14,'BD EVA 1 STC'!$D$3:$Q$108,14,0)</f>
        <v>15</v>
      </c>
      <c r="F14" s="71" t="s">
        <v>59</v>
      </c>
      <c r="G14" s="79">
        <f ca="1">VLOOKUP(C14,'BD EVA 1 STC'!$D$3:$Y$108,22,0)</f>
        <v>17</v>
      </c>
      <c r="H14" s="282">
        <f>VLOOKUP(C14,'BD EVA 1 STC'!$D$3:$R$108,15,0)</f>
        <v>7</v>
      </c>
      <c r="I14" s="83">
        <f t="shared" ca="1" si="4"/>
        <v>2.4285714285714284</v>
      </c>
      <c r="J14" s="74" t="s">
        <v>318</v>
      </c>
      <c r="K14" s="73">
        <f>3.1+2.1/3</f>
        <v>3.8000000000000003</v>
      </c>
      <c r="L14" s="280">
        <f t="shared" ca="1" si="6"/>
        <v>3.8000000000000003</v>
      </c>
      <c r="M14" s="127"/>
    </row>
    <row r="15" spans="1:13" ht="409.6">
      <c r="A15" s="121" t="s">
        <v>147</v>
      </c>
      <c r="B15" s="72" t="s">
        <v>148</v>
      </c>
      <c r="C15" s="72" t="s">
        <v>156</v>
      </c>
      <c r="D15" s="75">
        <v>44469</v>
      </c>
      <c r="E15" s="139">
        <f>VLOOKUP(C15,'BD EVA 1 STC'!$D$3:$Q$108,14,0)</f>
        <v>0.33</v>
      </c>
      <c r="F15" s="75">
        <v>44834</v>
      </c>
      <c r="G15" s="139">
        <f ca="1">VLOOKUP(C15,'BD EVA 1 STC'!$D$3:$Y$108,22,0)</f>
        <v>0.66666666666666596</v>
      </c>
      <c r="H15" s="123" t="str">
        <f>VLOOKUP(C15,'BD EVA 1 STC'!$D$3:$R$108,15,0)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5" s="77">
        <f t="shared" ref="I15:I16" ca="1" si="7">G15/1</f>
        <v>0.66666666666666596</v>
      </c>
      <c r="J15" s="75" t="s">
        <v>318</v>
      </c>
      <c r="K15" s="71">
        <v>1.5</v>
      </c>
      <c r="L15" s="129">
        <f t="shared" ca="1" si="6"/>
        <v>0.99999999999999889</v>
      </c>
      <c r="M15" s="130">
        <f ca="1">SUM(L15:L22)</f>
        <v>8.6850089274009168</v>
      </c>
    </row>
    <row r="16" spans="1:13" ht="52">
      <c r="A16" s="121" t="s">
        <v>147</v>
      </c>
      <c r="B16" s="72" t="s">
        <v>148</v>
      </c>
      <c r="C16" s="72" t="s">
        <v>158</v>
      </c>
      <c r="D16" s="75">
        <v>44469</v>
      </c>
      <c r="E16" s="137">
        <f>VLOOKUP(C16,'BD EVA 1 STC'!$D$3:$Q$108,14,0)</f>
        <v>1</v>
      </c>
      <c r="F16" s="75">
        <v>44834</v>
      </c>
      <c r="G16" s="137">
        <f ca="1">VLOOKUP(C16,'BD EVA 1 STC'!$D$3:$Y$108,22,0)</f>
        <v>1</v>
      </c>
      <c r="H16" s="123" t="str">
        <f>VLOOKUP(C16,'BD EVA 1 STC'!$D$3:$R$108,15,0)</f>
        <v>Actualizado al 2017</v>
      </c>
      <c r="I16" s="125">
        <f t="shared" ca="1" si="7"/>
        <v>1</v>
      </c>
      <c r="J16" s="75" t="s">
        <v>318</v>
      </c>
      <c r="K16" s="71">
        <v>1.5</v>
      </c>
      <c r="L16" s="129">
        <f t="shared" ca="1" si="6"/>
        <v>1.5</v>
      </c>
      <c r="M16" s="127"/>
    </row>
    <row r="17" spans="1:13" ht="104">
      <c r="A17" s="121" t="s">
        <v>147</v>
      </c>
      <c r="B17" s="72" t="s">
        <v>148</v>
      </c>
      <c r="C17" s="72" t="s">
        <v>166</v>
      </c>
      <c r="D17" s="75">
        <v>44469</v>
      </c>
      <c r="E17" s="139" t="str">
        <f>VLOOKUP(C17,'BD EVA 1 STC'!$D$3:$Q$108,14,0)</f>
        <v>NA</v>
      </c>
      <c r="F17" s="75">
        <v>44834</v>
      </c>
      <c r="G17" s="139" t="str">
        <f ca="1">VLOOKUP(C17,'BD EVA 1 STC'!$D$3:$Y$108,22,0)</f>
        <v>NA</v>
      </c>
      <c r="H17" s="125">
        <f>VLOOKUP(C17,'BD EVA 1 STC'!$D$3:$R$108,15,0)</f>
        <v>1</v>
      </c>
      <c r="I17" s="123">
        <v>1</v>
      </c>
      <c r="J17" s="75" t="s">
        <v>318</v>
      </c>
      <c r="K17" s="71">
        <v>0.3</v>
      </c>
      <c r="L17" s="129">
        <f t="shared" si="6"/>
        <v>0.3</v>
      </c>
      <c r="M17" s="127"/>
    </row>
    <row r="18" spans="1:13" ht="91">
      <c r="A18" s="121" t="s">
        <v>147</v>
      </c>
      <c r="B18" s="72" t="s">
        <v>168</v>
      </c>
      <c r="C18" s="72" t="s">
        <v>173</v>
      </c>
      <c r="D18" s="75">
        <v>44469</v>
      </c>
      <c r="E18" s="126">
        <f>VLOOKUP(C18,'BD EVA 1 STC'!$D$3:$Q$108,14,0)</f>
        <v>0.9794801086824283</v>
      </c>
      <c r="F18" s="75">
        <v>44834</v>
      </c>
      <c r="G18" s="126">
        <f ca="1">VLOOKUP(C18,'BD EVA 1 STC'!$D$3:$Y$108,22,0)</f>
        <v>0.95271687321258303</v>
      </c>
      <c r="H18" s="125">
        <f>VLOOKUP(C18,'BD EVA 1 STC'!$D$3:$R$108,15,0)</f>
        <v>1</v>
      </c>
      <c r="I18" s="125">
        <f t="shared" ref="I18:I25" ca="1" si="8">G18/H18</f>
        <v>0.95271687321258303</v>
      </c>
      <c r="J18" s="75" t="s">
        <v>318</v>
      </c>
      <c r="K18" s="71">
        <v>1.5</v>
      </c>
      <c r="L18" s="129">
        <f t="shared" ca="1" si="6"/>
        <v>1.4290753098188747</v>
      </c>
      <c r="M18" s="127"/>
    </row>
    <row r="19" spans="1:13" ht="117">
      <c r="A19" s="121" t="s">
        <v>147</v>
      </c>
      <c r="B19" s="72" t="s">
        <v>168</v>
      </c>
      <c r="C19" s="71" t="s">
        <v>177</v>
      </c>
      <c r="D19" s="75">
        <v>44469</v>
      </c>
      <c r="E19" s="126">
        <f>VLOOKUP(C19,'BD EVA 1 STC'!$D$3:$Q$108,14,0)</f>
        <v>0.96452997337739832</v>
      </c>
      <c r="F19" s="75">
        <v>44834</v>
      </c>
      <c r="G19" s="126">
        <f ca="1">VLOOKUP(C19,'BD EVA 1 STC'!$D$3:$Y$108,22,0)</f>
        <v>0.96454144863673896</v>
      </c>
      <c r="H19" s="125">
        <f>VLOOKUP(C19,'BD EVA 1 STC'!$D$3:$R$108,15,0)</f>
        <v>1</v>
      </c>
      <c r="I19" s="125">
        <f t="shared" ca="1" si="8"/>
        <v>0.96454144863673896</v>
      </c>
      <c r="J19" s="75" t="s">
        <v>318</v>
      </c>
      <c r="K19" s="71">
        <v>1.5</v>
      </c>
      <c r="L19" s="129">
        <f t="shared" ca="1" si="6"/>
        <v>1.4468121729551084</v>
      </c>
      <c r="M19" s="127"/>
    </row>
    <row r="20" spans="1:13" ht="117">
      <c r="A20" s="121" t="s">
        <v>147</v>
      </c>
      <c r="B20" s="72" t="s">
        <v>168</v>
      </c>
      <c r="C20" s="72" t="s">
        <v>183</v>
      </c>
      <c r="D20" s="75">
        <v>44469</v>
      </c>
      <c r="E20" s="126">
        <f>VLOOKUP(C20,'BD EVA 1 STC'!$D$3:$Q$108,14,0)</f>
        <v>0.99295063250668425</v>
      </c>
      <c r="F20" s="75">
        <v>44834</v>
      </c>
      <c r="G20" s="126">
        <f ca="1">VLOOKUP(C20,'BD EVA 1 STC'!$D$3:$Y$108,22,0)</f>
        <v>0.99295063250668403</v>
      </c>
      <c r="H20" s="125">
        <f>VLOOKUP(C20,'BD EVA 1 STC'!$D$3:$R$108,15,0)</f>
        <v>1</v>
      </c>
      <c r="I20" s="125">
        <f t="shared" ca="1" si="8"/>
        <v>0.99295063250668403</v>
      </c>
      <c r="J20" s="75" t="s">
        <v>318</v>
      </c>
      <c r="K20" s="71">
        <v>0.9</v>
      </c>
      <c r="L20" s="129">
        <f t="shared" ca="1" si="6"/>
        <v>0.89365556925601564</v>
      </c>
      <c r="M20" s="127"/>
    </row>
    <row r="21" spans="1:13" ht="78">
      <c r="A21" s="121" t="s">
        <v>147</v>
      </c>
      <c r="B21" s="72" t="s">
        <v>168</v>
      </c>
      <c r="C21" s="72" t="s">
        <v>189</v>
      </c>
      <c r="D21" s="75">
        <v>44469</v>
      </c>
      <c r="E21" s="126">
        <f>VLOOKUP(C21,'BD EVA 1 STC'!$D$3:$Q$108,14,0)</f>
        <v>0.54364391691394653</v>
      </c>
      <c r="F21" s="75">
        <v>44834</v>
      </c>
      <c r="G21" s="126">
        <f ca="1">VLOOKUP(C21,'BD EVA 1 STC'!$D$3:$Y$108,22,0)</f>
        <v>0.54364391691394598</v>
      </c>
      <c r="H21" s="125">
        <f>VLOOKUP(C21,'BD EVA 1 STC'!$D$3:$R$108,15,0)</f>
        <v>1</v>
      </c>
      <c r="I21" s="125">
        <f t="shared" ca="1" si="8"/>
        <v>0.54364391691394598</v>
      </c>
      <c r="J21" s="75" t="s">
        <v>318</v>
      </c>
      <c r="K21" s="71">
        <v>1.5</v>
      </c>
      <c r="L21" s="129">
        <f t="shared" ca="1" si="6"/>
        <v>0.81546587537091897</v>
      </c>
      <c r="M21" s="127"/>
    </row>
    <row r="22" spans="1:13" ht="195">
      <c r="A22" s="121" t="s">
        <v>147</v>
      </c>
      <c r="B22" s="72" t="s">
        <v>168</v>
      </c>
      <c r="C22" s="72" t="s">
        <v>197</v>
      </c>
      <c r="D22" s="71" t="s">
        <v>57</v>
      </c>
      <c r="E22" s="123">
        <f>VLOOKUP(C22,'BD EVA 1 STC'!$D$3:$Q$108,14,0)</f>
        <v>0</v>
      </c>
      <c r="F22" s="71" t="s">
        <v>59</v>
      </c>
      <c r="G22" s="129">
        <f ca="1">VLOOKUP(C22,'BD EVA 1 STC'!$D$3:$Y$108,22,0)</f>
        <v>19.170000000000002</v>
      </c>
      <c r="H22" s="123">
        <f>VLOOKUP(C22,'BD EVA 1 STC'!$D$3:$R$108,15,0)</f>
        <v>6</v>
      </c>
      <c r="I22" s="125">
        <f t="shared" ca="1" si="8"/>
        <v>3.1950000000000003</v>
      </c>
      <c r="J22" s="75" t="s">
        <v>318</v>
      </c>
      <c r="K22" s="71">
        <v>1.3</v>
      </c>
      <c r="L22" s="129">
        <f t="shared" ca="1" si="6"/>
        <v>1.3</v>
      </c>
      <c r="M22" s="127"/>
    </row>
    <row r="23" spans="1:13" ht="156">
      <c r="A23" s="121" t="s">
        <v>199</v>
      </c>
      <c r="B23" s="72" t="s">
        <v>200</v>
      </c>
      <c r="C23" s="72" t="s">
        <v>201</v>
      </c>
      <c r="D23" s="75">
        <v>44469</v>
      </c>
      <c r="E23" s="137">
        <f>VLOOKUP(C23,'BD EVA 1 STC'!$D$3:$Q$108,14,0)</f>
        <v>0</v>
      </c>
      <c r="F23" s="75">
        <v>44834</v>
      </c>
      <c r="G23" s="140">
        <f ca="1">VLOOKUP(C23,'BD EVA 1 STC'!$D$3:$Y$108,22,0)</f>
        <v>0</v>
      </c>
      <c r="H23" s="123">
        <f>VLOOKUP(C23,'BD EVA 1 STC'!$D$3:$R$108,15,0)</f>
        <v>1</v>
      </c>
      <c r="I23" s="125">
        <f t="shared" ca="1" si="8"/>
        <v>0</v>
      </c>
      <c r="J23" s="75" t="s">
        <v>318</v>
      </c>
      <c r="K23" s="82">
        <v>2.645</v>
      </c>
      <c r="L23" s="129">
        <f t="shared" ca="1" si="6"/>
        <v>0</v>
      </c>
      <c r="M23" s="130">
        <f ca="1">SUM(L23:L26)</f>
        <v>3.5788888888888888</v>
      </c>
    </row>
    <row r="24" spans="1:13" ht="130">
      <c r="A24" s="121" t="s">
        <v>199</v>
      </c>
      <c r="B24" s="72" t="s">
        <v>200</v>
      </c>
      <c r="C24" s="72" t="s">
        <v>209</v>
      </c>
      <c r="D24" s="71" t="s">
        <v>57</v>
      </c>
      <c r="E24" s="123">
        <f>VLOOKUP(C24,'BD EVA 1 STC'!$D$3:$Q$108,14,0)</f>
        <v>0</v>
      </c>
      <c r="F24" s="71" t="s">
        <v>59</v>
      </c>
      <c r="G24" s="137">
        <f ca="1">VLOOKUP(C24,'BD EVA 1 STC'!$D$3:$Y$108,22,0)</f>
        <v>6393.41</v>
      </c>
      <c r="H24" s="137">
        <f>VLOOKUP(C24,'BD EVA 1 STC'!$D$3:$R$108,15,0)</f>
        <v>1666</v>
      </c>
      <c r="I24" s="125">
        <f t="shared" ca="1" si="8"/>
        <v>3.8375810324129649</v>
      </c>
      <c r="J24" s="75" t="s">
        <v>318</v>
      </c>
      <c r="K24" s="82">
        <v>2.3340000000000001</v>
      </c>
      <c r="L24" s="129">
        <f t="shared" ca="1" si="6"/>
        <v>2.3340000000000001</v>
      </c>
      <c r="M24" s="127"/>
    </row>
    <row r="25" spans="1:13" ht="104">
      <c r="A25" s="121" t="s">
        <v>199</v>
      </c>
      <c r="B25" s="72" t="s">
        <v>200</v>
      </c>
      <c r="C25" s="72" t="s">
        <v>226</v>
      </c>
      <c r="D25" s="71" t="s">
        <v>57</v>
      </c>
      <c r="E25" s="123">
        <f>VLOOKUP(C25,'BD EVA 1 STC'!$D$3:$Q$108,14,0)</f>
        <v>25</v>
      </c>
      <c r="F25" s="71" t="s">
        <v>59</v>
      </c>
      <c r="G25" s="123">
        <f ca="1">VLOOKUP(C25,'BD EVA 1 STC'!$D$3:$Y$108,22,0)</f>
        <v>4</v>
      </c>
      <c r="H25" s="123">
        <f>VLOOKUP(C25,'BD EVA 1 STC'!$D$3:$R$108,15,0)</f>
        <v>9</v>
      </c>
      <c r="I25" s="125">
        <f t="shared" ca="1" si="8"/>
        <v>0.44444444444444442</v>
      </c>
      <c r="J25" s="75" t="s">
        <v>318</v>
      </c>
      <c r="K25" s="82">
        <v>2.8010000000000002</v>
      </c>
      <c r="L25" s="129">
        <f t="shared" ca="1" si="6"/>
        <v>1.2448888888888889</v>
      </c>
      <c r="M25" s="127"/>
    </row>
    <row r="26" spans="1:13" ht="52">
      <c r="A26" s="121" t="s">
        <v>199</v>
      </c>
      <c r="B26" s="72" t="s">
        <v>228</v>
      </c>
      <c r="C26" s="72" t="s">
        <v>241</v>
      </c>
      <c r="D26" s="71" t="s">
        <v>232</v>
      </c>
      <c r="E26" s="137">
        <f>VLOOKUP(C26,'BD EVA 1 STC'!$D$3:$Q$108,14,0)</f>
        <v>3389</v>
      </c>
      <c r="F26" s="71" t="s">
        <v>59</v>
      </c>
      <c r="G26" s="137">
        <f ca="1">VLOOKUP(C26,'BD EVA 1 STC'!$D$3:$Y$108,22,0)</f>
        <v>4497</v>
      </c>
      <c r="H26" s="123">
        <f>VLOOKUP(C26,'BD EVA 1 STC'!$D$3:$R$108,15,0)</f>
        <v>3009.3</v>
      </c>
      <c r="I26" s="78">
        <f ca="1">(G26-E26)/(H26-E26)</f>
        <v>-2.918093231498553</v>
      </c>
      <c r="J26" s="71" t="s">
        <v>319</v>
      </c>
      <c r="K26" s="82">
        <v>2.2200000000000002</v>
      </c>
      <c r="L26" s="129">
        <f t="shared" ca="1" si="6"/>
        <v>0</v>
      </c>
      <c r="M26" s="127"/>
    </row>
    <row r="27" spans="1:13" ht="208">
      <c r="A27" s="121" t="s">
        <v>243</v>
      </c>
      <c r="B27" s="72" t="s">
        <v>244</v>
      </c>
      <c r="C27" s="72" t="s">
        <v>245</v>
      </c>
      <c r="D27" s="71" t="s">
        <v>57</v>
      </c>
      <c r="E27" s="137">
        <f>VLOOKUP(C27,'BD EVA 1 STC'!$D$3:$Q$108,14,0)</f>
        <v>1</v>
      </c>
      <c r="F27" s="71" t="s">
        <v>59</v>
      </c>
      <c r="G27" s="123">
        <f ca="1">VLOOKUP(C27,'BD EVA 1 STC'!$D$3:$Y$108,22,0)</f>
        <v>9</v>
      </c>
      <c r="H27" s="123">
        <f>VLOOKUP(C27,'BD EVA 1 STC'!$D$3:$R$108,15,0)</f>
        <v>1</v>
      </c>
      <c r="I27" s="78">
        <f t="shared" ref="I27:I30" ca="1" si="9">G27/H27</f>
        <v>9</v>
      </c>
      <c r="J27" s="75" t="s">
        <v>318</v>
      </c>
      <c r="K27" s="71">
        <v>2.5</v>
      </c>
      <c r="L27" s="129">
        <f t="shared" ca="1" si="6"/>
        <v>2.5</v>
      </c>
      <c r="M27" s="130">
        <f ca="1">SUM(L27:L30)</f>
        <v>7.4059999999999997</v>
      </c>
    </row>
    <row r="28" spans="1:13" ht="65">
      <c r="A28" s="121" t="s">
        <v>243</v>
      </c>
      <c r="B28" s="72" t="s">
        <v>247</v>
      </c>
      <c r="C28" s="72" t="s">
        <v>248</v>
      </c>
      <c r="D28" s="75">
        <v>44469</v>
      </c>
      <c r="E28" s="137">
        <f>VLOOKUP(C28,'BD EVA 1 STC'!$D$3:$Q$108,14,0)</f>
        <v>2</v>
      </c>
      <c r="F28" s="75">
        <v>44834</v>
      </c>
      <c r="G28" s="123">
        <f ca="1">VLOOKUP(C28,'BD EVA 1 STC'!$D$3:$Y$108,22,0)</f>
        <v>2</v>
      </c>
      <c r="H28" s="123">
        <f>VLOOKUP(C28,'BD EVA 1 STC'!$D$3:$R$108,15,0)</f>
        <v>2</v>
      </c>
      <c r="I28" s="78">
        <f t="shared" ca="1" si="9"/>
        <v>1</v>
      </c>
      <c r="J28" s="75" t="s">
        <v>318</v>
      </c>
      <c r="K28" s="71">
        <v>2.5</v>
      </c>
      <c r="L28" s="129">
        <f t="shared" ca="1" si="6"/>
        <v>2.5</v>
      </c>
      <c r="M28" s="127"/>
    </row>
    <row r="29" spans="1:13" ht="91">
      <c r="A29" s="121" t="s">
        <v>243</v>
      </c>
      <c r="B29" s="72" t="s">
        <v>250</v>
      </c>
      <c r="C29" s="72" t="s">
        <v>251</v>
      </c>
      <c r="D29" s="75">
        <v>44469</v>
      </c>
      <c r="E29" s="137">
        <f>VLOOKUP(C29,'BD EVA 1 STC'!$D$3:$Q$108,14,0)</f>
        <v>100</v>
      </c>
      <c r="F29" s="75">
        <v>44713</v>
      </c>
      <c r="G29" s="123">
        <f ca="1">VLOOKUP(C29,'BD EVA 1 STC'!$D$3:$Y$108,22,0)</f>
        <v>96.24</v>
      </c>
      <c r="H29" s="123">
        <f>VLOOKUP(C29,'BD EVA 1 STC'!$D$3:$R$108,15,0)</f>
        <v>100</v>
      </c>
      <c r="I29" s="78">
        <f t="shared" ca="1" si="9"/>
        <v>0.96239999999999992</v>
      </c>
      <c r="J29" s="75" t="s">
        <v>318</v>
      </c>
      <c r="K29" s="71">
        <v>2.5</v>
      </c>
      <c r="L29" s="129">
        <f t="shared" ca="1" si="6"/>
        <v>2.4059999999999997</v>
      </c>
      <c r="M29" s="127"/>
    </row>
    <row r="30" spans="1:13" ht="260">
      <c r="A30" s="121" t="s">
        <v>243</v>
      </c>
      <c r="B30" s="72" t="s">
        <v>257</v>
      </c>
      <c r="C30" s="72" t="s">
        <v>258</v>
      </c>
      <c r="D30" s="75">
        <v>44469</v>
      </c>
      <c r="E30" s="137">
        <f>VLOOKUP(C30,'BD EVA 1 STC'!$D$3:$Q$108,14,0)</f>
        <v>0</v>
      </c>
      <c r="F30" s="75">
        <v>44834</v>
      </c>
      <c r="G30" s="123">
        <f ca="1">VLOOKUP(C30,'BD EVA 1 STC'!$D$3:$Y$108,22,0)</f>
        <v>0</v>
      </c>
      <c r="H30" s="123">
        <f>VLOOKUP(C30,'BD EVA 1 STC'!$D$3:$R$108,15,0)</f>
        <v>4</v>
      </c>
      <c r="I30" s="78">
        <f t="shared" ca="1" si="9"/>
        <v>0</v>
      </c>
      <c r="J30" s="75" t="s">
        <v>318</v>
      </c>
      <c r="K30" s="71">
        <v>2.5</v>
      </c>
      <c r="L30" s="129">
        <f t="shared" ca="1" si="6"/>
        <v>0</v>
      </c>
      <c r="M30" s="127"/>
    </row>
  </sheetData>
  <mergeCells count="6">
    <mergeCell ref="M2:M4"/>
    <mergeCell ref="M5:M10"/>
    <mergeCell ref="M11:M14"/>
    <mergeCell ref="M15:M22"/>
    <mergeCell ref="M23:M26"/>
    <mergeCell ref="M27:M3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BA5A-15E4-FD4F-88C4-0B13593CA5DD}">
  <dimension ref="A1:AC111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64" t="s">
        <v>321</v>
      </c>
      <c r="S1" s="64" t="s">
        <v>18</v>
      </c>
      <c r="T1" s="64" t="s">
        <v>322</v>
      </c>
      <c r="U1" s="64" t="s">
        <v>20</v>
      </c>
      <c r="V1" s="64" t="s">
        <v>323</v>
      </c>
      <c r="W1" s="64" t="s">
        <v>22</v>
      </c>
      <c r="X1" s="61" t="s">
        <v>23</v>
      </c>
      <c r="Y1" s="61" t="s">
        <v>324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13"/>
      <c r="P2" s="12">
        <v>325468</v>
      </c>
      <c r="Q2" s="12">
        <v>325468</v>
      </c>
      <c r="R2" s="4"/>
      <c r="S2" s="6"/>
      <c r="T2" s="6"/>
      <c r="U2" s="6"/>
      <c r="V2" s="6"/>
      <c r="W2" s="6"/>
      <c r="X2" s="12">
        <v>328847</v>
      </c>
      <c r="Y2" s="12">
        <v>328847</v>
      </c>
      <c r="Z2" s="12">
        <v>332214</v>
      </c>
      <c r="AA2" s="12">
        <v>332214</v>
      </c>
      <c r="AB2" s="12">
        <v>335570</v>
      </c>
      <c r="AC2" s="12">
        <v>335570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265</v>
      </c>
      <c r="Q3" s="12">
        <v>265</v>
      </c>
      <c r="R3" s="4">
        <v>299</v>
      </c>
      <c r="S3" s="4">
        <v>333</v>
      </c>
      <c r="T3" s="4">
        <v>366</v>
      </c>
      <c r="U3" s="4">
        <v>400</v>
      </c>
      <c r="V3" s="4">
        <v>434</v>
      </c>
      <c r="W3" s="4">
        <f>V3</f>
        <v>434</v>
      </c>
      <c r="X3" s="2">
        <v>284</v>
      </c>
      <c r="Y3" s="2">
        <f ca="1">IFERROR(__xludf.DUMMYFUNCTION("INDEX(IMPORTRANGE(""1y0FWgjbB0gVlqn-q5LMJbGIsqOrzru4yowQz67dz2yc"", ""'STC'!BH3:BH139""),MATCH(D3,IMPORTRANGE(""1y0FWgjbB0gVlqn-q5LMJbGIsqOrzru4yowQz67dz2yc"", ""'STC'!D3:D139""),0))"),371)</f>
        <v>371</v>
      </c>
      <c r="Z3" s="2">
        <f ca="1">IFERROR(__xludf.DUMMYFUNCTION("INDEX(IMPORTRANGE(""1y0FWgjbB0gVlqn-q5LMJbGIsqOrzru4yowQz67dz2yc"", ""'STC'!BI3:BI139""),MATCH(D3,IMPORTRANGE(""1y0FWgjbB0gVlqn-q5LMJbGIsqOrzru4yowQz67dz2yc"", ""'STC'!D3:D139""),0))"),382)</f>
        <v>382</v>
      </c>
      <c r="AA3" s="2"/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262</v>
      </c>
      <c r="Q4" s="12">
        <v>262</v>
      </c>
      <c r="R4" s="4"/>
      <c r="S4" s="4"/>
      <c r="T4" s="4"/>
      <c r="U4" s="4"/>
      <c r="V4" s="4"/>
      <c r="W4" s="4"/>
      <c r="X4" s="2">
        <v>241</v>
      </c>
      <c r="Y4" s="2">
        <f ca="1">IFERROR(__xludf.DUMMYFUNCTION("INDEX(IMPORTRANGE(""1y0FWgjbB0gVlqn-q5LMJbGIsqOrzru4yowQz67dz2yc"", ""'STC'!BH3:BH139""),MATCH(D4,IMPORTRANGE(""1y0FWgjbB0gVlqn-q5LMJbGIsqOrzru4yowQz67dz2yc"", ""'STC'!D3:D139""),0))"),280)</f>
        <v>280</v>
      </c>
      <c r="Z4" s="2">
        <f ca="1">IFERROR(__xludf.DUMMYFUNCTION("INDEX(IMPORTRANGE(""1y0FWgjbB0gVlqn-q5LMJbGIsqOrzru4yowQz67dz2yc"", ""'STC'!BI3:BI139""),MATCH(D4,IMPORTRANGE(""1y0FWgjbB0gVlqn-q5LMJbGIsqOrzru4yowQz67dz2yc"", ""'STC'!D3:D139""),0))"),286)</f>
        <v>286</v>
      </c>
      <c r="AA4" s="1"/>
      <c r="AB4" s="1"/>
      <c r="AC4" s="1"/>
    </row>
    <row r="5" spans="1:29">
      <c r="A5" s="261" t="s">
        <v>34</v>
      </c>
      <c r="B5" s="261" t="s">
        <v>40</v>
      </c>
      <c r="C5" s="47" t="s">
        <v>36</v>
      </c>
      <c r="D5" s="156" t="s">
        <v>43</v>
      </c>
      <c r="E5" s="192" t="s">
        <v>38</v>
      </c>
      <c r="F5" s="192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0.98867924528301887</v>
      </c>
      <c r="Q5" s="15">
        <f t="shared" si="0"/>
        <v>0.98867924528301887</v>
      </c>
      <c r="R5" s="14" t="s">
        <v>327</v>
      </c>
      <c r="S5" s="14" t="s">
        <v>327</v>
      </c>
      <c r="T5" s="14" t="s">
        <v>327</v>
      </c>
      <c r="U5" s="14" t="s">
        <v>327</v>
      </c>
      <c r="V5" s="14" t="s">
        <v>327</v>
      </c>
      <c r="W5" s="14" t="s">
        <v>327</v>
      </c>
      <c r="X5" s="15">
        <f>X4/X3</f>
        <v>0.84859154929577463</v>
      </c>
      <c r="Y5" s="15">
        <f ca="1">IFERROR(__xludf.DUMMYFUNCTION("INDEX(IMPORTRANGE(""1y0FWgjbB0gVlqn-q5LMJbGIsqOrzru4yowQz67dz2yc"", ""'STC'!BH3:BH139""),MATCH(D5,IMPORTRANGE(""1y0FWgjbB0gVlqn-q5LMJbGIsqOrzru4yowQz67dz2yc"", ""'STC'!D3:D139""),0))"),0.754716981132075)</f>
        <v>0.75471698113207497</v>
      </c>
      <c r="Z5" s="15">
        <f ca="1">IFERROR(__xludf.DUMMYFUNCTION("INDEX(IMPORTRANGE(""1y0FWgjbB0gVlqn-q5LMJbGIsqOrzru4yowQz67dz2yc"", ""'STC'!BI3:BI139""),MATCH(D5,IMPORTRANGE(""1y0FWgjbB0gVlqn-q5LMJbGIsqOrzru4yowQz67dz2yc"", ""'STC'!D3:D139""),0))"),0.748691099476439)</f>
        <v>0.74869109947643897</v>
      </c>
      <c r="AA5" s="47"/>
      <c r="AB5" s="47"/>
      <c r="AC5" s="47"/>
    </row>
    <row r="6" spans="1:29">
      <c r="A6" s="7" t="s">
        <v>34</v>
      </c>
      <c r="B6" s="7" t="s">
        <v>45</v>
      </c>
      <c r="C6" s="1" t="s">
        <v>30</v>
      </c>
      <c r="D6" s="156" t="s">
        <v>328</v>
      </c>
      <c r="E6" s="21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18"/>
      <c r="Y6" s="2">
        <f ca="1">IFERROR(__xludf.DUMMYFUNCTION("INDEX(IMPORTRANGE(""1y0FWgjbB0gVlqn-q5LMJbGIsqOrzru4yowQz67dz2yc"", ""'STC'!BH3:BH139""),MATCH(D6,IMPORTRANGE(""1y0FWgjbB0gVlqn-q5LMJbGIsqOrzru4yowQz67dz2yc"", ""'STC'!D3:D139""),0))"),22)</f>
        <v>22</v>
      </c>
      <c r="Z6" s="2">
        <f ca="1">IFERROR(__xludf.DUMMYFUNCTION("INDEX(IMPORTRANGE(""1y0FWgjbB0gVlqn-q5LMJbGIsqOrzru4yowQz67dz2yc"", ""'STC'!BI3:BI139""),MATCH(D6,IMPORTRANGE(""1y0FWgjbB0gVlqn-q5LMJbGIsqOrzru4yowQz67dz2yc"", ""'STC'!D3:D139""),0))"),22)</f>
        <v>22</v>
      </c>
      <c r="AA6" s="1"/>
      <c r="AB6" s="1"/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329</v>
      </c>
      <c r="E7" s="21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2"/>
      <c r="Q7" s="2"/>
      <c r="R7" s="2">
        <v>3.9E-2</v>
      </c>
      <c r="S7" s="2">
        <v>4.2999999999999997E-2</v>
      </c>
      <c r="T7" s="2">
        <v>4.9000000000000002E-2</v>
      </c>
      <c r="U7" s="2">
        <v>5.7000000000000002E-2</v>
      </c>
      <c r="V7" s="2">
        <v>6.5000000000000002E-2</v>
      </c>
      <c r="W7" s="2">
        <v>0.11799999999999999</v>
      </c>
      <c r="X7" s="18"/>
      <c r="Y7" s="2">
        <f ca="1">IFERROR(__xludf.DUMMYFUNCTION("INDEX(IMPORTRANGE(""1y0FWgjbB0gVlqn-q5LMJbGIsqOrzru4yowQz67dz2yc"", ""'STC'!BH3:BH139""),MATCH(D7,IMPORTRANGE(""1y0FWgjbB0gVlqn-q5LMJbGIsqOrzru4yowQz67dz2yc"", ""'STC'!D3:D139""),0))"),0)</f>
        <v>0</v>
      </c>
      <c r="Z7" s="2">
        <f ca="1">IFERROR(__xludf.DUMMYFUNCTION("INDEX(IMPORTRANGE(""1y0FWgjbB0gVlqn-q5LMJbGIsqOrzru4yowQz67dz2yc"", ""'STC'!BI3:BI139""),MATCH(D7,IMPORTRANGE(""1y0FWgjbB0gVlqn-q5LMJbGIsqOrzru4yowQz67dz2yc"", ""'STC'!D3:D139""),0))"),0)</f>
        <v>0</v>
      </c>
      <c r="AA7" s="1"/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2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26">
        <v>9.2999999999999999E-2</v>
      </c>
      <c r="S8" s="26">
        <v>9.6000000000000002E-2</v>
      </c>
      <c r="T8" s="26">
        <v>9.8000000000000004E-2</v>
      </c>
      <c r="U8" s="26">
        <v>0.10100000000000001</v>
      </c>
      <c r="V8" s="26">
        <v>0.104</v>
      </c>
      <c r="W8" s="26">
        <f>V8</f>
        <v>0.104</v>
      </c>
      <c r="X8" s="19">
        <f>X6/X3</f>
        <v>0</v>
      </c>
      <c r="Y8" s="15">
        <f ca="1">IFERROR(__xludf.DUMMYFUNCTION("INDEX(IMPORTRANGE(""1y0FWgjbB0gVlqn-q5LMJbGIsqOrzru4yowQz67dz2yc"", ""'STC'!BH3:BH139""),MATCH(D8,IMPORTRANGE(""1y0FWgjbB0gVlqn-q5LMJbGIsqOrzru4yowQz67dz2yc"", ""'STC'!D3:D139""),0))"),0.059299191374663)</f>
        <v>5.9299191374663003E-2</v>
      </c>
      <c r="Z8" s="15">
        <f ca="1">IFERROR(__xludf.DUMMYFUNCTION("INDEX(IMPORTRANGE(""1y0FWgjbB0gVlqn-q5LMJbGIsqOrzru4yowQz67dz2yc"", ""'STC'!BI3:BI139""),MATCH(D8,IMPORTRANGE(""1y0FWgjbB0gVlqn-q5LMJbGIsqOrzru4yowQz67dz2yc"", ""'STC'!D3:D139""),0))"),0.0575916230366492)</f>
        <v>5.7591623036649199E-2</v>
      </c>
      <c r="AA8" s="1"/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9</v>
      </c>
      <c r="Q9" s="2">
        <v>74</v>
      </c>
      <c r="R9" s="4"/>
      <c r="S9" s="4"/>
      <c r="T9" s="4"/>
      <c r="U9" s="4"/>
      <c r="V9" s="4"/>
      <c r="W9" s="4"/>
      <c r="X9" s="2">
        <v>18</v>
      </c>
      <c r="Y9" s="2">
        <f ca="1">IFERROR(__xludf.DUMMYFUNCTION("INDEX(IMPORTRANGE(""1y0FWgjbB0gVlqn-q5LMJbGIsqOrzru4yowQz67dz2yc"", ""'STC'!BH3:BH139""),MATCH(D9,IMPORTRANGE(""1y0FWgjbB0gVlqn-q5LMJbGIsqOrzru4yowQz67dz2yc"", ""'STC'!D3:D139""),0))"),318)</f>
        <v>318</v>
      </c>
      <c r="Z9" s="2">
        <f ca="1">IFERROR(__xludf.DUMMYFUNCTION("INDEX(IMPORTRANGE(""1y0FWgjbB0gVlqn-q5LMJbGIsqOrzru4yowQz67dz2yc"", ""'STC'!BI3:BI139""),MATCH(D9,IMPORTRANGE(""1y0FWgjbB0gVlqn-q5LMJbGIsqOrzru4yowQz67dz2yc"", ""'STC'!D3:D139""),0))"),1064)</f>
        <v>1064</v>
      </c>
      <c r="AA9" s="1"/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1695</v>
      </c>
      <c r="Q10" s="12">
        <v>2149</v>
      </c>
      <c r="R10" s="4"/>
      <c r="S10" s="4"/>
      <c r="T10" s="4"/>
      <c r="U10" s="4"/>
      <c r="V10" s="4"/>
      <c r="W10" s="4"/>
      <c r="X10" s="12">
        <v>312</v>
      </c>
      <c r="Y10" s="12">
        <f ca="1">IFERROR(__xludf.DUMMYFUNCTION("INDEX(IMPORTRANGE(""1y0FWgjbB0gVlqn-q5LMJbGIsqOrzru4yowQz67dz2yc"", ""'STC'!BH3:BH139""),MATCH(D10,IMPORTRANGE(""1y0FWgjbB0gVlqn-q5LMJbGIsqOrzru4yowQz67dz2yc"", ""'STC'!D3:D139""),0))"),983)</f>
        <v>983</v>
      </c>
      <c r="Z10" s="12">
        <f ca="1">IFERROR(__xludf.DUMMYFUNCTION("INDEX(IMPORTRANGE(""1y0FWgjbB0gVlqn-q5LMJbGIsqOrzru4yowQz67dz2yc"", ""'STC'!BI3:BI139""),MATCH(D10,IMPORTRANGE(""1y0FWgjbB0gVlqn-q5LMJbGIsqOrzru4yowQz67dz2yc"", ""'STC'!D3:D139""),0))"),2909)</f>
        <v>2909</v>
      </c>
      <c r="AA10" s="1"/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5.3097345132743362E-3</v>
      </c>
      <c r="Q11" s="15">
        <f t="shared" si="2"/>
        <v>3.4434620753838997E-2</v>
      </c>
      <c r="R11" s="26">
        <v>3.9E-2</v>
      </c>
      <c r="S11" s="26">
        <v>0.36</v>
      </c>
      <c r="T11" s="26">
        <f t="shared" ref="T11:V11" si="3">($W$11-$S$11)/3+S11</f>
        <v>0.37333333333333335</v>
      </c>
      <c r="U11" s="26">
        <f t="shared" si="3"/>
        <v>0.38666666666666671</v>
      </c>
      <c r="V11" s="26">
        <f t="shared" si="3"/>
        <v>0.40000000000000008</v>
      </c>
      <c r="W11" s="26">
        <v>0.4</v>
      </c>
      <c r="X11" s="15">
        <f>X9/X10</f>
        <v>5.7692307692307696E-2</v>
      </c>
      <c r="Y11" s="15">
        <f ca="1">IFERROR(__xludf.DUMMYFUNCTION("INDEX(IMPORTRANGE(""1y0FWgjbB0gVlqn-q5LMJbGIsqOrzru4yowQz67dz2yc"", ""'STC'!BH3:BH139""),MATCH(D11,IMPORTRANGE(""1y0FWgjbB0gVlqn-q5LMJbGIsqOrzru4yowQz67dz2yc"", ""'STC'!D3:D139""),0))"),0.323499491353001)</f>
        <v>0.32349949135300099</v>
      </c>
      <c r="Z11" s="15">
        <f ca="1">IFERROR(__xludf.DUMMYFUNCTION("INDEX(IMPORTRANGE(""1y0FWgjbB0gVlqn-q5LMJbGIsqOrzru4yowQz67dz2yc"", ""'STC'!BI3:BI139""),MATCH(D11,IMPORTRANGE(""1y0FWgjbB0gVlqn-q5LMJbGIsqOrzru4yowQz67dz2yc"", ""'STC'!D3:D139""),0))"),0.365761430044688)</f>
        <v>0.36576143004468797</v>
      </c>
      <c r="AA11" s="1"/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23</v>
      </c>
      <c r="Q12" s="2">
        <v>42</v>
      </c>
      <c r="R12" s="4"/>
      <c r="S12" s="4"/>
      <c r="T12" s="4"/>
      <c r="U12" s="4"/>
      <c r="V12" s="4"/>
      <c r="W12" s="4"/>
      <c r="X12" s="2">
        <v>44</v>
      </c>
      <c r="Y12" s="2">
        <f ca="1">IFERROR(__xludf.DUMMYFUNCTION("INDEX(IMPORTRANGE(""1y0FWgjbB0gVlqn-q5LMJbGIsqOrzru4yowQz67dz2yc"", ""'STC'!BH3:BH139""),MATCH(D12,IMPORTRANGE(""1y0FWgjbB0gVlqn-q5LMJbGIsqOrzru4yowQz67dz2yc"", ""'STC'!D3:D139""),0))"),87)</f>
        <v>87</v>
      </c>
      <c r="Z12" s="2">
        <f ca="1">IFERROR(__xludf.DUMMYFUNCTION("INDEX(IMPORTRANGE(""1y0FWgjbB0gVlqn-q5LMJbGIsqOrzru4yowQz67dz2yc"", ""'STC'!BI3:BI139""),MATCH(D12,IMPORTRANGE(""1y0FWgjbB0gVlqn-q5LMJbGIsqOrzru4yowQz67dz2yc"", ""'STC'!D3:D139""),0))"),42)</f>
        <v>42</v>
      </c>
      <c r="AA12" s="1"/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7.066746961298807</v>
      </c>
      <c r="Q13" s="23">
        <f t="shared" si="4"/>
        <v>12.904494451067386</v>
      </c>
      <c r="R13" s="2">
        <v>12.6</v>
      </c>
      <c r="S13" s="2">
        <v>6.7</v>
      </c>
      <c r="T13" s="2">
        <v>12.3</v>
      </c>
      <c r="U13" s="2">
        <v>6.6</v>
      </c>
      <c r="V13" s="2">
        <v>12</v>
      </c>
      <c r="W13" s="2">
        <v>12</v>
      </c>
      <c r="X13" s="23">
        <f>(X12/X$2)*100000</f>
        <v>13.380082530781792</v>
      </c>
      <c r="Y13" s="23">
        <f ca="1">IFERROR(__xludf.DUMMYFUNCTION("INDEX(IMPORTRANGE(""1y0FWgjbB0gVlqn-q5LMJbGIsqOrzru4yowQz67dz2yc"", ""'STC'!BH3:BH139""),MATCH(D13,IMPORTRANGE(""1y0FWgjbB0gVlqn-q5LMJbGIsqOrzru4yowQz67dz2yc"", ""'STC'!D3:D139""),0))"),26.456072276773)</f>
        <v>26.456072276773</v>
      </c>
      <c r="Z13" s="23">
        <f ca="1">IFERROR(__xludf.DUMMYFUNCTION("INDEX(IMPORTRANGE(""1y0FWgjbB0gVlqn-q5LMJbGIsqOrzru4yowQz67dz2yc"", ""'STC'!BI3:BI139""),MATCH(D13,IMPORTRANGE(""1y0FWgjbB0gVlqn-q5LMJbGIsqOrzru4yowQz67dz2yc"", ""'STC'!D3:D139""),0))"),12.6424533583774)</f>
        <v>12.6424533583774</v>
      </c>
      <c r="AA13" s="1"/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30">
        <v>101</v>
      </c>
      <c r="Q14" s="2">
        <v>221</v>
      </c>
      <c r="R14" s="4"/>
      <c r="S14" s="4"/>
      <c r="T14" s="4"/>
      <c r="U14" s="4"/>
      <c r="V14" s="4"/>
      <c r="W14" s="4"/>
      <c r="X14" s="2">
        <v>76</v>
      </c>
      <c r="Y14" s="2">
        <f ca="1">IFERROR(__xludf.DUMMYFUNCTION("INDEX(IMPORTRANGE(""1y0FWgjbB0gVlqn-q5LMJbGIsqOrzru4yowQz67dz2yc"", ""'STC'!BH3:BH139""),MATCH(D14,IMPORTRANGE(""1y0FWgjbB0gVlqn-q5LMJbGIsqOrzru4yowQz67dz2yc"", ""'STC'!D3:D139""),0))"),190)</f>
        <v>190</v>
      </c>
      <c r="Z14" s="2">
        <f ca="1">IFERROR(__xludf.DUMMYFUNCTION("INDEX(IMPORTRANGE(""1y0FWgjbB0gVlqn-q5LMJbGIsqOrzru4yowQz67dz2yc"", ""'STC'!BI3:BI139""),MATCH(D14,IMPORTRANGE(""1y0FWgjbB0gVlqn-q5LMJbGIsqOrzru4yowQz67dz2yc"", ""'STC'!D3:D139""),0))"),82)</f>
        <v>82</v>
      </c>
      <c r="AA14" s="1"/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30">
        <v>185</v>
      </c>
      <c r="Q15" s="2">
        <v>401</v>
      </c>
      <c r="R15" s="4"/>
      <c r="S15" s="4"/>
      <c r="T15" s="4"/>
      <c r="U15" s="4"/>
      <c r="V15" s="4"/>
      <c r="W15" s="4"/>
      <c r="X15" s="2">
        <v>253</v>
      </c>
      <c r="Y15" s="2">
        <f ca="1">IFERROR(__xludf.DUMMYFUNCTION("INDEX(IMPORTRANGE(""1y0FWgjbB0gVlqn-q5LMJbGIsqOrzru4yowQz67dz2yc"", ""'STC'!BH3:BH139""),MATCH(D15,IMPORTRANGE(""1y0FWgjbB0gVlqn-q5LMJbGIsqOrzru4yowQz67dz2yc"", ""'STC'!D3:D139""),0))"),500)</f>
        <v>500</v>
      </c>
      <c r="Z15" s="2">
        <f ca="1">IFERROR(__xludf.DUMMYFUNCTION("INDEX(IMPORTRANGE(""1y0FWgjbB0gVlqn-q5LMJbGIsqOrzru4yowQz67dz2yc"", ""'STC'!BI3:BI139""),MATCH(D15,IMPORTRANGE(""1y0FWgjbB0gVlqn-q5LMJbGIsqOrzru4yowQz67dz2yc"", ""'STC'!D3:D139""),0))"),216)</f>
        <v>216</v>
      </c>
      <c r="AA15" s="1"/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30">
        <v>97</v>
      </c>
      <c r="Q16" s="2">
        <v>226</v>
      </c>
      <c r="R16" s="4"/>
      <c r="S16" s="4"/>
      <c r="T16" s="4"/>
      <c r="U16" s="4"/>
      <c r="V16" s="4"/>
      <c r="W16" s="4"/>
      <c r="X16" s="2">
        <v>93</v>
      </c>
      <c r="Y16" s="2">
        <f ca="1">IFERROR(__xludf.DUMMYFUNCTION("INDEX(IMPORTRANGE(""1y0FWgjbB0gVlqn-q5LMJbGIsqOrzru4yowQz67dz2yc"", ""'STC'!BH3:BH139""),MATCH(D16,IMPORTRANGE(""1y0FWgjbB0gVlqn-q5LMJbGIsqOrzru4yowQz67dz2yc"", ""'STC'!D3:D139""),0))"),194)</f>
        <v>194</v>
      </c>
      <c r="Z16" s="2">
        <f ca="1">IFERROR(__xludf.DUMMYFUNCTION("INDEX(IMPORTRANGE(""1y0FWgjbB0gVlqn-q5LMJbGIsqOrzru4yowQz67dz2yc"", ""'STC'!BI3:BI139""),MATCH(D16,IMPORTRANGE(""1y0FWgjbB0gVlqn-q5LMJbGIsqOrzru4yowQz67dz2yc"", ""'STC'!D3:D139""),0))"),61)</f>
        <v>61</v>
      </c>
      <c r="AA16" s="1"/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30">
        <v>101</v>
      </c>
      <c r="Q17" s="2">
        <v>176</v>
      </c>
      <c r="R17" s="4"/>
      <c r="S17" s="4"/>
      <c r="T17" s="4"/>
      <c r="U17" s="4"/>
      <c r="V17" s="4"/>
      <c r="W17" s="4"/>
      <c r="X17" s="2">
        <v>56</v>
      </c>
      <c r="Y17" s="2">
        <f ca="1">IFERROR(__xludf.DUMMYFUNCTION("INDEX(IMPORTRANGE(""1y0FWgjbB0gVlqn-q5LMJbGIsqOrzru4yowQz67dz2yc"", ""'STC'!BH3:BH139""),MATCH(D17,IMPORTRANGE(""1y0FWgjbB0gVlqn-q5LMJbGIsqOrzru4yowQz67dz2yc"", ""'STC'!D3:D139""),0))"),136)</f>
        <v>136</v>
      </c>
      <c r="Z17" s="2">
        <f ca="1">IFERROR(__xludf.DUMMYFUNCTION("INDEX(IMPORTRANGE(""1y0FWgjbB0gVlqn-q5LMJbGIsqOrzru4yowQz67dz2yc"", ""'STC'!BI3:BI139""),MATCH(D17,IMPORTRANGE(""1y0FWgjbB0gVlqn-q5LMJbGIsqOrzru4yowQz67dz2yc"", ""'STC'!D3:D139""),0))"),68)</f>
        <v>68</v>
      </c>
      <c r="AA17" s="1"/>
      <c r="AB17" s="1"/>
      <c r="AC17" s="1"/>
    </row>
    <row r="18" spans="1:29">
      <c r="A18" s="7" t="s">
        <v>52</v>
      </c>
      <c r="B18" s="7" t="s">
        <v>68</v>
      </c>
      <c r="C18" s="1" t="s">
        <v>36</v>
      </c>
      <c r="D18" s="7" t="s">
        <v>84</v>
      </c>
      <c r="E18" s="9" t="s">
        <v>76</v>
      </c>
      <c r="F18" s="9" t="s">
        <v>85</v>
      </c>
      <c r="G18" s="22" t="s">
        <v>56</v>
      </c>
      <c r="H18" s="22" t="s">
        <v>57</v>
      </c>
      <c r="I18" s="9" t="s">
        <v>58</v>
      </c>
      <c r="J18" s="9" t="s">
        <v>59</v>
      </c>
      <c r="K18" s="9" t="s">
        <v>60</v>
      </c>
      <c r="L18" s="9" t="s">
        <v>61</v>
      </c>
      <c r="M18" s="9" t="s">
        <v>62</v>
      </c>
      <c r="N18" s="9" t="s">
        <v>63</v>
      </c>
      <c r="O18" s="9" t="s">
        <v>63</v>
      </c>
      <c r="P18" s="23">
        <f t="shared" ref="P18:Q18" si="5">(SUM(P14:P17)/P2)*100000</f>
        <v>148.70893605515749</v>
      </c>
      <c r="Q18" s="23">
        <f t="shared" si="5"/>
        <v>314.62386471173818</v>
      </c>
      <c r="R18" s="2">
        <v>257.10000000000002</v>
      </c>
      <c r="S18" s="2">
        <v>94.3</v>
      </c>
      <c r="T18" s="2">
        <v>199.5</v>
      </c>
      <c r="U18" s="2">
        <v>67.099999999999994</v>
      </c>
      <c r="V18" s="2">
        <v>142</v>
      </c>
      <c r="W18" s="2">
        <v>142</v>
      </c>
      <c r="X18" s="23">
        <f>(SUM(X14:X17)/X2)*100000</f>
        <v>145.35635112985673</v>
      </c>
      <c r="Y18" s="23">
        <f ca="1">IFERROR(__xludf.DUMMYFUNCTION("INDEX(IMPORTRANGE(""1y0FWgjbB0gVlqn-q5LMJbGIsqOrzru4yowQz67dz2yc"", ""'STC'!BH3:BH139""),MATCH(D18,IMPORTRANGE(""1y0FWgjbB0gVlqn-q5LMJbGIsqOrzru4yowQz67dz2yc"", ""'STC'!D3:D139""),0))"),310.174640486305)</f>
        <v>310.17464048630501</v>
      </c>
      <c r="Z18" s="23">
        <f ca="1">IFERROR(__xludf.DUMMYFUNCTION("INDEX(IMPORTRANGE(""1y0FWgjbB0gVlqn-q5LMJbGIsqOrzru4yowQz67dz2yc"", ""'STC'!BI3:BI139""),MATCH(D18,IMPORTRANGE(""1y0FWgjbB0gVlqn-q5LMJbGIsqOrzru4yowQz67dz2yc"", ""'STC'!D3:D139""),0))"),128.531609143503)</f>
        <v>128.531609143503</v>
      </c>
      <c r="AA18" s="1"/>
      <c r="AB18" s="1"/>
      <c r="AC18" s="1"/>
    </row>
    <row r="19" spans="1:29">
      <c r="A19" s="7" t="s">
        <v>52</v>
      </c>
      <c r="B19" s="7" t="s">
        <v>86</v>
      </c>
      <c r="C19" s="1" t="s">
        <v>30</v>
      </c>
      <c r="D19" s="7" t="s">
        <v>87</v>
      </c>
      <c r="E19" s="9" t="s">
        <v>76</v>
      </c>
      <c r="F19" s="9" t="s">
        <v>88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12">
        <v>1241</v>
      </c>
      <c r="Q19" s="12">
        <v>2802</v>
      </c>
      <c r="R19" s="4"/>
      <c r="S19" s="4"/>
      <c r="T19" s="4"/>
      <c r="U19" s="4"/>
      <c r="V19" s="4"/>
      <c r="W19" s="4"/>
      <c r="X19" s="12">
        <v>1347</v>
      </c>
      <c r="Y19" s="12">
        <f ca="1">IFERROR(__xludf.DUMMYFUNCTION("INDEX(IMPORTRANGE(""1y0FWgjbB0gVlqn-q5LMJbGIsqOrzru4yowQz67dz2yc"", ""'STC'!BH3:BH139""),MATCH(D19,IMPORTRANGE(""1y0FWgjbB0gVlqn-q5LMJbGIsqOrzru4yowQz67dz2yc"", ""'STC'!D3:D139""),0))"),2976)</f>
        <v>2976</v>
      </c>
      <c r="Z19" s="12">
        <f ca="1">IFERROR(__xludf.DUMMYFUNCTION("INDEX(IMPORTRANGE(""1y0FWgjbB0gVlqn-q5LMJbGIsqOrzru4yowQz67dz2yc"", ""'STC'!BI3:BI139""),MATCH(D19,IMPORTRANGE(""1y0FWgjbB0gVlqn-q5LMJbGIsqOrzru4yowQz67dz2yc"", ""'STC'!D3:D139""),0))"),1300)</f>
        <v>1300</v>
      </c>
      <c r="AA19" s="1"/>
      <c r="AB19" s="1"/>
      <c r="AC19" s="1"/>
    </row>
    <row r="20" spans="1:29">
      <c r="A20" s="7" t="s">
        <v>52</v>
      </c>
      <c r="B20" s="7" t="s">
        <v>86</v>
      </c>
      <c r="C20" s="1" t="s">
        <v>36</v>
      </c>
      <c r="D20" s="7" t="s">
        <v>89</v>
      </c>
      <c r="E20" s="9" t="s">
        <v>76</v>
      </c>
      <c r="F20" s="9" t="s">
        <v>90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23">
        <f t="shared" ref="P20:Q20" si="6">(P19/P$2)*100000</f>
        <v>381.297086042253</v>
      </c>
      <c r="Q20" s="23">
        <f t="shared" si="6"/>
        <v>860.91412980692417</v>
      </c>
      <c r="R20" s="2">
        <v>760.6</v>
      </c>
      <c r="S20" s="2">
        <v>292.39999999999998</v>
      </c>
      <c r="T20" s="2">
        <v>660.3</v>
      </c>
      <c r="U20" s="2">
        <v>248</v>
      </c>
      <c r="V20" s="2">
        <v>560</v>
      </c>
      <c r="W20" s="2">
        <v>560</v>
      </c>
      <c r="X20" s="23">
        <f>(X19/X$2)*100000</f>
        <v>409.61298111279717</v>
      </c>
      <c r="Y20" s="23">
        <f ca="1">IFERROR(__xludf.DUMMYFUNCTION("INDEX(IMPORTRANGE(""1y0FWgjbB0gVlqn-q5LMJbGIsqOrzru4yowQz67dz2yc"", ""'STC'!BH3:BH139""),MATCH(D20,IMPORTRANGE(""1y0FWgjbB0gVlqn-q5LMJbGIsqOrzru4yowQz67dz2yc"", ""'STC'!D3:D139""),0))"),904.980127536514)</f>
        <v>904.98012753651403</v>
      </c>
      <c r="Z20" s="23">
        <f ca="1">IFERROR(__xludf.DUMMYFUNCTION("INDEX(IMPORTRANGE(""1y0FWgjbB0gVlqn-q5LMJbGIsqOrzru4yowQz67dz2yc"", ""'STC'!BI3:BI139""),MATCH(D20,IMPORTRANGE(""1y0FWgjbB0gVlqn-q5LMJbGIsqOrzru4yowQz67dz2yc"", ""'STC'!D3:D139""),0))"),391.314032521206)</f>
        <v>391.314032521206</v>
      </c>
      <c r="AA20" s="1"/>
      <c r="AB20" s="1"/>
      <c r="AC20" s="1"/>
    </row>
    <row r="21" spans="1:29">
      <c r="A21" s="7" t="s">
        <v>52</v>
      </c>
      <c r="B21" s="7" t="s">
        <v>86</v>
      </c>
      <c r="C21" s="1" t="s">
        <v>30</v>
      </c>
      <c r="D21" s="7" t="s">
        <v>91</v>
      </c>
      <c r="E21" s="9" t="s">
        <v>76</v>
      </c>
      <c r="F21" s="9" t="s">
        <v>92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12">
        <v>215</v>
      </c>
      <c r="Q21" s="12">
        <v>470</v>
      </c>
      <c r="R21" s="4"/>
      <c r="S21" s="4"/>
      <c r="T21" s="4"/>
      <c r="U21" s="4"/>
      <c r="V21" s="4"/>
      <c r="W21" s="4"/>
      <c r="X21" s="12">
        <v>188</v>
      </c>
      <c r="Y21" s="12">
        <f ca="1">IFERROR(__xludf.DUMMYFUNCTION("INDEX(IMPORTRANGE(""1y0FWgjbB0gVlqn-q5LMJbGIsqOrzru4yowQz67dz2yc"", ""'STC'!BH3:BH139""),MATCH(D21,IMPORTRANGE(""1y0FWgjbB0gVlqn-q5LMJbGIsqOrzru4yowQz67dz2yc"", ""'STC'!D3:D139""),0))"),483)</f>
        <v>483</v>
      </c>
      <c r="Z21" s="12">
        <f ca="1">IFERROR(__xludf.DUMMYFUNCTION("INDEX(IMPORTRANGE(""1y0FWgjbB0gVlqn-q5LMJbGIsqOrzru4yowQz67dz2yc"", ""'STC'!BI3:BI139""),MATCH(D21,IMPORTRANGE(""1y0FWgjbB0gVlqn-q5LMJbGIsqOrzru4yowQz67dz2yc"", ""'STC'!D3:D139""),0))"),218)</f>
        <v>218</v>
      </c>
      <c r="AA21" s="1"/>
      <c r="AB21" s="1"/>
      <c r="AC21" s="1"/>
    </row>
    <row r="22" spans="1:29">
      <c r="A22" s="7" t="s">
        <v>52</v>
      </c>
      <c r="B22" s="7" t="s">
        <v>86</v>
      </c>
      <c r="C22" s="1" t="s">
        <v>36</v>
      </c>
      <c r="D22" s="7" t="s">
        <v>93</v>
      </c>
      <c r="E22" s="9" t="s">
        <v>76</v>
      </c>
      <c r="F22" s="9" t="s">
        <v>94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23">
        <f t="shared" ref="P22:Q22" si="7">(P21/P$2)*100000</f>
        <v>66.058721594749713</v>
      </c>
      <c r="Q22" s="23">
        <f t="shared" si="7"/>
        <v>144.4074379048017</v>
      </c>
      <c r="R22" s="2">
        <v>118.6</v>
      </c>
      <c r="S22" s="2">
        <v>42.5</v>
      </c>
      <c r="T22" s="2">
        <v>92.8</v>
      </c>
      <c r="U22" s="2">
        <v>30.6</v>
      </c>
      <c r="V22" s="2">
        <v>67</v>
      </c>
      <c r="W22" s="2">
        <v>67</v>
      </c>
      <c r="X22" s="23">
        <f>(X21/X$2)*100000</f>
        <v>57.169443540613116</v>
      </c>
      <c r="Y22" s="23">
        <f ca="1">IFERROR(__xludf.DUMMYFUNCTION("INDEX(IMPORTRANGE(""1y0FWgjbB0gVlqn-q5LMJbGIsqOrzru4yowQz67dz2yc"", ""'STC'!BH3:BH139""),MATCH(D22,IMPORTRANGE(""1y0FWgjbB0gVlqn-q5LMJbGIsqOrzru4yowQz67dz2yc"", ""'STC'!D3:D139""),0))"),146.876815053809)</f>
        <v>146.876815053809</v>
      </c>
      <c r="Z22" s="23">
        <f ca="1">IFERROR(__xludf.DUMMYFUNCTION("INDEX(IMPORTRANGE(""1y0FWgjbB0gVlqn-q5LMJbGIsqOrzru4yowQz67dz2yc"", ""'STC'!BI3:BI139""),MATCH(D22,IMPORTRANGE(""1y0FWgjbB0gVlqn-q5LMJbGIsqOrzru4yowQz67dz2yc"", ""'STC'!D3:D139""),0))"),65.6203531458638)</f>
        <v>65.620353145863803</v>
      </c>
      <c r="AA22" s="1"/>
      <c r="AB22" s="1"/>
      <c r="AC22" s="1"/>
    </row>
    <row r="23" spans="1:29">
      <c r="A23" s="7" t="s">
        <v>52</v>
      </c>
      <c r="B23" s="7" t="s">
        <v>86</v>
      </c>
      <c r="C23" s="1" t="s">
        <v>30</v>
      </c>
      <c r="D23" s="7" t="s">
        <v>95</v>
      </c>
      <c r="E23" s="9" t="s">
        <v>76</v>
      </c>
      <c r="F23" s="9" t="s">
        <v>96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12">
        <v>3</v>
      </c>
      <c r="Q23" s="12">
        <v>11</v>
      </c>
      <c r="R23" s="4"/>
      <c r="S23" s="4"/>
      <c r="T23" s="4"/>
      <c r="U23" s="4"/>
      <c r="V23" s="4"/>
      <c r="W23" s="4"/>
      <c r="X23" s="12">
        <v>11</v>
      </c>
      <c r="Y23" s="12">
        <f ca="1">IFERROR(__xludf.DUMMYFUNCTION("INDEX(IMPORTRANGE(""1y0FWgjbB0gVlqn-q5LMJbGIsqOrzru4yowQz67dz2yc"", ""'STC'!BH3:BH139""),MATCH(D23,IMPORTRANGE(""1y0FWgjbB0gVlqn-q5LMJbGIsqOrzru4yowQz67dz2yc"", ""'STC'!D3:D139""),0))"),22)</f>
        <v>22</v>
      </c>
      <c r="Z23" s="12">
        <f ca="1">IFERROR(__xludf.DUMMYFUNCTION("INDEX(IMPORTRANGE(""1y0FWgjbB0gVlqn-q5LMJbGIsqOrzru4yowQz67dz2yc"", ""'STC'!BI3:BI139""),MATCH(D23,IMPORTRANGE(""1y0FWgjbB0gVlqn-q5LMJbGIsqOrzru4yowQz67dz2yc"", ""'STC'!D3:D139""),0))"),10)</f>
        <v>10</v>
      </c>
      <c r="AA23" s="1"/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97</v>
      </c>
      <c r="E24" s="9" t="s">
        <v>76</v>
      </c>
      <c r="F24" s="9" t="s">
        <v>98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8</v>
      </c>
      <c r="Q24" s="12">
        <v>21</v>
      </c>
      <c r="R24" s="4"/>
      <c r="S24" s="4"/>
      <c r="T24" s="4"/>
      <c r="U24" s="4"/>
      <c r="V24" s="4"/>
      <c r="W24" s="4"/>
      <c r="X24" s="12">
        <v>9</v>
      </c>
      <c r="Y24" s="12">
        <f ca="1">IFERROR(__xludf.DUMMYFUNCTION("INDEX(IMPORTRANGE(""1y0FWgjbB0gVlqn-q5LMJbGIsqOrzru4yowQz67dz2yc"", ""'STC'!BH3:BH139""),MATCH(D24,IMPORTRANGE(""1y0FWgjbB0gVlqn-q5LMJbGIsqOrzru4yowQz67dz2yc"", ""'STC'!D3:D139""),0))"),34)</f>
        <v>34</v>
      </c>
      <c r="Z24" s="12">
        <f ca="1">IFERROR(__xludf.DUMMYFUNCTION("INDEX(IMPORTRANGE(""1y0FWgjbB0gVlqn-q5LMJbGIsqOrzru4yowQz67dz2yc"", ""'STC'!BI3:BI139""),MATCH(D24,IMPORTRANGE(""1y0FWgjbB0gVlqn-q5LMJbGIsqOrzru4yowQz67dz2yc"", ""'STC'!D3:D139""),0))"),20)</f>
        <v>20</v>
      </c>
      <c r="AA24" s="1"/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99</v>
      </c>
      <c r="E25" s="9" t="s">
        <v>76</v>
      </c>
      <c r="F25" s="9" t="s">
        <v>100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14</v>
      </c>
      <c r="Q25" s="12">
        <v>19</v>
      </c>
      <c r="R25" s="4"/>
      <c r="S25" s="4"/>
      <c r="T25" s="4"/>
      <c r="U25" s="4"/>
      <c r="V25" s="4"/>
      <c r="W25" s="4"/>
      <c r="X25" s="12">
        <v>10</v>
      </c>
      <c r="Y25" s="12">
        <f ca="1">IFERROR(__xludf.DUMMYFUNCTION("INDEX(IMPORTRANGE(""1y0FWgjbB0gVlqn-q5LMJbGIsqOrzru4yowQz67dz2yc"", ""'STC'!BH3:BH139""),MATCH(D25,IMPORTRANGE(""1y0FWgjbB0gVlqn-q5LMJbGIsqOrzru4yowQz67dz2yc"", ""'STC'!D3:D139""),0))"),18)</f>
        <v>18</v>
      </c>
      <c r="Z25" s="12">
        <f ca="1">IFERROR(__xludf.DUMMYFUNCTION("INDEX(IMPORTRANGE(""1y0FWgjbB0gVlqn-q5LMJbGIsqOrzru4yowQz67dz2yc"", ""'STC'!BI3:BI139""),MATCH(D25,IMPORTRANGE(""1y0FWgjbB0gVlqn-q5LMJbGIsqOrzru4yowQz67dz2yc"", ""'STC'!D3:D139""),0))"),14)</f>
        <v>14</v>
      </c>
      <c r="AA25" s="1"/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155" t="s">
        <v>101</v>
      </c>
      <c r="E26" s="9" t="s">
        <v>76</v>
      </c>
      <c r="F26" s="9" t="s">
        <v>102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</v>
      </c>
      <c r="Q26" s="12">
        <v>1</v>
      </c>
      <c r="R26" s="4"/>
      <c r="S26" s="4"/>
      <c r="T26" s="4"/>
      <c r="U26" s="4"/>
      <c r="V26" s="4"/>
      <c r="W26" s="4"/>
      <c r="X26" s="12">
        <v>1</v>
      </c>
      <c r="Y26" s="12">
        <f ca="1">IFERROR(__xludf.DUMMYFUNCTION("INDEX(IMPORTRANGE(""1y0FWgjbB0gVlqn-q5LMJbGIsqOrzru4yowQz67dz2yc"", ""'STC'!BH3:BH139""),MATCH(D26,IMPORTRANGE(""1y0FWgjbB0gVlqn-q5LMJbGIsqOrzru4yowQz67dz2yc"", ""'STC'!D3:D139""),0))"),2)</f>
        <v>2</v>
      </c>
      <c r="Z26" s="12">
        <f ca="1">IFERROR(__xludf.DUMMYFUNCTION("INDEX(IMPORTRANGE(""1y0FWgjbB0gVlqn-q5LMJbGIsqOrzru4yowQz67dz2yc"", ""'STC'!BI3:BI139""),MATCH(D26,IMPORTRANGE(""1y0FWgjbB0gVlqn-q5LMJbGIsqOrzru4yowQz67dz2yc"", ""'STC'!D3:D139""),0))"),0)</f>
        <v>0</v>
      </c>
      <c r="AA26" s="1"/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103</v>
      </c>
      <c r="E27" s="9" t="s">
        <v>76</v>
      </c>
      <c r="F27" s="9" t="s">
        <v>104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0</v>
      </c>
      <c r="Q27" s="12">
        <v>1</v>
      </c>
      <c r="R27" s="4"/>
      <c r="S27" s="4"/>
      <c r="T27" s="4"/>
      <c r="U27" s="4"/>
      <c r="V27" s="4"/>
      <c r="W27" s="4"/>
      <c r="X27" s="12">
        <v>0</v>
      </c>
      <c r="Y27" s="12">
        <f ca="1">IFERROR(__xludf.DUMMYFUNCTION("INDEX(IMPORTRANGE(""1y0FWgjbB0gVlqn-q5LMJbGIsqOrzru4yowQz67dz2yc"", ""'STC'!BH3:BH139""),MATCH(D27,IMPORTRANGE(""1y0FWgjbB0gVlqn-q5LMJbGIsqOrzru4yowQz67dz2yc"", ""'STC'!D3:D139""),0))"),0)</f>
        <v>0</v>
      </c>
      <c r="Z27" s="12">
        <f ca="1">IFERROR(__xludf.DUMMYFUNCTION("INDEX(IMPORTRANGE(""1y0FWgjbB0gVlqn-q5LMJbGIsqOrzru4yowQz67dz2yc"", ""'STC'!BI3:BI139""),MATCH(D27,IMPORTRANGE(""1y0FWgjbB0gVlqn-q5LMJbGIsqOrzru4yowQz67dz2yc"", ""'STC'!D3:D139""),0))"),0)</f>
        <v>0</v>
      </c>
      <c r="AA27" s="1"/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105</v>
      </c>
      <c r="E28" s="9" t="s">
        <v>76</v>
      </c>
      <c r="F28" s="9" t="s">
        <v>106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0</v>
      </c>
      <c r="R28" s="4"/>
      <c r="S28" s="4"/>
      <c r="T28" s="4"/>
      <c r="U28" s="4"/>
      <c r="V28" s="4"/>
      <c r="W28" s="4"/>
      <c r="X28" s="12">
        <v>0</v>
      </c>
      <c r="Y28" s="12">
        <f ca="1">IFERROR(__xludf.DUMMYFUNCTION("INDEX(IMPORTRANGE(""1y0FWgjbB0gVlqn-q5LMJbGIsqOrzru4yowQz67dz2yc"", ""'STC'!BH3:BH139""),MATCH(D28,IMPORTRANGE(""1y0FWgjbB0gVlqn-q5LMJbGIsqOrzru4yowQz67dz2yc"", ""'STC'!D3:D139""),0))"),0)</f>
        <v>0</v>
      </c>
      <c r="Z28" s="12">
        <f ca="1">IFERROR(__xludf.DUMMYFUNCTION("INDEX(IMPORTRANGE(""1y0FWgjbB0gVlqn-q5LMJbGIsqOrzru4yowQz67dz2yc"", ""'STC'!BI3:BI139""),MATCH(D28,IMPORTRANGE(""1y0FWgjbB0gVlqn-q5LMJbGIsqOrzru4yowQz67dz2yc"", ""'STC'!D3:D139""),0))"),0)</f>
        <v>0</v>
      </c>
      <c r="AA28" s="1"/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107</v>
      </c>
      <c r="E29" s="9" t="s">
        <v>76</v>
      </c>
      <c r="F29" s="9" t="s">
        <v>108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2</v>
      </c>
      <c r="Q29" s="12">
        <v>6</v>
      </c>
      <c r="R29" s="4"/>
      <c r="S29" s="4"/>
      <c r="T29" s="4"/>
      <c r="U29" s="4"/>
      <c r="V29" s="4"/>
      <c r="W29" s="4"/>
      <c r="X29" s="12">
        <v>0</v>
      </c>
      <c r="Y29" s="12">
        <f ca="1">IFERROR(__xludf.DUMMYFUNCTION("INDEX(IMPORTRANGE(""1y0FWgjbB0gVlqn-q5LMJbGIsqOrzru4yowQz67dz2yc"", ""'STC'!BH3:BH139""),MATCH(D29,IMPORTRANGE(""1y0FWgjbB0gVlqn-q5LMJbGIsqOrzru4yowQz67dz2yc"", ""'STC'!D3:D139""),0))"),3)</f>
        <v>3</v>
      </c>
      <c r="Z29" s="12">
        <f ca="1">IFERROR(__xludf.DUMMYFUNCTION("INDEX(IMPORTRANGE(""1y0FWgjbB0gVlqn-q5LMJbGIsqOrzru4yowQz67dz2yc"", ""'STC'!BI3:BI139""),MATCH(D29,IMPORTRANGE(""1y0FWgjbB0gVlqn-q5LMJbGIsqOrzru4yowQz67dz2yc"", ""'STC'!D3:D139""),0))"),4)</f>
        <v>4</v>
      </c>
      <c r="AA29" s="1"/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109</v>
      </c>
      <c r="E30" s="9" t="s">
        <v>76</v>
      </c>
      <c r="F30" s="9" t="s">
        <v>110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0</v>
      </c>
      <c r="Q30" s="12">
        <v>0</v>
      </c>
      <c r="R30" s="4"/>
      <c r="S30" s="4"/>
      <c r="T30" s="4"/>
      <c r="U30" s="4"/>
      <c r="V30" s="4"/>
      <c r="W30" s="4"/>
      <c r="X30" s="12">
        <v>1</v>
      </c>
      <c r="Y30" s="12">
        <f ca="1">IFERROR(__xludf.DUMMYFUNCTION("INDEX(IMPORTRANGE(""1y0FWgjbB0gVlqn-q5LMJbGIsqOrzru4yowQz67dz2yc"", ""'STC'!BH3:BH139""),MATCH(D30,IMPORTRANGE(""1y0FWgjbB0gVlqn-q5LMJbGIsqOrzru4yowQz67dz2yc"", ""'STC'!D3:D139""),0))"),2)</f>
        <v>2</v>
      </c>
      <c r="Z30" s="12">
        <f ca="1">IFERROR(__xludf.DUMMYFUNCTION("INDEX(IMPORTRANGE(""1y0FWgjbB0gVlqn-q5LMJbGIsqOrzru4yowQz67dz2yc"", ""'STC'!BI3:BI139""),MATCH(D30,IMPORTRANGE(""1y0FWgjbB0gVlqn-q5LMJbGIsqOrzru4yowQz67dz2yc"", ""'STC'!D3:D139""),0))"),0)</f>
        <v>0</v>
      </c>
      <c r="AA30" s="1"/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111</v>
      </c>
      <c r="E31" s="9" t="s">
        <v>76</v>
      </c>
      <c r="F31" s="9" t="s">
        <v>112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4"/>
      <c r="S31" s="4"/>
      <c r="T31" s="4"/>
      <c r="U31" s="4"/>
      <c r="V31" s="4"/>
      <c r="W31" s="4"/>
      <c r="X31" s="12">
        <v>0</v>
      </c>
      <c r="Y31" s="12">
        <f ca="1">IFERROR(__xludf.DUMMYFUNCTION("INDEX(IMPORTRANGE(""1y0FWgjbB0gVlqn-q5LMJbGIsqOrzru4yowQz67dz2yc"", ""'STC'!BH3:BH139""),MATCH(D31,IMPORTRANGE(""1y0FWgjbB0gVlqn-q5LMJbGIsqOrzru4yowQz67dz2yc"", ""'STC'!D3:D139""),0))"),0)</f>
        <v>0</v>
      </c>
      <c r="Z31" s="12">
        <f ca="1">IFERROR(__xludf.DUMMYFUNCTION("INDEX(IMPORTRANGE(""1y0FWgjbB0gVlqn-q5LMJbGIsqOrzru4yowQz67dz2yc"", ""'STC'!BI3:BI139""),MATCH(D31,IMPORTRANGE(""1y0FWgjbB0gVlqn-q5LMJbGIsqOrzru4yowQz67dz2yc"", ""'STC'!D3:D139""),0))"),0)</f>
        <v>0</v>
      </c>
      <c r="AA31" s="1"/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113</v>
      </c>
      <c r="E32" s="9" t="s">
        <v>76</v>
      </c>
      <c r="F32" s="9" t="s">
        <v>114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4"/>
      <c r="S32" s="4"/>
      <c r="T32" s="4"/>
      <c r="U32" s="4"/>
      <c r="V32" s="4"/>
      <c r="W32" s="4"/>
      <c r="X32" s="12">
        <v>4</v>
      </c>
      <c r="Y32" s="12">
        <f ca="1">IFERROR(__xludf.DUMMYFUNCTION("INDEX(IMPORTRANGE(""1y0FWgjbB0gVlqn-q5LMJbGIsqOrzru4yowQz67dz2yc"", ""'STC'!BH3:BH139""),MATCH(D32,IMPORTRANGE(""1y0FWgjbB0gVlqn-q5LMJbGIsqOrzru4yowQz67dz2yc"", ""'STC'!D3:D139""),0))"),6)</f>
        <v>6</v>
      </c>
      <c r="Z32" s="12">
        <f ca="1">IFERROR(__xludf.DUMMYFUNCTION("INDEX(IMPORTRANGE(""1y0FWgjbB0gVlqn-q5LMJbGIsqOrzru4yowQz67dz2yc"", ""'STC'!BI3:BI139""),MATCH(D32,IMPORTRANGE(""1y0FWgjbB0gVlqn-q5LMJbGIsqOrzru4yowQz67dz2yc"", ""'STC'!D3:D139""),0))"),4)</f>
        <v>4</v>
      </c>
      <c r="AA32" s="1"/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115</v>
      </c>
      <c r="E33" s="9" t="s">
        <v>76</v>
      </c>
      <c r="F33" s="9" t="s">
        <v>116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4"/>
      <c r="S33" s="4"/>
      <c r="T33" s="4"/>
      <c r="U33" s="4"/>
      <c r="V33" s="4"/>
      <c r="W33" s="4"/>
      <c r="X33" s="12">
        <v>1</v>
      </c>
      <c r="Y33" s="12">
        <f ca="1">IFERROR(__xludf.DUMMYFUNCTION("INDEX(IMPORTRANGE(""1y0FWgjbB0gVlqn-q5LMJbGIsqOrzru4yowQz67dz2yc"", ""'STC'!BH3:BH139""),MATCH(D33,IMPORTRANGE(""1y0FWgjbB0gVlqn-q5LMJbGIsqOrzru4yowQz67dz2yc"", ""'STC'!D3:D139""),0))"),4)</f>
        <v>4</v>
      </c>
      <c r="Z33" s="12">
        <f ca="1">IFERROR(__xludf.DUMMYFUNCTION("INDEX(IMPORTRANGE(""1y0FWgjbB0gVlqn-q5LMJbGIsqOrzru4yowQz67dz2yc"", ""'STC'!BI3:BI139""),MATCH(D33,IMPORTRANGE(""1y0FWgjbB0gVlqn-q5LMJbGIsqOrzru4yowQz67dz2yc"", ""'STC'!D3:D139""),0))"),3)</f>
        <v>3</v>
      </c>
      <c r="AA33" s="1"/>
      <c r="AB33" s="1"/>
      <c r="AC33" s="1"/>
    </row>
    <row r="34" spans="1:29">
      <c r="A34" s="7" t="s">
        <v>52</v>
      </c>
      <c r="B34" s="7" t="s">
        <v>86</v>
      </c>
      <c r="C34" s="1" t="s">
        <v>36</v>
      </c>
      <c r="D34" s="7" t="s">
        <v>117</v>
      </c>
      <c r="E34" s="9" t="s">
        <v>76</v>
      </c>
      <c r="F34" s="9" t="s">
        <v>118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23">
        <f t="shared" ref="P34:Q34" si="8">(SUM(P23:P33)/P$2)*100000</f>
        <v>8.6029963007115899</v>
      </c>
      <c r="Q34" s="23">
        <f t="shared" si="8"/>
        <v>18.127742205070852</v>
      </c>
      <c r="R34" s="2">
        <v>16.100000000000001</v>
      </c>
      <c r="S34" s="24">
        <v>6.7</v>
      </c>
      <c r="T34" s="2">
        <v>14</v>
      </c>
      <c r="U34" s="24">
        <v>5.7</v>
      </c>
      <c r="V34" s="2">
        <v>12</v>
      </c>
      <c r="W34" s="2">
        <v>12</v>
      </c>
      <c r="X34" s="23">
        <f>(SUM(X23:X33)/X$2)*100000</f>
        <v>11.251433037248326</v>
      </c>
      <c r="Y34" s="23">
        <f ca="1">IFERROR(__xludf.DUMMYFUNCTION("INDEX(IMPORTRANGE(""1y0FWgjbB0gVlqn-q5LMJbGIsqOrzru4yowQz67dz2yc"", ""'STC'!BH3:BH139""),MATCH(D34,IMPORTRANGE(""1y0FWgjbB0gVlqn-q5LMJbGIsqOrzru4yowQz67dz2yc"", ""'STC'!D3:D139""),0))"),27.672443415935)</f>
        <v>27.672443415935</v>
      </c>
      <c r="Z34" s="23">
        <f ca="1">IFERROR(__xludf.DUMMYFUNCTION("INDEX(IMPORTRANGE(""1y0FWgjbB0gVlqn-q5LMJbGIsqOrzru4yowQz67dz2yc"", ""'STC'!BI3:BI139""),MATCH(D34,IMPORTRANGE(""1y0FWgjbB0gVlqn-q5LMJbGIsqOrzru4yowQz67dz2yc"", ""'STC'!D3:D139""),0))"),16.5555936835894)</f>
        <v>16.5555936835894</v>
      </c>
      <c r="AA34" s="1"/>
      <c r="AB34" s="1"/>
      <c r="AC34" s="1"/>
    </row>
    <row r="35" spans="1:29">
      <c r="A35" s="7" t="s">
        <v>119</v>
      </c>
      <c r="B35" s="7" t="s">
        <v>120</v>
      </c>
      <c r="C35" s="1" t="s">
        <v>30</v>
      </c>
      <c r="D35" s="1" t="s">
        <v>121</v>
      </c>
      <c r="E35" s="9" t="s">
        <v>38</v>
      </c>
      <c r="F35" s="2" t="s">
        <v>122</v>
      </c>
      <c r="G35" s="10">
        <v>44469</v>
      </c>
      <c r="H35" s="10">
        <v>44469</v>
      </c>
      <c r="I35" s="11">
        <v>44651</v>
      </c>
      <c r="J35" s="11">
        <v>44834</v>
      </c>
      <c r="K35" s="11">
        <v>45016</v>
      </c>
      <c r="L35" s="11">
        <v>45199</v>
      </c>
      <c r="M35" s="11">
        <v>45382</v>
      </c>
      <c r="N35" s="11">
        <v>45565</v>
      </c>
      <c r="O35" s="11">
        <v>45565</v>
      </c>
      <c r="P35" s="12">
        <v>87144</v>
      </c>
      <c r="Q35" s="12">
        <v>87144</v>
      </c>
      <c r="R35" s="4"/>
      <c r="S35" s="4"/>
      <c r="T35" s="4"/>
      <c r="U35" s="4"/>
      <c r="V35" s="4"/>
      <c r="W35" s="4"/>
      <c r="X35" s="12">
        <v>87144</v>
      </c>
      <c r="Y35" s="17">
        <f ca="1">IFERROR(__xludf.DUMMYFUNCTION("INDEX(IMPORTRANGE(""1y0FWgjbB0gVlqn-q5LMJbGIsqOrzru4yowQz67dz2yc"", ""'STC'!BH3:BH139""),MATCH(D35,IMPORTRANGE(""1y0FWgjbB0gVlqn-q5LMJbGIsqOrzru4yowQz67dz2yc"", ""'STC'!D3:D139""),0))"),87144)</f>
        <v>87144</v>
      </c>
      <c r="Z35" s="12">
        <f ca="1">IFERROR(__xludf.DUMMYFUNCTION("INDEX(IMPORTRANGE(""1y0FWgjbB0gVlqn-q5LMJbGIsqOrzru4yowQz67dz2yc"", ""'STC'!BI3:BI139""),MATCH(D35,IMPORTRANGE(""1y0FWgjbB0gVlqn-q5LMJbGIsqOrzru4yowQz67dz2yc"", ""'STC'!D3:D139""),0))"),87144)</f>
        <v>87144</v>
      </c>
      <c r="AA35" s="1"/>
      <c r="AB35" s="1"/>
      <c r="AC35" s="1"/>
    </row>
    <row r="36" spans="1:29">
      <c r="A36" s="7" t="s">
        <v>119</v>
      </c>
      <c r="B36" s="7" t="s">
        <v>120</v>
      </c>
      <c r="C36" s="1" t="s">
        <v>30</v>
      </c>
      <c r="D36" s="1" t="s">
        <v>123</v>
      </c>
      <c r="E36" s="9" t="s">
        <v>38</v>
      </c>
      <c r="F36" s="2" t="s">
        <v>124</v>
      </c>
      <c r="G36" s="10">
        <v>44469</v>
      </c>
      <c r="H36" s="10">
        <v>44469</v>
      </c>
      <c r="I36" s="11">
        <v>44651</v>
      </c>
      <c r="J36" s="11">
        <v>44834</v>
      </c>
      <c r="K36" s="11">
        <v>45016</v>
      </c>
      <c r="L36" s="11">
        <v>45199</v>
      </c>
      <c r="M36" s="11">
        <v>45382</v>
      </c>
      <c r="N36" s="11">
        <v>45565</v>
      </c>
      <c r="O36" s="11">
        <v>45565</v>
      </c>
      <c r="P36" s="12">
        <v>0</v>
      </c>
      <c r="Q36" s="12">
        <v>0</v>
      </c>
      <c r="R36" s="2"/>
      <c r="S36" s="2"/>
      <c r="T36" s="2"/>
      <c r="U36" s="2"/>
      <c r="V36" s="2"/>
      <c r="W36" s="492"/>
      <c r="X36" s="2">
        <v>0</v>
      </c>
      <c r="Y36" s="12">
        <f ca="1">IFERROR(__xludf.DUMMYFUNCTION("INDEX(IMPORTRANGE(""1y0FWgjbB0gVlqn-q5LMJbGIsqOrzru4yowQz67dz2yc"", ""'STC'!BH3:BH139""),MATCH(D36,IMPORTRANGE(""1y0FWgjbB0gVlqn-q5LMJbGIsqOrzru4yowQz67dz2yc"", ""'STC'!D3:D139""),0))"),0)</f>
        <v>0</v>
      </c>
      <c r="Z36" s="12">
        <f ca="1">IFERROR(__xludf.DUMMYFUNCTION("INDEX(IMPORTRANGE(""1y0FWgjbB0gVlqn-q5LMJbGIsqOrzru4yowQz67dz2yc"", ""'STC'!BI3:BI139""),MATCH(D36,IMPORTRANGE(""1y0FWgjbB0gVlqn-q5LMJbGIsqOrzru4yowQz67dz2yc"", ""'STC'!D3:D139""),0))"),0)</f>
        <v>0</v>
      </c>
      <c r="AA36" s="1"/>
      <c r="AB36" s="1"/>
      <c r="AC36" s="1"/>
    </row>
    <row r="37" spans="1:29">
      <c r="A37" s="7" t="s">
        <v>119</v>
      </c>
      <c r="B37" s="7" t="s">
        <v>120</v>
      </c>
      <c r="C37" s="1" t="s">
        <v>36</v>
      </c>
      <c r="D37" s="1" t="s">
        <v>125</v>
      </c>
      <c r="E37" s="9" t="s">
        <v>38</v>
      </c>
      <c r="F37" s="2" t="s">
        <v>126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f t="shared" ref="P37:Q37" si="9">P36/P35</f>
        <v>0</v>
      </c>
      <c r="Q37" s="12">
        <f t="shared" si="9"/>
        <v>0</v>
      </c>
      <c r="R37" s="15">
        <v>2E-3</v>
      </c>
      <c r="S37" s="15">
        <v>4.0000000000000001E-3</v>
      </c>
      <c r="T37" s="15">
        <v>6.0000000000000001E-3</v>
      </c>
      <c r="U37" s="15">
        <v>8.0000000000000002E-3</v>
      </c>
      <c r="V37" s="15">
        <v>0.01</v>
      </c>
      <c r="W37" s="15">
        <v>0.01</v>
      </c>
      <c r="X37" s="17">
        <f>X36/X35</f>
        <v>0</v>
      </c>
      <c r="Y37" s="17">
        <f ca="1">IFERROR(__xludf.DUMMYFUNCTION("INDEX(IMPORTRANGE(""1y0FWgjbB0gVlqn-q5LMJbGIsqOrzru4yowQz67dz2yc"", ""'STC'!BH3:BH139""),MATCH(D37,IMPORTRANGE(""1y0FWgjbB0gVlqn-q5LMJbGIsqOrzru4yowQz67dz2yc"", ""'STC'!D3:D139""),0))"),0)</f>
        <v>0</v>
      </c>
      <c r="Z37" s="17">
        <f ca="1">IFERROR(__xludf.DUMMYFUNCTION("INDEX(IMPORTRANGE(""1y0FWgjbB0gVlqn-q5LMJbGIsqOrzru4yowQz67dz2yc"", ""'STC'!BI3:BI139""),MATCH(D37,IMPORTRANGE(""1y0FWgjbB0gVlqn-q5LMJbGIsqOrzru4yowQz67dz2yc"", ""'STC'!D3:D139""),0))"),0)</f>
        <v>0</v>
      </c>
      <c r="AA37" s="1"/>
      <c r="AB37" s="1"/>
      <c r="AC37" s="1"/>
    </row>
    <row r="38" spans="1:29">
      <c r="A38" s="155" t="s">
        <v>119</v>
      </c>
      <c r="B38" s="155" t="s">
        <v>120</v>
      </c>
      <c r="C38" s="156" t="s">
        <v>30</v>
      </c>
      <c r="D38" s="155" t="s">
        <v>330</v>
      </c>
      <c r="E38" s="21" t="s">
        <v>38</v>
      </c>
      <c r="F38" s="22" t="s">
        <v>176</v>
      </c>
      <c r="G38" s="22" t="s">
        <v>56</v>
      </c>
      <c r="H38" s="22" t="s">
        <v>57</v>
      </c>
      <c r="I38" s="21" t="s">
        <v>58</v>
      </c>
      <c r="J38" s="21" t="s">
        <v>59</v>
      </c>
      <c r="K38" s="21" t="s">
        <v>60</v>
      </c>
      <c r="L38" s="21" t="s">
        <v>61</v>
      </c>
      <c r="M38" s="21" t="s">
        <v>62</v>
      </c>
      <c r="N38" s="21" t="s">
        <v>63</v>
      </c>
      <c r="O38" s="21" t="s">
        <v>63</v>
      </c>
      <c r="P38" s="12"/>
      <c r="Q38" s="12"/>
      <c r="R38" s="2"/>
      <c r="S38" s="2"/>
      <c r="T38" s="2"/>
      <c r="U38" s="2"/>
      <c r="V38" s="2"/>
      <c r="W38" s="2"/>
      <c r="X38" s="2"/>
      <c r="Y38" s="12"/>
      <c r="Z38" s="12">
        <f ca="1">IFERROR(__xludf.DUMMYFUNCTION("INDEX(IMPORTRANGE(""1y0FWgjbB0gVlqn-q5LMJbGIsqOrzru4yowQz67dz2yc"", ""'STC'!BI3:BI139""),MATCH(D38,IMPORTRANGE(""1y0FWgjbB0gVlqn-q5LMJbGIsqOrzru4yowQz67dz2yc"", ""'STC'!D3:D139""),0))"),18.9)</f>
        <v>18.899999999999999</v>
      </c>
      <c r="AA38" s="1"/>
      <c r="AB38" s="1"/>
      <c r="AC38" s="1"/>
    </row>
    <row r="39" spans="1:29">
      <c r="A39" s="155" t="s">
        <v>119</v>
      </c>
      <c r="B39" s="155" t="s">
        <v>120</v>
      </c>
      <c r="C39" s="156" t="s">
        <v>30</v>
      </c>
      <c r="D39" s="155" t="s">
        <v>331</v>
      </c>
      <c r="E39" s="21" t="s">
        <v>38</v>
      </c>
      <c r="F39" s="22" t="s">
        <v>332</v>
      </c>
      <c r="G39" s="22" t="s">
        <v>56</v>
      </c>
      <c r="H39" s="22" t="s">
        <v>57</v>
      </c>
      <c r="I39" s="21" t="s">
        <v>58</v>
      </c>
      <c r="J39" s="21" t="s">
        <v>59</v>
      </c>
      <c r="K39" s="21" t="s">
        <v>60</v>
      </c>
      <c r="L39" s="21" t="s">
        <v>61</v>
      </c>
      <c r="M39" s="21" t="s">
        <v>62</v>
      </c>
      <c r="N39" s="21" t="s">
        <v>63</v>
      </c>
      <c r="O39" s="21" t="s">
        <v>63</v>
      </c>
      <c r="P39" s="12"/>
      <c r="Q39" s="12"/>
      <c r="R39" s="2"/>
      <c r="S39" s="2"/>
      <c r="T39" s="2"/>
      <c r="U39" s="2"/>
      <c r="V39" s="2"/>
      <c r="W39" s="2"/>
      <c r="X39" s="2"/>
      <c r="Y39" s="12"/>
      <c r="Z39" s="12">
        <f ca="1">IFERROR(__xludf.DUMMYFUNCTION("INDEX(IMPORTRANGE(""1y0FWgjbB0gVlqn-q5LMJbGIsqOrzru4yowQz67dz2yc"", ""'STC'!BI3:BI139""),MATCH(D39,IMPORTRANGE(""1y0FWgjbB0gVlqn-q5LMJbGIsqOrzru4yowQz67dz2yc"", ""'STC'!D3:D139""),0))"),101421.56)</f>
        <v>101421.56</v>
      </c>
      <c r="AA39" s="1"/>
      <c r="AB39" s="1"/>
      <c r="AC39" s="1"/>
    </row>
    <row r="40" spans="1:29">
      <c r="A40" s="155" t="s">
        <v>119</v>
      </c>
      <c r="B40" s="155" t="s">
        <v>120</v>
      </c>
      <c r="C40" s="156" t="s">
        <v>36</v>
      </c>
      <c r="D40" s="155" t="s">
        <v>333</v>
      </c>
      <c r="E40" s="21" t="s">
        <v>38</v>
      </c>
      <c r="F40" s="22" t="s">
        <v>334</v>
      </c>
      <c r="G40" s="22" t="s">
        <v>56</v>
      </c>
      <c r="H40" s="22" t="s">
        <v>57</v>
      </c>
      <c r="I40" s="21" t="s">
        <v>58</v>
      </c>
      <c r="J40" s="21" t="s">
        <v>59</v>
      </c>
      <c r="K40" s="21" t="s">
        <v>60</v>
      </c>
      <c r="L40" s="21" t="s">
        <v>61</v>
      </c>
      <c r="M40" s="21" t="s">
        <v>62</v>
      </c>
      <c r="N40" s="21" t="s">
        <v>63</v>
      </c>
      <c r="O40" s="21" t="s">
        <v>63</v>
      </c>
      <c r="P40" s="12"/>
      <c r="Q40" s="12"/>
      <c r="R40" s="2"/>
      <c r="S40" s="26">
        <v>2.0000000000000001E-4</v>
      </c>
      <c r="T40" s="26">
        <v>2.2000000000000001E-4</v>
      </c>
      <c r="U40" s="26">
        <v>2.7E-4</v>
      </c>
      <c r="V40" s="26">
        <v>3.8000000000000002E-4</v>
      </c>
      <c r="W40" s="26">
        <f>V40</f>
        <v>3.8000000000000002E-4</v>
      </c>
      <c r="X40" s="2"/>
      <c r="Y40" s="12"/>
      <c r="Z40" s="26">
        <f ca="1">IFERROR(__xludf.DUMMYFUNCTION("INDEX(IMPORTRANGE(""1y0FWgjbB0gVlqn-q5LMJbGIsqOrzru4yowQz67dz2yc"", ""'STC'!BI3:BI139""),MATCH(D40,IMPORTRANGE(""1y0FWgjbB0gVlqn-q5LMJbGIsqOrzru4yowQz67dz2yc"", ""'STC'!D3:D139""),0))"),0.00018635091000375)</f>
        <v>1.8635091000375001E-4</v>
      </c>
      <c r="AA40" s="1"/>
      <c r="AB40" s="1"/>
      <c r="AC40" s="1"/>
    </row>
    <row r="41" spans="1:29">
      <c r="A41" s="7" t="s">
        <v>119</v>
      </c>
      <c r="B41" s="7" t="s">
        <v>127</v>
      </c>
      <c r="C41" s="1" t="s">
        <v>36</v>
      </c>
      <c r="D41" s="7" t="s">
        <v>128</v>
      </c>
      <c r="E41" s="9" t="s">
        <v>38</v>
      </c>
      <c r="F41" s="9" t="s">
        <v>129</v>
      </c>
      <c r="G41" s="22" t="s">
        <v>56</v>
      </c>
      <c r="H41" s="22" t="s">
        <v>57</v>
      </c>
      <c r="I41" s="22" t="s">
        <v>58</v>
      </c>
      <c r="J41" s="22" t="s">
        <v>59</v>
      </c>
      <c r="K41" s="22" t="s">
        <v>335</v>
      </c>
      <c r="L41" s="22" t="s">
        <v>336</v>
      </c>
      <c r="M41" s="22" t="s">
        <v>337</v>
      </c>
      <c r="N41" s="262" t="s">
        <v>132</v>
      </c>
      <c r="O41" s="262" t="s">
        <v>132</v>
      </c>
      <c r="P41" s="12">
        <v>0</v>
      </c>
      <c r="Q41" s="12">
        <v>0</v>
      </c>
      <c r="R41" s="2">
        <v>6</v>
      </c>
      <c r="S41" s="2">
        <v>11</v>
      </c>
      <c r="T41" s="2">
        <v>16</v>
      </c>
      <c r="U41" s="2">
        <v>21</v>
      </c>
      <c r="V41" s="2">
        <v>25</v>
      </c>
      <c r="W41" s="2">
        <v>25</v>
      </c>
      <c r="X41" s="2">
        <v>0</v>
      </c>
      <c r="Y41" s="12">
        <f ca="1">IFERROR(__xludf.DUMMYFUNCTION("INDEX(IMPORTRANGE(""1y0FWgjbB0gVlqn-q5LMJbGIsqOrzru4yowQz67dz2yc"", ""'STC'!BH3:BH139""),MATCH(D41,IMPORTRANGE(""1y0FWgjbB0gVlqn-q5LMJbGIsqOrzru4yowQz67dz2yc"", ""'STC'!D3:D139""),0))"),6)</f>
        <v>6</v>
      </c>
      <c r="Z41" s="12">
        <f ca="1">IFERROR(__xludf.DUMMYFUNCTION("INDEX(IMPORTRANGE(""1y0FWgjbB0gVlqn-q5LMJbGIsqOrzru4yowQz67dz2yc"", ""'STC'!BI3:BI139""),MATCH(D41,IMPORTRANGE(""1y0FWgjbB0gVlqn-q5LMJbGIsqOrzru4yowQz67dz2yc"", ""'STC'!D3:D139""),0))"),7)</f>
        <v>7</v>
      </c>
      <c r="AA41" s="1"/>
      <c r="AB41" s="1"/>
      <c r="AC41" s="1"/>
    </row>
    <row r="42" spans="1:29">
      <c r="A42" s="7" t="s">
        <v>119</v>
      </c>
      <c r="B42" s="7" t="s">
        <v>133</v>
      </c>
      <c r="C42" s="1" t="s">
        <v>36</v>
      </c>
      <c r="D42" s="7" t="s">
        <v>134</v>
      </c>
      <c r="E42" s="9" t="s">
        <v>38</v>
      </c>
      <c r="F42" s="9" t="s">
        <v>135</v>
      </c>
      <c r="G42" s="22" t="s">
        <v>56</v>
      </c>
      <c r="H42" s="22" t="s">
        <v>57</v>
      </c>
      <c r="I42" s="22" t="s">
        <v>58</v>
      </c>
      <c r="J42" s="22" t="s">
        <v>59</v>
      </c>
      <c r="K42" s="22" t="s">
        <v>335</v>
      </c>
      <c r="L42" s="22" t="s">
        <v>336</v>
      </c>
      <c r="M42" s="22" t="s">
        <v>337</v>
      </c>
      <c r="N42" s="262" t="s">
        <v>132</v>
      </c>
      <c r="O42" s="262" t="s">
        <v>132</v>
      </c>
      <c r="P42" s="12">
        <v>2219</v>
      </c>
      <c r="Q42" s="12">
        <v>3265</v>
      </c>
      <c r="R42" s="12">
        <v>180</v>
      </c>
      <c r="S42" s="12">
        <f>220+R42</f>
        <v>400</v>
      </c>
      <c r="T42" s="12">
        <f>250+S42</f>
        <v>650</v>
      </c>
      <c r="U42" s="12">
        <f>T42+ 280</f>
        <v>930</v>
      </c>
      <c r="V42" s="12">
        <f>450+U42</f>
        <v>1380</v>
      </c>
      <c r="W42" s="12">
        <v>1380</v>
      </c>
      <c r="X42" s="12">
        <v>153</v>
      </c>
      <c r="Y42" s="12">
        <f ca="1">IFERROR(__xludf.DUMMYFUNCTION("INDEX(IMPORTRANGE(""1y0FWgjbB0gVlqn-q5LMJbGIsqOrzru4yowQz67dz2yc"", ""'STC'!BH3:BH139""),MATCH(D42,IMPORTRANGE(""1y0FWgjbB0gVlqn-q5LMJbGIsqOrzru4yowQz67dz2yc"", ""'STC'!D3:D139""),0))"),309)</f>
        <v>309</v>
      </c>
      <c r="Z42" s="12">
        <f ca="1">IFERROR(__xludf.DUMMYFUNCTION("INDEX(IMPORTRANGE(""1y0FWgjbB0gVlqn-q5LMJbGIsqOrzru4yowQz67dz2yc"", ""'STC'!BI3:BI139""),MATCH(D42,IMPORTRANGE(""1y0FWgjbB0gVlqn-q5LMJbGIsqOrzru4yowQz67dz2yc"", ""'STC'!D3:D139""),0))"),542)</f>
        <v>542</v>
      </c>
      <c r="AA42" s="1"/>
      <c r="AB42" s="1"/>
      <c r="AC42" s="1"/>
    </row>
    <row r="43" spans="1:29">
      <c r="A43" s="155" t="s">
        <v>119</v>
      </c>
      <c r="B43" s="155" t="s">
        <v>136</v>
      </c>
      <c r="C43" s="156" t="s">
        <v>30</v>
      </c>
      <c r="D43" s="155" t="s">
        <v>137</v>
      </c>
      <c r="E43" s="21" t="s">
        <v>38</v>
      </c>
      <c r="F43" s="22" t="s">
        <v>138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0</v>
      </c>
      <c r="Q43" s="2">
        <v>1</v>
      </c>
      <c r="R43" s="2"/>
      <c r="S43" s="2"/>
      <c r="T43" s="2"/>
      <c r="U43" s="2"/>
      <c r="V43" s="2"/>
      <c r="W43" s="2"/>
      <c r="X43" s="2">
        <v>5</v>
      </c>
      <c r="Y43" s="12">
        <f ca="1">IFERROR(__xludf.DUMMYFUNCTION("INDEX(IMPORTRANGE(""1y0FWgjbB0gVlqn-q5LMJbGIsqOrzru4yowQz67dz2yc"", ""'STC'!BH3:BH139""),MATCH(D43,IMPORTRANGE(""1y0FWgjbB0gVlqn-q5LMJbGIsqOrzru4yowQz67dz2yc"", ""'STC'!D3:D139""),0))"),7)</f>
        <v>7</v>
      </c>
      <c r="Z43" s="12">
        <f ca="1">IFERROR(__xludf.DUMMYFUNCTION("INDEX(IMPORTRANGE(""1y0FWgjbB0gVlqn-q5LMJbGIsqOrzru4yowQz67dz2yc"", ""'STC'!BI3:BI139""),MATCH(D43,IMPORTRANGE(""1y0FWgjbB0gVlqn-q5LMJbGIsqOrzru4yowQz67dz2yc"", ""'STC'!D3:D139""),0))"),8)</f>
        <v>8</v>
      </c>
      <c r="AA43" s="1"/>
      <c r="AB43" s="1"/>
      <c r="AC43" s="1"/>
    </row>
    <row r="44" spans="1:29">
      <c r="A44" s="155" t="s">
        <v>119</v>
      </c>
      <c r="B44" s="155" t="s">
        <v>136</v>
      </c>
      <c r="C44" s="156" t="s">
        <v>30</v>
      </c>
      <c r="D44" s="155" t="s">
        <v>139</v>
      </c>
      <c r="E44" s="21" t="s">
        <v>38</v>
      </c>
      <c r="F44" s="22" t="s">
        <v>140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/>
      <c r="Q44" s="2"/>
      <c r="R44" s="2"/>
      <c r="S44" s="2"/>
      <c r="T44" s="2"/>
      <c r="U44" s="2"/>
      <c r="V44" s="2"/>
      <c r="W44" s="2"/>
      <c r="X44" s="2"/>
      <c r="Y44" s="12">
        <f ca="1">IFERROR(__xludf.DUMMYFUNCTION("INDEX(IMPORTRANGE(""1y0FWgjbB0gVlqn-q5LMJbGIsqOrzru4yowQz67dz2yc"", ""'STC'!BH3:BH139""),MATCH(D44,IMPORTRANGE(""1y0FWgjbB0gVlqn-q5LMJbGIsqOrzru4yowQz67dz2yc"", ""'STC'!D3:D139""),0))"),0)</f>
        <v>0</v>
      </c>
      <c r="Z44" s="12">
        <f ca="1">IFERROR(__xludf.DUMMYFUNCTION("INDEX(IMPORTRANGE(""1y0FWgjbB0gVlqn-q5LMJbGIsqOrzru4yowQz67dz2yc"", ""'STC'!BI3:BI139""),MATCH(D44,IMPORTRANGE(""1y0FWgjbB0gVlqn-q5LMJbGIsqOrzru4yowQz67dz2yc"", ""'STC'!D3:D139""),0))"),1)</f>
        <v>1</v>
      </c>
      <c r="AA44" s="1"/>
      <c r="AB44" s="1"/>
      <c r="AC44" s="1"/>
    </row>
    <row r="45" spans="1:29">
      <c r="A45" s="155" t="s">
        <v>119</v>
      </c>
      <c r="B45" s="155" t="s">
        <v>136</v>
      </c>
      <c r="C45" s="156" t="s">
        <v>30</v>
      </c>
      <c r="D45" s="155" t="s">
        <v>141</v>
      </c>
      <c r="E45" s="21" t="s">
        <v>38</v>
      </c>
      <c r="F45" s="22" t="s">
        <v>142</v>
      </c>
      <c r="G45" s="2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0</v>
      </c>
      <c r="Q45" s="2">
        <v>14</v>
      </c>
      <c r="R45" s="2"/>
      <c r="S45" s="2"/>
      <c r="T45" s="2"/>
      <c r="U45" s="2"/>
      <c r="V45" s="2"/>
      <c r="W45" s="2"/>
      <c r="X45" s="2">
        <v>3</v>
      </c>
      <c r="Y45" s="12">
        <f ca="1">IFERROR(__xludf.DUMMYFUNCTION("INDEX(IMPORTRANGE(""1y0FWgjbB0gVlqn-q5LMJbGIsqOrzru4yowQz67dz2yc"", ""'STC'!BH3:BH139""),MATCH(D45,IMPORTRANGE(""1y0FWgjbB0gVlqn-q5LMJbGIsqOrzru4yowQz67dz2yc"", ""'STC'!D3:D139""),0))"),9)</f>
        <v>9</v>
      </c>
      <c r="Z45" s="12">
        <f ca="1">IFERROR(__xludf.DUMMYFUNCTION("INDEX(IMPORTRANGE(""1y0FWgjbB0gVlqn-q5LMJbGIsqOrzru4yowQz67dz2yc"", ""'STC'!BI3:BI139""),MATCH(D45,IMPORTRANGE(""1y0FWgjbB0gVlqn-q5LMJbGIsqOrzru4yowQz67dz2yc"", ""'STC'!D3:D139""),0))"),11)</f>
        <v>11</v>
      </c>
      <c r="AA45" s="1"/>
      <c r="AB45" s="1"/>
      <c r="AC45" s="1"/>
    </row>
    <row r="46" spans="1:29">
      <c r="A46" s="155" t="s">
        <v>119</v>
      </c>
      <c r="B46" s="155" t="s">
        <v>136</v>
      </c>
      <c r="C46" s="156" t="s">
        <v>30</v>
      </c>
      <c r="D46" s="155" t="s">
        <v>143</v>
      </c>
      <c r="E46" s="21" t="s">
        <v>38</v>
      </c>
      <c r="F46" s="22" t="s">
        <v>144</v>
      </c>
      <c r="G46" s="2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12"/>
      <c r="R46" s="2"/>
      <c r="S46" s="2"/>
      <c r="T46" s="2"/>
      <c r="U46" s="2"/>
      <c r="V46" s="2"/>
      <c r="W46" s="2"/>
      <c r="X46" s="2"/>
      <c r="Y46" s="12">
        <f ca="1">IFERROR(__xludf.DUMMYFUNCTION("INDEX(IMPORTRANGE(""1y0FWgjbB0gVlqn-q5LMJbGIsqOrzru4yowQz67dz2yc"", ""'STC'!BH3:BH139""),MATCH(D46,IMPORTRANGE(""1y0FWgjbB0gVlqn-q5LMJbGIsqOrzru4yowQz67dz2yc"", ""'STC'!D3:D139""),0))"),1)</f>
        <v>1</v>
      </c>
      <c r="Z46" s="12">
        <f ca="1">IFERROR(__xludf.DUMMYFUNCTION("INDEX(IMPORTRANGE(""1y0FWgjbB0gVlqn-q5LMJbGIsqOrzru4yowQz67dz2yc"", ""'STC'!BI3:BI139""),MATCH(D46,IMPORTRANGE(""1y0FWgjbB0gVlqn-q5LMJbGIsqOrzru4yowQz67dz2yc"", ""'STC'!D3:D139""),0))"),5)</f>
        <v>5</v>
      </c>
      <c r="AA46" s="1"/>
      <c r="AB46" s="1"/>
      <c r="AC46" s="1"/>
    </row>
    <row r="47" spans="1:29">
      <c r="A47" s="155" t="s">
        <v>119</v>
      </c>
      <c r="B47" s="155" t="s">
        <v>136</v>
      </c>
      <c r="C47" s="156" t="s">
        <v>36</v>
      </c>
      <c r="D47" s="155" t="s">
        <v>145</v>
      </c>
      <c r="E47" s="21" t="s">
        <v>38</v>
      </c>
      <c r="F47" s="22" t="s">
        <v>146</v>
      </c>
      <c r="G47" s="2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v>0</v>
      </c>
      <c r="Q47" s="12">
        <f>SUM(Q43:Q45)</f>
        <v>15</v>
      </c>
      <c r="R47" s="4">
        <v>7</v>
      </c>
      <c r="S47" s="4">
        <f>3+R47</f>
        <v>10</v>
      </c>
      <c r="T47" s="4">
        <f>4+S47</f>
        <v>14</v>
      </c>
      <c r="U47" s="4">
        <f>3+T47</f>
        <v>17</v>
      </c>
      <c r="V47" s="4">
        <f>U47+4</f>
        <v>21</v>
      </c>
      <c r="W47" s="4">
        <v>21</v>
      </c>
      <c r="X47" s="2">
        <f>SUM(X43:X45)</f>
        <v>8</v>
      </c>
      <c r="Y47" s="12">
        <f ca="1">IFERROR(__xludf.DUMMYFUNCTION("INDEX(IMPORTRANGE(""1y0FWgjbB0gVlqn-q5LMJbGIsqOrzru4yowQz67dz2yc"", ""'STC'!BH3:BH139""),MATCH(D47,IMPORTRANGE(""1y0FWgjbB0gVlqn-q5LMJbGIsqOrzru4yowQz67dz2yc"", ""'STC'!D3:D139""),0))"),17)</f>
        <v>17</v>
      </c>
      <c r="Z47" s="12">
        <f ca="1">IFERROR(__xludf.DUMMYFUNCTION("INDEX(IMPORTRANGE(""1y0FWgjbB0gVlqn-q5LMJbGIsqOrzru4yowQz67dz2yc"", ""'STC'!BI3:BI139""),MATCH(D47,IMPORTRANGE(""1y0FWgjbB0gVlqn-q5LMJbGIsqOrzru4yowQz67dz2yc"", ""'STC'!D3:D139""),0))"),25)</f>
        <v>25</v>
      </c>
      <c r="AA47" s="1"/>
      <c r="AB47" s="1"/>
      <c r="AC47" s="1"/>
    </row>
    <row r="48" spans="1:29">
      <c r="A48" s="7" t="s">
        <v>147</v>
      </c>
      <c r="B48" s="7" t="s">
        <v>148</v>
      </c>
      <c r="C48" s="1" t="s">
        <v>30</v>
      </c>
      <c r="D48" s="7" t="s">
        <v>149</v>
      </c>
      <c r="E48" s="9" t="s">
        <v>38</v>
      </c>
      <c r="F48" s="9"/>
      <c r="G48" s="10">
        <v>44469</v>
      </c>
      <c r="H48" s="10">
        <v>44469</v>
      </c>
      <c r="I48" s="11">
        <v>44651</v>
      </c>
      <c r="J48" s="11">
        <v>44834</v>
      </c>
      <c r="K48" s="11">
        <v>45016</v>
      </c>
      <c r="L48" s="11">
        <v>45199</v>
      </c>
      <c r="M48" s="11">
        <v>45382</v>
      </c>
      <c r="N48" s="11">
        <v>45565</v>
      </c>
      <c r="O48" s="11">
        <v>45565</v>
      </c>
      <c r="P48" s="30" t="s">
        <v>150</v>
      </c>
      <c r="Q48" s="30" t="s">
        <v>150</v>
      </c>
      <c r="R48" s="2" t="s">
        <v>151</v>
      </c>
      <c r="S48" s="2" t="s">
        <v>151</v>
      </c>
      <c r="T48" s="2" t="s">
        <v>151</v>
      </c>
      <c r="U48" s="2" t="s">
        <v>151</v>
      </c>
      <c r="V48" s="2" t="s">
        <v>151</v>
      </c>
      <c r="W48" s="2" t="s">
        <v>151</v>
      </c>
      <c r="X48" s="2" t="s">
        <v>150</v>
      </c>
      <c r="Y48" s="23" t="str">
        <f ca="1">IFERROR(__xludf.DUMMYFUNCTION("INDEX(IMPORTRANGE(""1y0FWgjbB0gVlqn-q5LMJbGIsqOrzru4yowQz67dz2yc"", ""'STC'!BH3:BH139""),MATCH(D48,IMPORTRANGE(""1y0FWgjbB0gVlqn-q5LMJbGIsqOrzru4yowQz67dz2yc"", ""'STC'!D3:D139""),0))"),"No")</f>
        <v>No</v>
      </c>
      <c r="Z48" s="23" t="str">
        <f ca="1">IFERROR(__xludf.DUMMYFUNCTION("INDEX(IMPORTRANGE(""1y0FWgjbB0gVlqn-q5LMJbGIsqOrzru4yowQz67dz2yc"", ""'STC'!BI3:BI139""),MATCH(D48,IMPORTRANGE(""1y0FWgjbB0gVlqn-q5LMJbGIsqOrzru4yowQz67dz2yc"", ""'STC'!D3:D139""),0))"),"No")</f>
        <v>No</v>
      </c>
      <c r="AA48" s="1"/>
      <c r="AB48" s="1"/>
      <c r="AC48" s="1"/>
    </row>
    <row r="49" spans="1:29">
      <c r="A49" s="7" t="s">
        <v>147</v>
      </c>
      <c r="B49" s="7" t="s">
        <v>148</v>
      </c>
      <c r="C49" s="1" t="s">
        <v>30</v>
      </c>
      <c r="D49" s="7" t="s">
        <v>152</v>
      </c>
      <c r="E49" s="9" t="s">
        <v>38</v>
      </c>
      <c r="F49" s="9"/>
      <c r="G49" s="10">
        <v>44469</v>
      </c>
      <c r="H49" s="10">
        <v>44469</v>
      </c>
      <c r="I49" s="11">
        <v>44651</v>
      </c>
      <c r="J49" s="11">
        <v>44834</v>
      </c>
      <c r="K49" s="11">
        <v>45016</v>
      </c>
      <c r="L49" s="11">
        <v>45199</v>
      </c>
      <c r="M49" s="11">
        <v>45382</v>
      </c>
      <c r="N49" s="11">
        <v>45565</v>
      </c>
      <c r="O49" s="11">
        <v>45565</v>
      </c>
      <c r="P49" s="30" t="s">
        <v>150</v>
      </c>
      <c r="Q49" s="30" t="s">
        <v>150</v>
      </c>
      <c r="R49" s="2" t="s">
        <v>151</v>
      </c>
      <c r="S49" s="2" t="s">
        <v>151</v>
      </c>
      <c r="T49" s="2" t="s">
        <v>151</v>
      </c>
      <c r="U49" s="2" t="s">
        <v>151</v>
      </c>
      <c r="V49" s="2" t="s">
        <v>151</v>
      </c>
      <c r="W49" s="2" t="s">
        <v>151</v>
      </c>
      <c r="X49" s="2" t="s">
        <v>150</v>
      </c>
      <c r="Y49" s="23" t="str">
        <f ca="1">IFERROR(__xludf.DUMMYFUNCTION("INDEX(IMPORTRANGE(""1y0FWgjbB0gVlqn-q5LMJbGIsqOrzru4yowQz67dz2yc"", ""'STC'!BH3:BH139""),MATCH(D49,IMPORTRANGE(""1y0FWgjbB0gVlqn-q5LMJbGIsqOrzru4yowQz67dz2yc"", ""'STC'!D3:D139""),0))"),"Sí")</f>
        <v>Sí</v>
      </c>
      <c r="Z49" s="23" t="str">
        <f ca="1">IFERROR(__xludf.DUMMYFUNCTION("INDEX(IMPORTRANGE(""1y0FWgjbB0gVlqn-q5LMJbGIsqOrzru4yowQz67dz2yc"", ""'STC'!BI3:BI139""),MATCH(D49,IMPORTRANGE(""1y0FWgjbB0gVlqn-q5LMJbGIsqOrzru4yowQz67dz2yc"", ""'STC'!D3:D139""),0))"),"Sí")</f>
        <v>Sí</v>
      </c>
      <c r="AA49" s="1"/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154</v>
      </c>
      <c r="E50" s="9" t="s">
        <v>38</v>
      </c>
      <c r="F50" s="9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153</v>
      </c>
      <c r="Q50" s="30" t="s">
        <v>153</v>
      </c>
      <c r="R50" s="2" t="s">
        <v>155</v>
      </c>
      <c r="S50" s="2" t="s">
        <v>155</v>
      </c>
      <c r="T50" s="2" t="s">
        <v>155</v>
      </c>
      <c r="U50" s="2" t="s">
        <v>155</v>
      </c>
      <c r="V50" s="2" t="s">
        <v>155</v>
      </c>
      <c r="W50" s="2" t="s">
        <v>155</v>
      </c>
      <c r="X50" s="2" t="s">
        <v>153</v>
      </c>
      <c r="Y50" s="23" t="str">
        <f ca="1">IFERROR(__xludf.DUMMYFUNCTION("INDEX(IMPORTRANGE(""1y0FWgjbB0gVlqn-q5LMJbGIsqOrzru4yowQz67dz2yc"", ""'STC'!BH3:BH139""),MATCH(D50,IMPORTRANGE(""1y0FWgjbB0gVlqn-q5LMJbGIsqOrzru4yowQz67dz2yc"", ""'STC'!D3:D139""),0))"),"Sí")</f>
        <v>Sí</v>
      </c>
      <c r="Z50" s="23" t="str">
        <f ca="1">IFERROR(__xludf.DUMMYFUNCTION("INDEX(IMPORTRANGE(""1y0FWgjbB0gVlqn-q5LMJbGIsqOrzru4yowQz67dz2yc"", ""'STC'!BI3:BI139""),MATCH(D50,IMPORTRANGE(""1y0FWgjbB0gVlqn-q5LMJbGIsqOrzru4yowQz67dz2yc"", ""'STC'!D3:D139""),0))"),"Sí")</f>
        <v>Sí</v>
      </c>
      <c r="AA50" s="1"/>
      <c r="AB50" s="1"/>
      <c r="AC50" s="1"/>
    </row>
    <row r="51" spans="1:29">
      <c r="A51" s="7" t="s">
        <v>147</v>
      </c>
      <c r="B51" s="7" t="s">
        <v>148</v>
      </c>
      <c r="C51" s="1" t="s">
        <v>36</v>
      </c>
      <c r="D51" s="7" t="s">
        <v>156</v>
      </c>
      <c r="E51" s="9" t="s">
        <v>38</v>
      </c>
      <c r="F51" s="9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>
        <f>COUNTIF(P48:P50,"Sí")*(1/3)</f>
        <v>0.33333333333333331</v>
      </c>
      <c r="Q51" s="30">
        <f>COUNTIF(Q48:Q50,"Sí")*0.33</f>
        <v>0.33</v>
      </c>
      <c r="R51" s="2" t="s">
        <v>157</v>
      </c>
      <c r="S51" s="2" t="s">
        <v>157</v>
      </c>
      <c r="T51" s="2" t="s">
        <v>157</v>
      </c>
      <c r="U51" s="2" t="s">
        <v>157</v>
      </c>
      <c r="V51" s="2" t="s">
        <v>157</v>
      </c>
      <c r="W51" s="2" t="s">
        <v>157</v>
      </c>
      <c r="X51" s="30">
        <f>COUNTIF(X48:X50,"Sí")*0.33</f>
        <v>0.33</v>
      </c>
      <c r="Y51" s="23">
        <f ca="1">IFERROR(__xludf.DUMMYFUNCTION("INDEX(IMPORTRANGE(""1y0FWgjbB0gVlqn-q5LMJbGIsqOrzru4yowQz67dz2yc"", ""'STC'!BH3:BH139""),MATCH(D51,IMPORTRANGE(""1y0FWgjbB0gVlqn-q5LMJbGIsqOrzru4yowQz67dz2yc"", ""'STC'!D3:D139""),0))"),0.666666666666666)</f>
        <v>0.66666666666666596</v>
      </c>
      <c r="Z51" s="23">
        <f ca="1">IFERROR(__xludf.DUMMYFUNCTION("INDEX(IMPORTRANGE(""1y0FWgjbB0gVlqn-q5LMJbGIsqOrzru4yowQz67dz2yc"", ""'STC'!BI3:BI139""),MATCH(D51,IMPORTRANGE(""1y0FWgjbB0gVlqn-q5LMJbGIsqOrzru4yowQz67dz2yc"", ""'STC'!D3:D139""),0))"),0.666666666666666)</f>
        <v>0.66666666666666596</v>
      </c>
      <c r="AA51" s="1"/>
      <c r="AB51" s="1"/>
      <c r="AC51" s="1"/>
    </row>
    <row r="52" spans="1:29">
      <c r="A52" s="7" t="s">
        <v>147</v>
      </c>
      <c r="B52" s="7" t="s">
        <v>148</v>
      </c>
      <c r="C52" s="1" t="s">
        <v>36</v>
      </c>
      <c r="D52" s="7" t="s">
        <v>158</v>
      </c>
      <c r="E52" s="9" t="s">
        <v>38</v>
      </c>
      <c r="F52" s="9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12">
        <v>1</v>
      </c>
      <c r="Q52" s="12">
        <v>1</v>
      </c>
      <c r="R52" s="2" t="s">
        <v>159</v>
      </c>
      <c r="S52" s="2" t="s">
        <v>160</v>
      </c>
      <c r="T52" s="2" t="s">
        <v>160</v>
      </c>
      <c r="U52" s="2" t="s">
        <v>161</v>
      </c>
      <c r="V52" s="2" t="s">
        <v>161</v>
      </c>
      <c r="W52" s="2" t="s">
        <v>161</v>
      </c>
      <c r="X52" s="12">
        <v>1</v>
      </c>
      <c r="Y52" s="12">
        <f ca="1">IFERROR(__xludf.DUMMYFUNCTION("INDEX(IMPORTRANGE(""1y0FWgjbB0gVlqn-q5LMJbGIsqOrzru4yowQz67dz2yc"", ""'STC'!BH3:BH139""),MATCH(D52,IMPORTRANGE(""1y0FWgjbB0gVlqn-q5LMJbGIsqOrzru4yowQz67dz2yc"", ""'STC'!D3:D139""),0))"),1)</f>
        <v>1</v>
      </c>
      <c r="Z52" s="23">
        <f ca="1">IFERROR(__xludf.DUMMYFUNCTION("INDEX(IMPORTRANGE(""1y0FWgjbB0gVlqn-q5LMJbGIsqOrzru4yowQz67dz2yc"", ""'STC'!BI3:BI139""),MATCH(D52,IMPORTRANGE(""1y0FWgjbB0gVlqn-q5LMJbGIsqOrzru4yowQz67dz2yc"", ""'STC'!D3:D139""),0))"),0.5)</f>
        <v>0.5</v>
      </c>
      <c r="AA52" s="1"/>
      <c r="AB52" s="1"/>
      <c r="AC52" s="1"/>
    </row>
    <row r="53" spans="1:29">
      <c r="A53" s="7" t="s">
        <v>147</v>
      </c>
      <c r="B53" s="7" t="s">
        <v>148</v>
      </c>
      <c r="C53" s="1" t="s">
        <v>30</v>
      </c>
      <c r="D53" s="7" t="s">
        <v>162</v>
      </c>
      <c r="E53" s="9" t="s">
        <v>38</v>
      </c>
      <c r="F53" s="9" t="s">
        <v>163</v>
      </c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12">
        <v>0</v>
      </c>
      <c r="Q53" s="12">
        <v>0</v>
      </c>
      <c r="R53" s="4"/>
      <c r="S53" s="4"/>
      <c r="T53" s="4"/>
      <c r="U53" s="4"/>
      <c r="V53" s="4"/>
      <c r="W53" s="4"/>
      <c r="X53" s="2">
        <v>0</v>
      </c>
      <c r="Y53" s="12">
        <f ca="1">IFERROR(__xludf.DUMMYFUNCTION("INDEX(IMPORTRANGE(""1y0FWgjbB0gVlqn-q5LMJbGIsqOrzru4yowQz67dz2yc"", ""'STC'!BH3:BH139""),MATCH(D53,IMPORTRANGE(""1y0FWgjbB0gVlqn-q5LMJbGIsqOrzru4yowQz67dz2yc"", ""'STC'!D3:D139""),0))"),0)</f>
        <v>0</v>
      </c>
      <c r="Z53" s="12">
        <f ca="1">IFERROR(__xludf.DUMMYFUNCTION("INDEX(IMPORTRANGE(""1y0FWgjbB0gVlqn-q5LMJbGIsqOrzru4yowQz67dz2yc"", ""'STC'!BI3:BI139""),MATCH(D53,IMPORTRANGE(""1y0FWgjbB0gVlqn-q5LMJbGIsqOrzru4yowQz67dz2yc"", ""'STC'!D3:D139""),0))"),0)</f>
        <v>0</v>
      </c>
      <c r="AA53" s="1"/>
      <c r="AB53" s="1"/>
      <c r="AC53" s="1"/>
    </row>
    <row r="54" spans="1:29">
      <c r="A54" s="7" t="s">
        <v>147</v>
      </c>
      <c r="B54" s="7" t="s">
        <v>148</v>
      </c>
      <c r="C54" s="1" t="s">
        <v>30</v>
      </c>
      <c r="D54" s="7" t="s">
        <v>164</v>
      </c>
      <c r="E54" s="9" t="s">
        <v>38</v>
      </c>
      <c r="F54" s="9" t="s">
        <v>165</v>
      </c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0</v>
      </c>
      <c r="Q54" s="12">
        <v>0</v>
      </c>
      <c r="R54" s="4"/>
      <c r="S54" s="4"/>
      <c r="T54" s="4"/>
      <c r="U54" s="4"/>
      <c r="V54" s="4"/>
      <c r="W54" s="4"/>
      <c r="X54" s="2">
        <v>0</v>
      </c>
      <c r="Y54" s="12">
        <f ca="1">IFERROR(__xludf.DUMMYFUNCTION("INDEX(IMPORTRANGE(""1y0FWgjbB0gVlqn-q5LMJbGIsqOrzru4yowQz67dz2yc"", ""'STC'!BH3:BH139""),MATCH(D54,IMPORTRANGE(""1y0FWgjbB0gVlqn-q5LMJbGIsqOrzru4yowQz67dz2yc"", ""'STC'!D3:D139""),0))"),0)</f>
        <v>0</v>
      </c>
      <c r="Z54" s="12">
        <f ca="1">IFERROR(__xludf.DUMMYFUNCTION("INDEX(IMPORTRANGE(""1y0FWgjbB0gVlqn-q5LMJbGIsqOrzru4yowQz67dz2yc"", ""'STC'!BI3:BI139""),MATCH(D54,IMPORTRANGE(""1y0FWgjbB0gVlqn-q5LMJbGIsqOrzru4yowQz67dz2yc"", ""'STC'!D3:D139""),0))"),0)</f>
        <v>0</v>
      </c>
      <c r="AA54" s="1"/>
      <c r="AB54" s="1"/>
      <c r="AC54" s="1"/>
    </row>
    <row r="55" spans="1:29">
      <c r="A55" s="7" t="s">
        <v>147</v>
      </c>
      <c r="B55" s="7" t="s">
        <v>148</v>
      </c>
      <c r="C55" s="1" t="s">
        <v>36</v>
      </c>
      <c r="D55" s="7" t="s">
        <v>166</v>
      </c>
      <c r="E55" s="9" t="s">
        <v>38</v>
      </c>
      <c r="F55" s="9" t="s">
        <v>167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30" t="s">
        <v>320</v>
      </c>
      <c r="Q55" s="30" t="s">
        <v>320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30" t="s">
        <v>320</v>
      </c>
      <c r="Y55" s="23" t="str">
        <f ca="1">IFERROR(__xludf.DUMMYFUNCTION("INDEX(IMPORTRANGE(""1y0FWgjbB0gVlqn-q5LMJbGIsqOrzru4yowQz67dz2yc"", ""'STC'!BH3:BH139""),MATCH(D55,IMPORTRANGE(""1y0FWgjbB0gVlqn-q5LMJbGIsqOrzru4yowQz67dz2yc"", ""'STC'!D3:D139""),0))"),"NA")</f>
        <v>NA</v>
      </c>
      <c r="Z55" s="23" t="str">
        <f ca="1">IFERROR(__xludf.DUMMYFUNCTION("INDEX(IMPORTRANGE(""1y0FWgjbB0gVlqn-q5LMJbGIsqOrzru4yowQz67dz2yc"", ""'STC'!BI3:BI139""),MATCH(D55,IMPORTRANGE(""1y0FWgjbB0gVlqn-q5LMJbGIsqOrzru4yowQz67dz2yc"", ""'STC'!D3:D139""),0))"),"NA")</f>
        <v>NA</v>
      </c>
      <c r="AA55" s="1"/>
      <c r="AB55" s="1"/>
      <c r="AC55" s="1"/>
    </row>
    <row r="56" spans="1:29">
      <c r="A56" s="7" t="s">
        <v>147</v>
      </c>
      <c r="B56" s="7" t="s">
        <v>168</v>
      </c>
      <c r="C56" s="1" t="s">
        <v>30</v>
      </c>
      <c r="D56" s="155" t="s">
        <v>169</v>
      </c>
      <c r="E56" s="9" t="s">
        <v>38</v>
      </c>
      <c r="F56" s="9" t="s">
        <v>170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24153</v>
      </c>
      <c r="Q56" s="12">
        <v>24153</v>
      </c>
      <c r="R56" s="4"/>
      <c r="S56" s="4"/>
      <c r="T56" s="4"/>
      <c r="U56" s="4"/>
      <c r="V56" s="4"/>
      <c r="W56" s="4"/>
      <c r="X56" s="12">
        <v>24659</v>
      </c>
      <c r="Y56" s="12">
        <f ca="1">IFERROR(__xludf.DUMMYFUNCTION("INDEX(IMPORTRANGE(""1y0FWgjbB0gVlqn-q5LMJbGIsqOrzru4yowQz67dz2yc"", ""'STC'!BH3:BH139""),MATCH(D56,IMPORTRANGE(""1y0FWgjbB0gVlqn-q5LMJbGIsqOrzru4yowQz67dz2yc"", ""'STC'!D3:D139""),0))"),24985)</f>
        <v>24985</v>
      </c>
      <c r="Z56" s="12">
        <f ca="1">IFERROR(__xludf.DUMMYFUNCTION("INDEX(IMPORTRANGE(""1y0FWgjbB0gVlqn-q5LMJbGIsqOrzru4yowQz67dz2yc"", ""'STC'!BI3:BI139""),MATCH(D56,IMPORTRANGE(""1y0FWgjbB0gVlqn-q5LMJbGIsqOrzru4yowQz67dz2yc"", ""'STC'!D3:D139""),0))"),25195)</f>
        <v>25195</v>
      </c>
      <c r="AA56" s="1"/>
      <c r="AB56" s="1"/>
      <c r="AC56" s="1"/>
    </row>
    <row r="57" spans="1:29">
      <c r="A57" s="7" t="s">
        <v>147</v>
      </c>
      <c r="B57" s="7" t="s">
        <v>168</v>
      </c>
      <c r="C57" s="1" t="s">
        <v>30</v>
      </c>
      <c r="D57" s="155" t="s">
        <v>171</v>
      </c>
      <c r="E57" s="9" t="s">
        <v>38</v>
      </c>
      <c r="F57" s="9" t="s">
        <v>172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12">
        <v>24659</v>
      </c>
      <c r="Q57" s="12">
        <v>24659</v>
      </c>
      <c r="R57" s="4"/>
      <c r="S57" s="4"/>
      <c r="T57" s="4"/>
      <c r="U57" s="4"/>
      <c r="V57" s="4"/>
      <c r="W57" s="4"/>
      <c r="X57" s="12">
        <v>26225</v>
      </c>
      <c r="Y57" s="12">
        <f ca="1">IFERROR(__xludf.DUMMYFUNCTION("INDEX(IMPORTRANGE(""1y0FWgjbB0gVlqn-q5LMJbGIsqOrzru4yowQz67dz2yc"", ""'STC'!BH3:BH139""),MATCH(D57,IMPORTRANGE(""1y0FWgjbB0gVlqn-q5LMJbGIsqOrzru4yowQz67dz2yc"", ""'STC'!D3:D139""),0))"),26225)</f>
        <v>26225</v>
      </c>
      <c r="Z57" s="12">
        <f ca="1">IFERROR(__xludf.DUMMYFUNCTION("INDEX(IMPORTRANGE(""1y0FWgjbB0gVlqn-q5LMJbGIsqOrzru4yowQz67dz2yc"", ""'STC'!BI3:BI139""),MATCH(D57,IMPORTRANGE(""1y0FWgjbB0gVlqn-q5LMJbGIsqOrzru4yowQz67dz2yc"", ""'STC'!D3:D139""),0))"),26225)</f>
        <v>26225</v>
      </c>
      <c r="AA57" s="1"/>
      <c r="AB57" s="1"/>
      <c r="AC57" s="1"/>
    </row>
    <row r="58" spans="1:29">
      <c r="A58" s="7" t="s">
        <v>147</v>
      </c>
      <c r="B58" s="7" t="s">
        <v>168</v>
      </c>
      <c r="C58" s="1" t="s">
        <v>36</v>
      </c>
      <c r="D58" s="7" t="s">
        <v>173</v>
      </c>
      <c r="E58" s="9" t="s">
        <v>38</v>
      </c>
      <c r="F58" s="9" t="s">
        <v>174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5">
        <f t="shared" ref="P58:Q58" si="10">P56/P57</f>
        <v>0.9794801086824283</v>
      </c>
      <c r="Q58" s="15">
        <f t="shared" si="10"/>
        <v>0.9794801086824283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467">
        <f>X56/X57</f>
        <v>0.94028598665395613</v>
      </c>
      <c r="Y58" s="192">
        <f ca="1">IFERROR(__xludf.DUMMYFUNCTION("INDEX(IMPORTRANGE(""1y0FWgjbB0gVlqn-q5LMJbGIsqOrzru4yowQz67dz2yc"", ""'STC'!BH3:BH139""),MATCH(D58,IMPORTRANGE(""1y0FWgjbB0gVlqn-q5LMJbGIsqOrzru4yowQz67dz2yc"", ""'STC'!D3:D139""),0))"),0.952716873212583)</f>
        <v>0.95271687321258303</v>
      </c>
      <c r="Z58" s="192">
        <f ca="1">IFERROR(__xludf.DUMMYFUNCTION("INDEX(IMPORTRANGE(""1y0FWgjbB0gVlqn-q5LMJbGIsqOrzru4yowQz67dz2yc"", ""'STC'!BI3:BI139""),MATCH(D58,IMPORTRANGE(""1y0FWgjbB0gVlqn-q5LMJbGIsqOrzru4yowQz67dz2yc"", ""'STC'!D3:D139""),0))"),0.960724499523355)</f>
        <v>0.96072449952335504</v>
      </c>
      <c r="AA58" s="1"/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175</v>
      </c>
      <c r="E59" s="9" t="s">
        <v>38</v>
      </c>
      <c r="F59" s="9" t="s">
        <v>176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84053</v>
      </c>
      <c r="Q59" s="12">
        <v>84053</v>
      </c>
      <c r="R59" s="4"/>
      <c r="S59" s="4"/>
      <c r="T59" s="4"/>
      <c r="U59" s="4"/>
      <c r="V59" s="4"/>
      <c r="W59" s="4"/>
      <c r="X59" s="12">
        <v>84053</v>
      </c>
      <c r="Y59" s="23">
        <f ca="1">IFERROR(__xludf.DUMMYFUNCTION("INDEX(IMPORTRANGE(""1y0FWgjbB0gVlqn-q5LMJbGIsqOrzru4yowQz67dz2yc"", ""'STC'!BH3:BH139""),MATCH(D59,IMPORTRANGE(""1y0FWgjbB0gVlqn-q5LMJbGIsqOrzru4yowQz67dz2yc"", ""'STC'!D3:D139""),0))"),84054)</f>
        <v>84054</v>
      </c>
      <c r="Z59" s="23">
        <f ca="1">IFERROR(__xludf.DUMMYFUNCTION("INDEX(IMPORTRANGE(""1y0FWgjbB0gVlqn-q5LMJbGIsqOrzru4yowQz67dz2yc"", ""'STC'!BI3:BI139""),MATCH(D59,IMPORTRANGE(""1y0FWgjbB0gVlqn-q5LMJbGIsqOrzru4yowQz67dz2yc"", ""'STC'!D3:D139""),0))"),84054)</f>
        <v>84054</v>
      </c>
      <c r="AA59" s="1"/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1" t="s">
        <v>177</v>
      </c>
      <c r="E60" s="9" t="s">
        <v>38</v>
      </c>
      <c r="F60" s="2" t="s">
        <v>178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1">P59/P35</f>
        <v>0.96452997337739832</v>
      </c>
      <c r="Q60" s="15">
        <f t="shared" si="11"/>
        <v>0.96452997337739832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5">
        <f>X59/X35</f>
        <v>0.96452997337739832</v>
      </c>
      <c r="Y60" s="15">
        <f ca="1">IFERROR(__xludf.DUMMYFUNCTION("INDEX(IMPORTRANGE(""1y0FWgjbB0gVlqn-q5LMJbGIsqOrzru4yowQz67dz2yc"", ""'STC'!BH3:BH139""),MATCH(D60,IMPORTRANGE(""1y0FWgjbB0gVlqn-q5LMJbGIsqOrzru4yowQz67dz2yc"", ""'STC'!D3:D139""),0))"),0.964541448636739)</f>
        <v>0.96454144863673896</v>
      </c>
      <c r="Z60" s="15">
        <f ca="1">IFERROR(__xludf.DUMMYFUNCTION("INDEX(IMPORTRANGE(""1y0FWgjbB0gVlqn-q5LMJbGIsqOrzru4yowQz67dz2yc"", ""'STC'!BI3:BI139""),MATCH(D60,IMPORTRANGE(""1y0FWgjbB0gVlqn-q5LMJbGIsqOrzru4yowQz67dz2yc"", ""'STC'!D3:D139""),0))"),0.964541448636739)</f>
        <v>0.96454144863673896</v>
      </c>
      <c r="AA60" s="1"/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179</v>
      </c>
      <c r="E61" s="9" t="s">
        <v>38</v>
      </c>
      <c r="F61" s="9" t="s">
        <v>180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30">
        <v>6302632.9800000004</v>
      </c>
      <c r="Q61" s="30">
        <v>6302632.9800000004</v>
      </c>
      <c r="R61" s="4"/>
      <c r="S61" s="4"/>
      <c r="T61" s="4"/>
      <c r="U61" s="4"/>
      <c r="V61" s="4"/>
      <c r="W61" s="4"/>
      <c r="X61" s="30">
        <v>6302632.9800000004</v>
      </c>
      <c r="Y61" s="23">
        <f ca="1">IFERROR(__xludf.DUMMYFUNCTION("INDEX(IMPORTRANGE(""1y0FWgjbB0gVlqn-q5LMJbGIsqOrzru4yowQz67dz2yc"", ""'STC'!BH3:BH139""),MATCH(D61,IMPORTRANGE(""1y0FWgjbB0gVlqn-q5LMJbGIsqOrzru4yowQz67dz2yc"", ""'STC'!D3:D139""),0))"),6302632.98)</f>
        <v>6302632.9800000004</v>
      </c>
      <c r="Z61" s="23">
        <f ca="1">IFERROR(__xludf.DUMMYFUNCTION("INDEX(IMPORTRANGE(""1y0FWgjbB0gVlqn-q5LMJbGIsqOrzru4yowQz67dz2yc"", ""'STC'!BI3:BI139""),MATCH(D61,IMPORTRANGE(""1y0FWgjbB0gVlqn-q5LMJbGIsqOrzru4yowQz67dz2yc"", ""'STC'!D3:D139""),0))"),6305681)</f>
        <v>6305681</v>
      </c>
      <c r="AA61" s="1"/>
      <c r="AB61" s="1"/>
      <c r="AC61" s="1"/>
    </row>
    <row r="62" spans="1:29">
      <c r="A62" s="7" t="s">
        <v>147</v>
      </c>
      <c r="B62" s="7" t="s">
        <v>168</v>
      </c>
      <c r="C62" s="1" t="s">
        <v>30</v>
      </c>
      <c r="D62" s="7" t="s">
        <v>181</v>
      </c>
      <c r="E62" s="9" t="s">
        <v>38</v>
      </c>
      <c r="F62" s="9" t="s">
        <v>182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30">
        <v>6347377.9800000004</v>
      </c>
      <c r="Q62" s="30">
        <v>6347377.9800000004</v>
      </c>
      <c r="R62" s="4"/>
      <c r="S62" s="4"/>
      <c r="T62" s="4"/>
      <c r="U62" s="4"/>
      <c r="V62" s="4"/>
      <c r="W62" s="4"/>
      <c r="X62" s="30">
        <v>6347377.9800000004</v>
      </c>
      <c r="Y62" s="23">
        <f ca="1">IFERROR(__xludf.DUMMYFUNCTION("INDEX(IMPORTRANGE(""1y0FWgjbB0gVlqn-q5LMJbGIsqOrzru4yowQz67dz2yc"", ""'STC'!BH3:BH139""),MATCH(D62,IMPORTRANGE(""1y0FWgjbB0gVlqn-q5LMJbGIsqOrzru4yowQz67dz2yc"", ""'STC'!D3:D139""),0))"),6347377.98)</f>
        <v>6347377.9800000004</v>
      </c>
      <c r="Z62" s="23">
        <f ca="1">IFERROR(__xludf.DUMMYFUNCTION("INDEX(IMPORTRANGE(""1y0FWgjbB0gVlqn-q5LMJbGIsqOrzru4yowQz67dz2yc"", ""'STC'!BI3:BI139""),MATCH(D62,IMPORTRANGE(""1y0FWgjbB0gVlqn-q5LMJbGIsqOrzru4yowQz67dz2yc"", ""'STC'!D3:D139""),0))"),6347377.98)</f>
        <v>6347377.9800000004</v>
      </c>
      <c r="AA62" s="1"/>
      <c r="AB62" s="1"/>
      <c r="AC62" s="1"/>
    </row>
    <row r="63" spans="1:29">
      <c r="A63" s="7" t="s">
        <v>147</v>
      </c>
      <c r="B63" s="7" t="s">
        <v>168</v>
      </c>
      <c r="C63" s="1" t="s">
        <v>36</v>
      </c>
      <c r="D63" s="7" t="s">
        <v>183</v>
      </c>
      <c r="E63" s="9" t="s">
        <v>38</v>
      </c>
      <c r="F63" s="9" t="s">
        <v>184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15">
        <f t="shared" ref="P63:Q63" si="12">P61/P62</f>
        <v>0.99295063250668425</v>
      </c>
      <c r="Q63" s="15">
        <f t="shared" si="12"/>
        <v>0.99295063250668425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5">
        <f>X61/X62</f>
        <v>0.99295063250668425</v>
      </c>
      <c r="Y63" s="15">
        <f ca="1">IFERROR(__xludf.DUMMYFUNCTION("INDEX(IMPORTRANGE(""1y0FWgjbB0gVlqn-q5LMJbGIsqOrzru4yowQz67dz2yc"", ""'STC'!BH3:BH139""),MATCH(D63,IMPORTRANGE(""1y0FWgjbB0gVlqn-q5LMJbGIsqOrzru4yowQz67dz2yc"", ""'STC'!D3:D139""),0))"),0.992950632506684)</f>
        <v>0.99295063250668403</v>
      </c>
      <c r="Z63" s="15">
        <f ca="1">IFERROR(__xludf.DUMMYFUNCTION("INDEX(IMPORTRANGE(""1y0FWgjbB0gVlqn-q5LMJbGIsqOrzru4yowQz67dz2yc"", ""'STC'!BI3:BI139""),MATCH(D63,IMPORTRANGE(""1y0FWgjbB0gVlqn-q5LMJbGIsqOrzru4yowQz67dz2yc"", ""'STC'!D3:D139""),0))"),0.993430833939402)</f>
        <v>0.99343083393940201</v>
      </c>
      <c r="AA63" s="1"/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185</v>
      </c>
      <c r="E64" s="9" t="s">
        <v>38</v>
      </c>
      <c r="F64" s="9" t="s">
        <v>186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30">
        <v>22901</v>
      </c>
      <c r="Q64" s="30">
        <v>22901</v>
      </c>
      <c r="R64" s="4"/>
      <c r="S64" s="4"/>
      <c r="T64" s="4"/>
      <c r="U64" s="4"/>
      <c r="V64" s="4"/>
      <c r="W64" s="4"/>
      <c r="X64" s="12">
        <v>22901</v>
      </c>
      <c r="Y64" s="12">
        <f ca="1">IFERROR(__xludf.DUMMYFUNCTION("INDEX(IMPORTRANGE(""1y0FWgjbB0gVlqn-q5LMJbGIsqOrzru4yowQz67dz2yc"", ""'STC'!BH3:BH139""),MATCH(D64,IMPORTRANGE(""1y0FWgjbB0gVlqn-q5LMJbGIsqOrzru4yowQz67dz2yc"", ""'STC'!D3:D139""),0))"),22901)</f>
        <v>22901</v>
      </c>
      <c r="Z64" s="12">
        <f ca="1">IFERROR(__xludf.DUMMYFUNCTION("INDEX(IMPORTRANGE(""1y0FWgjbB0gVlqn-q5LMJbGIsqOrzru4yowQz67dz2yc"", ""'STC'!BI3:BI139""),MATCH(D64,IMPORTRANGE(""1y0FWgjbB0gVlqn-q5LMJbGIsqOrzru4yowQz67dz2yc"", ""'STC'!D3:D139""),0))"),23194)</f>
        <v>23194</v>
      </c>
      <c r="AA64" s="1"/>
      <c r="AB64" s="1"/>
      <c r="AC64" s="1"/>
    </row>
    <row r="65" spans="1:29">
      <c r="A65" s="7" t="s">
        <v>147</v>
      </c>
      <c r="B65" s="7" t="s">
        <v>168</v>
      </c>
      <c r="C65" s="1" t="s">
        <v>30</v>
      </c>
      <c r="D65" s="7" t="s">
        <v>187</v>
      </c>
      <c r="E65" s="9" t="s">
        <v>38</v>
      </c>
      <c r="F65" s="9" t="s">
        <v>188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30">
        <v>42125</v>
      </c>
      <c r="Q65" s="30">
        <v>42125</v>
      </c>
      <c r="R65" s="4"/>
      <c r="S65" s="4"/>
      <c r="T65" s="4"/>
      <c r="U65" s="4"/>
      <c r="V65" s="4"/>
      <c r="W65" s="4"/>
      <c r="X65" s="12">
        <v>42125</v>
      </c>
      <c r="Y65" s="12">
        <f ca="1">IFERROR(__xludf.DUMMYFUNCTION("INDEX(IMPORTRANGE(""1y0FWgjbB0gVlqn-q5LMJbGIsqOrzru4yowQz67dz2yc"", ""'STC'!BH3:BH139""),MATCH(D65,IMPORTRANGE(""1y0FWgjbB0gVlqn-q5LMJbGIsqOrzru4yowQz67dz2yc"", ""'STC'!D3:D139""),0))"),42125)</f>
        <v>42125</v>
      </c>
      <c r="Z65" s="12">
        <f ca="1">IFERROR(__xludf.DUMMYFUNCTION("INDEX(IMPORTRANGE(""1y0FWgjbB0gVlqn-q5LMJbGIsqOrzru4yowQz67dz2yc"", ""'STC'!BI3:BI139""),MATCH(D65,IMPORTRANGE(""1y0FWgjbB0gVlqn-q5LMJbGIsqOrzru4yowQz67dz2yc"", ""'STC'!D3:D139""),0))"),42125)</f>
        <v>42125</v>
      </c>
      <c r="AA65" s="1"/>
      <c r="AB65" s="1"/>
      <c r="AC65" s="1"/>
    </row>
    <row r="66" spans="1:29">
      <c r="A66" s="7" t="s">
        <v>147</v>
      </c>
      <c r="B66" s="7" t="s">
        <v>168</v>
      </c>
      <c r="C66" s="1" t="s">
        <v>36</v>
      </c>
      <c r="D66" s="7" t="s">
        <v>189</v>
      </c>
      <c r="E66" s="9" t="s">
        <v>38</v>
      </c>
      <c r="F66" s="9" t="s">
        <v>190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15">
        <f t="shared" ref="P66:Q66" si="13">P64/P65</f>
        <v>0.54364391691394653</v>
      </c>
      <c r="Q66" s="15">
        <f t="shared" si="13"/>
        <v>0.54364391691394653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5">
        <f>X64/X65</f>
        <v>0.54364391691394653</v>
      </c>
      <c r="Y66" s="15">
        <f ca="1">IFERROR(__xludf.DUMMYFUNCTION("INDEX(IMPORTRANGE(""1y0FWgjbB0gVlqn-q5LMJbGIsqOrzru4yowQz67dz2yc"", ""'STC'!BH3:BH139""),MATCH(D66,IMPORTRANGE(""1y0FWgjbB0gVlqn-q5LMJbGIsqOrzru4yowQz67dz2yc"", ""'STC'!D3:D139""),0))"),0.543643916913946)</f>
        <v>0.54364391691394598</v>
      </c>
      <c r="Z66" s="15">
        <f ca="1">IFERROR(__xludf.DUMMYFUNCTION("INDEX(IMPORTRANGE(""1y0FWgjbB0gVlqn-q5LMJbGIsqOrzru4yowQz67dz2yc"", ""'STC'!BI3:BI139""),MATCH(D66,IMPORTRANGE(""1y0FWgjbB0gVlqn-q5LMJbGIsqOrzru4yowQz67dz2yc"", ""'STC'!D3:D139""),0))"),0.55059940652819)</f>
        <v>0.55059940652818995</v>
      </c>
      <c r="AA66" s="1"/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191</v>
      </c>
      <c r="E67" s="9" t="s">
        <v>38</v>
      </c>
      <c r="F67" s="9" t="s">
        <v>192</v>
      </c>
      <c r="G67" s="22" t="s">
        <v>56</v>
      </c>
      <c r="H67" s="22" t="s">
        <v>57</v>
      </c>
      <c r="I67" s="2" t="s">
        <v>58</v>
      </c>
      <c r="J67" s="2" t="s">
        <v>59</v>
      </c>
      <c r="K67" s="2" t="s">
        <v>130</v>
      </c>
      <c r="L67" s="2" t="s">
        <v>61</v>
      </c>
      <c r="M67" s="2" t="s">
        <v>131</v>
      </c>
      <c r="N67" s="2" t="s">
        <v>63</v>
      </c>
      <c r="O67" s="2" t="s">
        <v>132</v>
      </c>
      <c r="P67" s="12">
        <v>0</v>
      </c>
      <c r="Q67" s="2">
        <v>0</v>
      </c>
      <c r="R67" s="2"/>
      <c r="S67" s="2"/>
      <c r="T67" s="2"/>
      <c r="U67" s="2"/>
      <c r="V67" s="2"/>
      <c r="W67" s="2"/>
      <c r="X67" s="24">
        <v>4.57</v>
      </c>
      <c r="Y67" s="23">
        <f ca="1">IFERROR(__xludf.DUMMYFUNCTION("INDEX(IMPORTRANGE(""1y0FWgjbB0gVlqn-q5LMJbGIsqOrzru4yowQz67dz2yc"", ""'STC'!BH3:BH139""),MATCH(D67,IMPORTRANGE(""1y0FWgjbB0gVlqn-q5LMJbGIsqOrzru4yowQz67dz2yc"", ""'STC'!D3:D139""),0))"),19.17)</f>
        <v>19.170000000000002</v>
      </c>
      <c r="Z67" s="23">
        <f ca="1">IFERROR(__xludf.DUMMYFUNCTION("INDEX(IMPORTRANGE(""1y0FWgjbB0gVlqn-q5LMJbGIsqOrzru4yowQz67dz2yc"", ""'STC'!BI3:BI139""),MATCH(D67,IMPORTRANGE(""1y0FWgjbB0gVlqn-q5LMJbGIsqOrzru4yowQz67dz2yc"", ""'STC'!D3:D139""),0))"),10.1)</f>
        <v>10.1</v>
      </c>
      <c r="AA67" s="1"/>
      <c r="AB67" s="1"/>
      <c r="AC67" s="1"/>
    </row>
    <row r="68" spans="1:29">
      <c r="A68" s="7" t="s">
        <v>147</v>
      </c>
      <c r="B68" s="7" t="s">
        <v>168</v>
      </c>
      <c r="C68" s="1" t="s">
        <v>30</v>
      </c>
      <c r="D68" s="7" t="s">
        <v>193</v>
      </c>
      <c r="E68" s="9" t="s">
        <v>38</v>
      </c>
      <c r="F68" s="9" t="s">
        <v>194</v>
      </c>
      <c r="G68" s="22" t="s">
        <v>56</v>
      </c>
      <c r="H68" s="22" t="s">
        <v>57</v>
      </c>
      <c r="I68" s="2" t="s">
        <v>58</v>
      </c>
      <c r="J68" s="2" t="s">
        <v>59</v>
      </c>
      <c r="K68" s="2" t="s">
        <v>130</v>
      </c>
      <c r="L68" s="2" t="s">
        <v>61</v>
      </c>
      <c r="M68" s="2" t="s">
        <v>131</v>
      </c>
      <c r="N68" s="2" t="s">
        <v>63</v>
      </c>
      <c r="O68" s="2" t="s">
        <v>132</v>
      </c>
      <c r="P68" s="12">
        <v>0</v>
      </c>
      <c r="Q68" s="2">
        <v>0</v>
      </c>
      <c r="R68" s="2"/>
      <c r="S68" s="2"/>
      <c r="T68" s="2"/>
      <c r="U68" s="2"/>
      <c r="V68" s="2"/>
      <c r="W68" s="2"/>
      <c r="X68" s="29">
        <v>0</v>
      </c>
      <c r="Y68" s="23">
        <f ca="1">IFERROR(__xludf.DUMMYFUNCTION("INDEX(IMPORTRANGE(""1y0FWgjbB0gVlqn-q5LMJbGIsqOrzru4yowQz67dz2yc"", ""'STC'!BH3:BH139""),MATCH(D68,IMPORTRANGE(""1y0FWgjbB0gVlqn-q5LMJbGIsqOrzru4yowQz67dz2yc"", ""'STC'!D3:D139""),0))"),0)</f>
        <v>0</v>
      </c>
      <c r="Z68" s="23">
        <f ca="1">IFERROR(__xludf.DUMMYFUNCTION("INDEX(IMPORTRANGE(""1y0FWgjbB0gVlqn-q5LMJbGIsqOrzru4yowQz67dz2yc"", ""'STC'!BI3:BI139""),MATCH(D68,IMPORTRANGE(""1y0FWgjbB0gVlqn-q5LMJbGIsqOrzru4yowQz67dz2yc"", ""'STC'!D3:D139""),0))"),0)</f>
        <v>0</v>
      </c>
      <c r="AA68" s="1"/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195</v>
      </c>
      <c r="E69" s="9" t="s">
        <v>38</v>
      </c>
      <c r="F69" s="9" t="s">
        <v>196</v>
      </c>
      <c r="G69" s="10">
        <v>44469</v>
      </c>
      <c r="H69" s="10">
        <v>44469</v>
      </c>
      <c r="I69" s="11">
        <v>44651</v>
      </c>
      <c r="J69" s="11">
        <v>44834</v>
      </c>
      <c r="K69" s="11">
        <v>45016</v>
      </c>
      <c r="L69" s="11">
        <v>45199</v>
      </c>
      <c r="M69" s="11">
        <v>45382</v>
      </c>
      <c r="N69" s="11">
        <v>45565</v>
      </c>
      <c r="O69" s="11">
        <v>45565</v>
      </c>
      <c r="P69" s="30">
        <v>0</v>
      </c>
      <c r="Q69" s="2">
        <v>0</v>
      </c>
      <c r="R69" s="4"/>
      <c r="S69" s="4"/>
      <c r="T69" s="4"/>
      <c r="U69" s="4"/>
      <c r="V69" s="4"/>
      <c r="W69" s="4"/>
      <c r="X69" s="29">
        <v>1</v>
      </c>
      <c r="Y69" s="23" t="str">
        <f ca="1">IFERROR(__xludf.DUMMYFUNCTION("INDEX(IMPORTRANGE(""1y0FWgjbB0gVlqn-q5LMJbGIsqOrzru4yowQz67dz2yc"", ""'STC'!BH3:BH139""),MATCH(D69,IMPORTRANGE(""1y0FWgjbB0gVlqn-q5LMJbGIsqOrzru4yowQz67dz2yc"", ""'STC'!D3:D139""),0))"),"")</f>
        <v/>
      </c>
      <c r="Z69" s="23" t="str">
        <f ca="1">IFERROR(__xludf.DUMMYFUNCTION("INDEX(IMPORTRANGE(""1y0FWgjbB0gVlqn-q5LMJbGIsqOrzru4yowQz67dz2yc"", ""'STC'!BI3:BI139""),MATCH(D69,IMPORTRANGE(""1y0FWgjbB0gVlqn-q5LMJbGIsqOrzru4yowQz67dz2yc"", ""'STC'!D3:D139""),0))"),"")</f>
        <v/>
      </c>
      <c r="AA69" s="1"/>
      <c r="AB69" s="1"/>
      <c r="AC69" s="1"/>
    </row>
    <row r="70" spans="1:29">
      <c r="A70" s="7" t="s">
        <v>147</v>
      </c>
      <c r="B70" s="7" t="s">
        <v>168</v>
      </c>
      <c r="C70" s="1" t="s">
        <v>36</v>
      </c>
      <c r="D70" s="7" t="s">
        <v>197</v>
      </c>
      <c r="E70" s="9" t="s">
        <v>38</v>
      </c>
      <c r="F70" s="9" t="s">
        <v>198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f>P67+P68</f>
        <v>0</v>
      </c>
      <c r="Q70" s="2">
        <v>0</v>
      </c>
      <c r="R70" s="4">
        <v>6</v>
      </c>
      <c r="S70" s="4">
        <v>3</v>
      </c>
      <c r="T70" s="4">
        <v>6</v>
      </c>
      <c r="U70" s="4">
        <v>3</v>
      </c>
      <c r="V70" s="4">
        <v>6</v>
      </c>
      <c r="W70" s="4">
        <v>18</v>
      </c>
      <c r="X70" s="24">
        <f>X67+X68</f>
        <v>4.57</v>
      </c>
      <c r="Y70" s="23">
        <f ca="1">IFERROR(__xludf.DUMMYFUNCTION("INDEX(IMPORTRANGE(""1y0FWgjbB0gVlqn-q5LMJbGIsqOrzru4yowQz67dz2yc"", ""'STC'!BH3:BH139""),MATCH(D70,IMPORTRANGE(""1y0FWgjbB0gVlqn-q5LMJbGIsqOrzru4yowQz67dz2yc"", ""'STC'!D3:D139""),0))"),19.17)</f>
        <v>19.170000000000002</v>
      </c>
      <c r="Z70" s="23">
        <f ca="1">IFERROR(__xludf.DUMMYFUNCTION("INDEX(IMPORTRANGE(""1y0FWgjbB0gVlqn-q5LMJbGIsqOrzru4yowQz67dz2yc"", ""'STC'!BI3:BI139""),MATCH(D70,IMPORTRANGE(""1y0FWgjbB0gVlqn-q5LMJbGIsqOrzru4yowQz67dz2yc"", ""'STC'!D3:D139""),0))"),10.1)</f>
        <v>10.1</v>
      </c>
      <c r="AA70" s="1"/>
      <c r="AB70" s="1"/>
      <c r="AC70" s="1"/>
    </row>
    <row r="71" spans="1:29">
      <c r="A71" s="7" t="s">
        <v>199</v>
      </c>
      <c r="B71" s="7" t="s">
        <v>200</v>
      </c>
      <c r="C71" s="1" t="s">
        <v>36</v>
      </c>
      <c r="D71" s="7" t="s">
        <v>201</v>
      </c>
      <c r="E71" s="9" t="s">
        <v>38</v>
      </c>
      <c r="F71" s="9" t="s">
        <v>202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12">
        <v>0</v>
      </c>
      <c r="Q71" s="12">
        <v>0</v>
      </c>
      <c r="R71" s="2">
        <v>1</v>
      </c>
      <c r="S71" s="2">
        <v>2</v>
      </c>
      <c r="T71" s="2">
        <v>2</v>
      </c>
      <c r="U71" s="2">
        <v>3</v>
      </c>
      <c r="V71" s="2">
        <v>4</v>
      </c>
      <c r="W71" s="23">
        <v>4</v>
      </c>
      <c r="X71" s="2">
        <v>0</v>
      </c>
      <c r="Y71" s="12">
        <f ca="1">IFERROR(__xludf.DUMMYFUNCTION("INDEX(IMPORTRANGE(""1y0FWgjbB0gVlqn-q5LMJbGIsqOrzru4yowQz67dz2yc"", ""'STC'!BH3:BH139""),MATCH(D71,IMPORTRANGE(""1y0FWgjbB0gVlqn-q5LMJbGIsqOrzru4yowQz67dz2yc"", ""'STC'!D3:D139""),0))"),0)</f>
        <v>0</v>
      </c>
      <c r="Z71" s="12">
        <f ca="1">IFERROR(__xludf.DUMMYFUNCTION("INDEX(IMPORTRANGE(""1y0FWgjbB0gVlqn-q5LMJbGIsqOrzru4yowQz67dz2yc"", ""'STC'!BI3:BI139""),MATCH(D71,IMPORTRANGE(""1y0FWgjbB0gVlqn-q5LMJbGIsqOrzru4yowQz67dz2yc"", ""'STC'!D3:D139""),0))"),0)</f>
        <v>0</v>
      </c>
      <c r="AA71" s="1"/>
      <c r="AB71" s="1"/>
      <c r="AC71" s="1"/>
    </row>
    <row r="72" spans="1:29">
      <c r="A72" s="7" t="s">
        <v>199</v>
      </c>
      <c r="B72" s="7" t="s">
        <v>200</v>
      </c>
      <c r="C72" s="1" t="s">
        <v>30</v>
      </c>
      <c r="D72" s="7" t="s">
        <v>203</v>
      </c>
      <c r="E72" s="9" t="s">
        <v>38</v>
      </c>
      <c r="F72" s="9" t="s">
        <v>204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254"/>
      <c r="Q72" s="254"/>
      <c r="R72" s="2"/>
      <c r="S72" s="2"/>
      <c r="T72" s="2"/>
      <c r="U72" s="2"/>
      <c r="V72" s="2"/>
      <c r="W72" s="2"/>
      <c r="X72" s="2">
        <v>740.38</v>
      </c>
      <c r="Y72" s="23">
        <f ca="1">IFERROR(__xludf.DUMMYFUNCTION("INDEX(IMPORTRANGE(""1y0FWgjbB0gVlqn-q5LMJbGIsqOrzru4yowQz67dz2yc"", ""'STC'!BH3:BH139""),MATCH(D72,IMPORTRANGE(""1y0FWgjbB0gVlqn-q5LMJbGIsqOrzru4yowQz67dz2yc"", ""'STC'!D3:D139""),0))"),740.38)</f>
        <v>740.38</v>
      </c>
      <c r="Z72" s="23">
        <f ca="1">IFERROR(__xludf.DUMMYFUNCTION("INDEX(IMPORTRANGE(""1y0FWgjbB0gVlqn-q5LMJbGIsqOrzru4yowQz67dz2yc"", ""'STC'!BI3:BI139""),MATCH(D72,IMPORTRANGE(""1y0FWgjbB0gVlqn-q5LMJbGIsqOrzru4yowQz67dz2yc"", ""'STC'!D3:D139""),0))"),0)</f>
        <v>0</v>
      </c>
      <c r="AA72" s="1"/>
      <c r="AB72" s="1"/>
      <c r="AC72" s="1"/>
    </row>
    <row r="73" spans="1:29">
      <c r="A73" s="7" t="s">
        <v>199</v>
      </c>
      <c r="B73" s="7" t="s">
        <v>200</v>
      </c>
      <c r="C73" s="1" t="s">
        <v>30</v>
      </c>
      <c r="D73" s="7" t="s">
        <v>205</v>
      </c>
      <c r="E73" s="9" t="s">
        <v>38</v>
      </c>
      <c r="F73" s="9" t="s">
        <v>206</v>
      </c>
      <c r="G73" s="22" t="s">
        <v>56</v>
      </c>
      <c r="H73" s="22" t="s">
        <v>57</v>
      </c>
      <c r="I73" s="2" t="s">
        <v>58</v>
      </c>
      <c r="J73" s="2" t="s">
        <v>59</v>
      </c>
      <c r="K73" s="2" t="s">
        <v>130</v>
      </c>
      <c r="L73" s="2" t="s">
        <v>61</v>
      </c>
      <c r="M73" s="2" t="s">
        <v>131</v>
      </c>
      <c r="N73" s="2" t="s">
        <v>63</v>
      </c>
      <c r="O73" s="2" t="s">
        <v>132</v>
      </c>
      <c r="P73" s="254"/>
      <c r="Q73" s="254"/>
      <c r="R73" s="2"/>
      <c r="S73" s="2"/>
      <c r="T73" s="2"/>
      <c r="U73" s="2"/>
      <c r="V73" s="2"/>
      <c r="W73" s="9"/>
      <c r="X73" s="2">
        <v>1870.34</v>
      </c>
      <c r="Y73" s="23">
        <f ca="1">IFERROR(__xludf.DUMMYFUNCTION("INDEX(IMPORTRANGE(""1y0FWgjbB0gVlqn-q5LMJbGIsqOrzru4yowQz67dz2yc"", ""'STC'!BH3:BH139""),MATCH(D73,IMPORTRANGE(""1y0FWgjbB0gVlqn-q5LMJbGIsqOrzru4yowQz67dz2yc"", ""'STC'!D3:D139""),0))"),5653.03)</f>
        <v>5653.03</v>
      </c>
      <c r="Z73" s="23">
        <f ca="1">IFERROR(__xludf.DUMMYFUNCTION("INDEX(IMPORTRANGE(""1y0FWgjbB0gVlqn-q5LMJbGIsqOrzru4yowQz67dz2yc"", ""'STC'!BI3:BI139""),MATCH(D73,IMPORTRANGE(""1y0FWgjbB0gVlqn-q5LMJbGIsqOrzru4yowQz67dz2yc"", ""'STC'!D3:D139""),0))"),2682.37)</f>
        <v>2682.37</v>
      </c>
      <c r="AA73" s="1"/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207</v>
      </c>
      <c r="E74" s="9" t="s">
        <v>38</v>
      </c>
      <c r="F74" s="9" t="s">
        <v>208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0</v>
      </c>
      <c r="Y74" s="23">
        <f ca="1">IFERROR(__xludf.DUMMYFUNCTION("INDEX(IMPORTRANGE(""1y0FWgjbB0gVlqn-q5LMJbGIsqOrzru4yowQz67dz2yc"", ""'STC'!BH3:BH139""),MATCH(D74,IMPORTRANGE(""1y0FWgjbB0gVlqn-q5LMJbGIsqOrzru4yowQz67dz2yc"", ""'STC'!D3:D139""),0))"),0)</f>
        <v>0</v>
      </c>
      <c r="Z74" s="23">
        <f ca="1">IFERROR(__xludf.DUMMYFUNCTION("INDEX(IMPORTRANGE(""1y0FWgjbB0gVlqn-q5LMJbGIsqOrzru4yowQz67dz2yc"", ""'STC'!BI3:BI139""),MATCH(D74,IMPORTRANGE(""1y0FWgjbB0gVlqn-q5LMJbGIsqOrzru4yowQz67dz2yc"", ""'STC'!D3:D139""),0))"),0)</f>
        <v>0</v>
      </c>
      <c r="AA74" s="1"/>
      <c r="AB74" s="1"/>
      <c r="AC74" s="1"/>
    </row>
    <row r="75" spans="1:29">
      <c r="A75" s="7" t="s">
        <v>199</v>
      </c>
      <c r="B75" s="7" t="s">
        <v>200</v>
      </c>
      <c r="C75" s="1" t="s">
        <v>36</v>
      </c>
      <c r="D75" s="7" t="s">
        <v>209</v>
      </c>
      <c r="E75" s="9" t="s">
        <v>38</v>
      </c>
      <c r="F75" s="9" t="s">
        <v>210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30">
        <f>P72+P73+P74</f>
        <v>0</v>
      </c>
      <c r="Q75" s="2"/>
      <c r="R75" s="4">
        <v>1666</v>
      </c>
      <c r="S75" s="4">
        <v>833</v>
      </c>
      <c r="T75" s="4">
        <v>1666</v>
      </c>
      <c r="U75" s="4">
        <v>833</v>
      </c>
      <c r="V75" s="4">
        <v>1666</v>
      </c>
      <c r="W75" s="4">
        <v>4997.1400000000003</v>
      </c>
      <c r="X75" s="30">
        <f>X72+X73+X74</f>
        <v>2610.7199999999998</v>
      </c>
      <c r="Y75" s="23">
        <f ca="1">IFERROR(__xludf.DUMMYFUNCTION("INDEX(IMPORTRANGE(""1y0FWgjbB0gVlqn-q5LMJbGIsqOrzru4yowQz67dz2yc"", ""'STC'!BH3:BH139""),MATCH(D75,IMPORTRANGE(""1y0FWgjbB0gVlqn-q5LMJbGIsqOrzru4yowQz67dz2yc"", ""'STC'!D3:D139""),0))"),6393.41)</f>
        <v>6393.41</v>
      </c>
      <c r="Z75" s="23">
        <f ca="1">IFERROR(__xludf.DUMMYFUNCTION("INDEX(IMPORTRANGE(""1y0FWgjbB0gVlqn-q5LMJbGIsqOrzru4yowQz67dz2yc"", ""'STC'!BI3:BI139""),MATCH(D75,IMPORTRANGE(""1y0FWgjbB0gVlqn-q5LMJbGIsqOrzru4yowQz67dz2yc"", ""'STC'!D3:D139""),0))"),2682.37)</f>
        <v>2682.37</v>
      </c>
      <c r="AA75" s="1"/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155" t="s">
        <v>211</v>
      </c>
      <c r="E76" s="9" t="s">
        <v>38</v>
      </c>
      <c r="F76" s="9" t="s">
        <v>212</v>
      </c>
      <c r="G76" s="155" t="s">
        <v>213</v>
      </c>
      <c r="H76" s="156" t="s">
        <v>214</v>
      </c>
      <c r="I76" s="7" t="s">
        <v>215</v>
      </c>
      <c r="J76" s="181"/>
      <c r="K76" s="7" t="s">
        <v>216</v>
      </c>
      <c r="L76" s="181"/>
      <c r="M76" s="7" t="s">
        <v>217</v>
      </c>
      <c r="N76" s="1" t="s">
        <v>218</v>
      </c>
      <c r="O76" s="1" t="s">
        <v>218</v>
      </c>
      <c r="P76" s="36">
        <v>17147781.029999997</v>
      </c>
      <c r="Q76" s="36">
        <v>17147781.029999997</v>
      </c>
      <c r="R76" s="4"/>
      <c r="S76" s="60"/>
      <c r="T76" s="4"/>
      <c r="U76" s="60"/>
      <c r="V76" s="60"/>
      <c r="W76" s="60"/>
      <c r="X76" s="36">
        <v>17147781.029999997</v>
      </c>
      <c r="Y76" s="476" t="str">
        <f ca="1">IFERROR(__xludf.DUMMYFUNCTION("INDEX(IMPORTRANGE(""1y0FWgjbB0gVlqn-q5LMJbGIsqOrzru4yowQz67dz2yc"", ""'STC'!BH3:BH139""),MATCH(D76,IMPORTRANGE(""1y0FWgjbB0gVlqn-q5LMJbGIsqOrzru4yowQz67dz2yc"", ""'STC'!D3:D139""),0))"),"")</f>
        <v/>
      </c>
      <c r="Z76" s="36">
        <f ca="1">IFERROR(__xludf.DUMMYFUNCTION("INDEX(IMPORTRANGE(""1y0FWgjbB0gVlqn-q5LMJbGIsqOrzru4yowQz67dz2yc"", ""'STC'!BI3:BI139""),MATCH(D76,IMPORTRANGE(""1y0FWgjbB0gVlqn-q5LMJbGIsqOrzru4yowQz67dz2yc"", ""'STC'!D3:D139""),0))"),18080269.07)</f>
        <v>18080269.07</v>
      </c>
      <c r="AA76" s="1"/>
      <c r="AB76" s="1"/>
      <c r="AC76" s="1"/>
    </row>
    <row r="77" spans="1:29">
      <c r="A77" s="7" t="s">
        <v>199</v>
      </c>
      <c r="B77" s="7" t="s">
        <v>200</v>
      </c>
      <c r="C77" s="1" t="s">
        <v>30</v>
      </c>
      <c r="D77" s="155" t="s">
        <v>219</v>
      </c>
      <c r="E77" s="9" t="s">
        <v>38</v>
      </c>
      <c r="F77" s="9" t="s">
        <v>220</v>
      </c>
      <c r="G77" s="155" t="s">
        <v>213</v>
      </c>
      <c r="H77" s="156" t="s">
        <v>214</v>
      </c>
      <c r="I77" s="7" t="s">
        <v>215</v>
      </c>
      <c r="J77" s="181"/>
      <c r="K77" s="7" t="s">
        <v>216</v>
      </c>
      <c r="L77" s="181"/>
      <c r="M77" s="7" t="s">
        <v>217</v>
      </c>
      <c r="N77" s="1" t="s">
        <v>218</v>
      </c>
      <c r="O77" s="1" t="s">
        <v>218</v>
      </c>
      <c r="P77" s="36">
        <v>1843794.19</v>
      </c>
      <c r="Q77" s="36">
        <v>1843794.19</v>
      </c>
      <c r="R77" s="4"/>
      <c r="S77" s="4"/>
      <c r="T77" s="4"/>
      <c r="U77" s="4"/>
      <c r="V77" s="4"/>
      <c r="W77" s="4"/>
      <c r="X77" s="36">
        <v>1843794.19</v>
      </c>
      <c r="Y77" s="476" t="str">
        <f ca="1">IFERROR(__xludf.DUMMYFUNCTION("INDEX(IMPORTRANGE(""1y0FWgjbB0gVlqn-q5LMJbGIsqOrzru4yowQz67dz2yc"", ""'STC'!BH3:BH139""),MATCH(D77,IMPORTRANGE(""1y0FWgjbB0gVlqn-q5LMJbGIsqOrzru4yowQz67dz2yc"", ""'STC'!D3:D139""),0))"),"")</f>
        <v/>
      </c>
      <c r="Z77" s="36">
        <f ca="1">IFERROR(__xludf.DUMMYFUNCTION("INDEX(IMPORTRANGE(""1y0FWgjbB0gVlqn-q5LMJbGIsqOrzru4yowQz67dz2yc"", ""'STC'!BI3:BI139""),MATCH(D77,IMPORTRANGE(""1y0FWgjbB0gVlqn-q5LMJbGIsqOrzru4yowQz67dz2yc"", ""'STC'!D3:D139""),0))"),4053814.24)</f>
        <v>4053814.24</v>
      </c>
      <c r="AA77" s="1"/>
      <c r="AB77" s="1"/>
      <c r="AC77" s="1"/>
    </row>
    <row r="78" spans="1:29">
      <c r="A78" s="7" t="s">
        <v>199</v>
      </c>
      <c r="B78" s="7" t="s">
        <v>200</v>
      </c>
      <c r="C78" s="1" t="s">
        <v>36</v>
      </c>
      <c r="D78" s="7" t="s">
        <v>221</v>
      </c>
      <c r="E78" s="9" t="s">
        <v>38</v>
      </c>
      <c r="F78" s="9" t="s">
        <v>222</v>
      </c>
      <c r="G78" s="155" t="s">
        <v>213</v>
      </c>
      <c r="H78" s="156" t="s">
        <v>214</v>
      </c>
      <c r="I78" s="7" t="s">
        <v>215</v>
      </c>
      <c r="J78" s="181"/>
      <c r="K78" s="7" t="s">
        <v>216</v>
      </c>
      <c r="L78" s="181"/>
      <c r="M78" s="7" t="s">
        <v>217</v>
      </c>
      <c r="N78" s="1" t="s">
        <v>218</v>
      </c>
      <c r="O78" s="1" t="s">
        <v>218</v>
      </c>
      <c r="P78" s="15">
        <f t="shared" ref="P78:Q78" si="14">P77/P76</f>
        <v>0.10752377737820928</v>
      </c>
      <c r="Q78" s="15">
        <f t="shared" si="14"/>
        <v>0.10752377737820928</v>
      </c>
      <c r="R78" s="4"/>
      <c r="S78" s="14">
        <v>0.1183</v>
      </c>
      <c r="T78" s="4"/>
      <c r="U78" s="14">
        <v>0.12920000000000001</v>
      </c>
      <c r="V78" s="14">
        <v>0.14000000000000001</v>
      </c>
      <c r="W78" s="14">
        <v>0.14000000000000001</v>
      </c>
      <c r="X78" s="15">
        <f>X77/X76</f>
        <v>0.10752377737820928</v>
      </c>
      <c r="Y78" s="476" t="str">
        <f ca="1">IFERROR(__xludf.DUMMYFUNCTION("INDEX(IMPORTRANGE(""1y0FWgjbB0gVlqn-q5LMJbGIsqOrzru4yowQz67dz2yc"", ""'STC'!BH3:BH139""),MATCH(D78,IMPORTRANGE(""1y0FWgjbB0gVlqn-q5LMJbGIsqOrzru4yowQz67dz2yc"", ""'STC'!D3:D139""),0))"),"")</f>
        <v/>
      </c>
      <c r="Z78" s="15">
        <f ca="1">IFERROR(__xludf.DUMMYFUNCTION("INDEX(IMPORTRANGE(""1y0FWgjbB0gVlqn-q5LMJbGIsqOrzru4yowQz67dz2yc"", ""'STC'!BI3:BI139""),MATCH(D78,IMPORTRANGE(""1y0FWgjbB0gVlqn-q5LMJbGIsqOrzru4yowQz67dz2yc"", ""'STC'!D3:D139""),0))"),0.224212052614104)</f>
        <v>0.22421205261410401</v>
      </c>
      <c r="AA78" s="1"/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223</v>
      </c>
      <c r="E79" s="9" t="s">
        <v>38</v>
      </c>
      <c r="F79" s="9" t="s">
        <v>224</v>
      </c>
      <c r="G79" s="22" t="s">
        <v>56</v>
      </c>
      <c r="H79" s="22" t="s">
        <v>57</v>
      </c>
      <c r="I79" s="2" t="s">
        <v>58</v>
      </c>
      <c r="J79" s="2" t="s">
        <v>59</v>
      </c>
      <c r="K79" s="2" t="s">
        <v>130</v>
      </c>
      <c r="L79" s="2" t="s">
        <v>61</v>
      </c>
      <c r="M79" s="2" t="s">
        <v>131</v>
      </c>
      <c r="N79" s="2" t="s">
        <v>63</v>
      </c>
      <c r="O79" s="2" t="s">
        <v>132</v>
      </c>
      <c r="P79" s="12">
        <v>19</v>
      </c>
      <c r="Q79" s="2">
        <v>19</v>
      </c>
      <c r="R79" s="2"/>
      <c r="S79" s="2"/>
      <c r="T79" s="2"/>
      <c r="U79" s="2"/>
      <c r="V79" s="2"/>
      <c r="W79" s="2"/>
      <c r="X79" s="2">
        <v>0</v>
      </c>
      <c r="Y79" s="12">
        <f ca="1">IFERROR(__xludf.DUMMYFUNCTION("INDEX(IMPORTRANGE(""1y0FWgjbB0gVlqn-q5LMJbGIsqOrzru4yowQz67dz2yc"", ""'STC'!BH3:BH139""),MATCH(D79,IMPORTRANGE(""1y0FWgjbB0gVlqn-q5LMJbGIsqOrzru4yowQz67dz2yc"", ""'STC'!D3:D139""),0))"),4)</f>
        <v>4</v>
      </c>
      <c r="Z79" s="12">
        <f ca="1">IFERROR(__xludf.DUMMYFUNCTION("INDEX(IMPORTRANGE(""1y0FWgjbB0gVlqn-q5LMJbGIsqOrzru4yowQz67dz2yc"", ""'STC'!BI3:BI139""),MATCH(D79,IMPORTRANGE(""1y0FWgjbB0gVlqn-q5LMJbGIsqOrzru4yowQz67dz2yc"", ""'STC'!D3:D139""),0))"),4)</f>
        <v>4</v>
      </c>
      <c r="AA79" s="1"/>
      <c r="AB79" s="1"/>
      <c r="AC79" s="1"/>
    </row>
    <row r="80" spans="1:29">
      <c r="A80" s="7" t="s">
        <v>199</v>
      </c>
      <c r="B80" s="7" t="s">
        <v>200</v>
      </c>
      <c r="C80" s="1" t="s">
        <v>30</v>
      </c>
      <c r="D80" s="155" t="s">
        <v>225</v>
      </c>
      <c r="E80" s="9" t="s">
        <v>38</v>
      </c>
      <c r="F80" s="9" t="s">
        <v>182</v>
      </c>
      <c r="G80" s="22" t="s">
        <v>56</v>
      </c>
      <c r="H80" s="22" t="s">
        <v>57</v>
      </c>
      <c r="I80" s="2" t="s">
        <v>58</v>
      </c>
      <c r="J80" s="2" t="s">
        <v>59</v>
      </c>
      <c r="K80" s="2" t="s">
        <v>130</v>
      </c>
      <c r="L80" s="2" t="s">
        <v>61</v>
      </c>
      <c r="M80" s="2" t="s">
        <v>131</v>
      </c>
      <c r="N80" s="2" t="s">
        <v>63</v>
      </c>
      <c r="O80" s="2" t="s">
        <v>132</v>
      </c>
      <c r="P80" s="12">
        <v>6</v>
      </c>
      <c r="Q80" s="2">
        <v>6</v>
      </c>
      <c r="R80" s="2"/>
      <c r="S80" s="2"/>
      <c r="T80" s="2"/>
      <c r="U80" s="2"/>
      <c r="V80" s="2"/>
      <c r="W80" s="2"/>
      <c r="X80" s="2">
        <v>0</v>
      </c>
      <c r="Y80" s="12">
        <f ca="1">IFERROR(__xludf.DUMMYFUNCTION("INDEX(IMPORTRANGE(""1y0FWgjbB0gVlqn-q5LMJbGIsqOrzru4yowQz67dz2yc"", ""'STC'!BH3:BH139""),MATCH(D80,IMPORTRANGE(""1y0FWgjbB0gVlqn-q5LMJbGIsqOrzru4yowQz67dz2yc"", ""'STC'!D3:D139""),0))"),0)</f>
        <v>0</v>
      </c>
      <c r="Z80" s="12">
        <f ca="1">IFERROR(__xludf.DUMMYFUNCTION("INDEX(IMPORTRANGE(""1y0FWgjbB0gVlqn-q5LMJbGIsqOrzru4yowQz67dz2yc"", ""'STC'!BI3:BI139""),MATCH(D80,IMPORTRANGE(""1y0FWgjbB0gVlqn-q5LMJbGIsqOrzru4yowQz67dz2yc"", ""'STC'!D3:D139""),0))"),0)</f>
        <v>0</v>
      </c>
      <c r="AA80" s="1"/>
      <c r="AB80" s="1"/>
      <c r="AC80" s="1"/>
    </row>
    <row r="81" spans="1:29">
      <c r="A81" s="7" t="s">
        <v>199</v>
      </c>
      <c r="B81" s="7" t="s">
        <v>200</v>
      </c>
      <c r="C81" s="1" t="s">
        <v>36</v>
      </c>
      <c r="D81" s="155" t="s">
        <v>226</v>
      </c>
      <c r="E81" s="9" t="s">
        <v>38</v>
      </c>
      <c r="F81" s="9" t="s">
        <v>227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f t="shared" ref="P81:Q81" si="15">P79+P80</f>
        <v>25</v>
      </c>
      <c r="Q81" s="2">
        <f t="shared" si="15"/>
        <v>25</v>
      </c>
      <c r="R81" s="4">
        <v>9</v>
      </c>
      <c r="S81" s="4">
        <v>5</v>
      </c>
      <c r="T81" s="4">
        <v>9</v>
      </c>
      <c r="U81" s="4">
        <v>5</v>
      </c>
      <c r="V81" s="4">
        <v>9</v>
      </c>
      <c r="W81" s="4">
        <v>28</v>
      </c>
      <c r="X81" s="2">
        <f>SUM(X79:X80)</f>
        <v>0</v>
      </c>
      <c r="Y81" s="12">
        <f ca="1">IFERROR(__xludf.DUMMYFUNCTION("INDEX(IMPORTRANGE(""1y0FWgjbB0gVlqn-q5LMJbGIsqOrzru4yowQz67dz2yc"", ""'STC'!BH3:BH139""),MATCH(D81,IMPORTRANGE(""1y0FWgjbB0gVlqn-q5LMJbGIsqOrzru4yowQz67dz2yc"", ""'STC'!D3:D139""),0))"),4)</f>
        <v>4</v>
      </c>
      <c r="Z81" s="12">
        <f ca="1">IFERROR(__xludf.DUMMYFUNCTION("INDEX(IMPORTRANGE(""1y0FWgjbB0gVlqn-q5LMJbGIsqOrzru4yowQz67dz2yc"", ""'STC'!BI3:BI139""),MATCH(D81,IMPORTRANGE(""1y0FWgjbB0gVlqn-q5LMJbGIsqOrzru4yowQz67dz2yc"", ""'STC'!D3:D139""),0))"),4)</f>
        <v>4</v>
      </c>
      <c r="AA81" s="1"/>
      <c r="AB81" s="1"/>
      <c r="AC81" s="1"/>
    </row>
    <row r="82" spans="1:29">
      <c r="A82" s="7" t="s">
        <v>199</v>
      </c>
      <c r="B82" s="7" t="s">
        <v>228</v>
      </c>
      <c r="C82" s="1" t="s">
        <v>30</v>
      </c>
      <c r="D82" s="7" t="s">
        <v>229</v>
      </c>
      <c r="E82" s="9" t="s">
        <v>38</v>
      </c>
      <c r="F82" s="9" t="s">
        <v>230</v>
      </c>
      <c r="G82" s="22" t="s">
        <v>231</v>
      </c>
      <c r="H82" s="22" t="s">
        <v>232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63</v>
      </c>
      <c r="P82" s="12">
        <v>51</v>
      </c>
      <c r="Q82" s="2">
        <v>77</v>
      </c>
      <c r="R82" s="4"/>
      <c r="S82" s="4"/>
      <c r="T82" s="4"/>
      <c r="U82" s="4"/>
      <c r="V82" s="4"/>
      <c r="W82" s="4"/>
      <c r="X82" s="2">
        <v>40</v>
      </c>
      <c r="Y82" s="12">
        <f ca="1">IFERROR(__xludf.DUMMYFUNCTION("INDEX(IMPORTRANGE(""1y0FWgjbB0gVlqn-q5LMJbGIsqOrzru4yowQz67dz2yc"", ""'STC'!BH3:BH139""),MATCH(D82,IMPORTRANGE(""1y0FWgjbB0gVlqn-q5LMJbGIsqOrzru4yowQz67dz2yc"", ""'STC'!D3:D139""),0))"),1564)</f>
        <v>1564</v>
      </c>
      <c r="Z82" s="12">
        <f ca="1">IFERROR(__xludf.DUMMYFUNCTION("INDEX(IMPORTRANGE(""1y0FWgjbB0gVlqn-q5LMJbGIsqOrzru4yowQz67dz2yc"", ""'STC'!BI3:BI139""),MATCH(D82,IMPORTRANGE(""1y0FWgjbB0gVlqn-q5LMJbGIsqOrzru4yowQz67dz2yc"", ""'STC'!D3:D139""),0))"),25)</f>
        <v>25</v>
      </c>
      <c r="AA82" s="1"/>
      <c r="AB82" s="1"/>
      <c r="AC82" s="1"/>
    </row>
    <row r="83" spans="1:29">
      <c r="A83" s="7" t="s">
        <v>199</v>
      </c>
      <c r="B83" s="7" t="s">
        <v>228</v>
      </c>
      <c r="C83" s="1" t="s">
        <v>30</v>
      </c>
      <c r="D83" s="7" t="s">
        <v>233</v>
      </c>
      <c r="E83" s="9" t="s">
        <v>38</v>
      </c>
      <c r="F83" s="9" t="s">
        <v>234</v>
      </c>
      <c r="G83" s="22" t="s">
        <v>231</v>
      </c>
      <c r="H83" s="22" t="s">
        <v>232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63</v>
      </c>
      <c r="P83" s="12">
        <v>5</v>
      </c>
      <c r="Q83" s="2">
        <v>7</v>
      </c>
      <c r="R83" s="4"/>
      <c r="S83" s="4"/>
      <c r="T83" s="4"/>
      <c r="U83" s="4"/>
      <c r="V83" s="4"/>
      <c r="W83" s="4"/>
      <c r="X83" s="2">
        <v>3</v>
      </c>
      <c r="Y83" s="12">
        <f ca="1">IFERROR(__xludf.DUMMYFUNCTION("INDEX(IMPORTRANGE(""1y0FWgjbB0gVlqn-q5LMJbGIsqOrzru4yowQz67dz2yc"", ""'STC'!BH3:BH139""),MATCH(D83,IMPORTRANGE(""1y0FWgjbB0gVlqn-q5LMJbGIsqOrzru4yowQz67dz2yc"", ""'STC'!D3:D139""),0))"),131)</f>
        <v>131</v>
      </c>
      <c r="Z83" s="12">
        <f ca="1">IFERROR(__xludf.DUMMYFUNCTION("INDEX(IMPORTRANGE(""1y0FWgjbB0gVlqn-q5LMJbGIsqOrzru4yowQz67dz2yc"", ""'STC'!BI3:BI139""),MATCH(D83,IMPORTRANGE(""1y0FWgjbB0gVlqn-q5LMJbGIsqOrzru4yowQz67dz2yc"", ""'STC'!D3:D139""),0))"),3)</f>
        <v>3</v>
      </c>
      <c r="AA83" s="1"/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235</v>
      </c>
      <c r="E84" s="9" t="s">
        <v>38</v>
      </c>
      <c r="F84" s="9" t="s">
        <v>236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1650</v>
      </c>
      <c r="Q84" s="12">
        <v>2853</v>
      </c>
      <c r="R84" s="4"/>
      <c r="S84" s="4"/>
      <c r="T84" s="4"/>
      <c r="U84" s="4"/>
      <c r="V84" s="4"/>
      <c r="W84" s="4"/>
      <c r="X84" s="12">
        <v>1738</v>
      </c>
      <c r="Y84" s="12">
        <f ca="1">IFERROR(__xludf.DUMMYFUNCTION("INDEX(IMPORTRANGE(""1y0FWgjbB0gVlqn-q5LMJbGIsqOrzru4yowQz67dz2yc"", ""'STC'!BH3:BH139""),MATCH(D84,IMPORTRANGE(""1y0FWgjbB0gVlqn-q5LMJbGIsqOrzru4yowQz67dz2yc"", ""'STC'!D3:D139""),0))"),1740)</f>
        <v>1740</v>
      </c>
      <c r="Z84" s="12">
        <f ca="1">IFERROR(__xludf.DUMMYFUNCTION("INDEX(IMPORTRANGE(""1y0FWgjbB0gVlqn-q5LMJbGIsqOrzru4yowQz67dz2yc"", ""'STC'!BI3:BI139""),MATCH(D84,IMPORTRANGE(""1y0FWgjbB0gVlqn-q5LMJbGIsqOrzru4yowQz67dz2yc"", ""'STC'!D3:D139""),0))"),1213)</f>
        <v>1213</v>
      </c>
      <c r="AA84" s="1"/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237</v>
      </c>
      <c r="E85" s="9" t="s">
        <v>38</v>
      </c>
      <c r="F85" s="9" t="s">
        <v>238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65</v>
      </c>
      <c r="Q85" s="12">
        <v>139</v>
      </c>
      <c r="R85" s="4"/>
      <c r="S85" s="4"/>
      <c r="T85" s="4"/>
      <c r="U85" s="4"/>
      <c r="V85" s="4"/>
      <c r="W85" s="4"/>
      <c r="X85" s="12">
        <v>88</v>
      </c>
      <c r="Y85" s="12">
        <f ca="1">IFERROR(__xludf.DUMMYFUNCTION("INDEX(IMPORTRANGE(""1y0FWgjbB0gVlqn-q5LMJbGIsqOrzru4yowQz67dz2yc"", ""'STC'!BH3:BH139""),MATCH(D85,IMPORTRANGE(""1y0FWgjbB0gVlqn-q5LMJbGIsqOrzru4yowQz67dz2yc"", ""'STC'!D3:D139""),0))"),210)</f>
        <v>210</v>
      </c>
      <c r="Z85" s="12">
        <f ca="1">IFERROR(__xludf.DUMMYFUNCTION("INDEX(IMPORTRANGE(""1y0FWgjbB0gVlqn-q5LMJbGIsqOrzru4yowQz67dz2yc"", ""'STC'!BI3:BI139""),MATCH(D85,IMPORTRANGE(""1y0FWgjbB0gVlqn-q5LMJbGIsqOrzru4yowQz67dz2yc"", ""'STC'!D3:D139""),0))"),77)</f>
        <v>77</v>
      </c>
      <c r="AA85" s="1"/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239</v>
      </c>
      <c r="E86" s="9" t="s">
        <v>38</v>
      </c>
      <c r="F86" s="9" t="s">
        <v>240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173</v>
      </c>
      <c r="Q86" s="12">
        <v>313</v>
      </c>
      <c r="R86" s="4"/>
      <c r="S86" s="4"/>
      <c r="T86" s="4"/>
      <c r="U86" s="4"/>
      <c r="V86" s="4"/>
      <c r="W86" s="4"/>
      <c r="X86" s="12">
        <v>413</v>
      </c>
      <c r="Y86" s="12">
        <f ca="1">IFERROR(__xludf.DUMMYFUNCTION("INDEX(IMPORTRANGE(""1y0FWgjbB0gVlqn-q5LMJbGIsqOrzru4yowQz67dz2yc"", ""'STC'!BH3:BH139""),MATCH(D86,IMPORTRANGE(""1y0FWgjbB0gVlqn-q5LMJbGIsqOrzru4yowQz67dz2yc"", ""'STC'!D3:D139""),0))"),852)</f>
        <v>852</v>
      </c>
      <c r="Z86" s="12">
        <f ca="1">IFERROR(__xludf.DUMMYFUNCTION("INDEX(IMPORTRANGE(""1y0FWgjbB0gVlqn-q5LMJbGIsqOrzru4yowQz67dz2yc"", ""'STC'!BI3:BI139""),MATCH(D86,IMPORTRANGE(""1y0FWgjbB0gVlqn-q5LMJbGIsqOrzru4yowQz67dz2yc"", ""'STC'!D3:D139""),0))"),195)</f>
        <v>195</v>
      </c>
      <c r="AA86" s="1"/>
      <c r="AB86" s="1"/>
      <c r="AC86" s="1"/>
    </row>
    <row r="87" spans="1:29">
      <c r="A87" s="7" t="s">
        <v>199</v>
      </c>
      <c r="B87" s="7" t="s">
        <v>228</v>
      </c>
      <c r="C87" s="1" t="s">
        <v>36</v>
      </c>
      <c r="D87" s="7" t="s">
        <v>241</v>
      </c>
      <c r="E87" s="9" t="s">
        <v>38</v>
      </c>
      <c r="F87" s="2" t="s">
        <v>242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1944</v>
      </c>
      <c r="Q87" s="12">
        <v>3389</v>
      </c>
      <c r="R87" s="12">
        <v>3009.3</v>
      </c>
      <c r="S87" s="12">
        <v>1508.4</v>
      </c>
      <c r="T87" s="12">
        <v>2629.7</v>
      </c>
      <c r="U87" s="12">
        <v>1290.5999999999999</v>
      </c>
      <c r="V87" s="12">
        <v>2250</v>
      </c>
      <c r="W87" s="12">
        <v>2250</v>
      </c>
      <c r="X87" s="12">
        <v>2282</v>
      </c>
      <c r="Y87" s="12">
        <f ca="1">IFERROR(__xludf.DUMMYFUNCTION("INDEX(IMPORTRANGE(""1y0FWgjbB0gVlqn-q5LMJbGIsqOrzru4yowQz67dz2yc"", ""'STC'!BH3:BH139""),MATCH(D87,IMPORTRANGE(""1y0FWgjbB0gVlqn-q5LMJbGIsqOrzru4yowQz67dz2yc"", ""'STC'!D3:D139""),0))"),4497)</f>
        <v>4497</v>
      </c>
      <c r="Z87" s="12">
        <f ca="1">IFERROR(__xludf.DUMMYFUNCTION("INDEX(IMPORTRANGE(""1y0FWgjbB0gVlqn-q5LMJbGIsqOrzru4yowQz67dz2yc"", ""'STC'!BI3:BI139""),MATCH(D87,IMPORTRANGE(""1y0FWgjbB0gVlqn-q5LMJbGIsqOrzru4yowQz67dz2yc"", ""'STC'!D3:D139""),0))"),1513)</f>
        <v>1513</v>
      </c>
      <c r="AA87" s="1"/>
      <c r="AB87" s="1"/>
      <c r="AC87" s="1"/>
    </row>
    <row r="88" spans="1:29">
      <c r="A88" s="7" t="s">
        <v>243</v>
      </c>
      <c r="B88" s="7" t="s">
        <v>244</v>
      </c>
      <c r="C88" s="1" t="s">
        <v>36</v>
      </c>
      <c r="D88" s="7" t="s">
        <v>338</v>
      </c>
      <c r="E88" s="9" t="s">
        <v>38</v>
      </c>
      <c r="F88" s="9" t="s">
        <v>246</v>
      </c>
      <c r="G88" s="22" t="s">
        <v>56</v>
      </c>
      <c r="H88" s="22" t="s">
        <v>57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132</v>
      </c>
      <c r="P88" s="12">
        <v>1</v>
      </c>
      <c r="Q88" s="12">
        <v>1</v>
      </c>
      <c r="R88" s="2">
        <v>1</v>
      </c>
      <c r="S88" s="2">
        <v>2</v>
      </c>
      <c r="T88" s="2">
        <v>3</v>
      </c>
      <c r="U88" s="2">
        <v>3</v>
      </c>
      <c r="V88" s="2">
        <v>4</v>
      </c>
      <c r="W88" s="12">
        <v>4</v>
      </c>
      <c r="X88" s="2">
        <v>8</v>
      </c>
      <c r="Y88" s="12">
        <f ca="1">IFERROR(__xludf.DUMMYFUNCTION("INDEX(IMPORTRANGE(""1y0FWgjbB0gVlqn-q5LMJbGIsqOrzru4yowQz67dz2yc"", ""'STC'!BH3:BH139""),MATCH(D88,IMPORTRANGE(""1y0FWgjbB0gVlqn-q5LMJbGIsqOrzru4yowQz67dz2yc"", ""'STC'!D3:D139""),0))"),9)</f>
        <v>9</v>
      </c>
      <c r="Z88" s="12">
        <f ca="1">IFERROR(__xludf.DUMMYFUNCTION("INDEX(IMPORTRANGE(""1y0FWgjbB0gVlqn-q5LMJbGIsqOrzru4yowQz67dz2yc"", ""'STC'!BI3:BI139""),MATCH(D88,IMPORTRANGE(""1y0FWgjbB0gVlqn-q5LMJbGIsqOrzru4yowQz67dz2yc"", ""'STC'!D3:D139""),0))"),3)</f>
        <v>3</v>
      </c>
      <c r="AA88" s="1"/>
      <c r="AB88" s="1"/>
      <c r="AC88" s="1"/>
    </row>
    <row r="89" spans="1:29">
      <c r="A89" s="7" t="s">
        <v>243</v>
      </c>
      <c r="B89" s="7" t="s">
        <v>247</v>
      </c>
      <c r="C89" s="1" t="s">
        <v>36</v>
      </c>
      <c r="D89" s="7" t="s">
        <v>248</v>
      </c>
      <c r="E89" s="9" t="s">
        <v>38</v>
      </c>
      <c r="F89" s="9" t="s">
        <v>249</v>
      </c>
      <c r="G89" s="10">
        <v>44469</v>
      </c>
      <c r="H89" s="10">
        <v>44469</v>
      </c>
      <c r="I89" s="11">
        <v>44651</v>
      </c>
      <c r="J89" s="11">
        <v>44834</v>
      </c>
      <c r="K89" s="11">
        <v>45016</v>
      </c>
      <c r="L89" s="11">
        <v>45199</v>
      </c>
      <c r="M89" s="11">
        <v>45382</v>
      </c>
      <c r="N89" s="11">
        <v>45565</v>
      </c>
      <c r="O89" s="11">
        <v>45565</v>
      </c>
      <c r="P89" s="12">
        <v>2</v>
      </c>
      <c r="Q89" s="12">
        <v>2</v>
      </c>
      <c r="R89" s="2">
        <v>2</v>
      </c>
      <c r="S89" s="2">
        <v>2</v>
      </c>
      <c r="T89" s="2">
        <v>3</v>
      </c>
      <c r="U89" s="2">
        <v>3</v>
      </c>
      <c r="V89" s="2">
        <v>4</v>
      </c>
      <c r="W89" s="12">
        <v>4</v>
      </c>
      <c r="X89" s="2">
        <v>2</v>
      </c>
      <c r="Y89" s="12">
        <f ca="1">IFERROR(__xludf.DUMMYFUNCTION("INDEX(IMPORTRANGE(""1y0FWgjbB0gVlqn-q5LMJbGIsqOrzru4yowQz67dz2yc"", ""'STC'!BH3:BH139""),MATCH(D89,IMPORTRANGE(""1y0FWgjbB0gVlqn-q5LMJbGIsqOrzru4yowQz67dz2yc"", ""'STC'!D3:D139""),0))"),2)</f>
        <v>2</v>
      </c>
      <c r="Z89" s="12">
        <f ca="1">IFERROR(__xludf.DUMMYFUNCTION("INDEX(IMPORTRANGE(""1y0FWgjbB0gVlqn-q5LMJbGIsqOrzru4yowQz67dz2yc"", ""'STC'!BI3:BI139""),MATCH(D89,IMPORTRANGE(""1y0FWgjbB0gVlqn-q5LMJbGIsqOrzru4yowQz67dz2yc"", ""'STC'!D3:D139""),0))"),1)</f>
        <v>1</v>
      </c>
      <c r="AA89" s="1"/>
      <c r="AB89" s="1"/>
      <c r="AC89" s="1"/>
    </row>
    <row r="90" spans="1:29">
      <c r="A90" s="7" t="s">
        <v>243</v>
      </c>
      <c r="B90" s="7" t="s">
        <v>250</v>
      </c>
      <c r="C90" s="1" t="s">
        <v>36</v>
      </c>
      <c r="D90" s="7" t="s">
        <v>251</v>
      </c>
      <c r="E90" s="9" t="s">
        <v>252</v>
      </c>
      <c r="F90" s="9" t="s">
        <v>253</v>
      </c>
      <c r="G90" s="10">
        <v>44469</v>
      </c>
      <c r="H90" s="10">
        <v>44469</v>
      </c>
      <c r="I90" s="11" t="s">
        <v>254</v>
      </c>
      <c r="J90" s="11">
        <v>44713</v>
      </c>
      <c r="K90" s="11" t="s">
        <v>255</v>
      </c>
      <c r="L90" s="11">
        <v>45078</v>
      </c>
      <c r="M90" s="11" t="s">
        <v>256</v>
      </c>
      <c r="N90" s="11">
        <v>45444</v>
      </c>
      <c r="O90" s="11">
        <v>45444</v>
      </c>
      <c r="P90" s="12">
        <v>100</v>
      </c>
      <c r="Q90" s="12">
        <v>100</v>
      </c>
      <c r="R90" s="2">
        <v>100</v>
      </c>
      <c r="S90" s="2">
        <v>100</v>
      </c>
      <c r="T90" s="2">
        <v>100</v>
      </c>
      <c r="U90" s="2">
        <v>100</v>
      </c>
      <c r="V90" s="2">
        <v>100</v>
      </c>
      <c r="W90" s="2">
        <v>100</v>
      </c>
      <c r="X90" s="2">
        <v>100</v>
      </c>
      <c r="Y90" s="12">
        <f ca="1">IFERROR(__xludf.DUMMYFUNCTION("INDEX(IMPORTRANGE(""1y0FWgjbB0gVlqn-q5LMJbGIsqOrzru4yowQz67dz2yc"", ""'STC'!BH3:BH139""),MATCH(D90,IMPORTRANGE(""1y0FWgjbB0gVlqn-q5LMJbGIsqOrzru4yowQz67dz2yc"", ""'STC'!D3:D139""),0))"),96.24)</f>
        <v>96.24</v>
      </c>
      <c r="Z90" s="12">
        <f ca="1">IFERROR(__xludf.DUMMYFUNCTION("INDEX(IMPORTRANGE(""1y0FWgjbB0gVlqn-q5LMJbGIsqOrzru4yowQz67dz2yc"", ""'STC'!BI3:BI139""),MATCH(D90,IMPORTRANGE(""1y0FWgjbB0gVlqn-q5LMJbGIsqOrzru4yowQz67dz2yc"", ""'STC'!D3:D139""),0))"),88.86)</f>
        <v>88.86</v>
      </c>
      <c r="AA90" s="1"/>
      <c r="AB90" s="1"/>
      <c r="AC90" s="1"/>
    </row>
    <row r="91" spans="1:29">
      <c r="A91" s="7" t="s">
        <v>243</v>
      </c>
      <c r="B91" s="7" t="s">
        <v>257</v>
      </c>
      <c r="C91" s="1" t="s">
        <v>36</v>
      </c>
      <c r="D91" s="7" t="s">
        <v>258</v>
      </c>
      <c r="E91" s="9" t="s">
        <v>38</v>
      </c>
      <c r="F91" s="9" t="s">
        <v>259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0</v>
      </c>
      <c r="Q91" s="12">
        <v>0</v>
      </c>
      <c r="R91" s="2">
        <v>4</v>
      </c>
      <c r="S91" s="2">
        <v>4</v>
      </c>
      <c r="T91" s="2">
        <v>4</v>
      </c>
      <c r="U91" s="2">
        <v>4</v>
      </c>
      <c r="V91" s="2">
        <v>4</v>
      </c>
      <c r="W91" s="2">
        <v>4</v>
      </c>
      <c r="X91" s="2">
        <v>0</v>
      </c>
      <c r="Y91" s="12">
        <f ca="1">IFERROR(__xludf.DUMMYFUNCTION("INDEX(IMPORTRANGE(""1y0FWgjbB0gVlqn-q5LMJbGIsqOrzru4yowQz67dz2yc"", ""'STC'!BH3:BH139""),MATCH(D91,IMPORTRANGE(""1y0FWgjbB0gVlqn-q5LMJbGIsqOrzru4yowQz67dz2yc"", ""'STC'!D3:D139""),0))"),0)</f>
        <v>0</v>
      </c>
      <c r="Z91" s="12">
        <f ca="1">IFERROR(__xludf.DUMMYFUNCTION("INDEX(IMPORTRANGE(""1y0FWgjbB0gVlqn-q5LMJbGIsqOrzru4yowQz67dz2yc"", ""'STC'!BI3:BI139""),MATCH(D91,IMPORTRANGE(""1y0FWgjbB0gVlqn-q5LMJbGIsqOrzru4yowQz67dz2yc"", ""'STC'!D3:D139""),0))"),2.66666666666666)</f>
        <v>2.6666666666666599</v>
      </c>
      <c r="AA91" s="1"/>
      <c r="AB91" s="1"/>
      <c r="AC91" s="1"/>
    </row>
    <row r="92" spans="1:29">
      <c r="A92" s="7" t="s">
        <v>243</v>
      </c>
      <c r="B92" s="7" t="s">
        <v>260</v>
      </c>
      <c r="C92" s="1" t="s">
        <v>30</v>
      </c>
      <c r="D92" s="7" t="s">
        <v>261</v>
      </c>
      <c r="E92" s="9" t="s">
        <v>38</v>
      </c>
      <c r="F92" s="9" t="s">
        <v>262</v>
      </c>
      <c r="G92" s="10">
        <v>44469</v>
      </c>
      <c r="H92" s="157"/>
      <c r="I92" s="11">
        <v>44651</v>
      </c>
      <c r="J92" s="181"/>
      <c r="K92" s="11">
        <v>45016</v>
      </c>
      <c r="L92" s="181"/>
      <c r="M92" s="11">
        <v>45382</v>
      </c>
      <c r="N92" s="181"/>
      <c r="O92" s="11">
        <v>45565</v>
      </c>
      <c r="P92" s="254"/>
      <c r="Q92" s="254"/>
      <c r="R92" s="182"/>
      <c r="S92" s="182"/>
      <c r="T92" s="182"/>
      <c r="U92" s="182"/>
      <c r="V92" s="182"/>
      <c r="W92" s="182"/>
      <c r="X92" s="2">
        <v>2</v>
      </c>
      <c r="Y92" s="12">
        <f ca="1">IFERROR(__xludf.DUMMYFUNCTION("INDEX(IMPORTRANGE(""1y0FWgjbB0gVlqn-q5LMJbGIsqOrzru4yowQz67dz2yc"", ""'STC'!BH3:BH139""),MATCH(D92,IMPORTRANGE(""1y0FWgjbB0gVlqn-q5LMJbGIsqOrzru4yowQz67dz2yc"", ""'STC'!D3:D139""),0))"),1)</f>
        <v>1</v>
      </c>
      <c r="Z92" s="12">
        <f ca="1">IFERROR(__xludf.DUMMYFUNCTION("INDEX(IMPORTRANGE(""1y0FWgjbB0gVlqn-q5LMJbGIsqOrzru4yowQz67dz2yc"", ""'STC'!BI3:BI139""),MATCH(D92,IMPORTRANGE(""1y0FWgjbB0gVlqn-q5LMJbGIsqOrzru4yowQz67dz2yc"", ""'STC'!D3:D139""),0))"),1)</f>
        <v>1</v>
      </c>
      <c r="AA92" s="1"/>
      <c r="AB92" s="1"/>
      <c r="AC92" s="1"/>
    </row>
    <row r="93" spans="1:29">
      <c r="A93" s="7" t="s">
        <v>243</v>
      </c>
      <c r="B93" s="7" t="s">
        <v>260</v>
      </c>
      <c r="C93" s="1" t="s">
        <v>30</v>
      </c>
      <c r="D93" s="7" t="s">
        <v>263</v>
      </c>
      <c r="E93" s="9" t="s">
        <v>38</v>
      </c>
      <c r="F93" s="9" t="s">
        <v>264</v>
      </c>
      <c r="G93" s="10">
        <v>44469</v>
      </c>
      <c r="H93" s="158"/>
      <c r="I93" s="11">
        <v>44651</v>
      </c>
      <c r="J93" s="181"/>
      <c r="K93" s="11">
        <v>45016</v>
      </c>
      <c r="L93" s="181"/>
      <c r="M93" s="11">
        <v>45382</v>
      </c>
      <c r="N93" s="181"/>
      <c r="O93" s="11">
        <v>45565</v>
      </c>
      <c r="P93" s="254"/>
      <c r="Q93" s="254"/>
      <c r="R93" s="182"/>
      <c r="S93" s="182"/>
      <c r="T93" s="182"/>
      <c r="U93" s="182"/>
      <c r="V93" s="182"/>
      <c r="W93" s="182"/>
      <c r="X93" s="2">
        <v>14</v>
      </c>
      <c r="Y93" s="12">
        <f ca="1">IFERROR(__xludf.DUMMYFUNCTION("INDEX(IMPORTRANGE(""1y0FWgjbB0gVlqn-q5LMJbGIsqOrzru4yowQz67dz2yc"", ""'STC'!BH3:BH139""),MATCH(D93,IMPORTRANGE(""1y0FWgjbB0gVlqn-q5LMJbGIsqOrzru4yowQz67dz2yc"", ""'STC'!D3:D139""),0))"),13)</f>
        <v>13</v>
      </c>
      <c r="Z93" s="12">
        <f ca="1">IFERROR(__xludf.DUMMYFUNCTION("INDEX(IMPORTRANGE(""1y0FWgjbB0gVlqn-q5LMJbGIsqOrzru4yowQz67dz2yc"", ""'STC'!BI3:BI139""),MATCH(D93,IMPORTRANGE(""1y0FWgjbB0gVlqn-q5LMJbGIsqOrzru4yowQz67dz2yc"", ""'STC'!D3:D139""),0))"),12)</f>
        <v>12</v>
      </c>
      <c r="AA93" s="1"/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265</v>
      </c>
      <c r="E94" s="9" t="s">
        <v>38</v>
      </c>
      <c r="F94" s="9" t="s">
        <v>266</v>
      </c>
      <c r="G94" s="10">
        <v>44469</v>
      </c>
      <c r="H94" s="158"/>
      <c r="I94" s="11">
        <v>44651</v>
      </c>
      <c r="J94" s="181"/>
      <c r="K94" s="11">
        <v>45016</v>
      </c>
      <c r="L94" s="181"/>
      <c r="M94" s="11">
        <v>45382</v>
      </c>
      <c r="N94" s="181"/>
      <c r="O94" s="11">
        <v>45565</v>
      </c>
      <c r="P94" s="254"/>
      <c r="Q94" s="254"/>
      <c r="R94" s="182"/>
      <c r="S94" s="182"/>
      <c r="T94" s="182"/>
      <c r="U94" s="182"/>
      <c r="V94" s="182"/>
      <c r="W94" s="182"/>
      <c r="X94" s="2">
        <v>0</v>
      </c>
      <c r="Y94" s="12">
        <f ca="1">IFERROR(__xludf.DUMMYFUNCTION("INDEX(IMPORTRANGE(""1y0FWgjbB0gVlqn-q5LMJbGIsqOrzru4yowQz67dz2yc"", ""'STC'!BH3:BH139""),MATCH(D94,IMPORTRANGE(""1y0FWgjbB0gVlqn-q5LMJbGIsqOrzru4yowQz67dz2yc"", ""'STC'!D3:D139""),0))"),0)</f>
        <v>0</v>
      </c>
      <c r="Z94" s="12">
        <f ca="1">IFERROR(__xludf.DUMMYFUNCTION("INDEX(IMPORTRANGE(""1y0FWgjbB0gVlqn-q5LMJbGIsqOrzru4yowQz67dz2yc"", ""'STC'!BI3:BI139""),MATCH(D94,IMPORTRANGE(""1y0FWgjbB0gVlqn-q5LMJbGIsqOrzru4yowQz67dz2yc"", ""'STC'!D3:D139""),0))"),0)</f>
        <v>0</v>
      </c>
      <c r="AA94" s="1"/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267</v>
      </c>
      <c r="E95" s="9" t="s">
        <v>38</v>
      </c>
      <c r="F95" s="9" t="s">
        <v>268</v>
      </c>
      <c r="G95" s="10">
        <v>44469</v>
      </c>
      <c r="H95" s="158"/>
      <c r="I95" s="11">
        <v>44651</v>
      </c>
      <c r="J95" s="181"/>
      <c r="K95" s="11">
        <v>45016</v>
      </c>
      <c r="L95" s="181"/>
      <c r="M95" s="11">
        <v>45382</v>
      </c>
      <c r="N95" s="181"/>
      <c r="O95" s="11">
        <v>45565</v>
      </c>
      <c r="P95" s="254"/>
      <c r="Q95" s="254"/>
      <c r="R95" s="182"/>
      <c r="S95" s="182"/>
      <c r="T95" s="182"/>
      <c r="U95" s="182"/>
      <c r="V95" s="182"/>
      <c r="W95" s="182"/>
      <c r="X95" s="2">
        <v>0</v>
      </c>
      <c r="Y95" s="12">
        <f ca="1">IFERROR(__xludf.DUMMYFUNCTION("INDEX(IMPORTRANGE(""1y0FWgjbB0gVlqn-q5LMJbGIsqOrzru4yowQz67dz2yc"", ""'STC'!BH3:BH139""),MATCH(D95,IMPORTRANGE(""1y0FWgjbB0gVlqn-q5LMJbGIsqOrzru4yowQz67dz2yc"", ""'STC'!D3:D139""),0))"),0)</f>
        <v>0</v>
      </c>
      <c r="Z95" s="12">
        <f ca="1">IFERROR(__xludf.DUMMYFUNCTION("INDEX(IMPORTRANGE(""1y0FWgjbB0gVlqn-q5LMJbGIsqOrzru4yowQz67dz2yc"", ""'STC'!BI3:BI139""),MATCH(D95,IMPORTRANGE(""1y0FWgjbB0gVlqn-q5LMJbGIsqOrzru4yowQz67dz2yc"", ""'STC'!D3:D139""),0))"),0)</f>
        <v>0</v>
      </c>
      <c r="AA95" s="1"/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269</v>
      </c>
      <c r="E96" s="9" t="s">
        <v>38</v>
      </c>
      <c r="F96" s="9" t="s">
        <v>270</v>
      </c>
      <c r="G96" s="10">
        <v>44469</v>
      </c>
      <c r="H96" s="158"/>
      <c r="I96" s="11">
        <v>44651</v>
      </c>
      <c r="J96" s="181"/>
      <c r="K96" s="11">
        <v>45016</v>
      </c>
      <c r="L96" s="181"/>
      <c r="M96" s="11">
        <v>45382</v>
      </c>
      <c r="N96" s="181"/>
      <c r="O96" s="11">
        <v>45565</v>
      </c>
      <c r="P96" s="254"/>
      <c r="Q96" s="254"/>
      <c r="R96" s="182"/>
      <c r="S96" s="182"/>
      <c r="T96" s="182"/>
      <c r="U96" s="182"/>
      <c r="V96" s="182"/>
      <c r="W96" s="182"/>
      <c r="X96" s="2">
        <v>13</v>
      </c>
      <c r="Y96" s="12">
        <f ca="1">IFERROR(__xludf.DUMMYFUNCTION("INDEX(IMPORTRANGE(""1y0FWgjbB0gVlqn-q5LMJbGIsqOrzru4yowQz67dz2yc"", ""'STC'!BH3:BH139""),MATCH(D96,IMPORTRANGE(""1y0FWgjbB0gVlqn-q5LMJbGIsqOrzru4yowQz67dz2yc"", ""'STC'!D3:D139""),0))"),14)</f>
        <v>14</v>
      </c>
      <c r="Z96" s="12">
        <f ca="1">IFERROR(__xludf.DUMMYFUNCTION("INDEX(IMPORTRANGE(""1y0FWgjbB0gVlqn-q5LMJbGIsqOrzru4yowQz67dz2yc"", ""'STC'!BI3:BI139""),MATCH(D96,IMPORTRANGE(""1y0FWgjbB0gVlqn-q5LMJbGIsqOrzru4yowQz67dz2yc"", ""'STC'!D3:D139""),0))"),14)</f>
        <v>14</v>
      </c>
      <c r="AA96" s="1"/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271</v>
      </c>
      <c r="E97" s="9" t="s">
        <v>38</v>
      </c>
      <c r="F97" s="9" t="s">
        <v>272</v>
      </c>
      <c r="G97" s="10">
        <v>44469</v>
      </c>
      <c r="H97" s="158"/>
      <c r="I97" s="11">
        <v>44651</v>
      </c>
      <c r="J97" s="181"/>
      <c r="K97" s="11">
        <v>45016</v>
      </c>
      <c r="L97" s="181"/>
      <c r="M97" s="11">
        <v>45382</v>
      </c>
      <c r="N97" s="181"/>
      <c r="O97" s="11">
        <v>45565</v>
      </c>
      <c r="P97" s="254"/>
      <c r="Q97" s="254"/>
      <c r="R97" s="182"/>
      <c r="S97" s="182"/>
      <c r="T97" s="182"/>
      <c r="U97" s="182"/>
      <c r="V97" s="182"/>
      <c r="W97" s="182"/>
      <c r="X97" s="2">
        <v>60</v>
      </c>
      <c r="Y97" s="12">
        <f ca="1">IFERROR(__xludf.DUMMYFUNCTION("INDEX(IMPORTRANGE(""1y0FWgjbB0gVlqn-q5LMJbGIsqOrzru4yowQz67dz2yc"", ""'STC'!BH3:BH139""),MATCH(D97,IMPORTRANGE(""1y0FWgjbB0gVlqn-q5LMJbGIsqOrzru4yowQz67dz2yc"", ""'STC'!D3:D139""),0))"),58)</f>
        <v>58</v>
      </c>
      <c r="Z97" s="12">
        <f ca="1">IFERROR(__xludf.DUMMYFUNCTION("INDEX(IMPORTRANGE(""1y0FWgjbB0gVlqn-q5LMJbGIsqOrzru4yowQz67dz2yc"", ""'STC'!BI3:BI139""),MATCH(D97,IMPORTRANGE(""1y0FWgjbB0gVlqn-q5LMJbGIsqOrzru4yowQz67dz2yc"", ""'STC'!D3:D139""),0))"),61)</f>
        <v>61</v>
      </c>
      <c r="AA97" s="1"/>
      <c r="AB97" s="1"/>
      <c r="AC97" s="1"/>
    </row>
    <row r="98" spans="1:29">
      <c r="A98" s="7" t="s">
        <v>243</v>
      </c>
      <c r="B98" s="7" t="s">
        <v>260</v>
      </c>
      <c r="C98" s="1" t="s">
        <v>36</v>
      </c>
      <c r="D98" s="7" t="s">
        <v>273</v>
      </c>
      <c r="E98" s="9" t="s">
        <v>38</v>
      </c>
      <c r="F98" s="9" t="s">
        <v>274</v>
      </c>
      <c r="G98" s="10">
        <v>44469</v>
      </c>
      <c r="H98" s="158"/>
      <c r="I98" s="11">
        <v>44651</v>
      </c>
      <c r="J98" s="181"/>
      <c r="K98" s="11">
        <v>45016</v>
      </c>
      <c r="L98" s="181"/>
      <c r="M98" s="11">
        <v>45382</v>
      </c>
      <c r="N98" s="181"/>
      <c r="O98" s="11">
        <v>45565</v>
      </c>
      <c r="P98" s="254"/>
      <c r="Q98" s="254"/>
      <c r="R98" s="182"/>
      <c r="S98" s="60">
        <v>0.5</v>
      </c>
      <c r="T98" s="4"/>
      <c r="U98" s="60">
        <v>0.5</v>
      </c>
      <c r="V98" s="60">
        <v>0.5</v>
      </c>
      <c r="W98" s="60">
        <v>0.5</v>
      </c>
      <c r="X98" s="15">
        <f>SUM(X92,X94,X96)/SUM(X93,X95,X97)</f>
        <v>0.20270270270270271</v>
      </c>
      <c r="Y98" s="15">
        <f ca="1">IFERROR(__xludf.DUMMYFUNCTION("INDEX(IMPORTRANGE(""1y0FWgjbB0gVlqn-q5LMJbGIsqOrzru4yowQz67dz2yc"", ""'STC'!BH3:BH139""),MATCH(D98,IMPORTRANGE(""1y0FWgjbB0gVlqn-q5LMJbGIsqOrzru4yowQz67dz2yc"", ""'STC'!D3:D139""),0))"),0.211267605633802)</f>
        <v>0.21126760563380201</v>
      </c>
      <c r="Z98" s="15">
        <f ca="1">IFERROR(__xludf.DUMMYFUNCTION("INDEX(IMPORTRANGE(""1y0FWgjbB0gVlqn-q5LMJbGIsqOrzru4yowQz67dz2yc"", ""'STC'!BI3:BI139""),MATCH(D98,IMPORTRANGE(""1y0FWgjbB0gVlqn-q5LMJbGIsqOrzru4yowQz67dz2yc"", ""'STC'!D3:D139""),0))"),0.205479452054794)</f>
        <v>0.20547945205479401</v>
      </c>
      <c r="AA98" s="1"/>
      <c r="AB98" s="1"/>
      <c r="AC98" s="1"/>
    </row>
    <row r="99" spans="1:29">
      <c r="A99" s="7" t="s">
        <v>275</v>
      </c>
      <c r="B99" s="7" t="s">
        <v>276</v>
      </c>
      <c r="C99" s="1" t="s">
        <v>30</v>
      </c>
      <c r="D99" s="7" t="s">
        <v>277</v>
      </c>
      <c r="E99" s="9" t="s">
        <v>278</v>
      </c>
      <c r="F99" s="9" t="s">
        <v>279</v>
      </c>
      <c r="G99" s="159" t="s">
        <v>213</v>
      </c>
      <c r="H99" s="156" t="s">
        <v>214</v>
      </c>
      <c r="I99" s="7" t="s">
        <v>215</v>
      </c>
      <c r="J99" s="181"/>
      <c r="K99" s="7" t="s">
        <v>216</v>
      </c>
      <c r="L99" s="181"/>
      <c r="M99" s="7" t="s">
        <v>217</v>
      </c>
      <c r="N99" s="1" t="s">
        <v>218</v>
      </c>
      <c r="O99" s="1" t="s">
        <v>218</v>
      </c>
      <c r="P99" s="36">
        <v>412666403</v>
      </c>
      <c r="Q99" s="36">
        <v>412666403</v>
      </c>
      <c r="R99" s="4"/>
      <c r="S99" s="4"/>
      <c r="T99" s="4"/>
      <c r="U99" s="4"/>
      <c r="V99" s="4"/>
      <c r="W99" s="4"/>
      <c r="X99" s="36">
        <v>412666403</v>
      </c>
      <c r="Y99" s="476" t="str">
        <f ca="1">IFERROR(__xludf.DUMMYFUNCTION("INDEX(IMPORTRANGE(""1y0FWgjbB0gVlqn-q5LMJbGIsqOrzru4yowQz67dz2yc"", ""'STC'!BH3:BH139""),MATCH(D99,IMPORTRANGE(""1y0FWgjbB0gVlqn-q5LMJbGIsqOrzru4yowQz67dz2yc"", ""'STC'!D3:D139""),0))"),"")</f>
        <v/>
      </c>
      <c r="Z99" s="36">
        <f ca="1">IFERROR(__xludf.DUMMYFUNCTION("INDEX(IMPORTRANGE(""1y0FWgjbB0gVlqn-q5LMJbGIsqOrzru4yowQz67dz2yc"", ""'STC'!BI3:BI139""),MATCH(D99,IMPORTRANGE(""1y0FWgjbB0gVlqn-q5LMJbGIsqOrzru4yowQz67dz2yc"", ""'STC'!D3:D139""),0))"),423750678)</f>
        <v>423750678</v>
      </c>
      <c r="AA99" s="1"/>
      <c r="AB99" s="1"/>
      <c r="AC99" s="1"/>
    </row>
    <row r="100" spans="1:29">
      <c r="A100" s="7" t="s">
        <v>275</v>
      </c>
      <c r="B100" s="7" t="s">
        <v>276</v>
      </c>
      <c r="C100" s="1" t="s">
        <v>30</v>
      </c>
      <c r="D100" s="7" t="s">
        <v>280</v>
      </c>
      <c r="E100" s="9" t="s">
        <v>278</v>
      </c>
      <c r="F100" s="9" t="s">
        <v>281</v>
      </c>
      <c r="G100" s="155" t="s">
        <v>213</v>
      </c>
      <c r="H100" s="156" t="s">
        <v>214</v>
      </c>
      <c r="I100" s="7" t="s">
        <v>215</v>
      </c>
      <c r="J100" s="181"/>
      <c r="K100" s="7" t="s">
        <v>216</v>
      </c>
      <c r="L100" s="181"/>
      <c r="M100" s="7" t="s">
        <v>217</v>
      </c>
      <c r="N100" s="1" t="s">
        <v>218</v>
      </c>
      <c r="O100" s="1" t="s">
        <v>218</v>
      </c>
      <c r="P100" s="36">
        <v>1342608130</v>
      </c>
      <c r="Q100" s="36">
        <v>1342608130</v>
      </c>
      <c r="R100" s="4"/>
      <c r="S100" s="4"/>
      <c r="T100" s="4"/>
      <c r="U100" s="4"/>
      <c r="V100" s="4"/>
      <c r="W100" s="4"/>
      <c r="X100" s="36">
        <v>1342608130</v>
      </c>
      <c r="Y100" s="476" t="str">
        <f ca="1">IFERROR(__xludf.DUMMYFUNCTION("INDEX(IMPORTRANGE(""1y0FWgjbB0gVlqn-q5LMJbGIsqOrzru4yowQz67dz2yc"", ""'STC'!BH3:BH139""),MATCH(D100,IMPORTRANGE(""1y0FWgjbB0gVlqn-q5LMJbGIsqOrzru4yowQz67dz2yc"", ""'STC'!D3:D139""),0))"),"")</f>
        <v/>
      </c>
      <c r="Z100" s="36">
        <f ca="1">IFERROR(__xludf.DUMMYFUNCTION("INDEX(IMPORTRANGE(""1y0FWgjbB0gVlqn-q5LMJbGIsqOrzru4yowQz67dz2yc"", ""'STC'!BI3:BI139""),MATCH(D100,IMPORTRANGE(""1y0FWgjbB0gVlqn-q5LMJbGIsqOrzru4yowQz67dz2yc"", ""'STC'!D3:D139""),0))"),1724136981)</f>
        <v>1724136981</v>
      </c>
      <c r="AA100" s="1"/>
      <c r="AB100" s="1"/>
      <c r="AC100" s="1"/>
    </row>
    <row r="101" spans="1:29">
      <c r="A101" s="7" t="s">
        <v>275</v>
      </c>
      <c r="B101" s="7" t="s">
        <v>276</v>
      </c>
      <c r="C101" s="1" t="s">
        <v>36</v>
      </c>
      <c r="D101" s="7" t="s">
        <v>282</v>
      </c>
      <c r="E101" s="9" t="s">
        <v>278</v>
      </c>
      <c r="F101" s="9" t="s">
        <v>283</v>
      </c>
      <c r="G101" s="155" t="s">
        <v>213</v>
      </c>
      <c r="H101" s="156" t="s">
        <v>214</v>
      </c>
      <c r="I101" s="7" t="s">
        <v>215</v>
      </c>
      <c r="J101" s="181"/>
      <c r="K101" s="7" t="s">
        <v>216</v>
      </c>
      <c r="L101" s="181"/>
      <c r="M101" s="7" t="s">
        <v>217</v>
      </c>
      <c r="N101" s="1" t="s">
        <v>218</v>
      </c>
      <c r="O101" s="1" t="s">
        <v>218</v>
      </c>
      <c r="P101" s="15">
        <f t="shared" ref="P101:Q101" si="16">P99/P100</f>
        <v>0.30736176385286745</v>
      </c>
      <c r="Q101" s="15">
        <f t="shared" si="16"/>
        <v>0.30736176385286745</v>
      </c>
      <c r="R101" s="2"/>
      <c r="S101" s="15">
        <v>0.315</v>
      </c>
      <c r="T101" s="15"/>
      <c r="U101" s="15">
        <v>0.32200000000000001</v>
      </c>
      <c r="V101" s="15">
        <v>0.33</v>
      </c>
      <c r="W101" s="15">
        <v>0.33</v>
      </c>
      <c r="X101" s="15">
        <f>X99/X100</f>
        <v>0.30736176385286745</v>
      </c>
      <c r="Y101" s="476" t="str">
        <f ca="1">IFERROR(__xludf.DUMMYFUNCTION("INDEX(IMPORTRANGE(""1y0FWgjbB0gVlqn-q5LMJbGIsqOrzru4yowQz67dz2yc"", ""'STC'!BH3:BH139""),MATCH(D101,IMPORTRANGE(""1y0FWgjbB0gVlqn-q5LMJbGIsqOrzru4yowQz67dz2yc"", ""'STC'!D3:D139""),0))"),"")</f>
        <v/>
      </c>
      <c r="Z101" s="15">
        <f ca="1">IFERROR(__xludf.DUMMYFUNCTION("INDEX(IMPORTRANGE(""1y0FWgjbB0gVlqn-q5LMJbGIsqOrzru4yowQz67dz2yc"", ""'STC'!BI3:BI139""),MATCH(D101,IMPORTRANGE(""1y0FWgjbB0gVlqn-q5LMJbGIsqOrzru4yowQz67dz2yc"", ""'STC'!D3:D139""),0))"),0.245775528667231)</f>
        <v>0.24577552866723101</v>
      </c>
      <c r="AA101" s="1"/>
      <c r="AB101" s="1"/>
      <c r="AC101" s="1"/>
    </row>
    <row r="102" spans="1:29">
      <c r="A102" s="7" t="s">
        <v>275</v>
      </c>
      <c r="B102" s="7" t="s">
        <v>284</v>
      </c>
      <c r="C102" s="1" t="s">
        <v>30</v>
      </c>
      <c r="D102" s="7" t="s">
        <v>285</v>
      </c>
      <c r="E102" s="9" t="s">
        <v>278</v>
      </c>
      <c r="F102" s="9" t="s">
        <v>286</v>
      </c>
      <c r="G102" s="7" t="s">
        <v>213</v>
      </c>
      <c r="H102" s="1" t="s">
        <v>214</v>
      </c>
      <c r="I102" s="7" t="s">
        <v>215</v>
      </c>
      <c r="J102" s="181"/>
      <c r="K102" s="7" t="s">
        <v>216</v>
      </c>
      <c r="L102" s="181"/>
      <c r="M102" s="7" t="s">
        <v>217</v>
      </c>
      <c r="N102" s="1" t="s">
        <v>218</v>
      </c>
      <c r="O102" s="1" t="s">
        <v>218</v>
      </c>
      <c r="P102" s="36">
        <v>968130919</v>
      </c>
      <c r="Q102" s="36">
        <v>968130919</v>
      </c>
      <c r="R102" s="4"/>
      <c r="S102" s="4"/>
      <c r="T102" s="4"/>
      <c r="U102" s="4"/>
      <c r="V102" s="4"/>
      <c r="W102" s="4"/>
      <c r="X102" s="36">
        <v>968130919</v>
      </c>
      <c r="Y102" s="476" t="str">
        <f ca="1">IFERROR(__xludf.DUMMYFUNCTION("INDEX(IMPORTRANGE(""1y0FWgjbB0gVlqn-q5LMJbGIsqOrzru4yowQz67dz2yc"", ""'STC'!BH3:BH139""),MATCH(D102,IMPORTRANGE(""1y0FWgjbB0gVlqn-q5LMJbGIsqOrzru4yowQz67dz2yc"", ""'STC'!D3:D139""),0))"),"")</f>
        <v/>
      </c>
      <c r="Z102" s="36">
        <f ca="1">IFERROR(__xludf.DUMMYFUNCTION("INDEX(IMPORTRANGE(""1y0FWgjbB0gVlqn-q5LMJbGIsqOrzru4yowQz67dz2yc"", ""'STC'!BI3:BI139""),MATCH(D102,IMPORTRANGE(""1y0FWgjbB0gVlqn-q5LMJbGIsqOrzru4yowQz67dz2yc"", ""'STC'!D3:D139""),0))"),1257622635)</f>
        <v>1257622635</v>
      </c>
      <c r="AA102" s="1"/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155" t="s">
        <v>287</v>
      </c>
      <c r="E103" s="9" t="s">
        <v>278</v>
      </c>
      <c r="F103" s="9" t="s">
        <v>288</v>
      </c>
      <c r="G103" s="155" t="s">
        <v>213</v>
      </c>
      <c r="H103" s="156" t="s">
        <v>214</v>
      </c>
      <c r="I103" s="7" t="s">
        <v>215</v>
      </c>
      <c r="J103" s="181"/>
      <c r="K103" s="7" t="s">
        <v>216</v>
      </c>
      <c r="L103" s="181"/>
      <c r="M103" s="7" t="s">
        <v>217</v>
      </c>
      <c r="N103" s="1" t="s">
        <v>218</v>
      </c>
      <c r="O103" s="1" t="s">
        <v>218</v>
      </c>
      <c r="P103" s="15">
        <f t="shared" ref="P103:Q103" si="17">P99/P102</f>
        <v>0.42625061848685775</v>
      </c>
      <c r="Q103" s="15">
        <f t="shared" si="17"/>
        <v>0.42625061848685775</v>
      </c>
      <c r="R103" s="2"/>
      <c r="S103" s="15">
        <v>0.434</v>
      </c>
      <c r="T103" s="15"/>
      <c r="U103" s="15">
        <v>0.442</v>
      </c>
      <c r="V103" s="15">
        <v>0.45</v>
      </c>
      <c r="W103" s="15">
        <v>0.45</v>
      </c>
      <c r="X103" s="15">
        <f>X99/X102</f>
        <v>0.42625061848685775</v>
      </c>
      <c r="Y103" s="476" t="str">
        <f ca="1">IFERROR(__xludf.DUMMYFUNCTION("INDEX(IMPORTRANGE(""1y0FWgjbB0gVlqn-q5LMJbGIsqOrzru4yowQz67dz2yc"", ""'STC'!BH3:BH139""),MATCH(D103,IMPORTRANGE(""1y0FWgjbB0gVlqn-q5LMJbGIsqOrzru4yowQz67dz2yc"", ""'STC'!D3:D139""),0))"),"")</f>
        <v/>
      </c>
      <c r="Z103" s="15">
        <f ca="1">IFERROR(__xludf.DUMMYFUNCTION("INDEX(IMPORTRANGE(""1y0FWgjbB0gVlqn-q5LMJbGIsqOrzru4yowQz67dz2yc"", ""'STC'!BI3:BI139""),MATCH(D103,IMPORTRANGE(""1y0FWgjbB0gVlqn-q5LMJbGIsqOrzru4yowQz67dz2yc"", ""'STC'!D3:D139""),0))"),0.336945810457681)</f>
        <v>0.33694581045768102</v>
      </c>
      <c r="AA103" s="1"/>
      <c r="AB103" s="1"/>
      <c r="AC103" s="1"/>
    </row>
    <row r="104" spans="1:29">
      <c r="A104" s="7" t="s">
        <v>275</v>
      </c>
      <c r="B104" s="7" t="s">
        <v>276</v>
      </c>
      <c r="C104" s="1" t="s">
        <v>30</v>
      </c>
      <c r="D104" s="7" t="s">
        <v>289</v>
      </c>
      <c r="E104" s="9" t="s">
        <v>38</v>
      </c>
      <c r="F104" s="9" t="s">
        <v>112</v>
      </c>
      <c r="G104" s="155" t="s">
        <v>254</v>
      </c>
      <c r="H104" s="155" t="s">
        <v>254</v>
      </c>
      <c r="I104" s="7" t="s">
        <v>254</v>
      </c>
      <c r="J104" s="181"/>
      <c r="K104" s="7" t="s">
        <v>255</v>
      </c>
      <c r="L104" s="181"/>
      <c r="M104" s="7" t="s">
        <v>256</v>
      </c>
      <c r="N104" s="260">
        <v>45536</v>
      </c>
      <c r="O104" s="1" t="s">
        <v>218</v>
      </c>
      <c r="P104" s="12">
        <v>106593</v>
      </c>
      <c r="Q104" s="12">
        <v>106593</v>
      </c>
      <c r="R104" s="4"/>
      <c r="S104" s="4"/>
      <c r="T104" s="4"/>
      <c r="U104" s="4"/>
      <c r="V104" s="4"/>
      <c r="W104" s="4"/>
      <c r="X104" s="12">
        <v>106593</v>
      </c>
      <c r="Y104" s="476" t="str">
        <f ca="1">IFERROR(__xludf.DUMMYFUNCTION("INDEX(IMPORTRANGE(""1y0FWgjbB0gVlqn-q5LMJbGIsqOrzru4yowQz67dz2yc"", ""'STC'!BH3:BH139""),MATCH(D104,IMPORTRANGE(""1y0FWgjbB0gVlqn-q5LMJbGIsqOrzru4yowQz67dz2yc"", ""'STC'!D3:D139""),0))"),"")</f>
        <v/>
      </c>
      <c r="Z104" s="12">
        <f ca="1">IFERROR(__xludf.DUMMYFUNCTION("INDEX(IMPORTRANGE(""1y0FWgjbB0gVlqn-q5LMJbGIsqOrzru4yowQz67dz2yc"", ""'STC'!BI3:BI139""),MATCH(D104,IMPORTRANGE(""1y0FWgjbB0gVlqn-q5LMJbGIsqOrzru4yowQz67dz2yc"", ""'STC'!D3:D139""),0))"),104194)</f>
        <v>104194</v>
      </c>
      <c r="AA104" s="1"/>
      <c r="AB104" s="1"/>
      <c r="AC104" s="1"/>
    </row>
    <row r="105" spans="1:29">
      <c r="A105" s="7" t="s">
        <v>275</v>
      </c>
      <c r="B105" s="7" t="s">
        <v>276</v>
      </c>
      <c r="C105" s="1" t="s">
        <v>30</v>
      </c>
      <c r="D105" s="7" t="s">
        <v>290</v>
      </c>
      <c r="E105" s="9" t="s">
        <v>38</v>
      </c>
      <c r="F105" s="9" t="s">
        <v>291</v>
      </c>
      <c r="G105" s="155" t="s">
        <v>213</v>
      </c>
      <c r="H105" s="156" t="s">
        <v>214</v>
      </c>
      <c r="I105" s="7" t="s">
        <v>215</v>
      </c>
      <c r="J105" s="181"/>
      <c r="K105" s="7" t="s">
        <v>216</v>
      </c>
      <c r="L105" s="181"/>
      <c r="M105" s="7" t="s">
        <v>217</v>
      </c>
      <c r="N105" s="1" t="s">
        <v>218</v>
      </c>
      <c r="O105" s="1" t="s">
        <v>218</v>
      </c>
      <c r="P105" s="12">
        <v>56902</v>
      </c>
      <c r="Q105" s="12">
        <v>56902</v>
      </c>
      <c r="R105" s="2"/>
      <c r="S105" s="2"/>
      <c r="T105" s="2"/>
      <c r="U105" s="2"/>
      <c r="V105" s="2"/>
      <c r="W105" s="2"/>
      <c r="X105" s="12">
        <v>56902</v>
      </c>
      <c r="Y105" s="476" t="str">
        <f ca="1">IFERROR(__xludf.DUMMYFUNCTION("INDEX(IMPORTRANGE(""1y0FWgjbB0gVlqn-q5LMJbGIsqOrzru4yowQz67dz2yc"", ""'STC'!BH3:BH139""),MATCH(D105,IMPORTRANGE(""1y0FWgjbB0gVlqn-q5LMJbGIsqOrzru4yowQz67dz2yc"", ""'STC'!D3:D139""),0))"),"")</f>
        <v/>
      </c>
      <c r="Z105" s="12">
        <f ca="1">IFERROR(__xludf.DUMMYFUNCTION("INDEX(IMPORTRANGE(""1y0FWgjbB0gVlqn-q5LMJbGIsqOrzru4yowQz67dz2yc"", ""'STC'!BI3:BI139""),MATCH(D105,IMPORTRANGE(""1y0FWgjbB0gVlqn-q5LMJbGIsqOrzru4yowQz67dz2yc"", ""'STC'!D3:D139""),0))"),70425)</f>
        <v>70425</v>
      </c>
      <c r="AA105" s="1"/>
      <c r="AB105" s="1"/>
      <c r="AC105" s="1"/>
    </row>
    <row r="106" spans="1:29">
      <c r="A106" s="7" t="s">
        <v>275</v>
      </c>
      <c r="B106" s="7" t="s">
        <v>276</v>
      </c>
      <c r="C106" s="1" t="s">
        <v>36</v>
      </c>
      <c r="D106" s="7" t="s">
        <v>292</v>
      </c>
      <c r="E106" s="9" t="s">
        <v>38</v>
      </c>
      <c r="F106" s="9" t="s">
        <v>293</v>
      </c>
      <c r="G106" s="155" t="s">
        <v>213</v>
      </c>
      <c r="H106" s="156" t="s">
        <v>214</v>
      </c>
      <c r="I106" s="7" t="s">
        <v>215</v>
      </c>
      <c r="J106" s="181"/>
      <c r="K106" s="7" t="s">
        <v>216</v>
      </c>
      <c r="L106" s="181"/>
      <c r="M106" s="7" t="s">
        <v>217</v>
      </c>
      <c r="N106" s="1" t="s">
        <v>218</v>
      </c>
      <c r="O106" s="1" t="s">
        <v>218</v>
      </c>
      <c r="P106" s="15">
        <f t="shared" ref="P106:Q106" si="18">P105/P104</f>
        <v>0.53382492283733451</v>
      </c>
      <c r="Q106" s="15">
        <f t="shared" si="18"/>
        <v>0.53382492283733451</v>
      </c>
      <c r="R106" s="2"/>
      <c r="S106" s="15">
        <v>0.55600000000000005</v>
      </c>
      <c r="T106" s="15"/>
      <c r="U106" s="15">
        <v>0.57799999999999996</v>
      </c>
      <c r="V106" s="15">
        <v>0.6</v>
      </c>
      <c r="W106" s="15">
        <v>0.6</v>
      </c>
      <c r="X106" s="15">
        <f>X105/X104</f>
        <v>0.53382492283733451</v>
      </c>
      <c r="Y106" s="476" t="str">
        <f ca="1">IFERROR(__xludf.DUMMYFUNCTION("INDEX(IMPORTRANGE(""1y0FWgjbB0gVlqn-q5LMJbGIsqOrzru4yowQz67dz2yc"", ""'STC'!BH3:BH139""),MATCH(D106,IMPORTRANGE(""1y0FWgjbB0gVlqn-q5LMJbGIsqOrzru4yowQz67dz2yc"", ""'STC'!D3:D139""),0))"),"")</f>
        <v/>
      </c>
      <c r="Z106" s="15">
        <f ca="1">IFERROR(__xludf.DUMMYFUNCTION("INDEX(IMPORTRANGE(""1y0FWgjbB0gVlqn-q5LMJbGIsqOrzru4yowQz67dz2yc"", ""'STC'!BI3:BI139""),MATCH(D106,IMPORTRANGE(""1y0FWgjbB0gVlqn-q5LMJbGIsqOrzru4yowQz67dz2yc"", ""'STC'!D3:D139""),0))"),0.675902643146438)</f>
        <v>0.675902643146438</v>
      </c>
      <c r="AA106" s="1"/>
      <c r="AB106" s="1"/>
      <c r="AC106" s="1"/>
    </row>
    <row r="107" spans="1:29">
      <c r="A107" s="155" t="s">
        <v>275</v>
      </c>
      <c r="B107" s="155" t="s">
        <v>276</v>
      </c>
      <c r="C107" s="155" t="s">
        <v>30</v>
      </c>
      <c r="D107" s="155" t="s">
        <v>294</v>
      </c>
      <c r="E107" s="21" t="s">
        <v>38</v>
      </c>
      <c r="F107" s="21" t="s">
        <v>295</v>
      </c>
      <c r="G107" s="155" t="s">
        <v>213</v>
      </c>
      <c r="H107" s="156" t="s">
        <v>214</v>
      </c>
      <c r="I107" s="155" t="s">
        <v>215</v>
      </c>
      <c r="J107" s="158"/>
      <c r="K107" s="155" t="s">
        <v>216</v>
      </c>
      <c r="L107" s="158"/>
      <c r="M107" s="155" t="s">
        <v>217</v>
      </c>
      <c r="N107" s="156" t="s">
        <v>218</v>
      </c>
      <c r="O107" s="156" t="s">
        <v>218</v>
      </c>
      <c r="P107" s="349"/>
      <c r="Q107" s="349"/>
      <c r="R107" s="2"/>
      <c r="S107" s="2"/>
      <c r="T107" s="2"/>
      <c r="U107" s="2"/>
      <c r="V107" s="2"/>
      <c r="W107" s="2"/>
      <c r="X107" s="349"/>
      <c r="Y107" s="476" t="str">
        <f ca="1">IFERROR(__xludf.DUMMYFUNCTION("INDEX(IMPORTRANGE(""1y0FWgjbB0gVlqn-q5LMJbGIsqOrzru4yowQz67dz2yc"", ""'STC'!BH3:BH139""),MATCH(D107,IMPORTRANGE(""1y0FWgjbB0gVlqn-q5LMJbGIsqOrzru4yowQz67dz2yc"", ""'STC'!D3:D139""),0))"),"")</f>
        <v/>
      </c>
      <c r="Z107" s="349">
        <f ca="1">IFERROR(__xludf.DUMMYFUNCTION("INDEX(IMPORTRANGE(""1y0FWgjbB0gVlqn-q5LMJbGIsqOrzru4yowQz67dz2yc"", ""'STC'!BI3:BI139""),MATCH(D107,IMPORTRANGE(""1y0FWgjbB0gVlqn-q5LMJbGIsqOrzru4yowQz67dz2yc"", ""'STC'!D3:D139""),0))"),183318826)</f>
        <v>183318826</v>
      </c>
      <c r="AA107" s="1"/>
      <c r="AB107" s="1"/>
      <c r="AC107" s="1"/>
    </row>
    <row r="108" spans="1:29">
      <c r="A108" s="155" t="s">
        <v>275</v>
      </c>
      <c r="B108" s="155" t="s">
        <v>276</v>
      </c>
      <c r="C108" s="155" t="s">
        <v>36</v>
      </c>
      <c r="D108" s="155" t="s">
        <v>296</v>
      </c>
      <c r="E108" s="21" t="s">
        <v>38</v>
      </c>
      <c r="F108" s="21" t="s">
        <v>297</v>
      </c>
      <c r="G108" s="155" t="s">
        <v>213</v>
      </c>
      <c r="H108" s="156" t="s">
        <v>214</v>
      </c>
      <c r="I108" s="155" t="s">
        <v>215</v>
      </c>
      <c r="J108" s="158"/>
      <c r="K108" s="155" t="s">
        <v>216</v>
      </c>
      <c r="L108" s="158"/>
      <c r="M108" s="155" t="s">
        <v>217</v>
      </c>
      <c r="N108" s="156" t="s">
        <v>218</v>
      </c>
      <c r="O108" s="156" t="s">
        <v>218</v>
      </c>
      <c r="P108" s="349">
        <v>122025706</v>
      </c>
      <c r="Q108" s="349">
        <v>122025706</v>
      </c>
      <c r="R108" s="2"/>
      <c r="S108" s="349">
        <v>133017137.33</v>
      </c>
      <c r="T108" s="349"/>
      <c r="U108" s="349">
        <v>144008568.66999999</v>
      </c>
      <c r="V108" s="349">
        <v>155000000</v>
      </c>
      <c r="W108" s="36">
        <v>155000000</v>
      </c>
      <c r="X108" s="349">
        <v>122025706</v>
      </c>
      <c r="Y108" s="476" t="str">
        <f ca="1">IFERROR(__xludf.DUMMYFUNCTION("INDEX(IMPORTRANGE(""1y0FWgjbB0gVlqn-q5LMJbGIsqOrzru4yowQz67dz2yc"", ""'STC'!BH3:BH139""),MATCH(D108,IMPORTRANGE(""1y0FWgjbB0gVlqn-q5LMJbGIsqOrzru4yowQz67dz2yc"", ""'STC'!D3:D139""),0))"),"")</f>
        <v/>
      </c>
      <c r="Z108" s="349">
        <f ca="1">IFERROR(__xludf.DUMMYFUNCTION("INDEX(IMPORTRANGE(""1y0FWgjbB0gVlqn-q5LMJbGIsqOrzru4yowQz67dz2yc"", ""'STC'!BI3:BI139""),MATCH(D108,IMPORTRANGE(""1y0FWgjbB0gVlqn-q5LMJbGIsqOrzru4yowQz67dz2yc"", ""'STC'!D3:D139""),0))"),267020341)</f>
        <v>267020341</v>
      </c>
      <c r="AA108" s="1"/>
      <c r="AB108" s="1"/>
      <c r="AC108" s="1"/>
    </row>
    <row r="109" spans="1:29">
      <c r="A109" s="7" t="s">
        <v>275</v>
      </c>
      <c r="B109" s="7" t="s">
        <v>298</v>
      </c>
      <c r="C109" s="1" t="s">
        <v>30</v>
      </c>
      <c r="D109" s="7" t="s">
        <v>299</v>
      </c>
      <c r="E109" s="9" t="s">
        <v>278</v>
      </c>
      <c r="F109" s="9" t="s">
        <v>300</v>
      </c>
      <c r="G109" s="155" t="s">
        <v>213</v>
      </c>
      <c r="H109" s="156" t="s">
        <v>214</v>
      </c>
      <c r="I109" s="7" t="s">
        <v>215</v>
      </c>
      <c r="J109" s="181"/>
      <c r="K109" s="7" t="s">
        <v>216</v>
      </c>
      <c r="L109" s="181"/>
      <c r="M109" s="7" t="s">
        <v>217</v>
      </c>
      <c r="N109" s="1" t="s">
        <v>218</v>
      </c>
      <c r="O109" s="1" t="s">
        <v>218</v>
      </c>
      <c r="P109" s="50">
        <v>1352030259</v>
      </c>
      <c r="Q109" s="50">
        <v>1352030259</v>
      </c>
      <c r="R109" s="4"/>
      <c r="S109" s="4"/>
      <c r="T109" s="4"/>
      <c r="U109" s="4"/>
      <c r="V109" s="4"/>
      <c r="W109" s="4"/>
      <c r="X109" s="36">
        <v>1352030259</v>
      </c>
      <c r="Y109" s="476" t="str">
        <f ca="1">IFERROR(__xludf.DUMMYFUNCTION("INDEX(IMPORTRANGE(""1y0FWgjbB0gVlqn-q5LMJbGIsqOrzru4yowQz67dz2yc"", ""'STC'!BH3:BH139""),MATCH(D109,IMPORTRANGE(""1y0FWgjbB0gVlqn-q5LMJbGIsqOrzru4yowQz67dz2yc"", ""'STC'!D3:D139""),0))"),"")</f>
        <v/>
      </c>
      <c r="Z109" s="36">
        <f ca="1">IFERROR(__xludf.DUMMYFUNCTION("INDEX(IMPORTRANGE(""1y0FWgjbB0gVlqn-q5LMJbGIsqOrzru4yowQz67dz2yc"", ""'STC'!BI3:BI139""),MATCH(D109,IMPORTRANGE(""1y0FWgjbB0gVlqn-q5LMJbGIsqOrzru4yowQz67dz2yc"", ""'STC'!D3:D139""),0))"),1646561121)</f>
        <v>1646561121</v>
      </c>
      <c r="AA109" s="1"/>
      <c r="AB109" s="1"/>
      <c r="AC109" s="1"/>
    </row>
    <row r="110" spans="1:29">
      <c r="A110" s="7" t="s">
        <v>275</v>
      </c>
      <c r="B110" s="7" t="s">
        <v>298</v>
      </c>
      <c r="C110" s="1" t="s">
        <v>36</v>
      </c>
      <c r="D110" s="7" t="s">
        <v>301</v>
      </c>
      <c r="E110" s="9" t="s">
        <v>278</v>
      </c>
      <c r="F110" s="9" t="s">
        <v>302</v>
      </c>
      <c r="G110" s="155" t="s">
        <v>213</v>
      </c>
      <c r="H110" s="156" t="s">
        <v>214</v>
      </c>
      <c r="I110" s="7" t="s">
        <v>215</v>
      </c>
      <c r="J110" s="181"/>
      <c r="K110" s="7" t="s">
        <v>216</v>
      </c>
      <c r="L110" s="181"/>
      <c r="M110" s="7" t="s">
        <v>217</v>
      </c>
      <c r="N110" s="1" t="s">
        <v>218</v>
      </c>
      <c r="O110" s="1" t="s">
        <v>218</v>
      </c>
      <c r="P110" s="15">
        <f t="shared" ref="P110:Q110" si="19">P102/P109</f>
        <v>0.71605713892532041</v>
      </c>
      <c r="Q110" s="15">
        <f t="shared" si="19"/>
        <v>0.71605713892532041</v>
      </c>
      <c r="R110" s="2"/>
      <c r="S110" s="15">
        <v>0.70699999999999996</v>
      </c>
      <c r="T110" s="15"/>
      <c r="U110" s="15">
        <v>0.69899999999999995</v>
      </c>
      <c r="V110" s="15">
        <v>0.69</v>
      </c>
      <c r="W110" s="15">
        <v>0.69</v>
      </c>
      <c r="X110" s="15">
        <f>X102/X109</f>
        <v>0.71605713892532041</v>
      </c>
      <c r="Y110" s="476" t="str">
        <f ca="1">IFERROR(__xludf.DUMMYFUNCTION("INDEX(IMPORTRANGE(""1y0FWgjbB0gVlqn-q5LMJbGIsqOrzru4yowQz67dz2yc"", ""'STC'!BH3:BH139""),MATCH(D110,IMPORTRANGE(""1y0FWgjbB0gVlqn-q5LMJbGIsqOrzru4yowQz67dz2yc"", ""'STC'!D3:D139""),0))"),"")</f>
        <v/>
      </c>
      <c r="Z110" s="26">
        <f ca="1">IFERROR(__xludf.DUMMYFUNCTION("INDEX(IMPORTRANGE(""1y0FWgjbB0gVlqn-q5LMJbGIsqOrzru4yowQz67dz2yc"", ""'STC'!BI3:BI139""),MATCH(D110,IMPORTRANGE(""1y0FWgjbB0gVlqn-q5LMJbGIsqOrzru4yowQz67dz2yc"", ""'STC'!D3:D139""),0))"),0.763787398451514)</f>
        <v>0.763787398451514</v>
      </c>
      <c r="AA110" s="1"/>
      <c r="AB110" s="1"/>
      <c r="AC110" s="1"/>
    </row>
    <row r="111" spans="1:29">
      <c r="A111" s="7" t="s">
        <v>275</v>
      </c>
      <c r="B111" s="7" t="s">
        <v>303</v>
      </c>
      <c r="C111" s="1" t="s">
        <v>36</v>
      </c>
      <c r="D111" s="7" t="s">
        <v>304</v>
      </c>
      <c r="E111" s="9" t="s">
        <v>305</v>
      </c>
      <c r="F111" s="9" t="s">
        <v>306</v>
      </c>
      <c r="G111" s="10" t="s">
        <v>307</v>
      </c>
      <c r="H111" s="158"/>
      <c r="I111" s="1" t="s">
        <v>254</v>
      </c>
      <c r="J111" s="181"/>
      <c r="K111" s="1" t="s">
        <v>255</v>
      </c>
      <c r="L111" s="181"/>
      <c r="M111" s="1" t="s">
        <v>256</v>
      </c>
      <c r="N111" s="49">
        <v>45473</v>
      </c>
      <c r="O111" s="1"/>
      <c r="P111" s="30" t="s">
        <v>308</v>
      </c>
      <c r="Q111" s="30" t="s">
        <v>308</v>
      </c>
      <c r="R111" s="2" t="s">
        <v>308</v>
      </c>
      <c r="S111" s="2" t="s">
        <v>308</v>
      </c>
      <c r="T111" s="2" t="s">
        <v>308</v>
      </c>
      <c r="U111" s="2" t="s">
        <v>308</v>
      </c>
      <c r="V111" s="2" t="s">
        <v>308</v>
      </c>
      <c r="W111" s="2" t="s">
        <v>308</v>
      </c>
      <c r="X111" s="2" t="s">
        <v>308</v>
      </c>
      <c r="Y111" s="476" t="str">
        <f ca="1">IFERROR(__xludf.DUMMYFUNCTION("INDEX(IMPORTRANGE(""1y0FWgjbB0gVlqn-q5LMJbGIsqOrzru4yowQz67dz2yc"", ""'STC'!BH3:BH139""),MATCH(D111,IMPORTRANGE(""1y0FWgjbB0gVlqn-q5LMJbGIsqOrzru4yowQz67dz2yc"", ""'STC'!D3:D139""),0))"),"")</f>
        <v/>
      </c>
      <c r="Z111" s="2" t="str">
        <f ca="1">IFERROR(__xludf.DUMMYFUNCTION("INDEX(IMPORTRANGE(""1y0FWgjbB0gVlqn-q5LMJbGIsqOrzru4yowQz67dz2yc"", ""'STC'!BI3:BI139""),MATCH(D111,IMPORTRANGE(""1y0FWgjbB0gVlqn-q5LMJbGIsqOrzru4yowQz67dz2yc"", ""'STC'!D3:D139""),0))"),"Verde")</f>
        <v>Verde</v>
      </c>
      <c r="AA111" s="1"/>
      <c r="AB111" s="1"/>
      <c r="AC111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99F57-0E26-8346-BBAC-8479EA2748BC}">
  <dimension ref="A1:M39"/>
  <sheetViews>
    <sheetView workbookViewId="0">
      <selection activeCell="K4" sqref="K4"/>
    </sheetView>
  </sheetViews>
  <sheetFormatPr baseColWidth="10" defaultRowHeight="16"/>
  <cols>
    <col min="1" max="1" width="10.83203125" style="118"/>
    <col min="3" max="3" width="20.5" customWidth="1"/>
    <col min="4" max="4" width="12" customWidth="1"/>
    <col min="5" max="5" width="12.33203125" customWidth="1"/>
    <col min="7" max="7" width="12.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10</v>
      </c>
      <c r="G1" s="70" t="s">
        <v>339</v>
      </c>
      <c r="H1" s="70" t="s">
        <v>340</v>
      </c>
      <c r="I1" s="70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2 STC'!$D$3:$Y$114,4,0)</f>
        <v>44469</v>
      </c>
      <c r="E2" s="212">
        <f>VLOOKUP(C2,'BD EVA 2 STC'!$D$3:$Q$114,13,0)</f>
        <v>265</v>
      </c>
      <c r="F2" s="75">
        <f>VLOOKUP(C2,'BD EVA 2 STC'!$D$3:$Y$114,8,0)</f>
        <v>45016</v>
      </c>
      <c r="G2" s="212">
        <f ca="1">VLOOKUP(C2,'BD EVA 2 STC'!$D$3:$AC$114,23,0)</f>
        <v>382</v>
      </c>
      <c r="H2" s="212">
        <f>VLOOKUP(C2,'BD EVA 2 STC'!$D$3:$AC$114,16,0)</f>
        <v>333</v>
      </c>
      <c r="I2" s="78">
        <f ca="1">IF(G2&gt;=E2,G2/H2,0)</f>
        <v>1.1471471471471471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7.732711268239143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2 STC'!$D$3:$Y$114,4,0)</f>
        <v>44469</v>
      </c>
      <c r="E3" s="207">
        <f>VLOOKUP(C3,'BD EVA 2 STC'!$D$3:$Q$114,13,0)</f>
        <v>0.98867924528301887</v>
      </c>
      <c r="F3" s="75">
        <f>VLOOKUP(C3,'BD EVA 2 STC'!$D$3:$Y$114,8,0)</f>
        <v>45016</v>
      </c>
      <c r="G3" s="207">
        <f ca="1">VLOOKUP(C3,'BD EVA 2 STC'!$D$3:$AC$114,23,0)</f>
        <v>0.74869109947643897</v>
      </c>
      <c r="H3" s="207" t="str">
        <f>VLOOKUP(C3,'BD EVA 2 STC'!$D$3:$AC$114,16,0)</f>
        <v>&gt;=97%</v>
      </c>
      <c r="I3" s="78">
        <f ca="1">IF(G3&gt;=97%,1,G3/97%)</f>
        <v>0.77184649430560726</v>
      </c>
      <c r="J3" s="75" t="s">
        <v>318</v>
      </c>
      <c r="K3" s="81">
        <v>3.8</v>
      </c>
      <c r="L3" s="81">
        <f t="shared" ca="1" si="0"/>
        <v>2.9330166783613074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2 STC'!$D$3:$Y$114,4,0)</f>
        <v>44469</v>
      </c>
      <c r="E4" s="207">
        <f>VLOOKUP(C4,'BD EVA 2 STC'!$D$3:$Q$114,13,0)</f>
        <v>0</v>
      </c>
      <c r="F4" s="75">
        <f>VLOOKUP(C4,'BD EVA 2 STC'!$D$3:$Y$114,8,0)</f>
        <v>45016</v>
      </c>
      <c r="G4" s="207">
        <f ca="1">VLOOKUP(C4,'BD EVA 2 STC'!$D$3:$AC$114,23,0)</f>
        <v>5.7591623036649199E-2</v>
      </c>
      <c r="H4" s="207">
        <f>VLOOKUP(C4,'BD EVA 2 STC'!$D$3:$AC$114,16,0)</f>
        <v>9.6000000000000002E-2</v>
      </c>
      <c r="I4" s="77">
        <f t="shared" ref="I4:I5" ca="1" si="1">G4/H4</f>
        <v>0.59991273996509586</v>
      </c>
      <c r="J4" s="75" t="s">
        <v>318</v>
      </c>
      <c r="K4" s="81">
        <v>3.5</v>
      </c>
      <c r="L4" s="81">
        <f t="shared" ca="1" si="0"/>
        <v>2.0996945898778354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2" t="str">
        <f>VLOOKUP(C5,'BD EVA 2 STC'!$D$3:$Y$114,4,0)</f>
        <v>octubre 20 - mar 21</v>
      </c>
      <c r="E5" s="207">
        <f>VLOOKUP(C5,'BD EVA 2 STC'!$D$3:$Q$114,13,0)</f>
        <v>5.3097345132743362E-3</v>
      </c>
      <c r="F5" s="72" t="str">
        <f>VLOOKUP(C5,'BD EVA 2 STC'!$D$3:$Y$114,8,0)</f>
        <v>octubre 22- mar 23</v>
      </c>
      <c r="G5" s="78">
        <f ca="1">VLOOKUP(C5,'BD EVA 2 STC'!$D$3:$AC$114,23,0)</f>
        <v>0.36576143004468797</v>
      </c>
      <c r="H5" s="207">
        <f>VLOOKUP(C5,'BD EVA 2 STC'!$D$3:$AC$114,16,0)</f>
        <v>0.36</v>
      </c>
      <c r="I5" s="77">
        <f t="shared" ca="1" si="1"/>
        <v>1.0160039723463554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2.2249860404846715</v>
      </c>
    </row>
    <row r="6" spans="1:13" ht="65">
      <c r="A6" s="121" t="s">
        <v>52</v>
      </c>
      <c r="B6" s="72" t="s">
        <v>68</v>
      </c>
      <c r="C6" s="72" t="s">
        <v>72</v>
      </c>
      <c r="D6" s="72" t="str">
        <f>VLOOKUP(C6,'BD EVA 2 STC'!$D$3:$Y$114,4,0)</f>
        <v>octubre 20 - mar 21</v>
      </c>
      <c r="E6" s="211">
        <f>VLOOKUP(C6,'BD EVA 2 STC'!$D$3:$Q$114,13,0)</f>
        <v>7.066746961298807</v>
      </c>
      <c r="F6" s="72" t="str">
        <f>VLOOKUP(C6,'BD EVA 2 STC'!$D$3:$Y$114,8,0)</f>
        <v>octubre 22- mar 23</v>
      </c>
      <c r="G6" s="211">
        <f ca="1">VLOOKUP(C6,'BD EVA 2 STC'!$D$3:$AC$114,23,0)</f>
        <v>12.6424533583774</v>
      </c>
      <c r="H6" s="211">
        <f>VLOOKUP(C6,'BD EVA 2 STC'!$D$3:$AC$114,16,0)</f>
        <v>6.7</v>
      </c>
      <c r="I6" s="78">
        <f t="shared" ref="I6:I10" ca="1" si="2">(G6-E6)/(H6-E6)</f>
        <v>-15.203142726343657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2" t="str">
        <f>VLOOKUP(C7,'BD EVA 2 STC'!$D$3:$Y$114,4,0)</f>
        <v>octubre 20 - mar 21</v>
      </c>
      <c r="E7" s="208">
        <f>VLOOKUP(C7,'BD EVA 2 STC'!$D$3:$Q$114,13,0)</f>
        <v>148.70893605515749</v>
      </c>
      <c r="F7" s="72" t="str">
        <f>VLOOKUP(C7,'BD EVA 2 STC'!$D$3:$Y$114,8,0)</f>
        <v>octubre 22- mar 23</v>
      </c>
      <c r="G7" s="208">
        <f ca="1">VLOOKUP(C7,'BD EVA 2 STC'!$D$3:$AC$114,23,0)</f>
        <v>128.531609143503</v>
      </c>
      <c r="H7" s="208">
        <f>VLOOKUP(C7,'BD EVA 2 STC'!$D$3:$AC$114,16,0)</f>
        <v>94.3</v>
      </c>
      <c r="I7" s="78">
        <f t="shared" ca="1" si="2"/>
        <v>0.3708458274427488</v>
      </c>
      <c r="J7" s="71" t="s">
        <v>319</v>
      </c>
      <c r="K7" s="209">
        <v>1.6</v>
      </c>
      <c r="L7" s="209">
        <f t="shared" ca="1" si="0"/>
        <v>0.59335332390839812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2" t="str">
        <f>VLOOKUP(C8,'BD EVA 2 STC'!$D$3:$Y$114,4,0)</f>
        <v>octubre 20 - mar 21</v>
      </c>
      <c r="E8" s="208">
        <f>VLOOKUP(C8,'BD EVA 2 STC'!$D$3:$Q$114,13,0)</f>
        <v>381.297086042253</v>
      </c>
      <c r="F8" s="72" t="str">
        <f>VLOOKUP(C8,'BD EVA 2 STC'!$D$3:$Y$114,8,0)</f>
        <v>octubre 22- mar 23</v>
      </c>
      <c r="G8" s="208">
        <f ca="1">VLOOKUP(C8,'BD EVA 2 STC'!$D$3:$AC$114,23,0)</f>
        <v>391.314032521206</v>
      </c>
      <c r="H8" s="208">
        <f>VLOOKUP(C8,'BD EVA 2 STC'!$D$3:$AC$114,16,0)</f>
        <v>292.39999999999998</v>
      </c>
      <c r="I8" s="78">
        <f t="shared" ca="1" si="2"/>
        <v>-0.11268025674308291</v>
      </c>
      <c r="J8" s="71" t="s">
        <v>319</v>
      </c>
      <c r="K8" s="209">
        <v>1.7</v>
      </c>
      <c r="L8" s="209">
        <f t="shared" ca="1" si="0"/>
        <v>0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2" t="str">
        <f>VLOOKUP(C9,'BD EVA 2 STC'!$D$3:$Y$114,4,0)</f>
        <v>octubre 20 - mar 21</v>
      </c>
      <c r="E9" s="208">
        <f>VLOOKUP(C9,'BD EVA 2 STC'!$D$3:$Q$114,13,0)</f>
        <v>66.058721594749713</v>
      </c>
      <c r="F9" s="72" t="str">
        <f>VLOOKUP(C9,'BD EVA 2 STC'!$D$3:$Y$114,8,0)</f>
        <v>octubre 22- mar 23</v>
      </c>
      <c r="G9" s="208">
        <f ca="1">VLOOKUP(C9,'BD EVA 2 STC'!$D$3:$AC$114,23,0)</f>
        <v>65.620353145863803</v>
      </c>
      <c r="H9" s="208">
        <f>VLOOKUP(C9,'BD EVA 2 STC'!$D$3:$AC$114,16,0)</f>
        <v>42.5</v>
      </c>
      <c r="I9" s="78">
        <f t="shared" ca="1" si="2"/>
        <v>1.8607480338984309E-2</v>
      </c>
      <c r="J9" s="71" t="s">
        <v>319</v>
      </c>
      <c r="K9" s="209">
        <v>1.7</v>
      </c>
      <c r="L9" s="211">
        <f t="shared" ca="1" si="0"/>
        <v>3.1632716576273326E-2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2" t="str">
        <f>VLOOKUP(C10,'BD EVA 2 STC'!$D$3:$Y$114,4,0)</f>
        <v>octubre 20 - mar 21</v>
      </c>
      <c r="E10" s="208">
        <f>VLOOKUP(C10,'BD EVA 2 STC'!$D$3:$Q$114,13,0)</f>
        <v>8.6029963007115899</v>
      </c>
      <c r="F10" s="72" t="str">
        <f>VLOOKUP(C10,'BD EVA 2 STC'!$D$3:$Y$114,8,0)</f>
        <v>octubre 22- mar 23</v>
      </c>
      <c r="G10" s="208">
        <f ca="1">VLOOKUP(C10,'BD EVA 2 STC'!$D$3:$AC$114,23,0)</f>
        <v>16.5555936835894</v>
      </c>
      <c r="H10" s="208">
        <f>VLOOKUP(C10,'BD EVA 2 STC'!$D$3:$AC$114,16,0)</f>
        <v>6.7</v>
      </c>
      <c r="I10" s="78">
        <f t="shared" ca="1" si="2"/>
        <v>-4.1789873053899713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2 STC'!$D$3:$Y$114,4,0)</f>
        <v>44469</v>
      </c>
      <c r="E11" s="78">
        <f>VLOOKUP(C11,'BD EVA 2 STC'!$D$3:$Q$114,13,0)</f>
        <v>0</v>
      </c>
      <c r="F11" s="89">
        <f>VLOOKUP(C11,'BD EVA 2 STC'!$D$3:$Y$114,8,0)</f>
        <v>45016</v>
      </c>
      <c r="G11" s="78">
        <f ca="1">VLOOKUP(C11,'BD EVA 2 STC'!$D$3:$AC$114,23,0)</f>
        <v>0</v>
      </c>
      <c r="H11" s="78">
        <f>VLOOKUP(C11,'BD EVA 2 STC'!$D$3:$AC$114,16,0)</f>
        <v>4.0000000000000001E-3</v>
      </c>
      <c r="I11" s="77">
        <f t="shared" ref="I11:I15" ca="1" si="3">G11/H11</f>
        <v>0</v>
      </c>
      <c r="J11" s="89" t="s">
        <v>318</v>
      </c>
      <c r="K11" s="71">
        <v>1.1000000000000001</v>
      </c>
      <c r="L11" s="209">
        <f t="shared" ca="1" si="0"/>
        <v>0</v>
      </c>
      <c r="M11" s="130">
        <f ca="1">SUM(L11:L15)</f>
        <v>7.9703845504751705</v>
      </c>
    </row>
    <row r="12" spans="1:13" ht="91">
      <c r="A12" s="121" t="s">
        <v>119</v>
      </c>
      <c r="B12" s="72" t="s">
        <v>120</v>
      </c>
      <c r="C12" s="72" t="s">
        <v>333</v>
      </c>
      <c r="D12" s="71" t="str">
        <f>VLOOKUP(C12,'BD EVA 2 STC'!$D$3:$Y$114,4,0)</f>
        <v>octubre 20 - mar 21</v>
      </c>
      <c r="E12" s="212">
        <f>VLOOKUP(C12,'BD EVA 2 STC'!$D$3:$Q$114,13,0)</f>
        <v>0</v>
      </c>
      <c r="F12" s="71" t="str">
        <f>VLOOKUP(C12,'BD EVA 2 STC'!$D$3:$Y$114,8,0)</f>
        <v>octubre 22- mar 23</v>
      </c>
      <c r="G12" s="210">
        <f ca="1">VLOOKUP(C12,'BD EVA 2 STC'!$D$3:$AC$114,23,0)</f>
        <v>1.8635091000375001E-4</v>
      </c>
      <c r="H12" s="210">
        <f>VLOOKUP(C12,'BD EVA 2 STC'!$D$3:$AC$114,16,0)</f>
        <v>2.0000000000000001E-4</v>
      </c>
      <c r="I12" s="78">
        <f t="shared" ca="1" si="3"/>
        <v>0.93175455001874996</v>
      </c>
      <c r="J12" s="75" t="s">
        <v>318</v>
      </c>
      <c r="K12" s="71">
        <v>1.1000000000000001</v>
      </c>
      <c r="L12" s="209">
        <f t="shared" ca="1" si="0"/>
        <v>1.0249300050206251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1" t="str">
        <f>VLOOKUP(C13,'BD EVA 2 STC'!$D$3:$Y$114,4,0)</f>
        <v>octubre 20 - mar 21</v>
      </c>
      <c r="E13" s="212">
        <f>VLOOKUP(C13,'BD EVA 2 STC'!$D$3:$Q$114,13,0)</f>
        <v>0</v>
      </c>
      <c r="F13" s="71" t="str">
        <f>VLOOKUP(C13,'BD EVA 2 STC'!$D$3:$Y$114,8,0)</f>
        <v>octubre 21 - mar 23</v>
      </c>
      <c r="G13" s="212">
        <f ca="1">VLOOKUP(C13,'BD EVA 2 STC'!$D$3:$AC$114,23,0)</f>
        <v>7</v>
      </c>
      <c r="H13" s="212">
        <f>VLOOKUP(C13,'BD EVA 2 STC'!$D$3:$AC$114,16,0)</f>
        <v>11</v>
      </c>
      <c r="I13" s="78">
        <f t="shared" ca="1" si="3"/>
        <v>0.63636363636363635</v>
      </c>
      <c r="J13" s="75" t="s">
        <v>318</v>
      </c>
      <c r="K13" s="82">
        <v>2.35</v>
      </c>
      <c r="L13" s="209">
        <f t="shared" ca="1" si="0"/>
        <v>1.4954545454545456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1" t="str">
        <f>VLOOKUP(C14,'BD EVA 2 STC'!$D$3:$Y$114,4,0)</f>
        <v>octubre 20 - mar 21</v>
      </c>
      <c r="E14" s="212">
        <f>VLOOKUP(C14,'BD EVA 2 STC'!$D$3:$Q$114,13,0)</f>
        <v>2219</v>
      </c>
      <c r="F14" s="71" t="str">
        <f>VLOOKUP(C14,'BD EVA 2 STC'!$D$3:$Y$114,8,0)</f>
        <v>octubre 21 - mar 23</v>
      </c>
      <c r="G14" s="212">
        <f ca="1">VLOOKUP(C14,'BD EVA 2 STC'!$D$3:$AC$114,23,0)</f>
        <v>542</v>
      </c>
      <c r="H14" s="212">
        <f>VLOOKUP(C14,'BD EVA 2 STC'!$D$3:$AC$114,16,0)</f>
        <v>400</v>
      </c>
      <c r="I14" s="78">
        <f t="shared" ca="1" si="3"/>
        <v>1.355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2 STC'!$D$3:$Y$114,4,0)</f>
        <v>octubre 20 - mar 21</v>
      </c>
      <c r="E15" s="212">
        <f>VLOOKUP(C15,'BD EVA 2 STC'!$D$3:$Q$114,13,0)</f>
        <v>0</v>
      </c>
      <c r="F15" s="89" t="str">
        <f>VLOOKUP(C15,'BD EVA 2 STC'!$D$3:$Y$114,8,0)</f>
        <v>octubre 21 - mar 23</v>
      </c>
      <c r="G15" s="212">
        <f ca="1">VLOOKUP(C15,'BD EVA 2 STC'!$D$3:$AC$114,23,0)</f>
        <v>25</v>
      </c>
      <c r="H15" s="212">
        <f>VLOOKUP(C15,'BD EVA 2 STC'!$D$3:$AC$114,16,0)</f>
        <v>10</v>
      </c>
      <c r="I15" s="78">
        <f t="shared" ca="1" si="3"/>
        <v>2.5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2 STC'!$D$3:$Y$114,4,0)</f>
        <v>44469</v>
      </c>
      <c r="E16" s="213">
        <f>VLOOKUP(C16,'BD EVA 2 STC'!$D$3:$Q$114,13,0)</f>
        <v>0.33333333333333331</v>
      </c>
      <c r="F16" s="75">
        <f>VLOOKUP(C16,'BD EVA 2 STC'!$D$3:$Y$114,8,0)</f>
        <v>45016</v>
      </c>
      <c r="G16" s="213">
        <f ca="1">VLOOKUP(C16,'BD EVA 2 STC'!$D$3:$AC$114,23,0)</f>
        <v>0.66666666666666596</v>
      </c>
      <c r="H16" s="213" t="str">
        <f>VLOOKUP(C16,'BD EVA 2 STC'!$D$3:$AC$114,16,0)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8">
        <f t="shared" ref="I16:I17" ca="1" si="4">G16/1</f>
        <v>0.66666666666666596</v>
      </c>
      <c r="J16" s="75" t="s">
        <v>318</v>
      </c>
      <c r="K16" s="71">
        <v>1.5</v>
      </c>
      <c r="L16" s="209">
        <f t="shared" ca="1" si="0"/>
        <v>0.99999999999999889</v>
      </c>
      <c r="M16" s="130">
        <f ca="1">SUM(L16:L23)</f>
        <v>7.957885782577887</v>
      </c>
    </row>
    <row r="17" spans="1:13" ht="52">
      <c r="A17" s="121" t="s">
        <v>147</v>
      </c>
      <c r="B17" s="72" t="s">
        <v>148</v>
      </c>
      <c r="C17" s="72" t="s">
        <v>158</v>
      </c>
      <c r="D17" s="75">
        <f>VLOOKUP(C17,'BD EVA 2 STC'!$D$3:$Y$114,4,0)</f>
        <v>44469</v>
      </c>
      <c r="E17" s="212">
        <f>VLOOKUP(C17,'BD EVA 2 STC'!$D$3:$Q$114,13,0)</f>
        <v>1</v>
      </c>
      <c r="F17" s="75">
        <f>VLOOKUP(C17,'BD EVA 2 STC'!$D$3:$Y$114,8,0)</f>
        <v>45016</v>
      </c>
      <c r="G17" s="212">
        <f ca="1">VLOOKUP(C17,'BD EVA 2 STC'!$D$3:$AC$114,23,0)</f>
        <v>0.5</v>
      </c>
      <c r="H17" s="212" t="str">
        <f>VLOOKUP(C17,'BD EVA 2 STC'!$D$3:$AC$114,16,0)</f>
        <v>Actualizado al 2018</v>
      </c>
      <c r="I17" s="207">
        <f t="shared" ca="1" si="4"/>
        <v>0.5</v>
      </c>
      <c r="J17" s="75" t="s">
        <v>318</v>
      </c>
      <c r="K17" s="71">
        <v>1.5</v>
      </c>
      <c r="L17" s="209">
        <f t="shared" ca="1" si="0"/>
        <v>0.75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2 STC'!$D$3:$Y$114,4,0)</f>
        <v>44469</v>
      </c>
      <c r="E18" s="207" t="str">
        <f>VLOOKUP(C18,'BD EVA 2 STC'!$D$3:$Q$114,13,0)</f>
        <v>NA</v>
      </c>
      <c r="F18" s="75">
        <f>VLOOKUP(C18,'BD EVA 2 STC'!$D$3:$Y$114,8,0)</f>
        <v>45016</v>
      </c>
      <c r="G18" s="207" t="str">
        <f ca="1">VLOOKUP(C18,'BD EVA 2 STC'!$D$3:$AC$114,23,0)</f>
        <v>NA</v>
      </c>
      <c r="H18" s="207">
        <f>VLOOKUP(C18,'BD EVA 2 STC'!$D$3:$AC$114,16,0)</f>
        <v>1</v>
      </c>
      <c r="I18" s="207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2 STC'!$D$3:$Y$114,4,0)</f>
        <v>44469</v>
      </c>
      <c r="E19" s="207">
        <f>VLOOKUP(C19,'BD EVA 2 STC'!$D$3:$Q$114,13,0)</f>
        <v>0.9794801086824283</v>
      </c>
      <c r="F19" s="75">
        <f>VLOOKUP(C19,'BD EVA 2 STC'!$D$3:$Y$114,8,0)</f>
        <v>45016</v>
      </c>
      <c r="G19" s="207">
        <f ca="1">VLOOKUP(C19,'BD EVA 2 STC'!$D$3:$AC$114,23,0)</f>
        <v>0.96072449952335504</v>
      </c>
      <c r="H19" s="207">
        <f>VLOOKUP(C19,'BD EVA 2 STC'!$D$3:$AC$114,16,0)</f>
        <v>1</v>
      </c>
      <c r="I19" s="207">
        <f t="shared" ref="I19:I27" ca="1" si="5">G19/H19</f>
        <v>0.96072449952335504</v>
      </c>
      <c r="J19" s="75" t="s">
        <v>318</v>
      </c>
      <c r="K19" s="71">
        <v>1.5</v>
      </c>
      <c r="L19" s="209">
        <f t="shared" ca="1" si="0"/>
        <v>1.4410867492850326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2 STC'!$D$3:$Y$114,4,0)</f>
        <v>44469</v>
      </c>
      <c r="E20" s="214">
        <f>VLOOKUP(C20,'BD EVA 2 STC'!$D$3:$Q$114,13,0)</f>
        <v>0.96452997337739832</v>
      </c>
      <c r="F20" s="75">
        <f>VLOOKUP(C20,'BD EVA 2 STC'!$D$3:$Y$114,8,0)</f>
        <v>45016</v>
      </c>
      <c r="G20" s="214">
        <f ca="1">VLOOKUP(C20,'BD EVA 2 STC'!$D$3:$AC$114,23,0)</f>
        <v>0.96454144863673896</v>
      </c>
      <c r="H20" s="214">
        <f>VLOOKUP(C20,'BD EVA 2 STC'!$D$3:$AC$114,16,0)</f>
        <v>1</v>
      </c>
      <c r="I20" s="207">
        <f t="shared" ca="1" si="5"/>
        <v>0.96454144863673896</v>
      </c>
      <c r="J20" s="75" t="s">
        <v>318</v>
      </c>
      <c r="K20" s="71">
        <v>1.5</v>
      </c>
      <c r="L20" s="209">
        <f t="shared" ca="1" si="0"/>
        <v>1.4468121729551084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2 STC'!$D$3:$Y$114,4,0)</f>
        <v>44469</v>
      </c>
      <c r="E21" s="207">
        <f>VLOOKUP(C21,'BD EVA 2 STC'!$D$3:$Q$114,13,0)</f>
        <v>0.99295063250668425</v>
      </c>
      <c r="F21" s="75">
        <f>VLOOKUP(C21,'BD EVA 2 STC'!$D$3:$Y$114,8,0)</f>
        <v>45016</v>
      </c>
      <c r="G21" s="207">
        <f ca="1">VLOOKUP(C21,'BD EVA 2 STC'!$D$3:$AC$114,23,0)</f>
        <v>0.99343083393940201</v>
      </c>
      <c r="H21" s="207">
        <f>VLOOKUP(C21,'BD EVA 2 STC'!$D$3:$AC$114,16,0)</f>
        <v>1</v>
      </c>
      <c r="I21" s="207">
        <f t="shared" ca="1" si="5"/>
        <v>0.99343083393940201</v>
      </c>
      <c r="J21" s="75" t="s">
        <v>318</v>
      </c>
      <c r="K21" s="71">
        <v>0.9</v>
      </c>
      <c r="L21" s="209">
        <f t="shared" ca="1" si="0"/>
        <v>0.89408775054546186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2 STC'!$D$3:$Y$114,4,0)</f>
        <v>44469</v>
      </c>
      <c r="E22" s="207">
        <f>VLOOKUP(C22,'BD EVA 2 STC'!$D$3:$Q$114,13,0)</f>
        <v>0.54364391691394653</v>
      </c>
      <c r="F22" s="75">
        <f>VLOOKUP(C22,'BD EVA 2 STC'!$D$3:$Y$114,8,0)</f>
        <v>45016</v>
      </c>
      <c r="G22" s="207">
        <f ca="1">VLOOKUP(C22,'BD EVA 2 STC'!$D$3:$AC$114,23,0)</f>
        <v>0.55059940652818995</v>
      </c>
      <c r="H22" s="207">
        <f>VLOOKUP(C22,'BD EVA 2 STC'!$D$3:$AC$114,16,0)</f>
        <v>1</v>
      </c>
      <c r="I22" s="207">
        <f t="shared" ca="1" si="5"/>
        <v>0.55059940652818995</v>
      </c>
      <c r="J22" s="75" t="s">
        <v>318</v>
      </c>
      <c r="K22" s="71">
        <v>1.5</v>
      </c>
      <c r="L22" s="209">
        <f t="shared" ca="1" si="0"/>
        <v>0.82589910979228498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2 STC'!$D$3:$Y$114,4,0)</f>
        <v>octubre 20 - mar 21</v>
      </c>
      <c r="E23" s="208">
        <f>VLOOKUP(C23,'BD EVA 2 STC'!$D$3:$Q$114,13,0)</f>
        <v>0</v>
      </c>
      <c r="F23" s="89" t="str">
        <f>VLOOKUP(C23,'BD EVA 2 STC'!$D$3:$Y$114,8,0)</f>
        <v>octubre 22 - mar 23</v>
      </c>
      <c r="G23" s="208">
        <f ca="1">VLOOKUP(C23,'BD EVA 2 STC'!$D$3:$AC$114,23,0)</f>
        <v>10.1</v>
      </c>
      <c r="H23" s="208">
        <f>VLOOKUP(C23,'BD EVA 2 STC'!$D$3:$AC$114,16,0)</f>
        <v>3</v>
      </c>
      <c r="I23" s="214">
        <f t="shared" ca="1" si="5"/>
        <v>3.3666666666666667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2 STC'!$D$3:$Y$114,4,0)</f>
        <v>44469</v>
      </c>
      <c r="E24" s="171">
        <f>VLOOKUP(C24,'BD EVA 2 STC'!$D$3:$Q$114,13,0)</f>
        <v>0</v>
      </c>
      <c r="F24" s="75">
        <f>VLOOKUP(C24,'BD EVA 2 STC'!$D$3:$Y$114,8,0)</f>
        <v>45016</v>
      </c>
      <c r="G24" s="171">
        <f ca="1">VLOOKUP(C24,'BD EVA 2 STC'!$D$3:$AC$114,23,0)</f>
        <v>0</v>
      </c>
      <c r="H24" s="171">
        <f>VLOOKUP(C24,'BD EVA 2 STC'!$D$3:$AC$114,16,0)</f>
        <v>2</v>
      </c>
      <c r="I24" s="214">
        <f t="shared" ca="1" si="5"/>
        <v>0</v>
      </c>
      <c r="J24" s="75" t="s">
        <v>318</v>
      </c>
      <c r="K24" s="82">
        <v>1.9450000000000001</v>
      </c>
      <c r="L24" s="209">
        <f t="shared" ca="1" si="0"/>
        <v>0</v>
      </c>
      <c r="M24" s="130">
        <f ca="1">SUM(L24:L28)</f>
        <v>7.611436473829202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2 STC'!$D$3:$Y$114,4,0)</f>
        <v>octubre 20 - mar 21</v>
      </c>
      <c r="E25" s="212">
        <f>VLOOKUP(C25,'BD EVA 2 STC'!$D$3:$Q$114,13,0)</f>
        <v>0</v>
      </c>
      <c r="F25" s="71" t="str">
        <f>VLOOKUP(C25,'BD EVA 2 STC'!$D$3:$Y$114,8,0)</f>
        <v>octubre 22 - mar 23</v>
      </c>
      <c r="G25" s="212">
        <f ca="1">VLOOKUP(C25,'BD EVA 2 STC'!$D$3:$AC$114,23,0)</f>
        <v>2682.37</v>
      </c>
      <c r="H25" s="212">
        <f>VLOOKUP(C25,'BD EVA 2 STC'!$D$3:$AC$114,16,0)</f>
        <v>833</v>
      </c>
      <c r="I25" s="214">
        <f t="shared" ca="1" si="5"/>
        <v>3.2201320528211284</v>
      </c>
      <c r="J25" s="75" t="s">
        <v>318</v>
      </c>
      <c r="K25" s="82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2 STC'!$D$3:$Y$114,4,0)</f>
        <v>enero - diciembre 2021</v>
      </c>
      <c r="E26" s="212">
        <f>VLOOKUP(C26,'BD EVA 2 STC'!$D$3:$Q$114,13,0)</f>
        <v>0.10752377737820928</v>
      </c>
      <c r="F26" s="71" t="str">
        <f>VLOOKUP(C26,'BD EVA 2 STC'!$D$3:$Y$114,8,0)</f>
        <v>enero- diciembre 2022</v>
      </c>
      <c r="G26" s="210">
        <f ca="1">VLOOKUP(C26,'BD EVA 2 STC'!$D$3:$AC$114,23,0)</f>
        <v>0.22421205261410401</v>
      </c>
      <c r="H26" s="210">
        <f>VLOOKUP(C26,'BD EVA 2 STC'!$D$3:$AC$114,16,0)</f>
        <v>0.1183</v>
      </c>
      <c r="I26" s="214">
        <f t="shared" ca="1" si="5"/>
        <v>1.8952836231116146</v>
      </c>
      <c r="J26" s="75" t="s">
        <v>318</v>
      </c>
      <c r="K26" s="82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2 STC'!$D$3:$Y$114,4,0)</f>
        <v>octubre 20 - mar 21</v>
      </c>
      <c r="E27" s="212">
        <f>VLOOKUP(C27,'BD EVA 2 STC'!$D$3:$Q$114,13,0)</f>
        <v>25</v>
      </c>
      <c r="F27" s="71" t="str">
        <f>VLOOKUP(C27,'BD EVA 2 STC'!$D$3:$Y$114,8,0)</f>
        <v>octubre 22 - mar 23</v>
      </c>
      <c r="G27" s="212">
        <f ca="1">VLOOKUP(C27,'BD EVA 2 STC'!$D$3:$AC$114,23,0)</f>
        <v>4</v>
      </c>
      <c r="H27" s="212">
        <f>VLOOKUP(C27,'BD EVA 2 STC'!$D$3:$AC$114,16,0)</f>
        <v>5</v>
      </c>
      <c r="I27" s="214">
        <f t="shared" ca="1" si="5"/>
        <v>0.8</v>
      </c>
      <c r="J27" s="75" t="s">
        <v>318</v>
      </c>
      <c r="K27" s="82">
        <v>2.1006</v>
      </c>
      <c r="L27" s="209">
        <f t="shared" ca="1" si="0"/>
        <v>1.6804800000000002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2 STC'!$D$3:$Y$114,4,0)</f>
        <v>octubre 2018 - marzo 2019</v>
      </c>
      <c r="E28" s="212">
        <f>VLOOKUP(C28,'BD EVA 2 STC'!$D$3:$Q$114,13,0)</f>
        <v>1944</v>
      </c>
      <c r="F28" s="89" t="str">
        <f>VLOOKUP(C28,'BD EVA 2 STC'!$D$3:$Y$114,8,0)</f>
        <v>octubre 22 - mar 23</v>
      </c>
      <c r="G28" s="212">
        <f ca="1">VLOOKUP(C28,'BD EVA 2 STC'!$D$3:$AC$114,23,0)</f>
        <v>1513</v>
      </c>
      <c r="H28" s="212">
        <f>VLOOKUP(C28,'BD EVA 2 STC'!$D$3:$AC$114,16,0)</f>
        <v>1508.4</v>
      </c>
      <c r="I28" s="78">
        <f ca="1">(G28-E28)/(H28-E28)</f>
        <v>0.98943985307621696</v>
      </c>
      <c r="J28" s="89" t="s">
        <v>319</v>
      </c>
      <c r="K28" s="82">
        <v>2.2200000000000002</v>
      </c>
      <c r="L28" s="209">
        <f t="shared" ca="1" si="0"/>
        <v>2.1965564738292018</v>
      </c>
      <c r="M28" s="127"/>
    </row>
    <row r="29" spans="1:13" ht="208">
      <c r="A29" s="121" t="s">
        <v>243</v>
      </c>
      <c r="B29" s="72" t="s">
        <v>244</v>
      </c>
      <c r="C29" s="72" t="s">
        <v>338</v>
      </c>
      <c r="D29" s="89" t="str">
        <f>VLOOKUP(C29,'BD EVA 2 STC'!$D$3:$Y$114,4,0)</f>
        <v>octubre 20 - mar 21</v>
      </c>
      <c r="E29" s="212">
        <f>VLOOKUP(C29,'BD EVA 2 STC'!$D$3:$Q$114,13,0)</f>
        <v>1</v>
      </c>
      <c r="F29" s="89" t="str">
        <f>VLOOKUP(C29,'BD EVA 2 STC'!$D$3:$Y$114,8,0)</f>
        <v>octubre 22 - mar 23</v>
      </c>
      <c r="G29" s="212">
        <f ca="1">VLOOKUP(C29,'BD EVA 2 STC'!$D$3:$AC$114,23,0)</f>
        <v>3</v>
      </c>
      <c r="H29" s="212">
        <f>VLOOKUP(C29,'BD EVA 2 STC'!$D$3:$AC$114,16,0)</f>
        <v>2</v>
      </c>
      <c r="I29" s="80">
        <f t="shared" ref="I29:I33" ca="1" si="6">G29/H29</f>
        <v>1.5</v>
      </c>
      <c r="J29" s="75" t="s">
        <v>318</v>
      </c>
      <c r="K29" s="71">
        <v>2</v>
      </c>
      <c r="L29" s="209">
        <f t="shared" ca="1" si="0"/>
        <v>2</v>
      </c>
      <c r="M29" s="130">
        <f ca="1">SUM(L29:L33)</f>
        <v>6.9324511415525052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2 STC'!$D$3:$Y$114,4,0)</f>
        <v>44469</v>
      </c>
      <c r="E30" s="212">
        <f>VLOOKUP(C30,'BD EVA 2 STC'!$D$3:$Q$114,13,0)</f>
        <v>2</v>
      </c>
      <c r="F30" s="75">
        <f>VLOOKUP(C30,'BD EVA 2 STC'!$D$3:$Y$114,8,0)</f>
        <v>45016</v>
      </c>
      <c r="G30" s="212">
        <f ca="1">VLOOKUP(C30,'BD EVA 2 STC'!$D$3:$AC$114,23,0)</f>
        <v>1</v>
      </c>
      <c r="H30" s="212">
        <f>VLOOKUP(C30,'BD EVA 2 STC'!$D$3:$AC$114,16,0)</f>
        <v>2</v>
      </c>
      <c r="I30" s="80">
        <f t="shared" ca="1" si="6"/>
        <v>0.5</v>
      </c>
      <c r="J30" s="75" t="s">
        <v>318</v>
      </c>
      <c r="K30" s="71">
        <v>2</v>
      </c>
      <c r="L30" s="209">
        <f t="shared" ca="1" si="0"/>
        <v>1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2 STC'!$D$3:$Y$114,4,0)</f>
        <v>44469</v>
      </c>
      <c r="E31" s="212">
        <f>VLOOKUP(C31,'BD EVA 2 STC'!$D$3:$Q$114,13,0)</f>
        <v>100</v>
      </c>
      <c r="F31" s="75" t="str">
        <f>VLOOKUP(C31,'BD EVA 2 STC'!$D$3:$Y$114,8,0)</f>
        <v>Dic 2022</v>
      </c>
      <c r="G31" s="212">
        <f ca="1">VLOOKUP(C31,'BD EVA 2 STC'!$D$3:$AC$114,23,0)</f>
        <v>88.86</v>
      </c>
      <c r="H31" s="212">
        <f>VLOOKUP(C31,'BD EVA 2 STC'!$D$3:$AC$114,16,0)</f>
        <v>100</v>
      </c>
      <c r="I31" s="80">
        <f t="shared" ca="1" si="6"/>
        <v>0.88859999999999995</v>
      </c>
      <c r="J31" s="75" t="s">
        <v>318</v>
      </c>
      <c r="K31" s="71">
        <v>2</v>
      </c>
      <c r="L31" s="209">
        <f t="shared" ca="1" si="0"/>
        <v>1.7771999999999999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2 STC'!$D$3:$Y$114,4,0)</f>
        <v>44469</v>
      </c>
      <c r="E32" s="209">
        <f>VLOOKUP(C32,'BD EVA 2 STC'!$D$3:$Q$114,13,0)</f>
        <v>0</v>
      </c>
      <c r="F32" s="75">
        <f>VLOOKUP(C32,'BD EVA 2 STC'!$D$3:$Y$114,8,0)</f>
        <v>45016</v>
      </c>
      <c r="G32" s="209">
        <f ca="1">VLOOKUP(C32,'BD EVA 2 STC'!$D$3:$AC$114,23,0)</f>
        <v>2.6666666666666599</v>
      </c>
      <c r="H32" s="209">
        <f>VLOOKUP(C32,'BD EVA 2 STC'!$D$3:$AC$114,16,0)</f>
        <v>4</v>
      </c>
      <c r="I32" s="80">
        <f t="shared" ca="1" si="6"/>
        <v>0.66666666666666496</v>
      </c>
      <c r="J32" s="75" t="s">
        <v>318</v>
      </c>
      <c r="K32" s="71">
        <v>2</v>
      </c>
      <c r="L32" s="209">
        <f t="shared" ca="1" si="0"/>
        <v>1.3333333333333299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2 STC'!$D$3:$Y$114,4,0)</f>
        <v>44469</v>
      </c>
      <c r="E33" s="513">
        <f>VLOOKUP(C33,'BD EVA 2 STC'!$D$3:$Q$114,13,0)</f>
        <v>0</v>
      </c>
      <c r="F33" s="75">
        <f>VLOOKUP(C33,'BD EVA 2 STC'!$D$3:$Y$114,8,0)</f>
        <v>45016</v>
      </c>
      <c r="G33" s="207">
        <f ca="1">VLOOKUP(C33,'BD EVA 2 STC'!$D$3:$AC$114,23,0)</f>
        <v>0.20547945205479401</v>
      </c>
      <c r="H33" s="207">
        <f>VLOOKUP(C33,'BD EVA 2 STC'!$D$3:$AC$114,16,0)</f>
        <v>0.5</v>
      </c>
      <c r="I33" s="80">
        <f t="shared" ca="1" si="6"/>
        <v>0.41095890410958802</v>
      </c>
      <c r="J33" s="75" t="s">
        <v>318</v>
      </c>
      <c r="K33" s="71">
        <v>2</v>
      </c>
      <c r="L33" s="209">
        <f t="shared" ca="1" si="0"/>
        <v>0.82191780821917604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1" t="str">
        <f>VLOOKUP(C34,'BD EVA 2 STC'!$D$3:$Y$114,4,0)</f>
        <v>enero - diciembre 2021</v>
      </c>
      <c r="E34" s="78">
        <f>VLOOKUP(C34,'BD EVA 2 STC'!$D$3:$Q$114,13,0)</f>
        <v>0.30736176385286745</v>
      </c>
      <c r="F34" s="71" t="str">
        <f>VLOOKUP(C34,'BD EVA 2 STC'!$D$3:$Y$114,8,0)</f>
        <v>enero- diciembre 2022</v>
      </c>
      <c r="G34" s="78">
        <f ca="1">VLOOKUP(C34,'BD EVA 2 STC'!$D$3:$AC$114,23,0)</f>
        <v>0.24577552866723101</v>
      </c>
      <c r="H34" s="78">
        <f>VLOOKUP(C34,'BD EVA 2 STC'!$D$3:$AC$114,16,0)</f>
        <v>0.315</v>
      </c>
      <c r="I34" s="83">
        <f ca="1">(G34/H34)</f>
        <v>0.7802397735467651</v>
      </c>
      <c r="J34" s="75" t="s">
        <v>318</v>
      </c>
      <c r="K34" s="82">
        <v>2.2000000000000002</v>
      </c>
      <c r="L34" s="209">
        <f t="shared" ca="1" si="0"/>
        <v>1.7165275018028834</v>
      </c>
      <c r="M34" s="130">
        <f ca="1">SUM(L34:L39)</f>
        <v>9.1844898787228431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2 STC'!$D$3:$Y$114,4,0)</f>
        <v>enero - diciembre 2021</v>
      </c>
      <c r="E35" s="78">
        <f>VLOOKUP(C35,'BD EVA 2 STC'!$D$3:$Q$114,13,0)</f>
        <v>0.42625061848685775</v>
      </c>
      <c r="F35" s="71" t="str">
        <f>VLOOKUP(C35,'BD EVA 2 STC'!$D$3:$Y$114,8,0)</f>
        <v>enero- diciembre 2022</v>
      </c>
      <c r="G35" s="78">
        <f ca="1">VLOOKUP(C35,'BD EVA 2 STC'!$D$3:$AC$114,23,0)</f>
        <v>0.33694581045768102</v>
      </c>
      <c r="H35" s="78">
        <f>VLOOKUP(C35,'BD EVA 2 STC'!$D$3:$AC$114,16,0)</f>
        <v>0.434</v>
      </c>
      <c r="I35" s="83">
        <f ca="1">G35/H35</f>
        <v>0.77637283515594702</v>
      </c>
      <c r="J35" s="75" t="s">
        <v>318</v>
      </c>
      <c r="K35" s="82">
        <v>1.4</v>
      </c>
      <c r="L35" s="209">
        <f t="shared" ca="1" si="0"/>
        <v>1.0869219692183258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2 STC'!$D$3:$Y$114,4,0)</f>
        <v>enero - diciembre 2021</v>
      </c>
      <c r="E36" s="78">
        <f>VLOOKUP(C36,'BD EVA 2 STC'!$D$3:$Q$114,13,0)</f>
        <v>0.53382492283733451</v>
      </c>
      <c r="F36" s="71" t="str">
        <f>VLOOKUP(C36,'BD EVA 2 STC'!$D$3:$Y$114,8,0)</f>
        <v>enero- diciembre 2022</v>
      </c>
      <c r="G36" s="78">
        <f ca="1">VLOOKUP(C36,'BD EVA 2 STC'!$D$3:$AC$114,23,0)</f>
        <v>0.675902643146438</v>
      </c>
      <c r="H36" s="78">
        <f>VLOOKUP(C36,'BD EVA 2 STC'!$D$3:$AC$114,16,0)</f>
        <v>0.55600000000000005</v>
      </c>
      <c r="I36" s="78">
        <f ca="1">IF(G36&lt;E36,0,G36/H36)</f>
        <v>1.2156522358748885</v>
      </c>
      <c r="J36" s="72" t="s">
        <v>316</v>
      </c>
      <c r="K36" s="82">
        <v>2.2000000000000002</v>
      </c>
      <c r="L36" s="209">
        <f t="shared" ca="1" si="0"/>
        <v>2.2000000000000002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2 STC'!$D$3:$Y$114,4,0)</f>
        <v>enero - diciembre 2021</v>
      </c>
      <c r="E37" s="90">
        <f>VLOOKUP(C37,'BD EVA 2 STC'!$D$3:$Q$114,13,0)</f>
        <v>122025706</v>
      </c>
      <c r="F37" s="89" t="str">
        <f>VLOOKUP(C37,'BD EVA 2 STC'!$D$3:$Y$114,8,0)</f>
        <v>enero- diciembre 2022</v>
      </c>
      <c r="G37" s="90">
        <f ca="1">VLOOKUP(C37,'BD EVA 2 STC'!$D$3:$AC$114,23,0)</f>
        <v>267020341</v>
      </c>
      <c r="H37" s="90">
        <f>VLOOKUP(C37,'BD EVA 2 STC'!$D$3:$AC$114,16,0)</f>
        <v>133017137.33</v>
      </c>
      <c r="I37" s="78">
        <f ca="1">G37/H37</f>
        <v>2.0074130774409444</v>
      </c>
      <c r="J37" s="75" t="s">
        <v>318</v>
      </c>
      <c r="K37" s="82">
        <v>1.1000000000000001</v>
      </c>
      <c r="L37" s="209">
        <f t="shared" ca="1" si="0"/>
        <v>1.1000000000000001</v>
      </c>
      <c r="M37" s="127"/>
    </row>
    <row r="38" spans="1:13" ht="78">
      <c r="A38" s="121" t="s">
        <v>275</v>
      </c>
      <c r="B38" s="72" t="s">
        <v>298</v>
      </c>
      <c r="C38" s="72" t="s">
        <v>301</v>
      </c>
      <c r="D38" s="75" t="str">
        <f>VLOOKUP(C38,'BD EVA 2 STC'!$D$3:$Y$114,4,0)</f>
        <v>enero - diciembre 2021</v>
      </c>
      <c r="E38" s="78">
        <f>VLOOKUP(C38,'BD EVA 2 STC'!$D$3:$Q$114,13,0)</f>
        <v>0.71605713892532041</v>
      </c>
      <c r="F38" s="89" t="str">
        <f>VLOOKUP(C38,'BD EVA 2 STC'!$D$3:$Y$114,8,0)</f>
        <v>enero- diciembre 2022</v>
      </c>
      <c r="G38" s="78">
        <f ca="1">VLOOKUP(C38,'BD EVA 2 STC'!$D$3:$AC$114,23,0)</f>
        <v>0.763787398451514</v>
      </c>
      <c r="H38" s="78">
        <f>VLOOKUP(C38,'BD EVA 2 STC'!$D$3:$AC$114,16,0)</f>
        <v>0.70699999999999996</v>
      </c>
      <c r="I38" s="83">
        <f ca="1">(H38/G38)</f>
        <v>0.9256502548135207</v>
      </c>
      <c r="J38" s="71" t="s">
        <v>341</v>
      </c>
      <c r="K38" s="82">
        <v>1.6</v>
      </c>
      <c r="L38" s="209">
        <f t="shared" ca="1" si="0"/>
        <v>1.4810404077016333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2 STC'!$D$3:$Y$114,4,0)</f>
        <v>Dic 2020</v>
      </c>
      <c r="E39" s="76" t="str">
        <f>VLOOKUP(C39,'BD EVA 2 STC'!$D$3:$Q$114,13,0)</f>
        <v>Verde</v>
      </c>
      <c r="F39" s="89" t="str">
        <f>VLOOKUP(C39,'BD EVA 2 STC'!$D$3:$Y$114,8,0)</f>
        <v>Dic 2022</v>
      </c>
      <c r="G39" s="76" t="str">
        <f ca="1">VLOOKUP(C39,'BD EVA 2 STC'!$D$3:$AC$114,23,0)</f>
        <v>Verde</v>
      </c>
      <c r="H39" s="76" t="str">
        <f>VLOOKUP(C39,'BD EVA 2 STC'!$D$3:$AC$114,16,0)</f>
        <v>Verde</v>
      </c>
      <c r="I39" s="173">
        <f ca="1">IF(G39="Verde",1,0)</f>
        <v>1</v>
      </c>
      <c r="J39" s="75" t="s">
        <v>318</v>
      </c>
      <c r="K39" s="82">
        <v>1.6</v>
      </c>
      <c r="L39" s="209">
        <f t="shared" ca="1" si="0"/>
        <v>1.6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BE1F-209F-CF40-AFC2-4F7471B6FEBF}">
  <dimension ref="A1:AC113"/>
  <sheetViews>
    <sheetView workbookViewId="0">
      <selection activeCell="G6" sqref="G6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514" t="s">
        <v>321</v>
      </c>
      <c r="S1" s="514" t="s">
        <v>18</v>
      </c>
      <c r="T1" s="514" t="s">
        <v>322</v>
      </c>
      <c r="U1" s="514" t="s">
        <v>20</v>
      </c>
      <c r="V1" s="514" t="s">
        <v>323</v>
      </c>
      <c r="W1" s="514" t="s">
        <v>22</v>
      </c>
      <c r="X1" s="61" t="s">
        <v>23</v>
      </c>
      <c r="Y1" s="61" t="s">
        <v>450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12">
        <v>325468</v>
      </c>
      <c r="Q2" s="12">
        <v>325468</v>
      </c>
      <c r="R2" s="2"/>
      <c r="S2" s="12"/>
      <c r="T2" s="12"/>
      <c r="U2" s="12"/>
      <c r="V2" s="12"/>
      <c r="W2" s="12"/>
      <c r="X2" s="12">
        <v>328847</v>
      </c>
      <c r="Y2" s="12">
        <v>328847</v>
      </c>
      <c r="Z2" s="12">
        <v>332214</v>
      </c>
      <c r="AA2" s="12">
        <v>332214</v>
      </c>
      <c r="AB2" s="12">
        <v>335570</v>
      </c>
      <c r="AC2" s="12">
        <v>335570</v>
      </c>
    </row>
    <row r="3" spans="1:29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265</v>
      </c>
      <c r="Q3" s="12">
        <v>265</v>
      </c>
      <c r="R3" s="2">
        <v>299</v>
      </c>
      <c r="S3" s="2">
        <v>333</v>
      </c>
      <c r="T3" s="2">
        <v>366</v>
      </c>
      <c r="U3" s="2">
        <v>400</v>
      </c>
      <c r="V3" s="2">
        <v>434</v>
      </c>
      <c r="W3" s="2">
        <f>V3</f>
        <v>434</v>
      </c>
      <c r="X3" s="2">
        <v>284</v>
      </c>
      <c r="Y3" s="2">
        <f ca="1">IFERROR(__xludf.DUMMYFUNCTION("INDEX(IMPORTRANGE(""1y0FWgjbB0gVlqn-q5LMJbGIsqOrzru4yowQz67dz2yc"", ""'STC'!BG3:BG139""),MATCH($D3,IMPORTRANGE(""1y0FWgjbB0gVlqn-q5LMJbGIsqOrzru4yowQz67dz2yc"", ""'STC'!D3:D139""),0))"),371)</f>
        <v>371</v>
      </c>
      <c r="Z3" s="2">
        <f ca="1">IFERROR(__xludf.DUMMYFUNCTION("INDEX(IMPORTRANGE(""1y0FWgjbB0gVlqn-q5LMJbGIsqOrzru4yowQz67dz2yc"", ""'STC'!BH3:BH139""),MATCH($D3,IMPORTRANGE(""1y0FWgjbB0gVlqn-q5LMJbGIsqOrzru4yowQz67dz2yc"", ""'STC'!D3:D139""),0))"),382)</f>
        <v>382</v>
      </c>
      <c r="AA3" s="2">
        <f ca="1">IFERROR(__xludf.DUMMYFUNCTION("INDEX(IMPORTRANGE(""1y0FWgjbB0gVlqn-q5LMJbGIsqOrzru4yowQz67dz2yc"", ""'STC'!BI3:BI139""),MATCH($D3,IMPORTRANGE(""1y0FWgjbB0gVlqn-q5LMJbGIsqOrzru4yowQz67dz2yc"", ""'STC'!D3:D139""),0))"),419)</f>
        <v>419</v>
      </c>
      <c r="AB3" s="1"/>
      <c r="AC3" s="1"/>
    </row>
    <row r="4" spans="1:29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262</v>
      </c>
      <c r="Q4" s="12">
        <v>262</v>
      </c>
      <c r="R4" s="2"/>
      <c r="S4" s="2"/>
      <c r="T4" s="2"/>
      <c r="U4" s="2"/>
      <c r="V4" s="2"/>
      <c r="W4" s="2"/>
      <c r="X4" s="2">
        <v>241</v>
      </c>
      <c r="Y4" s="2">
        <f ca="1">IFERROR(__xludf.DUMMYFUNCTION("INDEX(IMPORTRANGE(""1y0FWgjbB0gVlqn-q5LMJbGIsqOrzru4yowQz67dz2yc"", ""'STC'!BG3:BG139""),MATCH($D4,IMPORTRANGE(""1y0FWgjbB0gVlqn-q5LMJbGIsqOrzru4yowQz67dz2yc"", ""'STC'!D3:D139""),0))"),280)</f>
        <v>280</v>
      </c>
      <c r="Z4" s="2">
        <f ca="1">IFERROR(__xludf.DUMMYFUNCTION("INDEX(IMPORTRANGE(""1y0FWgjbB0gVlqn-q5LMJbGIsqOrzru4yowQz67dz2yc"", ""'STC'!BH3:BH139""),MATCH($D4,IMPORTRANGE(""1y0FWgjbB0gVlqn-q5LMJbGIsqOrzru4yowQz67dz2yc"", ""'STC'!D3:D139""),0))"),286)</f>
        <v>286</v>
      </c>
      <c r="AA4" s="2">
        <f ca="1">IFERROR(__xludf.DUMMYFUNCTION("INDEX(IMPORTRANGE(""1y0FWgjbB0gVlqn-q5LMJbGIsqOrzru4yowQz67dz2yc"", ""'STC'!BI3:BI139""),MATCH($D4,IMPORTRANGE(""1y0FWgjbB0gVlqn-q5LMJbGIsqOrzru4yowQz67dz2yc"", ""'STC'!D3:D139""),0))"),295)</f>
        <v>295</v>
      </c>
      <c r="AB4" s="1"/>
      <c r="AC4" s="1"/>
    </row>
    <row r="5" spans="1:29">
      <c r="A5" s="261" t="s">
        <v>34</v>
      </c>
      <c r="B5" s="261" t="s">
        <v>40</v>
      </c>
      <c r="C5" s="47" t="s">
        <v>36</v>
      </c>
      <c r="D5" s="1" t="s">
        <v>43</v>
      </c>
      <c r="E5" s="192" t="s">
        <v>38</v>
      </c>
      <c r="F5" s="192" t="s">
        <v>44</v>
      </c>
      <c r="G5" s="11">
        <v>44469</v>
      </c>
      <c r="H5" s="11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0.98867924528301887</v>
      </c>
      <c r="Q5" s="15">
        <f t="shared" si="0"/>
        <v>0.98867924528301887</v>
      </c>
      <c r="R5" s="15" t="s">
        <v>327</v>
      </c>
      <c r="S5" s="15" t="s">
        <v>327</v>
      </c>
      <c r="T5" s="15" t="s">
        <v>327</v>
      </c>
      <c r="U5" s="15" t="s">
        <v>327</v>
      </c>
      <c r="V5" s="15" t="s">
        <v>327</v>
      </c>
      <c r="W5" s="15" t="s">
        <v>327</v>
      </c>
      <c r="X5" s="15">
        <f>X4/X3</f>
        <v>0.84859154929577463</v>
      </c>
      <c r="Y5" s="15">
        <f ca="1">IFERROR(__xludf.DUMMYFUNCTION("INDEX(IMPORTRANGE(""1y0FWgjbB0gVlqn-q5LMJbGIsqOrzru4yowQz67dz2yc"", ""'STC'!BG3:BG139""),MATCH($D5,IMPORTRANGE(""1y0FWgjbB0gVlqn-q5LMJbGIsqOrzru4yowQz67dz2yc"", ""'STC'!D3:D139""),0))"),0.754716981132075)</f>
        <v>0.75471698113207497</v>
      </c>
      <c r="Z5" s="15">
        <f ca="1">IFERROR(__xludf.DUMMYFUNCTION("INDEX(IMPORTRANGE(""1y0FWgjbB0gVlqn-q5LMJbGIsqOrzru4yowQz67dz2yc"", ""'STC'!BH3:BH139""),MATCH($D5,IMPORTRANGE(""1y0FWgjbB0gVlqn-q5LMJbGIsqOrzru4yowQz67dz2yc"", ""'STC'!D3:D139""),0))"),0.748691099476439)</f>
        <v>0.74869109947643897</v>
      </c>
      <c r="AA5" s="15">
        <f ca="1">IFERROR(__xludf.DUMMYFUNCTION("INDEX(IMPORTRANGE(""1y0FWgjbB0gVlqn-q5LMJbGIsqOrzru4yowQz67dz2yc"", ""'STC'!BI3:BI139""),MATCH($D5,IMPORTRANGE(""1y0FWgjbB0gVlqn-q5LMJbGIsqOrzru4yowQz67dz2yc"", ""'STC'!D3:D139""),0))"),0.704057279236276)</f>
        <v>0.70405727923627603</v>
      </c>
      <c r="AB5" s="47"/>
      <c r="AC5" s="47"/>
    </row>
    <row r="6" spans="1:29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18"/>
      <c r="Y6" s="2">
        <f ca="1">IFERROR(__xludf.DUMMYFUNCTION("INDEX(IMPORTRANGE(""1y0FWgjbB0gVlqn-q5LMJbGIsqOrzru4yowQz67dz2yc"", ""'STC'!BG3:BG139""),MATCH($D6,IMPORTRANGE(""1y0FWgjbB0gVlqn-q5LMJbGIsqOrzru4yowQz67dz2yc"", ""'STC'!D3:D139""),0))"),22)</f>
        <v>22</v>
      </c>
      <c r="Z6" s="2">
        <f ca="1">IFERROR(__xludf.DUMMYFUNCTION("INDEX(IMPORTRANGE(""1y0FWgjbB0gVlqn-q5LMJbGIsqOrzru4yowQz67dz2yc"", ""'STC'!BH3:BH139""),MATCH($D6,IMPORTRANGE(""1y0FWgjbB0gVlqn-q5LMJbGIsqOrzru4yowQz67dz2yc"", ""'STC'!D3:D139""),0))"),22)</f>
        <v>22</v>
      </c>
      <c r="AA6" s="2">
        <f ca="1">IFERROR(__xludf.DUMMYFUNCTION("INDEX(IMPORTRANGE(""1y0FWgjbB0gVlqn-q5LMJbGIsqOrzru4yowQz67dz2yc"", ""'STC'!BI3:BI139""),MATCH($D6,IMPORTRANGE(""1y0FWgjbB0gVlqn-q5LMJbGIsqOrzru4yowQz67dz2yc"", ""'STC'!D3:D139""),0))"),28)</f>
        <v>28</v>
      </c>
      <c r="AB6" s="1"/>
      <c r="AC6" s="1"/>
    </row>
    <row r="7" spans="1:29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44651</v>
      </c>
      <c r="J7" s="11">
        <v>44834</v>
      </c>
      <c r="K7" s="11">
        <v>45016</v>
      </c>
      <c r="L7" s="11">
        <v>45199</v>
      </c>
      <c r="M7" s="11">
        <v>45382</v>
      </c>
      <c r="N7" s="11">
        <v>45565</v>
      </c>
      <c r="O7" s="11">
        <v>45565</v>
      </c>
      <c r="P7" s="12"/>
      <c r="Q7" s="2"/>
      <c r="R7" s="26">
        <v>3.9E-2</v>
      </c>
      <c r="S7" s="26">
        <v>4.2999999999999997E-2</v>
      </c>
      <c r="T7" s="26">
        <v>4.9000000000000002E-2</v>
      </c>
      <c r="U7" s="26">
        <v>5.7000000000000002E-2</v>
      </c>
      <c r="V7" s="26">
        <v>6.5000000000000002E-2</v>
      </c>
      <c r="W7" s="26">
        <v>0.11799999999999999</v>
      </c>
      <c r="X7" s="18"/>
      <c r="Y7" s="2">
        <f ca="1">IFERROR(__xludf.DUMMYFUNCTION("INDEX(IMPORTRANGE(""1y0FWgjbB0gVlqn-q5LMJbGIsqOrzru4yowQz67dz2yc"", ""'STC'!BG3:BG139""),MATCH($D7,IMPORTRANGE(""1y0FWgjbB0gVlqn-q5LMJbGIsqOrzru4yowQz67dz2yc"", ""'STC'!D3:D139""),0))"),0)</f>
        <v>0</v>
      </c>
      <c r="Z7" s="2">
        <f ca="1">IFERROR(__xludf.DUMMYFUNCTION("INDEX(IMPORTRANGE(""1y0FWgjbB0gVlqn-q5LMJbGIsqOrzru4yowQz67dz2yc"", ""'STC'!BH3:BH139""),MATCH($D7,IMPORTRANGE(""1y0FWgjbB0gVlqn-q5LMJbGIsqOrzru4yowQz67dz2yc"", ""'STC'!D3:D139""),0))"),0)</f>
        <v>0</v>
      </c>
      <c r="AA7" s="2">
        <f ca="1">IFERROR(__xludf.DUMMYFUNCTION("INDEX(IMPORTRANGE(""1y0FWgjbB0gVlqn-q5LMJbGIsqOrzru4yowQz67dz2yc"", ""'STC'!BI3:BI139""),MATCH($D7,IMPORTRANGE(""1y0FWgjbB0gVlqn-q5LMJbGIsqOrzru4yowQz67dz2yc"", ""'STC'!D3:D139""),0))"),3)</f>
        <v>3</v>
      </c>
      <c r="AB7" s="1"/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26">
        <v>9.2999999999999999E-2</v>
      </c>
      <c r="S8" s="26">
        <v>9.6000000000000002E-2</v>
      </c>
      <c r="T8" s="26">
        <v>9.8000000000000004E-2</v>
      </c>
      <c r="U8" s="26">
        <v>0.10100000000000001</v>
      </c>
      <c r="V8" s="26">
        <v>0.104</v>
      </c>
      <c r="W8" s="26">
        <f>V8</f>
        <v>0.104</v>
      </c>
      <c r="X8" s="19">
        <f>X6/X3</f>
        <v>0</v>
      </c>
      <c r="Y8" s="15">
        <f ca="1">IFERROR(__xludf.DUMMYFUNCTION("INDEX(IMPORTRANGE(""1y0FWgjbB0gVlqn-q5LMJbGIsqOrzru4yowQz67dz2yc"", ""'STC'!BG3:BG139""),MATCH($D8,IMPORTRANGE(""1y0FWgjbB0gVlqn-q5LMJbGIsqOrzru4yowQz67dz2yc"", ""'STC'!D3:D139""),0))"),0.059299191374663)</f>
        <v>5.9299191374663003E-2</v>
      </c>
      <c r="Z8" s="15">
        <f ca="1">IFERROR(__xludf.DUMMYFUNCTION("INDEX(IMPORTRANGE(""1y0FWgjbB0gVlqn-q5LMJbGIsqOrzru4yowQz67dz2yc"", ""'STC'!BH3:BH139""),MATCH($D8,IMPORTRANGE(""1y0FWgjbB0gVlqn-q5LMJbGIsqOrzru4yowQz67dz2yc"", ""'STC'!D3:D139""),0))"),0.0575916230366492)</f>
        <v>5.7591623036649199E-2</v>
      </c>
      <c r="AA8" s="15">
        <f ca="1">IFERROR(__xludf.DUMMYFUNCTION("INDEX(IMPORTRANGE(""1y0FWgjbB0gVlqn-q5LMJbGIsqOrzru4yowQz67dz2yc"", ""'STC'!BI3:BI139""),MATCH($D8,IMPORTRANGE(""1y0FWgjbB0gVlqn-q5LMJbGIsqOrzru4yowQz67dz2yc"", ""'STC'!D3:D139""),0))"),0.0739856801909307)</f>
        <v>7.39856801909307E-2</v>
      </c>
      <c r="AB8" s="1"/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9</v>
      </c>
      <c r="Q9" s="2">
        <v>74</v>
      </c>
      <c r="R9" s="2"/>
      <c r="S9" s="2"/>
      <c r="T9" s="2"/>
      <c r="U9" s="2"/>
      <c r="V9" s="2"/>
      <c r="W9" s="2"/>
      <c r="X9" s="2">
        <v>18</v>
      </c>
      <c r="Y9" s="2">
        <f ca="1">IFERROR(__xludf.DUMMYFUNCTION("INDEX(IMPORTRANGE(""1y0FWgjbB0gVlqn-q5LMJbGIsqOrzru4yowQz67dz2yc"", ""'STC'!BG3:BG139""),MATCH($D9,IMPORTRANGE(""1y0FWgjbB0gVlqn-q5LMJbGIsqOrzru4yowQz67dz2yc"", ""'STC'!D3:D139""),0))"),318)</f>
        <v>318</v>
      </c>
      <c r="Z9" s="2">
        <f ca="1">IFERROR(__xludf.DUMMYFUNCTION("INDEX(IMPORTRANGE(""1y0FWgjbB0gVlqn-q5LMJbGIsqOrzru4yowQz67dz2yc"", ""'STC'!BH3:BH139""),MATCH($D9,IMPORTRANGE(""1y0FWgjbB0gVlqn-q5LMJbGIsqOrzru4yowQz67dz2yc"", ""'STC'!D3:D139""),0))"),1064)</f>
        <v>1064</v>
      </c>
      <c r="AA9" s="2">
        <f ca="1">IFERROR(__xludf.DUMMYFUNCTION("INDEX(IMPORTRANGE(""1y0FWgjbB0gVlqn-q5LMJbGIsqOrzru4yowQz67dz2yc"", ""'STC'!BI3:BI139""),MATCH($D9,IMPORTRANGE(""1y0FWgjbB0gVlqn-q5LMJbGIsqOrzru4yowQz67dz2yc"", ""'STC'!D3:D139""),0))"),1884)</f>
        <v>1884</v>
      </c>
      <c r="AB9" s="1"/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1695</v>
      </c>
      <c r="Q10" s="12">
        <v>2149</v>
      </c>
      <c r="R10" s="2"/>
      <c r="S10" s="2"/>
      <c r="T10" s="2"/>
      <c r="U10" s="2"/>
      <c r="V10" s="2"/>
      <c r="W10" s="2"/>
      <c r="X10" s="12">
        <v>312</v>
      </c>
      <c r="Y10" s="12">
        <f ca="1">IFERROR(__xludf.DUMMYFUNCTION("INDEX(IMPORTRANGE(""1y0FWgjbB0gVlqn-q5LMJbGIsqOrzru4yowQz67dz2yc"", ""'STC'!BG3:BG139""),MATCH($D10,IMPORTRANGE(""1y0FWgjbB0gVlqn-q5LMJbGIsqOrzru4yowQz67dz2yc"", ""'STC'!D3:D139""),0))"),983)</f>
        <v>983</v>
      </c>
      <c r="Z10" s="12">
        <f ca="1">IFERROR(__xludf.DUMMYFUNCTION("INDEX(IMPORTRANGE(""1y0FWgjbB0gVlqn-q5LMJbGIsqOrzru4yowQz67dz2yc"", ""'STC'!BH3:BH139""),MATCH($D10,IMPORTRANGE(""1y0FWgjbB0gVlqn-q5LMJbGIsqOrzru4yowQz67dz2yc"", ""'STC'!D3:D139""),0))"),2909)</f>
        <v>2909</v>
      </c>
      <c r="AA10" s="12">
        <f ca="1">IFERROR(__xludf.DUMMYFUNCTION("INDEX(IMPORTRANGE(""1y0FWgjbB0gVlqn-q5LMJbGIsqOrzru4yowQz67dz2yc"", ""'STC'!BI3:BI139""),MATCH($D10,IMPORTRANGE(""1y0FWgjbB0gVlqn-q5LMJbGIsqOrzru4yowQz67dz2yc"", ""'STC'!D3:D139""),0))"),5526)</f>
        <v>5526</v>
      </c>
      <c r="AB10" s="1"/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5.3097345132743362E-3</v>
      </c>
      <c r="Q11" s="15">
        <f t="shared" si="2"/>
        <v>3.4434620753838997E-2</v>
      </c>
      <c r="R11" s="26">
        <v>3.9E-2</v>
      </c>
      <c r="S11" s="15">
        <v>0.36</v>
      </c>
      <c r="T11" s="15">
        <f t="shared" ref="T11:V11" si="3">($W$11-$S$11)/3+S11</f>
        <v>0.37333333333333335</v>
      </c>
      <c r="U11" s="15">
        <f t="shared" si="3"/>
        <v>0.38666666666666671</v>
      </c>
      <c r="V11" s="15">
        <f t="shared" si="3"/>
        <v>0.40000000000000008</v>
      </c>
      <c r="W11" s="14">
        <v>0.4</v>
      </c>
      <c r="X11" s="15">
        <f>X9/X10</f>
        <v>5.7692307692307696E-2</v>
      </c>
      <c r="Y11" s="15">
        <f ca="1">IFERROR(__xludf.DUMMYFUNCTION("INDEX(IMPORTRANGE(""1y0FWgjbB0gVlqn-q5LMJbGIsqOrzru4yowQz67dz2yc"", ""'STC'!BG3:BG139""),MATCH($D11,IMPORTRANGE(""1y0FWgjbB0gVlqn-q5LMJbGIsqOrzru4yowQz67dz2yc"", ""'STC'!D3:D139""),0))"),0.323499491353001)</f>
        <v>0.32349949135300099</v>
      </c>
      <c r="Z11" s="15">
        <f ca="1">IFERROR(__xludf.DUMMYFUNCTION("INDEX(IMPORTRANGE(""1y0FWgjbB0gVlqn-q5LMJbGIsqOrzru4yowQz67dz2yc"", ""'STC'!BH3:BH139""),MATCH($D11,IMPORTRANGE(""1y0FWgjbB0gVlqn-q5LMJbGIsqOrzru4yowQz67dz2yc"", ""'STC'!D3:D139""),0))"),0.365761430044688)</f>
        <v>0.36576143004468797</v>
      </c>
      <c r="AA11" s="15">
        <f ca="1">IFERROR(__xludf.DUMMYFUNCTION("INDEX(IMPORTRANGE(""1y0FWgjbB0gVlqn-q5LMJbGIsqOrzru4yowQz67dz2yc"", ""'STC'!BI3:BI139""),MATCH($D11,IMPORTRANGE(""1y0FWgjbB0gVlqn-q5LMJbGIsqOrzru4yowQz67dz2yc"", ""'STC'!D3:D139""),0))"),0.340933767643865)</f>
        <v>0.34093376764386502</v>
      </c>
      <c r="AB11" s="1"/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23</v>
      </c>
      <c r="Q12" s="2">
        <v>42</v>
      </c>
      <c r="R12" s="2"/>
      <c r="S12" s="2"/>
      <c r="T12" s="2"/>
      <c r="U12" s="2"/>
      <c r="V12" s="2"/>
      <c r="W12" s="2"/>
      <c r="X12" s="2">
        <v>44</v>
      </c>
      <c r="Y12" s="2">
        <f ca="1">IFERROR(__xludf.DUMMYFUNCTION("INDEX(IMPORTRANGE(""1y0FWgjbB0gVlqn-q5LMJbGIsqOrzru4yowQz67dz2yc"", ""'STC'!BG3:BG139""),MATCH($D12,IMPORTRANGE(""1y0FWgjbB0gVlqn-q5LMJbGIsqOrzru4yowQz67dz2yc"", ""'STC'!D3:D139""),0))"),87)</f>
        <v>87</v>
      </c>
      <c r="Z12" s="2">
        <f ca="1">IFERROR(__xludf.DUMMYFUNCTION("INDEX(IMPORTRANGE(""1y0FWgjbB0gVlqn-q5LMJbGIsqOrzru4yowQz67dz2yc"", ""'STC'!BH3:BH139""),MATCH($D12,IMPORTRANGE(""1y0FWgjbB0gVlqn-q5LMJbGIsqOrzru4yowQz67dz2yc"", ""'STC'!D3:D139""),0))"),42)</f>
        <v>42</v>
      </c>
      <c r="AA12" s="2">
        <f ca="1">IFERROR(__xludf.DUMMYFUNCTION("INDEX(IMPORTRANGE(""1y0FWgjbB0gVlqn-q5LMJbGIsqOrzru4yowQz67dz2yc"", ""'STC'!BI3:BI139""),MATCH($D12,IMPORTRANGE(""1y0FWgjbB0gVlqn-q5LMJbGIsqOrzru4yowQz67dz2yc"", ""'STC'!D3:D139""),0))"),85)</f>
        <v>85</v>
      </c>
      <c r="AB12" s="1"/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7.066746961298807</v>
      </c>
      <c r="Q13" s="23">
        <f t="shared" si="4"/>
        <v>12.904494451067386</v>
      </c>
      <c r="R13" s="2">
        <v>12.6</v>
      </c>
      <c r="S13" s="2">
        <v>6.7</v>
      </c>
      <c r="T13" s="2">
        <v>12.3</v>
      </c>
      <c r="U13" s="2">
        <v>6.6</v>
      </c>
      <c r="V13" s="2">
        <v>12</v>
      </c>
      <c r="W13" s="2">
        <v>12</v>
      </c>
      <c r="X13" s="23">
        <f>(X12/X$2)*100000</f>
        <v>13.380082530781792</v>
      </c>
      <c r="Y13" s="23">
        <f ca="1">IFERROR(__xludf.DUMMYFUNCTION("INDEX(IMPORTRANGE(""1y0FWgjbB0gVlqn-q5LMJbGIsqOrzru4yowQz67dz2yc"", ""'STC'!BG3:BG139""),MATCH($D13,IMPORTRANGE(""1y0FWgjbB0gVlqn-q5LMJbGIsqOrzru4yowQz67dz2yc"", ""'STC'!D3:D139""),0))"),26.456072276773)</f>
        <v>26.456072276773</v>
      </c>
      <c r="Z13" s="23">
        <f ca="1">IFERROR(__xludf.DUMMYFUNCTION("INDEX(IMPORTRANGE(""1y0FWgjbB0gVlqn-q5LMJbGIsqOrzru4yowQz67dz2yc"", ""'STC'!BH3:BH139""),MATCH($D13,IMPORTRANGE(""1y0FWgjbB0gVlqn-q5LMJbGIsqOrzru4yowQz67dz2yc"", ""'STC'!D3:D139""),0))"),12.6424533583774)</f>
        <v>12.6424533583774</v>
      </c>
      <c r="AA13" s="23">
        <f ca="1">IFERROR(__xludf.DUMMYFUNCTION("INDEX(IMPORTRANGE(""1y0FWgjbB0gVlqn-q5LMJbGIsqOrzru4yowQz67dz2yc"", ""'STC'!BI3:BI139""),MATCH($D13,IMPORTRANGE(""1y0FWgjbB0gVlqn-q5LMJbGIsqOrzru4yowQz67dz2yc"", ""'STC'!D3:D139""),0))"),25.5859175110019)</f>
        <v>25.585917511001899</v>
      </c>
      <c r="AB13" s="1"/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30">
        <v>101</v>
      </c>
      <c r="Q14" s="2">
        <v>221</v>
      </c>
      <c r="R14" s="2"/>
      <c r="S14" s="2"/>
      <c r="T14" s="2"/>
      <c r="U14" s="2"/>
      <c r="V14" s="2"/>
      <c r="W14" s="2"/>
      <c r="X14" s="2">
        <v>76</v>
      </c>
      <c r="Y14" s="2">
        <f ca="1">IFERROR(__xludf.DUMMYFUNCTION("INDEX(IMPORTRANGE(""1y0FWgjbB0gVlqn-q5LMJbGIsqOrzru4yowQz67dz2yc"", ""'STC'!BG3:BG139""),MATCH($D14,IMPORTRANGE(""1y0FWgjbB0gVlqn-q5LMJbGIsqOrzru4yowQz67dz2yc"", ""'STC'!D3:D139""),0))"),190)</f>
        <v>190</v>
      </c>
      <c r="Z14" s="2">
        <f ca="1">IFERROR(__xludf.DUMMYFUNCTION("INDEX(IMPORTRANGE(""1y0FWgjbB0gVlqn-q5LMJbGIsqOrzru4yowQz67dz2yc"", ""'STC'!BH3:BH139""),MATCH($D14,IMPORTRANGE(""1y0FWgjbB0gVlqn-q5LMJbGIsqOrzru4yowQz67dz2yc"", ""'STC'!D3:D139""),0))"),82)</f>
        <v>82</v>
      </c>
      <c r="AA14" s="2">
        <f ca="1">IFERROR(__xludf.DUMMYFUNCTION("INDEX(IMPORTRANGE(""1y0FWgjbB0gVlqn-q5LMJbGIsqOrzru4yowQz67dz2yc"", ""'STC'!BI3:BI139""),MATCH($D14,IMPORTRANGE(""1y0FWgjbB0gVlqn-q5LMJbGIsqOrzru4yowQz67dz2yc"", ""'STC'!D3:D139""),0))"),148)</f>
        <v>148</v>
      </c>
      <c r="AB14" s="1"/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30">
        <v>185</v>
      </c>
      <c r="Q15" s="2">
        <v>401</v>
      </c>
      <c r="R15" s="2"/>
      <c r="S15" s="2"/>
      <c r="T15" s="2"/>
      <c r="U15" s="2"/>
      <c r="V15" s="2"/>
      <c r="W15" s="2"/>
      <c r="X15" s="2">
        <v>253</v>
      </c>
      <c r="Y15" s="2">
        <f ca="1">IFERROR(__xludf.DUMMYFUNCTION("INDEX(IMPORTRANGE(""1y0FWgjbB0gVlqn-q5LMJbGIsqOrzru4yowQz67dz2yc"", ""'STC'!BG3:BG139""),MATCH($D15,IMPORTRANGE(""1y0FWgjbB0gVlqn-q5LMJbGIsqOrzru4yowQz67dz2yc"", ""'STC'!D3:D139""),0))"),500)</f>
        <v>500</v>
      </c>
      <c r="Z15" s="2">
        <f ca="1">IFERROR(__xludf.DUMMYFUNCTION("INDEX(IMPORTRANGE(""1y0FWgjbB0gVlqn-q5LMJbGIsqOrzru4yowQz67dz2yc"", ""'STC'!BH3:BH139""),MATCH($D15,IMPORTRANGE(""1y0FWgjbB0gVlqn-q5LMJbGIsqOrzru4yowQz67dz2yc"", ""'STC'!D3:D139""),0))"),216)</f>
        <v>216</v>
      </c>
      <c r="AA15" s="2">
        <f ca="1">IFERROR(__xludf.DUMMYFUNCTION("INDEX(IMPORTRANGE(""1y0FWgjbB0gVlqn-q5LMJbGIsqOrzru4yowQz67dz2yc"", ""'STC'!BI3:BI139""),MATCH($D15,IMPORTRANGE(""1y0FWgjbB0gVlqn-q5LMJbGIsqOrzru4yowQz67dz2yc"", ""'STC'!D3:D139""),0))"),452)</f>
        <v>452</v>
      </c>
      <c r="AB15" s="1"/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30">
        <v>97</v>
      </c>
      <c r="Q16" s="2">
        <v>226</v>
      </c>
      <c r="R16" s="2"/>
      <c r="S16" s="2"/>
      <c r="T16" s="2"/>
      <c r="U16" s="2"/>
      <c r="V16" s="2"/>
      <c r="W16" s="2"/>
      <c r="X16" s="2">
        <v>93</v>
      </c>
      <c r="Y16" s="2">
        <f ca="1">IFERROR(__xludf.DUMMYFUNCTION("INDEX(IMPORTRANGE(""1y0FWgjbB0gVlqn-q5LMJbGIsqOrzru4yowQz67dz2yc"", ""'STC'!BG3:BG139""),MATCH($D16,IMPORTRANGE(""1y0FWgjbB0gVlqn-q5LMJbGIsqOrzru4yowQz67dz2yc"", ""'STC'!D3:D139""),0))"),194)</f>
        <v>194</v>
      </c>
      <c r="Z16" s="2">
        <f ca="1">IFERROR(__xludf.DUMMYFUNCTION("INDEX(IMPORTRANGE(""1y0FWgjbB0gVlqn-q5LMJbGIsqOrzru4yowQz67dz2yc"", ""'STC'!BH3:BH139""),MATCH($D16,IMPORTRANGE(""1y0FWgjbB0gVlqn-q5LMJbGIsqOrzru4yowQz67dz2yc"", ""'STC'!D3:D139""),0))"),61)</f>
        <v>61</v>
      </c>
      <c r="AA16" s="2">
        <f ca="1">IFERROR(__xludf.DUMMYFUNCTION("INDEX(IMPORTRANGE(""1y0FWgjbB0gVlqn-q5LMJbGIsqOrzru4yowQz67dz2yc"", ""'STC'!BI3:BI139""),MATCH($D16,IMPORTRANGE(""1y0FWgjbB0gVlqn-q5LMJbGIsqOrzru4yowQz67dz2yc"", ""'STC'!D3:D139""),0))"),156)</f>
        <v>156</v>
      </c>
      <c r="AB16" s="1"/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30">
        <v>101</v>
      </c>
      <c r="Q17" s="2">
        <v>176</v>
      </c>
      <c r="R17" s="2"/>
      <c r="S17" s="2"/>
      <c r="T17" s="2"/>
      <c r="U17" s="2"/>
      <c r="V17" s="2"/>
      <c r="W17" s="2"/>
      <c r="X17" s="2">
        <v>56</v>
      </c>
      <c r="Y17" s="2">
        <f ca="1">IFERROR(__xludf.DUMMYFUNCTION("INDEX(IMPORTRANGE(""1y0FWgjbB0gVlqn-q5LMJbGIsqOrzru4yowQz67dz2yc"", ""'STC'!BG3:BG139""),MATCH($D17,IMPORTRANGE(""1y0FWgjbB0gVlqn-q5LMJbGIsqOrzru4yowQz67dz2yc"", ""'STC'!D3:D139""),0))"),136)</f>
        <v>136</v>
      </c>
      <c r="Z17" s="2">
        <f ca="1">IFERROR(__xludf.DUMMYFUNCTION("INDEX(IMPORTRANGE(""1y0FWgjbB0gVlqn-q5LMJbGIsqOrzru4yowQz67dz2yc"", ""'STC'!BH3:BH139""),MATCH($D17,IMPORTRANGE(""1y0FWgjbB0gVlqn-q5LMJbGIsqOrzru4yowQz67dz2yc"", ""'STC'!D3:D139""),0))"),68)</f>
        <v>68</v>
      </c>
      <c r="AA17" s="2">
        <f ca="1">IFERROR(__xludf.DUMMYFUNCTION("INDEX(IMPORTRANGE(""1y0FWgjbB0gVlqn-q5LMJbGIsqOrzru4yowQz67dz2yc"", ""'STC'!BI3:BI139""),MATCH($D17,IMPORTRANGE(""1y0FWgjbB0gVlqn-q5LMJbGIsqOrzru4yowQz67dz2yc"", ""'STC'!D3:D139""),0))"),130)</f>
        <v>130</v>
      </c>
      <c r="AB17" s="1"/>
      <c r="AC17" s="1"/>
    </row>
    <row r="18" spans="1:29">
      <c r="A18" s="7" t="s">
        <v>52</v>
      </c>
      <c r="B18" s="7" t="s">
        <v>68</v>
      </c>
      <c r="C18" s="1" t="s">
        <v>30</v>
      </c>
      <c r="D18" s="7" t="s">
        <v>342</v>
      </c>
      <c r="E18" s="7" t="str">
        <f>E17</f>
        <v>Secretaría de Seguridad Pública del Estado, CONAPO</v>
      </c>
      <c r="F18" s="515"/>
      <c r="G18" s="2" t="s">
        <v>343</v>
      </c>
      <c r="H18" s="2" t="s">
        <v>344</v>
      </c>
      <c r="I18" s="9" t="s">
        <v>345</v>
      </c>
      <c r="J18" s="9" t="s">
        <v>336</v>
      </c>
      <c r="K18" s="9" t="s">
        <v>346</v>
      </c>
      <c r="L18" s="9" t="s">
        <v>347</v>
      </c>
      <c r="M18" s="9" t="s">
        <v>348</v>
      </c>
      <c r="N18" s="9" t="s">
        <v>349</v>
      </c>
      <c r="O18" s="9" t="s">
        <v>349</v>
      </c>
      <c r="P18" s="12">
        <f t="shared" ref="P18:Q18" si="5">SUM(P14:P17)</f>
        <v>484</v>
      </c>
      <c r="Q18" s="12">
        <f t="shared" si="5"/>
        <v>1024</v>
      </c>
      <c r="R18" s="477"/>
      <c r="S18" s="477"/>
      <c r="T18" s="477"/>
      <c r="U18" s="477"/>
      <c r="V18" s="477"/>
      <c r="W18" s="477"/>
      <c r="X18" s="12">
        <f t="shared" ref="X18:AA18" si="6">SUM(X14:X17)</f>
        <v>478</v>
      </c>
      <c r="Y18" s="12">
        <f t="shared" ca="1" si="6"/>
        <v>1020</v>
      </c>
      <c r="Z18" s="12">
        <f t="shared" ca="1" si="6"/>
        <v>427</v>
      </c>
      <c r="AA18" s="12">
        <f t="shared" ca="1" si="6"/>
        <v>886</v>
      </c>
      <c r="AB18" s="299"/>
      <c r="AC18" s="299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7">(SUM(P14:P17)/P2)*100000</f>
        <v>148.70893605515749</v>
      </c>
      <c r="Q19" s="23">
        <f t="shared" si="7"/>
        <v>314.62386471173818</v>
      </c>
      <c r="R19" s="2">
        <v>257.10000000000002</v>
      </c>
      <c r="S19" s="2">
        <v>94.3</v>
      </c>
      <c r="T19" s="2">
        <v>199.5</v>
      </c>
      <c r="U19" s="2">
        <v>67.099999999999994</v>
      </c>
      <c r="V19" s="2">
        <v>142</v>
      </c>
      <c r="W19" s="2">
        <v>142</v>
      </c>
      <c r="X19" s="23">
        <f>(SUM(X14:X17)/X2)*100000</f>
        <v>145.35635112985673</v>
      </c>
      <c r="Y19" s="23">
        <f ca="1">IFERROR(__xludf.DUMMYFUNCTION("INDEX(IMPORTRANGE(""1y0FWgjbB0gVlqn-q5LMJbGIsqOrzru4yowQz67dz2yc"", ""'STC'!BG3:BG139""),MATCH($D19,IMPORTRANGE(""1y0FWgjbB0gVlqn-q5LMJbGIsqOrzru4yowQz67dz2yc"", ""'STC'!D3:D139""),0))"),310.174640486305)</f>
        <v>310.17464048630501</v>
      </c>
      <c r="Z19" s="23">
        <f ca="1">IFERROR(__xludf.DUMMYFUNCTION("INDEX(IMPORTRANGE(""1y0FWgjbB0gVlqn-q5LMJbGIsqOrzru4yowQz67dz2yc"", ""'STC'!BH3:BH139""),MATCH($D19,IMPORTRANGE(""1y0FWgjbB0gVlqn-q5LMJbGIsqOrzru4yowQz67dz2yc"", ""'STC'!D3:D139""),0))"),128.531609143503)</f>
        <v>128.531609143503</v>
      </c>
      <c r="AA19" s="23">
        <f ca="1">IFERROR(__xludf.DUMMYFUNCTION("INDEX(IMPORTRANGE(""1y0FWgjbB0gVlqn-q5LMJbGIsqOrzru4yowQz67dz2yc"", ""'STC'!BI3:BI139""),MATCH($D19,IMPORTRANGE(""1y0FWgjbB0gVlqn-q5LMJbGIsqOrzru4yowQz67dz2yc"", ""'STC'!D3:D139""),0))"),266.695563702914)</f>
        <v>266.695563702914</v>
      </c>
      <c r="AB19" s="1"/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1241</v>
      </c>
      <c r="Q20" s="12">
        <v>2802</v>
      </c>
      <c r="R20" s="2"/>
      <c r="S20" s="2"/>
      <c r="T20" s="2"/>
      <c r="U20" s="2"/>
      <c r="V20" s="2"/>
      <c r="W20" s="2"/>
      <c r="X20" s="12">
        <v>1347</v>
      </c>
      <c r="Y20" s="12">
        <f ca="1">IFERROR(__xludf.DUMMYFUNCTION("INDEX(IMPORTRANGE(""1y0FWgjbB0gVlqn-q5LMJbGIsqOrzru4yowQz67dz2yc"", ""'STC'!BG3:BG139""),MATCH($D20,IMPORTRANGE(""1y0FWgjbB0gVlqn-q5LMJbGIsqOrzru4yowQz67dz2yc"", ""'STC'!D3:D139""),0))"),2976)</f>
        <v>2976</v>
      </c>
      <c r="Z20" s="12">
        <f ca="1">IFERROR(__xludf.DUMMYFUNCTION("INDEX(IMPORTRANGE(""1y0FWgjbB0gVlqn-q5LMJbGIsqOrzru4yowQz67dz2yc"", ""'STC'!BH3:BH139""),MATCH($D20,IMPORTRANGE(""1y0FWgjbB0gVlqn-q5LMJbGIsqOrzru4yowQz67dz2yc"", ""'STC'!D3:D139""),0))"),1300)</f>
        <v>1300</v>
      </c>
      <c r="AA20" s="12">
        <f ca="1">IFERROR(__xludf.DUMMYFUNCTION("INDEX(IMPORTRANGE(""1y0FWgjbB0gVlqn-q5LMJbGIsqOrzru4yowQz67dz2yc"", ""'STC'!BI3:BI139""),MATCH($D20,IMPORTRANGE(""1y0FWgjbB0gVlqn-q5LMJbGIsqOrzru4yowQz67dz2yc"", ""'STC'!D3:D139""),0))"),2898)</f>
        <v>2898</v>
      </c>
      <c r="AB20" s="1"/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8">(P20/P$2)*100000</f>
        <v>381.297086042253</v>
      </c>
      <c r="Q21" s="23">
        <f t="shared" si="8"/>
        <v>860.91412980692417</v>
      </c>
      <c r="R21" s="2">
        <v>760.6</v>
      </c>
      <c r="S21" s="2">
        <v>292.39999999999998</v>
      </c>
      <c r="T21" s="2">
        <v>660.3</v>
      </c>
      <c r="U21" s="2">
        <v>248</v>
      </c>
      <c r="V21" s="2">
        <v>560</v>
      </c>
      <c r="W21" s="2">
        <v>560</v>
      </c>
      <c r="X21" s="23">
        <f>(X20/X$2)*100000</f>
        <v>409.61298111279717</v>
      </c>
      <c r="Y21" s="23">
        <f ca="1">IFERROR(__xludf.DUMMYFUNCTION("INDEX(IMPORTRANGE(""1y0FWgjbB0gVlqn-q5LMJbGIsqOrzru4yowQz67dz2yc"", ""'STC'!BG3:BG139""),MATCH($D21,IMPORTRANGE(""1y0FWgjbB0gVlqn-q5LMJbGIsqOrzru4yowQz67dz2yc"", ""'STC'!D3:D139""),0))"),904.980127536514)</f>
        <v>904.98012753651403</v>
      </c>
      <c r="Z21" s="23">
        <f ca="1">IFERROR(__xludf.DUMMYFUNCTION("INDEX(IMPORTRANGE(""1y0FWgjbB0gVlqn-q5LMJbGIsqOrzru4yowQz67dz2yc"", ""'STC'!BH3:BH139""),MATCH($D21,IMPORTRANGE(""1y0FWgjbB0gVlqn-q5LMJbGIsqOrzru4yowQz67dz2yc"", ""'STC'!D3:D139""),0))"),391.314032521206)</f>
        <v>391.314032521206</v>
      </c>
      <c r="AA21" s="23">
        <f ca="1">IFERROR(__xludf.DUMMYFUNCTION("INDEX(IMPORTRANGE(""1y0FWgjbB0gVlqn-q5LMJbGIsqOrzru4yowQz67dz2yc"", ""'STC'!BI3:BI139""),MATCH($D21,IMPORTRANGE(""1y0FWgjbB0gVlqn-q5LMJbGIsqOrzru4yowQz67dz2yc"", ""'STC'!D3:D139""),0))"),872.329281728042)</f>
        <v>872.32928172804202</v>
      </c>
      <c r="AB21" s="1"/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215</v>
      </c>
      <c r="Q22" s="12">
        <v>470</v>
      </c>
      <c r="R22" s="2"/>
      <c r="S22" s="2"/>
      <c r="T22" s="2"/>
      <c r="U22" s="2"/>
      <c r="V22" s="2"/>
      <c r="W22" s="2"/>
      <c r="X22" s="12">
        <v>188</v>
      </c>
      <c r="Y22" s="12">
        <f ca="1">IFERROR(__xludf.DUMMYFUNCTION("INDEX(IMPORTRANGE(""1y0FWgjbB0gVlqn-q5LMJbGIsqOrzru4yowQz67dz2yc"", ""'STC'!BG3:BG139""),MATCH($D22,IMPORTRANGE(""1y0FWgjbB0gVlqn-q5LMJbGIsqOrzru4yowQz67dz2yc"", ""'STC'!D3:D139""),0))"),483)</f>
        <v>483</v>
      </c>
      <c r="Z22" s="12">
        <f ca="1">IFERROR(__xludf.DUMMYFUNCTION("INDEX(IMPORTRANGE(""1y0FWgjbB0gVlqn-q5LMJbGIsqOrzru4yowQz67dz2yc"", ""'STC'!BH3:BH139""),MATCH($D22,IMPORTRANGE(""1y0FWgjbB0gVlqn-q5LMJbGIsqOrzru4yowQz67dz2yc"", ""'STC'!D3:D139""),0))"),218)</f>
        <v>218</v>
      </c>
      <c r="AA22" s="12">
        <f ca="1">IFERROR(__xludf.DUMMYFUNCTION("INDEX(IMPORTRANGE(""1y0FWgjbB0gVlqn-q5LMJbGIsqOrzru4yowQz67dz2yc"", ""'STC'!BI3:BI139""),MATCH($D22,IMPORTRANGE(""1y0FWgjbB0gVlqn-q5LMJbGIsqOrzru4yowQz67dz2yc"", ""'STC'!D3:D139""),0))"),432)</f>
        <v>432</v>
      </c>
      <c r="AB22" s="1"/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9">(P22/P$2)*100000</f>
        <v>66.058721594749713</v>
      </c>
      <c r="Q23" s="23">
        <f t="shared" si="9"/>
        <v>144.4074379048017</v>
      </c>
      <c r="R23" s="2">
        <v>118.6</v>
      </c>
      <c r="S23" s="2">
        <v>42.5</v>
      </c>
      <c r="T23" s="2">
        <v>92.8</v>
      </c>
      <c r="U23" s="2">
        <v>30.6</v>
      </c>
      <c r="V23" s="2">
        <v>67</v>
      </c>
      <c r="W23" s="2">
        <v>67</v>
      </c>
      <c r="X23" s="23">
        <f>(X22/X$2)*100000</f>
        <v>57.169443540613116</v>
      </c>
      <c r="Y23" s="23">
        <f ca="1">IFERROR(__xludf.DUMMYFUNCTION("INDEX(IMPORTRANGE(""1y0FWgjbB0gVlqn-q5LMJbGIsqOrzru4yowQz67dz2yc"", ""'STC'!BG3:BG139""),MATCH($D23,IMPORTRANGE(""1y0FWgjbB0gVlqn-q5LMJbGIsqOrzru4yowQz67dz2yc"", ""'STC'!D3:D139""),0))"),146.876815053809)</f>
        <v>146.876815053809</v>
      </c>
      <c r="Z23" s="23">
        <f ca="1">IFERROR(__xludf.DUMMYFUNCTION("INDEX(IMPORTRANGE(""1y0FWgjbB0gVlqn-q5LMJbGIsqOrzru4yowQz67dz2yc"", ""'STC'!BH3:BH139""),MATCH($D23,IMPORTRANGE(""1y0FWgjbB0gVlqn-q5LMJbGIsqOrzru4yowQz67dz2yc"", ""'STC'!D3:D139""),0))"),65.6203531458638)</f>
        <v>65.620353145863803</v>
      </c>
      <c r="AA23" s="23">
        <f ca="1">IFERROR(__xludf.DUMMYFUNCTION("INDEX(IMPORTRANGE(""1y0FWgjbB0gVlqn-q5LMJbGIsqOrzru4yowQz67dz2yc"", ""'STC'!BI3:BI139""),MATCH($D23,IMPORTRANGE(""1y0FWgjbB0gVlqn-q5LMJbGIsqOrzru4yowQz67dz2yc"", ""'STC'!D3:D139""),0))"),130.036663114739)</f>
        <v>130.03666311473901</v>
      </c>
      <c r="AB23" s="1"/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3</v>
      </c>
      <c r="Q24" s="12">
        <v>11</v>
      </c>
      <c r="R24" s="2"/>
      <c r="S24" s="2"/>
      <c r="T24" s="2"/>
      <c r="U24" s="2"/>
      <c r="V24" s="2"/>
      <c r="W24" s="2"/>
      <c r="X24" s="12">
        <v>11</v>
      </c>
      <c r="Y24" s="12">
        <f ca="1">IFERROR(__xludf.DUMMYFUNCTION("INDEX(IMPORTRANGE(""1y0FWgjbB0gVlqn-q5LMJbGIsqOrzru4yowQz67dz2yc"", ""'STC'!BG3:BG139""),MATCH($D24,IMPORTRANGE(""1y0FWgjbB0gVlqn-q5LMJbGIsqOrzru4yowQz67dz2yc"", ""'STC'!D3:D139""),0))"),22)</f>
        <v>22</v>
      </c>
      <c r="Z24" s="12">
        <f ca="1">IFERROR(__xludf.DUMMYFUNCTION("INDEX(IMPORTRANGE(""1y0FWgjbB0gVlqn-q5LMJbGIsqOrzru4yowQz67dz2yc"", ""'STC'!BH3:BH139""),MATCH($D24,IMPORTRANGE(""1y0FWgjbB0gVlqn-q5LMJbGIsqOrzru4yowQz67dz2yc"", ""'STC'!D3:D139""),0))"),10)</f>
        <v>10</v>
      </c>
      <c r="AA24" s="12">
        <f ca="1">IFERROR(__xludf.DUMMYFUNCTION("INDEX(IMPORTRANGE(""1y0FWgjbB0gVlqn-q5LMJbGIsqOrzru4yowQz67dz2yc"", ""'STC'!BI3:BI139""),MATCH($D24,IMPORTRANGE(""1y0FWgjbB0gVlqn-q5LMJbGIsqOrzru4yowQz67dz2yc"", ""'STC'!D3:D139""),0))"),27)</f>
        <v>27</v>
      </c>
      <c r="AB24" s="1"/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8</v>
      </c>
      <c r="Q25" s="12">
        <v>21</v>
      </c>
      <c r="R25" s="2"/>
      <c r="S25" s="2"/>
      <c r="T25" s="2"/>
      <c r="U25" s="2"/>
      <c r="V25" s="2"/>
      <c r="W25" s="2"/>
      <c r="X25" s="12">
        <v>9</v>
      </c>
      <c r="Y25" s="12">
        <f ca="1">IFERROR(__xludf.DUMMYFUNCTION("INDEX(IMPORTRANGE(""1y0FWgjbB0gVlqn-q5LMJbGIsqOrzru4yowQz67dz2yc"", ""'STC'!BG3:BG139""),MATCH($D25,IMPORTRANGE(""1y0FWgjbB0gVlqn-q5LMJbGIsqOrzru4yowQz67dz2yc"", ""'STC'!D3:D139""),0))"),34)</f>
        <v>34</v>
      </c>
      <c r="Z25" s="12">
        <f ca="1">IFERROR(__xludf.DUMMYFUNCTION("INDEX(IMPORTRANGE(""1y0FWgjbB0gVlqn-q5LMJbGIsqOrzru4yowQz67dz2yc"", ""'STC'!BH3:BH139""),MATCH($D25,IMPORTRANGE(""1y0FWgjbB0gVlqn-q5LMJbGIsqOrzru4yowQz67dz2yc"", ""'STC'!D3:D139""),0))"),20)</f>
        <v>20</v>
      </c>
      <c r="AA25" s="12">
        <f ca="1">IFERROR(__xludf.DUMMYFUNCTION("INDEX(IMPORTRANGE(""1y0FWgjbB0gVlqn-q5LMJbGIsqOrzru4yowQz67dz2yc"", ""'STC'!BI3:BI139""),MATCH($D25,IMPORTRANGE(""1y0FWgjbB0gVlqn-q5LMJbGIsqOrzru4yowQz67dz2yc"", ""'STC'!D3:D139""),0))"),43)</f>
        <v>43</v>
      </c>
      <c r="AB25" s="1"/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14</v>
      </c>
      <c r="Q26" s="12">
        <v>19</v>
      </c>
      <c r="R26" s="2"/>
      <c r="S26" s="2"/>
      <c r="T26" s="2"/>
      <c r="U26" s="2"/>
      <c r="V26" s="2"/>
      <c r="W26" s="2"/>
      <c r="X26" s="12">
        <v>10</v>
      </c>
      <c r="Y26" s="12">
        <f ca="1">IFERROR(__xludf.DUMMYFUNCTION("INDEX(IMPORTRANGE(""1y0FWgjbB0gVlqn-q5LMJbGIsqOrzru4yowQz67dz2yc"", ""'STC'!BG3:BG139""),MATCH($D26,IMPORTRANGE(""1y0FWgjbB0gVlqn-q5LMJbGIsqOrzru4yowQz67dz2yc"", ""'STC'!D3:D139""),0))"),18)</f>
        <v>18</v>
      </c>
      <c r="Z26" s="12">
        <f ca="1">IFERROR(__xludf.DUMMYFUNCTION("INDEX(IMPORTRANGE(""1y0FWgjbB0gVlqn-q5LMJbGIsqOrzru4yowQz67dz2yc"", ""'STC'!BH3:BH139""),MATCH($D26,IMPORTRANGE(""1y0FWgjbB0gVlqn-q5LMJbGIsqOrzru4yowQz67dz2yc"", ""'STC'!D3:D139""),0))"),14)</f>
        <v>14</v>
      </c>
      <c r="AA26" s="12">
        <f ca="1">IFERROR(__xludf.DUMMYFUNCTION("INDEX(IMPORTRANGE(""1y0FWgjbB0gVlqn-q5LMJbGIsqOrzru4yowQz67dz2yc"", ""'STC'!BI3:BI139""),MATCH($D26,IMPORTRANGE(""1y0FWgjbB0gVlqn-q5LMJbGIsqOrzru4yowQz67dz2yc"", ""'STC'!D3:D139""),0))"),29)</f>
        <v>29</v>
      </c>
      <c r="AB26" s="1"/>
      <c r="AC26" s="1"/>
    </row>
    <row r="27" spans="1:29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2"/>
      <c r="S27" s="2"/>
      <c r="T27" s="2"/>
      <c r="U27" s="2"/>
      <c r="V27" s="2"/>
      <c r="W27" s="2"/>
      <c r="X27" s="12">
        <v>1</v>
      </c>
      <c r="Y27" s="12">
        <f ca="1">IFERROR(__xludf.DUMMYFUNCTION("INDEX(IMPORTRANGE(""1y0FWgjbB0gVlqn-q5LMJbGIsqOrzru4yowQz67dz2yc"", ""'STC'!BG3:BG139""),MATCH($D27,IMPORTRANGE(""1y0FWgjbB0gVlqn-q5LMJbGIsqOrzru4yowQz67dz2yc"", ""'STC'!D3:D139""),0))"),2)</f>
        <v>2</v>
      </c>
      <c r="Z27" s="12">
        <f ca="1">IFERROR(__xludf.DUMMYFUNCTION("INDEX(IMPORTRANGE(""1y0FWgjbB0gVlqn-q5LMJbGIsqOrzru4yowQz67dz2yc"", ""'STC'!BH3:BH139""),MATCH($D27,IMPORTRANGE(""1y0FWgjbB0gVlqn-q5LMJbGIsqOrzru4yowQz67dz2yc"", ""'STC'!D3:D139""),0))"),0)</f>
        <v>0</v>
      </c>
      <c r="AA27" s="12">
        <f ca="1">IFERROR(__xludf.DUMMYFUNCTION("INDEX(IMPORTRANGE(""1y0FWgjbB0gVlqn-q5LMJbGIsqOrzru4yowQz67dz2yc"", ""'STC'!BI3:BI139""),MATCH($D27,IMPORTRANGE(""1y0FWgjbB0gVlqn-q5LMJbGIsqOrzru4yowQz67dz2yc"", ""'STC'!D3:D139""),0))"),0)</f>
        <v>0</v>
      </c>
      <c r="AB27" s="1"/>
      <c r="AC27" s="1"/>
    </row>
    <row r="28" spans="1:29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1</v>
      </c>
      <c r="R28" s="2"/>
      <c r="S28" s="2"/>
      <c r="T28" s="2"/>
      <c r="U28" s="2"/>
      <c r="V28" s="2"/>
      <c r="W28" s="2"/>
      <c r="X28" s="12">
        <v>0</v>
      </c>
      <c r="Y28" s="12">
        <f ca="1">IFERROR(__xludf.DUMMYFUNCTION("INDEX(IMPORTRANGE(""1y0FWgjbB0gVlqn-q5LMJbGIsqOrzru4yowQz67dz2yc"", ""'STC'!BG3:BG139""),MATCH($D28,IMPORTRANGE(""1y0FWgjbB0gVlqn-q5LMJbGIsqOrzru4yowQz67dz2yc"", ""'STC'!D3:D139""),0))"),0)</f>
        <v>0</v>
      </c>
      <c r="Z28" s="12">
        <f ca="1">IFERROR(__xludf.DUMMYFUNCTION("INDEX(IMPORTRANGE(""1y0FWgjbB0gVlqn-q5LMJbGIsqOrzru4yowQz67dz2yc"", ""'STC'!BH3:BH139""),MATCH($D28,IMPORTRANGE(""1y0FWgjbB0gVlqn-q5LMJbGIsqOrzru4yowQz67dz2yc"", ""'STC'!D3:D139""),0))"),0)</f>
        <v>0</v>
      </c>
      <c r="AA28" s="12">
        <f ca="1">IFERROR(__xludf.DUMMYFUNCTION("INDEX(IMPORTRANGE(""1y0FWgjbB0gVlqn-q5LMJbGIsqOrzru4yowQz67dz2yc"", ""'STC'!BI3:BI139""),MATCH($D28,IMPORTRANGE(""1y0FWgjbB0gVlqn-q5LMJbGIsqOrzru4yowQz67dz2yc"", ""'STC'!D3:D139""),0))"),3)</f>
        <v>3</v>
      </c>
      <c r="AB28" s="1"/>
      <c r="AC28" s="1"/>
    </row>
    <row r="29" spans="1:29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2"/>
      <c r="S29" s="2"/>
      <c r="T29" s="2"/>
      <c r="U29" s="2"/>
      <c r="V29" s="2"/>
      <c r="W29" s="2"/>
      <c r="X29" s="12">
        <v>0</v>
      </c>
      <c r="Y29" s="12">
        <f ca="1">IFERROR(__xludf.DUMMYFUNCTION("INDEX(IMPORTRANGE(""1y0FWgjbB0gVlqn-q5LMJbGIsqOrzru4yowQz67dz2yc"", ""'STC'!BG3:BG139""),MATCH($D29,IMPORTRANGE(""1y0FWgjbB0gVlqn-q5LMJbGIsqOrzru4yowQz67dz2yc"", ""'STC'!D3:D139""),0))"),0)</f>
        <v>0</v>
      </c>
      <c r="Z29" s="12">
        <f ca="1">IFERROR(__xludf.DUMMYFUNCTION("INDEX(IMPORTRANGE(""1y0FWgjbB0gVlqn-q5LMJbGIsqOrzru4yowQz67dz2yc"", ""'STC'!BH3:BH139""),MATCH($D29,IMPORTRANGE(""1y0FWgjbB0gVlqn-q5LMJbGIsqOrzru4yowQz67dz2yc"", ""'STC'!D3:D139""),0))"),0)</f>
        <v>0</v>
      </c>
      <c r="AA29" s="12">
        <f ca="1">IFERROR(__xludf.DUMMYFUNCTION("INDEX(IMPORTRANGE(""1y0FWgjbB0gVlqn-q5LMJbGIsqOrzru4yowQz67dz2yc"", ""'STC'!BI3:BI139""),MATCH($D29,IMPORTRANGE(""1y0FWgjbB0gVlqn-q5LMJbGIsqOrzru4yowQz67dz2yc"", ""'STC'!D3:D139""),0))"),0)</f>
        <v>0</v>
      </c>
      <c r="AB29" s="1"/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2</v>
      </c>
      <c r="Q30" s="12">
        <v>6</v>
      </c>
      <c r="R30" s="2"/>
      <c r="S30" s="2"/>
      <c r="T30" s="2"/>
      <c r="U30" s="2"/>
      <c r="V30" s="2"/>
      <c r="W30" s="2"/>
      <c r="X30" s="12">
        <v>0</v>
      </c>
      <c r="Y30" s="12">
        <f ca="1">IFERROR(__xludf.DUMMYFUNCTION("INDEX(IMPORTRANGE(""1y0FWgjbB0gVlqn-q5LMJbGIsqOrzru4yowQz67dz2yc"", ""'STC'!BG3:BG139""),MATCH($D30,IMPORTRANGE(""1y0FWgjbB0gVlqn-q5LMJbGIsqOrzru4yowQz67dz2yc"", ""'STC'!D3:D139""),0))"),3)</f>
        <v>3</v>
      </c>
      <c r="Z30" s="12">
        <f ca="1">IFERROR(__xludf.DUMMYFUNCTION("INDEX(IMPORTRANGE(""1y0FWgjbB0gVlqn-q5LMJbGIsqOrzru4yowQz67dz2yc"", ""'STC'!BH3:BH139""),MATCH($D30,IMPORTRANGE(""1y0FWgjbB0gVlqn-q5LMJbGIsqOrzru4yowQz67dz2yc"", ""'STC'!D3:D139""),0))"),4)</f>
        <v>4</v>
      </c>
      <c r="AA30" s="12">
        <f ca="1">IFERROR(__xludf.DUMMYFUNCTION("INDEX(IMPORTRANGE(""1y0FWgjbB0gVlqn-q5LMJbGIsqOrzru4yowQz67dz2yc"", ""'STC'!BI3:BI139""),MATCH($D30,IMPORTRANGE(""1y0FWgjbB0gVlqn-q5LMJbGIsqOrzru4yowQz67dz2yc"", ""'STC'!D3:D139""),0))"),13)</f>
        <v>13</v>
      </c>
      <c r="AB30" s="1"/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2"/>
      <c r="S31" s="2"/>
      <c r="T31" s="2"/>
      <c r="U31" s="2"/>
      <c r="V31" s="2"/>
      <c r="W31" s="2"/>
      <c r="X31" s="12">
        <v>1</v>
      </c>
      <c r="Y31" s="12">
        <f ca="1">IFERROR(__xludf.DUMMYFUNCTION("INDEX(IMPORTRANGE(""1y0FWgjbB0gVlqn-q5LMJbGIsqOrzru4yowQz67dz2yc"", ""'STC'!BG3:BG139""),MATCH($D31,IMPORTRANGE(""1y0FWgjbB0gVlqn-q5LMJbGIsqOrzru4yowQz67dz2yc"", ""'STC'!D3:D139""),0))"),2)</f>
        <v>2</v>
      </c>
      <c r="Z31" s="12">
        <f ca="1">IFERROR(__xludf.DUMMYFUNCTION("INDEX(IMPORTRANGE(""1y0FWgjbB0gVlqn-q5LMJbGIsqOrzru4yowQz67dz2yc"", ""'STC'!BH3:BH139""),MATCH($D31,IMPORTRANGE(""1y0FWgjbB0gVlqn-q5LMJbGIsqOrzru4yowQz67dz2yc"", ""'STC'!D3:D139""),0))"),0)</f>
        <v>0</v>
      </c>
      <c r="AA31" s="12">
        <f ca="1">IFERROR(__xludf.DUMMYFUNCTION("INDEX(IMPORTRANGE(""1y0FWgjbB0gVlqn-q5LMJbGIsqOrzru4yowQz67dz2yc"", ""'STC'!BI3:BI139""),MATCH($D31,IMPORTRANGE(""1y0FWgjbB0gVlqn-q5LMJbGIsqOrzru4yowQz67dz2yc"", ""'STC'!D3:D139""),0))"),0)</f>
        <v>0</v>
      </c>
      <c r="AB31" s="1"/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2"/>
      <c r="S32" s="2"/>
      <c r="T32" s="2"/>
      <c r="U32" s="2"/>
      <c r="V32" s="2"/>
      <c r="W32" s="2"/>
      <c r="X32" s="12">
        <v>0</v>
      </c>
      <c r="Y32" s="12">
        <f ca="1">IFERROR(__xludf.DUMMYFUNCTION("INDEX(IMPORTRANGE(""1y0FWgjbB0gVlqn-q5LMJbGIsqOrzru4yowQz67dz2yc"", ""'STC'!BG3:BG139""),MATCH($D32,IMPORTRANGE(""1y0FWgjbB0gVlqn-q5LMJbGIsqOrzru4yowQz67dz2yc"", ""'STC'!D3:D139""),0))"),0)</f>
        <v>0</v>
      </c>
      <c r="Z32" s="12">
        <f ca="1">IFERROR(__xludf.DUMMYFUNCTION("INDEX(IMPORTRANGE(""1y0FWgjbB0gVlqn-q5LMJbGIsqOrzru4yowQz67dz2yc"", ""'STC'!BH3:BH139""),MATCH($D32,IMPORTRANGE(""1y0FWgjbB0gVlqn-q5LMJbGIsqOrzru4yowQz67dz2yc"", ""'STC'!D3:D139""),0))"),0)</f>
        <v>0</v>
      </c>
      <c r="AA32" s="12">
        <f ca="1">IFERROR(__xludf.DUMMYFUNCTION("INDEX(IMPORTRANGE(""1y0FWgjbB0gVlqn-q5LMJbGIsqOrzru4yowQz67dz2yc"", ""'STC'!BI3:BI139""),MATCH($D32,IMPORTRANGE(""1y0FWgjbB0gVlqn-q5LMJbGIsqOrzru4yowQz67dz2yc"", ""'STC'!D3:D139""),0))"),0)</f>
        <v>0</v>
      </c>
      <c r="AB32" s="1"/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2"/>
      <c r="S33" s="2"/>
      <c r="T33" s="2"/>
      <c r="U33" s="2"/>
      <c r="V33" s="2"/>
      <c r="W33" s="2"/>
      <c r="X33" s="12">
        <v>4</v>
      </c>
      <c r="Y33" s="12">
        <f ca="1">IFERROR(__xludf.DUMMYFUNCTION("INDEX(IMPORTRANGE(""1y0FWgjbB0gVlqn-q5LMJbGIsqOrzru4yowQz67dz2yc"", ""'STC'!BG3:BG139""),MATCH($D33,IMPORTRANGE(""1y0FWgjbB0gVlqn-q5LMJbGIsqOrzru4yowQz67dz2yc"", ""'STC'!D3:D139""),0))"),6)</f>
        <v>6</v>
      </c>
      <c r="Z33" s="12">
        <f ca="1">IFERROR(__xludf.DUMMYFUNCTION("INDEX(IMPORTRANGE(""1y0FWgjbB0gVlqn-q5LMJbGIsqOrzru4yowQz67dz2yc"", ""'STC'!BH3:BH139""),MATCH($D33,IMPORTRANGE(""1y0FWgjbB0gVlqn-q5LMJbGIsqOrzru4yowQz67dz2yc"", ""'STC'!D3:D139""),0))"),4)</f>
        <v>4</v>
      </c>
      <c r="AA33" s="12">
        <f ca="1">IFERROR(__xludf.DUMMYFUNCTION("INDEX(IMPORTRANGE(""1y0FWgjbB0gVlqn-q5LMJbGIsqOrzru4yowQz67dz2yc"", ""'STC'!BI3:BI139""),MATCH($D33,IMPORTRANGE(""1y0FWgjbB0gVlqn-q5LMJbGIsqOrzru4yowQz67dz2yc"", ""'STC'!D3:D139""),0))"),6)</f>
        <v>6</v>
      </c>
      <c r="AB33" s="1"/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2"/>
      <c r="S34" s="2"/>
      <c r="T34" s="2"/>
      <c r="U34" s="2"/>
      <c r="V34" s="2"/>
      <c r="W34" s="2"/>
      <c r="X34" s="12">
        <v>1</v>
      </c>
      <c r="Y34" s="12">
        <f ca="1">IFERROR(__xludf.DUMMYFUNCTION("INDEX(IMPORTRANGE(""1y0FWgjbB0gVlqn-q5LMJbGIsqOrzru4yowQz67dz2yc"", ""'STC'!BG3:BG139""),MATCH($D34,IMPORTRANGE(""1y0FWgjbB0gVlqn-q5LMJbGIsqOrzru4yowQz67dz2yc"", ""'STC'!D3:D139""),0))"),4)</f>
        <v>4</v>
      </c>
      <c r="Z34" s="12">
        <f ca="1">IFERROR(__xludf.DUMMYFUNCTION("INDEX(IMPORTRANGE(""1y0FWgjbB0gVlqn-q5LMJbGIsqOrzru4yowQz67dz2yc"", ""'STC'!BH3:BH139""),MATCH($D34,IMPORTRANGE(""1y0FWgjbB0gVlqn-q5LMJbGIsqOrzru4yowQz67dz2yc"", ""'STC'!D3:D139""),0))"),3)</f>
        <v>3</v>
      </c>
      <c r="AA34" s="12">
        <f ca="1">IFERROR(__xludf.DUMMYFUNCTION("INDEX(IMPORTRANGE(""1y0FWgjbB0gVlqn-q5LMJbGIsqOrzru4yowQz67dz2yc"", ""'STC'!BI3:BI139""),MATCH($D34,IMPORTRANGE(""1y0FWgjbB0gVlqn-q5LMJbGIsqOrzru4yowQz67dz2yc"", ""'STC'!D3:D139""),0))"),4)</f>
        <v>4</v>
      </c>
      <c r="AB34" s="1"/>
      <c r="AC34" s="1"/>
    </row>
    <row r="35" spans="1:29">
      <c r="A35" s="7" t="s">
        <v>52</v>
      </c>
      <c r="B35" s="7" t="s">
        <v>86</v>
      </c>
      <c r="C35" s="1" t="s">
        <v>30</v>
      </c>
      <c r="D35" s="7" t="s">
        <v>350</v>
      </c>
      <c r="E35" s="7" t="s">
        <v>76</v>
      </c>
      <c r="F35" s="250"/>
      <c r="G35" s="2" t="s">
        <v>343</v>
      </c>
      <c r="H35" s="2" t="s">
        <v>344</v>
      </c>
      <c r="I35" s="9" t="s">
        <v>345</v>
      </c>
      <c r="J35" s="9" t="s">
        <v>336</v>
      </c>
      <c r="K35" s="9" t="s">
        <v>346</v>
      </c>
      <c r="L35" s="9" t="s">
        <v>347</v>
      </c>
      <c r="M35" s="9" t="s">
        <v>348</v>
      </c>
      <c r="N35" s="9" t="s">
        <v>349</v>
      </c>
      <c r="O35" s="9" t="s">
        <v>349</v>
      </c>
      <c r="P35" s="12">
        <f t="shared" ref="P35:Q35" si="10">SUM(P24:P34)</f>
        <v>28</v>
      </c>
      <c r="Q35" s="12">
        <f t="shared" si="10"/>
        <v>59</v>
      </c>
      <c r="R35" s="477"/>
      <c r="S35" s="477"/>
      <c r="T35" s="477"/>
      <c r="U35" s="477"/>
      <c r="V35" s="477"/>
      <c r="W35" s="477"/>
      <c r="X35" s="12">
        <f t="shared" ref="X35:AA35" si="11">SUM(X24:X34)</f>
        <v>37</v>
      </c>
      <c r="Y35" s="12">
        <f t="shared" ca="1" si="11"/>
        <v>91</v>
      </c>
      <c r="Z35" s="12">
        <f t="shared" ca="1" si="11"/>
        <v>55</v>
      </c>
      <c r="AA35" s="12">
        <f t="shared" ca="1" si="11"/>
        <v>125</v>
      </c>
      <c r="AB35" s="516"/>
      <c r="AC35" s="51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2">(SUM(P24:P34)/P$2)*100000</f>
        <v>8.6029963007115899</v>
      </c>
      <c r="Q36" s="23">
        <f t="shared" si="12"/>
        <v>18.127742205070852</v>
      </c>
      <c r="R36" s="2">
        <v>16.100000000000001</v>
      </c>
      <c r="S36" s="2">
        <v>6.7</v>
      </c>
      <c r="T36" s="2">
        <v>14</v>
      </c>
      <c r="U36" s="2">
        <v>5.7</v>
      </c>
      <c r="V36" s="2">
        <v>12</v>
      </c>
      <c r="W36" s="2">
        <v>12</v>
      </c>
      <c r="X36" s="23">
        <f>(SUM(X24:X34)/X$2)*100000</f>
        <v>11.251433037248326</v>
      </c>
      <c r="Y36" s="23">
        <f ca="1">IFERROR(__xludf.DUMMYFUNCTION("INDEX(IMPORTRANGE(""1y0FWgjbB0gVlqn-q5LMJbGIsqOrzru4yowQz67dz2yc"", ""'STC'!BG3:BG139""),MATCH($D36,IMPORTRANGE(""1y0FWgjbB0gVlqn-q5LMJbGIsqOrzru4yowQz67dz2yc"", ""'STC'!D3:D139""),0))"),27.672443415935)</f>
        <v>27.672443415935</v>
      </c>
      <c r="Z36" s="23">
        <f ca="1">IFERROR(__xludf.DUMMYFUNCTION("INDEX(IMPORTRANGE(""1y0FWgjbB0gVlqn-q5LMJbGIsqOrzru4yowQz67dz2yc"", ""'STC'!BH3:BH139""),MATCH($D36,IMPORTRANGE(""1y0FWgjbB0gVlqn-q5LMJbGIsqOrzru4yowQz67dz2yc"", ""'STC'!D3:D139""),0))"),16.5555936835894)</f>
        <v>16.5555936835894</v>
      </c>
      <c r="AA36" s="23">
        <f ca="1">IFERROR(__xludf.DUMMYFUNCTION("INDEX(IMPORTRANGE(""1y0FWgjbB0gVlqn-q5LMJbGIsqOrzru4yowQz67dz2yc"", ""'STC'!BI3:BI139""),MATCH($D36,IMPORTRANGE(""1y0FWgjbB0gVlqn-q5LMJbGIsqOrzru4yowQz67dz2yc"", ""'STC'!D3:D139""),0))"),37.6263492808852)</f>
        <v>37.626349280885201</v>
      </c>
      <c r="AB36" s="1"/>
      <c r="AC36" s="1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1">
        <v>44469</v>
      </c>
      <c r="H37" s="11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87144</v>
      </c>
      <c r="Q37" s="12">
        <v>87144</v>
      </c>
      <c r="R37" s="2"/>
      <c r="S37" s="2"/>
      <c r="T37" s="2"/>
      <c r="U37" s="2"/>
      <c r="V37" s="2"/>
      <c r="W37" s="2"/>
      <c r="X37" s="12">
        <v>87144</v>
      </c>
      <c r="Y37" s="17">
        <f ca="1">IFERROR(__xludf.DUMMYFUNCTION("INDEX(IMPORTRANGE(""1y0FWgjbB0gVlqn-q5LMJbGIsqOrzru4yowQz67dz2yc"", ""'STC'!BG3:BG139""),MATCH($D37,IMPORTRANGE(""1y0FWgjbB0gVlqn-q5LMJbGIsqOrzru4yowQz67dz2yc"", ""'STC'!D3:D139""),0))"),87144)</f>
        <v>87144</v>
      </c>
      <c r="Z37" s="12">
        <f ca="1">IFERROR(__xludf.DUMMYFUNCTION("INDEX(IMPORTRANGE(""1y0FWgjbB0gVlqn-q5LMJbGIsqOrzru4yowQz67dz2yc"", ""'STC'!BH3:BH139""),MATCH($D37,IMPORTRANGE(""1y0FWgjbB0gVlqn-q5LMJbGIsqOrzru4yowQz67dz2yc"", ""'STC'!D3:D139""),0))"),87144)</f>
        <v>87144</v>
      </c>
      <c r="AA37" s="12">
        <f ca="1">IFERROR(__xludf.DUMMYFUNCTION("INDEX(IMPORTRANGE(""1y0FWgjbB0gVlqn-q5LMJbGIsqOrzru4yowQz67dz2yc"", ""'STC'!BI3:BI139""),MATCH($D37,IMPORTRANGE(""1y0FWgjbB0gVlqn-q5LMJbGIsqOrzru4yowQz67dz2yc"", ""'STC'!D3:D139""),0))"),87144)</f>
        <v>87144</v>
      </c>
      <c r="AB37" s="1"/>
      <c r="AC37" s="1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1">
        <v>44469</v>
      </c>
      <c r="H38" s="11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0</v>
      </c>
      <c r="Q38" s="12">
        <v>0</v>
      </c>
      <c r="R38" s="2"/>
      <c r="S38" s="2"/>
      <c r="T38" s="2"/>
      <c r="U38" s="2"/>
      <c r="V38" s="2"/>
      <c r="W38" s="2"/>
      <c r="X38" s="2">
        <v>0</v>
      </c>
      <c r="Y38" s="12">
        <f ca="1">IFERROR(__xludf.DUMMYFUNCTION("INDEX(IMPORTRANGE(""1y0FWgjbB0gVlqn-q5LMJbGIsqOrzru4yowQz67dz2yc"", ""'STC'!BG3:BG139""),MATCH($D38,IMPORTRANGE(""1y0FWgjbB0gVlqn-q5LMJbGIsqOrzru4yowQz67dz2yc"", ""'STC'!D3:D139""),0))"),0)</f>
        <v>0</v>
      </c>
      <c r="Z38" s="12">
        <f ca="1">IFERROR(__xludf.DUMMYFUNCTION("INDEX(IMPORTRANGE(""1y0FWgjbB0gVlqn-q5LMJbGIsqOrzru4yowQz67dz2yc"", ""'STC'!BH3:BH139""),MATCH($D38,IMPORTRANGE(""1y0FWgjbB0gVlqn-q5LMJbGIsqOrzru4yowQz67dz2yc"", ""'STC'!D3:D139""),0))"),0)</f>
        <v>0</v>
      </c>
      <c r="AA38" s="12">
        <f ca="1">IFERROR(__xludf.DUMMYFUNCTION("INDEX(IMPORTRANGE(""1y0FWgjbB0gVlqn-q5LMJbGIsqOrzru4yowQz67dz2yc"", ""'STC'!BI3:BI139""),MATCH($D38,IMPORTRANGE(""1y0FWgjbB0gVlqn-q5LMJbGIsqOrzru4yowQz67dz2yc"", ""'STC'!D3:D139""),0))"),0)</f>
        <v>0</v>
      </c>
      <c r="AB38" s="1"/>
      <c r="AC38" s="1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1">
        <v>44469</v>
      </c>
      <c r="H39" s="11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2">
        <f t="shared" ref="P39:Q39" si="13">P38/P37</f>
        <v>0</v>
      </c>
      <c r="Q39" s="12">
        <f t="shared" si="13"/>
        <v>0</v>
      </c>
      <c r="R39" s="26">
        <v>2E-3</v>
      </c>
      <c r="S39" s="26">
        <v>4.0000000000000001E-3</v>
      </c>
      <c r="T39" s="26">
        <v>6.0000000000000001E-3</v>
      </c>
      <c r="U39" s="26">
        <v>8.0000000000000002E-3</v>
      </c>
      <c r="V39" s="26">
        <v>0.01</v>
      </c>
      <c r="W39" s="14">
        <v>0.01</v>
      </c>
      <c r="X39" s="435">
        <f>X38/X37</f>
        <v>0</v>
      </c>
      <c r="Y39" s="435">
        <f ca="1">IFERROR(__xludf.DUMMYFUNCTION("INDEX(IMPORTRANGE(""1y0FWgjbB0gVlqn-q5LMJbGIsqOrzru4yowQz67dz2yc"", ""'STC'!BG3:BG139""),MATCH($D39,IMPORTRANGE(""1y0FWgjbB0gVlqn-q5LMJbGIsqOrzru4yowQz67dz2yc"", ""'STC'!D3:D139""),0))"),0)</f>
        <v>0</v>
      </c>
      <c r="Z39" s="15">
        <f ca="1">IFERROR(__xludf.DUMMYFUNCTION("INDEX(IMPORTRANGE(""1y0FWgjbB0gVlqn-q5LMJbGIsqOrzru4yowQz67dz2yc"", ""'STC'!BH3:BH139""),MATCH($D39,IMPORTRANGE(""1y0FWgjbB0gVlqn-q5LMJbGIsqOrzru4yowQz67dz2yc"", ""'STC'!D3:D139""),0))"),0)</f>
        <v>0</v>
      </c>
      <c r="AA39" s="15">
        <f ca="1">IFERROR(__xludf.DUMMYFUNCTION("INDEX(IMPORTRANGE(""1y0FWgjbB0gVlqn-q5LMJbGIsqOrzru4yowQz67dz2yc"", ""'STC'!BI3:BI139""),MATCH($D39,IMPORTRANGE(""1y0FWgjbB0gVlqn-q5LMJbGIsqOrzru4yowQz67dz2yc"", ""'STC'!D3:D139""),0))"),0)</f>
        <v>0</v>
      </c>
      <c r="AB39" s="1"/>
      <c r="AC39" s="1"/>
    </row>
    <row r="40" spans="1:29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9" t="s">
        <v>58</v>
      </c>
      <c r="J40" s="9" t="s">
        <v>59</v>
      </c>
      <c r="K40" s="9" t="s">
        <v>60</v>
      </c>
      <c r="L40" s="9" t="s">
        <v>61</v>
      </c>
      <c r="M40" s="9" t="s">
        <v>62</v>
      </c>
      <c r="N40" s="9" t="s">
        <v>63</v>
      </c>
      <c r="O40" s="9" t="s">
        <v>63</v>
      </c>
      <c r="P40" s="12"/>
      <c r="Q40" s="12"/>
      <c r="R40" s="2"/>
      <c r="S40" s="2"/>
      <c r="T40" s="2"/>
      <c r="U40" s="2"/>
      <c r="V40" s="2"/>
      <c r="W40" s="2"/>
      <c r="X40" s="2"/>
      <c r="Y40" s="299" t="str">
        <f ca="1">IFERROR(__xludf.DUMMYFUNCTION("INDEX(IMPORTRANGE(""1y0FWgjbB0gVlqn-q5LMJbGIsqOrzru4yowQz67dz2yc"", ""'STC'!BG3:BG139""),MATCH($D40,IMPORTRANGE(""1y0FWgjbB0gVlqn-q5LMJbGIsqOrzru4yowQz67dz2yc"", ""'STC'!D3:D139""),0))"),"")</f>
        <v/>
      </c>
      <c r="Z40" s="12">
        <f ca="1">IFERROR(__xludf.DUMMYFUNCTION("INDEX(IMPORTRANGE(""1y0FWgjbB0gVlqn-q5LMJbGIsqOrzru4yowQz67dz2yc"", ""'STC'!BH3:BH139""),MATCH($D40,IMPORTRANGE(""1y0FWgjbB0gVlqn-q5LMJbGIsqOrzru4yowQz67dz2yc"", ""'STC'!D3:D139""),0))"),18.9)</f>
        <v>18.899999999999999</v>
      </c>
      <c r="AA40" s="12">
        <f ca="1">IFERROR(__xludf.DUMMYFUNCTION("INDEX(IMPORTRANGE(""1y0FWgjbB0gVlqn-q5LMJbGIsqOrzru4yowQz67dz2yc"", ""'STC'!BI3:BI139""),MATCH($D40,IMPORTRANGE(""1y0FWgjbB0gVlqn-q5LMJbGIsqOrzru4yowQz67dz2yc"", ""'STC'!D3:D139""),0))"),26.59)</f>
        <v>26.59</v>
      </c>
      <c r="AB40" s="1"/>
      <c r="AC40" s="1"/>
    </row>
    <row r="41" spans="1:29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9" t="s">
        <v>58</v>
      </c>
      <c r="J41" s="9" t="s">
        <v>59</v>
      </c>
      <c r="K41" s="9" t="s">
        <v>60</v>
      </c>
      <c r="L41" s="9" t="s">
        <v>61</v>
      </c>
      <c r="M41" s="9" t="s">
        <v>62</v>
      </c>
      <c r="N41" s="9" t="s">
        <v>63</v>
      </c>
      <c r="O41" s="9" t="s">
        <v>63</v>
      </c>
      <c r="P41" s="12"/>
      <c r="Q41" s="12"/>
      <c r="R41" s="2"/>
      <c r="S41" s="2"/>
      <c r="T41" s="2"/>
      <c r="U41" s="2"/>
      <c r="V41" s="2"/>
      <c r="W41" s="2"/>
      <c r="X41" s="2"/>
      <c r="Y41" s="299" t="str">
        <f ca="1">IFERROR(__xludf.DUMMYFUNCTION("INDEX(IMPORTRANGE(""1y0FWgjbB0gVlqn-q5LMJbGIsqOrzru4yowQz67dz2yc"", ""'STC'!BG3:BG139""),MATCH($D41,IMPORTRANGE(""1y0FWgjbB0gVlqn-q5LMJbGIsqOrzru4yowQz67dz2yc"", ""'STC'!D3:D139""),0))"),"")</f>
        <v/>
      </c>
      <c r="Z41" s="12">
        <f ca="1">IFERROR(__xludf.DUMMYFUNCTION("INDEX(IMPORTRANGE(""1y0FWgjbB0gVlqn-q5LMJbGIsqOrzru4yowQz67dz2yc"", ""'STC'!BH3:BH139""),MATCH($D41,IMPORTRANGE(""1y0FWgjbB0gVlqn-q5LMJbGIsqOrzru4yowQz67dz2yc"", ""'STC'!D3:D139""),0))"),101421.56)</f>
        <v>101421.56</v>
      </c>
      <c r="AA41" s="12">
        <f ca="1">IFERROR(__xludf.DUMMYFUNCTION("INDEX(IMPORTRANGE(""1y0FWgjbB0gVlqn-q5LMJbGIsqOrzru4yowQz67dz2yc"", ""'STC'!BI3:BI139""),MATCH($D41,IMPORTRANGE(""1y0FWgjbB0gVlqn-q5LMJbGIsqOrzru4yowQz67dz2yc"", ""'STC'!D3:D139""),0))"),142230.699999999)</f>
        <v>142230.69999999899</v>
      </c>
      <c r="AB41" s="1"/>
      <c r="AC41" s="1"/>
    </row>
    <row r="42" spans="1:29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9" t="s">
        <v>58</v>
      </c>
      <c r="J42" s="9" t="s">
        <v>59</v>
      </c>
      <c r="K42" s="9" t="s">
        <v>60</v>
      </c>
      <c r="L42" s="9" t="s">
        <v>61</v>
      </c>
      <c r="M42" s="9" t="s">
        <v>62</v>
      </c>
      <c r="N42" s="9" t="s">
        <v>63</v>
      </c>
      <c r="O42" s="9" t="s">
        <v>63</v>
      </c>
      <c r="P42" s="12"/>
      <c r="Q42" s="12"/>
      <c r="R42" s="2"/>
      <c r="S42" s="26">
        <v>2.0000000000000001E-4</v>
      </c>
      <c r="T42" s="26">
        <v>2.2000000000000001E-4</v>
      </c>
      <c r="U42" s="26">
        <v>2.7E-4</v>
      </c>
      <c r="V42" s="26">
        <v>3.8000000000000002E-4</v>
      </c>
      <c r="W42" s="26">
        <f>V42</f>
        <v>3.8000000000000002E-4</v>
      </c>
      <c r="X42" s="26"/>
      <c r="Y42" s="517" t="str">
        <f ca="1">IFERROR(__xludf.DUMMYFUNCTION("INDEX(IMPORTRANGE(""1y0FWgjbB0gVlqn-q5LMJbGIsqOrzru4yowQz67dz2yc"", ""'STC'!BG3:BG139""),MATCH($D42,IMPORTRANGE(""1y0FWgjbB0gVlqn-q5LMJbGIsqOrzru4yowQz67dz2yc"", ""'STC'!D3:D139""),0))"),"")</f>
        <v/>
      </c>
      <c r="Z42" s="26">
        <f ca="1">IFERROR(__xludf.DUMMYFUNCTION("INDEX(IMPORTRANGE(""1y0FWgjbB0gVlqn-q5LMJbGIsqOrzru4yowQz67dz2yc"", ""'STC'!BH3:BH139""),MATCH($D42,IMPORTRANGE(""1y0FWgjbB0gVlqn-q5LMJbGIsqOrzru4yowQz67dz2yc"", ""'STC'!D3:D139""),0))"),0.00018635091000375)</f>
        <v>1.8635091000375001E-4</v>
      </c>
      <c r="AA42" s="26">
        <f ca="1">IFERROR(__xludf.DUMMYFUNCTION("INDEX(IMPORTRANGE(""1y0FWgjbB0gVlqn-q5LMJbGIsqOrzru4yowQz67dz2yc"", ""'STC'!BI3:BI139""),MATCH($D42,IMPORTRANGE(""1y0FWgjbB0gVlqn-q5LMJbGIsqOrzru4yowQz67dz2yc"", ""'STC'!D3:D139""),0))"),0.00018694979353965)</f>
        <v>1.8694979353965001E-4</v>
      </c>
      <c r="AB42" s="1"/>
      <c r="AC42" s="1"/>
    </row>
    <row r="43" spans="1:29" s="112" customFormat="1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58</v>
      </c>
      <c r="J43" s="2" t="s">
        <v>59</v>
      </c>
      <c r="K43" s="2" t="s">
        <v>335</v>
      </c>
      <c r="L43" s="2" t="s">
        <v>336</v>
      </c>
      <c r="M43" s="2" t="s">
        <v>337</v>
      </c>
      <c r="N43" s="12" t="s">
        <v>132</v>
      </c>
      <c r="O43" s="12" t="s">
        <v>132</v>
      </c>
      <c r="P43" s="12">
        <v>0</v>
      </c>
      <c r="Q43" s="12">
        <v>0</v>
      </c>
      <c r="R43" s="2">
        <v>6</v>
      </c>
      <c r="S43" s="2">
        <v>11</v>
      </c>
      <c r="T43" s="2">
        <v>16</v>
      </c>
      <c r="U43" s="2">
        <v>21</v>
      </c>
      <c r="V43" s="2">
        <v>25</v>
      </c>
      <c r="W43" s="2">
        <v>25</v>
      </c>
      <c r="X43" s="2">
        <v>0</v>
      </c>
      <c r="Y43" s="12">
        <f ca="1">IFERROR(__xludf.DUMMYFUNCTION("INDEX(IMPORTRANGE(""1y0FWgjbB0gVlqn-q5LMJbGIsqOrzru4yowQz67dz2yc"", ""'STC'!BG3:BG139""),MATCH($D43,IMPORTRANGE(""1y0FWgjbB0gVlqn-q5LMJbGIsqOrzru4yowQz67dz2yc"", ""'STC'!D3:D139""),0))"),6)</f>
        <v>6</v>
      </c>
      <c r="Z43" s="12">
        <f ca="1">IFERROR(__xludf.DUMMYFUNCTION("INDEX(IMPORTRANGE(""1y0FWgjbB0gVlqn-q5LMJbGIsqOrzru4yowQz67dz2yc"", ""'STC'!BH3:BH139""),MATCH($D43,IMPORTRANGE(""1y0FWgjbB0gVlqn-q5LMJbGIsqOrzru4yowQz67dz2yc"", ""'STC'!D3:D139""),0))"),7)</f>
        <v>7</v>
      </c>
      <c r="AA43" s="12">
        <f ca="1">IFERROR(__xludf.DUMMYFUNCTION("INDEX(IMPORTRANGE(""1y0FWgjbB0gVlqn-q5LMJbGIsqOrzru4yowQz67dz2yc"", ""'STC'!BI3:BI139""),MATCH($D43,IMPORTRANGE(""1y0FWgjbB0gVlqn-q5LMJbGIsqOrzru4yowQz67dz2yc"", ""'STC'!D3:D139""),0))"),7)</f>
        <v>7</v>
      </c>
      <c r="AB43" s="1"/>
      <c r="AC43" s="1"/>
    </row>
    <row r="44" spans="1:29" s="112" customFormat="1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58</v>
      </c>
      <c r="J44" s="2" t="s">
        <v>59</v>
      </c>
      <c r="K44" s="2" t="s">
        <v>335</v>
      </c>
      <c r="L44" s="2" t="s">
        <v>336</v>
      </c>
      <c r="M44" s="2" t="s">
        <v>337</v>
      </c>
      <c r="N44" s="12" t="s">
        <v>132</v>
      </c>
      <c r="O44" s="12" t="s">
        <v>132</v>
      </c>
      <c r="P44" s="12">
        <v>2219</v>
      </c>
      <c r="Q44" s="12">
        <v>3265</v>
      </c>
      <c r="R44" s="2">
        <v>180</v>
      </c>
      <c r="S44" s="2">
        <f>220+R44</f>
        <v>400</v>
      </c>
      <c r="T44" s="2">
        <f>250+S44</f>
        <v>650</v>
      </c>
      <c r="U44" s="2">
        <f>T44+ 280</f>
        <v>930</v>
      </c>
      <c r="V44" s="2">
        <f>450+U44</f>
        <v>1380</v>
      </c>
      <c r="W44" s="2">
        <v>1380</v>
      </c>
      <c r="X44" s="12">
        <v>153</v>
      </c>
      <c r="Y44" s="12">
        <f ca="1">IFERROR(__xludf.DUMMYFUNCTION("INDEX(IMPORTRANGE(""1y0FWgjbB0gVlqn-q5LMJbGIsqOrzru4yowQz67dz2yc"", ""'STC'!BG3:BG139""),MATCH($D44,IMPORTRANGE(""1y0FWgjbB0gVlqn-q5LMJbGIsqOrzru4yowQz67dz2yc"", ""'STC'!D3:D139""),0))"),309)</f>
        <v>309</v>
      </c>
      <c r="Z44" s="12">
        <f ca="1">IFERROR(__xludf.DUMMYFUNCTION("INDEX(IMPORTRANGE(""1y0FWgjbB0gVlqn-q5LMJbGIsqOrzru4yowQz67dz2yc"", ""'STC'!BH3:BH139""),MATCH($D44,IMPORTRANGE(""1y0FWgjbB0gVlqn-q5LMJbGIsqOrzru4yowQz67dz2yc"", ""'STC'!D3:D139""),0))"),542)</f>
        <v>542</v>
      </c>
      <c r="AA44" s="12">
        <f ca="1">IFERROR(__xludf.DUMMYFUNCTION("INDEX(IMPORTRANGE(""1y0FWgjbB0gVlqn-q5LMJbGIsqOrzru4yowQz67dz2yc"", ""'STC'!BI3:BI139""),MATCH($D44,IMPORTRANGE(""1y0FWgjbB0gVlqn-q5LMJbGIsqOrzru4yowQz67dz2yc"", ""'STC'!D3:D139""),0))"),961)</f>
        <v>961</v>
      </c>
      <c r="AB44" s="1"/>
      <c r="AC44" s="1"/>
    </row>
    <row r="45" spans="1:29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58</v>
      </c>
      <c r="J45" s="2" t="s">
        <v>59</v>
      </c>
      <c r="K45" s="2" t="s">
        <v>335</v>
      </c>
      <c r="L45" s="2" t="s">
        <v>336</v>
      </c>
      <c r="M45" s="2" t="s">
        <v>337</v>
      </c>
      <c r="N45" s="12" t="s">
        <v>132</v>
      </c>
      <c r="O45" s="12" t="s">
        <v>132</v>
      </c>
      <c r="P45" s="12">
        <v>0</v>
      </c>
      <c r="Q45" s="2">
        <v>1</v>
      </c>
      <c r="R45" s="2"/>
      <c r="S45" s="2"/>
      <c r="T45" s="2"/>
      <c r="U45" s="2"/>
      <c r="V45" s="2"/>
      <c r="W45" s="2"/>
      <c r="X45" s="2">
        <v>5</v>
      </c>
      <c r="Y45" s="12">
        <f ca="1">IFERROR(__xludf.DUMMYFUNCTION("INDEX(IMPORTRANGE(""1y0FWgjbB0gVlqn-q5LMJbGIsqOrzru4yowQz67dz2yc"", ""'STC'!BG3:BG139""),MATCH($D45,IMPORTRANGE(""1y0FWgjbB0gVlqn-q5LMJbGIsqOrzru4yowQz67dz2yc"", ""'STC'!D3:D139""),0))"),7)</f>
        <v>7</v>
      </c>
      <c r="Z45" s="12">
        <f ca="1">IFERROR(__xludf.DUMMYFUNCTION("INDEX(IMPORTRANGE(""1y0FWgjbB0gVlqn-q5LMJbGIsqOrzru4yowQz67dz2yc"", ""'STC'!BH3:BH139""),MATCH($D45,IMPORTRANGE(""1y0FWgjbB0gVlqn-q5LMJbGIsqOrzru4yowQz67dz2yc"", ""'STC'!D3:D139""),0))"),8)</f>
        <v>8</v>
      </c>
      <c r="AA45" s="12">
        <f ca="1">IFERROR(__xludf.DUMMYFUNCTION("INDEX(IMPORTRANGE(""1y0FWgjbB0gVlqn-q5LMJbGIsqOrzru4yowQz67dz2yc"", ""'STC'!BI3:BI139""),MATCH($D45,IMPORTRANGE(""1y0FWgjbB0gVlqn-q5LMJbGIsqOrzru4yowQz67dz2yc"", ""'STC'!D3:D139""),0))"),12)</f>
        <v>12</v>
      </c>
      <c r="AB45" s="1"/>
      <c r="AC45" s="1"/>
    </row>
    <row r="46" spans="1:29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58</v>
      </c>
      <c r="J46" s="2" t="s">
        <v>59</v>
      </c>
      <c r="K46" s="2" t="s">
        <v>335</v>
      </c>
      <c r="L46" s="2" t="s">
        <v>336</v>
      </c>
      <c r="M46" s="2" t="s">
        <v>337</v>
      </c>
      <c r="N46" s="12" t="s">
        <v>132</v>
      </c>
      <c r="O46" s="1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12">
        <f ca="1">IFERROR(__xludf.DUMMYFUNCTION("INDEX(IMPORTRANGE(""1y0FWgjbB0gVlqn-q5LMJbGIsqOrzru4yowQz67dz2yc"", ""'STC'!BG3:BG139""),MATCH($D46,IMPORTRANGE(""1y0FWgjbB0gVlqn-q5LMJbGIsqOrzru4yowQz67dz2yc"", ""'STC'!D3:D139""),0))"),0)</f>
        <v>0</v>
      </c>
      <c r="Z46" s="12">
        <f ca="1">IFERROR(__xludf.DUMMYFUNCTION("INDEX(IMPORTRANGE(""1y0FWgjbB0gVlqn-q5LMJbGIsqOrzru4yowQz67dz2yc"", ""'STC'!BH3:BH139""),MATCH($D46,IMPORTRANGE(""1y0FWgjbB0gVlqn-q5LMJbGIsqOrzru4yowQz67dz2yc"", ""'STC'!D3:D139""),0))"),1)</f>
        <v>1</v>
      </c>
      <c r="AA46" s="12">
        <f ca="1">IFERROR(__xludf.DUMMYFUNCTION("INDEX(IMPORTRANGE(""1y0FWgjbB0gVlqn-q5LMJbGIsqOrzru4yowQz67dz2yc"", ""'STC'!BI3:BI139""),MATCH($D46,IMPORTRANGE(""1y0FWgjbB0gVlqn-q5LMJbGIsqOrzru4yowQz67dz2yc"", ""'STC'!D3:D139""),0))"),1)</f>
        <v>1</v>
      </c>
      <c r="AB46" s="1"/>
      <c r="AC46" s="1"/>
    </row>
    <row r="47" spans="1:29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58</v>
      </c>
      <c r="J47" s="2" t="s">
        <v>59</v>
      </c>
      <c r="K47" s="2" t="s">
        <v>335</v>
      </c>
      <c r="L47" s="2" t="s">
        <v>336</v>
      </c>
      <c r="M47" s="2" t="s">
        <v>337</v>
      </c>
      <c r="N47" s="12" t="s">
        <v>132</v>
      </c>
      <c r="O47" s="12" t="s">
        <v>132</v>
      </c>
      <c r="P47" s="12">
        <v>0</v>
      </c>
      <c r="Q47" s="2">
        <v>14</v>
      </c>
      <c r="R47" s="2"/>
      <c r="S47" s="2"/>
      <c r="T47" s="2"/>
      <c r="U47" s="2"/>
      <c r="V47" s="2"/>
      <c r="W47" s="2"/>
      <c r="X47" s="2">
        <v>3</v>
      </c>
      <c r="Y47" s="12">
        <f ca="1">IFERROR(__xludf.DUMMYFUNCTION("INDEX(IMPORTRANGE(""1y0FWgjbB0gVlqn-q5LMJbGIsqOrzru4yowQz67dz2yc"", ""'STC'!BG3:BG139""),MATCH($D47,IMPORTRANGE(""1y0FWgjbB0gVlqn-q5LMJbGIsqOrzru4yowQz67dz2yc"", ""'STC'!D3:D139""),0))"),9)</f>
        <v>9</v>
      </c>
      <c r="Z47" s="12">
        <f ca="1">IFERROR(__xludf.DUMMYFUNCTION("INDEX(IMPORTRANGE(""1y0FWgjbB0gVlqn-q5LMJbGIsqOrzru4yowQz67dz2yc"", ""'STC'!BH3:BH139""),MATCH($D47,IMPORTRANGE(""1y0FWgjbB0gVlqn-q5LMJbGIsqOrzru4yowQz67dz2yc"", ""'STC'!D3:D139""),0))"),11)</f>
        <v>11</v>
      </c>
      <c r="AA47" s="12">
        <f ca="1">IFERROR(__xludf.DUMMYFUNCTION("INDEX(IMPORTRANGE(""1y0FWgjbB0gVlqn-q5LMJbGIsqOrzru4yowQz67dz2yc"", ""'STC'!BI3:BI139""),MATCH($D47,IMPORTRANGE(""1y0FWgjbB0gVlqn-q5LMJbGIsqOrzru4yowQz67dz2yc"", ""'STC'!D3:D139""),0))"),39)</f>
        <v>39</v>
      </c>
      <c r="AB47" s="1"/>
      <c r="AC47" s="1"/>
    </row>
    <row r="48" spans="1:29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58</v>
      </c>
      <c r="J48" s="2" t="s">
        <v>59</v>
      </c>
      <c r="K48" s="2" t="s">
        <v>335</v>
      </c>
      <c r="L48" s="2" t="s">
        <v>336</v>
      </c>
      <c r="M48" s="2" t="s">
        <v>337</v>
      </c>
      <c r="N48" s="12" t="s">
        <v>132</v>
      </c>
      <c r="O48" s="12" t="s">
        <v>132</v>
      </c>
      <c r="P48" s="12"/>
      <c r="Q48" s="12"/>
      <c r="R48" s="2"/>
      <c r="S48" s="2"/>
      <c r="T48" s="2"/>
      <c r="U48" s="2"/>
      <c r="V48" s="2"/>
      <c r="W48" s="2"/>
      <c r="X48" s="2"/>
      <c r="Y48" s="12">
        <f ca="1">IFERROR(__xludf.DUMMYFUNCTION("INDEX(IMPORTRANGE(""1y0FWgjbB0gVlqn-q5LMJbGIsqOrzru4yowQz67dz2yc"", ""'STC'!BG3:BG139""),MATCH($D48,IMPORTRANGE(""1y0FWgjbB0gVlqn-q5LMJbGIsqOrzru4yowQz67dz2yc"", ""'STC'!D3:D139""),0))"),1)</f>
        <v>1</v>
      </c>
      <c r="Z48" s="12">
        <f ca="1">IFERROR(__xludf.DUMMYFUNCTION("INDEX(IMPORTRANGE(""1y0FWgjbB0gVlqn-q5LMJbGIsqOrzru4yowQz67dz2yc"", ""'STC'!BH3:BH139""),MATCH($D48,IMPORTRANGE(""1y0FWgjbB0gVlqn-q5LMJbGIsqOrzru4yowQz67dz2yc"", ""'STC'!D3:D139""),0))"),5)</f>
        <v>5</v>
      </c>
      <c r="AA48" s="12">
        <f ca="1">IFERROR(__xludf.DUMMYFUNCTION("INDEX(IMPORTRANGE(""1y0FWgjbB0gVlqn-q5LMJbGIsqOrzru4yowQz67dz2yc"", ""'STC'!BI3:BI139""),MATCH($D48,IMPORTRANGE(""1y0FWgjbB0gVlqn-q5LMJbGIsqOrzru4yowQz67dz2yc"", ""'STC'!D3:D139""),0))"),5)</f>
        <v>5</v>
      </c>
      <c r="AB48" s="1"/>
      <c r="AC48" s="1"/>
    </row>
    <row r="49" spans="1:29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58</v>
      </c>
      <c r="J49" s="2" t="s">
        <v>59</v>
      </c>
      <c r="K49" s="2" t="s">
        <v>335</v>
      </c>
      <c r="L49" s="2" t="s">
        <v>336</v>
      </c>
      <c r="M49" s="2" t="s">
        <v>337</v>
      </c>
      <c r="N49" s="12" t="s">
        <v>132</v>
      </c>
      <c r="O49" s="12" t="s">
        <v>132</v>
      </c>
      <c r="P49" s="12">
        <v>0</v>
      </c>
      <c r="Q49" s="12">
        <f>SUM(Q45:Q47)</f>
        <v>15</v>
      </c>
      <c r="R49" s="2">
        <v>7</v>
      </c>
      <c r="S49" s="2">
        <f>3+R49</f>
        <v>10</v>
      </c>
      <c r="T49" s="2">
        <f>4+S49</f>
        <v>14</v>
      </c>
      <c r="U49" s="2">
        <f>3+T49</f>
        <v>17</v>
      </c>
      <c r="V49" s="2">
        <f>U49+4</f>
        <v>21</v>
      </c>
      <c r="W49" s="2">
        <v>21</v>
      </c>
      <c r="X49" s="2">
        <f>SUM(X45:X47)</f>
        <v>8</v>
      </c>
      <c r="Y49" s="12">
        <f ca="1">IFERROR(__xludf.DUMMYFUNCTION("INDEX(IMPORTRANGE(""1y0FWgjbB0gVlqn-q5LMJbGIsqOrzru4yowQz67dz2yc"", ""'STC'!BG3:BG139""),MATCH($D49,IMPORTRANGE(""1y0FWgjbB0gVlqn-q5LMJbGIsqOrzru4yowQz67dz2yc"", ""'STC'!D3:D139""),0))"),17)</f>
        <v>17</v>
      </c>
      <c r="Z49" s="12">
        <f ca="1">IFERROR(__xludf.DUMMYFUNCTION("INDEX(IMPORTRANGE(""1y0FWgjbB0gVlqn-q5LMJbGIsqOrzru4yowQz67dz2yc"", ""'STC'!BH3:BH139""),MATCH($D49,IMPORTRANGE(""1y0FWgjbB0gVlqn-q5LMJbGIsqOrzru4yowQz67dz2yc"", ""'STC'!D3:D139""),0))"),25)</f>
        <v>25</v>
      </c>
      <c r="AA49" s="12">
        <f ca="1">IFERROR(__xludf.DUMMYFUNCTION("INDEX(IMPORTRANGE(""1y0FWgjbB0gVlqn-q5LMJbGIsqOrzru4yowQz67dz2yc"", ""'STC'!BI3:BI139""),MATCH($D49,IMPORTRANGE(""1y0FWgjbB0gVlqn-q5LMJbGIsqOrzru4yowQz67dz2yc"", ""'STC'!D3:D139""),0))"),57)</f>
        <v>57</v>
      </c>
      <c r="AB49" s="1"/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150</v>
      </c>
      <c r="Y50" s="23" t="str">
        <f ca="1">IFERROR(__xludf.DUMMYFUNCTION("INDEX(IMPORTRANGE(""1y0FWgjbB0gVlqn-q5LMJbGIsqOrzru4yowQz67dz2yc"", ""'STC'!BG3:BG139""),MATCH($D50,IMPORTRANGE(""1y0FWgjbB0gVlqn-q5LMJbGIsqOrzru4yowQz67dz2yc"", ""'STC'!D3:D139""),0))"),"No")</f>
        <v>No</v>
      </c>
      <c r="Z50" s="23" t="str">
        <f ca="1">IFERROR(__xludf.DUMMYFUNCTION("INDEX(IMPORTRANGE(""1y0FWgjbB0gVlqn-q5LMJbGIsqOrzru4yowQz67dz2yc"", ""'STC'!BH3:BH139""),MATCH($D50,IMPORTRANGE(""1y0FWgjbB0gVlqn-q5LMJbGIsqOrzru4yowQz67dz2yc"", ""'STC'!D3:D139""),0))"),"No")</f>
        <v>No</v>
      </c>
      <c r="AA50" s="23" t="str">
        <f ca="1">IFERROR(__xludf.DUMMYFUNCTION("INDEX(IMPORTRANGE(""1y0FWgjbB0gVlqn-q5LMJbGIsqOrzru4yowQz67dz2yc"", ""'STC'!BI3:BI139""),MATCH($D50,IMPORTRANGE(""1y0FWgjbB0gVlqn-q5LMJbGIsqOrzru4yowQz67dz2yc"", ""'STC'!D3:D139""),0))"),"No")</f>
        <v>No</v>
      </c>
      <c r="AB50" s="1"/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30" t="s">
        <v>150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150</v>
      </c>
      <c r="Y51" s="23" t="str">
        <f ca="1">IFERROR(__xludf.DUMMYFUNCTION("INDEX(IMPORTRANGE(""1y0FWgjbB0gVlqn-q5LMJbGIsqOrzru4yowQz67dz2yc"", ""'STC'!BG3:BG139""),MATCH($D51,IMPORTRANGE(""1y0FWgjbB0gVlqn-q5LMJbGIsqOrzru4yowQz67dz2yc"", ""'STC'!D3:D139""),0))"),"Sí")</f>
        <v>Sí</v>
      </c>
      <c r="Z51" s="23" t="str">
        <f ca="1">IFERROR(__xludf.DUMMYFUNCTION("INDEX(IMPORTRANGE(""1y0FWgjbB0gVlqn-q5LMJbGIsqOrzru4yowQz67dz2yc"", ""'STC'!BH3:BH139""),MATCH($D51,IMPORTRANGE(""1y0FWgjbB0gVlqn-q5LMJbGIsqOrzru4yowQz67dz2yc"", ""'STC'!D3:D139""),0))"),"Sí")</f>
        <v>Sí</v>
      </c>
      <c r="AA51" s="23" t="str">
        <f ca="1">IFERROR(__xludf.DUMMYFUNCTION("INDEX(IMPORTRANGE(""1y0FWgjbB0gVlqn-q5LMJbGIsqOrzru4yowQz67dz2yc"", ""'STC'!BI3:BI139""),MATCH($D51,IMPORTRANGE(""1y0FWgjbB0gVlqn-q5LMJbGIsqOrzru4yowQz67dz2yc"", ""'STC'!D3:D139""),0))"),"Sí")</f>
        <v>Sí</v>
      </c>
      <c r="AB51" s="1"/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30" t="s">
        <v>153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153</v>
      </c>
      <c r="Y52" s="23" t="str">
        <f ca="1">IFERROR(__xludf.DUMMYFUNCTION("INDEX(IMPORTRANGE(""1y0FWgjbB0gVlqn-q5LMJbGIsqOrzru4yowQz67dz2yc"", ""'STC'!BG3:BG139""),MATCH($D52,IMPORTRANGE(""1y0FWgjbB0gVlqn-q5LMJbGIsqOrzru4yowQz67dz2yc"", ""'STC'!D3:D139""),0))"),"Sí")</f>
        <v>Sí</v>
      </c>
      <c r="Z52" s="23" t="str">
        <f ca="1">IFERROR(__xludf.DUMMYFUNCTION("INDEX(IMPORTRANGE(""1y0FWgjbB0gVlqn-q5LMJbGIsqOrzru4yowQz67dz2yc"", ""'STC'!BH3:BH139""),MATCH($D52,IMPORTRANGE(""1y0FWgjbB0gVlqn-q5LMJbGIsqOrzru4yowQz67dz2yc"", ""'STC'!D3:D139""),0))"),"Sí")</f>
        <v>Sí</v>
      </c>
      <c r="AA52" s="23" t="str">
        <f ca="1">IFERROR(__xludf.DUMMYFUNCTION("INDEX(IMPORTRANGE(""1y0FWgjbB0gVlqn-q5LMJbGIsqOrzru4yowQz67dz2yc"", ""'STC'!BI3:BI139""),MATCH($D52,IMPORTRANGE(""1y0FWgjbB0gVlqn-q5LMJbGIsqOrzru4yowQz67dz2yc"", ""'STC'!D3:D139""),0))"),"Sí")</f>
        <v>Sí</v>
      </c>
      <c r="AB52" s="1"/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11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30">
        <f>COUNTIF(P50:P52,"Sí")*(1/3)</f>
        <v>0.33333333333333331</v>
      </c>
      <c r="Q53" s="30">
        <f>COUNTIF(Q50:Q52,"Sí")*0.33</f>
        <v>0.33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30">
        <f>COUNTIF(X50:X52,"Sí")*0.33</f>
        <v>0.33</v>
      </c>
      <c r="Y53" s="30">
        <f ca="1">IFERROR(__xludf.DUMMYFUNCTION("INDEX(IMPORTRANGE(""1y0FWgjbB0gVlqn-q5LMJbGIsqOrzru4yowQz67dz2yc"", ""'STC'!BG3:BG139""),MATCH($D53,IMPORTRANGE(""1y0FWgjbB0gVlqn-q5LMJbGIsqOrzru4yowQz67dz2yc"", ""'STC'!D3:D139""),0))"),0.666666666666666)</f>
        <v>0.66666666666666596</v>
      </c>
      <c r="Z53" s="30">
        <f ca="1">IFERROR(__xludf.DUMMYFUNCTION("INDEX(IMPORTRANGE(""1y0FWgjbB0gVlqn-q5LMJbGIsqOrzru4yowQz67dz2yc"", ""'STC'!BH3:BH139""),MATCH($D53,IMPORTRANGE(""1y0FWgjbB0gVlqn-q5LMJbGIsqOrzru4yowQz67dz2yc"", ""'STC'!D3:D139""),0))"),0.666666666666666)</f>
        <v>0.66666666666666596</v>
      </c>
      <c r="AA53" s="30">
        <f ca="1">IFERROR(__xludf.DUMMYFUNCTION("INDEX(IMPORTRANGE(""1y0FWgjbB0gVlqn-q5LMJbGIsqOrzru4yowQz67dz2yc"", ""'STC'!BI3:BI139""),MATCH($D53,IMPORTRANGE(""1y0FWgjbB0gVlqn-q5LMJbGIsqOrzru4yowQz67dz2yc"", ""'STC'!D3:D139""),0))"),0.666666666666666)</f>
        <v>0.66666666666666596</v>
      </c>
      <c r="AB53" s="1"/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11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1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1</v>
      </c>
      <c r="Y54" s="12">
        <f ca="1">IFERROR(__xludf.DUMMYFUNCTION("INDEX(IMPORTRANGE(""1y0FWgjbB0gVlqn-q5LMJbGIsqOrzru4yowQz67dz2yc"", ""'STC'!BG3:BG139""),MATCH($D54,IMPORTRANGE(""1y0FWgjbB0gVlqn-q5LMJbGIsqOrzru4yowQz67dz2yc"", ""'STC'!D3:D139""),0))"),1)</f>
        <v>1</v>
      </c>
      <c r="Z54" s="12">
        <f ca="1">IFERROR(__xludf.DUMMYFUNCTION("INDEX(IMPORTRANGE(""1y0FWgjbB0gVlqn-q5LMJbGIsqOrzru4yowQz67dz2yc"", ""'STC'!BH3:BH139""),MATCH($D54,IMPORTRANGE(""1y0FWgjbB0gVlqn-q5LMJbGIsqOrzru4yowQz67dz2yc"", ""'STC'!D3:D139""),0))"),0.5)</f>
        <v>0.5</v>
      </c>
      <c r="AA54" s="12">
        <f ca="1">IFERROR(__xludf.DUMMYFUNCTION("INDEX(IMPORTRANGE(""1y0FWgjbB0gVlqn-q5LMJbGIsqOrzru4yowQz67dz2yc"", ""'STC'!BI3:BI139""),MATCH($D54,IMPORTRANGE(""1y0FWgjbB0gVlqn-q5LMJbGIsqOrzru4yowQz67dz2yc"", ""'STC'!D3:D139""),0))"),0.5)</f>
        <v>0.5</v>
      </c>
      <c r="AB54" s="1"/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2"/>
      <c r="S55" s="2"/>
      <c r="T55" s="2"/>
      <c r="U55" s="2"/>
      <c r="V55" s="2"/>
      <c r="W55" s="2"/>
      <c r="X55" s="2">
        <v>0</v>
      </c>
      <c r="Y55" s="12">
        <f ca="1">IFERROR(__xludf.DUMMYFUNCTION("INDEX(IMPORTRANGE(""1y0FWgjbB0gVlqn-q5LMJbGIsqOrzru4yowQz67dz2yc"", ""'STC'!BG3:BG139""),MATCH($D55,IMPORTRANGE(""1y0FWgjbB0gVlqn-q5LMJbGIsqOrzru4yowQz67dz2yc"", ""'STC'!D3:D139""),0))"),0)</f>
        <v>0</v>
      </c>
      <c r="Z55" s="12">
        <f ca="1">IFERROR(__xludf.DUMMYFUNCTION("INDEX(IMPORTRANGE(""1y0FWgjbB0gVlqn-q5LMJbGIsqOrzru4yowQz67dz2yc"", ""'STC'!BH3:BH139""),MATCH($D55,IMPORTRANGE(""1y0FWgjbB0gVlqn-q5LMJbGIsqOrzru4yowQz67dz2yc"", ""'STC'!D3:D139""),0))"),0)</f>
        <v>0</v>
      </c>
      <c r="AA55" s="12">
        <f ca="1">IFERROR(__xludf.DUMMYFUNCTION("INDEX(IMPORTRANGE(""1y0FWgjbB0gVlqn-q5LMJbGIsqOrzru4yowQz67dz2yc"", ""'STC'!BI3:BI139""),MATCH($D55,IMPORTRANGE(""1y0FWgjbB0gVlqn-q5LMJbGIsqOrzru4yowQz67dz2yc"", ""'STC'!D3:D139""),0))"),0)</f>
        <v>0</v>
      </c>
      <c r="AB55" s="1"/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2"/>
      <c r="S56" s="2"/>
      <c r="T56" s="2"/>
      <c r="U56" s="2"/>
      <c r="V56" s="2"/>
      <c r="W56" s="2"/>
      <c r="X56" s="2">
        <v>0</v>
      </c>
      <c r="Y56" s="12">
        <f ca="1">IFERROR(__xludf.DUMMYFUNCTION("INDEX(IMPORTRANGE(""1y0FWgjbB0gVlqn-q5LMJbGIsqOrzru4yowQz67dz2yc"", ""'STC'!BG3:BG139""),MATCH($D56,IMPORTRANGE(""1y0FWgjbB0gVlqn-q5LMJbGIsqOrzru4yowQz67dz2yc"", ""'STC'!D3:D139""),0))"),0)</f>
        <v>0</v>
      </c>
      <c r="Z56" s="12">
        <f ca="1">IFERROR(__xludf.DUMMYFUNCTION("INDEX(IMPORTRANGE(""1y0FWgjbB0gVlqn-q5LMJbGIsqOrzru4yowQz67dz2yc"", ""'STC'!BH3:BH139""),MATCH($D56,IMPORTRANGE(""1y0FWgjbB0gVlqn-q5LMJbGIsqOrzru4yowQz67dz2yc"", ""'STC'!D3:D139""),0))"),0)</f>
        <v>0</v>
      </c>
      <c r="AA56" s="12">
        <f ca="1">IFERROR(__xludf.DUMMYFUNCTION("INDEX(IMPORTRANGE(""1y0FWgjbB0gVlqn-q5LMJbGIsqOrzru4yowQz67dz2yc"", ""'STC'!BI3:BI139""),MATCH($D56,IMPORTRANGE(""1y0FWgjbB0gVlqn-q5LMJbGIsqOrzru4yowQz67dz2yc"", ""'STC'!D3:D139""),0))"),0)</f>
        <v>0</v>
      </c>
      <c r="AB56" s="1"/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30" t="s">
        <v>320</v>
      </c>
      <c r="Q57" s="30" t="s">
        <v>320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30" t="s">
        <v>320</v>
      </c>
      <c r="Y57" s="23" t="str">
        <f ca="1">IFERROR(__xludf.DUMMYFUNCTION("INDEX(IMPORTRANGE(""1y0FWgjbB0gVlqn-q5LMJbGIsqOrzru4yowQz67dz2yc"", ""'STC'!BG3:BG139""),MATCH($D57,IMPORTRANGE(""1y0FWgjbB0gVlqn-q5LMJbGIsqOrzru4yowQz67dz2yc"", ""'STC'!D3:D139""),0))"),"NA")</f>
        <v>NA</v>
      </c>
      <c r="Z57" s="30" t="str">
        <f ca="1">IFERROR(__xludf.DUMMYFUNCTION("INDEX(IMPORTRANGE(""1y0FWgjbB0gVlqn-q5LMJbGIsqOrzru4yowQz67dz2yc"", ""'STC'!BH3:BH139""),MATCH($D57,IMPORTRANGE(""1y0FWgjbB0gVlqn-q5LMJbGIsqOrzru4yowQz67dz2yc"", ""'STC'!D3:D139""),0))"),"NA")</f>
        <v>NA</v>
      </c>
      <c r="AA57" s="23" t="str">
        <f ca="1">IFERROR(__xludf.DUMMYFUNCTION("INDEX(IMPORTRANGE(""1y0FWgjbB0gVlqn-q5LMJbGIsqOrzru4yowQz67dz2yc"", ""'STC'!BI3:BI139""),MATCH($D57,IMPORTRANGE(""1y0FWgjbB0gVlqn-q5LMJbGIsqOrzru4yowQz67dz2yc"", ""'STC'!D3:D139""),0))"),"NA")</f>
        <v>NA</v>
      </c>
      <c r="AB57" s="1"/>
      <c r="AC57" s="1"/>
    </row>
    <row r="58" spans="1:29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24153</v>
      </c>
      <c r="Q58" s="12">
        <v>24153</v>
      </c>
      <c r="R58" s="2"/>
      <c r="S58" s="2"/>
      <c r="T58" s="2"/>
      <c r="U58" s="2"/>
      <c r="V58" s="2"/>
      <c r="W58" s="2"/>
      <c r="X58" s="12">
        <v>24659</v>
      </c>
      <c r="Y58" s="12">
        <f ca="1">IFERROR(__xludf.DUMMYFUNCTION("INDEX(IMPORTRANGE(""1y0FWgjbB0gVlqn-q5LMJbGIsqOrzru4yowQz67dz2yc"", ""'STC'!BG3:BG139""),MATCH($D58,IMPORTRANGE(""1y0FWgjbB0gVlqn-q5LMJbGIsqOrzru4yowQz67dz2yc"", ""'STC'!D3:D139""),0))"),24985)</f>
        <v>24985</v>
      </c>
      <c r="Z58" s="12">
        <f ca="1">IFERROR(__xludf.DUMMYFUNCTION("INDEX(IMPORTRANGE(""1y0FWgjbB0gVlqn-q5LMJbGIsqOrzru4yowQz67dz2yc"", ""'STC'!BH3:BH139""),MATCH($D58,IMPORTRANGE(""1y0FWgjbB0gVlqn-q5LMJbGIsqOrzru4yowQz67dz2yc"", ""'STC'!D3:D139""),0))"),25195)</f>
        <v>25195</v>
      </c>
      <c r="AA58" s="12">
        <f ca="1">IFERROR(__xludf.DUMMYFUNCTION("INDEX(IMPORTRANGE(""1y0FWgjbB0gVlqn-q5LMJbGIsqOrzru4yowQz67dz2yc"", ""'STC'!BI3:BI139""),MATCH($D58,IMPORTRANGE(""1y0FWgjbB0gVlqn-q5LMJbGIsqOrzru4yowQz67dz2yc"", ""'STC'!D3:D139""),0))"),25195)</f>
        <v>25195</v>
      </c>
      <c r="AB58" s="1"/>
      <c r="AC58" s="1"/>
    </row>
    <row r="59" spans="1:29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24659</v>
      </c>
      <c r="Q59" s="12">
        <v>24659</v>
      </c>
      <c r="R59" s="2"/>
      <c r="S59" s="2"/>
      <c r="T59" s="2"/>
      <c r="U59" s="2"/>
      <c r="V59" s="2"/>
      <c r="W59" s="2"/>
      <c r="X59" s="12">
        <v>26225</v>
      </c>
      <c r="Y59" s="12">
        <f ca="1">IFERROR(__xludf.DUMMYFUNCTION("INDEX(IMPORTRANGE(""1y0FWgjbB0gVlqn-q5LMJbGIsqOrzru4yowQz67dz2yc"", ""'STC'!BG3:BG139""),MATCH($D59,IMPORTRANGE(""1y0FWgjbB0gVlqn-q5LMJbGIsqOrzru4yowQz67dz2yc"", ""'STC'!D3:D139""),0))"),26225)</f>
        <v>26225</v>
      </c>
      <c r="Z59" s="12">
        <f ca="1">IFERROR(__xludf.DUMMYFUNCTION("INDEX(IMPORTRANGE(""1y0FWgjbB0gVlqn-q5LMJbGIsqOrzru4yowQz67dz2yc"", ""'STC'!BH3:BH139""),MATCH($D59,IMPORTRANGE(""1y0FWgjbB0gVlqn-q5LMJbGIsqOrzru4yowQz67dz2yc"", ""'STC'!D3:D139""),0))"),26225)</f>
        <v>26225</v>
      </c>
      <c r="AA59" s="12">
        <f ca="1">IFERROR(__xludf.DUMMYFUNCTION("INDEX(IMPORTRANGE(""1y0FWgjbB0gVlqn-q5LMJbGIsqOrzru4yowQz67dz2yc"", ""'STC'!BI3:BI139""),MATCH($D59,IMPORTRANGE(""1y0FWgjbB0gVlqn-q5LMJbGIsqOrzru4yowQz67dz2yc"", ""'STC'!D3:D139""),0))"),26225)</f>
        <v>26225</v>
      </c>
      <c r="AB59" s="1"/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0.9794801086824283</v>
      </c>
      <c r="Q60" s="15">
        <f t="shared" si="14"/>
        <v>0.9794801086824283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467">
        <f>X58/X59</f>
        <v>0.94028598665395613</v>
      </c>
      <c r="Y60" s="192">
        <f ca="1">IFERROR(__xludf.DUMMYFUNCTION("INDEX(IMPORTRANGE(""1y0FWgjbB0gVlqn-q5LMJbGIsqOrzru4yowQz67dz2yc"", ""'STC'!BG3:BG139""),MATCH($D60,IMPORTRANGE(""1y0FWgjbB0gVlqn-q5LMJbGIsqOrzru4yowQz67dz2yc"", ""'STC'!D3:D139""),0))"),0.952716873212583)</f>
        <v>0.95271687321258303</v>
      </c>
      <c r="Z60" s="15">
        <f ca="1">IFERROR(__xludf.DUMMYFUNCTION("INDEX(IMPORTRANGE(""1y0FWgjbB0gVlqn-q5LMJbGIsqOrzru4yowQz67dz2yc"", ""'STC'!BH3:BH139""),MATCH($D60,IMPORTRANGE(""1y0FWgjbB0gVlqn-q5LMJbGIsqOrzru4yowQz67dz2yc"", ""'STC'!D3:D139""),0))"),0.960724499523355)</f>
        <v>0.96072449952335504</v>
      </c>
      <c r="AA60" s="192">
        <f ca="1">IFERROR(__xludf.DUMMYFUNCTION("INDEX(IMPORTRANGE(""1y0FWgjbB0gVlqn-q5LMJbGIsqOrzru4yowQz67dz2yc"", ""'STC'!BI3:BI139""),MATCH($D60,IMPORTRANGE(""1y0FWgjbB0gVlqn-q5LMJbGIsqOrzru4yowQz67dz2yc"", ""'STC'!D3:D139""),0))"),0.960724499523355)</f>
        <v>0.96072449952335504</v>
      </c>
      <c r="AB60" s="1"/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84053</v>
      </c>
      <c r="Q61" s="12">
        <v>84053</v>
      </c>
      <c r="R61" s="2"/>
      <c r="S61" s="2"/>
      <c r="T61" s="2"/>
      <c r="U61" s="2"/>
      <c r="V61" s="2"/>
      <c r="W61" s="2"/>
      <c r="X61" s="12">
        <v>84053</v>
      </c>
      <c r="Y61" s="23">
        <f ca="1">IFERROR(__xludf.DUMMYFUNCTION("INDEX(IMPORTRANGE(""1y0FWgjbB0gVlqn-q5LMJbGIsqOrzru4yowQz67dz2yc"", ""'STC'!BG3:BG139""),MATCH($D61,IMPORTRANGE(""1y0FWgjbB0gVlqn-q5LMJbGIsqOrzru4yowQz67dz2yc"", ""'STC'!D3:D139""),0))"),84054)</f>
        <v>84054</v>
      </c>
      <c r="Z61" s="12">
        <f ca="1">IFERROR(__xludf.DUMMYFUNCTION("INDEX(IMPORTRANGE(""1y0FWgjbB0gVlqn-q5LMJbGIsqOrzru4yowQz67dz2yc"", ""'STC'!BH3:BH139""),MATCH($D61,IMPORTRANGE(""1y0FWgjbB0gVlqn-q5LMJbGIsqOrzru4yowQz67dz2yc"", ""'STC'!D3:D139""),0))"),84054)</f>
        <v>84054</v>
      </c>
      <c r="AA61" s="23">
        <f ca="1">IFERROR(__xludf.DUMMYFUNCTION("INDEX(IMPORTRANGE(""1y0FWgjbB0gVlqn-q5LMJbGIsqOrzru4yowQz67dz2yc"", ""'STC'!BI3:BI139""),MATCH($D61,IMPORTRANGE(""1y0FWgjbB0gVlqn-q5LMJbGIsqOrzru4yowQz67dz2yc"", ""'STC'!D3:D139""),0))"),84054)</f>
        <v>84054</v>
      </c>
      <c r="AB61" s="1"/>
      <c r="AC61" s="1"/>
    </row>
    <row r="62" spans="1:29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5">P61/P37</f>
        <v>0.96452997337739832</v>
      </c>
      <c r="Q62" s="15">
        <f t="shared" si="15"/>
        <v>0.96452997337739832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0.96452997337739832</v>
      </c>
      <c r="Y62" s="15">
        <f ca="1">IFERROR(__xludf.DUMMYFUNCTION("INDEX(IMPORTRANGE(""1y0FWgjbB0gVlqn-q5LMJbGIsqOrzru4yowQz67dz2yc"", ""'STC'!BG3:BG139""),MATCH($D62,IMPORTRANGE(""1y0FWgjbB0gVlqn-q5LMJbGIsqOrzru4yowQz67dz2yc"", ""'STC'!D3:D139""),0))"),0.964541448636739)</f>
        <v>0.96454144863673896</v>
      </c>
      <c r="Z62" s="15">
        <f ca="1">IFERROR(__xludf.DUMMYFUNCTION("INDEX(IMPORTRANGE(""1y0FWgjbB0gVlqn-q5LMJbGIsqOrzru4yowQz67dz2yc"", ""'STC'!BH3:BH139""),MATCH($D62,IMPORTRANGE(""1y0FWgjbB0gVlqn-q5LMJbGIsqOrzru4yowQz67dz2yc"", ""'STC'!D3:D139""),0))"),0.964541448636739)</f>
        <v>0.96454144863673896</v>
      </c>
      <c r="AA62" s="15">
        <f ca="1">IFERROR(__xludf.DUMMYFUNCTION("INDEX(IMPORTRANGE(""1y0FWgjbB0gVlqn-q5LMJbGIsqOrzru4yowQz67dz2yc"", ""'STC'!BI3:BI139""),MATCH($D62,IMPORTRANGE(""1y0FWgjbB0gVlqn-q5LMJbGIsqOrzru4yowQz67dz2yc"", ""'STC'!D3:D139""),0))"),0.964541448636739)</f>
        <v>0.96454144863673896</v>
      </c>
      <c r="AB62" s="1"/>
      <c r="AC62" s="1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30">
        <v>6302632.9800000004</v>
      </c>
      <c r="Q63" s="30">
        <v>6302632.9800000004</v>
      </c>
      <c r="R63" s="2"/>
      <c r="S63" s="2"/>
      <c r="T63" s="2"/>
      <c r="U63" s="2"/>
      <c r="V63" s="2"/>
      <c r="W63" s="2"/>
      <c r="X63" s="30">
        <v>6302632.9800000004</v>
      </c>
      <c r="Y63" s="23">
        <f ca="1">IFERROR(__xludf.DUMMYFUNCTION("INDEX(IMPORTRANGE(""1y0FWgjbB0gVlqn-q5LMJbGIsqOrzru4yowQz67dz2yc"", ""'STC'!BG3:BG139""),MATCH($D63,IMPORTRANGE(""1y0FWgjbB0gVlqn-q5LMJbGIsqOrzru4yowQz67dz2yc"", ""'STC'!D3:D139""),0))"),6302632.98)</f>
        <v>6302632.9800000004</v>
      </c>
      <c r="Z63" s="30">
        <f ca="1">IFERROR(__xludf.DUMMYFUNCTION("INDEX(IMPORTRANGE(""1y0FWgjbB0gVlqn-q5LMJbGIsqOrzru4yowQz67dz2yc"", ""'STC'!BH3:BH139""),MATCH($D63,IMPORTRANGE(""1y0FWgjbB0gVlqn-q5LMJbGIsqOrzru4yowQz67dz2yc"", ""'STC'!D3:D139""),0))"),6305681)</f>
        <v>6305681</v>
      </c>
      <c r="AA63" s="23">
        <f ca="1">IFERROR(__xludf.DUMMYFUNCTION("INDEX(IMPORTRANGE(""1y0FWgjbB0gVlqn-q5LMJbGIsqOrzru4yowQz67dz2yc"", ""'STC'!BI3:BI139""),MATCH($D63,IMPORTRANGE(""1y0FWgjbB0gVlqn-q5LMJbGIsqOrzru4yowQz67dz2yc"", ""'STC'!D3:D139""),0))"),6302632.98)</f>
        <v>6302632.9800000004</v>
      </c>
      <c r="AB63" s="1"/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30">
        <v>6347377.9800000004</v>
      </c>
      <c r="Q64" s="30">
        <v>6347377.9800000004</v>
      </c>
      <c r="R64" s="2"/>
      <c r="S64" s="2"/>
      <c r="T64" s="2"/>
      <c r="U64" s="2"/>
      <c r="V64" s="2"/>
      <c r="W64" s="2"/>
      <c r="X64" s="30">
        <v>6347377.9800000004</v>
      </c>
      <c r="Y64" s="23">
        <f ca="1">IFERROR(__xludf.DUMMYFUNCTION("INDEX(IMPORTRANGE(""1y0FWgjbB0gVlqn-q5LMJbGIsqOrzru4yowQz67dz2yc"", ""'STC'!BG3:BG139""),MATCH($D64,IMPORTRANGE(""1y0FWgjbB0gVlqn-q5LMJbGIsqOrzru4yowQz67dz2yc"", ""'STC'!D3:D139""),0))"),6347377.98)</f>
        <v>6347377.9800000004</v>
      </c>
      <c r="Z64" s="30">
        <f ca="1">IFERROR(__xludf.DUMMYFUNCTION("INDEX(IMPORTRANGE(""1y0FWgjbB0gVlqn-q5LMJbGIsqOrzru4yowQz67dz2yc"", ""'STC'!BH3:BH139""),MATCH($D64,IMPORTRANGE(""1y0FWgjbB0gVlqn-q5LMJbGIsqOrzru4yowQz67dz2yc"", ""'STC'!D3:D139""),0))"),6347377.98)</f>
        <v>6347377.9800000004</v>
      </c>
      <c r="AA64" s="23">
        <f ca="1">IFERROR(__xludf.DUMMYFUNCTION("INDEX(IMPORTRANGE(""1y0FWgjbB0gVlqn-q5LMJbGIsqOrzru4yowQz67dz2yc"", ""'STC'!BI3:BI139""),MATCH($D64,IMPORTRANGE(""1y0FWgjbB0gVlqn-q5LMJbGIsqOrzru4yowQz67dz2yc"", ""'STC'!D3:D139""),0))"),6347377.98)</f>
        <v>6347377.9800000004</v>
      </c>
      <c r="AB64" s="1"/>
      <c r="AC64" s="1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6">P63/P64</f>
        <v>0.99295063250668425</v>
      </c>
      <c r="Q65" s="15">
        <f t="shared" si="16"/>
        <v>0.99295063250668425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0.99295063250668425</v>
      </c>
      <c r="Y65" s="15">
        <f ca="1">IFERROR(__xludf.DUMMYFUNCTION("INDEX(IMPORTRANGE(""1y0FWgjbB0gVlqn-q5LMJbGIsqOrzru4yowQz67dz2yc"", ""'STC'!BG3:BG139""),MATCH($D65,IMPORTRANGE(""1y0FWgjbB0gVlqn-q5LMJbGIsqOrzru4yowQz67dz2yc"", ""'STC'!D3:D139""),0))"),0.992950632506684)</f>
        <v>0.99295063250668403</v>
      </c>
      <c r="Z65" s="15">
        <f ca="1">IFERROR(__xludf.DUMMYFUNCTION("INDEX(IMPORTRANGE(""1y0FWgjbB0gVlqn-q5LMJbGIsqOrzru4yowQz67dz2yc"", ""'STC'!BH3:BH139""),MATCH($D65,IMPORTRANGE(""1y0FWgjbB0gVlqn-q5LMJbGIsqOrzru4yowQz67dz2yc"", ""'STC'!D3:D139""),0))"),0.993430833939402)</f>
        <v>0.99343083393940201</v>
      </c>
      <c r="AA65" s="15">
        <f ca="1">IFERROR(__xludf.DUMMYFUNCTION("INDEX(IMPORTRANGE(""1y0FWgjbB0gVlqn-q5LMJbGIsqOrzru4yowQz67dz2yc"", ""'STC'!BI3:BI139""),MATCH($D65,IMPORTRANGE(""1y0FWgjbB0gVlqn-q5LMJbGIsqOrzru4yowQz67dz2yc"", ""'STC'!D3:D139""),0))"),0.992950632506684)</f>
        <v>0.99295063250668403</v>
      </c>
      <c r="AB65" s="1"/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30">
        <v>22901</v>
      </c>
      <c r="Q66" s="30">
        <v>22901</v>
      </c>
      <c r="R66" s="2"/>
      <c r="S66" s="2"/>
      <c r="T66" s="2"/>
      <c r="U66" s="2"/>
      <c r="V66" s="2"/>
      <c r="W66" s="2"/>
      <c r="X66" s="12">
        <v>22901</v>
      </c>
      <c r="Y66" s="12">
        <f ca="1">IFERROR(__xludf.DUMMYFUNCTION("INDEX(IMPORTRANGE(""1y0FWgjbB0gVlqn-q5LMJbGIsqOrzru4yowQz67dz2yc"", ""'STC'!BG3:BG139""),MATCH($D66,IMPORTRANGE(""1y0FWgjbB0gVlqn-q5LMJbGIsqOrzru4yowQz67dz2yc"", ""'STC'!D3:D139""),0))"),22901)</f>
        <v>22901</v>
      </c>
      <c r="Z66" s="12">
        <f ca="1">IFERROR(__xludf.DUMMYFUNCTION("INDEX(IMPORTRANGE(""1y0FWgjbB0gVlqn-q5LMJbGIsqOrzru4yowQz67dz2yc"", ""'STC'!BH3:BH139""),MATCH($D66,IMPORTRANGE(""1y0FWgjbB0gVlqn-q5LMJbGIsqOrzru4yowQz67dz2yc"", ""'STC'!D3:D139""),0))"),23194)</f>
        <v>23194</v>
      </c>
      <c r="AA66" s="12">
        <f ca="1">IFERROR(__xludf.DUMMYFUNCTION("INDEX(IMPORTRANGE(""1y0FWgjbB0gVlqn-q5LMJbGIsqOrzru4yowQz67dz2yc"", ""'STC'!BI3:BI139""),MATCH($D66,IMPORTRANGE(""1y0FWgjbB0gVlqn-q5LMJbGIsqOrzru4yowQz67dz2yc"", ""'STC'!D3:D139""),0))"),23269)</f>
        <v>23269</v>
      </c>
      <c r="AB66" s="1"/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30">
        <v>42125</v>
      </c>
      <c r="Q67" s="30">
        <v>42125</v>
      </c>
      <c r="R67" s="2"/>
      <c r="S67" s="2"/>
      <c r="T67" s="2"/>
      <c r="U67" s="2"/>
      <c r="V67" s="2"/>
      <c r="W67" s="2"/>
      <c r="X67" s="12">
        <v>42125</v>
      </c>
      <c r="Y67" s="12">
        <f ca="1">IFERROR(__xludf.DUMMYFUNCTION("INDEX(IMPORTRANGE(""1y0FWgjbB0gVlqn-q5LMJbGIsqOrzru4yowQz67dz2yc"", ""'STC'!BG3:BG139""),MATCH($D67,IMPORTRANGE(""1y0FWgjbB0gVlqn-q5LMJbGIsqOrzru4yowQz67dz2yc"", ""'STC'!D3:D139""),0))"),42125)</f>
        <v>42125</v>
      </c>
      <c r="Z67" s="12">
        <f ca="1">IFERROR(__xludf.DUMMYFUNCTION("INDEX(IMPORTRANGE(""1y0FWgjbB0gVlqn-q5LMJbGIsqOrzru4yowQz67dz2yc"", ""'STC'!BH3:BH139""),MATCH($D67,IMPORTRANGE(""1y0FWgjbB0gVlqn-q5LMJbGIsqOrzru4yowQz67dz2yc"", ""'STC'!D3:D139""),0))"),42125)</f>
        <v>42125</v>
      </c>
      <c r="AA67" s="12">
        <f ca="1">IFERROR(__xludf.DUMMYFUNCTION("INDEX(IMPORTRANGE(""1y0FWgjbB0gVlqn-q5LMJbGIsqOrzru4yowQz67dz2yc"", ""'STC'!BI3:BI139""),MATCH($D67,IMPORTRANGE(""1y0FWgjbB0gVlqn-q5LMJbGIsqOrzru4yowQz67dz2yc"", ""'STC'!D3:D139""),0))"),42125)</f>
        <v>42125</v>
      </c>
      <c r="AB67" s="1"/>
      <c r="AC67" s="1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7">P66/P67</f>
        <v>0.54364391691394653</v>
      </c>
      <c r="Q68" s="15">
        <f t="shared" si="17"/>
        <v>0.54364391691394653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0.54364391691394653</v>
      </c>
      <c r="Y68" s="15">
        <f ca="1">IFERROR(__xludf.DUMMYFUNCTION("INDEX(IMPORTRANGE(""1y0FWgjbB0gVlqn-q5LMJbGIsqOrzru4yowQz67dz2yc"", ""'STC'!BG3:BG139""),MATCH($D68,IMPORTRANGE(""1y0FWgjbB0gVlqn-q5LMJbGIsqOrzru4yowQz67dz2yc"", ""'STC'!D3:D139""),0))"),0.543643916913946)</f>
        <v>0.54364391691394598</v>
      </c>
      <c r="Z68" s="15">
        <f ca="1">IFERROR(__xludf.DUMMYFUNCTION("INDEX(IMPORTRANGE(""1y0FWgjbB0gVlqn-q5LMJbGIsqOrzru4yowQz67dz2yc"", ""'STC'!BH3:BH139""),MATCH($D68,IMPORTRANGE(""1y0FWgjbB0gVlqn-q5LMJbGIsqOrzru4yowQz67dz2yc"", ""'STC'!D3:D139""),0))"),0.55059940652819)</f>
        <v>0.55059940652818995</v>
      </c>
      <c r="AA68" s="15">
        <f ca="1">IFERROR(__xludf.DUMMYFUNCTION("INDEX(IMPORTRANGE(""1y0FWgjbB0gVlqn-q5LMJbGIsqOrzru4yowQz67dz2yc"", ""'STC'!BI3:BI139""),MATCH($D68,IMPORTRANGE(""1y0FWgjbB0gVlqn-q5LMJbGIsqOrzru4yowQz67dz2yc"", ""'STC'!D3:D139""),0))"),0.552379821958456)</f>
        <v>0.55237982195845603</v>
      </c>
      <c r="AB68" s="1"/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2">
        <v>0</v>
      </c>
      <c r="Q69" s="2">
        <v>0</v>
      </c>
      <c r="R69" s="2"/>
      <c r="S69" s="2"/>
      <c r="T69" s="2"/>
      <c r="U69" s="2"/>
      <c r="V69" s="2"/>
      <c r="W69" s="2"/>
      <c r="X69" s="24">
        <v>4.57</v>
      </c>
      <c r="Y69" s="23">
        <f ca="1">IFERROR(__xludf.DUMMYFUNCTION("INDEX(IMPORTRANGE(""1y0FWgjbB0gVlqn-q5LMJbGIsqOrzru4yowQz67dz2yc"", ""'STC'!BG3:BG139""),MATCH($D69,IMPORTRANGE(""1y0FWgjbB0gVlqn-q5LMJbGIsqOrzru4yowQz67dz2yc"", ""'STC'!D3:D139""),0))"),19.17)</f>
        <v>19.170000000000002</v>
      </c>
      <c r="Z69" s="24">
        <f ca="1">IFERROR(__xludf.DUMMYFUNCTION("INDEX(IMPORTRANGE(""1y0FWgjbB0gVlqn-q5LMJbGIsqOrzru4yowQz67dz2yc"", ""'STC'!BH3:BH139""),MATCH($D69,IMPORTRANGE(""1y0FWgjbB0gVlqn-q5LMJbGIsqOrzru4yowQz67dz2yc"", ""'STC'!D3:D139""),0))"),10.1)</f>
        <v>10.1</v>
      </c>
      <c r="AA69" s="23">
        <f ca="1">IFERROR(__xludf.DUMMYFUNCTION("INDEX(IMPORTRANGE(""1y0FWgjbB0gVlqn-q5LMJbGIsqOrzru4yowQz67dz2yc"", ""'STC'!BI3:BI139""),MATCH($D69,IMPORTRANGE(""1y0FWgjbB0gVlqn-q5LMJbGIsqOrzru4yowQz67dz2yc"", ""'STC'!D3:D139""),0))"),19.6)</f>
        <v>19.600000000000001</v>
      </c>
      <c r="AB69" s="1"/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2">
        <v>0</v>
      </c>
      <c r="R70" s="2"/>
      <c r="S70" s="2"/>
      <c r="T70" s="2"/>
      <c r="U70" s="2"/>
      <c r="V70" s="2"/>
      <c r="W70" s="2"/>
      <c r="X70" s="29">
        <v>0</v>
      </c>
      <c r="Y70" s="23">
        <f ca="1">IFERROR(__xludf.DUMMYFUNCTION("INDEX(IMPORTRANGE(""1y0FWgjbB0gVlqn-q5LMJbGIsqOrzru4yowQz67dz2yc"", ""'STC'!BG3:BG139""),MATCH($D70,IMPORTRANGE(""1y0FWgjbB0gVlqn-q5LMJbGIsqOrzru4yowQz67dz2yc"", ""'STC'!D3:D139""),0))"),0)</f>
        <v>0</v>
      </c>
      <c r="Z70" s="24">
        <f ca="1">IFERROR(__xludf.DUMMYFUNCTION("INDEX(IMPORTRANGE(""1y0FWgjbB0gVlqn-q5LMJbGIsqOrzru4yowQz67dz2yc"", ""'STC'!BH3:BH139""),MATCH($D70,IMPORTRANGE(""1y0FWgjbB0gVlqn-q5LMJbGIsqOrzru4yowQz67dz2yc"", ""'STC'!D3:D139""),0))"),0)</f>
        <v>0</v>
      </c>
      <c r="AA70" s="23">
        <f ca="1">IFERROR(__xludf.DUMMYFUNCTION("INDEX(IMPORTRANGE(""1y0FWgjbB0gVlqn-q5LMJbGIsqOrzru4yowQz67dz2yc"", ""'STC'!BI3:BI139""),MATCH($D70,IMPORTRANGE(""1y0FWgjbB0gVlqn-q5LMJbGIsqOrzru4yowQz67dz2yc"", ""'STC'!D3:D139""),0))"),0)</f>
        <v>0</v>
      </c>
      <c r="AB70" s="1"/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30">
        <v>0</v>
      </c>
      <c r="Q71" s="2">
        <v>0</v>
      </c>
      <c r="R71" s="2"/>
      <c r="S71" s="2"/>
      <c r="T71" s="2"/>
      <c r="U71" s="2"/>
      <c r="V71" s="2"/>
      <c r="W71" s="2"/>
      <c r="X71" s="29">
        <v>1</v>
      </c>
      <c r="Y71" s="475" t="str">
        <f ca="1">IFERROR(__xludf.DUMMYFUNCTION("INDEX(IMPORTRANGE(""1y0FWgjbB0gVlqn-q5LMJbGIsqOrzru4yowQz67dz2yc"", ""'STC'!BG3:BG139""),MATCH($D71,IMPORTRANGE(""1y0FWgjbB0gVlqn-q5LMJbGIsqOrzru4yowQz67dz2yc"", ""'STC'!D3:D139""),0))"),"")</f>
        <v/>
      </c>
      <c r="Z71" s="518" t="str">
        <f ca="1">IFERROR(__xludf.DUMMYFUNCTION("INDEX(IMPORTRANGE(""1y0FWgjbB0gVlqn-q5LMJbGIsqOrzru4yowQz67dz2yc"", ""'STC'!BH3:BH139""),MATCH($D71,IMPORTRANGE(""1y0FWgjbB0gVlqn-q5LMJbGIsqOrzru4yowQz67dz2yc"", ""'STC'!D3:D139""),0))"),"")</f>
        <v/>
      </c>
      <c r="AA71" s="475" t="str">
        <f ca="1">IFERROR(__xludf.DUMMYFUNCTION("INDEX(IMPORTRANGE(""1y0FWgjbB0gVlqn-q5LMJbGIsqOrzru4yowQz67dz2yc"", ""'STC'!BI3:BI139""),MATCH($D71,IMPORTRANGE(""1y0FWgjbB0gVlqn-q5LMJbGIsqOrzru4yowQz67dz2yc"", ""'STC'!D3:D139""),0))"),"")</f>
        <v/>
      </c>
      <c r="AB71" s="1"/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2">
        <f>P69+P70</f>
        <v>0</v>
      </c>
      <c r="Q72" s="2">
        <v>0</v>
      </c>
      <c r="R72" s="2">
        <v>6</v>
      </c>
      <c r="S72" s="2">
        <v>3</v>
      </c>
      <c r="T72" s="2">
        <v>6</v>
      </c>
      <c r="U72" s="2">
        <v>3</v>
      </c>
      <c r="V72" s="2">
        <v>6</v>
      </c>
      <c r="W72" s="2">
        <v>18</v>
      </c>
      <c r="X72" s="24">
        <f>X69+X70</f>
        <v>4.57</v>
      </c>
      <c r="Y72" s="23">
        <f ca="1">IFERROR(__xludf.DUMMYFUNCTION("INDEX(IMPORTRANGE(""1y0FWgjbB0gVlqn-q5LMJbGIsqOrzru4yowQz67dz2yc"", ""'STC'!BG3:BG139""),MATCH($D72,IMPORTRANGE(""1y0FWgjbB0gVlqn-q5LMJbGIsqOrzru4yowQz67dz2yc"", ""'STC'!D3:D139""),0))"),19.17)</f>
        <v>19.170000000000002</v>
      </c>
      <c r="Z72" s="24">
        <f ca="1">IFERROR(__xludf.DUMMYFUNCTION("INDEX(IMPORTRANGE(""1y0FWgjbB0gVlqn-q5LMJbGIsqOrzru4yowQz67dz2yc"", ""'STC'!BH3:BH139""),MATCH($D72,IMPORTRANGE(""1y0FWgjbB0gVlqn-q5LMJbGIsqOrzru4yowQz67dz2yc"", ""'STC'!D3:D139""),0))"),10.1)</f>
        <v>10.1</v>
      </c>
      <c r="AA72" s="23">
        <f ca="1">IFERROR(__xludf.DUMMYFUNCTION("INDEX(IMPORTRANGE(""1y0FWgjbB0gVlqn-q5LMJbGIsqOrzru4yowQz67dz2yc"", ""'STC'!BI3:BI139""),MATCH($D72,IMPORTRANGE(""1y0FWgjbB0gVlqn-q5LMJbGIsqOrzru4yowQz67dz2yc"", ""'STC'!D3:D139""),0))"),19.6)</f>
        <v>19.600000000000001</v>
      </c>
      <c r="AB72" s="1"/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12">
        <v>0</v>
      </c>
      <c r="Q73" s="12">
        <v>0</v>
      </c>
      <c r="R73" s="2">
        <v>1</v>
      </c>
      <c r="S73" s="2">
        <v>2</v>
      </c>
      <c r="T73" s="2">
        <v>2</v>
      </c>
      <c r="U73" s="2">
        <v>3</v>
      </c>
      <c r="V73" s="2">
        <v>4</v>
      </c>
      <c r="W73" s="2">
        <v>4</v>
      </c>
      <c r="X73" s="2">
        <v>0</v>
      </c>
      <c r="Y73" s="12">
        <f ca="1">IFERROR(__xludf.DUMMYFUNCTION("INDEX(IMPORTRANGE(""1y0FWgjbB0gVlqn-q5LMJbGIsqOrzru4yowQz67dz2yc"", ""'STC'!BG3:BG139""),MATCH($D73,IMPORTRANGE(""1y0FWgjbB0gVlqn-q5LMJbGIsqOrzru4yowQz67dz2yc"", ""'STC'!D3:D139""),0))"),0)</f>
        <v>0</v>
      </c>
      <c r="Z73" s="12">
        <f ca="1">IFERROR(__xludf.DUMMYFUNCTION("INDEX(IMPORTRANGE(""1y0FWgjbB0gVlqn-q5LMJbGIsqOrzru4yowQz67dz2yc"", ""'STC'!BH3:BH139""),MATCH($D73,IMPORTRANGE(""1y0FWgjbB0gVlqn-q5LMJbGIsqOrzru4yowQz67dz2yc"", ""'STC'!D3:D139""),0))"),0)</f>
        <v>0</v>
      </c>
      <c r="AA73" s="12">
        <f ca="1">IFERROR(__xludf.DUMMYFUNCTION("INDEX(IMPORTRANGE(""1y0FWgjbB0gVlqn-q5LMJbGIsqOrzru4yowQz67dz2yc"", ""'STC'!BI3:BI139""),MATCH($D73,IMPORTRANGE(""1y0FWgjbB0gVlqn-q5LMJbGIsqOrzru4yowQz67dz2yc"", ""'STC'!D3:D139""),0))"),0)</f>
        <v>0</v>
      </c>
      <c r="AB73" s="1"/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740.38</v>
      </c>
      <c r="Y74" s="23">
        <f ca="1">IFERROR(__xludf.DUMMYFUNCTION("INDEX(IMPORTRANGE(""1y0FWgjbB0gVlqn-q5LMJbGIsqOrzru4yowQz67dz2yc"", ""'STC'!BG3:BG139""),MATCH($D74,IMPORTRANGE(""1y0FWgjbB0gVlqn-q5LMJbGIsqOrzru4yowQz67dz2yc"", ""'STC'!D3:D139""),0))"),740.38)</f>
        <v>740.38</v>
      </c>
      <c r="Z74" s="23">
        <f ca="1">IFERROR(__xludf.DUMMYFUNCTION("INDEX(IMPORTRANGE(""1y0FWgjbB0gVlqn-q5LMJbGIsqOrzru4yowQz67dz2yc"", ""'STC'!BH3:BH139""),MATCH($D74,IMPORTRANGE(""1y0FWgjbB0gVlqn-q5LMJbGIsqOrzru4yowQz67dz2yc"", ""'STC'!D3:D139""),0))"),0)</f>
        <v>0</v>
      </c>
      <c r="AA74" s="23">
        <f ca="1">IFERROR(__xludf.DUMMYFUNCTION("INDEX(IMPORTRANGE(""1y0FWgjbB0gVlqn-q5LMJbGIsqOrzru4yowQz67dz2yc"", ""'STC'!BI3:BI139""),MATCH($D74,IMPORTRANGE(""1y0FWgjbB0gVlqn-q5LMJbGIsqOrzru4yowQz67dz2yc"", ""'STC'!D3:D139""),0))"),19945.48)</f>
        <v>19945.48</v>
      </c>
      <c r="AB74" s="1"/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2"/>
      <c r="S75" s="2"/>
      <c r="T75" s="2"/>
      <c r="U75" s="2"/>
      <c r="V75" s="2"/>
      <c r="W75" s="2"/>
      <c r="X75" s="2">
        <v>1870.34</v>
      </c>
      <c r="Y75" s="23">
        <f ca="1">IFERROR(__xludf.DUMMYFUNCTION("INDEX(IMPORTRANGE(""1y0FWgjbB0gVlqn-q5LMJbGIsqOrzru4yowQz67dz2yc"", ""'STC'!BG3:BG139""),MATCH($D75,IMPORTRANGE(""1y0FWgjbB0gVlqn-q5LMJbGIsqOrzru4yowQz67dz2yc"", ""'STC'!D3:D139""),0))"),5653.03)</f>
        <v>5653.03</v>
      </c>
      <c r="Z75" s="23">
        <f ca="1">IFERROR(__xludf.DUMMYFUNCTION("INDEX(IMPORTRANGE(""1y0FWgjbB0gVlqn-q5LMJbGIsqOrzru4yowQz67dz2yc"", ""'STC'!BH3:BH139""),MATCH($D75,IMPORTRANGE(""1y0FWgjbB0gVlqn-q5LMJbGIsqOrzru4yowQz67dz2yc"", ""'STC'!D3:D139""),0))"),2682.37)</f>
        <v>2682.37</v>
      </c>
      <c r="AA75" s="23">
        <f ca="1">IFERROR(__xludf.DUMMYFUNCTION("INDEX(IMPORTRANGE(""1y0FWgjbB0gVlqn-q5LMJbGIsqOrzru4yowQz67dz2yc"", ""'STC'!BI3:BI139""),MATCH($D75,IMPORTRANGE(""1y0FWgjbB0gVlqn-q5LMJbGIsqOrzru4yowQz67dz2yc"", ""'STC'!D3:D139""),0))"),4679.85)</f>
        <v>4679.8500000000004</v>
      </c>
      <c r="AB75" s="1"/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2"/>
      <c r="S76" s="2"/>
      <c r="T76" s="2"/>
      <c r="U76" s="2"/>
      <c r="V76" s="2"/>
      <c r="W76" s="2"/>
      <c r="X76" s="2">
        <v>0</v>
      </c>
      <c r="Y76" s="23">
        <f ca="1">IFERROR(__xludf.DUMMYFUNCTION("INDEX(IMPORTRANGE(""1y0FWgjbB0gVlqn-q5LMJbGIsqOrzru4yowQz67dz2yc"", ""'STC'!BG3:BG139""),MATCH($D76,IMPORTRANGE(""1y0FWgjbB0gVlqn-q5LMJbGIsqOrzru4yowQz67dz2yc"", ""'STC'!D3:D139""),0))"),0)</f>
        <v>0</v>
      </c>
      <c r="Z76" s="23">
        <f ca="1">IFERROR(__xludf.DUMMYFUNCTION("INDEX(IMPORTRANGE(""1y0FWgjbB0gVlqn-q5LMJbGIsqOrzru4yowQz67dz2yc"", ""'STC'!BH3:BH139""),MATCH($D76,IMPORTRANGE(""1y0FWgjbB0gVlqn-q5LMJbGIsqOrzru4yowQz67dz2yc"", ""'STC'!D3:D139""),0))"),0)</f>
        <v>0</v>
      </c>
      <c r="AA76" s="23">
        <f ca="1">IFERROR(__xludf.DUMMYFUNCTION("INDEX(IMPORTRANGE(""1y0FWgjbB0gVlqn-q5LMJbGIsqOrzru4yowQz67dz2yc"", ""'STC'!BI3:BI139""),MATCH($D76,IMPORTRANGE(""1y0FWgjbB0gVlqn-q5LMJbGIsqOrzru4yowQz67dz2yc"", ""'STC'!D3:D139""),0))"),0)</f>
        <v>0</v>
      </c>
      <c r="AB76" s="1"/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30">
        <f>P74+P75+P76</f>
        <v>0</v>
      </c>
      <c r="Q77" s="2"/>
      <c r="R77" s="12">
        <v>1666</v>
      </c>
      <c r="S77" s="2">
        <v>833</v>
      </c>
      <c r="T77" s="12">
        <v>1666</v>
      </c>
      <c r="U77" s="2">
        <v>833</v>
      </c>
      <c r="V77" s="12">
        <v>1666</v>
      </c>
      <c r="W77" s="30">
        <v>4997.1400000000003</v>
      </c>
      <c r="X77" s="30">
        <f>X74+X75+X76</f>
        <v>2610.7199999999998</v>
      </c>
      <c r="Y77" s="23">
        <f ca="1">IFERROR(__xludf.DUMMYFUNCTION("INDEX(IMPORTRANGE(""1y0FWgjbB0gVlqn-q5LMJbGIsqOrzru4yowQz67dz2yc"", ""'STC'!BG3:BG139""),MATCH($D77,IMPORTRANGE(""1y0FWgjbB0gVlqn-q5LMJbGIsqOrzru4yowQz67dz2yc"", ""'STC'!D3:D139""),0))"),6393.41)</f>
        <v>6393.41</v>
      </c>
      <c r="Z77" s="30">
        <f ca="1">IFERROR(__xludf.DUMMYFUNCTION("INDEX(IMPORTRANGE(""1y0FWgjbB0gVlqn-q5LMJbGIsqOrzru4yowQz67dz2yc"", ""'STC'!BH3:BH139""),MATCH($D77,IMPORTRANGE(""1y0FWgjbB0gVlqn-q5LMJbGIsqOrzru4yowQz67dz2yc"", ""'STC'!D3:D139""),0))"),2682.37)</f>
        <v>2682.37</v>
      </c>
      <c r="AA77" s="23">
        <f ca="1">IFERROR(__xludf.DUMMYFUNCTION("INDEX(IMPORTRANGE(""1y0FWgjbB0gVlqn-q5LMJbGIsqOrzru4yowQz67dz2yc"", ""'STC'!BI3:BI139""),MATCH($D77,IMPORTRANGE(""1y0FWgjbB0gVlqn-q5LMJbGIsqOrzru4yowQz67dz2yc"", ""'STC'!D3:D139""),0))"),24625.33)</f>
        <v>24625.33</v>
      </c>
      <c r="AB77" s="1"/>
      <c r="AC77" s="1"/>
    </row>
    <row r="78" spans="1:29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9" t="s">
        <v>213</v>
      </c>
      <c r="H78" s="2" t="s">
        <v>214</v>
      </c>
      <c r="I78" s="9" t="s">
        <v>215</v>
      </c>
      <c r="J78" s="182"/>
      <c r="K78" s="9" t="s">
        <v>216</v>
      </c>
      <c r="L78" s="182"/>
      <c r="M78" s="9" t="s">
        <v>217</v>
      </c>
      <c r="N78" s="2" t="s">
        <v>218</v>
      </c>
      <c r="O78" s="2" t="s">
        <v>218</v>
      </c>
      <c r="P78" s="36">
        <v>17147781.029999997</v>
      </c>
      <c r="Q78" s="36">
        <v>17147781.029999997</v>
      </c>
      <c r="R78" s="2"/>
      <c r="S78" s="2"/>
      <c r="T78" s="2"/>
      <c r="U78" s="2"/>
      <c r="V78" s="2"/>
      <c r="W78" s="2"/>
      <c r="X78" s="36">
        <v>17147781.029999997</v>
      </c>
      <c r="Y78" s="476" t="str">
        <f ca="1">IFERROR(__xludf.DUMMYFUNCTION("INDEX(IMPORTRANGE(""1y0FWgjbB0gVlqn-q5LMJbGIsqOrzru4yowQz67dz2yc"", ""'STC'!BG3:BG139""),MATCH($D78,IMPORTRANGE(""1y0FWgjbB0gVlqn-q5LMJbGIsqOrzru4yowQz67dz2yc"", ""'STC'!D3:D139""),0))"),"")</f>
        <v/>
      </c>
      <c r="Z78" s="36">
        <f ca="1">IFERROR(__xludf.DUMMYFUNCTION("INDEX(IMPORTRANGE(""1y0FWgjbB0gVlqn-q5LMJbGIsqOrzru4yowQz67dz2yc"", ""'STC'!BH3:BH139""),MATCH($D78,IMPORTRANGE(""1y0FWgjbB0gVlqn-q5LMJbGIsqOrzru4yowQz67dz2yc"", ""'STC'!D3:D139""),0))"),18080269.07)</f>
        <v>18080269.07</v>
      </c>
      <c r="AA78" s="476" t="str">
        <f ca="1">IFERROR(__xludf.DUMMYFUNCTION("INDEX(IMPORTRANGE(""1y0FWgjbB0gVlqn-q5LMJbGIsqOrzru4yowQz67dz2yc"", ""'STC'!BI3:BI139""),MATCH($D78,IMPORTRANGE(""1y0FWgjbB0gVlqn-q5LMJbGIsqOrzru4yowQz67dz2yc"", ""'STC'!D3:D139""),0))"),"")</f>
        <v/>
      </c>
      <c r="AB78" s="1"/>
      <c r="AC78" s="1"/>
    </row>
    <row r="79" spans="1:29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9" t="s">
        <v>213</v>
      </c>
      <c r="H79" s="2" t="s">
        <v>214</v>
      </c>
      <c r="I79" s="9" t="s">
        <v>215</v>
      </c>
      <c r="J79" s="182"/>
      <c r="K79" s="9" t="s">
        <v>216</v>
      </c>
      <c r="L79" s="182"/>
      <c r="M79" s="9" t="s">
        <v>217</v>
      </c>
      <c r="N79" s="2" t="s">
        <v>218</v>
      </c>
      <c r="O79" s="2" t="s">
        <v>218</v>
      </c>
      <c r="P79" s="36">
        <v>1843794.19</v>
      </c>
      <c r="Q79" s="36">
        <v>1843794.19</v>
      </c>
      <c r="R79" s="2"/>
      <c r="S79" s="2"/>
      <c r="T79" s="2"/>
      <c r="U79" s="2"/>
      <c r="V79" s="2"/>
      <c r="W79" s="2"/>
      <c r="X79" s="36">
        <v>1843794.19</v>
      </c>
      <c r="Y79" s="476" t="str">
        <f ca="1">IFERROR(__xludf.DUMMYFUNCTION("INDEX(IMPORTRANGE(""1y0FWgjbB0gVlqn-q5LMJbGIsqOrzru4yowQz67dz2yc"", ""'STC'!BG3:BG139""),MATCH($D79,IMPORTRANGE(""1y0FWgjbB0gVlqn-q5LMJbGIsqOrzru4yowQz67dz2yc"", ""'STC'!D3:D139""),0))"),"")</f>
        <v/>
      </c>
      <c r="Z79" s="36">
        <f ca="1">IFERROR(__xludf.DUMMYFUNCTION("INDEX(IMPORTRANGE(""1y0FWgjbB0gVlqn-q5LMJbGIsqOrzru4yowQz67dz2yc"", ""'STC'!BH3:BH139""),MATCH($D79,IMPORTRANGE(""1y0FWgjbB0gVlqn-q5LMJbGIsqOrzru4yowQz67dz2yc"", ""'STC'!D3:D139""),0))"),4053814.24)</f>
        <v>4053814.24</v>
      </c>
      <c r="AA79" s="476" t="str">
        <f ca="1">IFERROR(__xludf.DUMMYFUNCTION("INDEX(IMPORTRANGE(""1y0FWgjbB0gVlqn-q5LMJbGIsqOrzru4yowQz67dz2yc"", ""'STC'!BI3:BI139""),MATCH($D79,IMPORTRANGE(""1y0FWgjbB0gVlqn-q5LMJbGIsqOrzru4yowQz67dz2yc"", ""'STC'!D3:D139""),0))"),"")</f>
        <v/>
      </c>
      <c r="AB79" s="1"/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9" t="s">
        <v>213</v>
      </c>
      <c r="H80" s="2" t="s">
        <v>214</v>
      </c>
      <c r="I80" s="9" t="s">
        <v>215</v>
      </c>
      <c r="J80" s="182"/>
      <c r="K80" s="9" t="s">
        <v>216</v>
      </c>
      <c r="L80" s="182"/>
      <c r="M80" s="9" t="s">
        <v>217</v>
      </c>
      <c r="N80" s="2" t="s">
        <v>218</v>
      </c>
      <c r="O80" s="2" t="s">
        <v>218</v>
      </c>
      <c r="P80" s="15">
        <f t="shared" ref="P80:Q80" si="18">P79/P78</f>
        <v>0.10752377737820928</v>
      </c>
      <c r="Q80" s="15">
        <f t="shared" si="18"/>
        <v>0.10752377737820928</v>
      </c>
      <c r="R80" s="26"/>
      <c r="S80" s="26">
        <v>0.1183</v>
      </c>
      <c r="T80" s="26"/>
      <c r="U80" s="26">
        <v>0.12920000000000001</v>
      </c>
      <c r="V80" s="14">
        <v>0.14000000000000001</v>
      </c>
      <c r="W80" s="14">
        <v>0.14000000000000001</v>
      </c>
      <c r="X80" s="15">
        <f>X79/X78</f>
        <v>0.10752377737820928</v>
      </c>
      <c r="Y80" s="476" t="str">
        <f ca="1">IFERROR(__xludf.DUMMYFUNCTION("INDEX(IMPORTRANGE(""1y0FWgjbB0gVlqn-q5LMJbGIsqOrzru4yowQz67dz2yc"", ""'STC'!BG3:BG139""),MATCH($D80,IMPORTRANGE(""1y0FWgjbB0gVlqn-q5LMJbGIsqOrzru4yowQz67dz2yc"", ""'STC'!D3:D139""),0))"),"")</f>
        <v/>
      </c>
      <c r="Z80" s="15">
        <f ca="1">IFERROR(__xludf.DUMMYFUNCTION("INDEX(IMPORTRANGE(""1y0FWgjbB0gVlqn-q5LMJbGIsqOrzru4yowQz67dz2yc"", ""'STC'!BH3:BH139""),MATCH($D80,IMPORTRANGE(""1y0FWgjbB0gVlqn-q5LMJbGIsqOrzru4yowQz67dz2yc"", ""'STC'!D3:D139""),0))"),0.224212052614104)</f>
        <v>0.22421205261410401</v>
      </c>
      <c r="AA80" s="476" t="str">
        <f ca="1">IFERROR(__xludf.DUMMYFUNCTION("INDEX(IMPORTRANGE(""1y0FWgjbB0gVlqn-q5LMJbGIsqOrzru4yowQz67dz2yc"", ""'STC'!BI3:BI139""),MATCH($D80,IMPORTRANGE(""1y0FWgjbB0gVlqn-q5LMJbGIsqOrzru4yowQz67dz2yc"", ""'STC'!D3:D139""),0))"),"")</f>
        <v/>
      </c>
      <c r="AB80" s="1"/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19</v>
      </c>
      <c r="Q81" s="2">
        <v>19</v>
      </c>
      <c r="R81" s="2"/>
      <c r="S81" s="2"/>
      <c r="T81" s="2"/>
      <c r="U81" s="2"/>
      <c r="V81" s="2"/>
      <c r="W81" s="2"/>
      <c r="X81" s="2">
        <v>0</v>
      </c>
      <c r="Y81" s="12">
        <f ca="1">IFERROR(__xludf.DUMMYFUNCTION("INDEX(IMPORTRANGE(""1y0FWgjbB0gVlqn-q5LMJbGIsqOrzru4yowQz67dz2yc"", ""'STC'!BG3:BG139""),MATCH($D81,IMPORTRANGE(""1y0FWgjbB0gVlqn-q5LMJbGIsqOrzru4yowQz67dz2yc"", ""'STC'!D3:D139""),0))"),4)</f>
        <v>4</v>
      </c>
      <c r="Z81" s="12">
        <f ca="1">IFERROR(__xludf.DUMMYFUNCTION("INDEX(IMPORTRANGE(""1y0FWgjbB0gVlqn-q5LMJbGIsqOrzru4yowQz67dz2yc"", ""'STC'!BH3:BH139""),MATCH($D81,IMPORTRANGE(""1y0FWgjbB0gVlqn-q5LMJbGIsqOrzru4yowQz67dz2yc"", ""'STC'!D3:D139""),0))"),4)</f>
        <v>4</v>
      </c>
      <c r="AA81" s="12">
        <f ca="1">IFERROR(__xludf.DUMMYFUNCTION("INDEX(IMPORTRANGE(""1y0FWgjbB0gVlqn-q5LMJbGIsqOrzru4yowQz67dz2yc"", ""'STC'!BI3:BI139""),MATCH($D81,IMPORTRANGE(""1y0FWgjbB0gVlqn-q5LMJbGIsqOrzru4yowQz67dz2yc"", ""'STC'!D3:D139""),0))"),13)</f>
        <v>13</v>
      </c>
      <c r="AB81" s="1"/>
      <c r="AC81" s="1"/>
    </row>
    <row r="82" spans="1:29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6</v>
      </c>
      <c r="Q82" s="2">
        <v>6</v>
      </c>
      <c r="R82" s="2"/>
      <c r="S82" s="2"/>
      <c r="T82" s="2"/>
      <c r="U82" s="2"/>
      <c r="V82" s="2"/>
      <c r="W82" s="2"/>
      <c r="X82" s="2">
        <v>0</v>
      </c>
      <c r="Y82" s="12">
        <f ca="1">IFERROR(__xludf.DUMMYFUNCTION("INDEX(IMPORTRANGE(""1y0FWgjbB0gVlqn-q5LMJbGIsqOrzru4yowQz67dz2yc"", ""'STC'!BG3:BG139""),MATCH($D82,IMPORTRANGE(""1y0FWgjbB0gVlqn-q5LMJbGIsqOrzru4yowQz67dz2yc"", ""'STC'!D3:D139""),0))"),0)</f>
        <v>0</v>
      </c>
      <c r="Z82" s="12">
        <f ca="1">IFERROR(__xludf.DUMMYFUNCTION("INDEX(IMPORTRANGE(""1y0FWgjbB0gVlqn-q5LMJbGIsqOrzru4yowQz67dz2yc"", ""'STC'!BH3:BH139""),MATCH($D82,IMPORTRANGE(""1y0FWgjbB0gVlqn-q5LMJbGIsqOrzru4yowQz67dz2yc"", ""'STC'!D3:D139""),0))"),0)</f>
        <v>0</v>
      </c>
      <c r="AA82" s="12">
        <f ca="1">IFERROR(__xludf.DUMMYFUNCTION("INDEX(IMPORTRANGE(""1y0FWgjbB0gVlqn-q5LMJbGIsqOrzru4yowQz67dz2yc"", ""'STC'!BI3:BI139""),MATCH($D82,IMPORTRANGE(""1y0FWgjbB0gVlqn-q5LMJbGIsqOrzru4yowQz67dz2yc"", ""'STC'!D3:D139""),0))"),15)</f>
        <v>15</v>
      </c>
      <c r="AB82" s="1"/>
      <c r="AC82" s="1"/>
    </row>
    <row r="83" spans="1:29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19">P81+P82</f>
        <v>25</v>
      </c>
      <c r="Q83" s="2">
        <f t="shared" si="19"/>
        <v>25</v>
      </c>
      <c r="R83" s="2">
        <v>9</v>
      </c>
      <c r="S83" s="2">
        <v>5</v>
      </c>
      <c r="T83" s="2">
        <v>9</v>
      </c>
      <c r="U83" s="2">
        <v>5</v>
      </c>
      <c r="V83" s="2">
        <v>9</v>
      </c>
      <c r="W83" s="2">
        <v>28</v>
      </c>
      <c r="X83" s="2">
        <f>SUM(X81:X82)</f>
        <v>0</v>
      </c>
      <c r="Y83" s="12">
        <f ca="1">IFERROR(__xludf.DUMMYFUNCTION("INDEX(IMPORTRANGE(""1y0FWgjbB0gVlqn-q5LMJbGIsqOrzru4yowQz67dz2yc"", ""'STC'!BG3:BG139""),MATCH($D83,IMPORTRANGE(""1y0FWgjbB0gVlqn-q5LMJbGIsqOrzru4yowQz67dz2yc"", ""'STC'!D3:D139""),0))"),4)</f>
        <v>4</v>
      </c>
      <c r="Z83" s="12">
        <f ca="1">IFERROR(__xludf.DUMMYFUNCTION("INDEX(IMPORTRANGE(""1y0FWgjbB0gVlqn-q5LMJbGIsqOrzru4yowQz67dz2yc"", ""'STC'!BH3:BH139""),MATCH($D83,IMPORTRANGE(""1y0FWgjbB0gVlqn-q5LMJbGIsqOrzru4yowQz67dz2yc"", ""'STC'!D3:D139""),0))"),4)</f>
        <v>4</v>
      </c>
      <c r="AA83" s="12">
        <f ca="1">IFERROR(__xludf.DUMMYFUNCTION("INDEX(IMPORTRANGE(""1y0FWgjbB0gVlqn-q5LMJbGIsqOrzru4yowQz67dz2yc"", ""'STC'!BI3:BI139""),MATCH($D83,IMPORTRANGE(""1y0FWgjbB0gVlqn-q5LMJbGIsqOrzru4yowQz67dz2yc"", ""'STC'!D3:D139""),0))"),28)</f>
        <v>28</v>
      </c>
      <c r="AB83" s="1"/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51</v>
      </c>
      <c r="Q84" s="2">
        <v>77</v>
      </c>
      <c r="R84" s="2"/>
      <c r="S84" s="2"/>
      <c r="T84" s="2"/>
      <c r="U84" s="2"/>
      <c r="V84" s="2"/>
      <c r="W84" s="2"/>
      <c r="X84" s="2">
        <v>40</v>
      </c>
      <c r="Y84" s="12">
        <f ca="1">IFERROR(__xludf.DUMMYFUNCTION("INDEX(IMPORTRANGE(""1y0FWgjbB0gVlqn-q5LMJbGIsqOrzru4yowQz67dz2yc"", ""'STC'!BG3:BG139""),MATCH($D84,IMPORTRANGE(""1y0FWgjbB0gVlqn-q5LMJbGIsqOrzru4yowQz67dz2yc"", ""'STC'!D3:D139""),0))"),1564)</f>
        <v>1564</v>
      </c>
      <c r="Z84" s="12">
        <f ca="1">IFERROR(__xludf.DUMMYFUNCTION("INDEX(IMPORTRANGE(""1y0FWgjbB0gVlqn-q5LMJbGIsqOrzru4yowQz67dz2yc"", ""'STC'!BH3:BH139""),MATCH($D84,IMPORTRANGE(""1y0FWgjbB0gVlqn-q5LMJbGIsqOrzru4yowQz67dz2yc"", ""'STC'!D3:D139""),0))"),25)</f>
        <v>25</v>
      </c>
      <c r="AA84" s="12">
        <f ca="1">IFERROR(__xludf.DUMMYFUNCTION("INDEX(IMPORTRANGE(""1y0FWgjbB0gVlqn-q5LMJbGIsqOrzru4yowQz67dz2yc"", ""'STC'!BI3:BI139""),MATCH($D84,IMPORTRANGE(""1y0FWgjbB0gVlqn-q5LMJbGIsqOrzru4yowQz67dz2yc"", ""'STC'!D3:D139""),0))"),90)</f>
        <v>90</v>
      </c>
      <c r="AB84" s="1"/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5</v>
      </c>
      <c r="Q85" s="2">
        <v>7</v>
      </c>
      <c r="R85" s="2"/>
      <c r="S85" s="2"/>
      <c r="T85" s="2"/>
      <c r="U85" s="2"/>
      <c r="V85" s="2"/>
      <c r="W85" s="2"/>
      <c r="X85" s="2">
        <v>3</v>
      </c>
      <c r="Y85" s="12">
        <f ca="1">IFERROR(__xludf.DUMMYFUNCTION("INDEX(IMPORTRANGE(""1y0FWgjbB0gVlqn-q5LMJbGIsqOrzru4yowQz67dz2yc"", ""'STC'!BG3:BG139""),MATCH($D85,IMPORTRANGE(""1y0FWgjbB0gVlqn-q5LMJbGIsqOrzru4yowQz67dz2yc"", ""'STC'!D3:D139""),0))"),131)</f>
        <v>131</v>
      </c>
      <c r="Z85" s="12">
        <f ca="1">IFERROR(__xludf.DUMMYFUNCTION("INDEX(IMPORTRANGE(""1y0FWgjbB0gVlqn-q5LMJbGIsqOrzru4yowQz67dz2yc"", ""'STC'!BH3:BH139""),MATCH($D85,IMPORTRANGE(""1y0FWgjbB0gVlqn-q5LMJbGIsqOrzru4yowQz67dz2yc"", ""'STC'!D3:D139""),0))"),3)</f>
        <v>3</v>
      </c>
      <c r="AA85" s="12">
        <f ca="1">IFERROR(__xludf.DUMMYFUNCTION("INDEX(IMPORTRANGE(""1y0FWgjbB0gVlqn-q5LMJbGIsqOrzru4yowQz67dz2yc"", ""'STC'!BI3:BI139""),MATCH($D85,IMPORTRANGE(""1y0FWgjbB0gVlqn-q5LMJbGIsqOrzru4yowQz67dz2yc"", ""'STC'!D3:D139""),0))"),12)</f>
        <v>12</v>
      </c>
      <c r="AB85" s="1"/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1650</v>
      </c>
      <c r="Q86" s="12">
        <v>2853</v>
      </c>
      <c r="R86" s="2"/>
      <c r="S86" s="2"/>
      <c r="T86" s="2"/>
      <c r="U86" s="2"/>
      <c r="V86" s="2"/>
      <c r="W86" s="2"/>
      <c r="X86" s="12">
        <v>1738</v>
      </c>
      <c r="Y86" s="12">
        <f ca="1">IFERROR(__xludf.DUMMYFUNCTION("INDEX(IMPORTRANGE(""1y0FWgjbB0gVlqn-q5LMJbGIsqOrzru4yowQz67dz2yc"", ""'STC'!BG3:BG139""),MATCH($D86,IMPORTRANGE(""1y0FWgjbB0gVlqn-q5LMJbGIsqOrzru4yowQz67dz2yc"", ""'STC'!D3:D139""),0))"),1740)</f>
        <v>1740</v>
      </c>
      <c r="Z86" s="12">
        <f ca="1">IFERROR(__xludf.DUMMYFUNCTION("INDEX(IMPORTRANGE(""1y0FWgjbB0gVlqn-q5LMJbGIsqOrzru4yowQz67dz2yc"", ""'STC'!BH3:BH139""),MATCH($D86,IMPORTRANGE(""1y0FWgjbB0gVlqn-q5LMJbGIsqOrzru4yowQz67dz2yc"", ""'STC'!D3:D139""),0))"),1213)</f>
        <v>1213</v>
      </c>
      <c r="AA86" s="12">
        <f ca="1">IFERROR(__xludf.DUMMYFUNCTION("INDEX(IMPORTRANGE(""1y0FWgjbB0gVlqn-q5LMJbGIsqOrzru4yowQz67dz2yc"", ""'STC'!BI3:BI139""),MATCH($D86,IMPORTRANGE(""1y0FWgjbB0gVlqn-q5LMJbGIsqOrzru4yowQz67dz2yc"", ""'STC'!D3:D139""),0))"),2419)</f>
        <v>2419</v>
      </c>
      <c r="AB86" s="1"/>
      <c r="AC86" s="1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65</v>
      </c>
      <c r="Q87" s="12">
        <v>139</v>
      </c>
      <c r="R87" s="2"/>
      <c r="S87" s="2"/>
      <c r="T87" s="2"/>
      <c r="U87" s="2"/>
      <c r="V87" s="2"/>
      <c r="W87" s="2"/>
      <c r="X87" s="12">
        <v>88</v>
      </c>
      <c r="Y87" s="12">
        <f ca="1">IFERROR(__xludf.DUMMYFUNCTION("INDEX(IMPORTRANGE(""1y0FWgjbB0gVlqn-q5LMJbGIsqOrzru4yowQz67dz2yc"", ""'STC'!BG3:BG139""),MATCH($D87,IMPORTRANGE(""1y0FWgjbB0gVlqn-q5LMJbGIsqOrzru4yowQz67dz2yc"", ""'STC'!D3:D139""),0))"),210)</f>
        <v>210</v>
      </c>
      <c r="Z87" s="12">
        <f ca="1">IFERROR(__xludf.DUMMYFUNCTION("INDEX(IMPORTRANGE(""1y0FWgjbB0gVlqn-q5LMJbGIsqOrzru4yowQz67dz2yc"", ""'STC'!BH3:BH139""),MATCH($D87,IMPORTRANGE(""1y0FWgjbB0gVlqn-q5LMJbGIsqOrzru4yowQz67dz2yc"", ""'STC'!D3:D139""),0))"),77)</f>
        <v>77</v>
      </c>
      <c r="AA87" s="12">
        <f ca="1">IFERROR(__xludf.DUMMYFUNCTION("INDEX(IMPORTRANGE(""1y0FWgjbB0gVlqn-q5LMJbGIsqOrzru4yowQz67dz2yc"", ""'STC'!BI3:BI139""),MATCH($D87,IMPORTRANGE(""1y0FWgjbB0gVlqn-q5LMJbGIsqOrzru4yowQz67dz2yc"", ""'STC'!D3:D139""),0))"),171)</f>
        <v>171</v>
      </c>
      <c r="AB87" s="1"/>
      <c r="AC87" s="1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173</v>
      </c>
      <c r="Q88" s="12">
        <v>313</v>
      </c>
      <c r="R88" s="2"/>
      <c r="S88" s="2"/>
      <c r="T88" s="2"/>
      <c r="U88" s="2"/>
      <c r="V88" s="2"/>
      <c r="W88" s="2"/>
      <c r="X88" s="12">
        <v>413</v>
      </c>
      <c r="Y88" s="12">
        <f ca="1">IFERROR(__xludf.DUMMYFUNCTION("INDEX(IMPORTRANGE(""1y0FWgjbB0gVlqn-q5LMJbGIsqOrzru4yowQz67dz2yc"", ""'STC'!BG3:BG139""),MATCH($D88,IMPORTRANGE(""1y0FWgjbB0gVlqn-q5LMJbGIsqOrzru4yowQz67dz2yc"", ""'STC'!D3:D139""),0))"),852)</f>
        <v>852</v>
      </c>
      <c r="Z88" s="12">
        <f ca="1">IFERROR(__xludf.DUMMYFUNCTION("INDEX(IMPORTRANGE(""1y0FWgjbB0gVlqn-q5LMJbGIsqOrzru4yowQz67dz2yc"", ""'STC'!BH3:BH139""),MATCH($D88,IMPORTRANGE(""1y0FWgjbB0gVlqn-q5LMJbGIsqOrzru4yowQz67dz2yc"", ""'STC'!D3:D139""),0))"),195)</f>
        <v>195</v>
      </c>
      <c r="AA88" s="12">
        <f ca="1">IFERROR(__xludf.DUMMYFUNCTION("INDEX(IMPORTRANGE(""1y0FWgjbB0gVlqn-q5LMJbGIsqOrzru4yowQz67dz2yc"", ""'STC'!BI3:BI139""),MATCH($D88,IMPORTRANGE(""1y0FWgjbB0gVlqn-q5LMJbGIsqOrzru4yowQz67dz2yc"", ""'STC'!D3:D139""),0))"),496)</f>
        <v>496</v>
      </c>
      <c r="AB88" s="1"/>
      <c r="AC88" s="1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v>1944</v>
      </c>
      <c r="Q89" s="12">
        <v>3389</v>
      </c>
      <c r="R89" s="2">
        <v>3009.3</v>
      </c>
      <c r="S89" s="2">
        <v>1508.4</v>
      </c>
      <c r="T89" s="2">
        <v>2629.7</v>
      </c>
      <c r="U89" s="2">
        <v>1290.5999999999999</v>
      </c>
      <c r="V89" s="2">
        <v>2250</v>
      </c>
      <c r="W89" s="2">
        <v>2250</v>
      </c>
      <c r="X89" s="12">
        <v>2282</v>
      </c>
      <c r="Y89" s="12">
        <f ca="1">IFERROR(__xludf.DUMMYFUNCTION("INDEX(IMPORTRANGE(""1y0FWgjbB0gVlqn-q5LMJbGIsqOrzru4yowQz67dz2yc"", ""'STC'!BG3:BG139""),MATCH($D89,IMPORTRANGE(""1y0FWgjbB0gVlqn-q5LMJbGIsqOrzru4yowQz67dz2yc"", ""'STC'!D3:D139""),0))"),4497)</f>
        <v>4497</v>
      </c>
      <c r="Z89" s="12">
        <f ca="1">IFERROR(__xludf.DUMMYFUNCTION("INDEX(IMPORTRANGE(""1y0FWgjbB0gVlqn-q5LMJbGIsqOrzru4yowQz67dz2yc"", ""'STC'!BH3:BH139""),MATCH($D89,IMPORTRANGE(""1y0FWgjbB0gVlqn-q5LMJbGIsqOrzru4yowQz67dz2yc"", ""'STC'!D3:D139""),0))"),1513)</f>
        <v>1513</v>
      </c>
      <c r="AA89" s="12">
        <f ca="1">IFERROR(__xludf.DUMMYFUNCTION("INDEX(IMPORTRANGE(""1y0FWgjbB0gVlqn-q5LMJbGIsqOrzru4yowQz67dz2yc"", ""'STC'!BI3:BI139""),MATCH($D89,IMPORTRANGE(""1y0FWgjbB0gVlqn-q5LMJbGIsqOrzru4yowQz67dz2yc"", ""'STC'!D3:D139""),0))"),3188)</f>
        <v>3188</v>
      </c>
      <c r="AB89" s="1"/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1</v>
      </c>
      <c r="Q90" s="12">
        <v>1</v>
      </c>
      <c r="R90" s="2">
        <v>1</v>
      </c>
      <c r="S90" s="2">
        <v>2</v>
      </c>
      <c r="T90" s="2">
        <v>3</v>
      </c>
      <c r="U90" s="2">
        <v>3</v>
      </c>
      <c r="V90" s="2">
        <v>4</v>
      </c>
      <c r="W90" s="2">
        <v>4</v>
      </c>
      <c r="X90" s="2">
        <v>8</v>
      </c>
      <c r="Y90" s="12">
        <f ca="1">IFERROR(__xludf.DUMMYFUNCTION("INDEX(IMPORTRANGE(""1y0FWgjbB0gVlqn-q5LMJbGIsqOrzru4yowQz67dz2yc"", ""'STC'!BG3:BG139""),MATCH($D90,IMPORTRANGE(""1y0FWgjbB0gVlqn-q5LMJbGIsqOrzru4yowQz67dz2yc"", ""'STC'!D3:D139""),0))"),9)</f>
        <v>9</v>
      </c>
      <c r="Z90" s="12">
        <f ca="1">IFERROR(__xludf.DUMMYFUNCTION("INDEX(IMPORTRANGE(""1y0FWgjbB0gVlqn-q5LMJbGIsqOrzru4yowQz67dz2yc"", ""'STC'!BH3:BH139""),MATCH($D90,IMPORTRANGE(""1y0FWgjbB0gVlqn-q5LMJbGIsqOrzru4yowQz67dz2yc"", ""'STC'!D3:D139""),0))"),3)</f>
        <v>3</v>
      </c>
      <c r="AA90" s="12">
        <f ca="1">IFERROR(__xludf.DUMMYFUNCTION("INDEX(IMPORTRANGE(""1y0FWgjbB0gVlqn-q5LMJbGIsqOrzru4yowQz67dz2yc"", ""'STC'!BI3:BI139""),MATCH($D90,IMPORTRANGE(""1y0FWgjbB0gVlqn-q5LMJbGIsqOrzru4yowQz67dz2yc"", ""'STC'!D3:D139""),0))"),3)</f>
        <v>3</v>
      </c>
      <c r="AB90" s="1"/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2</v>
      </c>
      <c r="Q91" s="12">
        <v>2</v>
      </c>
      <c r="R91" s="2">
        <v>2</v>
      </c>
      <c r="S91" s="2">
        <v>2</v>
      </c>
      <c r="T91" s="2">
        <v>3</v>
      </c>
      <c r="U91" s="2">
        <v>3</v>
      </c>
      <c r="V91" s="2">
        <v>4</v>
      </c>
      <c r="W91" s="2">
        <v>4</v>
      </c>
      <c r="X91" s="2">
        <v>2</v>
      </c>
      <c r="Y91" s="12">
        <f ca="1">IFERROR(__xludf.DUMMYFUNCTION("INDEX(IMPORTRANGE(""1y0FWgjbB0gVlqn-q5LMJbGIsqOrzru4yowQz67dz2yc"", ""'STC'!BG3:BG139""),MATCH($D91,IMPORTRANGE(""1y0FWgjbB0gVlqn-q5LMJbGIsqOrzru4yowQz67dz2yc"", ""'STC'!D3:D139""),0))"),2)</f>
        <v>2</v>
      </c>
      <c r="Z91" s="12">
        <f ca="1">IFERROR(__xludf.DUMMYFUNCTION("INDEX(IMPORTRANGE(""1y0FWgjbB0gVlqn-q5LMJbGIsqOrzru4yowQz67dz2yc"", ""'STC'!BH3:BH139""),MATCH($D91,IMPORTRANGE(""1y0FWgjbB0gVlqn-q5LMJbGIsqOrzru4yowQz67dz2yc"", ""'STC'!D3:D139""),0))"),1)</f>
        <v>1</v>
      </c>
      <c r="AA91" s="12">
        <f ca="1">IFERROR(__xludf.DUMMYFUNCTION("INDEX(IMPORTRANGE(""1y0FWgjbB0gVlqn-q5LMJbGIsqOrzru4yowQz67dz2yc"", ""'STC'!BI3:BI139""),MATCH($D91,IMPORTRANGE(""1y0FWgjbB0gVlqn-q5LMJbGIsqOrzru4yowQz67dz2yc"", ""'STC'!D3:D139""),0))"),2)</f>
        <v>2</v>
      </c>
      <c r="AB91" s="1"/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1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4">
        <f ca="1">IFERROR(__xludf.DUMMYFUNCTION("INDEX(IMPORTRANGE(""1y0FWgjbB0gVlqn-q5LMJbGIsqOrzru4yowQz67dz2yc"", ""'STC'!BG3:BG139""),MATCH($D92,IMPORTRANGE(""1y0FWgjbB0gVlqn-q5LMJbGIsqOrzru4yowQz67dz2yc"", ""'STC'!D3:D139""),0))"),96.24)</f>
        <v>96.24</v>
      </c>
      <c r="Z92" s="24">
        <f ca="1">IFERROR(__xludf.DUMMYFUNCTION("INDEX(IMPORTRANGE(""1y0FWgjbB0gVlqn-q5LMJbGIsqOrzru4yowQz67dz2yc"", ""'STC'!BH3:BH139""),MATCH($D92,IMPORTRANGE(""1y0FWgjbB0gVlqn-q5LMJbGIsqOrzru4yowQz67dz2yc"", ""'STC'!D3:D139""),0))"),88.86)</f>
        <v>88.86</v>
      </c>
      <c r="AA92" s="24">
        <f ca="1">IFERROR(__xludf.DUMMYFUNCTION("INDEX(IMPORTRANGE(""1y0FWgjbB0gVlqn-q5LMJbGIsqOrzru4yowQz67dz2yc"", ""'STC'!BI3:BI139""),MATCH($D92,IMPORTRANGE(""1y0FWgjbB0gVlqn-q5LMJbGIsqOrzru4yowQz67dz2yc"", ""'STC'!D3:D139""),0))"),98.42)</f>
        <v>98.42</v>
      </c>
      <c r="AB92" s="1"/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2">
        <v>0</v>
      </c>
      <c r="Y93" s="23">
        <f ca="1">IFERROR(__xludf.DUMMYFUNCTION("INDEX(IMPORTRANGE(""1y0FWgjbB0gVlqn-q5LMJbGIsqOrzru4yowQz67dz2yc"", ""'STC'!BG3:BG139""),MATCH($D93,IMPORTRANGE(""1y0FWgjbB0gVlqn-q5LMJbGIsqOrzru4yowQz67dz2yc"", ""'STC'!D3:D139""),0))"),0)</f>
        <v>0</v>
      </c>
      <c r="Z93" s="23">
        <f ca="1">IFERROR(__xludf.DUMMYFUNCTION("INDEX(IMPORTRANGE(""1y0FWgjbB0gVlqn-q5LMJbGIsqOrzru4yowQz67dz2yc"", ""'STC'!BH3:BH139""),MATCH($D93,IMPORTRANGE(""1y0FWgjbB0gVlqn-q5LMJbGIsqOrzru4yowQz67dz2yc"", ""'STC'!D3:D139""),0))"),2.66666666666666)</f>
        <v>2.6666666666666599</v>
      </c>
      <c r="AA93" s="23">
        <f ca="1">IFERROR(__xludf.DUMMYFUNCTION("INDEX(IMPORTRANGE(""1y0FWgjbB0gVlqn-q5LMJbGIsqOrzru4yowQz67dz2yc"", ""'STC'!BI3:BI139""),MATCH($D93,IMPORTRANGE(""1y0FWgjbB0gVlqn-q5LMJbGIsqOrzru4yowQz67dz2yc"", ""'STC'!D3:D139""),0))"),2.44289044289044)</f>
        <v>2.4428904428904401</v>
      </c>
      <c r="AB93" s="1"/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519"/>
      <c r="I94" s="11">
        <v>44651</v>
      </c>
      <c r="J94" s="182"/>
      <c r="K94" s="11">
        <v>45016</v>
      </c>
      <c r="L94" s="182"/>
      <c r="M94" s="11">
        <v>45382</v>
      </c>
      <c r="N94" s="182"/>
      <c r="O94" s="11">
        <v>45565</v>
      </c>
      <c r="P94" s="254"/>
      <c r="Q94" s="254"/>
      <c r="R94" s="2"/>
      <c r="S94" s="2"/>
      <c r="T94" s="2"/>
      <c r="U94" s="2"/>
      <c r="V94" s="2"/>
      <c r="W94" s="2"/>
      <c r="X94" s="2">
        <v>2</v>
      </c>
      <c r="Y94" s="12">
        <f ca="1">IFERROR(__xludf.DUMMYFUNCTION("INDEX(IMPORTRANGE(""1y0FWgjbB0gVlqn-q5LMJbGIsqOrzru4yowQz67dz2yc"", ""'STC'!BG3:BG139""),MATCH($D94,IMPORTRANGE(""1y0FWgjbB0gVlqn-q5LMJbGIsqOrzru4yowQz67dz2yc"", ""'STC'!D3:D139""),0))"),1)</f>
        <v>1</v>
      </c>
      <c r="Z94" s="12">
        <f ca="1">IFERROR(__xludf.DUMMYFUNCTION("INDEX(IMPORTRANGE(""1y0FWgjbB0gVlqn-q5LMJbGIsqOrzru4yowQz67dz2yc"", ""'STC'!BH3:BH139""),MATCH($D94,IMPORTRANGE(""1y0FWgjbB0gVlqn-q5LMJbGIsqOrzru4yowQz67dz2yc"", ""'STC'!D3:D139""),0))"),1)</f>
        <v>1</v>
      </c>
      <c r="AA94" s="12" t="str">
        <f ca="1">IFERROR(__xludf.DUMMYFUNCTION("INDEX(IMPORTRANGE(""1y0FWgjbB0gVlqn-q5LMJbGIsqOrzru4yowQz67dz2yc"", ""'STC'!BI3:BI139""),MATCH($D94,IMPORTRANGE(""1y0FWgjbB0gVlqn-q5LMJbGIsqOrzru4yowQz67dz2yc"", ""'STC'!D3:D139""),0))"),"")</f>
        <v/>
      </c>
      <c r="AB94" s="1"/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2"/>
      <c r="I95" s="11">
        <v>44651</v>
      </c>
      <c r="J95" s="182"/>
      <c r="K95" s="11">
        <v>45016</v>
      </c>
      <c r="L95" s="182"/>
      <c r="M95" s="11">
        <v>45382</v>
      </c>
      <c r="N95" s="182"/>
      <c r="O95" s="11">
        <v>45565</v>
      </c>
      <c r="P95" s="254"/>
      <c r="Q95" s="254"/>
      <c r="R95" s="2"/>
      <c r="S95" s="2"/>
      <c r="T95" s="2"/>
      <c r="U95" s="2"/>
      <c r="V95" s="2"/>
      <c r="W95" s="2"/>
      <c r="X95" s="2">
        <v>14</v>
      </c>
      <c r="Y95" s="12">
        <f ca="1">IFERROR(__xludf.DUMMYFUNCTION("INDEX(IMPORTRANGE(""1y0FWgjbB0gVlqn-q5LMJbGIsqOrzru4yowQz67dz2yc"", ""'STC'!BG3:BG139""),MATCH($D95,IMPORTRANGE(""1y0FWgjbB0gVlqn-q5LMJbGIsqOrzru4yowQz67dz2yc"", ""'STC'!D3:D139""),0))"),13)</f>
        <v>13</v>
      </c>
      <c r="Z95" s="12">
        <f ca="1">IFERROR(__xludf.DUMMYFUNCTION("INDEX(IMPORTRANGE(""1y0FWgjbB0gVlqn-q5LMJbGIsqOrzru4yowQz67dz2yc"", ""'STC'!BH3:BH139""),MATCH($D95,IMPORTRANGE(""1y0FWgjbB0gVlqn-q5LMJbGIsqOrzru4yowQz67dz2yc"", ""'STC'!D3:D139""),0))"),12)</f>
        <v>12</v>
      </c>
      <c r="AA95" s="12">
        <f ca="1">IFERROR(__xludf.DUMMYFUNCTION("INDEX(IMPORTRANGE(""1y0FWgjbB0gVlqn-q5LMJbGIsqOrzru4yowQz67dz2yc"", ""'STC'!BI3:BI139""),MATCH($D95,IMPORTRANGE(""1y0FWgjbB0gVlqn-q5LMJbGIsqOrzru4yowQz67dz2yc"", ""'STC'!D3:D139""),0))"),0)</f>
        <v>0</v>
      </c>
      <c r="AB95" s="1"/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2"/>
      <c r="I96" s="11">
        <v>44651</v>
      </c>
      <c r="J96" s="182"/>
      <c r="K96" s="11">
        <v>45016</v>
      </c>
      <c r="L96" s="182"/>
      <c r="M96" s="11">
        <v>45382</v>
      </c>
      <c r="N96" s="182"/>
      <c r="O96" s="11">
        <v>45565</v>
      </c>
      <c r="P96" s="254"/>
      <c r="Q96" s="254"/>
      <c r="R96" s="2"/>
      <c r="S96" s="2"/>
      <c r="T96" s="2"/>
      <c r="U96" s="2"/>
      <c r="V96" s="2"/>
      <c r="W96" s="2"/>
      <c r="X96" s="2">
        <v>0</v>
      </c>
      <c r="Y96" s="12">
        <f ca="1">IFERROR(__xludf.DUMMYFUNCTION("INDEX(IMPORTRANGE(""1y0FWgjbB0gVlqn-q5LMJbGIsqOrzru4yowQz67dz2yc"", ""'STC'!BG3:BG139""),MATCH($D96,IMPORTRANGE(""1y0FWgjbB0gVlqn-q5LMJbGIsqOrzru4yowQz67dz2yc"", ""'STC'!D3:D139""),0))"),0)</f>
        <v>0</v>
      </c>
      <c r="Z96" s="12">
        <f ca="1">IFERROR(__xludf.DUMMYFUNCTION("INDEX(IMPORTRANGE(""1y0FWgjbB0gVlqn-q5LMJbGIsqOrzru4yowQz67dz2yc"", ""'STC'!BH3:BH139""),MATCH($D96,IMPORTRANGE(""1y0FWgjbB0gVlqn-q5LMJbGIsqOrzru4yowQz67dz2yc"", ""'STC'!D3:D139""),0))"),0)</f>
        <v>0</v>
      </c>
      <c r="AA96" s="12" t="str">
        <f ca="1">IFERROR(__xludf.DUMMYFUNCTION("INDEX(IMPORTRANGE(""1y0FWgjbB0gVlqn-q5LMJbGIsqOrzru4yowQz67dz2yc"", ""'STC'!BI3:BI139""),MATCH($D96,IMPORTRANGE(""1y0FWgjbB0gVlqn-q5LMJbGIsqOrzru4yowQz67dz2yc"", ""'STC'!D3:D139""),0))"),"")</f>
        <v/>
      </c>
      <c r="AB96" s="1"/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2"/>
      <c r="I97" s="11">
        <v>44651</v>
      </c>
      <c r="J97" s="182"/>
      <c r="K97" s="11">
        <v>45016</v>
      </c>
      <c r="L97" s="182"/>
      <c r="M97" s="11">
        <v>45382</v>
      </c>
      <c r="N97" s="182"/>
      <c r="O97" s="11">
        <v>45565</v>
      </c>
      <c r="P97" s="254"/>
      <c r="Q97" s="254"/>
      <c r="R97" s="2"/>
      <c r="S97" s="2"/>
      <c r="T97" s="2"/>
      <c r="U97" s="2"/>
      <c r="V97" s="2"/>
      <c r="W97" s="2"/>
      <c r="X97" s="2">
        <v>0</v>
      </c>
      <c r="Y97" s="12">
        <f ca="1">IFERROR(__xludf.DUMMYFUNCTION("INDEX(IMPORTRANGE(""1y0FWgjbB0gVlqn-q5LMJbGIsqOrzru4yowQz67dz2yc"", ""'STC'!BG3:BG139""),MATCH($D97,IMPORTRANGE(""1y0FWgjbB0gVlqn-q5LMJbGIsqOrzru4yowQz67dz2yc"", ""'STC'!D3:D139""),0))"),0)</f>
        <v>0</v>
      </c>
      <c r="Z97" s="12">
        <f ca="1">IFERROR(__xludf.DUMMYFUNCTION("INDEX(IMPORTRANGE(""1y0FWgjbB0gVlqn-q5LMJbGIsqOrzru4yowQz67dz2yc"", ""'STC'!BH3:BH139""),MATCH($D97,IMPORTRANGE(""1y0FWgjbB0gVlqn-q5LMJbGIsqOrzru4yowQz67dz2yc"", ""'STC'!D3:D139""),0))"),0)</f>
        <v>0</v>
      </c>
      <c r="AA97" s="12">
        <f ca="1">IFERROR(__xludf.DUMMYFUNCTION("INDEX(IMPORTRANGE(""1y0FWgjbB0gVlqn-q5LMJbGIsqOrzru4yowQz67dz2yc"", ""'STC'!BI3:BI139""),MATCH($D97,IMPORTRANGE(""1y0FWgjbB0gVlqn-q5LMJbGIsqOrzru4yowQz67dz2yc"", ""'STC'!D3:D139""),0))"),0)</f>
        <v>0</v>
      </c>
      <c r="AB97" s="1"/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2"/>
      <c r="I98" s="11">
        <v>44651</v>
      </c>
      <c r="J98" s="182"/>
      <c r="K98" s="11">
        <v>45016</v>
      </c>
      <c r="L98" s="182"/>
      <c r="M98" s="11">
        <v>45382</v>
      </c>
      <c r="N98" s="182"/>
      <c r="O98" s="11">
        <v>45565</v>
      </c>
      <c r="P98" s="254"/>
      <c r="Q98" s="254"/>
      <c r="R98" s="2"/>
      <c r="S98" s="2"/>
      <c r="T98" s="2"/>
      <c r="U98" s="2"/>
      <c r="V98" s="2"/>
      <c r="W98" s="2"/>
      <c r="X98" s="2">
        <v>13</v>
      </c>
      <c r="Y98" s="12">
        <f ca="1">IFERROR(__xludf.DUMMYFUNCTION("INDEX(IMPORTRANGE(""1y0FWgjbB0gVlqn-q5LMJbGIsqOrzru4yowQz67dz2yc"", ""'STC'!BG3:BG139""),MATCH($D98,IMPORTRANGE(""1y0FWgjbB0gVlqn-q5LMJbGIsqOrzru4yowQz67dz2yc"", ""'STC'!D3:D139""),0))"),14)</f>
        <v>14</v>
      </c>
      <c r="Z98" s="12">
        <f ca="1">IFERROR(__xludf.DUMMYFUNCTION("INDEX(IMPORTRANGE(""1y0FWgjbB0gVlqn-q5LMJbGIsqOrzru4yowQz67dz2yc"", ""'STC'!BH3:BH139""),MATCH($D98,IMPORTRANGE(""1y0FWgjbB0gVlqn-q5LMJbGIsqOrzru4yowQz67dz2yc"", ""'STC'!D3:D139""),0))"),14)</f>
        <v>14</v>
      </c>
      <c r="AA98" s="12" t="str">
        <f ca="1">IFERROR(__xludf.DUMMYFUNCTION("INDEX(IMPORTRANGE(""1y0FWgjbB0gVlqn-q5LMJbGIsqOrzru4yowQz67dz2yc"", ""'STC'!BI3:BI139""),MATCH($D98,IMPORTRANGE(""1y0FWgjbB0gVlqn-q5LMJbGIsqOrzru4yowQz67dz2yc"", ""'STC'!D3:D139""),0))"),"")</f>
        <v/>
      </c>
      <c r="AB98" s="1"/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2"/>
      <c r="I99" s="11">
        <v>44651</v>
      </c>
      <c r="J99" s="182"/>
      <c r="K99" s="11">
        <v>45016</v>
      </c>
      <c r="L99" s="182"/>
      <c r="M99" s="11">
        <v>45382</v>
      </c>
      <c r="N99" s="182"/>
      <c r="O99" s="11">
        <v>45565</v>
      </c>
      <c r="P99" s="254"/>
      <c r="Q99" s="254"/>
      <c r="R99" s="2"/>
      <c r="S99" s="2"/>
      <c r="T99" s="2"/>
      <c r="U99" s="2"/>
      <c r="V99" s="2"/>
      <c r="W99" s="2"/>
      <c r="X99" s="2">
        <v>60</v>
      </c>
      <c r="Y99" s="12">
        <f ca="1">IFERROR(__xludf.DUMMYFUNCTION("INDEX(IMPORTRANGE(""1y0FWgjbB0gVlqn-q5LMJbGIsqOrzru4yowQz67dz2yc"", ""'STC'!BG3:BG139""),MATCH($D99,IMPORTRANGE(""1y0FWgjbB0gVlqn-q5LMJbGIsqOrzru4yowQz67dz2yc"", ""'STC'!D3:D139""),0))"),58)</f>
        <v>58</v>
      </c>
      <c r="Z99" s="12">
        <f ca="1">IFERROR(__xludf.DUMMYFUNCTION("INDEX(IMPORTRANGE(""1y0FWgjbB0gVlqn-q5LMJbGIsqOrzru4yowQz67dz2yc"", ""'STC'!BH3:BH139""),MATCH($D99,IMPORTRANGE(""1y0FWgjbB0gVlqn-q5LMJbGIsqOrzru4yowQz67dz2yc"", ""'STC'!D3:D139""),0))"),61)</f>
        <v>61</v>
      </c>
      <c r="AA99" s="12">
        <f ca="1">IFERROR(__xludf.DUMMYFUNCTION("INDEX(IMPORTRANGE(""1y0FWgjbB0gVlqn-q5LMJbGIsqOrzru4yowQz67dz2yc"", ""'STC'!BI3:BI139""),MATCH($D99,IMPORTRANGE(""1y0FWgjbB0gVlqn-q5LMJbGIsqOrzru4yowQz67dz2yc"", ""'STC'!D3:D139""),0))"),0)</f>
        <v>0</v>
      </c>
      <c r="AB99" s="1"/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2"/>
      <c r="I100" s="11">
        <v>44651</v>
      </c>
      <c r="J100" s="182"/>
      <c r="K100" s="11">
        <v>45016</v>
      </c>
      <c r="L100" s="182"/>
      <c r="M100" s="11">
        <v>45382</v>
      </c>
      <c r="N100" s="182"/>
      <c r="O100" s="11">
        <v>45565</v>
      </c>
      <c r="P100" s="254"/>
      <c r="Q100" s="254"/>
      <c r="R100" s="2"/>
      <c r="S100" s="14">
        <v>0.5</v>
      </c>
      <c r="T100" s="2"/>
      <c r="U100" s="14">
        <v>0.5</v>
      </c>
      <c r="V100" s="14">
        <v>0.5</v>
      </c>
      <c r="W100" s="14">
        <v>0.5</v>
      </c>
      <c r="X100" s="15">
        <f>SUM(X94,X96,X98)/SUM(X95,X97,X99)</f>
        <v>0.20270270270270271</v>
      </c>
      <c r="Y100" s="15">
        <f ca="1">IFERROR(__xludf.DUMMYFUNCTION("INDEX(IMPORTRANGE(""1y0FWgjbB0gVlqn-q5LMJbGIsqOrzru4yowQz67dz2yc"", ""'STC'!BG3:BG139""),MATCH($D100,IMPORTRANGE(""1y0FWgjbB0gVlqn-q5LMJbGIsqOrzru4yowQz67dz2yc"", ""'STC'!D3:D139""),0))"),0.211267605633802)</f>
        <v>0.21126760563380201</v>
      </c>
      <c r="Z100" s="15">
        <f ca="1">IFERROR(__xludf.DUMMYFUNCTION("INDEX(IMPORTRANGE(""1y0FWgjbB0gVlqn-q5LMJbGIsqOrzru4yowQz67dz2yc"", ""'STC'!BH3:BH139""),MATCH($D100,IMPORTRANGE(""1y0FWgjbB0gVlqn-q5LMJbGIsqOrzru4yowQz67dz2yc"", ""'STC'!D3:D139""),0))"),0.205479452054794)</f>
        <v>0.20547945205479401</v>
      </c>
      <c r="AA100" s="15" t="str">
        <f ca="1">IFERROR(__xludf.DUMMYFUNCTION("INDEX(IMPORTRANGE(""1y0FWgjbB0gVlqn-q5LMJbGIsqOrzru4yowQz67dz2yc"", ""'STC'!BI3:BI139""),MATCH($D100,IMPORTRANGE(""1y0FWgjbB0gVlqn-q5LMJbGIsqOrzru4yowQz67dz2yc"", ""'STC'!D3:D139""),0))"),"")</f>
        <v/>
      </c>
      <c r="AB100" s="1"/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1" t="s">
        <v>213</v>
      </c>
      <c r="H101" s="2" t="s">
        <v>214</v>
      </c>
      <c r="I101" s="9" t="s">
        <v>215</v>
      </c>
      <c r="J101" s="182"/>
      <c r="K101" s="9" t="s">
        <v>216</v>
      </c>
      <c r="L101" s="182"/>
      <c r="M101" s="9" t="s">
        <v>217</v>
      </c>
      <c r="N101" s="2" t="s">
        <v>218</v>
      </c>
      <c r="O101" s="2" t="s">
        <v>218</v>
      </c>
      <c r="P101" s="36">
        <v>412666403</v>
      </c>
      <c r="Q101" s="36">
        <v>412666403</v>
      </c>
      <c r="R101" s="2"/>
      <c r="S101" s="2"/>
      <c r="T101" s="2"/>
      <c r="U101" s="2"/>
      <c r="V101" s="2"/>
      <c r="W101" s="2"/>
      <c r="X101" s="36">
        <v>412666403</v>
      </c>
      <c r="Y101" s="476" t="str">
        <f ca="1">IFERROR(__xludf.DUMMYFUNCTION("INDEX(IMPORTRANGE(""1y0FWgjbB0gVlqn-q5LMJbGIsqOrzru4yowQz67dz2yc"", ""'STC'!BG3:BG139""),MATCH($D101,IMPORTRANGE(""1y0FWgjbB0gVlqn-q5LMJbGIsqOrzru4yowQz67dz2yc"", ""'STC'!D3:D139""),0))"),"")</f>
        <v/>
      </c>
      <c r="Z101" s="36">
        <f ca="1">IFERROR(__xludf.DUMMYFUNCTION("INDEX(IMPORTRANGE(""1y0FWgjbB0gVlqn-q5LMJbGIsqOrzru4yowQz67dz2yc"", ""'STC'!BH3:BH139""),MATCH($D101,IMPORTRANGE(""1y0FWgjbB0gVlqn-q5LMJbGIsqOrzru4yowQz67dz2yc"", ""'STC'!D3:D139""),0))"),423750678)</f>
        <v>423750678</v>
      </c>
      <c r="AA101" s="476" t="str">
        <f ca="1">IFERROR(__xludf.DUMMYFUNCTION("INDEX(IMPORTRANGE(""1y0FWgjbB0gVlqn-q5LMJbGIsqOrzru4yowQz67dz2yc"", ""'STC'!BI3:BI139""),MATCH($D101,IMPORTRANGE(""1y0FWgjbB0gVlqn-q5LMJbGIsqOrzru4yowQz67dz2yc"", ""'STC'!D3:D139""),0))"),"")</f>
        <v/>
      </c>
      <c r="AB101" s="1"/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9" t="s">
        <v>213</v>
      </c>
      <c r="H102" s="2" t="s">
        <v>214</v>
      </c>
      <c r="I102" s="9" t="s">
        <v>215</v>
      </c>
      <c r="J102" s="182"/>
      <c r="K102" s="9" t="s">
        <v>216</v>
      </c>
      <c r="L102" s="182"/>
      <c r="M102" s="9" t="s">
        <v>217</v>
      </c>
      <c r="N102" s="2" t="s">
        <v>218</v>
      </c>
      <c r="O102" s="2" t="s">
        <v>218</v>
      </c>
      <c r="P102" s="36">
        <v>1342608130</v>
      </c>
      <c r="Q102" s="36">
        <v>1342608130</v>
      </c>
      <c r="R102" s="2"/>
      <c r="S102" s="2"/>
      <c r="T102" s="2"/>
      <c r="U102" s="2"/>
      <c r="V102" s="2"/>
      <c r="W102" s="2"/>
      <c r="X102" s="36">
        <v>1342608130</v>
      </c>
      <c r="Y102" s="476" t="str">
        <f ca="1">IFERROR(__xludf.DUMMYFUNCTION("INDEX(IMPORTRANGE(""1y0FWgjbB0gVlqn-q5LMJbGIsqOrzru4yowQz67dz2yc"", ""'STC'!BG3:BG139""),MATCH($D102,IMPORTRANGE(""1y0FWgjbB0gVlqn-q5LMJbGIsqOrzru4yowQz67dz2yc"", ""'STC'!D3:D139""),0))"),"")</f>
        <v/>
      </c>
      <c r="Z102" s="36">
        <f ca="1">IFERROR(__xludf.DUMMYFUNCTION("INDEX(IMPORTRANGE(""1y0FWgjbB0gVlqn-q5LMJbGIsqOrzru4yowQz67dz2yc"", ""'STC'!BH3:BH139""),MATCH($D102,IMPORTRANGE(""1y0FWgjbB0gVlqn-q5LMJbGIsqOrzru4yowQz67dz2yc"", ""'STC'!D3:D139""),0))"),1724136981)</f>
        <v>1724136981</v>
      </c>
      <c r="AA102" s="476" t="str">
        <f ca="1">IFERROR(__xludf.DUMMYFUNCTION("INDEX(IMPORTRANGE(""1y0FWgjbB0gVlqn-q5LMJbGIsqOrzru4yowQz67dz2yc"", ""'STC'!BI3:BI139""),MATCH($D102,IMPORTRANGE(""1y0FWgjbB0gVlqn-q5LMJbGIsqOrzru4yowQz67dz2yc"", ""'STC'!D3:D139""),0))"),"")</f>
        <v/>
      </c>
      <c r="AB102" s="1"/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9" t="s">
        <v>213</v>
      </c>
      <c r="H103" s="2" t="s">
        <v>214</v>
      </c>
      <c r="I103" s="9" t="s">
        <v>215</v>
      </c>
      <c r="J103" s="182"/>
      <c r="K103" s="9" t="s">
        <v>216</v>
      </c>
      <c r="L103" s="182"/>
      <c r="M103" s="9" t="s">
        <v>217</v>
      </c>
      <c r="N103" s="2" t="s">
        <v>218</v>
      </c>
      <c r="O103" s="2" t="s">
        <v>218</v>
      </c>
      <c r="P103" s="15">
        <f t="shared" ref="P103:Q103" si="20">P101/P102</f>
        <v>0.30736176385286745</v>
      </c>
      <c r="Q103" s="15">
        <f t="shared" si="20"/>
        <v>0.30736176385286745</v>
      </c>
      <c r="R103" s="2"/>
      <c r="S103" s="26">
        <v>0.315</v>
      </c>
      <c r="T103" s="2"/>
      <c r="U103" s="15">
        <v>0.32200000000000001</v>
      </c>
      <c r="V103" s="15">
        <v>0.33</v>
      </c>
      <c r="W103" s="15">
        <v>0.33</v>
      </c>
      <c r="X103" s="15">
        <f>X101/X102</f>
        <v>0.30736176385286745</v>
      </c>
      <c r="Y103" s="476" t="str">
        <f ca="1">IFERROR(__xludf.DUMMYFUNCTION("INDEX(IMPORTRANGE(""1y0FWgjbB0gVlqn-q5LMJbGIsqOrzru4yowQz67dz2yc"", ""'STC'!BG3:BG139""),MATCH($D103,IMPORTRANGE(""1y0FWgjbB0gVlqn-q5LMJbGIsqOrzru4yowQz67dz2yc"", ""'STC'!D3:D139""),0))"),"")</f>
        <v/>
      </c>
      <c r="Z103" s="15">
        <f ca="1">IFERROR(__xludf.DUMMYFUNCTION("INDEX(IMPORTRANGE(""1y0FWgjbB0gVlqn-q5LMJbGIsqOrzru4yowQz67dz2yc"", ""'STC'!BH3:BH139""),MATCH($D103,IMPORTRANGE(""1y0FWgjbB0gVlqn-q5LMJbGIsqOrzru4yowQz67dz2yc"", ""'STC'!D3:D139""),0))"),0.245775528667231)</f>
        <v>0.24577552866723101</v>
      </c>
      <c r="AA103" s="476" t="str">
        <f ca="1">IFERROR(__xludf.DUMMYFUNCTION("INDEX(IMPORTRANGE(""1y0FWgjbB0gVlqn-q5LMJbGIsqOrzru4yowQz67dz2yc"", ""'STC'!BI3:BI139""),MATCH($D103,IMPORTRANGE(""1y0FWgjbB0gVlqn-q5LMJbGIsqOrzru4yowQz67dz2yc"", ""'STC'!D3:D139""),0))"),"")</f>
        <v/>
      </c>
      <c r="AB103" s="1"/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9" t="s">
        <v>215</v>
      </c>
      <c r="J104" s="182"/>
      <c r="K104" s="9" t="s">
        <v>216</v>
      </c>
      <c r="L104" s="182"/>
      <c r="M104" s="9" t="s">
        <v>217</v>
      </c>
      <c r="N104" s="2" t="s">
        <v>218</v>
      </c>
      <c r="O104" s="2" t="s">
        <v>218</v>
      </c>
      <c r="P104" s="36">
        <v>968130919</v>
      </c>
      <c r="Q104" s="36">
        <v>968130919</v>
      </c>
      <c r="R104" s="2"/>
      <c r="S104" s="2"/>
      <c r="T104" s="2"/>
      <c r="U104" s="2"/>
      <c r="V104" s="2"/>
      <c r="W104" s="2"/>
      <c r="X104" s="36">
        <v>968130919</v>
      </c>
      <c r="Y104" s="476" t="str">
        <f ca="1">IFERROR(__xludf.DUMMYFUNCTION("INDEX(IMPORTRANGE(""1y0FWgjbB0gVlqn-q5LMJbGIsqOrzru4yowQz67dz2yc"", ""'STC'!BG3:BG139""),MATCH($D104,IMPORTRANGE(""1y0FWgjbB0gVlqn-q5LMJbGIsqOrzru4yowQz67dz2yc"", ""'STC'!D3:D139""),0))"),"")</f>
        <v/>
      </c>
      <c r="Z104" s="36">
        <f ca="1">IFERROR(__xludf.DUMMYFUNCTION("INDEX(IMPORTRANGE(""1y0FWgjbB0gVlqn-q5LMJbGIsqOrzru4yowQz67dz2yc"", ""'STC'!BH3:BH139""),MATCH($D104,IMPORTRANGE(""1y0FWgjbB0gVlqn-q5LMJbGIsqOrzru4yowQz67dz2yc"", ""'STC'!D3:D139""),0))"),1257622635)</f>
        <v>1257622635</v>
      </c>
      <c r="AA104" s="476" t="str">
        <f ca="1">IFERROR(__xludf.DUMMYFUNCTION("INDEX(IMPORTRANGE(""1y0FWgjbB0gVlqn-q5LMJbGIsqOrzru4yowQz67dz2yc"", ""'STC'!BI3:BI139""),MATCH($D104,IMPORTRANGE(""1y0FWgjbB0gVlqn-q5LMJbGIsqOrzru4yowQz67dz2yc"", ""'STC'!D3:D139""),0))"),"")</f>
        <v/>
      </c>
      <c r="AB104" s="1"/>
      <c r="AC104" s="1"/>
    </row>
    <row r="105" spans="1:29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9" t="s">
        <v>213</v>
      </c>
      <c r="H105" s="2" t="s">
        <v>214</v>
      </c>
      <c r="I105" s="9" t="s">
        <v>215</v>
      </c>
      <c r="J105" s="182"/>
      <c r="K105" s="9" t="s">
        <v>216</v>
      </c>
      <c r="L105" s="182"/>
      <c r="M105" s="9" t="s">
        <v>217</v>
      </c>
      <c r="N105" s="2" t="s">
        <v>218</v>
      </c>
      <c r="O105" s="2" t="s">
        <v>218</v>
      </c>
      <c r="P105" s="15">
        <f t="shared" ref="P105:Q105" si="21">P101/P104</f>
        <v>0.42625061848685775</v>
      </c>
      <c r="Q105" s="15">
        <f t="shared" si="21"/>
        <v>0.42625061848685775</v>
      </c>
      <c r="R105" s="2"/>
      <c r="S105" s="26">
        <v>0.434</v>
      </c>
      <c r="T105" s="2"/>
      <c r="U105" s="15">
        <v>0.442</v>
      </c>
      <c r="V105" s="15">
        <v>0.45</v>
      </c>
      <c r="W105" s="15">
        <v>0.45</v>
      </c>
      <c r="X105" s="15">
        <f>X101/X104</f>
        <v>0.42625061848685775</v>
      </c>
      <c r="Y105" s="476" t="str">
        <f ca="1">IFERROR(__xludf.DUMMYFUNCTION("INDEX(IMPORTRANGE(""1y0FWgjbB0gVlqn-q5LMJbGIsqOrzru4yowQz67dz2yc"", ""'STC'!BG3:BG139""),MATCH($D105,IMPORTRANGE(""1y0FWgjbB0gVlqn-q5LMJbGIsqOrzru4yowQz67dz2yc"", ""'STC'!D3:D139""),0))"),"")</f>
        <v/>
      </c>
      <c r="Z105" s="15">
        <f ca="1">IFERROR(__xludf.DUMMYFUNCTION("INDEX(IMPORTRANGE(""1y0FWgjbB0gVlqn-q5LMJbGIsqOrzru4yowQz67dz2yc"", ""'STC'!BH3:BH139""),MATCH($D105,IMPORTRANGE(""1y0FWgjbB0gVlqn-q5LMJbGIsqOrzru4yowQz67dz2yc"", ""'STC'!D3:D139""),0))"),0.336945810457681)</f>
        <v>0.33694581045768102</v>
      </c>
      <c r="AA105" s="476" t="str">
        <f ca="1">IFERROR(__xludf.DUMMYFUNCTION("INDEX(IMPORTRANGE(""1y0FWgjbB0gVlqn-q5LMJbGIsqOrzru4yowQz67dz2yc"", ""'STC'!BI3:BI139""),MATCH($D105,IMPORTRANGE(""1y0FWgjbB0gVlqn-q5LMJbGIsqOrzru4yowQz67dz2yc"", ""'STC'!D3:D139""),0))"),"")</f>
        <v/>
      </c>
      <c r="AB105" s="1"/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9" t="s">
        <v>254</v>
      </c>
      <c r="H106" s="9" t="s">
        <v>254</v>
      </c>
      <c r="I106" s="9" t="s">
        <v>254</v>
      </c>
      <c r="J106" s="182"/>
      <c r="K106" s="9" t="s">
        <v>255</v>
      </c>
      <c r="L106" s="182"/>
      <c r="M106" s="9" t="s">
        <v>256</v>
      </c>
      <c r="N106" s="49">
        <v>45536</v>
      </c>
      <c r="O106" s="2" t="s">
        <v>218</v>
      </c>
      <c r="P106" s="12">
        <v>106593</v>
      </c>
      <c r="Q106" s="12">
        <v>106593</v>
      </c>
      <c r="R106" s="2"/>
      <c r="S106" s="2"/>
      <c r="T106" s="2"/>
      <c r="U106" s="2"/>
      <c r="V106" s="2"/>
      <c r="W106" s="2"/>
      <c r="X106" s="12">
        <v>106593</v>
      </c>
      <c r="Y106" s="476" t="str">
        <f ca="1">IFERROR(__xludf.DUMMYFUNCTION("INDEX(IMPORTRANGE(""1y0FWgjbB0gVlqn-q5LMJbGIsqOrzru4yowQz67dz2yc"", ""'STC'!BG3:BG139""),MATCH($D106,IMPORTRANGE(""1y0FWgjbB0gVlqn-q5LMJbGIsqOrzru4yowQz67dz2yc"", ""'STC'!D3:D139""),0))"),"")</f>
        <v/>
      </c>
      <c r="Z106" s="12">
        <f ca="1">IFERROR(__xludf.DUMMYFUNCTION("INDEX(IMPORTRANGE(""1y0FWgjbB0gVlqn-q5LMJbGIsqOrzru4yowQz67dz2yc"", ""'STC'!BH3:BH139""),MATCH($D106,IMPORTRANGE(""1y0FWgjbB0gVlqn-q5LMJbGIsqOrzru4yowQz67dz2yc"", ""'STC'!D3:D139""),0))"),104194)</f>
        <v>104194</v>
      </c>
      <c r="AA106" s="476" t="str">
        <f ca="1">IFERROR(__xludf.DUMMYFUNCTION("INDEX(IMPORTRANGE(""1y0FWgjbB0gVlqn-q5LMJbGIsqOrzru4yowQz67dz2yc"", ""'STC'!BI3:BI139""),MATCH($D106,IMPORTRANGE(""1y0FWgjbB0gVlqn-q5LMJbGIsqOrzru4yowQz67dz2yc"", ""'STC'!D3:D139""),0))"),"")</f>
        <v/>
      </c>
      <c r="AB106" s="1"/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9" t="s">
        <v>213</v>
      </c>
      <c r="H107" s="2" t="s">
        <v>214</v>
      </c>
      <c r="I107" s="9" t="s">
        <v>215</v>
      </c>
      <c r="J107" s="182"/>
      <c r="K107" s="9" t="s">
        <v>216</v>
      </c>
      <c r="L107" s="182"/>
      <c r="M107" s="9" t="s">
        <v>217</v>
      </c>
      <c r="N107" s="2" t="s">
        <v>218</v>
      </c>
      <c r="O107" s="2" t="s">
        <v>218</v>
      </c>
      <c r="P107" s="12">
        <v>56902</v>
      </c>
      <c r="Q107" s="12">
        <v>56902</v>
      </c>
      <c r="R107" s="2"/>
      <c r="S107" s="2"/>
      <c r="T107" s="2"/>
      <c r="U107" s="2"/>
      <c r="V107" s="2"/>
      <c r="W107" s="2"/>
      <c r="X107" s="12">
        <v>56902</v>
      </c>
      <c r="Y107" s="476" t="str">
        <f ca="1">IFERROR(__xludf.DUMMYFUNCTION("INDEX(IMPORTRANGE(""1y0FWgjbB0gVlqn-q5LMJbGIsqOrzru4yowQz67dz2yc"", ""'STC'!BG3:BG139""),MATCH($D107,IMPORTRANGE(""1y0FWgjbB0gVlqn-q5LMJbGIsqOrzru4yowQz67dz2yc"", ""'STC'!D3:D139""),0))"),"")</f>
        <v/>
      </c>
      <c r="Z107" s="12">
        <f ca="1">IFERROR(__xludf.DUMMYFUNCTION("INDEX(IMPORTRANGE(""1y0FWgjbB0gVlqn-q5LMJbGIsqOrzru4yowQz67dz2yc"", ""'STC'!BH3:BH139""),MATCH($D107,IMPORTRANGE(""1y0FWgjbB0gVlqn-q5LMJbGIsqOrzru4yowQz67dz2yc"", ""'STC'!D3:D139""),0))"),70425)</f>
        <v>70425</v>
      </c>
      <c r="AA107" s="476" t="str">
        <f ca="1">IFERROR(__xludf.DUMMYFUNCTION("INDEX(IMPORTRANGE(""1y0FWgjbB0gVlqn-q5LMJbGIsqOrzru4yowQz67dz2yc"", ""'STC'!BI3:BI139""),MATCH($D107,IMPORTRANGE(""1y0FWgjbB0gVlqn-q5LMJbGIsqOrzru4yowQz67dz2yc"", ""'STC'!D3:D139""),0))"),"")</f>
        <v/>
      </c>
      <c r="AB107" s="1"/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9" t="s">
        <v>213</v>
      </c>
      <c r="H108" s="2" t="s">
        <v>214</v>
      </c>
      <c r="I108" s="9" t="s">
        <v>215</v>
      </c>
      <c r="J108" s="182"/>
      <c r="K108" s="9" t="s">
        <v>216</v>
      </c>
      <c r="L108" s="182"/>
      <c r="M108" s="9" t="s">
        <v>217</v>
      </c>
      <c r="N108" s="2" t="s">
        <v>218</v>
      </c>
      <c r="O108" s="2" t="s">
        <v>218</v>
      </c>
      <c r="P108" s="15">
        <f t="shared" ref="P108:Q108" si="22">P107/P106</f>
        <v>0.53382492283733451</v>
      </c>
      <c r="Q108" s="15">
        <f t="shared" si="22"/>
        <v>0.53382492283733451</v>
      </c>
      <c r="R108" s="2"/>
      <c r="S108" s="26">
        <v>0.55600000000000005</v>
      </c>
      <c r="T108" s="2"/>
      <c r="U108" s="15">
        <v>0.57799999999999996</v>
      </c>
      <c r="V108" s="15">
        <v>0.6</v>
      </c>
      <c r="W108" s="15">
        <v>0.6</v>
      </c>
      <c r="X108" s="15">
        <f>X107/X106</f>
        <v>0.53382492283733451</v>
      </c>
      <c r="Y108" s="476" t="str">
        <f ca="1">IFERROR(__xludf.DUMMYFUNCTION("INDEX(IMPORTRANGE(""1y0FWgjbB0gVlqn-q5LMJbGIsqOrzru4yowQz67dz2yc"", ""'STC'!BG3:BG139""),MATCH($D108,IMPORTRANGE(""1y0FWgjbB0gVlqn-q5LMJbGIsqOrzru4yowQz67dz2yc"", ""'STC'!D3:D139""),0))"),"")</f>
        <v/>
      </c>
      <c r="Z108" s="15">
        <f ca="1">IFERROR(__xludf.DUMMYFUNCTION("INDEX(IMPORTRANGE(""1y0FWgjbB0gVlqn-q5LMJbGIsqOrzru4yowQz67dz2yc"", ""'STC'!BH3:BH139""),MATCH($D108,IMPORTRANGE(""1y0FWgjbB0gVlqn-q5LMJbGIsqOrzru4yowQz67dz2yc"", ""'STC'!D3:D139""),0))"),0.675902643146438)</f>
        <v>0.675902643146438</v>
      </c>
      <c r="AA108" s="476" t="str">
        <f ca="1">IFERROR(__xludf.DUMMYFUNCTION("INDEX(IMPORTRANGE(""1y0FWgjbB0gVlqn-q5LMJbGIsqOrzru4yowQz67dz2yc"", ""'STC'!BI3:BI139""),MATCH($D108,IMPORTRANGE(""1y0FWgjbB0gVlqn-q5LMJbGIsqOrzru4yowQz67dz2yc"", ""'STC'!D3:D139""),0))"),"")</f>
        <v/>
      </c>
      <c r="AB108" s="1"/>
      <c r="AC108" s="1"/>
    </row>
    <row r="109" spans="1:29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9" t="s">
        <v>213</v>
      </c>
      <c r="H109" s="2" t="s">
        <v>214</v>
      </c>
      <c r="I109" s="9" t="s">
        <v>215</v>
      </c>
      <c r="J109" s="182"/>
      <c r="K109" s="9" t="s">
        <v>216</v>
      </c>
      <c r="L109" s="182"/>
      <c r="M109" s="9" t="s">
        <v>217</v>
      </c>
      <c r="N109" s="2" t="s">
        <v>218</v>
      </c>
      <c r="O109" s="2" t="s">
        <v>218</v>
      </c>
      <c r="P109" s="349"/>
      <c r="Q109" s="349"/>
      <c r="R109" s="2"/>
      <c r="S109" s="2"/>
      <c r="T109" s="2"/>
      <c r="U109" s="2"/>
      <c r="V109" s="2"/>
      <c r="W109" s="2"/>
      <c r="X109" s="349"/>
      <c r="Y109" s="476" t="str">
        <f ca="1">IFERROR(__xludf.DUMMYFUNCTION("INDEX(IMPORTRANGE(""1y0FWgjbB0gVlqn-q5LMJbGIsqOrzru4yowQz67dz2yc"", ""'STC'!BG3:BG139""),MATCH($D109,IMPORTRANGE(""1y0FWgjbB0gVlqn-q5LMJbGIsqOrzru4yowQz67dz2yc"", ""'STC'!D3:D139""),0))"),"")</f>
        <v/>
      </c>
      <c r="Z109" s="349">
        <f ca="1">IFERROR(__xludf.DUMMYFUNCTION("INDEX(IMPORTRANGE(""1y0FWgjbB0gVlqn-q5LMJbGIsqOrzru4yowQz67dz2yc"", ""'STC'!BH3:BH139""),MATCH($D109,IMPORTRANGE(""1y0FWgjbB0gVlqn-q5LMJbGIsqOrzru4yowQz67dz2yc"", ""'STC'!D3:D139""),0))"),183318826)</f>
        <v>183318826</v>
      </c>
      <c r="AA109" s="476" t="str">
        <f ca="1">IFERROR(__xludf.DUMMYFUNCTION("INDEX(IMPORTRANGE(""1y0FWgjbB0gVlqn-q5LMJbGIsqOrzru4yowQz67dz2yc"", ""'STC'!BI3:BI139""),MATCH($D109,IMPORTRANGE(""1y0FWgjbB0gVlqn-q5LMJbGIsqOrzru4yowQz67dz2yc"", ""'STC'!D3:D139""),0))"),"")</f>
        <v/>
      </c>
      <c r="AB109" s="1"/>
      <c r="AC109" s="1"/>
    </row>
    <row r="110" spans="1:29">
      <c r="A110" s="7" t="s">
        <v>275</v>
      </c>
      <c r="B110" s="7" t="s">
        <v>276</v>
      </c>
      <c r="C110" s="7" t="s">
        <v>36</v>
      </c>
      <c r="D110" s="7" t="s">
        <v>296</v>
      </c>
      <c r="E110" s="9" t="s">
        <v>38</v>
      </c>
      <c r="F110" s="9" t="s">
        <v>297</v>
      </c>
      <c r="G110" s="9" t="s">
        <v>213</v>
      </c>
      <c r="H110" s="2" t="s">
        <v>214</v>
      </c>
      <c r="I110" s="9" t="s">
        <v>215</v>
      </c>
      <c r="J110" s="182"/>
      <c r="K110" s="9" t="s">
        <v>216</v>
      </c>
      <c r="L110" s="182"/>
      <c r="M110" s="9" t="s">
        <v>217</v>
      </c>
      <c r="N110" s="2" t="s">
        <v>218</v>
      </c>
      <c r="O110" s="2" t="s">
        <v>218</v>
      </c>
      <c r="P110" s="349">
        <v>122025706</v>
      </c>
      <c r="Q110" s="349">
        <v>122025706</v>
      </c>
      <c r="R110" s="2"/>
      <c r="S110" s="36">
        <v>133017137.33</v>
      </c>
      <c r="T110" s="2"/>
      <c r="U110" s="36">
        <v>144008568.66999999</v>
      </c>
      <c r="V110" s="36">
        <v>155000000</v>
      </c>
      <c r="W110" s="12">
        <v>155000000</v>
      </c>
      <c r="X110" s="349">
        <v>122025706</v>
      </c>
      <c r="Y110" s="476" t="str">
        <f ca="1">IFERROR(__xludf.DUMMYFUNCTION("INDEX(IMPORTRANGE(""1y0FWgjbB0gVlqn-q5LMJbGIsqOrzru4yowQz67dz2yc"", ""'STC'!BG3:BG139""),MATCH($D110,IMPORTRANGE(""1y0FWgjbB0gVlqn-q5LMJbGIsqOrzru4yowQz67dz2yc"", ""'STC'!D3:D139""),0))"),"")</f>
        <v/>
      </c>
      <c r="Z110" s="349">
        <f ca="1">IFERROR(__xludf.DUMMYFUNCTION("INDEX(IMPORTRANGE(""1y0FWgjbB0gVlqn-q5LMJbGIsqOrzru4yowQz67dz2yc"", ""'STC'!BH3:BH139""),MATCH($D110,IMPORTRANGE(""1y0FWgjbB0gVlqn-q5LMJbGIsqOrzru4yowQz67dz2yc"", ""'STC'!D3:D139""),0))"),267020341)</f>
        <v>267020341</v>
      </c>
      <c r="AA110" s="476" t="str">
        <f ca="1">IFERROR(__xludf.DUMMYFUNCTION("INDEX(IMPORTRANGE(""1y0FWgjbB0gVlqn-q5LMJbGIsqOrzru4yowQz67dz2yc"", ""'STC'!BI3:BI139""),MATCH($D110,IMPORTRANGE(""1y0FWgjbB0gVlqn-q5LMJbGIsqOrzru4yowQz67dz2yc"", ""'STC'!D3:D139""),0))"),"")</f>
        <v/>
      </c>
      <c r="AB110" s="1"/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9" t="s">
        <v>213</v>
      </c>
      <c r="H111" s="2" t="s">
        <v>214</v>
      </c>
      <c r="I111" s="9" t="s">
        <v>215</v>
      </c>
      <c r="J111" s="182"/>
      <c r="K111" s="9" t="s">
        <v>216</v>
      </c>
      <c r="L111" s="182"/>
      <c r="M111" s="9" t="s">
        <v>217</v>
      </c>
      <c r="N111" s="2" t="s">
        <v>218</v>
      </c>
      <c r="O111" s="2" t="s">
        <v>218</v>
      </c>
      <c r="P111" s="50">
        <v>1352030259</v>
      </c>
      <c r="Q111" s="50">
        <v>1352030259</v>
      </c>
      <c r="R111" s="2"/>
      <c r="S111" s="2"/>
      <c r="T111" s="2"/>
      <c r="U111" s="2"/>
      <c r="V111" s="2"/>
      <c r="W111" s="2"/>
      <c r="X111" s="36">
        <v>1352030259</v>
      </c>
      <c r="Y111" s="476" t="str">
        <f ca="1">IFERROR(__xludf.DUMMYFUNCTION("INDEX(IMPORTRANGE(""1y0FWgjbB0gVlqn-q5LMJbGIsqOrzru4yowQz67dz2yc"", ""'STC'!BG3:BG139""),MATCH($D111,IMPORTRANGE(""1y0FWgjbB0gVlqn-q5LMJbGIsqOrzru4yowQz67dz2yc"", ""'STC'!D3:D139""),0))"),"")</f>
        <v/>
      </c>
      <c r="Z111" s="36">
        <f ca="1">IFERROR(__xludf.DUMMYFUNCTION("INDEX(IMPORTRANGE(""1y0FWgjbB0gVlqn-q5LMJbGIsqOrzru4yowQz67dz2yc"", ""'STC'!BH3:BH139""),MATCH($D111,IMPORTRANGE(""1y0FWgjbB0gVlqn-q5LMJbGIsqOrzru4yowQz67dz2yc"", ""'STC'!D3:D139""),0))"),1646561121)</f>
        <v>1646561121</v>
      </c>
      <c r="AA111" s="476" t="str">
        <f ca="1">IFERROR(__xludf.DUMMYFUNCTION("INDEX(IMPORTRANGE(""1y0FWgjbB0gVlqn-q5LMJbGIsqOrzru4yowQz67dz2yc"", ""'STC'!BI3:BI139""),MATCH($D111,IMPORTRANGE(""1y0FWgjbB0gVlqn-q5LMJbGIsqOrzru4yowQz67dz2yc"", ""'STC'!D3:D139""),0))"),"")</f>
        <v/>
      </c>
      <c r="AB111" s="1"/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9" t="s">
        <v>213</v>
      </c>
      <c r="H112" s="2" t="s">
        <v>214</v>
      </c>
      <c r="I112" s="9" t="s">
        <v>215</v>
      </c>
      <c r="J112" s="182"/>
      <c r="K112" s="9" t="s">
        <v>216</v>
      </c>
      <c r="L112" s="182"/>
      <c r="M112" s="9" t="s">
        <v>217</v>
      </c>
      <c r="N112" s="2" t="s">
        <v>218</v>
      </c>
      <c r="O112" s="2" t="s">
        <v>218</v>
      </c>
      <c r="P112" s="15">
        <f t="shared" ref="P112:Q112" si="23">P104/P111</f>
        <v>0.71605713892532041</v>
      </c>
      <c r="Q112" s="15">
        <f t="shared" si="23"/>
        <v>0.71605713892532041</v>
      </c>
      <c r="R112" s="2"/>
      <c r="S112" s="26">
        <v>0.70699999999999996</v>
      </c>
      <c r="T112" s="2"/>
      <c r="U112" s="15">
        <v>0.69899999999999995</v>
      </c>
      <c r="V112" s="15">
        <v>0.69</v>
      </c>
      <c r="W112" s="15">
        <v>0.69</v>
      </c>
      <c r="X112" s="15">
        <f>X104/X111</f>
        <v>0.71605713892532041</v>
      </c>
      <c r="Y112" s="476" t="str">
        <f ca="1">IFERROR(__xludf.DUMMYFUNCTION("INDEX(IMPORTRANGE(""1y0FWgjbB0gVlqn-q5LMJbGIsqOrzru4yowQz67dz2yc"", ""'STC'!BG3:BG139""),MATCH($D112,IMPORTRANGE(""1y0FWgjbB0gVlqn-q5LMJbGIsqOrzru4yowQz67dz2yc"", ""'STC'!D3:D139""),0))"),"")</f>
        <v/>
      </c>
      <c r="Z112" s="15">
        <f ca="1">IFERROR(__xludf.DUMMYFUNCTION("INDEX(IMPORTRANGE(""1y0FWgjbB0gVlqn-q5LMJbGIsqOrzru4yowQz67dz2yc"", ""'STC'!BH3:BH139""),MATCH($D112,IMPORTRANGE(""1y0FWgjbB0gVlqn-q5LMJbGIsqOrzru4yowQz67dz2yc"", ""'STC'!D3:D139""),0))"),0.763787398451514)</f>
        <v>0.763787398451514</v>
      </c>
      <c r="AA112" s="476" t="str">
        <f ca="1">IFERROR(__xludf.DUMMYFUNCTION("INDEX(IMPORTRANGE(""1y0FWgjbB0gVlqn-q5LMJbGIsqOrzru4yowQz67dz2yc"", ""'STC'!BI3:BI139""),MATCH($D112,IMPORTRANGE(""1y0FWgjbB0gVlqn-q5LMJbGIsqOrzru4yowQz67dz2yc"", ""'STC'!D3:D139""),0))"),"")</f>
        <v/>
      </c>
      <c r="AB112" s="1"/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82"/>
      <c r="I113" s="2" t="s">
        <v>254</v>
      </c>
      <c r="J113" s="182"/>
      <c r="K113" s="2" t="s">
        <v>255</v>
      </c>
      <c r="L113" s="182"/>
      <c r="M113" s="2" t="s">
        <v>256</v>
      </c>
      <c r="N113" s="49">
        <v>45473</v>
      </c>
      <c r="O113" s="2"/>
      <c r="P113" s="30" t="s">
        <v>308</v>
      </c>
      <c r="Q113" s="30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476" t="str">
        <f ca="1">IFERROR(__xludf.DUMMYFUNCTION("INDEX(IMPORTRANGE(""1y0FWgjbB0gVlqn-q5LMJbGIsqOrzru4yowQz67dz2yc"", ""'STC'!BG3:BG139""),MATCH($D113,IMPORTRANGE(""1y0FWgjbB0gVlqn-q5LMJbGIsqOrzru4yowQz67dz2yc"", ""'STC'!D3:D139""),0))"),"")</f>
        <v/>
      </c>
      <c r="Z113" s="2" t="str">
        <f ca="1">IFERROR(__xludf.DUMMYFUNCTION("INDEX(IMPORTRANGE(""1y0FWgjbB0gVlqn-q5LMJbGIsqOrzru4yowQz67dz2yc"", ""'STC'!BH3:BH139""),MATCH($D113,IMPORTRANGE(""1y0FWgjbB0gVlqn-q5LMJbGIsqOrzru4yowQz67dz2yc"", ""'STC'!D3:D139""),0))"),"Verde")</f>
        <v>Verde</v>
      </c>
      <c r="AA113" s="476" t="str">
        <f ca="1">IFERROR(__xludf.DUMMYFUNCTION("INDEX(IMPORTRANGE(""1y0FWgjbB0gVlqn-q5LMJbGIsqOrzru4yowQz67dz2yc"", ""'STC'!BI3:BI139""),MATCH($D113,IMPORTRANGE(""1y0FWgjbB0gVlqn-q5LMJbGIsqOrzru4yowQz67dz2yc"", ""'STC'!D3:D139""),0))"),"")</f>
        <v/>
      </c>
      <c r="AB113" s="1"/>
      <c r="AC113" s="1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66AC-AB99-5C41-AD63-9A11A8E1479F}">
  <dimension ref="A1:M31"/>
  <sheetViews>
    <sheetView workbookViewId="0">
      <selection activeCell="M1" sqref="M1:M1048576"/>
    </sheetView>
  </sheetViews>
  <sheetFormatPr baseColWidth="10" defaultRowHeight="16"/>
  <cols>
    <col min="1" max="1" width="10.83203125" style="118"/>
    <col min="3" max="3" width="21" customWidth="1"/>
    <col min="4" max="4" width="12.6640625" customWidth="1"/>
    <col min="5" max="5" width="12.1640625" customWidth="1"/>
    <col min="13" max="13" width="10.83203125" style="118"/>
  </cols>
  <sheetData>
    <row r="1" spans="1:13" ht="78">
      <c r="A1" s="69" t="s">
        <v>0</v>
      </c>
      <c r="B1" s="69" t="s">
        <v>1</v>
      </c>
      <c r="C1" s="69" t="s">
        <v>309</v>
      </c>
      <c r="D1" s="69" t="s">
        <v>7</v>
      </c>
      <c r="E1" s="70" t="s">
        <v>16</v>
      </c>
      <c r="F1" s="69" t="s">
        <v>11</v>
      </c>
      <c r="G1" s="70" t="s">
        <v>352</v>
      </c>
      <c r="H1" s="70" t="s">
        <v>353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3 STC'!$D$3:$Y$113,4,0)</f>
        <v>44469</v>
      </c>
      <c r="E2" s="76">
        <f>VLOOKUP(C2,'BD EVA 3 STC'!$D$3:$Q$110,14,0)</f>
        <v>265</v>
      </c>
      <c r="F2" s="75">
        <f>VLOOKUP(C2,'BD EVA 3 STC'!$D$3:$AC$113,9,0)</f>
        <v>45199</v>
      </c>
      <c r="G2" s="76">
        <f ca="1">VLOOKUP(C2,'BD EVA 3 STC'!$D$3:$AC$113,24,0)</f>
        <v>419</v>
      </c>
      <c r="H2" s="76">
        <f>VLOOKUP(C2,'BD EVA 3 STC'!$D$3:$AC$113,17,0)</f>
        <v>366</v>
      </c>
      <c r="I2" s="78">
        <f ca="1">IF(G2&gt;=E2,G2/H2,0)</f>
        <v>1.144808743169399</v>
      </c>
      <c r="J2" s="72" t="s">
        <v>316</v>
      </c>
      <c r="K2" s="81">
        <v>2.7</v>
      </c>
      <c r="L2" s="81">
        <f t="shared" ref="L2:L31" ca="1" si="0">IF(I2&lt;0,0,IF(I2&gt;1,K2,I2*K2))</f>
        <v>2.7</v>
      </c>
      <c r="M2" s="124">
        <f ca="1">SUM(L2:L4)</f>
        <v>8.1005082583189463</v>
      </c>
    </row>
    <row r="3" spans="1:13" ht="52" customHeight="1">
      <c r="A3" s="121" t="s">
        <v>34</v>
      </c>
      <c r="B3" s="72" t="s">
        <v>40</v>
      </c>
      <c r="C3" s="71" t="s">
        <v>43</v>
      </c>
      <c r="D3" s="75">
        <f>VLOOKUP(C3,'BD EVA 3 STC'!$D$3:$Y$113,4,0)</f>
        <v>44469</v>
      </c>
      <c r="E3" s="207">
        <f>VLOOKUP(C3,'BD EVA 3 STC'!$D$3:$Q$110,14,0)</f>
        <v>0.98867924528301887</v>
      </c>
      <c r="F3" s="75">
        <f>VLOOKUP(C3,'BD EVA 3 STC'!$D$3:$AC$113,9,0)</f>
        <v>45199</v>
      </c>
      <c r="G3" s="207">
        <f ca="1">VLOOKUP(C3,'BD EVA 3 STC'!$D$3:$AC$113,24,0)</f>
        <v>0.70405727923627603</v>
      </c>
      <c r="H3" s="207" t="str">
        <f>VLOOKUP(C3,'BD EVA 3 STC'!$D$3:$AC$113,17,0)</f>
        <v>&gt;=97%</v>
      </c>
      <c r="I3" s="78">
        <f ca="1">IF(G3&gt;=97%,1,G3/97%)</f>
        <v>0.72583224663533619</v>
      </c>
      <c r="J3" s="75" t="s">
        <v>318</v>
      </c>
      <c r="K3" s="81">
        <v>3.8</v>
      </c>
      <c r="L3" s="81">
        <f t="shared" ca="1" si="0"/>
        <v>2.7581625372142775</v>
      </c>
      <c r="M3" s="449"/>
    </row>
    <row r="4" spans="1:13" ht="65">
      <c r="A4" s="121" t="s">
        <v>34</v>
      </c>
      <c r="B4" s="72" t="s">
        <v>45</v>
      </c>
      <c r="C4" s="71" t="s">
        <v>50</v>
      </c>
      <c r="D4" s="75">
        <f>VLOOKUP(C4,'BD EVA 3 STC'!$D$3:$Y$113,4,0)</f>
        <v>44469</v>
      </c>
      <c r="E4" s="207">
        <f>VLOOKUP(C4,'BD EVA 3 STC'!$D$3:$Q$110,14,0)</f>
        <v>0</v>
      </c>
      <c r="F4" s="75">
        <f>VLOOKUP(C4,'BD EVA 3 STC'!$D$3:$AC$113,9,0)</f>
        <v>45199</v>
      </c>
      <c r="G4" s="207">
        <f ca="1">VLOOKUP(C4,'BD EVA 3 STC'!$D$3:$AC$113,24,0)</f>
        <v>7.39856801909307E-2</v>
      </c>
      <c r="H4" s="207">
        <f>VLOOKUP(C4,'BD EVA 3 STC'!$D$3:$AC$113,17,0)</f>
        <v>9.8000000000000004E-2</v>
      </c>
      <c r="I4" s="77">
        <f t="shared" ref="I4:I5" ca="1" si="1">G4/H4</f>
        <v>0.75495592031561931</v>
      </c>
      <c r="J4" s="75" t="s">
        <v>318</v>
      </c>
      <c r="K4" s="81">
        <v>3.5</v>
      </c>
      <c r="L4" s="81">
        <f t="shared" ca="1" si="0"/>
        <v>2.6423457211046677</v>
      </c>
      <c r="M4" s="449"/>
    </row>
    <row r="5" spans="1:13" ht="65">
      <c r="A5" s="121" t="s">
        <v>52</v>
      </c>
      <c r="B5" s="72" t="s">
        <v>428</v>
      </c>
      <c r="C5" s="72" t="s">
        <v>66</v>
      </c>
      <c r="D5" s="75" t="str">
        <f>VLOOKUP(C5,'BD EVA 3 STC'!$D$3:$Y$113,4,0)</f>
        <v>octubre 20 - mar 21</v>
      </c>
      <c r="E5" s="207">
        <f>VLOOKUP(C5,'BD EVA 3 STC'!$D$3:$Q$110,14,0)</f>
        <v>3.4434620753838997E-2</v>
      </c>
      <c r="F5" s="75" t="str">
        <f>VLOOKUP(C5,'BD EVA 3 STC'!$D$3:$AC$113,9,0)</f>
        <v>octubre 22 - septiembre 23</v>
      </c>
      <c r="G5" s="207">
        <f ca="1">VLOOKUP(C5,'BD EVA 3 STC'!$D$3:$AC$113,24,0)</f>
        <v>0.34093376764386502</v>
      </c>
      <c r="H5" s="207">
        <f>VLOOKUP(C5,'BD EVA 3 STC'!$D$3:$AC$113,17,0)</f>
        <v>0.37333333333333335</v>
      </c>
      <c r="I5" s="77">
        <f t="shared" ca="1" si="1"/>
        <v>0.913215449046067</v>
      </c>
      <c r="J5" s="75" t="s">
        <v>318</v>
      </c>
      <c r="K5" s="209">
        <v>1.6</v>
      </c>
      <c r="L5" s="209">
        <f t="shared" ca="1" si="0"/>
        <v>1.4611447184737072</v>
      </c>
      <c r="M5" s="130">
        <f ca="1">SUM(L5:L10)</f>
        <v>2.6006433182985522</v>
      </c>
    </row>
    <row r="6" spans="1:13" ht="52">
      <c r="A6" s="121" t="s">
        <v>52</v>
      </c>
      <c r="B6" s="72" t="s">
        <v>68</v>
      </c>
      <c r="C6" s="72" t="s">
        <v>72</v>
      </c>
      <c r="D6" s="75" t="str">
        <f>VLOOKUP(C6,'BD EVA 3 STC'!$D$3:$Y$113,4,0)</f>
        <v>octubre 20 - mar 21</v>
      </c>
      <c r="E6" s="213">
        <f>VLOOKUP(C6,'BD EVA 3 STC'!$D$3:$Q$110,14,0)</f>
        <v>12.904494451067386</v>
      </c>
      <c r="F6" s="75" t="str">
        <f>VLOOKUP(C6,'BD EVA 3 STC'!$D$3:$AC$113,9,0)</f>
        <v>octubre 22 - septiembre 23</v>
      </c>
      <c r="G6" s="213">
        <f ca="1">VLOOKUP(C6,'BD EVA 3 STC'!$D$3:$AC$113,24,0)</f>
        <v>25.585917511001899</v>
      </c>
      <c r="H6" s="213">
        <f>VLOOKUP(C6,'BD EVA 3 STC'!$D$3:$AC$113,17,0)</f>
        <v>12.3</v>
      </c>
      <c r="I6" s="78">
        <f t="shared" ref="I6:I10" ca="1" si="2">(G6-E6)/(H6-E6)</f>
        <v>-20.97855991488807</v>
      </c>
      <c r="J6" s="71" t="s">
        <v>319</v>
      </c>
      <c r="K6" s="209">
        <v>1.7</v>
      </c>
      <c r="L6" s="209">
        <f t="shared" ca="1" si="0"/>
        <v>0</v>
      </c>
      <c r="M6" s="449"/>
    </row>
    <row r="7" spans="1:13" ht="52">
      <c r="A7" s="121" t="s">
        <v>52</v>
      </c>
      <c r="B7" s="72" t="s">
        <v>68</v>
      </c>
      <c r="C7" s="72" t="s">
        <v>84</v>
      </c>
      <c r="D7" s="75" t="str">
        <f>VLOOKUP(C7,'BD EVA 3 STC'!$D$3:$Y$113,4,0)</f>
        <v>octubre 20 - mar 21</v>
      </c>
      <c r="E7" s="213">
        <f>VLOOKUP(C7,'BD EVA 3 STC'!$D$3:$Q$110,14,0)</f>
        <v>314.62386471173818</v>
      </c>
      <c r="F7" s="75" t="str">
        <f>VLOOKUP(C7,'BD EVA 3 STC'!$D$3:$AC$113,9,0)</f>
        <v>octubre 22 - septiembre 23</v>
      </c>
      <c r="G7" s="213">
        <f ca="1">VLOOKUP(C7,'BD EVA 3 STC'!$D$3:$AC$113,24,0)</f>
        <v>266.695563702914</v>
      </c>
      <c r="H7" s="213">
        <f>VLOOKUP(C7,'BD EVA 3 STC'!$D$3:$AC$113,17,0)</f>
        <v>199.5</v>
      </c>
      <c r="I7" s="78">
        <f t="shared" ca="1" si="2"/>
        <v>0.41631942368190272</v>
      </c>
      <c r="J7" s="71" t="s">
        <v>319</v>
      </c>
      <c r="K7" s="209">
        <v>1.6</v>
      </c>
      <c r="L7" s="209">
        <f t="shared" ca="1" si="0"/>
        <v>0.6661110778910444</v>
      </c>
      <c r="M7" s="449"/>
    </row>
    <row r="8" spans="1:13" ht="52">
      <c r="A8" s="121" t="s">
        <v>52</v>
      </c>
      <c r="B8" s="72" t="s">
        <v>86</v>
      </c>
      <c r="C8" s="72" t="s">
        <v>89</v>
      </c>
      <c r="D8" s="75" t="str">
        <f>VLOOKUP(C8,'BD EVA 3 STC'!$D$3:$Y$113,4,0)</f>
        <v>octubre 20 - mar 21</v>
      </c>
      <c r="E8" s="213">
        <f>VLOOKUP(C8,'BD EVA 3 STC'!$D$3:$Q$110,14,0)</f>
        <v>860.91412980692417</v>
      </c>
      <c r="F8" s="75" t="str">
        <f>VLOOKUP(C8,'BD EVA 3 STC'!$D$3:$AC$113,9,0)</f>
        <v>octubre 22 - septiembre 23</v>
      </c>
      <c r="G8" s="213">
        <f ca="1">VLOOKUP(C8,'BD EVA 3 STC'!$D$3:$AC$113,24,0)</f>
        <v>872.32928172804202</v>
      </c>
      <c r="H8" s="213">
        <f>VLOOKUP(C8,'BD EVA 3 STC'!$D$3:$AC$113,17,0)</f>
        <v>660.3</v>
      </c>
      <c r="I8" s="78">
        <f t="shared" ca="1" si="2"/>
        <v>-5.6901036492813674E-2</v>
      </c>
      <c r="J8" s="71" t="s">
        <v>319</v>
      </c>
      <c r="K8" s="209">
        <v>1.7</v>
      </c>
      <c r="L8" s="209">
        <f t="shared" ca="1" si="0"/>
        <v>0</v>
      </c>
      <c r="M8" s="449"/>
    </row>
    <row r="9" spans="1:13" ht="52">
      <c r="A9" s="121" t="s">
        <v>52</v>
      </c>
      <c r="B9" s="72" t="s">
        <v>86</v>
      </c>
      <c r="C9" s="72" t="s">
        <v>93</v>
      </c>
      <c r="D9" s="75" t="str">
        <f>VLOOKUP(C9,'BD EVA 3 STC'!$D$3:$Y$113,4,0)</f>
        <v>octubre 20 - mar 21</v>
      </c>
      <c r="E9" s="213">
        <f>VLOOKUP(C9,'BD EVA 3 STC'!$D$3:$Q$110,14,0)</f>
        <v>144.4074379048017</v>
      </c>
      <c r="F9" s="75" t="str">
        <f>VLOOKUP(C9,'BD EVA 3 STC'!$D$3:$AC$113,9,0)</f>
        <v>octubre 22 - septiembre 23</v>
      </c>
      <c r="G9" s="213">
        <f ca="1">VLOOKUP(C9,'BD EVA 3 STC'!$D$3:$AC$113,24,0)</f>
        <v>130.03666311473901</v>
      </c>
      <c r="H9" s="213">
        <f>VLOOKUP(C9,'BD EVA 3 STC'!$D$3:$AC$113,17,0)</f>
        <v>92.8</v>
      </c>
      <c r="I9" s="78">
        <f t="shared" ca="1" si="2"/>
        <v>0.27846324819635321</v>
      </c>
      <c r="J9" s="71" t="s">
        <v>319</v>
      </c>
      <c r="K9" s="209">
        <v>1.7</v>
      </c>
      <c r="L9" s="209">
        <f t="shared" ca="1" si="0"/>
        <v>0.47338752193380046</v>
      </c>
      <c r="M9" s="449"/>
    </row>
    <row r="10" spans="1:13" ht="78">
      <c r="A10" s="121" t="s">
        <v>52</v>
      </c>
      <c r="B10" s="72" t="s">
        <v>86</v>
      </c>
      <c r="C10" s="72" t="s">
        <v>117</v>
      </c>
      <c r="D10" s="75" t="str">
        <f>VLOOKUP(C10,'BD EVA 3 STC'!$D$3:$Y$113,4,0)</f>
        <v>octubre 20 - mar 21</v>
      </c>
      <c r="E10" s="213">
        <f>VLOOKUP(C10,'BD EVA 3 STC'!$D$3:$Q$110,14,0)</f>
        <v>18.127742205070852</v>
      </c>
      <c r="F10" s="75" t="str">
        <f>VLOOKUP(C10,'BD EVA 3 STC'!$D$3:$AC$113,9,0)</f>
        <v>octubre 22 - septiembre 23</v>
      </c>
      <c r="G10" s="213">
        <f ca="1">VLOOKUP(C10,'BD EVA 3 STC'!$D$3:$AC$113,24,0)</f>
        <v>37.626349280885201</v>
      </c>
      <c r="H10" s="213">
        <f>VLOOKUP(C10,'BD EVA 3 STC'!$D$3:$AC$113,17,0)</f>
        <v>14</v>
      </c>
      <c r="I10" s="78">
        <f t="shared" ca="1" si="2"/>
        <v>-4.7237947786227261</v>
      </c>
      <c r="J10" s="71" t="s">
        <v>319</v>
      </c>
      <c r="K10" s="209">
        <v>1.7</v>
      </c>
      <c r="L10" s="209">
        <f t="shared" ca="1" si="0"/>
        <v>0</v>
      </c>
      <c r="M10" s="449"/>
    </row>
    <row r="11" spans="1:13" ht="52">
      <c r="A11" s="121" t="s">
        <v>119</v>
      </c>
      <c r="B11" s="72" t="s">
        <v>120</v>
      </c>
      <c r="C11" s="72" t="s">
        <v>125</v>
      </c>
      <c r="D11" s="75">
        <f>VLOOKUP(C11,'BD EVA 3 STC'!$D$3:$Y$113,4,0)</f>
        <v>44469</v>
      </c>
      <c r="E11" s="78">
        <f>VLOOKUP(C11,'BD EVA 3 STC'!$D$3:$Q$110,14,0)</f>
        <v>0</v>
      </c>
      <c r="F11" s="75">
        <f>VLOOKUP(C11,'BD EVA 3 STC'!$D$3:$AC$113,9,0)</f>
        <v>45199</v>
      </c>
      <c r="G11" s="78">
        <f ca="1">VLOOKUP(C11,'BD EVA 3 STC'!$D$3:$AC$113,24,0)</f>
        <v>0</v>
      </c>
      <c r="H11" s="78">
        <f>VLOOKUP(C11,'BD EVA 3 STC'!$D$3:$AC$116,16,0)</f>
        <v>4.0000000000000001E-3</v>
      </c>
      <c r="I11" s="77">
        <f t="shared" ref="I11:I12" ca="1" si="3">IF(H11="Sin meta",0,G11/H11)</f>
        <v>0</v>
      </c>
      <c r="J11" s="89" t="s">
        <v>318</v>
      </c>
      <c r="K11" s="71">
        <v>1.1000000000000001</v>
      </c>
      <c r="L11" s="211">
        <f t="shared" ca="1" si="0"/>
        <v>0</v>
      </c>
      <c r="M11" s="130">
        <f ca="1">SUM(L11:L15)</f>
        <v>7.5063488644680749</v>
      </c>
    </row>
    <row r="12" spans="1:13" ht="39">
      <c r="A12" s="141" t="s">
        <v>119</v>
      </c>
      <c r="B12" s="72" t="s">
        <v>120</v>
      </c>
      <c r="C12" s="72" t="s">
        <v>333</v>
      </c>
      <c r="D12" s="89" t="str">
        <f>VLOOKUP(C12,'BD EVA 3 STC'!$D$3:$Y$113,4,0)</f>
        <v>octubre 20 - mar 21</v>
      </c>
      <c r="E12" s="207">
        <f>VLOOKUP(C12,'BD EVA 3 STC'!$D$3:$Q$110,14,0)</f>
        <v>0</v>
      </c>
      <c r="F12" s="75" t="str">
        <f>VLOOKUP(C12,'BD EVA 3 STC'!$D$3:$AC$113,9,0)</f>
        <v>octubre 22 - septiembre 23</v>
      </c>
      <c r="G12" s="210">
        <f ca="1">VLOOKUP(C12,'BD EVA 3 STC'!$D$3:$AC$113,24,0)</f>
        <v>1.8694979353965001E-4</v>
      </c>
      <c r="H12" s="80">
        <f>VLOOKUP(C12,'BD EVA 3 STC'!$D$3:$AC$116,16,0)</f>
        <v>2.0000000000000001E-4</v>
      </c>
      <c r="I12" s="77">
        <f t="shared" ca="1" si="3"/>
        <v>0.93474896769825</v>
      </c>
      <c r="J12" s="75" t="s">
        <v>318</v>
      </c>
      <c r="K12" s="71">
        <v>1.1000000000000001</v>
      </c>
      <c r="L12" s="211">
        <f t="shared" ca="1" si="0"/>
        <v>1.028223864468075</v>
      </c>
      <c r="M12" s="449"/>
    </row>
    <row r="13" spans="1:13" ht="52">
      <c r="A13" s="121" t="s">
        <v>119</v>
      </c>
      <c r="B13" s="72" t="s">
        <v>127</v>
      </c>
      <c r="C13" s="72" t="s">
        <v>128</v>
      </c>
      <c r="D13" s="89" t="str">
        <f>VLOOKUP(C13,'BD EVA 3 STC'!$D$3:$Y$113,4,0)</f>
        <v>octubre 20 - mar 21</v>
      </c>
      <c r="E13" s="212">
        <f>VLOOKUP(C13,'BD EVA 3 STC'!$D$3:$Q$110,14,0)</f>
        <v>0</v>
      </c>
      <c r="F13" s="75" t="str">
        <f>VLOOKUP(C13,'BD EVA 3 STC'!$D$3:$AC$113,9,0)</f>
        <v>octubre 21 - septiembre 23</v>
      </c>
      <c r="G13" s="212">
        <f ca="1">VLOOKUP(C13,'BD EVA 3 STC'!$D$3:$AC$113,24,0)</f>
        <v>7</v>
      </c>
      <c r="H13" s="212">
        <f>VLOOKUP(C13,'BD EVA 3 STC'!$D$3:$AC$113,17,0)</f>
        <v>16</v>
      </c>
      <c r="I13" s="78">
        <f t="shared" ref="I13:I15" ca="1" si="4">G13/H13</f>
        <v>0.4375</v>
      </c>
      <c r="J13" s="75" t="s">
        <v>318</v>
      </c>
      <c r="K13" s="82">
        <v>2.35</v>
      </c>
      <c r="L13" s="211">
        <f t="shared" ca="1" si="0"/>
        <v>1.028125</v>
      </c>
      <c r="M13" s="449"/>
    </row>
    <row r="14" spans="1:13" ht="39">
      <c r="A14" s="121" t="s">
        <v>119</v>
      </c>
      <c r="B14" s="72" t="s">
        <v>133</v>
      </c>
      <c r="C14" s="72" t="s">
        <v>134</v>
      </c>
      <c r="D14" s="89" t="str">
        <f>VLOOKUP(C14,'BD EVA 3 STC'!$D$3:$Y$113,4,0)</f>
        <v>octubre 20 - mar 21</v>
      </c>
      <c r="E14" s="212">
        <f>VLOOKUP(C14,'BD EVA 3 STC'!$D$3:$Q$110,14,0)</f>
        <v>3265</v>
      </c>
      <c r="F14" s="75" t="str">
        <f>VLOOKUP(C14,'BD EVA 3 STC'!$D$3:$AC$113,9,0)</f>
        <v>octubre 21 - septiembre 23</v>
      </c>
      <c r="G14" s="212">
        <f ca="1">VLOOKUP(C14,'BD EVA 3 STC'!$D$3:$AC$113,24,0)</f>
        <v>961</v>
      </c>
      <c r="H14" s="212">
        <f>VLOOKUP(C14,'BD EVA 3 STC'!$D$3:$AC$113,17,0)</f>
        <v>650</v>
      </c>
      <c r="I14" s="78">
        <f t="shared" ca="1" si="4"/>
        <v>1.4784615384615385</v>
      </c>
      <c r="J14" s="75" t="s">
        <v>318</v>
      </c>
      <c r="K14" s="82">
        <v>2.35</v>
      </c>
      <c r="L14" s="211">
        <f t="shared" ca="1" si="0"/>
        <v>2.35</v>
      </c>
      <c r="M14" s="449"/>
    </row>
    <row r="15" spans="1:13" ht="39">
      <c r="A15" s="121" t="s">
        <v>119</v>
      </c>
      <c r="B15" s="72" t="s">
        <v>136</v>
      </c>
      <c r="C15" s="72" t="s">
        <v>145</v>
      </c>
      <c r="D15" s="89" t="str">
        <f>VLOOKUP(C15,'BD EVA 3 STC'!$D$3:$Y$113,4,0)</f>
        <v>octubre 20 - mar 21</v>
      </c>
      <c r="E15" s="212">
        <f>VLOOKUP(C15,'BD EVA 3 STC'!$D$3:$Q$110,14,0)</f>
        <v>15</v>
      </c>
      <c r="F15" s="75" t="str">
        <f>VLOOKUP(C15,'BD EVA 3 STC'!$D$3:$AC$113,9,0)</f>
        <v>octubre 21 - septiembre 23</v>
      </c>
      <c r="G15" s="212">
        <f ca="1">VLOOKUP(C15,'BD EVA 3 STC'!$D$3:$AC$113,24,0)</f>
        <v>57</v>
      </c>
      <c r="H15" s="212">
        <f>VLOOKUP(C15,'BD EVA 3 STC'!$D$3:$AC$113,17,0)</f>
        <v>14</v>
      </c>
      <c r="I15" s="78">
        <f t="shared" ca="1" si="4"/>
        <v>4.0714285714285712</v>
      </c>
      <c r="J15" s="75" t="s">
        <v>318</v>
      </c>
      <c r="K15" s="71">
        <v>3.1</v>
      </c>
      <c r="L15" s="211">
        <f t="shared" ca="1" si="0"/>
        <v>3.1</v>
      </c>
      <c r="M15" s="449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3 STC'!$D$3:$Y$113,4,0)</f>
        <v>44469</v>
      </c>
      <c r="E16" s="213">
        <f>VLOOKUP(C16,'BD EVA 3 STC'!$D$3:$Q$110,14,0)</f>
        <v>0.33</v>
      </c>
      <c r="F16" s="75">
        <f>VLOOKUP(C16,'BD EVA 3 STC'!$D$3:$AC$113,9,0)</f>
        <v>45199</v>
      </c>
      <c r="G16" s="213">
        <f ca="1">VLOOKUP(C16,'BD EVA 3 STC'!$D$3:$AC$113,24,0)</f>
        <v>0.66666666666666596</v>
      </c>
      <c r="H16" s="213" t="str">
        <f>VLOOKUP(C16,'BD EVA 3 STC'!$D$3:$AC$113,17,0)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5">G16/1</f>
        <v>0.66666666666666596</v>
      </c>
      <c r="J16" s="75" t="s">
        <v>318</v>
      </c>
      <c r="K16" s="71">
        <v>1.5</v>
      </c>
      <c r="L16" s="209">
        <f t="shared" ca="1" si="0"/>
        <v>0.99999999999999889</v>
      </c>
      <c r="M16" s="130">
        <f ca="1">SUM(L16:L23)</f>
        <v>7.960124224433839</v>
      </c>
    </row>
    <row r="17" spans="1:13" ht="26">
      <c r="A17" s="121" t="s">
        <v>147</v>
      </c>
      <c r="B17" s="72" t="s">
        <v>148</v>
      </c>
      <c r="C17" s="72" t="s">
        <v>351</v>
      </c>
      <c r="D17" s="75">
        <f>VLOOKUP(C17,'BD EVA 3 STC'!$D$3:$Y$113,4,0)</f>
        <v>44469</v>
      </c>
      <c r="E17" s="212">
        <f>VLOOKUP(C17,'BD EVA 3 STC'!$D$3:$Q$110,14,0)</f>
        <v>1</v>
      </c>
      <c r="F17" s="75">
        <f>VLOOKUP(C17,'BD EVA 3 STC'!$D$3:$AC$113,9,0)</f>
        <v>45199</v>
      </c>
      <c r="G17" s="207">
        <f ca="1">VLOOKUP(C17,'BD EVA 3 STC'!$D$3:$AC$113,24,0)</f>
        <v>0.5</v>
      </c>
      <c r="H17" s="212" t="str">
        <f>VLOOKUP(C17,'BD EVA 3 STC'!$D$3:$AC$113,17,0)</f>
        <v>Actualizado al 2018</v>
      </c>
      <c r="I17" s="214">
        <f t="shared" ca="1" si="5"/>
        <v>0.5</v>
      </c>
      <c r="J17" s="75" t="s">
        <v>318</v>
      </c>
      <c r="K17" s="71">
        <v>1.5</v>
      </c>
      <c r="L17" s="209">
        <f t="shared" ca="1" si="0"/>
        <v>0.75</v>
      </c>
      <c r="M17" s="449"/>
    </row>
    <row r="18" spans="1:13" ht="52">
      <c r="A18" s="121" t="s">
        <v>147</v>
      </c>
      <c r="B18" s="72" t="s">
        <v>148</v>
      </c>
      <c r="C18" s="72" t="s">
        <v>166</v>
      </c>
      <c r="D18" s="75">
        <f>VLOOKUP(C18,'BD EVA 3 STC'!$D$3:$Y$113,4,0)</f>
        <v>44469</v>
      </c>
      <c r="E18" s="207" t="str">
        <f>VLOOKUP(C18,'BD EVA 3 STC'!$D$3:$Q$110,14,0)</f>
        <v>NA</v>
      </c>
      <c r="F18" s="75">
        <f>VLOOKUP(C18,'BD EVA 3 STC'!$D$3:$AC$113,9,0)</f>
        <v>45199</v>
      </c>
      <c r="G18" s="207" t="str">
        <f ca="1">VLOOKUP(C18,'BD EVA 3 STC'!$D$3:$AC$113,24,0)</f>
        <v>NA</v>
      </c>
      <c r="H18" s="207">
        <f>VLOOKUP(C18,'BD EVA 3 STC'!$D$3:$AC$113,17,0)</f>
        <v>1</v>
      </c>
      <c r="I18" s="214">
        <f ca="1">IF(G18="NA",1,G18/H18)</f>
        <v>1</v>
      </c>
      <c r="J18" s="75" t="s">
        <v>318</v>
      </c>
      <c r="K18" s="71">
        <v>0.3</v>
      </c>
      <c r="L18" s="209">
        <f t="shared" ca="1" si="0"/>
        <v>0.3</v>
      </c>
      <c r="M18" s="449"/>
    </row>
    <row r="19" spans="1:13" ht="39">
      <c r="A19" s="121" t="s">
        <v>147</v>
      </c>
      <c r="B19" s="72" t="s">
        <v>168</v>
      </c>
      <c r="C19" s="72" t="s">
        <v>173</v>
      </c>
      <c r="D19" s="75">
        <f>VLOOKUP(C19,'BD EVA 3 STC'!$D$3:$Y$113,4,0)</f>
        <v>44469</v>
      </c>
      <c r="E19" s="207">
        <f>VLOOKUP(C19,'BD EVA 3 STC'!$D$3:$Q$110,14,0)</f>
        <v>0.9794801086824283</v>
      </c>
      <c r="F19" s="75">
        <f>VLOOKUP(C19,'BD EVA 3 STC'!$D$3:$AC$113,9,0)</f>
        <v>45199</v>
      </c>
      <c r="G19" s="207">
        <f ca="1">VLOOKUP(C19,'BD EVA 3 STC'!$D$3:$AC$113,24,0)</f>
        <v>0.96072449952335504</v>
      </c>
      <c r="H19" s="207">
        <f>VLOOKUP(C19,'BD EVA 3 STC'!$D$3:$AC$113,17,0)</f>
        <v>1</v>
      </c>
      <c r="I19" s="214">
        <f t="shared" ref="I19:I23" ca="1" si="6">G19/H19</f>
        <v>0.96072449952335504</v>
      </c>
      <c r="J19" s="75" t="s">
        <v>318</v>
      </c>
      <c r="K19" s="71">
        <v>1.5</v>
      </c>
      <c r="L19" s="209">
        <f t="shared" ca="1" si="0"/>
        <v>1.4410867492850326</v>
      </c>
      <c r="M19" s="449"/>
    </row>
    <row r="20" spans="1:13" ht="65">
      <c r="A20" s="121" t="s">
        <v>147</v>
      </c>
      <c r="B20" s="72" t="s">
        <v>168</v>
      </c>
      <c r="C20" s="71" t="s">
        <v>177</v>
      </c>
      <c r="D20" s="75">
        <f>VLOOKUP(C20,'BD EVA 3 STC'!$D$3:$Y$113,4,0)</f>
        <v>44469</v>
      </c>
      <c r="E20" s="214">
        <f>VLOOKUP(C20,'BD EVA 3 STC'!$D$3:$Q$110,14,0)</f>
        <v>0.96452997337739832</v>
      </c>
      <c r="F20" s="75">
        <f>VLOOKUP(C20,'BD EVA 3 STC'!$D$3:$AC$113,9,0)</f>
        <v>45199</v>
      </c>
      <c r="G20" s="214">
        <f ca="1">VLOOKUP(C20,'BD EVA 3 STC'!$D$3:$AC$113,24,0)</f>
        <v>0.96454144863673896</v>
      </c>
      <c r="H20" s="214">
        <f>VLOOKUP(C20,'BD EVA 3 STC'!$D$3:$AC$113,17,0)</f>
        <v>1</v>
      </c>
      <c r="I20" s="214">
        <f t="shared" ca="1" si="6"/>
        <v>0.96454144863673896</v>
      </c>
      <c r="J20" s="75" t="s">
        <v>318</v>
      </c>
      <c r="K20" s="71">
        <v>1.5</v>
      </c>
      <c r="L20" s="209">
        <f t="shared" ca="1" si="0"/>
        <v>1.4468121729551084</v>
      </c>
      <c r="M20" s="449"/>
    </row>
    <row r="21" spans="1:13" ht="52">
      <c r="A21" s="121" t="s">
        <v>147</v>
      </c>
      <c r="B21" s="72" t="s">
        <v>168</v>
      </c>
      <c r="C21" s="72" t="s">
        <v>183</v>
      </c>
      <c r="D21" s="75">
        <f>VLOOKUP(C21,'BD EVA 3 STC'!$D$3:$Y$113,4,0)</f>
        <v>44469</v>
      </c>
      <c r="E21" s="207">
        <f>VLOOKUP(C21,'BD EVA 3 STC'!$D$3:$Q$110,14,0)</f>
        <v>0.99295063250668425</v>
      </c>
      <c r="F21" s="75">
        <f>VLOOKUP(C21,'BD EVA 3 STC'!$D$3:$AC$113,9,0)</f>
        <v>45199</v>
      </c>
      <c r="G21" s="207">
        <f ca="1">VLOOKUP(C21,'BD EVA 3 STC'!$D$3:$AC$113,24,0)</f>
        <v>0.99295063250668403</v>
      </c>
      <c r="H21" s="207">
        <f>VLOOKUP(C21,'BD EVA 3 STC'!$D$3:$AC$113,17,0)</f>
        <v>1</v>
      </c>
      <c r="I21" s="214">
        <f t="shared" ca="1" si="6"/>
        <v>0.99295063250668403</v>
      </c>
      <c r="J21" s="75" t="s">
        <v>318</v>
      </c>
      <c r="K21" s="71">
        <v>0.9</v>
      </c>
      <c r="L21" s="209">
        <f t="shared" ca="1" si="0"/>
        <v>0.89365556925601564</v>
      </c>
      <c r="M21" s="449"/>
    </row>
    <row r="22" spans="1:13" ht="39">
      <c r="A22" s="121" t="s">
        <v>147</v>
      </c>
      <c r="B22" s="72" t="s">
        <v>168</v>
      </c>
      <c r="C22" s="72" t="s">
        <v>189</v>
      </c>
      <c r="D22" s="75">
        <f>VLOOKUP(C22,'BD EVA 3 STC'!$D$3:$Y$113,4,0)</f>
        <v>44469</v>
      </c>
      <c r="E22" s="207">
        <f>VLOOKUP(C22,'BD EVA 3 STC'!$D$3:$Q$110,14,0)</f>
        <v>0.54364391691394653</v>
      </c>
      <c r="F22" s="75">
        <f>VLOOKUP(C22,'BD EVA 3 STC'!$D$3:$AC$113,9,0)</f>
        <v>45199</v>
      </c>
      <c r="G22" s="207">
        <f ca="1">VLOOKUP(C22,'BD EVA 3 STC'!$D$3:$AC$113,24,0)</f>
        <v>0.55237982195845603</v>
      </c>
      <c r="H22" s="207">
        <f>VLOOKUP(C22,'BD EVA 3 STC'!$D$3:$AC$113,17,0)</f>
        <v>1</v>
      </c>
      <c r="I22" s="214">
        <f t="shared" ca="1" si="6"/>
        <v>0.55237982195845603</v>
      </c>
      <c r="J22" s="75" t="s">
        <v>318</v>
      </c>
      <c r="K22" s="71">
        <v>1.5</v>
      </c>
      <c r="L22" s="209">
        <f t="shared" ca="1" si="0"/>
        <v>0.82856973293768399</v>
      </c>
      <c r="M22" s="449"/>
    </row>
    <row r="23" spans="1:13" ht="91">
      <c r="A23" s="121" t="s">
        <v>147</v>
      </c>
      <c r="B23" s="72" t="s">
        <v>168</v>
      </c>
      <c r="C23" s="72" t="s">
        <v>197</v>
      </c>
      <c r="D23" s="89" t="str">
        <f>VLOOKUP(C23,'BD EVA 3 STC'!$D$3:$Y$113,4,0)</f>
        <v>octubre 20 - mar 21</v>
      </c>
      <c r="E23" s="208">
        <f>VLOOKUP(C23,'BD EVA 3 STC'!$D$3:$Q$110,14,0)</f>
        <v>0</v>
      </c>
      <c r="F23" s="89" t="str">
        <f>VLOOKUP(C23,'BD EVA 3 STC'!$D$3:$AC$113,9,0)</f>
        <v>octubre 22 - septiembre 23</v>
      </c>
      <c r="G23" s="85">
        <f ca="1">VLOOKUP(C23,'BD EVA 3 STC'!$D$3:$AC$113,24,0)</f>
        <v>19.600000000000001</v>
      </c>
      <c r="H23" s="208">
        <f>VLOOKUP(C23,'BD EVA 3 STC'!$D$3:$AC$113,17,0)</f>
        <v>6</v>
      </c>
      <c r="I23" s="214">
        <f t="shared" ca="1" si="6"/>
        <v>3.2666666666666671</v>
      </c>
      <c r="J23" s="75" t="s">
        <v>318</v>
      </c>
      <c r="K23" s="82">
        <v>1.3</v>
      </c>
      <c r="L23" s="211">
        <f t="shared" ca="1" si="0"/>
        <v>1.3</v>
      </c>
      <c r="M23" s="449"/>
    </row>
    <row r="24" spans="1:13" ht="78">
      <c r="A24" s="121" t="s">
        <v>199</v>
      </c>
      <c r="B24" s="72" t="s">
        <v>200</v>
      </c>
      <c r="C24" s="72" t="s">
        <v>201</v>
      </c>
      <c r="D24" s="75">
        <f>VLOOKUP(C24,'BD EVA 3 STC'!$D$3:$Y$113,4,0)</f>
        <v>44469</v>
      </c>
      <c r="E24" s="171">
        <f>VLOOKUP(C24,'BD EVA 3 STC'!$D$3:$Q$110,14,0)</f>
        <v>0</v>
      </c>
      <c r="F24" s="75">
        <f>VLOOKUP(C24,'BD EVA 3 STC'!$D$3:$AC$113,9,0)</f>
        <v>45199</v>
      </c>
      <c r="G24" s="171">
        <f ca="1">VLOOKUP(C24,'BD EVA 3 STC'!$D$3:$AC$113,24,0)</f>
        <v>0</v>
      </c>
      <c r="H24" s="171">
        <f>VLOOKUP(C24,'BD EVA 3 STC'!$D$3:$AC$113,17,0)</f>
        <v>2</v>
      </c>
      <c r="I24" s="214">
        <f ca="1">IF(H24="Sin meta",0,G24/H24)</f>
        <v>0</v>
      </c>
      <c r="J24" s="75" t="s">
        <v>318</v>
      </c>
      <c r="K24" s="82">
        <v>2.65</v>
      </c>
      <c r="L24" s="209">
        <f t="shared" ca="1" si="0"/>
        <v>0</v>
      </c>
      <c r="M24" s="130">
        <f ca="1">SUM(L24:L27)</f>
        <v>5.7176728565784272</v>
      </c>
    </row>
    <row r="25" spans="1:13" ht="52">
      <c r="A25" s="121" t="s">
        <v>199</v>
      </c>
      <c r="B25" s="72" t="s">
        <v>200</v>
      </c>
      <c r="C25" s="72" t="s">
        <v>209</v>
      </c>
      <c r="D25" s="71" t="str">
        <f>VLOOKUP(C25,'BD EVA 3 STC'!$D$3:$Y$113,4,0)</f>
        <v>octubre 20 - mar 21</v>
      </c>
      <c r="E25" s="292">
        <f>VLOOKUP(C25,'BD EVA 3 STC'!$D$3:$Q$110,14,0)</f>
        <v>0</v>
      </c>
      <c r="F25" s="71" t="str">
        <f>VLOOKUP(C25,'BD EVA 3 STC'!$D$3:$AC$113,9,0)</f>
        <v>octubre 22 - septiembre 23</v>
      </c>
      <c r="G25" s="212">
        <f ca="1">VLOOKUP(C25,'BD EVA 3 STC'!$D$3:$AC$113,24,0)</f>
        <v>24625.33</v>
      </c>
      <c r="H25" s="212">
        <f>VLOOKUP(C25,'BD EVA 3 STC'!$D$3:$AC$113,17,0)</f>
        <v>1666</v>
      </c>
      <c r="I25" s="214">
        <f t="shared" ref="I25:I26" ca="1" si="7">G25/H25</f>
        <v>14.781110444177672</v>
      </c>
      <c r="J25" s="75" t="s">
        <v>318</v>
      </c>
      <c r="K25" s="82">
        <v>2.33</v>
      </c>
      <c r="L25" s="209">
        <f t="shared" ca="1" si="0"/>
        <v>2.33</v>
      </c>
      <c r="M25" s="449"/>
    </row>
    <row r="26" spans="1:13" ht="52">
      <c r="A26" s="121" t="s">
        <v>199</v>
      </c>
      <c r="B26" s="72" t="s">
        <v>200</v>
      </c>
      <c r="C26" s="72" t="s">
        <v>226</v>
      </c>
      <c r="D26" s="71" t="str">
        <f>VLOOKUP(C26,'BD EVA 3 STC'!$D$3:$Y$113,4,0)</f>
        <v>octubre 20 - mar 21</v>
      </c>
      <c r="E26" s="212">
        <f>VLOOKUP(C26,'BD EVA 3 STC'!$D$3:$Q$110,14,0)</f>
        <v>25</v>
      </c>
      <c r="F26" s="71" t="str">
        <f>VLOOKUP(C26,'BD EVA 3 STC'!$D$3:$AC$113,9,0)</f>
        <v>octubre 22 - septiembre 23</v>
      </c>
      <c r="G26" s="212">
        <f ca="1">VLOOKUP(C26,'BD EVA 3 STC'!$D$3:$AC$113,24,0)</f>
        <v>28</v>
      </c>
      <c r="H26" s="212">
        <f>VLOOKUP(C26,'BD EVA 3 STC'!$D$3:$AC$113,17,0)</f>
        <v>9</v>
      </c>
      <c r="I26" s="214">
        <f t="shared" ca="1" si="7"/>
        <v>3.1111111111111112</v>
      </c>
      <c r="J26" s="75" t="s">
        <v>318</v>
      </c>
      <c r="K26" s="82">
        <v>2.8</v>
      </c>
      <c r="L26" s="209">
        <f t="shared" ca="1" si="0"/>
        <v>2.8</v>
      </c>
      <c r="M26" s="449"/>
    </row>
    <row r="27" spans="1:13" ht="52">
      <c r="A27" s="121" t="s">
        <v>199</v>
      </c>
      <c r="B27" s="72" t="s">
        <v>228</v>
      </c>
      <c r="C27" s="72" t="s">
        <v>241</v>
      </c>
      <c r="D27" s="71" t="str">
        <f>VLOOKUP(C27,'BD EVA 3 STC'!$D$3:$Y$113,4,0)</f>
        <v>octubre 2018 - marzo 2019</v>
      </c>
      <c r="E27" s="212">
        <f>VLOOKUP(C27,'BD EVA 3 STC'!$D$3:$Q$110,14,0)</f>
        <v>3389</v>
      </c>
      <c r="F27" s="71" t="str">
        <f>VLOOKUP(C27,'BD EVA 3 STC'!$D$3:$AC$113,9,0)</f>
        <v>octubre 22 - septiembre 23</v>
      </c>
      <c r="G27" s="212">
        <f ca="1">VLOOKUP(C27,'BD EVA 3 STC'!$D$3:$AC$113,24,0)</f>
        <v>3188</v>
      </c>
      <c r="H27" s="212">
        <f>VLOOKUP(C27,'BD EVA 3 STC'!$D$3:$AC$113,17,0)</f>
        <v>2629.7</v>
      </c>
      <c r="I27" s="214">
        <f ca="1">(G27-E27)/(H27-E27)</f>
        <v>0.26471750296325558</v>
      </c>
      <c r="J27" s="75" t="s">
        <v>319</v>
      </c>
      <c r="K27" s="82">
        <v>2.2200000000000002</v>
      </c>
      <c r="L27" s="209">
        <f t="shared" ca="1" si="0"/>
        <v>0.58767285657842749</v>
      </c>
      <c r="M27" s="449"/>
    </row>
    <row r="28" spans="1:13" ht="91">
      <c r="A28" s="121" t="s">
        <v>243</v>
      </c>
      <c r="B28" s="72" t="s">
        <v>244</v>
      </c>
      <c r="C28" s="72" t="s">
        <v>338</v>
      </c>
      <c r="D28" s="89" t="str">
        <f>VLOOKUP(C28,'BD EVA 3 STC'!$D$3:$Y$113,4,0)</f>
        <v>octubre 20 - mar 21</v>
      </c>
      <c r="E28" s="212">
        <f>VLOOKUP(C28,'BD EVA 3 STC'!$D$3:$Q$110,14,0)</f>
        <v>1</v>
      </c>
      <c r="F28" s="89" t="str">
        <f>VLOOKUP(C28,'BD EVA 3 STC'!$D$3:$AC$113,9,0)</f>
        <v>octubre 22 - septiembre 23</v>
      </c>
      <c r="G28" s="212">
        <f ca="1">VLOOKUP(C28,'BD EVA 3 STC'!$D$3:$AC$113,24,0)</f>
        <v>3</v>
      </c>
      <c r="H28" s="212">
        <f>VLOOKUP(C28,'BD EVA 3 STC'!$D$3:$AC$113,17,0)</f>
        <v>3</v>
      </c>
      <c r="I28" s="78">
        <f t="shared" ref="I28:I31" ca="1" si="8">G28/H28</f>
        <v>1</v>
      </c>
      <c r="J28" s="89" t="s">
        <v>318</v>
      </c>
      <c r="K28" s="82">
        <v>2.5</v>
      </c>
      <c r="L28" s="209">
        <f t="shared" ca="1" si="0"/>
        <v>2.5</v>
      </c>
      <c r="M28" s="130">
        <f ca="1">SUM(L28:L31)</f>
        <v>8.1539731934731918</v>
      </c>
    </row>
    <row r="29" spans="1:13" ht="39">
      <c r="A29" s="121" t="s">
        <v>243</v>
      </c>
      <c r="B29" s="72" t="s">
        <v>247</v>
      </c>
      <c r="C29" s="72" t="s">
        <v>248</v>
      </c>
      <c r="D29" s="89">
        <f>VLOOKUP(C29,'BD EVA 3 STC'!$D$3:$Y$113,4,0)</f>
        <v>44469</v>
      </c>
      <c r="E29" s="212">
        <f>VLOOKUP(C29,'BD EVA 3 STC'!$D$3:$Q$110,14,0)</f>
        <v>2</v>
      </c>
      <c r="F29" s="89">
        <f>VLOOKUP(C29,'BD EVA 3 STC'!$D$3:$AC$113,9,0)</f>
        <v>45199</v>
      </c>
      <c r="G29" s="212">
        <f ca="1">VLOOKUP(C29,'BD EVA 3 STC'!$D$3:$AC$113,24,0)</f>
        <v>2</v>
      </c>
      <c r="H29" s="212">
        <f>VLOOKUP(C29,'BD EVA 3 STC'!$D$3:$AC$113,17,0)</f>
        <v>3</v>
      </c>
      <c r="I29" s="80">
        <f t="shared" ca="1" si="8"/>
        <v>0.66666666666666663</v>
      </c>
      <c r="J29" s="75" t="s">
        <v>318</v>
      </c>
      <c r="K29" s="71">
        <v>2.5</v>
      </c>
      <c r="L29" s="209">
        <f t="shared" ca="1" si="0"/>
        <v>1.6666666666666665</v>
      </c>
      <c r="M29" s="449"/>
    </row>
    <row r="30" spans="1:13" ht="39">
      <c r="A30" s="121" t="s">
        <v>243</v>
      </c>
      <c r="B30" s="72" t="s">
        <v>250</v>
      </c>
      <c r="C30" s="72" t="s">
        <v>251</v>
      </c>
      <c r="D30" s="75">
        <f>VLOOKUP(C30,'BD EVA 3 STC'!$D$3:$Y$113,4,0)</f>
        <v>44469</v>
      </c>
      <c r="E30" s="212">
        <f>VLOOKUP(C30,'BD EVA 3 STC'!$D$3:$Q$110,14,0)</f>
        <v>100</v>
      </c>
      <c r="F30" s="75">
        <f>VLOOKUP(C30,'BD EVA 3 STC'!$D$3:$AC$113,9,0)</f>
        <v>45078</v>
      </c>
      <c r="G30" s="212">
        <f ca="1">VLOOKUP(C30,'BD EVA 3 STC'!$D$3:$AC$113,24,0)</f>
        <v>98.42</v>
      </c>
      <c r="H30" s="212">
        <f>VLOOKUP(C30,'BD EVA 3 STC'!$D$3:$AC$113,17,0)</f>
        <v>100</v>
      </c>
      <c r="I30" s="80">
        <f t="shared" ca="1" si="8"/>
        <v>0.98419999999999996</v>
      </c>
      <c r="J30" s="75" t="s">
        <v>318</v>
      </c>
      <c r="K30" s="71">
        <v>2.5</v>
      </c>
      <c r="L30" s="209">
        <f t="shared" ca="1" si="0"/>
        <v>2.4604999999999997</v>
      </c>
      <c r="M30" s="449"/>
    </row>
    <row r="31" spans="1:13" ht="156">
      <c r="A31" s="121" t="s">
        <v>243</v>
      </c>
      <c r="B31" s="72" t="s">
        <v>257</v>
      </c>
      <c r="C31" s="72" t="s">
        <v>258</v>
      </c>
      <c r="D31" s="75">
        <f>VLOOKUP(C31,'BD EVA 3 STC'!$D$3:$Y$113,4,0)</f>
        <v>44469</v>
      </c>
      <c r="E31" s="212">
        <f>VLOOKUP(C31,'BD EVA 3 STC'!$D$3:$Q$110,14,0)</f>
        <v>0</v>
      </c>
      <c r="F31" s="75">
        <f>VLOOKUP(C31,'BD EVA 3 STC'!$D$3:$AC$113,9,0)</f>
        <v>45199</v>
      </c>
      <c r="G31" s="208">
        <f ca="1">VLOOKUP(C31,'BD EVA 3 STC'!$D$3:$AC$113,24,0)</f>
        <v>2.4428904428904401</v>
      </c>
      <c r="H31" s="212">
        <f>VLOOKUP(C31,'BD EVA 3 STC'!$D$3:$AC$113,17,0)</f>
        <v>4</v>
      </c>
      <c r="I31" s="80">
        <f t="shared" ca="1" si="8"/>
        <v>0.61072261072261003</v>
      </c>
      <c r="J31" s="75" t="s">
        <v>318</v>
      </c>
      <c r="K31" s="71">
        <v>2.5</v>
      </c>
      <c r="L31" s="209">
        <f t="shared" ca="1" si="0"/>
        <v>1.5268065268065252</v>
      </c>
      <c r="M31" s="449"/>
    </row>
  </sheetData>
  <mergeCells count="6">
    <mergeCell ref="M2:M4"/>
    <mergeCell ref="M5:M10"/>
    <mergeCell ref="M11:M15"/>
    <mergeCell ref="M16:M23"/>
    <mergeCell ref="M24:M27"/>
    <mergeCell ref="M28:M3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9717C-9EA3-E741-80C1-B954DA649B6F}">
  <dimension ref="A1:AC113"/>
  <sheetViews>
    <sheetView workbookViewId="0">
      <selection sqref="A1:XFD1"/>
    </sheetView>
  </sheetViews>
  <sheetFormatPr baseColWidth="10" defaultRowHeight="16"/>
  <sheetData>
    <row r="1" spans="1:29" s="112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1" t="s">
        <v>13</v>
      </c>
      <c r="O1" s="61" t="s">
        <v>14</v>
      </c>
      <c r="P1" s="61" t="s">
        <v>15</v>
      </c>
      <c r="Q1" s="61" t="s">
        <v>16</v>
      </c>
      <c r="R1" s="514" t="s">
        <v>321</v>
      </c>
      <c r="S1" s="514" t="s">
        <v>18</v>
      </c>
      <c r="T1" s="514" t="s">
        <v>322</v>
      </c>
      <c r="U1" s="514" t="s">
        <v>20</v>
      </c>
      <c r="V1" s="514" t="s">
        <v>323</v>
      </c>
      <c r="W1" s="514" t="s">
        <v>22</v>
      </c>
      <c r="X1" s="61" t="s">
        <v>23</v>
      </c>
      <c r="Y1" s="61" t="s">
        <v>450</v>
      </c>
      <c r="Z1" s="61" t="s">
        <v>25</v>
      </c>
      <c r="AA1" s="61" t="s">
        <v>325</v>
      </c>
      <c r="AB1" s="61" t="s">
        <v>27</v>
      </c>
      <c r="AC1" s="61" t="s">
        <v>326</v>
      </c>
    </row>
    <row r="2" spans="1:29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3">
        <v>2021</v>
      </c>
      <c r="H2" s="3">
        <v>2021</v>
      </c>
      <c r="I2" s="4">
        <v>2022</v>
      </c>
      <c r="J2" s="4">
        <v>2022</v>
      </c>
      <c r="K2" s="4">
        <v>2023</v>
      </c>
      <c r="L2" s="4">
        <v>2023</v>
      </c>
      <c r="M2" s="4">
        <v>2024</v>
      </c>
      <c r="N2" s="4">
        <v>2024</v>
      </c>
      <c r="O2" s="4"/>
      <c r="P2" s="12">
        <v>325468</v>
      </c>
      <c r="Q2" s="12">
        <v>325468</v>
      </c>
      <c r="R2" s="2"/>
      <c r="S2" s="12"/>
      <c r="T2" s="12"/>
      <c r="U2" s="12"/>
      <c r="V2" s="12"/>
      <c r="W2" s="12"/>
      <c r="X2" s="12">
        <v>328847</v>
      </c>
      <c r="Y2" s="12">
        <v>328847</v>
      </c>
      <c r="Z2" s="12">
        <v>332214</v>
      </c>
      <c r="AA2" s="12">
        <v>332214</v>
      </c>
      <c r="AB2" s="12">
        <v>335570</v>
      </c>
      <c r="AC2" s="12">
        <v>335570</v>
      </c>
    </row>
    <row r="3" spans="1:29">
      <c r="A3" s="7" t="s">
        <v>34</v>
      </c>
      <c r="B3" s="7" t="s">
        <v>35</v>
      </c>
      <c r="C3" s="1" t="s">
        <v>36</v>
      </c>
      <c r="D3" s="156" t="s">
        <v>37</v>
      </c>
      <c r="E3" s="9" t="s">
        <v>38</v>
      </c>
      <c r="F3" s="9" t="s">
        <v>39</v>
      </c>
      <c r="G3" s="10">
        <v>44469</v>
      </c>
      <c r="H3" s="10">
        <v>44469</v>
      </c>
      <c r="I3" s="11">
        <v>44651</v>
      </c>
      <c r="J3" s="11">
        <v>44834</v>
      </c>
      <c r="K3" s="11">
        <v>45016</v>
      </c>
      <c r="L3" s="11">
        <v>45199</v>
      </c>
      <c r="M3" s="11">
        <v>45382</v>
      </c>
      <c r="N3" s="11">
        <v>45565</v>
      </c>
      <c r="O3" s="11">
        <v>45565</v>
      </c>
      <c r="P3" s="12">
        <v>265</v>
      </c>
      <c r="Q3" s="12">
        <v>265</v>
      </c>
      <c r="R3" s="2">
        <v>299</v>
      </c>
      <c r="S3" s="2">
        <v>333</v>
      </c>
      <c r="T3" s="2">
        <v>366</v>
      </c>
      <c r="U3" s="2">
        <v>400</v>
      </c>
      <c r="V3" s="2">
        <v>434</v>
      </c>
      <c r="W3" s="2">
        <f>V3</f>
        <v>434</v>
      </c>
      <c r="X3" s="2">
        <v>284</v>
      </c>
      <c r="Y3" s="22">
        <f ca="1">IFERROR(__xludf.DUMMYFUNCTION("INDEX(IMPORTRANGE(""1y0FWgjbB0gVlqn-q5LMJbGIsqOrzru4yowQz67dz2yc"", ""'STC'!BG3:BG139""),MATCH($D3,IMPORTRANGE(""1y0FWgjbB0gVlqn-q5LMJbGIsqOrzru4yowQz67dz2yc"", ""'STC'!D3:D139""),0))"),371)</f>
        <v>371</v>
      </c>
      <c r="Z3" s="22">
        <f ca="1">IFERROR(__xludf.DUMMYFUNCTION("INDEX(IMPORTRANGE(""1y0FWgjbB0gVlqn-q5LMJbGIsqOrzru4yowQz67dz2yc"", ""'STC'!BH3:BH139""),MATCH($D3,IMPORTRANGE(""1y0FWgjbB0gVlqn-q5LMJbGIsqOrzru4yowQz67dz2yc"", ""'STC'!D3:D139""),0))"),382)</f>
        <v>382</v>
      </c>
      <c r="AA3" s="22">
        <f ca="1">IFERROR(__xludf.DUMMYFUNCTION("INDEX(IMPORTRANGE(""1y0FWgjbB0gVlqn-q5LMJbGIsqOrzru4yowQz67dz2yc"", ""'STC'!BI3:BI139""),MATCH($D3,IMPORTRANGE(""1y0FWgjbB0gVlqn-q5LMJbGIsqOrzru4yowQz67dz2yc"", ""'STC'!D3:D139""),0))"),419)</f>
        <v>419</v>
      </c>
      <c r="AB3" s="22">
        <f ca="1">IFERROR(__xludf.DUMMYFUNCTION("INDEX(IMPORTRANGE(""1y0FWgjbB0gVlqn-q5LMJbGIsqOrzru4yowQz67dz2yc"", ""'STC'!BJ3:BJ139""),MATCH($D3,IMPORTRANGE(""1y0FWgjbB0gVlqn-q5LMJbGIsqOrzru4yowQz67dz2yc"", ""'STC'!D3:D139""),0))"),435)</f>
        <v>435</v>
      </c>
      <c r="AC3" s="1"/>
    </row>
    <row r="4" spans="1:29">
      <c r="A4" s="7" t="s">
        <v>34</v>
      </c>
      <c r="B4" s="7" t="s">
        <v>40</v>
      </c>
      <c r="C4" s="1" t="s">
        <v>30</v>
      </c>
      <c r="D4" s="155" t="s">
        <v>41</v>
      </c>
      <c r="E4" s="9" t="s">
        <v>38</v>
      </c>
      <c r="F4" s="9" t="s">
        <v>42</v>
      </c>
      <c r="G4" s="10">
        <v>44469</v>
      </c>
      <c r="H4" s="10">
        <v>44469</v>
      </c>
      <c r="I4" s="11">
        <v>44651</v>
      </c>
      <c r="J4" s="11">
        <v>44834</v>
      </c>
      <c r="K4" s="11">
        <v>45016</v>
      </c>
      <c r="L4" s="11">
        <v>45199</v>
      </c>
      <c r="M4" s="11">
        <v>45382</v>
      </c>
      <c r="N4" s="11">
        <v>45565</v>
      </c>
      <c r="O4" s="11">
        <v>45565</v>
      </c>
      <c r="P4" s="12">
        <v>262</v>
      </c>
      <c r="Q4" s="12">
        <v>262</v>
      </c>
      <c r="R4" s="2"/>
      <c r="S4" s="2"/>
      <c r="T4" s="2"/>
      <c r="U4" s="2"/>
      <c r="V4" s="2"/>
      <c r="W4" s="2"/>
      <c r="X4" s="2">
        <v>241</v>
      </c>
      <c r="Y4" s="22">
        <f ca="1">IFERROR(__xludf.DUMMYFUNCTION("INDEX(IMPORTRANGE(""1y0FWgjbB0gVlqn-q5LMJbGIsqOrzru4yowQz67dz2yc"", ""'STC'!BG3:BG139""),MATCH($D4,IMPORTRANGE(""1y0FWgjbB0gVlqn-q5LMJbGIsqOrzru4yowQz67dz2yc"", ""'STC'!D3:D139""),0))"),280)</f>
        <v>280</v>
      </c>
      <c r="Z4" s="22">
        <f ca="1">IFERROR(__xludf.DUMMYFUNCTION("INDEX(IMPORTRANGE(""1y0FWgjbB0gVlqn-q5LMJbGIsqOrzru4yowQz67dz2yc"", ""'STC'!BH3:BH139""),MATCH($D4,IMPORTRANGE(""1y0FWgjbB0gVlqn-q5LMJbGIsqOrzru4yowQz67dz2yc"", ""'STC'!D3:D139""),0))"),286)</f>
        <v>286</v>
      </c>
      <c r="AA4" s="22">
        <f ca="1">IFERROR(__xludf.DUMMYFUNCTION("INDEX(IMPORTRANGE(""1y0FWgjbB0gVlqn-q5LMJbGIsqOrzru4yowQz67dz2yc"", ""'STC'!BI3:BI139""),MATCH($D4,IMPORTRANGE(""1y0FWgjbB0gVlqn-q5LMJbGIsqOrzru4yowQz67dz2yc"", ""'STC'!D3:D139""),0))"),295)</f>
        <v>295</v>
      </c>
      <c r="AB4" s="22">
        <f ca="1">IFERROR(__xludf.DUMMYFUNCTION("INDEX(IMPORTRANGE(""1y0FWgjbB0gVlqn-q5LMJbGIsqOrzru4yowQz67dz2yc"", ""'STC'!BJ3:BJ139""),MATCH($D4,IMPORTRANGE(""1y0FWgjbB0gVlqn-q5LMJbGIsqOrzru4yowQz67dz2yc"", ""'STC'!D3:D139""),0))"),336)</f>
        <v>336</v>
      </c>
      <c r="AC4" s="1"/>
    </row>
    <row r="5" spans="1:29">
      <c r="A5" s="261" t="s">
        <v>34</v>
      </c>
      <c r="B5" s="261" t="s">
        <v>40</v>
      </c>
      <c r="C5" s="47" t="s">
        <v>36</v>
      </c>
      <c r="D5" s="156" t="s">
        <v>43</v>
      </c>
      <c r="E5" s="192" t="s">
        <v>38</v>
      </c>
      <c r="F5" s="192" t="s">
        <v>44</v>
      </c>
      <c r="G5" s="10">
        <v>44469</v>
      </c>
      <c r="H5" s="10">
        <v>44469</v>
      </c>
      <c r="I5" s="11">
        <v>44651</v>
      </c>
      <c r="J5" s="11">
        <v>44834</v>
      </c>
      <c r="K5" s="11">
        <v>45016</v>
      </c>
      <c r="L5" s="11">
        <v>45199</v>
      </c>
      <c r="M5" s="11">
        <v>45382</v>
      </c>
      <c r="N5" s="11">
        <v>45565</v>
      </c>
      <c r="O5" s="11">
        <v>45565</v>
      </c>
      <c r="P5" s="15">
        <f t="shared" ref="P5:Q5" si="0">P4/P3</f>
        <v>0.98867924528301887</v>
      </c>
      <c r="Q5" s="15">
        <f t="shared" si="0"/>
        <v>0.98867924528301887</v>
      </c>
      <c r="R5" s="25" t="s">
        <v>327</v>
      </c>
      <c r="S5" s="25" t="s">
        <v>327</v>
      </c>
      <c r="T5" s="25" t="s">
        <v>327</v>
      </c>
      <c r="U5" s="25" t="s">
        <v>327</v>
      </c>
      <c r="V5" s="25" t="s">
        <v>327</v>
      </c>
      <c r="W5" s="25" t="s">
        <v>327</v>
      </c>
      <c r="X5" s="15">
        <f>X4/X3</f>
        <v>0.84859154929577463</v>
      </c>
      <c r="Y5" s="25">
        <f ca="1">IFERROR(__xludf.DUMMYFUNCTION("INDEX(IMPORTRANGE(""1y0FWgjbB0gVlqn-q5LMJbGIsqOrzru4yowQz67dz2yc"", ""'STC'!BG3:BG139""),MATCH($D5,IMPORTRANGE(""1y0FWgjbB0gVlqn-q5LMJbGIsqOrzru4yowQz67dz2yc"", ""'STC'!D3:D139""),0))"),0.754716981132075)</f>
        <v>0.75471698113207497</v>
      </c>
      <c r="Z5" s="25">
        <f ca="1">IFERROR(__xludf.DUMMYFUNCTION("INDEX(IMPORTRANGE(""1y0FWgjbB0gVlqn-q5LMJbGIsqOrzru4yowQz67dz2yc"", ""'STC'!BH3:BH139""),MATCH($D5,IMPORTRANGE(""1y0FWgjbB0gVlqn-q5LMJbGIsqOrzru4yowQz67dz2yc"", ""'STC'!D3:D139""),0))"),0.748691099476439)</f>
        <v>0.74869109947643897</v>
      </c>
      <c r="AA5" s="25">
        <f ca="1">IFERROR(__xludf.DUMMYFUNCTION("INDEX(IMPORTRANGE(""1y0FWgjbB0gVlqn-q5LMJbGIsqOrzru4yowQz67dz2yc"", ""'STC'!BI3:BI139""),MATCH($D5,IMPORTRANGE(""1y0FWgjbB0gVlqn-q5LMJbGIsqOrzru4yowQz67dz2yc"", ""'STC'!D3:D139""),0))"),0.704057279236276)</f>
        <v>0.70405727923627603</v>
      </c>
      <c r="AB5" s="25">
        <f ca="1">IFERROR(__xludf.DUMMYFUNCTION("INDEX(IMPORTRANGE(""1y0FWgjbB0gVlqn-q5LMJbGIsqOrzru4yowQz67dz2yc"", ""'STC'!BJ3:BJ139""),MATCH($D5,IMPORTRANGE(""1y0FWgjbB0gVlqn-q5LMJbGIsqOrzru4yowQz67dz2yc"", ""'STC'!D3:D139""),0))"),0.772413793103448)</f>
        <v>0.77241379310344804</v>
      </c>
      <c r="AC5" s="47"/>
    </row>
    <row r="6" spans="1:29">
      <c r="A6" s="7" t="s">
        <v>34</v>
      </c>
      <c r="B6" s="7" t="s">
        <v>45</v>
      </c>
      <c r="C6" s="1" t="s">
        <v>30</v>
      </c>
      <c r="D6" s="156" t="s">
        <v>328</v>
      </c>
      <c r="E6" s="21" t="s">
        <v>38</v>
      </c>
      <c r="F6" s="9" t="s">
        <v>47</v>
      </c>
      <c r="G6" s="10">
        <v>44469</v>
      </c>
      <c r="H6" s="10">
        <v>44469</v>
      </c>
      <c r="I6" s="11">
        <v>44651</v>
      </c>
      <c r="J6" s="11">
        <v>44834</v>
      </c>
      <c r="K6" s="11">
        <v>45016</v>
      </c>
      <c r="L6" s="11">
        <v>45199</v>
      </c>
      <c r="M6" s="11">
        <v>45382</v>
      </c>
      <c r="N6" s="11">
        <v>45565</v>
      </c>
      <c r="O6" s="11">
        <v>45565</v>
      </c>
      <c r="P6" s="12"/>
      <c r="Q6" s="2"/>
      <c r="R6" s="2"/>
      <c r="S6" s="2"/>
      <c r="T6" s="2"/>
      <c r="U6" s="2"/>
      <c r="V6" s="2"/>
      <c r="W6" s="2"/>
      <c r="X6" s="18"/>
      <c r="Y6" s="22">
        <f ca="1">IFERROR(__xludf.DUMMYFUNCTION("INDEX(IMPORTRANGE(""1y0FWgjbB0gVlqn-q5LMJbGIsqOrzru4yowQz67dz2yc"", ""'STC'!BG3:BG139""),MATCH($D6,IMPORTRANGE(""1y0FWgjbB0gVlqn-q5LMJbGIsqOrzru4yowQz67dz2yc"", ""'STC'!D3:D139""),0))"),22)</f>
        <v>22</v>
      </c>
      <c r="Z6" s="22">
        <f ca="1">IFERROR(__xludf.DUMMYFUNCTION("INDEX(IMPORTRANGE(""1y0FWgjbB0gVlqn-q5LMJbGIsqOrzru4yowQz67dz2yc"", ""'STC'!BH3:BH139""),MATCH($D6,IMPORTRANGE(""1y0FWgjbB0gVlqn-q5LMJbGIsqOrzru4yowQz67dz2yc"", ""'STC'!D3:D139""),0))"),22)</f>
        <v>22</v>
      </c>
      <c r="AA6" s="22">
        <f ca="1">IFERROR(__xludf.DUMMYFUNCTION("INDEX(IMPORTRANGE(""1y0FWgjbB0gVlqn-q5LMJbGIsqOrzru4yowQz67dz2yc"", ""'STC'!BI3:BI139""),MATCH($D6,IMPORTRANGE(""1y0FWgjbB0gVlqn-q5LMJbGIsqOrzru4yowQz67dz2yc"", ""'STC'!D3:D139""),0))"),28)</f>
        <v>28</v>
      </c>
      <c r="AB6" s="22">
        <f ca="1">IFERROR(__xludf.DUMMYFUNCTION("INDEX(IMPORTRANGE(""1y0FWgjbB0gVlqn-q5LMJbGIsqOrzru4yowQz67dz2yc"", ""'STC'!BJ3:BJ139""),MATCH($D6,IMPORTRANGE(""1y0FWgjbB0gVlqn-q5LMJbGIsqOrzru4yowQz67dz2yc"", ""'STC'!D3:D139""),0))"),41)</f>
        <v>41</v>
      </c>
      <c r="AC6" s="1"/>
    </row>
    <row r="7" spans="1:29">
      <c r="A7" s="155" t="s">
        <v>34</v>
      </c>
      <c r="B7" s="155" t="s">
        <v>45</v>
      </c>
      <c r="C7" s="156" t="s">
        <v>30</v>
      </c>
      <c r="D7" s="156" t="s">
        <v>329</v>
      </c>
      <c r="E7" s="21" t="s">
        <v>38</v>
      </c>
      <c r="F7" s="21" t="s">
        <v>49</v>
      </c>
      <c r="G7" s="10">
        <v>44469</v>
      </c>
      <c r="H7" s="10">
        <v>44469</v>
      </c>
      <c r="I7" s="10">
        <v>44651</v>
      </c>
      <c r="J7" s="10">
        <v>44834</v>
      </c>
      <c r="K7" s="10">
        <v>45016</v>
      </c>
      <c r="L7" s="10">
        <v>45199</v>
      </c>
      <c r="M7" s="10">
        <v>45382</v>
      </c>
      <c r="N7" s="10">
        <v>45565</v>
      </c>
      <c r="O7" s="10">
        <v>45565</v>
      </c>
      <c r="P7" s="12"/>
      <c r="Q7" s="2"/>
      <c r="R7" s="26">
        <v>3.9E-2</v>
      </c>
      <c r="S7" s="26">
        <v>4.2999999999999997E-2</v>
      </c>
      <c r="T7" s="26">
        <v>4.9000000000000002E-2</v>
      </c>
      <c r="U7" s="26">
        <v>5.7000000000000002E-2</v>
      </c>
      <c r="V7" s="26">
        <v>6.5000000000000002E-2</v>
      </c>
      <c r="W7" s="26">
        <v>0.11799999999999999</v>
      </c>
      <c r="X7" s="18"/>
      <c r="Y7" s="22">
        <f ca="1">IFERROR(__xludf.DUMMYFUNCTION("INDEX(IMPORTRANGE(""1y0FWgjbB0gVlqn-q5LMJbGIsqOrzru4yowQz67dz2yc"", ""'STC'!BG3:BG139""),MATCH($D7,IMPORTRANGE(""1y0FWgjbB0gVlqn-q5LMJbGIsqOrzru4yowQz67dz2yc"", ""'STC'!D3:D139""),0))"),0)</f>
        <v>0</v>
      </c>
      <c r="Z7" s="22">
        <f ca="1">IFERROR(__xludf.DUMMYFUNCTION("INDEX(IMPORTRANGE(""1y0FWgjbB0gVlqn-q5LMJbGIsqOrzru4yowQz67dz2yc"", ""'STC'!BH3:BH139""),MATCH($D7,IMPORTRANGE(""1y0FWgjbB0gVlqn-q5LMJbGIsqOrzru4yowQz67dz2yc"", ""'STC'!D3:D139""),0))"),0)</f>
        <v>0</v>
      </c>
      <c r="AA7" s="22">
        <f ca="1">IFERROR(__xludf.DUMMYFUNCTION("INDEX(IMPORTRANGE(""1y0FWgjbB0gVlqn-q5LMJbGIsqOrzru4yowQz67dz2yc"", ""'STC'!BI3:BI139""),MATCH($D7,IMPORTRANGE(""1y0FWgjbB0gVlqn-q5LMJbGIsqOrzru4yowQz67dz2yc"", ""'STC'!D3:D139""),0))"),3)</f>
        <v>3</v>
      </c>
      <c r="AB7" s="22">
        <f ca="1">IFERROR(__xludf.DUMMYFUNCTION("INDEX(IMPORTRANGE(""1y0FWgjbB0gVlqn-q5LMJbGIsqOrzru4yowQz67dz2yc"", ""'STC'!BJ3:BJ139""),MATCH($D7,IMPORTRANGE(""1y0FWgjbB0gVlqn-q5LMJbGIsqOrzru4yowQz67dz2yc"", ""'STC'!D3:D139""),0))"),8)</f>
        <v>8</v>
      </c>
      <c r="AC7" s="1"/>
    </row>
    <row r="8" spans="1:29">
      <c r="A8" s="7" t="s">
        <v>34</v>
      </c>
      <c r="B8" s="7" t="s">
        <v>45</v>
      </c>
      <c r="C8" s="1" t="s">
        <v>36</v>
      </c>
      <c r="D8" s="1" t="s">
        <v>50</v>
      </c>
      <c r="E8" s="21" t="s">
        <v>38</v>
      </c>
      <c r="F8" s="9" t="s">
        <v>51</v>
      </c>
      <c r="G8" s="10">
        <v>44469</v>
      </c>
      <c r="H8" s="10">
        <v>44469</v>
      </c>
      <c r="I8" s="11">
        <v>44651</v>
      </c>
      <c r="J8" s="11">
        <v>44834</v>
      </c>
      <c r="K8" s="11">
        <v>45016</v>
      </c>
      <c r="L8" s="11">
        <v>45199</v>
      </c>
      <c r="M8" s="11">
        <v>45382</v>
      </c>
      <c r="N8" s="11">
        <v>45565</v>
      </c>
      <c r="O8" s="11">
        <v>45565</v>
      </c>
      <c r="P8" s="15">
        <f t="shared" ref="P8:Q8" si="1">P6/P3</f>
        <v>0</v>
      </c>
      <c r="Q8" s="15">
        <f t="shared" si="1"/>
        <v>0</v>
      </c>
      <c r="R8" s="26">
        <v>9.2999999999999999E-2</v>
      </c>
      <c r="S8" s="26">
        <v>9.6000000000000002E-2</v>
      </c>
      <c r="T8" s="26">
        <v>9.8000000000000004E-2</v>
      </c>
      <c r="U8" s="26">
        <v>0.10100000000000001</v>
      </c>
      <c r="V8" s="26">
        <v>0.104</v>
      </c>
      <c r="W8" s="26">
        <f>V8</f>
        <v>0.104</v>
      </c>
      <c r="X8" s="19">
        <f>X6/X3</f>
        <v>0</v>
      </c>
      <c r="Y8" s="25">
        <f ca="1">IFERROR(__xludf.DUMMYFUNCTION("INDEX(IMPORTRANGE(""1y0FWgjbB0gVlqn-q5LMJbGIsqOrzru4yowQz67dz2yc"", ""'STC'!BG3:BG139""),MATCH($D8,IMPORTRANGE(""1y0FWgjbB0gVlqn-q5LMJbGIsqOrzru4yowQz67dz2yc"", ""'STC'!D3:D139""),0))"),0.059299191374663)</f>
        <v>5.9299191374663003E-2</v>
      </c>
      <c r="Z8" s="25">
        <f ca="1">IFERROR(__xludf.DUMMYFUNCTION("INDEX(IMPORTRANGE(""1y0FWgjbB0gVlqn-q5LMJbGIsqOrzru4yowQz67dz2yc"", ""'STC'!BH3:BH139""),MATCH($D8,IMPORTRANGE(""1y0FWgjbB0gVlqn-q5LMJbGIsqOrzru4yowQz67dz2yc"", ""'STC'!D3:D139""),0))"),0.0575916230366492)</f>
        <v>5.7591623036649199E-2</v>
      </c>
      <c r="AA8" s="25">
        <f ca="1">IFERROR(__xludf.DUMMYFUNCTION("INDEX(IMPORTRANGE(""1y0FWgjbB0gVlqn-q5LMJbGIsqOrzru4yowQz67dz2yc"", ""'STC'!BI3:BI139""),MATCH($D8,IMPORTRANGE(""1y0FWgjbB0gVlqn-q5LMJbGIsqOrzru4yowQz67dz2yc"", ""'STC'!D3:D139""),0))"),0.0739856801909307)</f>
        <v>7.39856801909307E-2</v>
      </c>
      <c r="AB8" s="25">
        <f ca="1">IFERROR(__xludf.DUMMYFUNCTION("INDEX(IMPORTRANGE(""1y0FWgjbB0gVlqn-q5LMJbGIsqOrzru4yowQz67dz2yc"", ""'STC'!BJ3:BJ139""),MATCH($D8,IMPORTRANGE(""1y0FWgjbB0gVlqn-q5LMJbGIsqOrzru4yowQz67dz2yc"", ""'STC'!D3:D139""),0))"),0.112643678160919)</f>
        <v>0.112643678160919</v>
      </c>
      <c r="AC8" s="1"/>
    </row>
    <row r="9" spans="1:29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55</v>
      </c>
      <c r="G9" s="21" t="s">
        <v>56</v>
      </c>
      <c r="H9" s="21" t="s">
        <v>57</v>
      </c>
      <c r="I9" s="9" t="s">
        <v>58</v>
      </c>
      <c r="J9" s="9" t="s">
        <v>59</v>
      </c>
      <c r="K9" s="9" t="s">
        <v>60</v>
      </c>
      <c r="L9" s="9" t="s">
        <v>61</v>
      </c>
      <c r="M9" s="9" t="s">
        <v>62</v>
      </c>
      <c r="N9" s="9" t="s">
        <v>63</v>
      </c>
      <c r="O9" s="9" t="s">
        <v>63</v>
      </c>
      <c r="P9" s="12">
        <v>9</v>
      </c>
      <c r="Q9" s="2">
        <v>74</v>
      </c>
      <c r="R9" s="2"/>
      <c r="S9" s="2"/>
      <c r="T9" s="2"/>
      <c r="U9" s="2"/>
      <c r="V9" s="2"/>
      <c r="W9" s="2"/>
      <c r="X9" s="2">
        <v>18</v>
      </c>
      <c r="Y9" s="22">
        <f ca="1">IFERROR(__xludf.DUMMYFUNCTION("INDEX(IMPORTRANGE(""1y0FWgjbB0gVlqn-q5LMJbGIsqOrzru4yowQz67dz2yc"", ""'STC'!BG3:BG139""),MATCH($D9,IMPORTRANGE(""1y0FWgjbB0gVlqn-q5LMJbGIsqOrzru4yowQz67dz2yc"", ""'STC'!D3:D139""),0))"),318)</f>
        <v>318</v>
      </c>
      <c r="Z9" s="22">
        <f ca="1">IFERROR(__xludf.DUMMYFUNCTION("INDEX(IMPORTRANGE(""1y0FWgjbB0gVlqn-q5LMJbGIsqOrzru4yowQz67dz2yc"", ""'STC'!BH3:BH139""),MATCH($D9,IMPORTRANGE(""1y0FWgjbB0gVlqn-q5LMJbGIsqOrzru4yowQz67dz2yc"", ""'STC'!D3:D139""),0))"),1064)</f>
        <v>1064</v>
      </c>
      <c r="AA9" s="22">
        <f ca="1">IFERROR(__xludf.DUMMYFUNCTION("INDEX(IMPORTRANGE(""1y0FWgjbB0gVlqn-q5LMJbGIsqOrzru4yowQz67dz2yc"", ""'STC'!BI3:BI139""),MATCH($D9,IMPORTRANGE(""1y0FWgjbB0gVlqn-q5LMJbGIsqOrzru4yowQz67dz2yc"", ""'STC'!D3:D139""),0))"),1884)</f>
        <v>1884</v>
      </c>
      <c r="AB9" s="22">
        <f ca="1">IFERROR(__xludf.DUMMYFUNCTION("INDEX(IMPORTRANGE(""1y0FWgjbB0gVlqn-q5LMJbGIsqOrzru4yowQz67dz2yc"", ""'STC'!BJ3:BJ139""),MATCH($D9,IMPORTRANGE(""1y0FWgjbB0gVlqn-q5LMJbGIsqOrzru4yowQz67dz2yc"", ""'STC'!D3:D139""),0))"),970)</f>
        <v>970</v>
      </c>
      <c r="AC9" s="1"/>
    </row>
    <row r="10" spans="1:29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21" t="s">
        <v>56</v>
      </c>
      <c r="H10" s="21" t="s">
        <v>57</v>
      </c>
      <c r="I10" s="9" t="s">
        <v>58</v>
      </c>
      <c r="J10" s="9" t="s">
        <v>59</v>
      </c>
      <c r="K10" s="9" t="s">
        <v>60</v>
      </c>
      <c r="L10" s="9" t="s">
        <v>61</v>
      </c>
      <c r="M10" s="9" t="s">
        <v>62</v>
      </c>
      <c r="N10" s="9" t="s">
        <v>63</v>
      </c>
      <c r="O10" s="9" t="s">
        <v>63</v>
      </c>
      <c r="P10" s="12">
        <v>1695</v>
      </c>
      <c r="Q10" s="12">
        <v>2149</v>
      </c>
      <c r="R10" s="2"/>
      <c r="S10" s="2"/>
      <c r="T10" s="2"/>
      <c r="U10" s="2"/>
      <c r="V10" s="2"/>
      <c r="W10" s="2"/>
      <c r="X10" s="12">
        <v>312</v>
      </c>
      <c r="Y10" s="262">
        <f ca="1">IFERROR(__xludf.DUMMYFUNCTION("INDEX(IMPORTRANGE(""1y0FWgjbB0gVlqn-q5LMJbGIsqOrzru4yowQz67dz2yc"", ""'STC'!BG3:BG139""),MATCH($D10,IMPORTRANGE(""1y0FWgjbB0gVlqn-q5LMJbGIsqOrzru4yowQz67dz2yc"", ""'STC'!D3:D139""),0))"),983)</f>
        <v>983</v>
      </c>
      <c r="Z10" s="262">
        <f ca="1">IFERROR(__xludf.DUMMYFUNCTION("INDEX(IMPORTRANGE(""1y0FWgjbB0gVlqn-q5LMJbGIsqOrzru4yowQz67dz2yc"", ""'STC'!BH3:BH139""),MATCH($D10,IMPORTRANGE(""1y0FWgjbB0gVlqn-q5LMJbGIsqOrzru4yowQz67dz2yc"", ""'STC'!D3:D139""),0))"),2909)</f>
        <v>2909</v>
      </c>
      <c r="AA10" s="262">
        <f ca="1">IFERROR(__xludf.DUMMYFUNCTION("INDEX(IMPORTRANGE(""1y0FWgjbB0gVlqn-q5LMJbGIsqOrzru4yowQz67dz2yc"", ""'STC'!BI3:BI139""),MATCH($D10,IMPORTRANGE(""1y0FWgjbB0gVlqn-q5LMJbGIsqOrzru4yowQz67dz2yc"", ""'STC'!D3:D139""),0))"),5526)</f>
        <v>5526</v>
      </c>
      <c r="AB10" s="262">
        <f ca="1">IFERROR(__xludf.DUMMYFUNCTION("INDEX(IMPORTRANGE(""1y0FWgjbB0gVlqn-q5LMJbGIsqOrzru4yowQz67dz2yc"", ""'STC'!BJ3:BJ139""),MATCH($D10,IMPORTRANGE(""1y0FWgjbB0gVlqn-q5LMJbGIsqOrzru4yowQz67dz2yc"", ""'STC'!D3:D139""),0))"),2428)</f>
        <v>2428</v>
      </c>
      <c r="AC10" s="1"/>
    </row>
    <row r="11" spans="1:29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21" t="s">
        <v>56</v>
      </c>
      <c r="H11" s="21" t="s">
        <v>57</v>
      </c>
      <c r="I11" s="9" t="s">
        <v>58</v>
      </c>
      <c r="J11" s="9" t="s">
        <v>59</v>
      </c>
      <c r="K11" s="9" t="s">
        <v>60</v>
      </c>
      <c r="L11" s="9" t="s">
        <v>61</v>
      </c>
      <c r="M11" s="9" t="s">
        <v>62</v>
      </c>
      <c r="N11" s="9" t="s">
        <v>63</v>
      </c>
      <c r="O11" s="9" t="s">
        <v>63</v>
      </c>
      <c r="P11" s="15">
        <f t="shared" ref="P11:Q11" si="2">P9/P10</f>
        <v>5.3097345132743362E-3</v>
      </c>
      <c r="Q11" s="15">
        <f t="shared" si="2"/>
        <v>3.4434620753838997E-2</v>
      </c>
      <c r="R11" s="26">
        <v>3.9E-2</v>
      </c>
      <c r="S11" s="15">
        <v>0.36</v>
      </c>
      <c r="T11" s="15">
        <f t="shared" ref="T11:V11" si="3">($W$11-$S$11)/3+S11</f>
        <v>0.37333333333333335</v>
      </c>
      <c r="U11" s="15">
        <f t="shared" si="3"/>
        <v>0.38666666666666671</v>
      </c>
      <c r="V11" s="15">
        <f t="shared" si="3"/>
        <v>0.40000000000000008</v>
      </c>
      <c r="W11" s="14">
        <v>0.4</v>
      </c>
      <c r="X11" s="15">
        <f>X9/X10</f>
        <v>5.7692307692307696E-2</v>
      </c>
      <c r="Y11" s="25">
        <f ca="1">IFERROR(__xludf.DUMMYFUNCTION("INDEX(IMPORTRANGE(""1y0FWgjbB0gVlqn-q5LMJbGIsqOrzru4yowQz67dz2yc"", ""'STC'!BG3:BG139""),MATCH($D11,IMPORTRANGE(""1y0FWgjbB0gVlqn-q5LMJbGIsqOrzru4yowQz67dz2yc"", ""'STC'!D3:D139""),0))"),0.323499491353001)</f>
        <v>0.32349949135300099</v>
      </c>
      <c r="Z11" s="25">
        <f ca="1">IFERROR(__xludf.DUMMYFUNCTION("INDEX(IMPORTRANGE(""1y0FWgjbB0gVlqn-q5LMJbGIsqOrzru4yowQz67dz2yc"", ""'STC'!BH3:BH139""),MATCH($D11,IMPORTRANGE(""1y0FWgjbB0gVlqn-q5LMJbGIsqOrzru4yowQz67dz2yc"", ""'STC'!D3:D139""),0))"),0.365761430044688)</f>
        <v>0.36576143004468797</v>
      </c>
      <c r="AA11" s="25">
        <f ca="1">IFERROR(__xludf.DUMMYFUNCTION("INDEX(IMPORTRANGE(""1y0FWgjbB0gVlqn-q5LMJbGIsqOrzru4yowQz67dz2yc"", ""'STC'!BI3:BI139""),MATCH($D11,IMPORTRANGE(""1y0FWgjbB0gVlqn-q5LMJbGIsqOrzru4yowQz67dz2yc"", ""'STC'!D3:D139""),0))"),0.340933767643865)</f>
        <v>0.34093376764386502</v>
      </c>
      <c r="AB11" s="25">
        <f ca="1">IFERROR(__xludf.DUMMYFUNCTION("INDEX(IMPORTRANGE(""1y0FWgjbB0gVlqn-q5LMJbGIsqOrzru4yowQz67dz2yc"", ""'STC'!BJ3:BJ139""),MATCH($D11,IMPORTRANGE(""1y0FWgjbB0gVlqn-q5LMJbGIsqOrzru4yowQz67dz2yc"", ""'STC'!D3:D139""),0))"),0.399505766062602)</f>
        <v>0.39950576606260202</v>
      </c>
      <c r="AC11" s="1"/>
    </row>
    <row r="12" spans="1:29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21" t="s">
        <v>56</v>
      </c>
      <c r="H12" s="21" t="s">
        <v>57</v>
      </c>
      <c r="I12" s="9" t="s">
        <v>58</v>
      </c>
      <c r="J12" s="9" t="s">
        <v>59</v>
      </c>
      <c r="K12" s="9" t="s">
        <v>60</v>
      </c>
      <c r="L12" s="9" t="s">
        <v>61</v>
      </c>
      <c r="M12" s="9" t="s">
        <v>62</v>
      </c>
      <c r="N12" s="9" t="s">
        <v>63</v>
      </c>
      <c r="O12" s="9" t="s">
        <v>63</v>
      </c>
      <c r="P12" s="12">
        <v>23</v>
      </c>
      <c r="Q12" s="2">
        <v>42</v>
      </c>
      <c r="R12" s="2"/>
      <c r="S12" s="2"/>
      <c r="T12" s="2"/>
      <c r="U12" s="2"/>
      <c r="V12" s="2"/>
      <c r="W12" s="2"/>
      <c r="X12" s="2">
        <v>44</v>
      </c>
      <c r="Y12" s="22">
        <f ca="1">IFERROR(__xludf.DUMMYFUNCTION("INDEX(IMPORTRANGE(""1y0FWgjbB0gVlqn-q5LMJbGIsqOrzru4yowQz67dz2yc"", ""'STC'!BG3:BG139""),MATCH($D12,IMPORTRANGE(""1y0FWgjbB0gVlqn-q5LMJbGIsqOrzru4yowQz67dz2yc"", ""'STC'!D3:D139""),0))"),87)</f>
        <v>87</v>
      </c>
      <c r="Z12" s="22">
        <f ca="1">IFERROR(__xludf.DUMMYFUNCTION("INDEX(IMPORTRANGE(""1y0FWgjbB0gVlqn-q5LMJbGIsqOrzru4yowQz67dz2yc"", ""'STC'!BH3:BH139""),MATCH($D12,IMPORTRANGE(""1y0FWgjbB0gVlqn-q5LMJbGIsqOrzru4yowQz67dz2yc"", ""'STC'!D3:D139""),0))"),42)</f>
        <v>42</v>
      </c>
      <c r="AA12" s="22">
        <f ca="1">IFERROR(__xludf.DUMMYFUNCTION("INDEX(IMPORTRANGE(""1y0FWgjbB0gVlqn-q5LMJbGIsqOrzru4yowQz67dz2yc"", ""'STC'!BI3:BI139""),MATCH($D12,IMPORTRANGE(""1y0FWgjbB0gVlqn-q5LMJbGIsqOrzru4yowQz67dz2yc"", ""'STC'!D3:D139""),0))"),85)</f>
        <v>85</v>
      </c>
      <c r="AB12" s="22">
        <f ca="1">IFERROR(__xludf.DUMMYFUNCTION("INDEX(IMPORTRANGE(""1y0FWgjbB0gVlqn-q5LMJbGIsqOrzru4yowQz67dz2yc"", ""'STC'!BJ3:BJ139""),MATCH($D12,IMPORTRANGE(""1y0FWgjbB0gVlqn-q5LMJbGIsqOrzru4yowQz67dz2yc"", ""'STC'!D3:D139""),0))"),32)</f>
        <v>32</v>
      </c>
      <c r="AC12" s="1"/>
    </row>
    <row r="13" spans="1:29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2" t="s">
        <v>56</v>
      </c>
      <c r="H13" s="22" t="s">
        <v>57</v>
      </c>
      <c r="I13" s="9" t="s">
        <v>58</v>
      </c>
      <c r="J13" s="9" t="s">
        <v>59</v>
      </c>
      <c r="K13" s="9" t="s">
        <v>60</v>
      </c>
      <c r="L13" s="9" t="s">
        <v>61</v>
      </c>
      <c r="M13" s="9" t="s">
        <v>62</v>
      </c>
      <c r="N13" s="9" t="s">
        <v>63</v>
      </c>
      <c r="O13" s="9" t="s">
        <v>63</v>
      </c>
      <c r="P13" s="23">
        <f t="shared" ref="P13:Q13" si="4">(P12/P$2)*100000</f>
        <v>7.066746961298807</v>
      </c>
      <c r="Q13" s="23">
        <f t="shared" si="4"/>
        <v>12.904494451067386</v>
      </c>
      <c r="R13" s="2">
        <v>12.6</v>
      </c>
      <c r="S13" s="2">
        <v>6.7</v>
      </c>
      <c r="T13" s="2">
        <v>12.3</v>
      </c>
      <c r="U13" s="2">
        <v>6.6</v>
      </c>
      <c r="V13" s="2">
        <v>12</v>
      </c>
      <c r="W13" s="2">
        <v>12</v>
      </c>
      <c r="X13" s="23">
        <f>(X12/X$2)*100000</f>
        <v>13.380082530781792</v>
      </c>
      <c r="Y13" s="265">
        <f ca="1">IFERROR(__xludf.DUMMYFUNCTION("INDEX(IMPORTRANGE(""1y0FWgjbB0gVlqn-q5LMJbGIsqOrzru4yowQz67dz2yc"", ""'STC'!BG3:BG139""),MATCH($D13,IMPORTRANGE(""1y0FWgjbB0gVlqn-q5LMJbGIsqOrzru4yowQz67dz2yc"", ""'STC'!D3:D139""),0))"),26.456072276773)</f>
        <v>26.456072276773</v>
      </c>
      <c r="Z13" s="265">
        <f ca="1">IFERROR(__xludf.DUMMYFUNCTION("INDEX(IMPORTRANGE(""1y0FWgjbB0gVlqn-q5LMJbGIsqOrzru4yowQz67dz2yc"", ""'STC'!BH3:BH139""),MATCH($D13,IMPORTRANGE(""1y0FWgjbB0gVlqn-q5LMJbGIsqOrzru4yowQz67dz2yc"", ""'STC'!D3:D139""),0))"),12.6424533583774)</f>
        <v>12.6424533583774</v>
      </c>
      <c r="AA13" s="265">
        <f ca="1">IFERROR(__xludf.DUMMYFUNCTION("INDEX(IMPORTRANGE(""1y0FWgjbB0gVlqn-q5LMJbGIsqOrzru4yowQz67dz2yc"", ""'STC'!BI3:BI139""),MATCH($D13,IMPORTRANGE(""1y0FWgjbB0gVlqn-q5LMJbGIsqOrzru4yowQz67dz2yc"", ""'STC'!D3:D139""),0))"),25.5859175110019)</f>
        <v>25.585917511001899</v>
      </c>
      <c r="AB13" s="265">
        <f ca="1">IFERROR(__xludf.DUMMYFUNCTION("INDEX(IMPORTRANGE(""1y0FWgjbB0gVlqn-q5LMJbGIsqOrzru4yowQz67dz2yc"", ""'STC'!BJ3:BJ139""),MATCH($D13,IMPORTRANGE(""1y0FWgjbB0gVlqn-q5LMJbGIsqOrzru4yowQz67dz2yc"", ""'STC'!D3:D139""),0))"),9.53601335041869)</f>
        <v>9.5360133504186901</v>
      </c>
      <c r="AC13" s="1"/>
    </row>
    <row r="14" spans="1:29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2" t="s">
        <v>56</v>
      </c>
      <c r="H14" s="22" t="s">
        <v>57</v>
      </c>
      <c r="I14" s="9" t="s">
        <v>58</v>
      </c>
      <c r="J14" s="9" t="s">
        <v>59</v>
      </c>
      <c r="K14" s="9" t="s">
        <v>60</v>
      </c>
      <c r="L14" s="9" t="s">
        <v>61</v>
      </c>
      <c r="M14" s="9" t="s">
        <v>62</v>
      </c>
      <c r="N14" s="9" t="s">
        <v>63</v>
      </c>
      <c r="O14" s="9" t="s">
        <v>63</v>
      </c>
      <c r="P14" s="30">
        <v>101</v>
      </c>
      <c r="Q14" s="2">
        <v>221</v>
      </c>
      <c r="R14" s="2"/>
      <c r="S14" s="2"/>
      <c r="T14" s="2"/>
      <c r="U14" s="2"/>
      <c r="V14" s="2"/>
      <c r="W14" s="2"/>
      <c r="X14" s="2">
        <v>76</v>
      </c>
      <c r="Y14" s="22">
        <f ca="1">IFERROR(__xludf.DUMMYFUNCTION("INDEX(IMPORTRANGE(""1y0FWgjbB0gVlqn-q5LMJbGIsqOrzru4yowQz67dz2yc"", ""'STC'!BG3:BG139""),MATCH($D14,IMPORTRANGE(""1y0FWgjbB0gVlqn-q5LMJbGIsqOrzru4yowQz67dz2yc"", ""'STC'!D3:D139""),0))"),190)</f>
        <v>190</v>
      </c>
      <c r="Z14" s="22">
        <f ca="1">IFERROR(__xludf.DUMMYFUNCTION("INDEX(IMPORTRANGE(""1y0FWgjbB0gVlqn-q5LMJbGIsqOrzru4yowQz67dz2yc"", ""'STC'!BH3:BH139""),MATCH($D14,IMPORTRANGE(""1y0FWgjbB0gVlqn-q5LMJbGIsqOrzru4yowQz67dz2yc"", ""'STC'!D3:D139""),0))"),82)</f>
        <v>82</v>
      </c>
      <c r="AA14" s="22">
        <f ca="1">IFERROR(__xludf.DUMMYFUNCTION("INDEX(IMPORTRANGE(""1y0FWgjbB0gVlqn-q5LMJbGIsqOrzru4yowQz67dz2yc"", ""'STC'!BI3:BI139""),MATCH($D14,IMPORTRANGE(""1y0FWgjbB0gVlqn-q5LMJbGIsqOrzru4yowQz67dz2yc"", ""'STC'!D3:D139""),0))"),148)</f>
        <v>148</v>
      </c>
      <c r="AB14" s="22">
        <f ca="1">IFERROR(__xludf.DUMMYFUNCTION("INDEX(IMPORTRANGE(""1y0FWgjbB0gVlqn-q5LMJbGIsqOrzru4yowQz67dz2yc"", ""'STC'!BJ3:BJ139""),MATCH($D14,IMPORTRANGE(""1y0FWgjbB0gVlqn-q5LMJbGIsqOrzru4yowQz67dz2yc"", ""'STC'!D3:D139""),0))"),72)</f>
        <v>72</v>
      </c>
      <c r="AC14" s="1"/>
    </row>
    <row r="15" spans="1:29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2" t="s">
        <v>56</v>
      </c>
      <c r="H15" s="22" t="s">
        <v>57</v>
      </c>
      <c r="I15" s="9" t="s">
        <v>58</v>
      </c>
      <c r="J15" s="9" t="s">
        <v>59</v>
      </c>
      <c r="K15" s="9" t="s">
        <v>60</v>
      </c>
      <c r="L15" s="9" t="s">
        <v>61</v>
      </c>
      <c r="M15" s="9" t="s">
        <v>62</v>
      </c>
      <c r="N15" s="9" t="s">
        <v>63</v>
      </c>
      <c r="O15" s="9" t="s">
        <v>63</v>
      </c>
      <c r="P15" s="30">
        <v>185</v>
      </c>
      <c r="Q15" s="2">
        <v>401</v>
      </c>
      <c r="R15" s="2"/>
      <c r="S15" s="2"/>
      <c r="T15" s="2"/>
      <c r="U15" s="2"/>
      <c r="V15" s="2"/>
      <c r="W15" s="2"/>
      <c r="X15" s="2">
        <v>253</v>
      </c>
      <c r="Y15" s="22">
        <f ca="1">IFERROR(__xludf.DUMMYFUNCTION("INDEX(IMPORTRANGE(""1y0FWgjbB0gVlqn-q5LMJbGIsqOrzru4yowQz67dz2yc"", ""'STC'!BG3:BG139""),MATCH($D15,IMPORTRANGE(""1y0FWgjbB0gVlqn-q5LMJbGIsqOrzru4yowQz67dz2yc"", ""'STC'!D3:D139""),0))"),500)</f>
        <v>500</v>
      </c>
      <c r="Z15" s="22">
        <f ca="1">IFERROR(__xludf.DUMMYFUNCTION("INDEX(IMPORTRANGE(""1y0FWgjbB0gVlqn-q5LMJbGIsqOrzru4yowQz67dz2yc"", ""'STC'!BH3:BH139""),MATCH($D15,IMPORTRANGE(""1y0FWgjbB0gVlqn-q5LMJbGIsqOrzru4yowQz67dz2yc"", ""'STC'!D3:D139""),0))"),216)</f>
        <v>216</v>
      </c>
      <c r="AA15" s="22">
        <f ca="1">IFERROR(__xludf.DUMMYFUNCTION("INDEX(IMPORTRANGE(""1y0FWgjbB0gVlqn-q5LMJbGIsqOrzru4yowQz67dz2yc"", ""'STC'!BI3:BI139""),MATCH($D15,IMPORTRANGE(""1y0FWgjbB0gVlqn-q5LMJbGIsqOrzru4yowQz67dz2yc"", ""'STC'!D3:D139""),0))"),452)</f>
        <v>452</v>
      </c>
      <c r="AB15" s="22">
        <f ca="1">IFERROR(__xludf.DUMMYFUNCTION("INDEX(IMPORTRANGE(""1y0FWgjbB0gVlqn-q5LMJbGIsqOrzru4yowQz67dz2yc"", ""'STC'!BJ3:BJ139""),MATCH($D15,IMPORTRANGE(""1y0FWgjbB0gVlqn-q5LMJbGIsqOrzru4yowQz67dz2yc"", ""'STC'!D3:D139""),0))"),248)</f>
        <v>248</v>
      </c>
      <c r="AC15" s="1"/>
    </row>
    <row r="16" spans="1:29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2" t="s">
        <v>56</v>
      </c>
      <c r="H16" s="22" t="s">
        <v>57</v>
      </c>
      <c r="I16" s="9" t="s">
        <v>58</v>
      </c>
      <c r="J16" s="9" t="s">
        <v>59</v>
      </c>
      <c r="K16" s="9" t="s">
        <v>60</v>
      </c>
      <c r="L16" s="9" t="s">
        <v>61</v>
      </c>
      <c r="M16" s="9" t="s">
        <v>62</v>
      </c>
      <c r="N16" s="9" t="s">
        <v>63</v>
      </c>
      <c r="O16" s="9" t="s">
        <v>63</v>
      </c>
      <c r="P16" s="30">
        <v>97</v>
      </c>
      <c r="Q16" s="2">
        <v>226</v>
      </c>
      <c r="R16" s="2"/>
      <c r="S16" s="2"/>
      <c r="T16" s="2"/>
      <c r="U16" s="2"/>
      <c r="V16" s="2"/>
      <c r="W16" s="2"/>
      <c r="X16" s="2">
        <v>93</v>
      </c>
      <c r="Y16" s="22">
        <f ca="1">IFERROR(__xludf.DUMMYFUNCTION("INDEX(IMPORTRANGE(""1y0FWgjbB0gVlqn-q5LMJbGIsqOrzru4yowQz67dz2yc"", ""'STC'!BG3:BG139""),MATCH($D16,IMPORTRANGE(""1y0FWgjbB0gVlqn-q5LMJbGIsqOrzru4yowQz67dz2yc"", ""'STC'!D3:D139""),0))"),194)</f>
        <v>194</v>
      </c>
      <c r="Z16" s="22">
        <f ca="1">IFERROR(__xludf.DUMMYFUNCTION("INDEX(IMPORTRANGE(""1y0FWgjbB0gVlqn-q5LMJbGIsqOrzru4yowQz67dz2yc"", ""'STC'!BH3:BH139""),MATCH($D16,IMPORTRANGE(""1y0FWgjbB0gVlqn-q5LMJbGIsqOrzru4yowQz67dz2yc"", ""'STC'!D3:D139""),0))"),61)</f>
        <v>61</v>
      </c>
      <c r="AA16" s="22">
        <f ca="1">IFERROR(__xludf.DUMMYFUNCTION("INDEX(IMPORTRANGE(""1y0FWgjbB0gVlqn-q5LMJbGIsqOrzru4yowQz67dz2yc"", ""'STC'!BI3:BI139""),MATCH($D16,IMPORTRANGE(""1y0FWgjbB0gVlqn-q5LMJbGIsqOrzru4yowQz67dz2yc"", ""'STC'!D3:D139""),0))"),156)</f>
        <v>156</v>
      </c>
      <c r="AB16" s="22">
        <f ca="1">IFERROR(__xludf.DUMMYFUNCTION("INDEX(IMPORTRANGE(""1y0FWgjbB0gVlqn-q5LMJbGIsqOrzru4yowQz67dz2yc"", ""'STC'!BJ3:BJ139""),MATCH($D16,IMPORTRANGE(""1y0FWgjbB0gVlqn-q5LMJbGIsqOrzru4yowQz67dz2yc"", ""'STC'!D3:D139""),0))"),77)</f>
        <v>77</v>
      </c>
      <c r="AC16" s="1"/>
    </row>
    <row r="17" spans="1:29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2" t="s">
        <v>56</v>
      </c>
      <c r="H17" s="22" t="s">
        <v>57</v>
      </c>
      <c r="I17" s="9" t="s">
        <v>58</v>
      </c>
      <c r="J17" s="9" t="s">
        <v>59</v>
      </c>
      <c r="K17" s="9" t="s">
        <v>60</v>
      </c>
      <c r="L17" s="9" t="s">
        <v>61</v>
      </c>
      <c r="M17" s="9" t="s">
        <v>62</v>
      </c>
      <c r="N17" s="9" t="s">
        <v>63</v>
      </c>
      <c r="O17" s="9" t="s">
        <v>63</v>
      </c>
      <c r="P17" s="30">
        <v>101</v>
      </c>
      <c r="Q17" s="2">
        <v>176</v>
      </c>
      <c r="R17" s="2"/>
      <c r="S17" s="2"/>
      <c r="T17" s="2"/>
      <c r="U17" s="2"/>
      <c r="V17" s="2"/>
      <c r="W17" s="2"/>
      <c r="X17" s="2">
        <v>56</v>
      </c>
      <c r="Y17" s="22">
        <f ca="1">IFERROR(__xludf.DUMMYFUNCTION("INDEX(IMPORTRANGE(""1y0FWgjbB0gVlqn-q5LMJbGIsqOrzru4yowQz67dz2yc"", ""'STC'!BG3:BG139""),MATCH($D17,IMPORTRANGE(""1y0FWgjbB0gVlqn-q5LMJbGIsqOrzru4yowQz67dz2yc"", ""'STC'!D3:D139""),0))"),136)</f>
        <v>136</v>
      </c>
      <c r="Z17" s="22">
        <f ca="1">IFERROR(__xludf.DUMMYFUNCTION("INDEX(IMPORTRANGE(""1y0FWgjbB0gVlqn-q5LMJbGIsqOrzru4yowQz67dz2yc"", ""'STC'!BH3:BH139""),MATCH($D17,IMPORTRANGE(""1y0FWgjbB0gVlqn-q5LMJbGIsqOrzru4yowQz67dz2yc"", ""'STC'!D3:D139""),0))"),68)</f>
        <v>68</v>
      </c>
      <c r="AA17" s="22">
        <f ca="1">IFERROR(__xludf.DUMMYFUNCTION("INDEX(IMPORTRANGE(""1y0FWgjbB0gVlqn-q5LMJbGIsqOrzru4yowQz67dz2yc"", ""'STC'!BI3:BI139""),MATCH($D17,IMPORTRANGE(""1y0FWgjbB0gVlqn-q5LMJbGIsqOrzru4yowQz67dz2yc"", ""'STC'!D3:D139""),0))"),130)</f>
        <v>130</v>
      </c>
      <c r="AB17" s="22">
        <f ca="1">IFERROR(__xludf.DUMMYFUNCTION("INDEX(IMPORTRANGE(""1y0FWgjbB0gVlqn-q5LMJbGIsqOrzru4yowQz67dz2yc"", ""'STC'!BJ3:BJ139""),MATCH($D17,IMPORTRANGE(""1y0FWgjbB0gVlqn-q5LMJbGIsqOrzru4yowQz67dz2yc"", ""'STC'!D3:D139""),0))"),83)</f>
        <v>83</v>
      </c>
      <c r="AC17" s="1"/>
    </row>
    <row r="18" spans="1:29">
      <c r="A18" s="155" t="s">
        <v>52</v>
      </c>
      <c r="B18" s="155" t="s">
        <v>68</v>
      </c>
      <c r="C18" s="156" t="s">
        <v>30</v>
      </c>
      <c r="D18" s="155" t="s">
        <v>342</v>
      </c>
      <c r="E18" s="155" t="str">
        <f>E17</f>
        <v>Secretaría de Seguridad Pública del Estado, CONAPO</v>
      </c>
      <c r="F18" s="294"/>
      <c r="G18" s="22" t="s">
        <v>343</v>
      </c>
      <c r="H18" s="22" t="s">
        <v>344</v>
      </c>
      <c r="I18" s="21" t="s">
        <v>345</v>
      </c>
      <c r="J18" s="21" t="s">
        <v>336</v>
      </c>
      <c r="K18" s="21" t="s">
        <v>346</v>
      </c>
      <c r="L18" s="21" t="s">
        <v>347</v>
      </c>
      <c r="M18" s="21" t="s">
        <v>348</v>
      </c>
      <c r="N18" s="21" t="s">
        <v>349</v>
      </c>
      <c r="O18" s="21" t="s">
        <v>349</v>
      </c>
      <c r="P18" s="262">
        <f t="shared" ref="P18:Q18" si="5">SUM(P14:P17)</f>
        <v>484</v>
      </c>
      <c r="Q18" s="262">
        <f t="shared" si="5"/>
        <v>1024</v>
      </c>
      <c r="R18" s="486"/>
      <c r="S18" s="486"/>
      <c r="T18" s="486"/>
      <c r="U18" s="486"/>
      <c r="V18" s="486"/>
      <c r="W18" s="486"/>
      <c r="X18" s="262">
        <f t="shared" ref="X18:AA18" si="6">SUM(X14:X17)</f>
        <v>478</v>
      </c>
      <c r="Y18" s="262">
        <f t="shared" ca="1" si="6"/>
        <v>1020</v>
      </c>
      <c r="Z18" s="262">
        <f t="shared" ca="1" si="6"/>
        <v>427</v>
      </c>
      <c r="AA18" s="262">
        <f t="shared" ca="1" si="6"/>
        <v>886</v>
      </c>
      <c r="AB18" s="262">
        <f ca="1">IFERROR(__xludf.DUMMYFUNCTION("INDEX(IMPORTRANGE(""1y0FWgjbB0gVlqn-q5LMJbGIsqOrzru4yowQz67dz2yc"", ""'STC'!BJ3:BJ139""),MATCH($D18,IMPORTRANGE(""1y0FWgjbB0gVlqn-q5LMJbGIsqOrzru4yowQz67dz2yc"", ""'STC'!D3:D139""),0))"),480)</f>
        <v>480</v>
      </c>
      <c r="AC18" s="295"/>
    </row>
    <row r="19" spans="1:29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2" t="s">
        <v>56</v>
      </c>
      <c r="H19" s="22" t="s">
        <v>57</v>
      </c>
      <c r="I19" s="9" t="s">
        <v>58</v>
      </c>
      <c r="J19" s="9" t="s">
        <v>59</v>
      </c>
      <c r="K19" s="9" t="s">
        <v>60</v>
      </c>
      <c r="L19" s="9" t="s">
        <v>61</v>
      </c>
      <c r="M19" s="9" t="s">
        <v>62</v>
      </c>
      <c r="N19" s="9" t="s">
        <v>63</v>
      </c>
      <c r="O19" s="9" t="s">
        <v>63</v>
      </c>
      <c r="P19" s="23">
        <f t="shared" ref="P19:Q19" si="7">(SUM(P14:P17)/P2)*100000</f>
        <v>148.70893605515749</v>
      </c>
      <c r="Q19" s="23">
        <f t="shared" si="7"/>
        <v>314.62386471173818</v>
      </c>
      <c r="R19" s="2">
        <v>257.10000000000002</v>
      </c>
      <c r="S19" s="2">
        <v>94.3</v>
      </c>
      <c r="T19" s="2">
        <v>199.5</v>
      </c>
      <c r="U19" s="2">
        <v>67.099999999999994</v>
      </c>
      <c r="V19" s="2">
        <v>142</v>
      </c>
      <c r="W19" s="2">
        <v>142</v>
      </c>
      <c r="X19" s="23">
        <f>(SUM(X14:X17)/X2)*100000</f>
        <v>145.35635112985673</v>
      </c>
      <c r="Y19" s="265">
        <f ca="1">IFERROR(__xludf.DUMMYFUNCTION("INDEX(IMPORTRANGE(""1y0FWgjbB0gVlqn-q5LMJbGIsqOrzru4yowQz67dz2yc"", ""'STC'!BG3:BG139""),MATCH($D19,IMPORTRANGE(""1y0FWgjbB0gVlqn-q5LMJbGIsqOrzru4yowQz67dz2yc"", ""'STC'!D3:D139""),0))"),310.174640486305)</f>
        <v>310.17464048630501</v>
      </c>
      <c r="Z19" s="265">
        <f ca="1">IFERROR(__xludf.DUMMYFUNCTION("INDEX(IMPORTRANGE(""1y0FWgjbB0gVlqn-q5LMJbGIsqOrzru4yowQz67dz2yc"", ""'STC'!BH3:BH139""),MATCH($D19,IMPORTRANGE(""1y0FWgjbB0gVlqn-q5LMJbGIsqOrzru4yowQz67dz2yc"", ""'STC'!D3:D139""),0))"),128.531609143503)</f>
        <v>128.531609143503</v>
      </c>
      <c r="AA19" s="265">
        <f ca="1">IFERROR(__xludf.DUMMYFUNCTION("INDEX(IMPORTRANGE(""1y0FWgjbB0gVlqn-q5LMJbGIsqOrzru4yowQz67dz2yc"", ""'STC'!BI3:BI139""),MATCH($D19,IMPORTRANGE(""1y0FWgjbB0gVlqn-q5LMJbGIsqOrzru4yowQz67dz2yc"", ""'STC'!D3:D139""),0))"),266.695563702914)</f>
        <v>266.695563702914</v>
      </c>
      <c r="AB19" s="265">
        <f ca="1">IFERROR(__xludf.DUMMYFUNCTION("INDEX(IMPORTRANGE(""1y0FWgjbB0gVlqn-q5LMJbGIsqOrzru4yowQz67dz2yc"", ""'STC'!BJ3:BJ139""),MATCH($D19,IMPORTRANGE(""1y0FWgjbB0gVlqn-q5LMJbGIsqOrzru4yowQz67dz2yc"", ""'STC'!D3:D139""),0))"),143.04020025628)</f>
        <v>143.04020025628</v>
      </c>
      <c r="AC19" s="1"/>
    </row>
    <row r="20" spans="1:29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2" t="s">
        <v>56</v>
      </c>
      <c r="H20" s="22" t="s">
        <v>57</v>
      </c>
      <c r="I20" s="9" t="s">
        <v>58</v>
      </c>
      <c r="J20" s="9" t="s">
        <v>59</v>
      </c>
      <c r="K20" s="9" t="s">
        <v>60</v>
      </c>
      <c r="L20" s="9" t="s">
        <v>61</v>
      </c>
      <c r="M20" s="9" t="s">
        <v>62</v>
      </c>
      <c r="N20" s="9" t="s">
        <v>63</v>
      </c>
      <c r="O20" s="9" t="s">
        <v>63</v>
      </c>
      <c r="P20" s="12">
        <v>1241</v>
      </c>
      <c r="Q20" s="12">
        <v>2802</v>
      </c>
      <c r="R20" s="2"/>
      <c r="S20" s="2"/>
      <c r="T20" s="2"/>
      <c r="U20" s="2"/>
      <c r="V20" s="2"/>
      <c r="W20" s="2"/>
      <c r="X20" s="12">
        <v>1347</v>
      </c>
      <c r="Y20" s="262">
        <f ca="1">IFERROR(__xludf.DUMMYFUNCTION("INDEX(IMPORTRANGE(""1y0FWgjbB0gVlqn-q5LMJbGIsqOrzru4yowQz67dz2yc"", ""'STC'!BG3:BG139""),MATCH($D20,IMPORTRANGE(""1y0FWgjbB0gVlqn-q5LMJbGIsqOrzru4yowQz67dz2yc"", ""'STC'!D3:D139""),0))"),2976)</f>
        <v>2976</v>
      </c>
      <c r="Z20" s="262">
        <f ca="1">IFERROR(__xludf.DUMMYFUNCTION("INDEX(IMPORTRANGE(""1y0FWgjbB0gVlqn-q5LMJbGIsqOrzru4yowQz67dz2yc"", ""'STC'!BH3:BH139""),MATCH($D20,IMPORTRANGE(""1y0FWgjbB0gVlqn-q5LMJbGIsqOrzru4yowQz67dz2yc"", ""'STC'!D3:D139""),0))"),1300)</f>
        <v>1300</v>
      </c>
      <c r="AA20" s="262">
        <f ca="1">IFERROR(__xludf.DUMMYFUNCTION("INDEX(IMPORTRANGE(""1y0FWgjbB0gVlqn-q5LMJbGIsqOrzru4yowQz67dz2yc"", ""'STC'!BI3:BI139""),MATCH($D20,IMPORTRANGE(""1y0FWgjbB0gVlqn-q5LMJbGIsqOrzru4yowQz67dz2yc"", ""'STC'!D3:D139""),0))"),2898)</f>
        <v>2898</v>
      </c>
      <c r="AB20" s="262">
        <f ca="1">IFERROR(__xludf.DUMMYFUNCTION("INDEX(IMPORTRANGE(""1y0FWgjbB0gVlqn-q5LMJbGIsqOrzru4yowQz67dz2yc"", ""'STC'!BJ3:BJ139""),MATCH($D20,IMPORTRANGE(""1y0FWgjbB0gVlqn-q5LMJbGIsqOrzru4yowQz67dz2yc"", ""'STC'!D3:D139""),0))"),1228)</f>
        <v>1228</v>
      </c>
      <c r="AC20" s="1"/>
    </row>
    <row r="21" spans="1:29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2" t="s">
        <v>56</v>
      </c>
      <c r="H21" s="22" t="s">
        <v>57</v>
      </c>
      <c r="I21" s="9" t="s">
        <v>58</v>
      </c>
      <c r="J21" s="9" t="s">
        <v>59</v>
      </c>
      <c r="K21" s="9" t="s">
        <v>60</v>
      </c>
      <c r="L21" s="9" t="s">
        <v>61</v>
      </c>
      <c r="M21" s="9" t="s">
        <v>62</v>
      </c>
      <c r="N21" s="9" t="s">
        <v>63</v>
      </c>
      <c r="O21" s="9" t="s">
        <v>63</v>
      </c>
      <c r="P21" s="23">
        <f t="shared" ref="P21:Q21" si="8">(P20/P$2)*100000</f>
        <v>381.297086042253</v>
      </c>
      <c r="Q21" s="23">
        <f t="shared" si="8"/>
        <v>860.91412980692417</v>
      </c>
      <c r="R21" s="2">
        <v>760.6</v>
      </c>
      <c r="S21" s="2">
        <v>292.39999999999998</v>
      </c>
      <c r="T21" s="2">
        <v>660.3</v>
      </c>
      <c r="U21" s="2">
        <v>248</v>
      </c>
      <c r="V21" s="2">
        <v>560</v>
      </c>
      <c r="W21" s="2">
        <v>560</v>
      </c>
      <c r="X21" s="23">
        <f>(X20/X$2)*100000</f>
        <v>409.61298111279717</v>
      </c>
      <c r="Y21" s="265">
        <f ca="1">IFERROR(__xludf.DUMMYFUNCTION("INDEX(IMPORTRANGE(""1y0FWgjbB0gVlqn-q5LMJbGIsqOrzru4yowQz67dz2yc"", ""'STC'!BG3:BG139""),MATCH($D21,IMPORTRANGE(""1y0FWgjbB0gVlqn-q5LMJbGIsqOrzru4yowQz67dz2yc"", ""'STC'!D3:D139""),0))"),904.980127536514)</f>
        <v>904.98012753651403</v>
      </c>
      <c r="Z21" s="265">
        <f ca="1">IFERROR(__xludf.DUMMYFUNCTION("INDEX(IMPORTRANGE(""1y0FWgjbB0gVlqn-q5LMJbGIsqOrzru4yowQz67dz2yc"", ""'STC'!BH3:BH139""),MATCH($D21,IMPORTRANGE(""1y0FWgjbB0gVlqn-q5LMJbGIsqOrzru4yowQz67dz2yc"", ""'STC'!D3:D139""),0))"),391.314032521206)</f>
        <v>391.314032521206</v>
      </c>
      <c r="AA21" s="265">
        <f ca="1">IFERROR(__xludf.DUMMYFUNCTION("INDEX(IMPORTRANGE(""1y0FWgjbB0gVlqn-q5LMJbGIsqOrzru4yowQz67dz2yc"", ""'STC'!BI3:BI139""),MATCH($D21,IMPORTRANGE(""1y0FWgjbB0gVlqn-q5LMJbGIsqOrzru4yowQz67dz2yc"", ""'STC'!D3:D139""),0))"),872.329281728042)</f>
        <v>872.32928172804202</v>
      </c>
      <c r="AB21" s="265">
        <f ca="1">IFERROR(__xludf.DUMMYFUNCTION("INDEX(IMPORTRANGE(""1y0FWgjbB0gVlqn-q5LMJbGIsqOrzru4yowQz67dz2yc"", ""'STC'!BJ3:BJ139""),MATCH($D21,IMPORTRANGE(""1y0FWgjbB0gVlqn-q5LMJbGIsqOrzru4yowQz67dz2yc"", ""'STC'!D3:D139""),0))"),365.944512322317)</f>
        <v>365.944512322317</v>
      </c>
      <c r="AC21" s="1"/>
    </row>
    <row r="22" spans="1:29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2" t="s">
        <v>56</v>
      </c>
      <c r="H22" s="22" t="s">
        <v>57</v>
      </c>
      <c r="I22" s="9" t="s">
        <v>58</v>
      </c>
      <c r="J22" s="9" t="s">
        <v>59</v>
      </c>
      <c r="K22" s="9" t="s">
        <v>60</v>
      </c>
      <c r="L22" s="9" t="s">
        <v>61</v>
      </c>
      <c r="M22" s="9" t="s">
        <v>62</v>
      </c>
      <c r="N22" s="9" t="s">
        <v>63</v>
      </c>
      <c r="O22" s="9" t="s">
        <v>63</v>
      </c>
      <c r="P22" s="12">
        <v>215</v>
      </c>
      <c r="Q22" s="12">
        <v>470</v>
      </c>
      <c r="R22" s="2"/>
      <c r="S22" s="2"/>
      <c r="T22" s="2"/>
      <c r="U22" s="2"/>
      <c r="V22" s="2"/>
      <c r="W22" s="2"/>
      <c r="X22" s="12">
        <v>188</v>
      </c>
      <c r="Y22" s="262">
        <f ca="1">IFERROR(__xludf.DUMMYFUNCTION("INDEX(IMPORTRANGE(""1y0FWgjbB0gVlqn-q5LMJbGIsqOrzru4yowQz67dz2yc"", ""'STC'!BG3:BG139""),MATCH($D22,IMPORTRANGE(""1y0FWgjbB0gVlqn-q5LMJbGIsqOrzru4yowQz67dz2yc"", ""'STC'!D3:D139""),0))"),483)</f>
        <v>483</v>
      </c>
      <c r="Z22" s="262">
        <f ca="1">IFERROR(__xludf.DUMMYFUNCTION("INDEX(IMPORTRANGE(""1y0FWgjbB0gVlqn-q5LMJbGIsqOrzru4yowQz67dz2yc"", ""'STC'!BH3:BH139""),MATCH($D22,IMPORTRANGE(""1y0FWgjbB0gVlqn-q5LMJbGIsqOrzru4yowQz67dz2yc"", ""'STC'!D3:D139""),0))"),218)</f>
        <v>218</v>
      </c>
      <c r="AA22" s="262">
        <f ca="1">IFERROR(__xludf.DUMMYFUNCTION("INDEX(IMPORTRANGE(""1y0FWgjbB0gVlqn-q5LMJbGIsqOrzru4yowQz67dz2yc"", ""'STC'!BI3:BI139""),MATCH($D22,IMPORTRANGE(""1y0FWgjbB0gVlqn-q5LMJbGIsqOrzru4yowQz67dz2yc"", ""'STC'!D3:D139""),0))"),432)</f>
        <v>432</v>
      </c>
      <c r="AB22" s="262">
        <f ca="1">IFERROR(__xludf.DUMMYFUNCTION("INDEX(IMPORTRANGE(""1y0FWgjbB0gVlqn-q5LMJbGIsqOrzru4yowQz67dz2yc"", ""'STC'!BJ3:BJ139""),MATCH($D22,IMPORTRANGE(""1y0FWgjbB0gVlqn-q5LMJbGIsqOrzru4yowQz67dz2yc"", ""'STC'!D3:D139""),0))"),197)</f>
        <v>197</v>
      </c>
      <c r="AC22" s="1"/>
    </row>
    <row r="23" spans="1:29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2" t="s">
        <v>56</v>
      </c>
      <c r="H23" s="22" t="s">
        <v>57</v>
      </c>
      <c r="I23" s="9" t="s">
        <v>58</v>
      </c>
      <c r="J23" s="9" t="s">
        <v>59</v>
      </c>
      <c r="K23" s="9" t="s">
        <v>60</v>
      </c>
      <c r="L23" s="9" t="s">
        <v>61</v>
      </c>
      <c r="M23" s="9" t="s">
        <v>62</v>
      </c>
      <c r="N23" s="9" t="s">
        <v>63</v>
      </c>
      <c r="O23" s="9" t="s">
        <v>63</v>
      </c>
      <c r="P23" s="23">
        <f t="shared" ref="P23:Q23" si="9">(P22/P$2)*100000</f>
        <v>66.058721594749713</v>
      </c>
      <c r="Q23" s="23">
        <f t="shared" si="9"/>
        <v>144.4074379048017</v>
      </c>
      <c r="R23" s="2">
        <v>118.6</v>
      </c>
      <c r="S23" s="2">
        <v>42.5</v>
      </c>
      <c r="T23" s="2">
        <v>92.8</v>
      </c>
      <c r="U23" s="2">
        <v>30.6</v>
      </c>
      <c r="V23" s="2">
        <v>67</v>
      </c>
      <c r="W23" s="2">
        <v>67</v>
      </c>
      <c r="X23" s="23">
        <f>(X22/X$2)*100000</f>
        <v>57.169443540613116</v>
      </c>
      <c r="Y23" s="265">
        <f ca="1">IFERROR(__xludf.DUMMYFUNCTION("INDEX(IMPORTRANGE(""1y0FWgjbB0gVlqn-q5LMJbGIsqOrzru4yowQz67dz2yc"", ""'STC'!BG3:BG139""),MATCH($D23,IMPORTRANGE(""1y0FWgjbB0gVlqn-q5LMJbGIsqOrzru4yowQz67dz2yc"", ""'STC'!D3:D139""),0))"),146.876815053809)</f>
        <v>146.876815053809</v>
      </c>
      <c r="Z23" s="265">
        <f ca="1">IFERROR(__xludf.DUMMYFUNCTION("INDEX(IMPORTRANGE(""1y0FWgjbB0gVlqn-q5LMJbGIsqOrzru4yowQz67dz2yc"", ""'STC'!BH3:BH139""),MATCH($D23,IMPORTRANGE(""1y0FWgjbB0gVlqn-q5LMJbGIsqOrzru4yowQz67dz2yc"", ""'STC'!D3:D139""),0))"),65.6203531458638)</f>
        <v>65.620353145863803</v>
      </c>
      <c r="AA23" s="265">
        <f ca="1">IFERROR(__xludf.DUMMYFUNCTION("INDEX(IMPORTRANGE(""1y0FWgjbB0gVlqn-q5LMJbGIsqOrzru4yowQz67dz2yc"", ""'STC'!BI3:BI139""),MATCH($D23,IMPORTRANGE(""1y0FWgjbB0gVlqn-q5LMJbGIsqOrzru4yowQz67dz2yc"", ""'STC'!D3:D139""),0))"),130.036663114739)</f>
        <v>130.03666311473901</v>
      </c>
      <c r="AB23" s="265">
        <f ca="1">IFERROR(__xludf.DUMMYFUNCTION("INDEX(IMPORTRANGE(""1y0FWgjbB0gVlqn-q5LMJbGIsqOrzru4yowQz67dz2yc"", ""'STC'!BJ3:BJ139""),MATCH($D23,IMPORTRANGE(""1y0FWgjbB0gVlqn-q5LMJbGIsqOrzru4yowQz67dz2yc"", ""'STC'!D3:D139""),0))"),58.706082188515)</f>
        <v>58.706082188514998</v>
      </c>
      <c r="AC23" s="1"/>
    </row>
    <row r="24" spans="1:29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2" t="s">
        <v>56</v>
      </c>
      <c r="H24" s="22" t="s">
        <v>57</v>
      </c>
      <c r="I24" s="9" t="s">
        <v>58</v>
      </c>
      <c r="J24" s="9" t="s">
        <v>59</v>
      </c>
      <c r="K24" s="9" t="s">
        <v>60</v>
      </c>
      <c r="L24" s="9" t="s">
        <v>61</v>
      </c>
      <c r="M24" s="9" t="s">
        <v>62</v>
      </c>
      <c r="N24" s="9" t="s">
        <v>63</v>
      </c>
      <c r="O24" s="9" t="s">
        <v>63</v>
      </c>
      <c r="P24" s="12">
        <v>3</v>
      </c>
      <c r="Q24" s="12">
        <v>11</v>
      </c>
      <c r="R24" s="2"/>
      <c r="S24" s="2"/>
      <c r="T24" s="2"/>
      <c r="U24" s="2"/>
      <c r="V24" s="2"/>
      <c r="W24" s="2"/>
      <c r="X24" s="12">
        <v>11</v>
      </c>
      <c r="Y24" s="262">
        <f ca="1">IFERROR(__xludf.DUMMYFUNCTION("INDEX(IMPORTRANGE(""1y0FWgjbB0gVlqn-q5LMJbGIsqOrzru4yowQz67dz2yc"", ""'STC'!BG3:BG139""),MATCH($D24,IMPORTRANGE(""1y0FWgjbB0gVlqn-q5LMJbGIsqOrzru4yowQz67dz2yc"", ""'STC'!D3:D139""),0))"),22)</f>
        <v>22</v>
      </c>
      <c r="Z24" s="262">
        <f ca="1">IFERROR(__xludf.DUMMYFUNCTION("INDEX(IMPORTRANGE(""1y0FWgjbB0gVlqn-q5LMJbGIsqOrzru4yowQz67dz2yc"", ""'STC'!BH3:BH139""),MATCH($D24,IMPORTRANGE(""1y0FWgjbB0gVlqn-q5LMJbGIsqOrzru4yowQz67dz2yc"", ""'STC'!D3:D139""),0))"),10)</f>
        <v>10</v>
      </c>
      <c r="AA24" s="262">
        <f ca="1">IFERROR(__xludf.DUMMYFUNCTION("INDEX(IMPORTRANGE(""1y0FWgjbB0gVlqn-q5LMJbGIsqOrzru4yowQz67dz2yc"", ""'STC'!BI3:BI139""),MATCH($D24,IMPORTRANGE(""1y0FWgjbB0gVlqn-q5LMJbGIsqOrzru4yowQz67dz2yc"", ""'STC'!D3:D139""),0))"),27)</f>
        <v>27</v>
      </c>
      <c r="AB24" s="262">
        <f ca="1">IFERROR(__xludf.DUMMYFUNCTION("INDEX(IMPORTRANGE(""1y0FWgjbB0gVlqn-q5LMJbGIsqOrzru4yowQz67dz2yc"", ""'STC'!BJ3:BJ139""),MATCH($D24,IMPORTRANGE(""1y0FWgjbB0gVlqn-q5LMJbGIsqOrzru4yowQz67dz2yc"", ""'STC'!D3:D139""),0))"),18)</f>
        <v>18</v>
      </c>
      <c r="AC24" s="1"/>
    </row>
    <row r="25" spans="1:29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2" t="s">
        <v>56</v>
      </c>
      <c r="H25" s="22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M25" s="9" t="s">
        <v>62</v>
      </c>
      <c r="N25" s="9" t="s">
        <v>63</v>
      </c>
      <c r="O25" s="9" t="s">
        <v>63</v>
      </c>
      <c r="P25" s="12">
        <v>8</v>
      </c>
      <c r="Q25" s="12">
        <v>21</v>
      </c>
      <c r="R25" s="2"/>
      <c r="S25" s="2"/>
      <c r="T25" s="2"/>
      <c r="U25" s="2"/>
      <c r="V25" s="2"/>
      <c r="W25" s="2"/>
      <c r="X25" s="12">
        <v>9</v>
      </c>
      <c r="Y25" s="262">
        <f ca="1">IFERROR(__xludf.DUMMYFUNCTION("INDEX(IMPORTRANGE(""1y0FWgjbB0gVlqn-q5LMJbGIsqOrzru4yowQz67dz2yc"", ""'STC'!BG3:BG139""),MATCH($D25,IMPORTRANGE(""1y0FWgjbB0gVlqn-q5LMJbGIsqOrzru4yowQz67dz2yc"", ""'STC'!D3:D139""),0))"),34)</f>
        <v>34</v>
      </c>
      <c r="Z25" s="262">
        <f ca="1">IFERROR(__xludf.DUMMYFUNCTION("INDEX(IMPORTRANGE(""1y0FWgjbB0gVlqn-q5LMJbGIsqOrzru4yowQz67dz2yc"", ""'STC'!BH3:BH139""),MATCH($D25,IMPORTRANGE(""1y0FWgjbB0gVlqn-q5LMJbGIsqOrzru4yowQz67dz2yc"", ""'STC'!D3:D139""),0))"),20)</f>
        <v>20</v>
      </c>
      <c r="AA25" s="262">
        <f ca="1">IFERROR(__xludf.DUMMYFUNCTION("INDEX(IMPORTRANGE(""1y0FWgjbB0gVlqn-q5LMJbGIsqOrzru4yowQz67dz2yc"", ""'STC'!BI3:BI139""),MATCH($D25,IMPORTRANGE(""1y0FWgjbB0gVlqn-q5LMJbGIsqOrzru4yowQz67dz2yc"", ""'STC'!D3:D139""),0))"),43)</f>
        <v>43</v>
      </c>
      <c r="AB25" s="262">
        <f ca="1">IFERROR(__xludf.DUMMYFUNCTION("INDEX(IMPORTRANGE(""1y0FWgjbB0gVlqn-q5LMJbGIsqOrzru4yowQz67dz2yc"", ""'STC'!BJ3:BJ139""),MATCH($D25,IMPORTRANGE(""1y0FWgjbB0gVlqn-q5LMJbGIsqOrzru4yowQz67dz2yc"", ""'STC'!D3:D139""),0))"),15)</f>
        <v>15</v>
      </c>
      <c r="AC25" s="1"/>
    </row>
    <row r="26" spans="1:29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2" t="s">
        <v>56</v>
      </c>
      <c r="H26" s="22" t="s">
        <v>57</v>
      </c>
      <c r="I26" s="9" t="s">
        <v>58</v>
      </c>
      <c r="J26" s="9" t="s">
        <v>59</v>
      </c>
      <c r="K26" s="9" t="s">
        <v>60</v>
      </c>
      <c r="L26" s="9" t="s">
        <v>61</v>
      </c>
      <c r="M26" s="9" t="s">
        <v>62</v>
      </c>
      <c r="N26" s="9" t="s">
        <v>63</v>
      </c>
      <c r="O26" s="9" t="s">
        <v>63</v>
      </c>
      <c r="P26" s="12">
        <v>14</v>
      </c>
      <c r="Q26" s="12">
        <v>19</v>
      </c>
      <c r="R26" s="2"/>
      <c r="S26" s="2"/>
      <c r="T26" s="2"/>
      <c r="U26" s="2"/>
      <c r="V26" s="2"/>
      <c r="W26" s="2"/>
      <c r="X26" s="12">
        <v>10</v>
      </c>
      <c r="Y26" s="262">
        <f ca="1">IFERROR(__xludf.DUMMYFUNCTION("INDEX(IMPORTRANGE(""1y0FWgjbB0gVlqn-q5LMJbGIsqOrzru4yowQz67dz2yc"", ""'STC'!BG3:BG139""),MATCH($D26,IMPORTRANGE(""1y0FWgjbB0gVlqn-q5LMJbGIsqOrzru4yowQz67dz2yc"", ""'STC'!D3:D139""),0))"),18)</f>
        <v>18</v>
      </c>
      <c r="Z26" s="262">
        <f ca="1">IFERROR(__xludf.DUMMYFUNCTION("INDEX(IMPORTRANGE(""1y0FWgjbB0gVlqn-q5LMJbGIsqOrzru4yowQz67dz2yc"", ""'STC'!BH3:BH139""),MATCH($D26,IMPORTRANGE(""1y0FWgjbB0gVlqn-q5LMJbGIsqOrzru4yowQz67dz2yc"", ""'STC'!D3:D139""),0))"),14)</f>
        <v>14</v>
      </c>
      <c r="AA26" s="262">
        <f ca="1">IFERROR(__xludf.DUMMYFUNCTION("INDEX(IMPORTRANGE(""1y0FWgjbB0gVlqn-q5LMJbGIsqOrzru4yowQz67dz2yc"", ""'STC'!BI3:BI139""),MATCH($D26,IMPORTRANGE(""1y0FWgjbB0gVlqn-q5LMJbGIsqOrzru4yowQz67dz2yc"", ""'STC'!D3:D139""),0))"),29)</f>
        <v>29</v>
      </c>
      <c r="AB26" s="262">
        <f ca="1">IFERROR(__xludf.DUMMYFUNCTION("INDEX(IMPORTRANGE(""1y0FWgjbB0gVlqn-q5LMJbGIsqOrzru4yowQz67dz2yc"", ""'STC'!BJ3:BJ139""),MATCH($D26,IMPORTRANGE(""1y0FWgjbB0gVlqn-q5LMJbGIsqOrzru4yowQz67dz2yc"", ""'STC'!D3:D139""),0))"),5)</f>
        <v>5</v>
      </c>
      <c r="AC26" s="1"/>
    </row>
    <row r="27" spans="1:29">
      <c r="A27" s="7" t="s">
        <v>52</v>
      </c>
      <c r="B27" s="7" t="s">
        <v>86</v>
      </c>
      <c r="C27" s="1" t="s">
        <v>30</v>
      </c>
      <c r="D27" s="155" t="s">
        <v>101</v>
      </c>
      <c r="E27" s="9" t="s">
        <v>76</v>
      </c>
      <c r="F27" s="9" t="s">
        <v>102</v>
      </c>
      <c r="G27" s="22" t="s">
        <v>56</v>
      </c>
      <c r="H27" s="22" t="s">
        <v>57</v>
      </c>
      <c r="I27" s="9" t="s">
        <v>58</v>
      </c>
      <c r="J27" s="9" t="s">
        <v>59</v>
      </c>
      <c r="K27" s="9" t="s">
        <v>60</v>
      </c>
      <c r="L27" s="9" t="s">
        <v>61</v>
      </c>
      <c r="M27" s="9" t="s">
        <v>62</v>
      </c>
      <c r="N27" s="9" t="s">
        <v>63</v>
      </c>
      <c r="O27" s="9" t="s">
        <v>63</v>
      </c>
      <c r="P27" s="12">
        <v>1</v>
      </c>
      <c r="Q27" s="12">
        <v>1</v>
      </c>
      <c r="R27" s="2"/>
      <c r="S27" s="2"/>
      <c r="T27" s="2"/>
      <c r="U27" s="2"/>
      <c r="V27" s="2"/>
      <c r="W27" s="2"/>
      <c r="X27" s="12">
        <v>1</v>
      </c>
      <c r="Y27" s="262">
        <f ca="1">IFERROR(__xludf.DUMMYFUNCTION("INDEX(IMPORTRANGE(""1y0FWgjbB0gVlqn-q5LMJbGIsqOrzru4yowQz67dz2yc"", ""'STC'!BG3:BG139""),MATCH($D27,IMPORTRANGE(""1y0FWgjbB0gVlqn-q5LMJbGIsqOrzru4yowQz67dz2yc"", ""'STC'!D3:D139""),0))"),2)</f>
        <v>2</v>
      </c>
      <c r="Z27" s="262">
        <f ca="1">IFERROR(__xludf.DUMMYFUNCTION("INDEX(IMPORTRANGE(""1y0FWgjbB0gVlqn-q5LMJbGIsqOrzru4yowQz67dz2yc"", ""'STC'!BH3:BH139""),MATCH($D27,IMPORTRANGE(""1y0FWgjbB0gVlqn-q5LMJbGIsqOrzru4yowQz67dz2yc"", ""'STC'!D3:D139""),0))"),0)</f>
        <v>0</v>
      </c>
      <c r="AA27" s="262">
        <f ca="1">IFERROR(__xludf.DUMMYFUNCTION("INDEX(IMPORTRANGE(""1y0FWgjbB0gVlqn-q5LMJbGIsqOrzru4yowQz67dz2yc"", ""'STC'!BI3:BI139""),MATCH($D27,IMPORTRANGE(""1y0FWgjbB0gVlqn-q5LMJbGIsqOrzru4yowQz67dz2yc"", ""'STC'!D3:D139""),0))"),0)</f>
        <v>0</v>
      </c>
      <c r="AB27" s="262">
        <f ca="1">IFERROR(__xludf.DUMMYFUNCTION("INDEX(IMPORTRANGE(""1y0FWgjbB0gVlqn-q5LMJbGIsqOrzru4yowQz67dz2yc"", ""'STC'!BJ3:BJ139""),MATCH($D27,IMPORTRANGE(""1y0FWgjbB0gVlqn-q5LMJbGIsqOrzru4yowQz67dz2yc"", ""'STC'!D3:D139""),0))"),0)</f>
        <v>0</v>
      </c>
      <c r="AC27" s="1"/>
    </row>
    <row r="28" spans="1:29">
      <c r="A28" s="7" t="s">
        <v>52</v>
      </c>
      <c r="B28" s="7" t="s">
        <v>86</v>
      </c>
      <c r="C28" s="1" t="s">
        <v>30</v>
      </c>
      <c r="D28" s="155" t="s">
        <v>103</v>
      </c>
      <c r="E28" s="9" t="s">
        <v>76</v>
      </c>
      <c r="F28" s="9" t="s">
        <v>104</v>
      </c>
      <c r="G28" s="22" t="s">
        <v>56</v>
      </c>
      <c r="H28" s="22" t="s">
        <v>57</v>
      </c>
      <c r="I28" s="9" t="s">
        <v>58</v>
      </c>
      <c r="J28" s="9" t="s">
        <v>59</v>
      </c>
      <c r="K28" s="9" t="s">
        <v>60</v>
      </c>
      <c r="L28" s="9" t="s">
        <v>61</v>
      </c>
      <c r="M28" s="9" t="s">
        <v>62</v>
      </c>
      <c r="N28" s="9" t="s">
        <v>63</v>
      </c>
      <c r="O28" s="9" t="s">
        <v>63</v>
      </c>
      <c r="P28" s="12">
        <v>0</v>
      </c>
      <c r="Q28" s="12">
        <v>1</v>
      </c>
      <c r="R28" s="2"/>
      <c r="S28" s="2"/>
      <c r="T28" s="2"/>
      <c r="U28" s="2"/>
      <c r="V28" s="2"/>
      <c r="W28" s="2"/>
      <c r="X28" s="12">
        <v>0</v>
      </c>
      <c r="Y28" s="262">
        <f ca="1">IFERROR(__xludf.DUMMYFUNCTION("INDEX(IMPORTRANGE(""1y0FWgjbB0gVlqn-q5LMJbGIsqOrzru4yowQz67dz2yc"", ""'STC'!BG3:BG139""),MATCH($D28,IMPORTRANGE(""1y0FWgjbB0gVlqn-q5LMJbGIsqOrzru4yowQz67dz2yc"", ""'STC'!D3:D139""),0))"),0)</f>
        <v>0</v>
      </c>
      <c r="Z28" s="262">
        <f ca="1">IFERROR(__xludf.DUMMYFUNCTION("INDEX(IMPORTRANGE(""1y0FWgjbB0gVlqn-q5LMJbGIsqOrzru4yowQz67dz2yc"", ""'STC'!BH3:BH139""),MATCH($D28,IMPORTRANGE(""1y0FWgjbB0gVlqn-q5LMJbGIsqOrzru4yowQz67dz2yc"", ""'STC'!D3:D139""),0))"),0)</f>
        <v>0</v>
      </c>
      <c r="AA28" s="262">
        <f ca="1">IFERROR(__xludf.DUMMYFUNCTION("INDEX(IMPORTRANGE(""1y0FWgjbB0gVlqn-q5LMJbGIsqOrzru4yowQz67dz2yc"", ""'STC'!BI3:BI139""),MATCH($D28,IMPORTRANGE(""1y0FWgjbB0gVlqn-q5LMJbGIsqOrzru4yowQz67dz2yc"", ""'STC'!D3:D139""),0))"),3)</f>
        <v>3</v>
      </c>
      <c r="AB28" s="262">
        <f ca="1">IFERROR(__xludf.DUMMYFUNCTION("INDEX(IMPORTRANGE(""1y0FWgjbB0gVlqn-q5LMJbGIsqOrzru4yowQz67dz2yc"", ""'STC'!BJ3:BJ139""),MATCH($D28,IMPORTRANGE(""1y0FWgjbB0gVlqn-q5LMJbGIsqOrzru4yowQz67dz2yc"", ""'STC'!D3:D139""),0))"),1)</f>
        <v>1</v>
      </c>
      <c r="AC28" s="1"/>
    </row>
    <row r="29" spans="1:29">
      <c r="A29" s="7" t="s">
        <v>52</v>
      </c>
      <c r="B29" s="7" t="s">
        <v>86</v>
      </c>
      <c r="C29" s="1" t="s">
        <v>30</v>
      </c>
      <c r="D29" s="155" t="s">
        <v>105</v>
      </c>
      <c r="E29" s="9" t="s">
        <v>76</v>
      </c>
      <c r="F29" s="9" t="s">
        <v>106</v>
      </c>
      <c r="G29" s="22" t="s">
        <v>56</v>
      </c>
      <c r="H29" s="22" t="s">
        <v>57</v>
      </c>
      <c r="I29" s="9" t="s">
        <v>58</v>
      </c>
      <c r="J29" s="9" t="s">
        <v>59</v>
      </c>
      <c r="K29" s="9" t="s">
        <v>60</v>
      </c>
      <c r="L29" s="9" t="s">
        <v>61</v>
      </c>
      <c r="M29" s="9" t="s">
        <v>62</v>
      </c>
      <c r="N29" s="9" t="s">
        <v>63</v>
      </c>
      <c r="O29" s="9" t="s">
        <v>63</v>
      </c>
      <c r="P29" s="12">
        <v>0</v>
      </c>
      <c r="Q29" s="12">
        <v>0</v>
      </c>
      <c r="R29" s="2"/>
      <c r="S29" s="2"/>
      <c r="T29" s="2"/>
      <c r="U29" s="2"/>
      <c r="V29" s="2"/>
      <c r="W29" s="2"/>
      <c r="X29" s="12">
        <v>0</v>
      </c>
      <c r="Y29" s="262">
        <f ca="1">IFERROR(__xludf.DUMMYFUNCTION("INDEX(IMPORTRANGE(""1y0FWgjbB0gVlqn-q5LMJbGIsqOrzru4yowQz67dz2yc"", ""'STC'!BG3:BG139""),MATCH($D29,IMPORTRANGE(""1y0FWgjbB0gVlqn-q5LMJbGIsqOrzru4yowQz67dz2yc"", ""'STC'!D3:D139""),0))"),0)</f>
        <v>0</v>
      </c>
      <c r="Z29" s="262">
        <f ca="1">IFERROR(__xludf.DUMMYFUNCTION("INDEX(IMPORTRANGE(""1y0FWgjbB0gVlqn-q5LMJbGIsqOrzru4yowQz67dz2yc"", ""'STC'!BH3:BH139""),MATCH($D29,IMPORTRANGE(""1y0FWgjbB0gVlqn-q5LMJbGIsqOrzru4yowQz67dz2yc"", ""'STC'!D3:D139""),0))"),0)</f>
        <v>0</v>
      </c>
      <c r="AA29" s="262">
        <f ca="1">IFERROR(__xludf.DUMMYFUNCTION("INDEX(IMPORTRANGE(""1y0FWgjbB0gVlqn-q5LMJbGIsqOrzru4yowQz67dz2yc"", ""'STC'!BI3:BI139""),MATCH($D29,IMPORTRANGE(""1y0FWgjbB0gVlqn-q5LMJbGIsqOrzru4yowQz67dz2yc"", ""'STC'!D3:D139""),0))"),0)</f>
        <v>0</v>
      </c>
      <c r="AB29" s="262">
        <f ca="1">IFERROR(__xludf.DUMMYFUNCTION("INDEX(IMPORTRANGE(""1y0FWgjbB0gVlqn-q5LMJbGIsqOrzru4yowQz67dz2yc"", ""'STC'!BJ3:BJ139""),MATCH($D29,IMPORTRANGE(""1y0FWgjbB0gVlqn-q5LMJbGIsqOrzru4yowQz67dz2yc"", ""'STC'!D3:D139""),0))"),0)</f>
        <v>0</v>
      </c>
      <c r="AC29" s="1"/>
    </row>
    <row r="30" spans="1:29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2" t="s">
        <v>56</v>
      </c>
      <c r="H30" s="22" t="s">
        <v>57</v>
      </c>
      <c r="I30" s="9" t="s">
        <v>58</v>
      </c>
      <c r="J30" s="9" t="s">
        <v>59</v>
      </c>
      <c r="K30" s="9" t="s">
        <v>60</v>
      </c>
      <c r="L30" s="9" t="s">
        <v>61</v>
      </c>
      <c r="M30" s="9" t="s">
        <v>62</v>
      </c>
      <c r="N30" s="9" t="s">
        <v>63</v>
      </c>
      <c r="O30" s="9" t="s">
        <v>63</v>
      </c>
      <c r="P30" s="12">
        <v>2</v>
      </c>
      <c r="Q30" s="12">
        <v>6</v>
      </c>
      <c r="R30" s="2"/>
      <c r="S30" s="2"/>
      <c r="T30" s="2"/>
      <c r="U30" s="2"/>
      <c r="V30" s="2"/>
      <c r="W30" s="2"/>
      <c r="X30" s="12">
        <v>0</v>
      </c>
      <c r="Y30" s="262">
        <f ca="1">IFERROR(__xludf.DUMMYFUNCTION("INDEX(IMPORTRANGE(""1y0FWgjbB0gVlqn-q5LMJbGIsqOrzru4yowQz67dz2yc"", ""'STC'!BG3:BG139""),MATCH($D30,IMPORTRANGE(""1y0FWgjbB0gVlqn-q5LMJbGIsqOrzru4yowQz67dz2yc"", ""'STC'!D3:D139""),0))"),3)</f>
        <v>3</v>
      </c>
      <c r="Z30" s="262">
        <f ca="1">IFERROR(__xludf.DUMMYFUNCTION("INDEX(IMPORTRANGE(""1y0FWgjbB0gVlqn-q5LMJbGIsqOrzru4yowQz67dz2yc"", ""'STC'!BH3:BH139""),MATCH($D30,IMPORTRANGE(""1y0FWgjbB0gVlqn-q5LMJbGIsqOrzru4yowQz67dz2yc"", ""'STC'!D3:D139""),0))"),4)</f>
        <v>4</v>
      </c>
      <c r="AA30" s="262">
        <f ca="1">IFERROR(__xludf.DUMMYFUNCTION("INDEX(IMPORTRANGE(""1y0FWgjbB0gVlqn-q5LMJbGIsqOrzru4yowQz67dz2yc"", ""'STC'!BI3:BI139""),MATCH($D30,IMPORTRANGE(""1y0FWgjbB0gVlqn-q5LMJbGIsqOrzru4yowQz67dz2yc"", ""'STC'!D3:D139""),0))"),13)</f>
        <v>13</v>
      </c>
      <c r="AB30" s="262">
        <f ca="1">IFERROR(__xludf.DUMMYFUNCTION("INDEX(IMPORTRANGE(""1y0FWgjbB0gVlqn-q5LMJbGIsqOrzru4yowQz67dz2yc"", ""'STC'!BJ3:BJ139""),MATCH($D30,IMPORTRANGE(""1y0FWgjbB0gVlqn-q5LMJbGIsqOrzru4yowQz67dz2yc"", ""'STC'!D3:D139""),0))"),6)</f>
        <v>6</v>
      </c>
      <c r="AC30" s="1"/>
    </row>
    <row r="31" spans="1:29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2" t="s">
        <v>56</v>
      </c>
      <c r="H31" s="22" t="s">
        <v>57</v>
      </c>
      <c r="I31" s="9" t="s">
        <v>58</v>
      </c>
      <c r="J31" s="9" t="s">
        <v>59</v>
      </c>
      <c r="K31" s="9" t="s">
        <v>60</v>
      </c>
      <c r="L31" s="9" t="s">
        <v>61</v>
      </c>
      <c r="M31" s="9" t="s">
        <v>62</v>
      </c>
      <c r="N31" s="9" t="s">
        <v>63</v>
      </c>
      <c r="O31" s="9" t="s">
        <v>63</v>
      </c>
      <c r="P31" s="12">
        <v>0</v>
      </c>
      <c r="Q31" s="12">
        <v>0</v>
      </c>
      <c r="R31" s="2"/>
      <c r="S31" s="2"/>
      <c r="T31" s="2"/>
      <c r="U31" s="2"/>
      <c r="V31" s="2"/>
      <c r="W31" s="2"/>
      <c r="X31" s="12">
        <v>1</v>
      </c>
      <c r="Y31" s="262">
        <f ca="1">IFERROR(__xludf.DUMMYFUNCTION("INDEX(IMPORTRANGE(""1y0FWgjbB0gVlqn-q5LMJbGIsqOrzru4yowQz67dz2yc"", ""'STC'!BG3:BG139""),MATCH($D31,IMPORTRANGE(""1y0FWgjbB0gVlqn-q5LMJbGIsqOrzru4yowQz67dz2yc"", ""'STC'!D3:D139""),0))"),2)</f>
        <v>2</v>
      </c>
      <c r="Z31" s="262">
        <f ca="1">IFERROR(__xludf.DUMMYFUNCTION("INDEX(IMPORTRANGE(""1y0FWgjbB0gVlqn-q5LMJbGIsqOrzru4yowQz67dz2yc"", ""'STC'!BH3:BH139""),MATCH($D31,IMPORTRANGE(""1y0FWgjbB0gVlqn-q5LMJbGIsqOrzru4yowQz67dz2yc"", ""'STC'!D3:D139""),0))"),0)</f>
        <v>0</v>
      </c>
      <c r="AA31" s="262">
        <f ca="1">IFERROR(__xludf.DUMMYFUNCTION("INDEX(IMPORTRANGE(""1y0FWgjbB0gVlqn-q5LMJbGIsqOrzru4yowQz67dz2yc"", ""'STC'!BI3:BI139""),MATCH($D31,IMPORTRANGE(""1y0FWgjbB0gVlqn-q5LMJbGIsqOrzru4yowQz67dz2yc"", ""'STC'!D3:D139""),0))"),0)</f>
        <v>0</v>
      </c>
      <c r="AB31" s="262">
        <f ca="1">IFERROR(__xludf.DUMMYFUNCTION("INDEX(IMPORTRANGE(""1y0FWgjbB0gVlqn-q5LMJbGIsqOrzru4yowQz67dz2yc"", ""'STC'!BJ3:BJ139""),MATCH($D31,IMPORTRANGE(""1y0FWgjbB0gVlqn-q5LMJbGIsqOrzru4yowQz67dz2yc"", ""'STC'!D3:D139""),0))"),0)</f>
        <v>0</v>
      </c>
      <c r="AC31" s="1"/>
    </row>
    <row r="32" spans="1:29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2" t="s">
        <v>56</v>
      </c>
      <c r="H32" s="22" t="s">
        <v>57</v>
      </c>
      <c r="I32" s="9" t="s">
        <v>58</v>
      </c>
      <c r="J32" s="9" t="s">
        <v>59</v>
      </c>
      <c r="K32" s="9" t="s">
        <v>60</v>
      </c>
      <c r="L32" s="9" t="s">
        <v>61</v>
      </c>
      <c r="M32" s="9" t="s">
        <v>62</v>
      </c>
      <c r="N32" s="9" t="s">
        <v>63</v>
      </c>
      <c r="O32" s="9" t="s">
        <v>63</v>
      </c>
      <c r="P32" s="12">
        <v>0</v>
      </c>
      <c r="Q32" s="12">
        <v>0</v>
      </c>
      <c r="R32" s="2"/>
      <c r="S32" s="2"/>
      <c r="T32" s="2"/>
      <c r="U32" s="2"/>
      <c r="V32" s="2"/>
      <c r="W32" s="2"/>
      <c r="X32" s="12">
        <v>0</v>
      </c>
      <c r="Y32" s="262">
        <f ca="1">IFERROR(__xludf.DUMMYFUNCTION("INDEX(IMPORTRANGE(""1y0FWgjbB0gVlqn-q5LMJbGIsqOrzru4yowQz67dz2yc"", ""'STC'!BG3:BG139""),MATCH($D32,IMPORTRANGE(""1y0FWgjbB0gVlqn-q5LMJbGIsqOrzru4yowQz67dz2yc"", ""'STC'!D3:D139""),0))"),0)</f>
        <v>0</v>
      </c>
      <c r="Z32" s="262">
        <f ca="1">IFERROR(__xludf.DUMMYFUNCTION("INDEX(IMPORTRANGE(""1y0FWgjbB0gVlqn-q5LMJbGIsqOrzru4yowQz67dz2yc"", ""'STC'!BH3:BH139""),MATCH($D32,IMPORTRANGE(""1y0FWgjbB0gVlqn-q5LMJbGIsqOrzru4yowQz67dz2yc"", ""'STC'!D3:D139""),0))"),0)</f>
        <v>0</v>
      </c>
      <c r="AA32" s="262">
        <f ca="1">IFERROR(__xludf.DUMMYFUNCTION("INDEX(IMPORTRANGE(""1y0FWgjbB0gVlqn-q5LMJbGIsqOrzru4yowQz67dz2yc"", ""'STC'!BI3:BI139""),MATCH($D32,IMPORTRANGE(""1y0FWgjbB0gVlqn-q5LMJbGIsqOrzru4yowQz67dz2yc"", ""'STC'!D3:D139""),0))"),0)</f>
        <v>0</v>
      </c>
      <c r="AB32" s="262">
        <f ca="1">IFERROR(__xludf.DUMMYFUNCTION("INDEX(IMPORTRANGE(""1y0FWgjbB0gVlqn-q5LMJbGIsqOrzru4yowQz67dz2yc"", ""'STC'!BJ3:BJ139""),MATCH($D32,IMPORTRANGE(""1y0FWgjbB0gVlqn-q5LMJbGIsqOrzru4yowQz67dz2yc"", ""'STC'!D3:D139""),0))"),0)</f>
        <v>0</v>
      </c>
      <c r="AC32" s="1"/>
    </row>
    <row r="33" spans="1:29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2" t="s">
        <v>56</v>
      </c>
      <c r="H33" s="22" t="s">
        <v>57</v>
      </c>
      <c r="I33" s="9" t="s">
        <v>58</v>
      </c>
      <c r="J33" s="9" t="s">
        <v>59</v>
      </c>
      <c r="K33" s="9" t="s">
        <v>60</v>
      </c>
      <c r="L33" s="9" t="s">
        <v>61</v>
      </c>
      <c r="M33" s="9" t="s">
        <v>62</v>
      </c>
      <c r="N33" s="9" t="s">
        <v>63</v>
      </c>
      <c r="O33" s="9" t="s">
        <v>63</v>
      </c>
      <c r="P33" s="12">
        <v>0</v>
      </c>
      <c r="Q33" s="12">
        <v>0</v>
      </c>
      <c r="R33" s="2"/>
      <c r="S33" s="2"/>
      <c r="T33" s="2"/>
      <c r="U33" s="2"/>
      <c r="V33" s="2"/>
      <c r="W33" s="2"/>
      <c r="X33" s="12">
        <v>4</v>
      </c>
      <c r="Y33" s="262">
        <f ca="1">IFERROR(__xludf.DUMMYFUNCTION("INDEX(IMPORTRANGE(""1y0FWgjbB0gVlqn-q5LMJbGIsqOrzru4yowQz67dz2yc"", ""'STC'!BG3:BG139""),MATCH($D33,IMPORTRANGE(""1y0FWgjbB0gVlqn-q5LMJbGIsqOrzru4yowQz67dz2yc"", ""'STC'!D3:D139""),0))"),6)</f>
        <v>6</v>
      </c>
      <c r="Z33" s="262">
        <f ca="1">IFERROR(__xludf.DUMMYFUNCTION("INDEX(IMPORTRANGE(""1y0FWgjbB0gVlqn-q5LMJbGIsqOrzru4yowQz67dz2yc"", ""'STC'!BH3:BH139""),MATCH($D33,IMPORTRANGE(""1y0FWgjbB0gVlqn-q5LMJbGIsqOrzru4yowQz67dz2yc"", ""'STC'!D3:D139""),0))"),4)</f>
        <v>4</v>
      </c>
      <c r="AA33" s="262">
        <f ca="1">IFERROR(__xludf.DUMMYFUNCTION("INDEX(IMPORTRANGE(""1y0FWgjbB0gVlqn-q5LMJbGIsqOrzru4yowQz67dz2yc"", ""'STC'!BI3:BI139""),MATCH($D33,IMPORTRANGE(""1y0FWgjbB0gVlqn-q5LMJbGIsqOrzru4yowQz67dz2yc"", ""'STC'!D3:D139""),0))"),6)</f>
        <v>6</v>
      </c>
      <c r="AB33" s="262">
        <f ca="1">IFERROR(__xludf.DUMMYFUNCTION("INDEX(IMPORTRANGE(""1y0FWgjbB0gVlqn-q5LMJbGIsqOrzru4yowQz67dz2yc"", ""'STC'!BJ3:BJ139""),MATCH($D33,IMPORTRANGE(""1y0FWgjbB0gVlqn-q5LMJbGIsqOrzru4yowQz67dz2yc"", ""'STC'!D3:D139""),0))"),4)</f>
        <v>4</v>
      </c>
      <c r="AC33" s="1"/>
    </row>
    <row r="34" spans="1:29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2" t="s">
        <v>56</v>
      </c>
      <c r="H34" s="22" t="s">
        <v>57</v>
      </c>
      <c r="I34" s="9" t="s">
        <v>58</v>
      </c>
      <c r="J34" s="9" t="s">
        <v>59</v>
      </c>
      <c r="K34" s="9" t="s">
        <v>60</v>
      </c>
      <c r="L34" s="9" t="s">
        <v>61</v>
      </c>
      <c r="M34" s="9" t="s">
        <v>62</v>
      </c>
      <c r="N34" s="9" t="s">
        <v>63</v>
      </c>
      <c r="O34" s="9" t="s">
        <v>63</v>
      </c>
      <c r="P34" s="12">
        <v>0</v>
      </c>
      <c r="Q34" s="12">
        <v>0</v>
      </c>
      <c r="R34" s="2"/>
      <c r="S34" s="2"/>
      <c r="T34" s="2"/>
      <c r="U34" s="2"/>
      <c r="V34" s="2"/>
      <c r="W34" s="2"/>
      <c r="X34" s="12">
        <v>1</v>
      </c>
      <c r="Y34" s="262">
        <f ca="1">IFERROR(__xludf.DUMMYFUNCTION("INDEX(IMPORTRANGE(""1y0FWgjbB0gVlqn-q5LMJbGIsqOrzru4yowQz67dz2yc"", ""'STC'!BG3:BG139""),MATCH($D34,IMPORTRANGE(""1y0FWgjbB0gVlqn-q5LMJbGIsqOrzru4yowQz67dz2yc"", ""'STC'!D3:D139""),0))"),4)</f>
        <v>4</v>
      </c>
      <c r="Z34" s="262">
        <f ca="1">IFERROR(__xludf.DUMMYFUNCTION("INDEX(IMPORTRANGE(""1y0FWgjbB0gVlqn-q5LMJbGIsqOrzru4yowQz67dz2yc"", ""'STC'!BH3:BH139""),MATCH($D34,IMPORTRANGE(""1y0FWgjbB0gVlqn-q5LMJbGIsqOrzru4yowQz67dz2yc"", ""'STC'!D3:D139""),0))"),3)</f>
        <v>3</v>
      </c>
      <c r="AA34" s="262">
        <f ca="1">IFERROR(__xludf.DUMMYFUNCTION("INDEX(IMPORTRANGE(""1y0FWgjbB0gVlqn-q5LMJbGIsqOrzru4yowQz67dz2yc"", ""'STC'!BI3:BI139""),MATCH($D34,IMPORTRANGE(""1y0FWgjbB0gVlqn-q5LMJbGIsqOrzru4yowQz67dz2yc"", ""'STC'!D3:D139""),0))"),4)</f>
        <v>4</v>
      </c>
      <c r="AB34" s="262">
        <f ca="1">IFERROR(__xludf.DUMMYFUNCTION("INDEX(IMPORTRANGE(""1y0FWgjbB0gVlqn-q5LMJbGIsqOrzru4yowQz67dz2yc"", ""'STC'!BJ3:BJ139""),MATCH($D34,IMPORTRANGE(""1y0FWgjbB0gVlqn-q5LMJbGIsqOrzru4yowQz67dz2yc"", ""'STC'!D3:D139""),0))"),2)</f>
        <v>2</v>
      </c>
      <c r="AC34" s="1"/>
    </row>
    <row r="35" spans="1:29">
      <c r="A35" s="155" t="s">
        <v>52</v>
      </c>
      <c r="B35" s="155" t="s">
        <v>86</v>
      </c>
      <c r="C35" s="156" t="s">
        <v>30</v>
      </c>
      <c r="D35" s="155" t="s">
        <v>350</v>
      </c>
      <c r="E35" s="155" t="s">
        <v>76</v>
      </c>
      <c r="F35" s="263"/>
      <c r="G35" s="22" t="s">
        <v>343</v>
      </c>
      <c r="H35" s="22" t="s">
        <v>344</v>
      </c>
      <c r="I35" s="21" t="s">
        <v>345</v>
      </c>
      <c r="J35" s="21" t="s">
        <v>336</v>
      </c>
      <c r="K35" s="21" t="s">
        <v>346</v>
      </c>
      <c r="L35" s="21" t="s">
        <v>347</v>
      </c>
      <c r="M35" s="21" t="s">
        <v>348</v>
      </c>
      <c r="N35" s="21" t="s">
        <v>349</v>
      </c>
      <c r="O35" s="21" t="s">
        <v>349</v>
      </c>
      <c r="P35" s="262">
        <f t="shared" ref="P35:Q35" si="10">SUM(P24:P34)</f>
        <v>28</v>
      </c>
      <c r="Q35" s="262">
        <f t="shared" si="10"/>
        <v>59</v>
      </c>
      <c r="R35" s="486"/>
      <c r="S35" s="486"/>
      <c r="T35" s="486"/>
      <c r="U35" s="486"/>
      <c r="V35" s="486"/>
      <c r="W35" s="486"/>
      <c r="X35" s="262">
        <f t="shared" ref="X35:AA35" si="11">SUM(X24:X34)</f>
        <v>37</v>
      </c>
      <c r="Y35" s="262">
        <f t="shared" ca="1" si="11"/>
        <v>91</v>
      </c>
      <c r="Z35" s="262">
        <f t="shared" ca="1" si="11"/>
        <v>55</v>
      </c>
      <c r="AA35" s="262">
        <f t="shared" ca="1" si="11"/>
        <v>125</v>
      </c>
      <c r="AB35" s="262">
        <f ca="1">IFERROR(__xludf.DUMMYFUNCTION("INDEX(IMPORTRANGE(""1y0FWgjbB0gVlqn-q5LMJbGIsqOrzru4yowQz67dz2yc"", ""'STC'!BJ3:BJ139""),MATCH($D35,IMPORTRANGE(""1y0FWgjbB0gVlqn-q5LMJbGIsqOrzru4yowQz67dz2yc"", ""'STC'!D3:D139""),0))"),51)</f>
        <v>51</v>
      </c>
      <c r="AC35" s="296"/>
    </row>
    <row r="36" spans="1:29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2" t="s">
        <v>56</v>
      </c>
      <c r="H36" s="22" t="s">
        <v>57</v>
      </c>
      <c r="I36" s="9" t="s">
        <v>58</v>
      </c>
      <c r="J36" s="9" t="s">
        <v>59</v>
      </c>
      <c r="K36" s="9" t="s">
        <v>60</v>
      </c>
      <c r="L36" s="9" t="s">
        <v>61</v>
      </c>
      <c r="M36" s="9" t="s">
        <v>62</v>
      </c>
      <c r="N36" s="9" t="s">
        <v>63</v>
      </c>
      <c r="O36" s="9" t="s">
        <v>63</v>
      </c>
      <c r="P36" s="23">
        <f t="shared" ref="P36:Q36" si="12">(SUM(P24:P34)/P$2)*100000</f>
        <v>8.6029963007115899</v>
      </c>
      <c r="Q36" s="23">
        <f t="shared" si="12"/>
        <v>18.127742205070852</v>
      </c>
      <c r="R36" s="2">
        <v>16.100000000000001</v>
      </c>
      <c r="S36" s="2">
        <v>6.7</v>
      </c>
      <c r="T36" s="2">
        <v>14</v>
      </c>
      <c r="U36" s="2">
        <v>5.7</v>
      </c>
      <c r="V36" s="2">
        <v>12</v>
      </c>
      <c r="W36" s="2">
        <v>12</v>
      </c>
      <c r="X36" s="23">
        <f>(SUM(X24:X34)/X$2)*100000</f>
        <v>11.251433037248326</v>
      </c>
      <c r="Y36" s="265">
        <f ca="1">IFERROR(__xludf.DUMMYFUNCTION("INDEX(IMPORTRANGE(""1y0FWgjbB0gVlqn-q5LMJbGIsqOrzru4yowQz67dz2yc"", ""'STC'!BG3:BG139""),MATCH($D36,IMPORTRANGE(""1y0FWgjbB0gVlqn-q5LMJbGIsqOrzru4yowQz67dz2yc"", ""'STC'!D3:D139""),0))"),27.672443415935)</f>
        <v>27.672443415935</v>
      </c>
      <c r="Z36" s="265">
        <f ca="1">IFERROR(__xludf.DUMMYFUNCTION("INDEX(IMPORTRANGE(""1y0FWgjbB0gVlqn-q5LMJbGIsqOrzru4yowQz67dz2yc"", ""'STC'!BH3:BH139""),MATCH($D36,IMPORTRANGE(""1y0FWgjbB0gVlqn-q5LMJbGIsqOrzru4yowQz67dz2yc"", ""'STC'!D3:D139""),0))"),16.5555936835894)</f>
        <v>16.5555936835894</v>
      </c>
      <c r="AA36" s="265">
        <f ca="1">IFERROR(__xludf.DUMMYFUNCTION("INDEX(IMPORTRANGE(""1y0FWgjbB0gVlqn-q5LMJbGIsqOrzru4yowQz67dz2yc"", ""'STC'!BI3:BI139""),MATCH($D36,IMPORTRANGE(""1y0FWgjbB0gVlqn-q5LMJbGIsqOrzru4yowQz67dz2yc"", ""'STC'!D3:D139""),0))"),37.6263492808852)</f>
        <v>37.626349280885201</v>
      </c>
      <c r="AB36" s="265">
        <f ca="1">IFERROR(__xludf.DUMMYFUNCTION("INDEX(IMPORTRANGE(""1y0FWgjbB0gVlqn-q5LMJbGIsqOrzru4yowQz67dz2yc"", ""'STC'!BJ3:BJ139""),MATCH($D36,IMPORTRANGE(""1y0FWgjbB0gVlqn-q5LMJbGIsqOrzru4yowQz67dz2yc"", ""'STC'!D3:D139""),0))"),15.1980212772297)</f>
        <v>15.198021277229699</v>
      </c>
      <c r="AC36" s="1"/>
    </row>
    <row r="37" spans="1:29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0">
        <v>44469</v>
      </c>
      <c r="H37" s="10">
        <v>44469</v>
      </c>
      <c r="I37" s="11">
        <v>44651</v>
      </c>
      <c r="J37" s="11">
        <v>44834</v>
      </c>
      <c r="K37" s="11">
        <v>45016</v>
      </c>
      <c r="L37" s="11">
        <v>45199</v>
      </c>
      <c r="M37" s="11">
        <v>45382</v>
      </c>
      <c r="N37" s="11">
        <v>45565</v>
      </c>
      <c r="O37" s="11">
        <v>45565</v>
      </c>
      <c r="P37" s="12">
        <v>87144</v>
      </c>
      <c r="Q37" s="12">
        <v>87144</v>
      </c>
      <c r="R37" s="2"/>
      <c r="S37" s="2"/>
      <c r="T37" s="2"/>
      <c r="U37" s="2"/>
      <c r="V37" s="2"/>
      <c r="W37" s="2"/>
      <c r="X37" s="12">
        <v>87144</v>
      </c>
      <c r="Y37" s="403">
        <f ca="1">IFERROR(__xludf.DUMMYFUNCTION("INDEX(IMPORTRANGE(""1y0FWgjbB0gVlqn-q5LMJbGIsqOrzru4yowQz67dz2yc"", ""'STC'!BG3:BG139""),MATCH($D37,IMPORTRANGE(""1y0FWgjbB0gVlqn-q5LMJbGIsqOrzru4yowQz67dz2yc"", ""'STC'!D3:D139""),0))"),87144)</f>
        <v>87144</v>
      </c>
      <c r="Z37" s="262">
        <f ca="1">IFERROR(__xludf.DUMMYFUNCTION("INDEX(IMPORTRANGE(""1y0FWgjbB0gVlqn-q5LMJbGIsqOrzru4yowQz67dz2yc"", ""'STC'!BH3:BH139""),MATCH($D37,IMPORTRANGE(""1y0FWgjbB0gVlqn-q5LMJbGIsqOrzru4yowQz67dz2yc"", ""'STC'!D3:D139""),0))"),87144)</f>
        <v>87144</v>
      </c>
      <c r="AA37" s="262">
        <f ca="1">IFERROR(__xludf.DUMMYFUNCTION("INDEX(IMPORTRANGE(""1y0FWgjbB0gVlqn-q5LMJbGIsqOrzru4yowQz67dz2yc"", ""'STC'!BI3:BI139""),MATCH($D37,IMPORTRANGE(""1y0FWgjbB0gVlqn-q5LMJbGIsqOrzru4yowQz67dz2yc"", ""'STC'!D3:D139""),0))"),87144)</f>
        <v>87144</v>
      </c>
      <c r="AB37" s="262">
        <f ca="1">IFERROR(__xludf.DUMMYFUNCTION("INDEX(IMPORTRANGE(""1y0FWgjbB0gVlqn-q5LMJbGIsqOrzru4yowQz67dz2yc"", ""'STC'!BJ3:BJ139""),MATCH($D37,IMPORTRANGE(""1y0FWgjbB0gVlqn-q5LMJbGIsqOrzru4yowQz67dz2yc"", ""'STC'!D3:D139""),0))"),87144)</f>
        <v>87144</v>
      </c>
      <c r="AC37" s="1"/>
    </row>
    <row r="38" spans="1:29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0">
        <v>44469</v>
      </c>
      <c r="H38" s="10">
        <v>44469</v>
      </c>
      <c r="I38" s="11">
        <v>44651</v>
      </c>
      <c r="J38" s="11">
        <v>44834</v>
      </c>
      <c r="K38" s="11">
        <v>45016</v>
      </c>
      <c r="L38" s="11">
        <v>45199</v>
      </c>
      <c r="M38" s="11">
        <v>45382</v>
      </c>
      <c r="N38" s="11">
        <v>45565</v>
      </c>
      <c r="O38" s="11">
        <v>45565</v>
      </c>
      <c r="P38" s="12">
        <v>0</v>
      </c>
      <c r="Q38" s="12">
        <v>0</v>
      </c>
      <c r="R38" s="2"/>
      <c r="S38" s="2"/>
      <c r="T38" s="2"/>
      <c r="U38" s="2"/>
      <c r="V38" s="2"/>
      <c r="W38" s="2"/>
      <c r="X38" s="2">
        <v>0</v>
      </c>
      <c r="Y38" s="262">
        <f ca="1">IFERROR(__xludf.DUMMYFUNCTION("INDEX(IMPORTRANGE(""1y0FWgjbB0gVlqn-q5LMJbGIsqOrzru4yowQz67dz2yc"", ""'STC'!BG3:BG139""),MATCH($D38,IMPORTRANGE(""1y0FWgjbB0gVlqn-q5LMJbGIsqOrzru4yowQz67dz2yc"", ""'STC'!D3:D139""),0))"),0)</f>
        <v>0</v>
      </c>
      <c r="Z38" s="262">
        <f ca="1">IFERROR(__xludf.DUMMYFUNCTION("INDEX(IMPORTRANGE(""1y0FWgjbB0gVlqn-q5LMJbGIsqOrzru4yowQz67dz2yc"", ""'STC'!BH3:BH139""),MATCH($D38,IMPORTRANGE(""1y0FWgjbB0gVlqn-q5LMJbGIsqOrzru4yowQz67dz2yc"", ""'STC'!D3:D139""),0))"),0)</f>
        <v>0</v>
      </c>
      <c r="AA38" s="262">
        <f ca="1">IFERROR(__xludf.DUMMYFUNCTION("INDEX(IMPORTRANGE(""1y0FWgjbB0gVlqn-q5LMJbGIsqOrzru4yowQz67dz2yc"", ""'STC'!BI3:BI139""),MATCH($D38,IMPORTRANGE(""1y0FWgjbB0gVlqn-q5LMJbGIsqOrzru4yowQz67dz2yc"", ""'STC'!D3:D139""),0))"),0)</f>
        <v>0</v>
      </c>
      <c r="AB38" s="262">
        <f ca="1">IFERROR(__xludf.DUMMYFUNCTION("INDEX(IMPORTRANGE(""1y0FWgjbB0gVlqn-q5LMJbGIsqOrzru4yowQz67dz2yc"", ""'STC'!BJ3:BJ139""),MATCH($D38,IMPORTRANGE(""1y0FWgjbB0gVlqn-q5LMJbGIsqOrzru4yowQz67dz2yc"", ""'STC'!D3:D139""),0))"),4656)</f>
        <v>4656</v>
      </c>
      <c r="AC38" s="1"/>
    </row>
    <row r="39" spans="1:29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0">
        <v>44469</v>
      </c>
      <c r="H39" s="10">
        <v>44469</v>
      </c>
      <c r="I39" s="11">
        <v>44651</v>
      </c>
      <c r="J39" s="11">
        <v>44834</v>
      </c>
      <c r="K39" s="11">
        <v>45016</v>
      </c>
      <c r="L39" s="11">
        <v>45199</v>
      </c>
      <c r="M39" s="11">
        <v>45382</v>
      </c>
      <c r="N39" s="11">
        <v>45565</v>
      </c>
      <c r="O39" s="11">
        <v>45565</v>
      </c>
      <c r="P39" s="12">
        <f t="shared" ref="P39:Q39" si="13">P38/P37</f>
        <v>0</v>
      </c>
      <c r="Q39" s="12">
        <f t="shared" si="13"/>
        <v>0</v>
      </c>
      <c r="R39" s="26">
        <v>2E-3</v>
      </c>
      <c r="S39" s="26">
        <v>4.0000000000000001E-3</v>
      </c>
      <c r="T39" s="26">
        <v>6.0000000000000001E-3</v>
      </c>
      <c r="U39" s="26">
        <v>8.0000000000000002E-3</v>
      </c>
      <c r="V39" s="26">
        <v>0.01</v>
      </c>
      <c r="W39" s="14">
        <v>0.01</v>
      </c>
      <c r="X39" s="435">
        <f>X38/X37</f>
        <v>0</v>
      </c>
      <c r="Y39" s="408">
        <f ca="1">IFERROR(__xludf.DUMMYFUNCTION("INDEX(IMPORTRANGE(""1y0FWgjbB0gVlqn-q5LMJbGIsqOrzru4yowQz67dz2yc"", ""'STC'!BG3:BG139""),MATCH($D39,IMPORTRANGE(""1y0FWgjbB0gVlqn-q5LMJbGIsqOrzru4yowQz67dz2yc"", ""'STC'!D3:D139""),0))"),0)</f>
        <v>0</v>
      </c>
      <c r="Z39" s="25">
        <f ca="1">IFERROR(__xludf.DUMMYFUNCTION("INDEX(IMPORTRANGE(""1y0FWgjbB0gVlqn-q5LMJbGIsqOrzru4yowQz67dz2yc"", ""'STC'!BH3:BH139""),MATCH($D39,IMPORTRANGE(""1y0FWgjbB0gVlqn-q5LMJbGIsqOrzru4yowQz67dz2yc"", ""'STC'!D3:D139""),0))"),0)</f>
        <v>0</v>
      </c>
      <c r="AA39" s="25">
        <f ca="1">IFERROR(__xludf.DUMMYFUNCTION("INDEX(IMPORTRANGE(""1y0FWgjbB0gVlqn-q5LMJbGIsqOrzru4yowQz67dz2yc"", ""'STC'!BI3:BI139""),MATCH($D39,IMPORTRANGE(""1y0FWgjbB0gVlqn-q5LMJbGIsqOrzru4yowQz67dz2yc"", ""'STC'!D3:D139""),0))"),0)</f>
        <v>0</v>
      </c>
      <c r="AB39" s="25">
        <f ca="1">IFERROR(__xludf.DUMMYFUNCTION("INDEX(IMPORTRANGE(""1y0FWgjbB0gVlqn-q5LMJbGIsqOrzru4yowQz67dz2yc"", ""'STC'!BJ3:BJ139""),MATCH($D39,IMPORTRANGE(""1y0FWgjbB0gVlqn-q5LMJbGIsqOrzru4yowQz67dz2yc"", ""'STC'!D3:D139""),0))"),0.0534288074910493)</f>
        <v>5.34288074910493E-2</v>
      </c>
      <c r="AC39" s="1"/>
    </row>
    <row r="40" spans="1:29">
      <c r="A40" s="155" t="s">
        <v>119</v>
      </c>
      <c r="B40" s="155" t="s">
        <v>120</v>
      </c>
      <c r="C40" s="156" t="s">
        <v>30</v>
      </c>
      <c r="D40" s="155" t="s">
        <v>330</v>
      </c>
      <c r="E40" s="21" t="s">
        <v>38</v>
      </c>
      <c r="F40" s="22" t="s">
        <v>176</v>
      </c>
      <c r="G40" s="22" t="s">
        <v>56</v>
      </c>
      <c r="H40" s="22" t="s">
        <v>57</v>
      </c>
      <c r="I40" s="21" t="s">
        <v>58</v>
      </c>
      <c r="J40" s="21" t="s">
        <v>59</v>
      </c>
      <c r="K40" s="21" t="s">
        <v>60</v>
      </c>
      <c r="L40" s="21" t="s">
        <v>61</v>
      </c>
      <c r="M40" s="21" t="s">
        <v>62</v>
      </c>
      <c r="N40" s="21" t="s">
        <v>63</v>
      </c>
      <c r="O40" s="21" t="s">
        <v>63</v>
      </c>
      <c r="P40" s="12"/>
      <c r="Q40" s="12"/>
      <c r="R40" s="2"/>
      <c r="S40" s="2"/>
      <c r="T40" s="2"/>
      <c r="U40" s="2"/>
      <c r="V40" s="2"/>
      <c r="W40" s="2"/>
      <c r="X40" s="2"/>
      <c r="Y40" s="295" t="str">
        <f ca="1">IFERROR(__xludf.DUMMYFUNCTION("INDEX(IMPORTRANGE(""1y0FWgjbB0gVlqn-q5LMJbGIsqOrzru4yowQz67dz2yc"", ""'STC'!BG3:BG139""),MATCH($D40,IMPORTRANGE(""1y0FWgjbB0gVlqn-q5LMJbGIsqOrzru4yowQz67dz2yc"", ""'STC'!D3:D139""),0))"),"")</f>
        <v/>
      </c>
      <c r="Z40" s="262">
        <f ca="1">IFERROR(__xludf.DUMMYFUNCTION("INDEX(IMPORTRANGE(""1y0FWgjbB0gVlqn-q5LMJbGIsqOrzru4yowQz67dz2yc"", ""'STC'!BH3:BH139""),MATCH($D40,IMPORTRANGE(""1y0FWgjbB0gVlqn-q5LMJbGIsqOrzru4yowQz67dz2yc"", ""'STC'!D3:D139""),0))"),18.9)</f>
        <v>18.899999999999999</v>
      </c>
      <c r="AA40" s="262">
        <f ca="1">IFERROR(__xludf.DUMMYFUNCTION("INDEX(IMPORTRANGE(""1y0FWgjbB0gVlqn-q5LMJbGIsqOrzru4yowQz67dz2yc"", ""'STC'!BI3:BI139""),MATCH($D40,IMPORTRANGE(""1y0FWgjbB0gVlqn-q5LMJbGIsqOrzru4yowQz67dz2yc"", ""'STC'!D3:D139""),0))"),26.59)</f>
        <v>26.59</v>
      </c>
      <c r="AB40" s="262">
        <f ca="1">IFERROR(__xludf.DUMMYFUNCTION("INDEX(IMPORTRANGE(""1y0FWgjbB0gVlqn-q5LMJbGIsqOrzru4yowQz67dz2yc"", ""'STC'!BJ3:BJ139""),MATCH($D40,IMPORTRANGE(""1y0FWgjbB0gVlqn-q5LMJbGIsqOrzru4yowQz67dz2yc"", ""'STC'!D3:D139""),0))"),1093)</f>
        <v>1093</v>
      </c>
      <c r="AC40" s="1"/>
    </row>
    <row r="41" spans="1:29">
      <c r="A41" s="155" t="s">
        <v>119</v>
      </c>
      <c r="B41" s="155" t="s">
        <v>120</v>
      </c>
      <c r="C41" s="156" t="s">
        <v>30</v>
      </c>
      <c r="D41" s="155" t="s">
        <v>331</v>
      </c>
      <c r="E41" s="21" t="s">
        <v>38</v>
      </c>
      <c r="F41" s="22" t="s">
        <v>332</v>
      </c>
      <c r="G41" s="22" t="s">
        <v>56</v>
      </c>
      <c r="H41" s="22" t="s">
        <v>57</v>
      </c>
      <c r="I41" s="21" t="s">
        <v>58</v>
      </c>
      <c r="J41" s="21" t="s">
        <v>59</v>
      </c>
      <c r="K41" s="21" t="s">
        <v>60</v>
      </c>
      <c r="L41" s="21" t="s">
        <v>61</v>
      </c>
      <c r="M41" s="21" t="s">
        <v>62</v>
      </c>
      <c r="N41" s="21" t="s">
        <v>63</v>
      </c>
      <c r="O41" s="21" t="s">
        <v>63</v>
      </c>
      <c r="P41" s="12"/>
      <c r="Q41" s="12"/>
      <c r="R41" s="2"/>
      <c r="S41" s="2"/>
      <c r="T41" s="2"/>
      <c r="U41" s="2"/>
      <c r="V41" s="2"/>
      <c r="W41" s="2"/>
      <c r="X41" s="2"/>
      <c r="Y41" s="295" t="str">
        <f ca="1">IFERROR(__xludf.DUMMYFUNCTION("INDEX(IMPORTRANGE(""1y0FWgjbB0gVlqn-q5LMJbGIsqOrzru4yowQz67dz2yc"", ""'STC'!BG3:BG139""),MATCH($D41,IMPORTRANGE(""1y0FWgjbB0gVlqn-q5LMJbGIsqOrzru4yowQz67dz2yc"", ""'STC'!D3:D139""),0))"),"")</f>
        <v/>
      </c>
      <c r="Z41" s="262">
        <f ca="1">IFERROR(__xludf.DUMMYFUNCTION("INDEX(IMPORTRANGE(""1y0FWgjbB0gVlqn-q5LMJbGIsqOrzru4yowQz67dz2yc"", ""'STC'!BH3:BH139""),MATCH($D41,IMPORTRANGE(""1y0FWgjbB0gVlqn-q5LMJbGIsqOrzru4yowQz67dz2yc"", ""'STC'!D3:D139""),0))"),101421.56)</f>
        <v>101421.56</v>
      </c>
      <c r="AA41" s="262">
        <f ca="1">IFERROR(__xludf.DUMMYFUNCTION("INDEX(IMPORTRANGE(""1y0FWgjbB0gVlqn-q5LMJbGIsqOrzru4yowQz67dz2yc"", ""'STC'!BI3:BI139""),MATCH($D41,IMPORTRANGE(""1y0FWgjbB0gVlqn-q5LMJbGIsqOrzru4yowQz67dz2yc"", ""'STC'!D3:D139""),0))"),142230.699999999)</f>
        <v>142230.69999999899</v>
      </c>
      <c r="AB41" s="262">
        <f ca="1">IFERROR(__xludf.DUMMYFUNCTION("INDEX(IMPORTRANGE(""1y0FWgjbB0gVlqn-q5LMJbGIsqOrzru4yowQz67dz2yc"", ""'STC'!BJ3:BJ139""),MATCH($D41,IMPORTRANGE(""1y0FWgjbB0gVlqn-q5LMJbGIsqOrzru4yowQz67dz2yc"", ""'STC'!D3:D139""),0))"),35002.1)</f>
        <v>35002.1</v>
      </c>
      <c r="AC41" s="1"/>
    </row>
    <row r="42" spans="1:29">
      <c r="A42" s="155" t="s">
        <v>119</v>
      </c>
      <c r="B42" s="155" t="s">
        <v>120</v>
      </c>
      <c r="C42" s="156" t="s">
        <v>36</v>
      </c>
      <c r="D42" s="155" t="s">
        <v>333</v>
      </c>
      <c r="E42" s="21" t="s">
        <v>38</v>
      </c>
      <c r="F42" s="22" t="s">
        <v>334</v>
      </c>
      <c r="G42" s="22" t="s">
        <v>56</v>
      </c>
      <c r="H42" s="22" t="s">
        <v>57</v>
      </c>
      <c r="I42" s="21" t="s">
        <v>58</v>
      </c>
      <c r="J42" s="21" t="s">
        <v>59</v>
      </c>
      <c r="K42" s="21" t="s">
        <v>60</v>
      </c>
      <c r="L42" s="21" t="s">
        <v>61</v>
      </c>
      <c r="M42" s="21" t="s">
        <v>62</v>
      </c>
      <c r="N42" s="21" t="s">
        <v>63</v>
      </c>
      <c r="O42" s="21" t="s">
        <v>63</v>
      </c>
      <c r="P42" s="12"/>
      <c r="Q42" s="12"/>
      <c r="R42" s="2"/>
      <c r="S42" s="26">
        <v>2.0000000000000001E-4</v>
      </c>
      <c r="T42" s="26">
        <v>2.2000000000000001E-4</v>
      </c>
      <c r="U42" s="26">
        <v>2.7E-4</v>
      </c>
      <c r="V42" s="26">
        <v>3.8000000000000002E-4</v>
      </c>
      <c r="W42" s="26">
        <f>V42</f>
        <v>3.8000000000000002E-4</v>
      </c>
      <c r="X42" s="26"/>
      <c r="Y42" s="382" t="str">
        <f ca="1">IFERROR(__xludf.DUMMYFUNCTION("INDEX(IMPORTRANGE(""1y0FWgjbB0gVlqn-q5LMJbGIsqOrzru4yowQz67dz2yc"", ""'STC'!BG3:BG139""),MATCH($D42,IMPORTRANGE(""1y0FWgjbB0gVlqn-q5LMJbGIsqOrzru4yowQz67dz2yc"", ""'STC'!D3:D139""),0))"),"")</f>
        <v/>
      </c>
      <c r="Z42" s="54">
        <f ca="1">IFERROR(__xludf.DUMMYFUNCTION("INDEX(IMPORTRANGE(""1y0FWgjbB0gVlqn-q5LMJbGIsqOrzru4yowQz67dz2yc"", ""'STC'!BH3:BH139""),MATCH($D42,IMPORTRANGE(""1y0FWgjbB0gVlqn-q5LMJbGIsqOrzru4yowQz67dz2yc"", ""'STC'!D3:D139""),0))"),0.00018635091000375)</f>
        <v>1.8635091000375001E-4</v>
      </c>
      <c r="AA42" s="54">
        <f ca="1">IFERROR(__xludf.DUMMYFUNCTION("INDEX(IMPORTRANGE(""1y0FWgjbB0gVlqn-q5LMJbGIsqOrzru4yowQz67dz2yc"", ""'STC'!BI3:BI139""),MATCH($D42,IMPORTRANGE(""1y0FWgjbB0gVlqn-q5LMJbGIsqOrzru4yowQz67dz2yc"", ""'STC'!D3:D139""),0))"),0.00018694979353965)</f>
        <v>1.8694979353965001E-4</v>
      </c>
      <c r="AB42" s="54">
        <f ca="1">IFERROR(__xludf.DUMMYFUNCTION("INDEX(IMPORTRANGE(""1y0FWgjbB0gVlqn-q5LMJbGIsqOrzru4yowQz67dz2yc"", ""'STC'!BJ3:BJ139""),MATCH($D42,IMPORTRANGE(""1y0FWgjbB0gVlqn-q5LMJbGIsqOrzru4yowQz67dz2yc"", ""'STC'!D3:D139""),0))"),0.0312266978267018)</f>
        <v>3.1226697826701798E-2</v>
      </c>
      <c r="AC42" s="1"/>
    </row>
    <row r="43" spans="1:29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2" t="s">
        <v>56</v>
      </c>
      <c r="H43" s="22" t="s">
        <v>57</v>
      </c>
      <c r="I43" s="22" t="s">
        <v>58</v>
      </c>
      <c r="J43" s="22" t="s">
        <v>59</v>
      </c>
      <c r="K43" s="22" t="s">
        <v>335</v>
      </c>
      <c r="L43" s="22" t="s">
        <v>336</v>
      </c>
      <c r="M43" s="22" t="s">
        <v>337</v>
      </c>
      <c r="N43" s="262" t="s">
        <v>132</v>
      </c>
      <c r="O43" s="262" t="s">
        <v>132</v>
      </c>
      <c r="P43" s="12">
        <v>0</v>
      </c>
      <c r="Q43" s="12">
        <v>0</v>
      </c>
      <c r="R43" s="2">
        <v>6</v>
      </c>
      <c r="S43" s="2">
        <v>11</v>
      </c>
      <c r="T43" s="2">
        <v>16</v>
      </c>
      <c r="U43" s="2">
        <v>21</v>
      </c>
      <c r="V43" s="2">
        <v>25</v>
      </c>
      <c r="W43" s="2">
        <v>25</v>
      </c>
      <c r="X43" s="2">
        <v>0</v>
      </c>
      <c r="Y43" s="262">
        <f ca="1">IFERROR(__xludf.DUMMYFUNCTION("INDEX(IMPORTRANGE(""1y0FWgjbB0gVlqn-q5LMJbGIsqOrzru4yowQz67dz2yc"", ""'STC'!BG3:BG139""),MATCH($D43,IMPORTRANGE(""1y0FWgjbB0gVlqn-q5LMJbGIsqOrzru4yowQz67dz2yc"", ""'STC'!D3:D139""),0))"),6)</f>
        <v>6</v>
      </c>
      <c r="Z43" s="262">
        <f ca="1">IFERROR(__xludf.DUMMYFUNCTION("INDEX(IMPORTRANGE(""1y0FWgjbB0gVlqn-q5LMJbGIsqOrzru4yowQz67dz2yc"", ""'STC'!BH3:BH139""),MATCH($D43,IMPORTRANGE(""1y0FWgjbB0gVlqn-q5LMJbGIsqOrzru4yowQz67dz2yc"", ""'STC'!D3:D139""),0))"),7)</f>
        <v>7</v>
      </c>
      <c r="AA43" s="262">
        <f ca="1">IFERROR(__xludf.DUMMYFUNCTION("INDEX(IMPORTRANGE(""1y0FWgjbB0gVlqn-q5LMJbGIsqOrzru4yowQz67dz2yc"", ""'STC'!BI3:BI139""),MATCH($D43,IMPORTRANGE(""1y0FWgjbB0gVlqn-q5LMJbGIsqOrzru4yowQz67dz2yc"", ""'STC'!D3:D139""),0))"),7)</f>
        <v>7</v>
      </c>
      <c r="AB43" s="262">
        <f ca="1">IFERROR(__xludf.DUMMYFUNCTION("INDEX(IMPORTRANGE(""1y0FWgjbB0gVlqn-q5LMJbGIsqOrzru4yowQz67dz2yc"", ""'STC'!BJ3:BJ139""),MATCH($D43,IMPORTRANGE(""1y0FWgjbB0gVlqn-q5LMJbGIsqOrzru4yowQz67dz2yc"", ""'STC'!D3:D139""),0))"),10)</f>
        <v>10</v>
      </c>
      <c r="AC43" s="1"/>
    </row>
    <row r="44" spans="1:29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2" t="s">
        <v>56</v>
      </c>
      <c r="H44" s="22" t="s">
        <v>57</v>
      </c>
      <c r="I44" s="22" t="s">
        <v>58</v>
      </c>
      <c r="J44" s="22" t="s">
        <v>59</v>
      </c>
      <c r="K44" s="22" t="s">
        <v>335</v>
      </c>
      <c r="L44" s="22" t="s">
        <v>336</v>
      </c>
      <c r="M44" s="22" t="s">
        <v>337</v>
      </c>
      <c r="N44" s="262" t="s">
        <v>132</v>
      </c>
      <c r="O44" s="262" t="s">
        <v>132</v>
      </c>
      <c r="P44" s="12">
        <v>2219</v>
      </c>
      <c r="Q44" s="12">
        <v>3265</v>
      </c>
      <c r="R44" s="2">
        <v>180</v>
      </c>
      <c r="S44" s="2">
        <f>220+R44</f>
        <v>400</v>
      </c>
      <c r="T44" s="2">
        <f>250+S44</f>
        <v>650</v>
      </c>
      <c r="U44" s="2">
        <f>T44+ 280</f>
        <v>930</v>
      </c>
      <c r="V44" s="2">
        <f>450+U44</f>
        <v>1380</v>
      </c>
      <c r="W44" s="2">
        <v>1380</v>
      </c>
      <c r="X44" s="12">
        <v>153</v>
      </c>
      <c r="Y44" s="262">
        <f ca="1">IFERROR(__xludf.DUMMYFUNCTION("INDEX(IMPORTRANGE(""1y0FWgjbB0gVlqn-q5LMJbGIsqOrzru4yowQz67dz2yc"", ""'STC'!BG3:BG139""),MATCH($D44,IMPORTRANGE(""1y0FWgjbB0gVlqn-q5LMJbGIsqOrzru4yowQz67dz2yc"", ""'STC'!D3:D139""),0))"),309)</f>
        <v>309</v>
      </c>
      <c r="Z44" s="262">
        <f ca="1">IFERROR(__xludf.DUMMYFUNCTION("INDEX(IMPORTRANGE(""1y0FWgjbB0gVlqn-q5LMJbGIsqOrzru4yowQz67dz2yc"", ""'STC'!BH3:BH139""),MATCH($D44,IMPORTRANGE(""1y0FWgjbB0gVlqn-q5LMJbGIsqOrzru4yowQz67dz2yc"", ""'STC'!D3:D139""),0))"),542)</f>
        <v>542</v>
      </c>
      <c r="AA44" s="262">
        <f ca="1">IFERROR(__xludf.DUMMYFUNCTION("INDEX(IMPORTRANGE(""1y0FWgjbB0gVlqn-q5LMJbGIsqOrzru4yowQz67dz2yc"", ""'STC'!BI3:BI139""),MATCH($D44,IMPORTRANGE(""1y0FWgjbB0gVlqn-q5LMJbGIsqOrzru4yowQz67dz2yc"", ""'STC'!D3:D139""),0))"),961)</f>
        <v>961</v>
      </c>
      <c r="AB44" s="262">
        <f ca="1">IFERROR(__xludf.DUMMYFUNCTION("INDEX(IMPORTRANGE(""1y0FWgjbB0gVlqn-q5LMJbGIsqOrzru4yowQz67dz2yc"", ""'STC'!BJ3:BJ139""),MATCH($D44,IMPORTRANGE(""1y0FWgjbB0gVlqn-q5LMJbGIsqOrzru4yowQz67dz2yc"", ""'STC'!D3:D139""),0))"),1319)</f>
        <v>1319</v>
      </c>
      <c r="AC44" s="1"/>
    </row>
    <row r="45" spans="1:29">
      <c r="A45" s="155" t="s">
        <v>119</v>
      </c>
      <c r="B45" s="155" t="s">
        <v>136</v>
      </c>
      <c r="C45" s="156" t="s">
        <v>30</v>
      </c>
      <c r="D45" s="155" t="s">
        <v>137</v>
      </c>
      <c r="E45" s="21" t="s">
        <v>38</v>
      </c>
      <c r="F45" s="22" t="s">
        <v>138</v>
      </c>
      <c r="G45" s="22" t="s">
        <v>56</v>
      </c>
      <c r="H45" s="22" t="s">
        <v>57</v>
      </c>
      <c r="I45" s="22" t="s">
        <v>58</v>
      </c>
      <c r="J45" s="22" t="s">
        <v>59</v>
      </c>
      <c r="K45" s="22" t="s">
        <v>335</v>
      </c>
      <c r="L45" s="22" t="s">
        <v>336</v>
      </c>
      <c r="M45" s="22" t="s">
        <v>337</v>
      </c>
      <c r="N45" s="262" t="s">
        <v>132</v>
      </c>
      <c r="O45" s="262" t="s">
        <v>132</v>
      </c>
      <c r="P45" s="12">
        <v>0</v>
      </c>
      <c r="Q45" s="2">
        <v>1</v>
      </c>
      <c r="R45" s="2"/>
      <c r="S45" s="2"/>
      <c r="T45" s="2"/>
      <c r="U45" s="2"/>
      <c r="V45" s="2"/>
      <c r="W45" s="2"/>
      <c r="X45" s="2">
        <v>5</v>
      </c>
      <c r="Y45" s="262">
        <f ca="1">IFERROR(__xludf.DUMMYFUNCTION("INDEX(IMPORTRANGE(""1y0FWgjbB0gVlqn-q5LMJbGIsqOrzru4yowQz67dz2yc"", ""'STC'!BG3:BG139""),MATCH($D45,IMPORTRANGE(""1y0FWgjbB0gVlqn-q5LMJbGIsqOrzru4yowQz67dz2yc"", ""'STC'!D3:D139""),0))"),7)</f>
        <v>7</v>
      </c>
      <c r="Z45" s="262">
        <f ca="1">IFERROR(__xludf.DUMMYFUNCTION("INDEX(IMPORTRANGE(""1y0FWgjbB0gVlqn-q5LMJbGIsqOrzru4yowQz67dz2yc"", ""'STC'!BH3:BH139""),MATCH($D45,IMPORTRANGE(""1y0FWgjbB0gVlqn-q5LMJbGIsqOrzru4yowQz67dz2yc"", ""'STC'!D3:D139""),0))"),8)</f>
        <v>8</v>
      </c>
      <c r="AA45" s="262">
        <f ca="1">IFERROR(__xludf.DUMMYFUNCTION("INDEX(IMPORTRANGE(""1y0FWgjbB0gVlqn-q5LMJbGIsqOrzru4yowQz67dz2yc"", ""'STC'!BI3:BI139""),MATCH($D45,IMPORTRANGE(""1y0FWgjbB0gVlqn-q5LMJbGIsqOrzru4yowQz67dz2yc"", ""'STC'!D3:D139""),0))"),12)</f>
        <v>12</v>
      </c>
      <c r="AB45" s="262">
        <f ca="1">IFERROR(__xludf.DUMMYFUNCTION("INDEX(IMPORTRANGE(""1y0FWgjbB0gVlqn-q5LMJbGIsqOrzru4yowQz67dz2yc"", ""'STC'!BJ3:BJ139""),MATCH($D45,IMPORTRANGE(""1y0FWgjbB0gVlqn-q5LMJbGIsqOrzru4yowQz67dz2yc"", ""'STC'!D3:D139""),0))"),12)</f>
        <v>12</v>
      </c>
      <c r="AC45" s="1"/>
    </row>
    <row r="46" spans="1:29">
      <c r="A46" s="155" t="s">
        <v>119</v>
      </c>
      <c r="B46" s="155" t="s">
        <v>136</v>
      </c>
      <c r="C46" s="156" t="s">
        <v>30</v>
      </c>
      <c r="D46" s="155" t="s">
        <v>139</v>
      </c>
      <c r="E46" s="21" t="s">
        <v>38</v>
      </c>
      <c r="F46" s="22" t="s">
        <v>140</v>
      </c>
      <c r="G46" s="22" t="s">
        <v>56</v>
      </c>
      <c r="H46" s="22" t="s">
        <v>57</v>
      </c>
      <c r="I46" s="22" t="s">
        <v>58</v>
      </c>
      <c r="J46" s="22" t="s">
        <v>59</v>
      </c>
      <c r="K46" s="22" t="s">
        <v>335</v>
      </c>
      <c r="L46" s="22" t="s">
        <v>336</v>
      </c>
      <c r="M46" s="22" t="s">
        <v>337</v>
      </c>
      <c r="N46" s="262" t="s">
        <v>132</v>
      </c>
      <c r="O46" s="262" t="s">
        <v>132</v>
      </c>
      <c r="P46" s="12"/>
      <c r="Q46" s="2"/>
      <c r="R46" s="2"/>
      <c r="S46" s="2"/>
      <c r="T46" s="2"/>
      <c r="U46" s="2"/>
      <c r="V46" s="2"/>
      <c r="W46" s="2"/>
      <c r="X46" s="2"/>
      <c r="Y46" s="262">
        <f ca="1">IFERROR(__xludf.DUMMYFUNCTION("INDEX(IMPORTRANGE(""1y0FWgjbB0gVlqn-q5LMJbGIsqOrzru4yowQz67dz2yc"", ""'STC'!BG3:BG139""),MATCH($D46,IMPORTRANGE(""1y0FWgjbB0gVlqn-q5LMJbGIsqOrzru4yowQz67dz2yc"", ""'STC'!D3:D139""),0))"),0)</f>
        <v>0</v>
      </c>
      <c r="Z46" s="262">
        <f ca="1">IFERROR(__xludf.DUMMYFUNCTION("INDEX(IMPORTRANGE(""1y0FWgjbB0gVlqn-q5LMJbGIsqOrzru4yowQz67dz2yc"", ""'STC'!BH3:BH139""),MATCH($D46,IMPORTRANGE(""1y0FWgjbB0gVlqn-q5LMJbGIsqOrzru4yowQz67dz2yc"", ""'STC'!D3:D139""),0))"),1)</f>
        <v>1</v>
      </c>
      <c r="AA46" s="262">
        <f ca="1">IFERROR(__xludf.DUMMYFUNCTION("INDEX(IMPORTRANGE(""1y0FWgjbB0gVlqn-q5LMJbGIsqOrzru4yowQz67dz2yc"", ""'STC'!BI3:BI139""),MATCH($D46,IMPORTRANGE(""1y0FWgjbB0gVlqn-q5LMJbGIsqOrzru4yowQz67dz2yc"", ""'STC'!D3:D139""),0))"),1)</f>
        <v>1</v>
      </c>
      <c r="AB46" s="262">
        <f ca="1">IFERROR(__xludf.DUMMYFUNCTION("INDEX(IMPORTRANGE(""1y0FWgjbB0gVlqn-q5LMJbGIsqOrzru4yowQz67dz2yc"", ""'STC'!BJ3:BJ139""),MATCH($D46,IMPORTRANGE(""1y0FWgjbB0gVlqn-q5LMJbGIsqOrzru4yowQz67dz2yc"", ""'STC'!D3:D139""),0))"),1)</f>
        <v>1</v>
      </c>
      <c r="AC46" s="1"/>
    </row>
    <row r="47" spans="1:29">
      <c r="A47" s="155" t="s">
        <v>119</v>
      </c>
      <c r="B47" s="155" t="s">
        <v>136</v>
      </c>
      <c r="C47" s="156" t="s">
        <v>30</v>
      </c>
      <c r="D47" s="155" t="s">
        <v>141</v>
      </c>
      <c r="E47" s="21" t="s">
        <v>38</v>
      </c>
      <c r="F47" s="22" t="s">
        <v>142</v>
      </c>
      <c r="G47" s="22" t="s">
        <v>56</v>
      </c>
      <c r="H47" s="22" t="s">
        <v>57</v>
      </c>
      <c r="I47" s="22" t="s">
        <v>58</v>
      </c>
      <c r="J47" s="22" t="s">
        <v>59</v>
      </c>
      <c r="K47" s="22" t="s">
        <v>335</v>
      </c>
      <c r="L47" s="22" t="s">
        <v>336</v>
      </c>
      <c r="M47" s="22" t="s">
        <v>337</v>
      </c>
      <c r="N47" s="262" t="s">
        <v>132</v>
      </c>
      <c r="O47" s="262" t="s">
        <v>132</v>
      </c>
      <c r="P47" s="12">
        <v>0</v>
      </c>
      <c r="Q47" s="2">
        <v>14</v>
      </c>
      <c r="R47" s="2"/>
      <c r="S47" s="2"/>
      <c r="T47" s="2"/>
      <c r="U47" s="2"/>
      <c r="V47" s="2"/>
      <c r="W47" s="2"/>
      <c r="X47" s="2">
        <v>3</v>
      </c>
      <c r="Y47" s="262">
        <f ca="1">IFERROR(__xludf.DUMMYFUNCTION("INDEX(IMPORTRANGE(""1y0FWgjbB0gVlqn-q5LMJbGIsqOrzru4yowQz67dz2yc"", ""'STC'!BG3:BG139""),MATCH($D47,IMPORTRANGE(""1y0FWgjbB0gVlqn-q5LMJbGIsqOrzru4yowQz67dz2yc"", ""'STC'!D3:D139""),0))"),9)</f>
        <v>9</v>
      </c>
      <c r="Z47" s="262">
        <f ca="1">IFERROR(__xludf.DUMMYFUNCTION("INDEX(IMPORTRANGE(""1y0FWgjbB0gVlqn-q5LMJbGIsqOrzru4yowQz67dz2yc"", ""'STC'!BH3:BH139""),MATCH($D47,IMPORTRANGE(""1y0FWgjbB0gVlqn-q5LMJbGIsqOrzru4yowQz67dz2yc"", ""'STC'!D3:D139""),0))"),11)</f>
        <v>11</v>
      </c>
      <c r="AA47" s="262">
        <f ca="1">IFERROR(__xludf.DUMMYFUNCTION("INDEX(IMPORTRANGE(""1y0FWgjbB0gVlqn-q5LMJbGIsqOrzru4yowQz67dz2yc"", ""'STC'!BI3:BI139""),MATCH($D47,IMPORTRANGE(""1y0FWgjbB0gVlqn-q5LMJbGIsqOrzru4yowQz67dz2yc"", ""'STC'!D3:D139""),0))"),39)</f>
        <v>39</v>
      </c>
      <c r="AB47" s="262">
        <f ca="1">IFERROR(__xludf.DUMMYFUNCTION("INDEX(IMPORTRANGE(""1y0FWgjbB0gVlqn-q5LMJbGIsqOrzru4yowQz67dz2yc"", ""'STC'!BJ3:BJ139""),MATCH($D47,IMPORTRANGE(""1y0FWgjbB0gVlqn-q5LMJbGIsqOrzru4yowQz67dz2yc"", ""'STC'!D3:D139""),0))"),58)</f>
        <v>58</v>
      </c>
      <c r="AC47" s="1"/>
    </row>
    <row r="48" spans="1:29">
      <c r="A48" s="155" t="s">
        <v>119</v>
      </c>
      <c r="B48" s="155" t="s">
        <v>136</v>
      </c>
      <c r="C48" s="156" t="s">
        <v>30</v>
      </c>
      <c r="D48" s="155" t="s">
        <v>143</v>
      </c>
      <c r="E48" s="21" t="s">
        <v>38</v>
      </c>
      <c r="F48" s="22" t="s">
        <v>144</v>
      </c>
      <c r="G48" s="22" t="s">
        <v>56</v>
      </c>
      <c r="H48" s="22" t="s">
        <v>57</v>
      </c>
      <c r="I48" s="22" t="s">
        <v>58</v>
      </c>
      <c r="J48" s="22" t="s">
        <v>59</v>
      </c>
      <c r="K48" s="22" t="s">
        <v>335</v>
      </c>
      <c r="L48" s="22" t="s">
        <v>336</v>
      </c>
      <c r="M48" s="22" t="s">
        <v>337</v>
      </c>
      <c r="N48" s="262" t="s">
        <v>132</v>
      </c>
      <c r="O48" s="262" t="s">
        <v>132</v>
      </c>
      <c r="P48" s="12"/>
      <c r="Q48" s="12"/>
      <c r="R48" s="2"/>
      <c r="S48" s="2"/>
      <c r="T48" s="2"/>
      <c r="U48" s="2"/>
      <c r="V48" s="2"/>
      <c r="W48" s="2"/>
      <c r="X48" s="2"/>
      <c r="Y48" s="262">
        <f ca="1">IFERROR(__xludf.DUMMYFUNCTION("INDEX(IMPORTRANGE(""1y0FWgjbB0gVlqn-q5LMJbGIsqOrzru4yowQz67dz2yc"", ""'STC'!BG3:BG139""),MATCH($D48,IMPORTRANGE(""1y0FWgjbB0gVlqn-q5LMJbGIsqOrzru4yowQz67dz2yc"", ""'STC'!D3:D139""),0))"),1)</f>
        <v>1</v>
      </c>
      <c r="Z48" s="262">
        <f ca="1">IFERROR(__xludf.DUMMYFUNCTION("INDEX(IMPORTRANGE(""1y0FWgjbB0gVlqn-q5LMJbGIsqOrzru4yowQz67dz2yc"", ""'STC'!BH3:BH139""),MATCH($D48,IMPORTRANGE(""1y0FWgjbB0gVlqn-q5LMJbGIsqOrzru4yowQz67dz2yc"", ""'STC'!D3:D139""),0))"),5)</f>
        <v>5</v>
      </c>
      <c r="AA48" s="262">
        <f ca="1">IFERROR(__xludf.DUMMYFUNCTION("INDEX(IMPORTRANGE(""1y0FWgjbB0gVlqn-q5LMJbGIsqOrzru4yowQz67dz2yc"", ""'STC'!BI3:BI139""),MATCH($D48,IMPORTRANGE(""1y0FWgjbB0gVlqn-q5LMJbGIsqOrzru4yowQz67dz2yc"", ""'STC'!D3:D139""),0))"),5)</f>
        <v>5</v>
      </c>
      <c r="AB48" s="262">
        <f ca="1">IFERROR(__xludf.DUMMYFUNCTION("INDEX(IMPORTRANGE(""1y0FWgjbB0gVlqn-q5LMJbGIsqOrzru4yowQz67dz2yc"", ""'STC'!BJ3:BJ139""),MATCH($D48,IMPORTRANGE(""1y0FWgjbB0gVlqn-q5LMJbGIsqOrzru4yowQz67dz2yc"", ""'STC'!D3:D139""),0))"),8)</f>
        <v>8</v>
      </c>
      <c r="AC48" s="1"/>
    </row>
    <row r="49" spans="1:29">
      <c r="A49" s="155" t="s">
        <v>119</v>
      </c>
      <c r="B49" s="155" t="s">
        <v>136</v>
      </c>
      <c r="C49" s="156" t="s">
        <v>36</v>
      </c>
      <c r="D49" s="155" t="s">
        <v>145</v>
      </c>
      <c r="E49" s="21" t="s">
        <v>38</v>
      </c>
      <c r="F49" s="22" t="s">
        <v>146</v>
      </c>
      <c r="G49" s="22" t="s">
        <v>56</v>
      </c>
      <c r="H49" s="22" t="s">
        <v>57</v>
      </c>
      <c r="I49" s="22" t="s">
        <v>58</v>
      </c>
      <c r="J49" s="22" t="s">
        <v>59</v>
      </c>
      <c r="K49" s="22" t="s">
        <v>335</v>
      </c>
      <c r="L49" s="22" t="s">
        <v>336</v>
      </c>
      <c r="M49" s="22" t="s">
        <v>337</v>
      </c>
      <c r="N49" s="262" t="s">
        <v>132</v>
      </c>
      <c r="O49" s="262" t="s">
        <v>132</v>
      </c>
      <c r="P49" s="12">
        <v>0</v>
      </c>
      <c r="Q49" s="12">
        <f>SUM(Q45:Q47)</f>
        <v>15</v>
      </c>
      <c r="R49" s="2">
        <v>7</v>
      </c>
      <c r="S49" s="2">
        <f>3+R49</f>
        <v>10</v>
      </c>
      <c r="T49" s="2">
        <f>4+S49</f>
        <v>14</v>
      </c>
      <c r="U49" s="2">
        <f>3+T49</f>
        <v>17</v>
      </c>
      <c r="V49" s="2">
        <f>U49+4</f>
        <v>21</v>
      </c>
      <c r="W49" s="2">
        <v>21</v>
      </c>
      <c r="X49" s="2">
        <f>SUM(X45:X47)</f>
        <v>8</v>
      </c>
      <c r="Y49" s="262">
        <f ca="1">IFERROR(__xludf.DUMMYFUNCTION("INDEX(IMPORTRANGE(""1y0FWgjbB0gVlqn-q5LMJbGIsqOrzru4yowQz67dz2yc"", ""'STC'!BG3:BG139""),MATCH($D49,IMPORTRANGE(""1y0FWgjbB0gVlqn-q5LMJbGIsqOrzru4yowQz67dz2yc"", ""'STC'!D3:D139""),0))"),17)</f>
        <v>17</v>
      </c>
      <c r="Z49" s="262">
        <f ca="1">IFERROR(__xludf.DUMMYFUNCTION("INDEX(IMPORTRANGE(""1y0FWgjbB0gVlqn-q5LMJbGIsqOrzru4yowQz67dz2yc"", ""'STC'!BH3:BH139""),MATCH($D49,IMPORTRANGE(""1y0FWgjbB0gVlqn-q5LMJbGIsqOrzru4yowQz67dz2yc"", ""'STC'!D3:D139""),0))"),25)</f>
        <v>25</v>
      </c>
      <c r="AA49" s="262">
        <f ca="1">IFERROR(__xludf.DUMMYFUNCTION("INDEX(IMPORTRANGE(""1y0FWgjbB0gVlqn-q5LMJbGIsqOrzru4yowQz67dz2yc"", ""'STC'!BI3:BI139""),MATCH($D49,IMPORTRANGE(""1y0FWgjbB0gVlqn-q5LMJbGIsqOrzru4yowQz67dz2yc"", ""'STC'!D3:D139""),0))"),57)</f>
        <v>57</v>
      </c>
      <c r="AB49" s="262">
        <f ca="1">IFERROR(__xludf.DUMMYFUNCTION("INDEX(IMPORTRANGE(""1y0FWgjbB0gVlqn-q5LMJbGIsqOrzru4yowQz67dz2yc"", ""'STC'!BJ3:BJ139""),MATCH($D49,IMPORTRANGE(""1y0FWgjbB0gVlqn-q5LMJbGIsqOrzru4yowQz67dz2yc"", ""'STC'!D3:D139""),0))"),79)</f>
        <v>79</v>
      </c>
      <c r="AC49" s="1"/>
    </row>
    <row r="50" spans="1:29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0">
        <v>44469</v>
      </c>
      <c r="H50" s="10">
        <v>44469</v>
      </c>
      <c r="I50" s="11">
        <v>44651</v>
      </c>
      <c r="J50" s="11">
        <v>44834</v>
      </c>
      <c r="K50" s="11">
        <v>45016</v>
      </c>
      <c r="L50" s="11">
        <v>45199</v>
      </c>
      <c r="M50" s="11">
        <v>45382</v>
      </c>
      <c r="N50" s="11">
        <v>45565</v>
      </c>
      <c r="O50" s="11">
        <v>45565</v>
      </c>
      <c r="P50" s="30" t="s">
        <v>150</v>
      </c>
      <c r="Q50" s="30" t="s">
        <v>150</v>
      </c>
      <c r="R50" s="2" t="s">
        <v>151</v>
      </c>
      <c r="S50" s="2" t="s">
        <v>151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150</v>
      </c>
      <c r="Y50" s="265" t="str">
        <f ca="1">IFERROR(__xludf.DUMMYFUNCTION("INDEX(IMPORTRANGE(""1y0FWgjbB0gVlqn-q5LMJbGIsqOrzru4yowQz67dz2yc"", ""'STC'!BG3:BG139""),MATCH($D50,IMPORTRANGE(""1y0FWgjbB0gVlqn-q5LMJbGIsqOrzru4yowQz67dz2yc"", ""'STC'!D3:D139""),0))"),"No")</f>
        <v>No</v>
      </c>
      <c r="Z50" s="265" t="str">
        <f ca="1">IFERROR(__xludf.DUMMYFUNCTION("INDEX(IMPORTRANGE(""1y0FWgjbB0gVlqn-q5LMJbGIsqOrzru4yowQz67dz2yc"", ""'STC'!BH3:BH139""),MATCH($D50,IMPORTRANGE(""1y0FWgjbB0gVlqn-q5LMJbGIsqOrzru4yowQz67dz2yc"", ""'STC'!D3:D139""),0))"),"No")</f>
        <v>No</v>
      </c>
      <c r="AA50" s="265" t="str">
        <f ca="1">IFERROR(__xludf.DUMMYFUNCTION("INDEX(IMPORTRANGE(""1y0FWgjbB0gVlqn-q5LMJbGIsqOrzru4yowQz67dz2yc"", ""'STC'!BI3:BI139""),MATCH($D50,IMPORTRANGE(""1y0FWgjbB0gVlqn-q5LMJbGIsqOrzru4yowQz67dz2yc"", ""'STC'!D3:D139""),0))"),"No")</f>
        <v>No</v>
      </c>
      <c r="AB50" s="265" t="str">
        <f ca="1">IFERROR(__xludf.DUMMYFUNCTION("INDEX(IMPORTRANGE(""1y0FWgjbB0gVlqn-q5LMJbGIsqOrzru4yowQz67dz2yc"", ""'STC'!BJ3:BJ139""),MATCH($D50,IMPORTRANGE(""1y0FWgjbB0gVlqn-q5LMJbGIsqOrzru4yowQz67dz2yc"", ""'STC'!D3:D139""),0))"),"No")</f>
        <v>No</v>
      </c>
      <c r="AC50" s="1"/>
    </row>
    <row r="51" spans="1:29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0">
        <v>44469</v>
      </c>
      <c r="H51" s="10">
        <v>44469</v>
      </c>
      <c r="I51" s="11">
        <v>44651</v>
      </c>
      <c r="J51" s="11">
        <v>44834</v>
      </c>
      <c r="K51" s="11">
        <v>45016</v>
      </c>
      <c r="L51" s="11">
        <v>45199</v>
      </c>
      <c r="M51" s="11">
        <v>45382</v>
      </c>
      <c r="N51" s="11">
        <v>45565</v>
      </c>
      <c r="O51" s="11">
        <v>45565</v>
      </c>
      <c r="P51" s="30" t="s">
        <v>150</v>
      </c>
      <c r="Q51" s="30" t="s">
        <v>150</v>
      </c>
      <c r="R51" s="2" t="s">
        <v>151</v>
      </c>
      <c r="S51" s="2" t="s">
        <v>151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150</v>
      </c>
      <c r="Y51" s="265" t="str">
        <f ca="1">IFERROR(__xludf.DUMMYFUNCTION("INDEX(IMPORTRANGE(""1y0FWgjbB0gVlqn-q5LMJbGIsqOrzru4yowQz67dz2yc"", ""'STC'!BG3:BG139""),MATCH($D51,IMPORTRANGE(""1y0FWgjbB0gVlqn-q5LMJbGIsqOrzru4yowQz67dz2yc"", ""'STC'!D3:D139""),0))"),"Sí")</f>
        <v>Sí</v>
      </c>
      <c r="Z51" s="265" t="str">
        <f ca="1">IFERROR(__xludf.DUMMYFUNCTION("INDEX(IMPORTRANGE(""1y0FWgjbB0gVlqn-q5LMJbGIsqOrzru4yowQz67dz2yc"", ""'STC'!BH3:BH139""),MATCH($D51,IMPORTRANGE(""1y0FWgjbB0gVlqn-q5LMJbGIsqOrzru4yowQz67dz2yc"", ""'STC'!D3:D139""),0))"),"Sí")</f>
        <v>Sí</v>
      </c>
      <c r="AA51" s="265" t="str">
        <f ca="1">IFERROR(__xludf.DUMMYFUNCTION("INDEX(IMPORTRANGE(""1y0FWgjbB0gVlqn-q5LMJbGIsqOrzru4yowQz67dz2yc"", ""'STC'!BI3:BI139""),MATCH($D51,IMPORTRANGE(""1y0FWgjbB0gVlqn-q5LMJbGIsqOrzru4yowQz67dz2yc"", ""'STC'!D3:D139""),0))"),"Sí")</f>
        <v>Sí</v>
      </c>
      <c r="AB51" s="265" t="str">
        <f ca="1">IFERROR(__xludf.DUMMYFUNCTION("INDEX(IMPORTRANGE(""1y0FWgjbB0gVlqn-q5LMJbGIsqOrzru4yowQz67dz2yc"", ""'STC'!BJ3:BJ139""),MATCH($D51,IMPORTRANGE(""1y0FWgjbB0gVlqn-q5LMJbGIsqOrzru4yowQz67dz2yc"", ""'STC'!D3:D139""),0))"),"Sí")</f>
        <v>Sí</v>
      </c>
      <c r="AC51" s="1"/>
    </row>
    <row r="52" spans="1:29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0">
        <v>44469</v>
      </c>
      <c r="H52" s="10">
        <v>44469</v>
      </c>
      <c r="I52" s="11">
        <v>44651</v>
      </c>
      <c r="J52" s="11">
        <v>44834</v>
      </c>
      <c r="K52" s="11">
        <v>45016</v>
      </c>
      <c r="L52" s="11">
        <v>45199</v>
      </c>
      <c r="M52" s="11">
        <v>45382</v>
      </c>
      <c r="N52" s="11">
        <v>45565</v>
      </c>
      <c r="O52" s="11">
        <v>45565</v>
      </c>
      <c r="P52" s="30" t="s">
        <v>153</v>
      </c>
      <c r="Q52" s="30" t="s">
        <v>153</v>
      </c>
      <c r="R52" s="2" t="s">
        <v>155</v>
      </c>
      <c r="S52" s="2" t="s">
        <v>155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153</v>
      </c>
      <c r="Y52" s="265" t="str">
        <f ca="1">IFERROR(__xludf.DUMMYFUNCTION("INDEX(IMPORTRANGE(""1y0FWgjbB0gVlqn-q5LMJbGIsqOrzru4yowQz67dz2yc"", ""'STC'!BG3:BG139""),MATCH($D52,IMPORTRANGE(""1y0FWgjbB0gVlqn-q5LMJbGIsqOrzru4yowQz67dz2yc"", ""'STC'!D3:D139""),0))"),"Sí")</f>
        <v>Sí</v>
      </c>
      <c r="Z52" s="265" t="str">
        <f ca="1">IFERROR(__xludf.DUMMYFUNCTION("INDEX(IMPORTRANGE(""1y0FWgjbB0gVlqn-q5LMJbGIsqOrzru4yowQz67dz2yc"", ""'STC'!BH3:BH139""),MATCH($D52,IMPORTRANGE(""1y0FWgjbB0gVlqn-q5LMJbGIsqOrzru4yowQz67dz2yc"", ""'STC'!D3:D139""),0))"),"Sí")</f>
        <v>Sí</v>
      </c>
      <c r="AA52" s="265" t="str">
        <f ca="1">IFERROR(__xludf.DUMMYFUNCTION("INDEX(IMPORTRANGE(""1y0FWgjbB0gVlqn-q5LMJbGIsqOrzru4yowQz67dz2yc"", ""'STC'!BI3:BI139""),MATCH($D52,IMPORTRANGE(""1y0FWgjbB0gVlqn-q5LMJbGIsqOrzru4yowQz67dz2yc"", ""'STC'!D3:D139""),0))"),"Sí")</f>
        <v>Sí</v>
      </c>
      <c r="AB52" s="265" t="str">
        <f ca="1">IFERROR(__xludf.DUMMYFUNCTION("INDEX(IMPORTRANGE(""1y0FWgjbB0gVlqn-q5LMJbGIsqOrzru4yowQz67dz2yc"", ""'STC'!BJ3:BJ139""),MATCH($D52,IMPORTRANGE(""1y0FWgjbB0gVlqn-q5LMJbGIsqOrzru4yowQz67dz2yc"", ""'STC'!D3:D139""),0))"),"Sí")</f>
        <v>Sí</v>
      </c>
      <c r="AC52" s="1"/>
    </row>
    <row r="53" spans="1:29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0">
        <v>44469</v>
      </c>
      <c r="H53" s="10">
        <v>44469</v>
      </c>
      <c r="I53" s="11">
        <v>44651</v>
      </c>
      <c r="J53" s="11">
        <v>44834</v>
      </c>
      <c r="K53" s="11">
        <v>45016</v>
      </c>
      <c r="L53" s="11">
        <v>45199</v>
      </c>
      <c r="M53" s="11">
        <v>45382</v>
      </c>
      <c r="N53" s="11">
        <v>45565</v>
      </c>
      <c r="O53" s="11">
        <v>45565</v>
      </c>
      <c r="P53" s="30">
        <f>COUNTIF(P50:P52,"Sí")*(1/3)</f>
        <v>0.33333333333333331</v>
      </c>
      <c r="Q53" s="30">
        <f>COUNTIF(Q50:Q52,"Sí")*0.33</f>
        <v>0.33</v>
      </c>
      <c r="R53" s="2" t="s">
        <v>157</v>
      </c>
      <c r="S53" s="2" t="s">
        <v>157</v>
      </c>
      <c r="T53" s="2" t="s">
        <v>157</v>
      </c>
      <c r="U53" s="2" t="s">
        <v>157</v>
      </c>
      <c r="V53" s="2" t="s">
        <v>157</v>
      </c>
      <c r="W53" s="2" t="s">
        <v>157</v>
      </c>
      <c r="X53" s="30">
        <f>COUNTIF(X50:X52,"Sí")*0.33</f>
        <v>0.33</v>
      </c>
      <c r="Y53" s="269">
        <f ca="1">IFERROR(__xludf.DUMMYFUNCTION("INDEX(IMPORTRANGE(""1y0FWgjbB0gVlqn-q5LMJbGIsqOrzru4yowQz67dz2yc"", ""'STC'!BG3:BG139""),MATCH($D53,IMPORTRANGE(""1y0FWgjbB0gVlqn-q5LMJbGIsqOrzru4yowQz67dz2yc"", ""'STC'!D3:D139""),0))"),0.666666666666666)</f>
        <v>0.66666666666666596</v>
      </c>
      <c r="Z53" s="269">
        <f ca="1">IFERROR(__xludf.DUMMYFUNCTION("INDEX(IMPORTRANGE(""1y0FWgjbB0gVlqn-q5LMJbGIsqOrzru4yowQz67dz2yc"", ""'STC'!BH3:BH139""),MATCH($D53,IMPORTRANGE(""1y0FWgjbB0gVlqn-q5LMJbGIsqOrzru4yowQz67dz2yc"", ""'STC'!D3:D139""),0))"),0.666666666666666)</f>
        <v>0.66666666666666596</v>
      </c>
      <c r="AA53" s="269">
        <f ca="1">IFERROR(__xludf.DUMMYFUNCTION("INDEX(IMPORTRANGE(""1y0FWgjbB0gVlqn-q5LMJbGIsqOrzru4yowQz67dz2yc"", ""'STC'!BI3:BI139""),MATCH($D53,IMPORTRANGE(""1y0FWgjbB0gVlqn-q5LMJbGIsqOrzru4yowQz67dz2yc"", ""'STC'!D3:D139""),0))"),0.666666666666666)</f>
        <v>0.66666666666666596</v>
      </c>
      <c r="AB53" s="269">
        <f ca="1">IFERROR(__xludf.DUMMYFUNCTION("INDEX(IMPORTRANGE(""1y0FWgjbB0gVlqn-q5LMJbGIsqOrzru4yowQz67dz2yc"", ""'STC'!BJ3:BJ139""),MATCH($D53,IMPORTRANGE(""1y0FWgjbB0gVlqn-q5LMJbGIsqOrzru4yowQz67dz2yc"", ""'STC'!D3:D139""),0))"),0.666666666666666)</f>
        <v>0.66666666666666596</v>
      </c>
      <c r="AC53" s="1"/>
    </row>
    <row r="54" spans="1:29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0">
        <v>44469</v>
      </c>
      <c r="H54" s="10">
        <v>44469</v>
      </c>
      <c r="I54" s="11">
        <v>44651</v>
      </c>
      <c r="J54" s="11">
        <v>44834</v>
      </c>
      <c r="K54" s="11">
        <v>45016</v>
      </c>
      <c r="L54" s="11">
        <v>45199</v>
      </c>
      <c r="M54" s="11">
        <v>45382</v>
      </c>
      <c r="N54" s="11">
        <v>45565</v>
      </c>
      <c r="O54" s="11">
        <v>45565</v>
      </c>
      <c r="P54" s="12">
        <v>1</v>
      </c>
      <c r="Q54" s="12">
        <v>1</v>
      </c>
      <c r="R54" s="2" t="s">
        <v>159</v>
      </c>
      <c r="S54" s="2" t="s">
        <v>160</v>
      </c>
      <c r="T54" s="2" t="s">
        <v>160</v>
      </c>
      <c r="U54" s="2" t="s">
        <v>161</v>
      </c>
      <c r="V54" s="2" t="s">
        <v>161</v>
      </c>
      <c r="W54" s="2" t="s">
        <v>161</v>
      </c>
      <c r="X54" s="12">
        <v>1</v>
      </c>
      <c r="Y54" s="262">
        <f ca="1">IFERROR(__xludf.DUMMYFUNCTION("INDEX(IMPORTRANGE(""1y0FWgjbB0gVlqn-q5LMJbGIsqOrzru4yowQz67dz2yc"", ""'STC'!BG3:BG139""),MATCH($D54,IMPORTRANGE(""1y0FWgjbB0gVlqn-q5LMJbGIsqOrzru4yowQz67dz2yc"", ""'STC'!D3:D139""),0))"),1)</f>
        <v>1</v>
      </c>
      <c r="Z54" s="262">
        <f ca="1">IFERROR(__xludf.DUMMYFUNCTION("INDEX(IMPORTRANGE(""1y0FWgjbB0gVlqn-q5LMJbGIsqOrzru4yowQz67dz2yc"", ""'STC'!BH3:BH139""),MATCH($D54,IMPORTRANGE(""1y0FWgjbB0gVlqn-q5LMJbGIsqOrzru4yowQz67dz2yc"", ""'STC'!D3:D139""),0))"),0.5)</f>
        <v>0.5</v>
      </c>
      <c r="AA54" s="262">
        <f ca="1">IFERROR(__xludf.DUMMYFUNCTION("INDEX(IMPORTRANGE(""1y0FWgjbB0gVlqn-q5LMJbGIsqOrzru4yowQz67dz2yc"", ""'STC'!BI3:BI139""),MATCH($D54,IMPORTRANGE(""1y0FWgjbB0gVlqn-q5LMJbGIsqOrzru4yowQz67dz2yc"", ""'STC'!D3:D139""),0))"),0.5)</f>
        <v>0.5</v>
      </c>
      <c r="AB54" s="262">
        <f ca="1">IFERROR(__xludf.DUMMYFUNCTION("INDEX(IMPORTRANGE(""1y0FWgjbB0gVlqn-q5LMJbGIsqOrzru4yowQz67dz2yc"", ""'STC'!BJ3:BJ139""),MATCH($D54,IMPORTRANGE(""1y0FWgjbB0gVlqn-q5LMJbGIsqOrzru4yowQz67dz2yc"", ""'STC'!D3:D139""),0))"),0.5)</f>
        <v>0.5</v>
      </c>
      <c r="AC54" s="1"/>
    </row>
    <row r="55" spans="1:29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0">
        <v>44469</v>
      </c>
      <c r="H55" s="10">
        <v>44469</v>
      </c>
      <c r="I55" s="11">
        <v>44651</v>
      </c>
      <c r="J55" s="11">
        <v>44834</v>
      </c>
      <c r="K55" s="11">
        <v>45016</v>
      </c>
      <c r="L55" s="11">
        <v>45199</v>
      </c>
      <c r="M55" s="11">
        <v>45382</v>
      </c>
      <c r="N55" s="11">
        <v>45565</v>
      </c>
      <c r="O55" s="11">
        <v>45565</v>
      </c>
      <c r="P55" s="12">
        <v>0</v>
      </c>
      <c r="Q55" s="12">
        <v>0</v>
      </c>
      <c r="R55" s="2"/>
      <c r="S55" s="2"/>
      <c r="T55" s="2"/>
      <c r="U55" s="2"/>
      <c r="V55" s="2"/>
      <c r="W55" s="2"/>
      <c r="X55" s="2">
        <v>0</v>
      </c>
      <c r="Y55" s="262">
        <f ca="1">IFERROR(__xludf.DUMMYFUNCTION("INDEX(IMPORTRANGE(""1y0FWgjbB0gVlqn-q5LMJbGIsqOrzru4yowQz67dz2yc"", ""'STC'!BG3:BG139""),MATCH($D55,IMPORTRANGE(""1y0FWgjbB0gVlqn-q5LMJbGIsqOrzru4yowQz67dz2yc"", ""'STC'!D3:D139""),0))"),0)</f>
        <v>0</v>
      </c>
      <c r="Z55" s="262">
        <f ca="1">IFERROR(__xludf.DUMMYFUNCTION("INDEX(IMPORTRANGE(""1y0FWgjbB0gVlqn-q5LMJbGIsqOrzru4yowQz67dz2yc"", ""'STC'!BH3:BH139""),MATCH($D55,IMPORTRANGE(""1y0FWgjbB0gVlqn-q5LMJbGIsqOrzru4yowQz67dz2yc"", ""'STC'!D3:D139""),0))"),0)</f>
        <v>0</v>
      </c>
      <c r="AA55" s="262">
        <f ca="1">IFERROR(__xludf.DUMMYFUNCTION("INDEX(IMPORTRANGE(""1y0FWgjbB0gVlqn-q5LMJbGIsqOrzru4yowQz67dz2yc"", ""'STC'!BI3:BI139""),MATCH($D55,IMPORTRANGE(""1y0FWgjbB0gVlqn-q5LMJbGIsqOrzru4yowQz67dz2yc"", ""'STC'!D3:D139""),0))"),0)</f>
        <v>0</v>
      </c>
      <c r="AB55" s="262">
        <f ca="1">IFERROR(__xludf.DUMMYFUNCTION("INDEX(IMPORTRANGE(""1y0FWgjbB0gVlqn-q5LMJbGIsqOrzru4yowQz67dz2yc"", ""'STC'!BJ3:BJ139""),MATCH($D55,IMPORTRANGE(""1y0FWgjbB0gVlqn-q5LMJbGIsqOrzru4yowQz67dz2yc"", ""'STC'!D3:D139""),0))"),0)</f>
        <v>0</v>
      </c>
      <c r="AC55" s="1"/>
    </row>
    <row r="56" spans="1:29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0">
        <v>44469</v>
      </c>
      <c r="H56" s="10">
        <v>44469</v>
      </c>
      <c r="I56" s="11">
        <v>44651</v>
      </c>
      <c r="J56" s="11">
        <v>44834</v>
      </c>
      <c r="K56" s="11">
        <v>45016</v>
      </c>
      <c r="L56" s="11">
        <v>45199</v>
      </c>
      <c r="M56" s="11">
        <v>45382</v>
      </c>
      <c r="N56" s="11">
        <v>45565</v>
      </c>
      <c r="O56" s="11">
        <v>45565</v>
      </c>
      <c r="P56" s="12">
        <v>0</v>
      </c>
      <c r="Q56" s="12">
        <v>0</v>
      </c>
      <c r="R56" s="2"/>
      <c r="S56" s="2"/>
      <c r="T56" s="2"/>
      <c r="U56" s="2"/>
      <c r="V56" s="2"/>
      <c r="W56" s="2"/>
      <c r="X56" s="2">
        <v>0</v>
      </c>
      <c r="Y56" s="262">
        <f ca="1">IFERROR(__xludf.DUMMYFUNCTION("INDEX(IMPORTRANGE(""1y0FWgjbB0gVlqn-q5LMJbGIsqOrzru4yowQz67dz2yc"", ""'STC'!BG3:BG139""),MATCH($D56,IMPORTRANGE(""1y0FWgjbB0gVlqn-q5LMJbGIsqOrzru4yowQz67dz2yc"", ""'STC'!D3:D139""),0))"),0)</f>
        <v>0</v>
      </c>
      <c r="Z56" s="262">
        <f ca="1">IFERROR(__xludf.DUMMYFUNCTION("INDEX(IMPORTRANGE(""1y0FWgjbB0gVlqn-q5LMJbGIsqOrzru4yowQz67dz2yc"", ""'STC'!BH3:BH139""),MATCH($D56,IMPORTRANGE(""1y0FWgjbB0gVlqn-q5LMJbGIsqOrzru4yowQz67dz2yc"", ""'STC'!D3:D139""),0))"),0)</f>
        <v>0</v>
      </c>
      <c r="AA56" s="262">
        <f ca="1">IFERROR(__xludf.DUMMYFUNCTION("INDEX(IMPORTRANGE(""1y0FWgjbB0gVlqn-q5LMJbGIsqOrzru4yowQz67dz2yc"", ""'STC'!BI3:BI139""),MATCH($D56,IMPORTRANGE(""1y0FWgjbB0gVlqn-q5LMJbGIsqOrzru4yowQz67dz2yc"", ""'STC'!D3:D139""),0))"),0)</f>
        <v>0</v>
      </c>
      <c r="AB56" s="262">
        <f ca="1">IFERROR(__xludf.DUMMYFUNCTION("INDEX(IMPORTRANGE(""1y0FWgjbB0gVlqn-q5LMJbGIsqOrzru4yowQz67dz2yc"", ""'STC'!BJ3:BJ139""),MATCH($D56,IMPORTRANGE(""1y0FWgjbB0gVlqn-q5LMJbGIsqOrzru4yowQz67dz2yc"", ""'STC'!D3:D139""),0))"),0)</f>
        <v>0</v>
      </c>
      <c r="AC56" s="1"/>
    </row>
    <row r="57" spans="1:29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0">
        <v>44469</v>
      </c>
      <c r="H57" s="10">
        <v>44469</v>
      </c>
      <c r="I57" s="11">
        <v>44651</v>
      </c>
      <c r="J57" s="11">
        <v>44834</v>
      </c>
      <c r="K57" s="11">
        <v>45016</v>
      </c>
      <c r="L57" s="11">
        <v>45199</v>
      </c>
      <c r="M57" s="11">
        <v>45382</v>
      </c>
      <c r="N57" s="11">
        <v>45565</v>
      </c>
      <c r="O57" s="11">
        <v>45565</v>
      </c>
      <c r="P57" s="30" t="s">
        <v>320</v>
      </c>
      <c r="Q57" s="30" t="s">
        <v>320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30" t="s">
        <v>320</v>
      </c>
      <c r="Y57" s="265" t="str">
        <f ca="1">IFERROR(__xludf.DUMMYFUNCTION("INDEX(IMPORTRANGE(""1y0FWgjbB0gVlqn-q5LMJbGIsqOrzru4yowQz67dz2yc"", ""'STC'!BG3:BG139""),MATCH($D57,IMPORTRANGE(""1y0FWgjbB0gVlqn-q5LMJbGIsqOrzru4yowQz67dz2yc"", ""'STC'!D3:D139""),0))"),"NA")</f>
        <v>NA</v>
      </c>
      <c r="Z57" s="269" t="str">
        <f ca="1">IFERROR(__xludf.DUMMYFUNCTION("INDEX(IMPORTRANGE(""1y0FWgjbB0gVlqn-q5LMJbGIsqOrzru4yowQz67dz2yc"", ""'STC'!BH3:BH139""),MATCH($D57,IMPORTRANGE(""1y0FWgjbB0gVlqn-q5LMJbGIsqOrzru4yowQz67dz2yc"", ""'STC'!D3:D139""),0))"),"NA")</f>
        <v>NA</v>
      </c>
      <c r="AA57" s="265" t="str">
        <f ca="1">IFERROR(__xludf.DUMMYFUNCTION("INDEX(IMPORTRANGE(""1y0FWgjbB0gVlqn-q5LMJbGIsqOrzru4yowQz67dz2yc"", ""'STC'!BI3:BI139""),MATCH($D57,IMPORTRANGE(""1y0FWgjbB0gVlqn-q5LMJbGIsqOrzru4yowQz67dz2yc"", ""'STC'!D3:D139""),0))"),"NA")</f>
        <v>NA</v>
      </c>
      <c r="AB57" s="269" t="str">
        <f ca="1">IFERROR(__xludf.DUMMYFUNCTION("INDEX(IMPORTRANGE(""1y0FWgjbB0gVlqn-q5LMJbGIsqOrzru4yowQz67dz2yc"", ""'STC'!BJ3:BJ139""),MATCH($D57,IMPORTRANGE(""1y0FWgjbB0gVlqn-q5LMJbGIsqOrzru4yowQz67dz2yc"", ""'STC'!D3:D139""),0))"),"NA")</f>
        <v>NA</v>
      </c>
      <c r="AC57" s="1"/>
    </row>
    <row r="58" spans="1:29">
      <c r="A58" s="7" t="s">
        <v>147</v>
      </c>
      <c r="B58" s="7" t="s">
        <v>168</v>
      </c>
      <c r="C58" s="1" t="s">
        <v>30</v>
      </c>
      <c r="D58" s="155" t="s">
        <v>169</v>
      </c>
      <c r="E58" s="9" t="s">
        <v>38</v>
      </c>
      <c r="F58" s="9" t="s">
        <v>170</v>
      </c>
      <c r="G58" s="10">
        <v>44469</v>
      </c>
      <c r="H58" s="10">
        <v>44469</v>
      </c>
      <c r="I58" s="11">
        <v>44651</v>
      </c>
      <c r="J58" s="11">
        <v>44834</v>
      </c>
      <c r="K58" s="11">
        <v>45016</v>
      </c>
      <c r="L58" s="11">
        <v>45199</v>
      </c>
      <c r="M58" s="11">
        <v>45382</v>
      </c>
      <c r="N58" s="11">
        <v>45565</v>
      </c>
      <c r="O58" s="11">
        <v>45565</v>
      </c>
      <c r="P58" s="12">
        <v>24153</v>
      </c>
      <c r="Q58" s="12">
        <v>24153</v>
      </c>
      <c r="R58" s="2"/>
      <c r="S58" s="2"/>
      <c r="T58" s="2"/>
      <c r="U58" s="2"/>
      <c r="V58" s="2"/>
      <c r="W58" s="2"/>
      <c r="X58" s="12">
        <v>24659</v>
      </c>
      <c r="Y58" s="262">
        <f ca="1">IFERROR(__xludf.DUMMYFUNCTION("INDEX(IMPORTRANGE(""1y0FWgjbB0gVlqn-q5LMJbGIsqOrzru4yowQz67dz2yc"", ""'STC'!BG3:BG139""),MATCH($D58,IMPORTRANGE(""1y0FWgjbB0gVlqn-q5LMJbGIsqOrzru4yowQz67dz2yc"", ""'STC'!D3:D139""),0))"),24985)</f>
        <v>24985</v>
      </c>
      <c r="Z58" s="262">
        <f ca="1">IFERROR(__xludf.DUMMYFUNCTION("INDEX(IMPORTRANGE(""1y0FWgjbB0gVlqn-q5LMJbGIsqOrzru4yowQz67dz2yc"", ""'STC'!BH3:BH139""),MATCH($D58,IMPORTRANGE(""1y0FWgjbB0gVlqn-q5LMJbGIsqOrzru4yowQz67dz2yc"", ""'STC'!D3:D139""),0))"),25195)</f>
        <v>25195</v>
      </c>
      <c r="AA58" s="262">
        <f ca="1">IFERROR(__xludf.DUMMYFUNCTION("INDEX(IMPORTRANGE(""1y0FWgjbB0gVlqn-q5LMJbGIsqOrzru4yowQz67dz2yc"", ""'STC'!BI3:BI139""),MATCH($D58,IMPORTRANGE(""1y0FWgjbB0gVlqn-q5LMJbGIsqOrzru4yowQz67dz2yc"", ""'STC'!D3:D139""),0))"),25195)</f>
        <v>25195</v>
      </c>
      <c r="AB58" s="262">
        <f ca="1">IFERROR(__xludf.DUMMYFUNCTION("INDEX(IMPORTRANGE(""1y0FWgjbB0gVlqn-q5LMJbGIsqOrzru4yowQz67dz2yc"", ""'STC'!BJ3:BJ139""),MATCH($D58,IMPORTRANGE(""1y0FWgjbB0gVlqn-q5LMJbGIsqOrzru4yowQz67dz2yc"", ""'STC'!D3:D139""),0))"),26225)</f>
        <v>26225</v>
      </c>
      <c r="AC58" s="1"/>
    </row>
    <row r="59" spans="1:29">
      <c r="A59" s="7" t="s">
        <v>147</v>
      </c>
      <c r="B59" s="7" t="s">
        <v>168</v>
      </c>
      <c r="C59" s="1" t="s">
        <v>30</v>
      </c>
      <c r="D59" s="155" t="s">
        <v>171</v>
      </c>
      <c r="E59" s="9" t="s">
        <v>38</v>
      </c>
      <c r="F59" s="9" t="s">
        <v>172</v>
      </c>
      <c r="G59" s="10">
        <v>44469</v>
      </c>
      <c r="H59" s="10">
        <v>44469</v>
      </c>
      <c r="I59" s="11">
        <v>44651</v>
      </c>
      <c r="J59" s="11">
        <v>44834</v>
      </c>
      <c r="K59" s="11">
        <v>45016</v>
      </c>
      <c r="L59" s="11">
        <v>45199</v>
      </c>
      <c r="M59" s="11">
        <v>45382</v>
      </c>
      <c r="N59" s="11">
        <v>45565</v>
      </c>
      <c r="O59" s="11">
        <v>45565</v>
      </c>
      <c r="P59" s="12">
        <v>24659</v>
      </c>
      <c r="Q59" s="12">
        <v>24659</v>
      </c>
      <c r="R59" s="2"/>
      <c r="S59" s="2"/>
      <c r="T59" s="2"/>
      <c r="U59" s="2"/>
      <c r="V59" s="2"/>
      <c r="W59" s="2"/>
      <c r="X59" s="12">
        <v>26225</v>
      </c>
      <c r="Y59" s="262">
        <f ca="1">IFERROR(__xludf.DUMMYFUNCTION("INDEX(IMPORTRANGE(""1y0FWgjbB0gVlqn-q5LMJbGIsqOrzru4yowQz67dz2yc"", ""'STC'!BG3:BG139""),MATCH($D59,IMPORTRANGE(""1y0FWgjbB0gVlqn-q5LMJbGIsqOrzru4yowQz67dz2yc"", ""'STC'!D3:D139""),0))"),26225)</f>
        <v>26225</v>
      </c>
      <c r="Z59" s="262">
        <f ca="1">IFERROR(__xludf.DUMMYFUNCTION("INDEX(IMPORTRANGE(""1y0FWgjbB0gVlqn-q5LMJbGIsqOrzru4yowQz67dz2yc"", ""'STC'!BH3:BH139""),MATCH($D59,IMPORTRANGE(""1y0FWgjbB0gVlqn-q5LMJbGIsqOrzru4yowQz67dz2yc"", ""'STC'!D3:D139""),0))"),26225)</f>
        <v>26225</v>
      </c>
      <c r="AA59" s="262">
        <f ca="1">IFERROR(__xludf.DUMMYFUNCTION("INDEX(IMPORTRANGE(""1y0FWgjbB0gVlqn-q5LMJbGIsqOrzru4yowQz67dz2yc"", ""'STC'!BI3:BI139""),MATCH($D59,IMPORTRANGE(""1y0FWgjbB0gVlqn-q5LMJbGIsqOrzru4yowQz67dz2yc"", ""'STC'!D3:D139""),0))"),26225)</f>
        <v>26225</v>
      </c>
      <c r="AB59" s="262">
        <f ca="1">IFERROR(__xludf.DUMMYFUNCTION("INDEX(IMPORTRANGE(""1y0FWgjbB0gVlqn-q5LMJbGIsqOrzru4yowQz67dz2yc"", ""'STC'!BJ3:BJ139""),MATCH($D59,IMPORTRANGE(""1y0FWgjbB0gVlqn-q5LMJbGIsqOrzru4yowQz67dz2yc"", ""'STC'!D3:D139""),0))"),26225)</f>
        <v>26225</v>
      </c>
      <c r="AC59" s="1"/>
    </row>
    <row r="60" spans="1:29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0">
        <v>44469</v>
      </c>
      <c r="H60" s="10">
        <v>44469</v>
      </c>
      <c r="I60" s="11">
        <v>44651</v>
      </c>
      <c r="J60" s="11">
        <v>44834</v>
      </c>
      <c r="K60" s="11">
        <v>45016</v>
      </c>
      <c r="L60" s="11">
        <v>45199</v>
      </c>
      <c r="M60" s="11">
        <v>45382</v>
      </c>
      <c r="N60" s="11">
        <v>45565</v>
      </c>
      <c r="O60" s="11">
        <v>45565</v>
      </c>
      <c r="P60" s="15">
        <f t="shared" ref="P60:Q60" si="14">P58/P59</f>
        <v>0.9794801086824283</v>
      </c>
      <c r="Q60" s="15">
        <f t="shared" si="14"/>
        <v>0.9794801086824283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467">
        <f>X58/X59</f>
        <v>0.94028598665395613</v>
      </c>
      <c r="Y60" s="466">
        <f ca="1">IFERROR(__xludf.DUMMYFUNCTION("INDEX(IMPORTRANGE(""1y0FWgjbB0gVlqn-q5LMJbGIsqOrzru4yowQz67dz2yc"", ""'STC'!BG3:BG139""),MATCH($D60,IMPORTRANGE(""1y0FWgjbB0gVlqn-q5LMJbGIsqOrzru4yowQz67dz2yc"", ""'STC'!D3:D139""),0))"),0.952716873212583)</f>
        <v>0.95271687321258303</v>
      </c>
      <c r="Z60" s="25">
        <f ca="1">IFERROR(__xludf.DUMMYFUNCTION("INDEX(IMPORTRANGE(""1y0FWgjbB0gVlqn-q5LMJbGIsqOrzru4yowQz67dz2yc"", ""'STC'!BH3:BH139""),MATCH($D60,IMPORTRANGE(""1y0FWgjbB0gVlqn-q5LMJbGIsqOrzru4yowQz67dz2yc"", ""'STC'!D3:D139""),0))"),0.960724499523355)</f>
        <v>0.96072449952335504</v>
      </c>
      <c r="AA60" s="466">
        <f ca="1">IFERROR(__xludf.DUMMYFUNCTION("INDEX(IMPORTRANGE(""1y0FWgjbB0gVlqn-q5LMJbGIsqOrzru4yowQz67dz2yc"", ""'STC'!BI3:BI139""),MATCH($D60,IMPORTRANGE(""1y0FWgjbB0gVlqn-q5LMJbGIsqOrzru4yowQz67dz2yc"", ""'STC'!D3:D139""),0))"),0.960724499523355)</f>
        <v>0.96072449952335504</v>
      </c>
      <c r="AB60" s="25">
        <f ca="1">IFERROR(__xludf.DUMMYFUNCTION("INDEX(IMPORTRANGE(""1y0FWgjbB0gVlqn-q5LMJbGIsqOrzru4yowQz67dz2yc"", ""'STC'!BJ3:BJ139""),MATCH($D60,IMPORTRANGE(""1y0FWgjbB0gVlqn-q5LMJbGIsqOrzru4yowQz67dz2yc"", ""'STC'!D3:D139""),0))"),1)</f>
        <v>1</v>
      </c>
      <c r="AC60" s="1"/>
    </row>
    <row r="61" spans="1:29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0">
        <v>44469</v>
      </c>
      <c r="H61" s="10">
        <v>44469</v>
      </c>
      <c r="I61" s="11">
        <v>44651</v>
      </c>
      <c r="J61" s="11">
        <v>44834</v>
      </c>
      <c r="K61" s="11">
        <v>45016</v>
      </c>
      <c r="L61" s="11">
        <v>45199</v>
      </c>
      <c r="M61" s="11">
        <v>45382</v>
      </c>
      <c r="N61" s="11">
        <v>45565</v>
      </c>
      <c r="O61" s="11">
        <v>45565</v>
      </c>
      <c r="P61" s="12">
        <v>84053</v>
      </c>
      <c r="Q61" s="12">
        <v>84053</v>
      </c>
      <c r="R61" s="2"/>
      <c r="S61" s="2"/>
      <c r="T61" s="2"/>
      <c r="U61" s="2"/>
      <c r="V61" s="2"/>
      <c r="W61" s="2"/>
      <c r="X61" s="12">
        <v>84053</v>
      </c>
      <c r="Y61" s="265">
        <f ca="1">IFERROR(__xludf.DUMMYFUNCTION("INDEX(IMPORTRANGE(""1y0FWgjbB0gVlqn-q5LMJbGIsqOrzru4yowQz67dz2yc"", ""'STC'!BG3:BG139""),MATCH($D61,IMPORTRANGE(""1y0FWgjbB0gVlqn-q5LMJbGIsqOrzru4yowQz67dz2yc"", ""'STC'!D3:D139""),0))"),84054)</f>
        <v>84054</v>
      </c>
      <c r="Z61" s="262">
        <f ca="1">IFERROR(__xludf.DUMMYFUNCTION("INDEX(IMPORTRANGE(""1y0FWgjbB0gVlqn-q5LMJbGIsqOrzru4yowQz67dz2yc"", ""'STC'!BH3:BH139""),MATCH($D61,IMPORTRANGE(""1y0FWgjbB0gVlqn-q5LMJbGIsqOrzru4yowQz67dz2yc"", ""'STC'!D3:D139""),0))"),84054)</f>
        <v>84054</v>
      </c>
      <c r="AA61" s="265">
        <f ca="1">IFERROR(__xludf.DUMMYFUNCTION("INDEX(IMPORTRANGE(""1y0FWgjbB0gVlqn-q5LMJbGIsqOrzru4yowQz67dz2yc"", ""'STC'!BI3:BI139""),MATCH($D61,IMPORTRANGE(""1y0FWgjbB0gVlqn-q5LMJbGIsqOrzru4yowQz67dz2yc"", ""'STC'!D3:D139""),0))"),84054)</f>
        <v>84054</v>
      </c>
      <c r="AB61" s="262">
        <f ca="1">IFERROR(__xludf.DUMMYFUNCTION("INDEX(IMPORTRANGE(""1y0FWgjbB0gVlqn-q5LMJbGIsqOrzru4yowQz67dz2yc"", ""'STC'!BJ3:BJ139""),MATCH($D61,IMPORTRANGE(""1y0FWgjbB0gVlqn-q5LMJbGIsqOrzru4yowQz67dz2yc"", ""'STC'!D3:D139""),0))"),87144)</f>
        <v>87144</v>
      </c>
      <c r="AC61" s="1"/>
    </row>
    <row r="62" spans="1:29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0">
        <v>44469</v>
      </c>
      <c r="H62" s="10">
        <v>44469</v>
      </c>
      <c r="I62" s="11">
        <v>44651</v>
      </c>
      <c r="J62" s="11">
        <v>44834</v>
      </c>
      <c r="K62" s="11">
        <v>45016</v>
      </c>
      <c r="L62" s="11">
        <v>45199</v>
      </c>
      <c r="M62" s="11">
        <v>45382</v>
      </c>
      <c r="N62" s="11">
        <v>45565</v>
      </c>
      <c r="O62" s="11">
        <v>45565</v>
      </c>
      <c r="P62" s="15">
        <f t="shared" ref="P62:Q62" si="15">P61/P37</f>
        <v>0.96452997337739832</v>
      </c>
      <c r="Q62" s="15">
        <f t="shared" si="15"/>
        <v>0.96452997337739832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5">
        <f>X61/X37</f>
        <v>0.96452997337739832</v>
      </c>
      <c r="Y62" s="25">
        <f ca="1">IFERROR(__xludf.DUMMYFUNCTION("INDEX(IMPORTRANGE(""1y0FWgjbB0gVlqn-q5LMJbGIsqOrzru4yowQz67dz2yc"", ""'STC'!BG3:BG139""),MATCH($D62,IMPORTRANGE(""1y0FWgjbB0gVlqn-q5LMJbGIsqOrzru4yowQz67dz2yc"", ""'STC'!D3:D139""),0))"),0.964541448636739)</f>
        <v>0.96454144863673896</v>
      </c>
      <c r="Z62" s="25">
        <f ca="1">IFERROR(__xludf.DUMMYFUNCTION("INDEX(IMPORTRANGE(""1y0FWgjbB0gVlqn-q5LMJbGIsqOrzru4yowQz67dz2yc"", ""'STC'!BH3:BH139""),MATCH($D62,IMPORTRANGE(""1y0FWgjbB0gVlqn-q5LMJbGIsqOrzru4yowQz67dz2yc"", ""'STC'!D3:D139""),0))"),0.964541448636739)</f>
        <v>0.96454144863673896</v>
      </c>
      <c r="AA62" s="25">
        <f ca="1">IFERROR(__xludf.DUMMYFUNCTION("INDEX(IMPORTRANGE(""1y0FWgjbB0gVlqn-q5LMJbGIsqOrzru4yowQz67dz2yc"", ""'STC'!BI3:BI139""),MATCH($D62,IMPORTRANGE(""1y0FWgjbB0gVlqn-q5LMJbGIsqOrzru4yowQz67dz2yc"", ""'STC'!D3:D139""),0))"),0.964541448636739)</f>
        <v>0.96454144863673896</v>
      </c>
      <c r="AB62" s="25">
        <f ca="1">IFERROR(__xludf.DUMMYFUNCTION("INDEX(IMPORTRANGE(""1y0FWgjbB0gVlqn-q5LMJbGIsqOrzru4yowQz67dz2yc"", ""'STC'!BJ3:BJ139""),MATCH($D62,IMPORTRANGE(""1y0FWgjbB0gVlqn-q5LMJbGIsqOrzru4yowQz67dz2yc"", ""'STC'!D3:D139""),0))"),1)</f>
        <v>1</v>
      </c>
      <c r="AC62" s="1"/>
    </row>
    <row r="63" spans="1:29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0">
        <v>44469</v>
      </c>
      <c r="H63" s="10">
        <v>44469</v>
      </c>
      <c r="I63" s="11">
        <v>44651</v>
      </c>
      <c r="J63" s="11">
        <v>44834</v>
      </c>
      <c r="K63" s="11">
        <v>45016</v>
      </c>
      <c r="L63" s="11">
        <v>45199</v>
      </c>
      <c r="M63" s="11">
        <v>45382</v>
      </c>
      <c r="N63" s="11">
        <v>45565</v>
      </c>
      <c r="O63" s="11">
        <v>45565</v>
      </c>
      <c r="P63" s="30">
        <v>6302632.9800000004</v>
      </c>
      <c r="Q63" s="30">
        <v>6302632.9800000004</v>
      </c>
      <c r="R63" s="2"/>
      <c r="S63" s="2"/>
      <c r="T63" s="2"/>
      <c r="U63" s="2"/>
      <c r="V63" s="2"/>
      <c r="W63" s="2"/>
      <c r="X63" s="30">
        <v>6302632.9800000004</v>
      </c>
      <c r="Y63" s="265">
        <f ca="1">IFERROR(__xludf.DUMMYFUNCTION("INDEX(IMPORTRANGE(""1y0FWgjbB0gVlqn-q5LMJbGIsqOrzru4yowQz67dz2yc"", ""'STC'!BG3:BG139""),MATCH($D63,IMPORTRANGE(""1y0FWgjbB0gVlqn-q5LMJbGIsqOrzru4yowQz67dz2yc"", ""'STC'!D3:D139""),0))"),6302632.98)</f>
        <v>6302632.9800000004</v>
      </c>
      <c r="Z63" s="269">
        <f ca="1">IFERROR(__xludf.DUMMYFUNCTION("INDEX(IMPORTRANGE(""1y0FWgjbB0gVlqn-q5LMJbGIsqOrzru4yowQz67dz2yc"", ""'STC'!BH3:BH139""),MATCH($D63,IMPORTRANGE(""1y0FWgjbB0gVlqn-q5LMJbGIsqOrzru4yowQz67dz2yc"", ""'STC'!D3:D139""),0))"),6305681)</f>
        <v>6305681</v>
      </c>
      <c r="AA63" s="265">
        <f ca="1">IFERROR(__xludf.DUMMYFUNCTION("INDEX(IMPORTRANGE(""1y0FWgjbB0gVlqn-q5LMJbGIsqOrzru4yowQz67dz2yc"", ""'STC'!BI3:BI139""),MATCH($D63,IMPORTRANGE(""1y0FWgjbB0gVlqn-q5LMJbGIsqOrzru4yowQz67dz2yc"", ""'STC'!D3:D139""),0))"),6302632.98)</f>
        <v>6302632.9800000004</v>
      </c>
      <c r="AB63" s="269">
        <f ca="1">IFERROR(__xludf.DUMMYFUNCTION("INDEX(IMPORTRANGE(""1y0FWgjbB0gVlqn-q5LMJbGIsqOrzru4yowQz67dz2yc"", ""'STC'!BJ3:BJ139""),MATCH($D63,IMPORTRANGE(""1y0FWgjbB0gVlqn-q5LMJbGIsqOrzru4yowQz67dz2yc"", ""'STC'!D3:D139""),0))"),6305681)</f>
        <v>6305681</v>
      </c>
      <c r="AC63" s="1"/>
    </row>
    <row r="64" spans="1:29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0">
        <v>44469</v>
      </c>
      <c r="H64" s="10">
        <v>44469</v>
      </c>
      <c r="I64" s="11">
        <v>44651</v>
      </c>
      <c r="J64" s="11">
        <v>44834</v>
      </c>
      <c r="K64" s="11">
        <v>45016</v>
      </c>
      <c r="L64" s="11">
        <v>45199</v>
      </c>
      <c r="M64" s="11">
        <v>45382</v>
      </c>
      <c r="N64" s="11">
        <v>45565</v>
      </c>
      <c r="O64" s="11">
        <v>45565</v>
      </c>
      <c r="P64" s="30">
        <v>6347377.9800000004</v>
      </c>
      <c r="Q64" s="30">
        <v>6347377.9800000004</v>
      </c>
      <c r="R64" s="2"/>
      <c r="S64" s="2"/>
      <c r="T64" s="2"/>
      <c r="U64" s="2"/>
      <c r="V64" s="2"/>
      <c r="W64" s="2"/>
      <c r="X64" s="30">
        <v>6347377.9800000004</v>
      </c>
      <c r="Y64" s="265">
        <f ca="1">IFERROR(__xludf.DUMMYFUNCTION("INDEX(IMPORTRANGE(""1y0FWgjbB0gVlqn-q5LMJbGIsqOrzru4yowQz67dz2yc"", ""'STC'!BG3:BG139""),MATCH($D64,IMPORTRANGE(""1y0FWgjbB0gVlqn-q5LMJbGIsqOrzru4yowQz67dz2yc"", ""'STC'!D3:D139""),0))"),6347377.98)</f>
        <v>6347377.9800000004</v>
      </c>
      <c r="Z64" s="269">
        <f ca="1">IFERROR(__xludf.DUMMYFUNCTION("INDEX(IMPORTRANGE(""1y0FWgjbB0gVlqn-q5LMJbGIsqOrzru4yowQz67dz2yc"", ""'STC'!BH3:BH139""),MATCH($D64,IMPORTRANGE(""1y0FWgjbB0gVlqn-q5LMJbGIsqOrzru4yowQz67dz2yc"", ""'STC'!D3:D139""),0))"),6347377.98)</f>
        <v>6347377.9800000004</v>
      </c>
      <c r="AA64" s="265">
        <f ca="1">IFERROR(__xludf.DUMMYFUNCTION("INDEX(IMPORTRANGE(""1y0FWgjbB0gVlqn-q5LMJbGIsqOrzru4yowQz67dz2yc"", ""'STC'!BI3:BI139""),MATCH($D64,IMPORTRANGE(""1y0FWgjbB0gVlqn-q5LMJbGIsqOrzru4yowQz67dz2yc"", ""'STC'!D3:D139""),0))"),6347377.98)</f>
        <v>6347377.9800000004</v>
      </c>
      <c r="AB64" s="269">
        <f ca="1">IFERROR(__xludf.DUMMYFUNCTION("INDEX(IMPORTRANGE(""1y0FWgjbB0gVlqn-q5LMJbGIsqOrzru4yowQz67dz2yc"", ""'STC'!BJ3:BJ139""),MATCH($D64,IMPORTRANGE(""1y0FWgjbB0gVlqn-q5LMJbGIsqOrzru4yowQz67dz2yc"", ""'STC'!D3:D139""),0))"),6347378)</f>
        <v>6347378</v>
      </c>
      <c r="AC64" s="1"/>
    </row>
    <row r="65" spans="1:29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0">
        <v>44469</v>
      </c>
      <c r="H65" s="10">
        <v>44469</v>
      </c>
      <c r="I65" s="11">
        <v>44651</v>
      </c>
      <c r="J65" s="11">
        <v>44834</v>
      </c>
      <c r="K65" s="11">
        <v>45016</v>
      </c>
      <c r="L65" s="11">
        <v>45199</v>
      </c>
      <c r="M65" s="11">
        <v>45382</v>
      </c>
      <c r="N65" s="11">
        <v>45565</v>
      </c>
      <c r="O65" s="11">
        <v>45565</v>
      </c>
      <c r="P65" s="15">
        <f t="shared" ref="P65:Q65" si="16">P63/P64</f>
        <v>0.99295063250668425</v>
      </c>
      <c r="Q65" s="15">
        <f t="shared" si="16"/>
        <v>0.99295063250668425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5">
        <f>X63/X64</f>
        <v>0.99295063250668425</v>
      </c>
      <c r="Y65" s="25">
        <f ca="1">IFERROR(__xludf.DUMMYFUNCTION("INDEX(IMPORTRANGE(""1y0FWgjbB0gVlqn-q5LMJbGIsqOrzru4yowQz67dz2yc"", ""'STC'!BG3:BG139""),MATCH($D65,IMPORTRANGE(""1y0FWgjbB0gVlqn-q5LMJbGIsqOrzru4yowQz67dz2yc"", ""'STC'!D3:D139""),0))"),0.992950632506684)</f>
        <v>0.99295063250668403</v>
      </c>
      <c r="Z65" s="25">
        <f ca="1">IFERROR(__xludf.DUMMYFUNCTION("INDEX(IMPORTRANGE(""1y0FWgjbB0gVlqn-q5LMJbGIsqOrzru4yowQz67dz2yc"", ""'STC'!BH3:BH139""),MATCH($D65,IMPORTRANGE(""1y0FWgjbB0gVlqn-q5LMJbGIsqOrzru4yowQz67dz2yc"", ""'STC'!D3:D139""),0))"),0.993430833939402)</f>
        <v>0.99343083393940201</v>
      </c>
      <c r="AA65" s="25">
        <f ca="1">IFERROR(__xludf.DUMMYFUNCTION("INDEX(IMPORTRANGE(""1y0FWgjbB0gVlqn-q5LMJbGIsqOrzru4yowQz67dz2yc"", ""'STC'!BI3:BI139""),MATCH($D65,IMPORTRANGE(""1y0FWgjbB0gVlqn-q5LMJbGIsqOrzru4yowQz67dz2yc"", ""'STC'!D3:D139""),0))"),0.992950632506684)</f>
        <v>0.99295063250668403</v>
      </c>
      <c r="AB65" s="25">
        <f ca="1">IFERROR(__xludf.DUMMYFUNCTION("INDEX(IMPORTRANGE(""1y0FWgjbB0gVlqn-q5LMJbGIsqOrzru4yowQz67dz2yc"", ""'STC'!BJ3:BJ139""),MATCH($D65,IMPORTRANGE(""1y0FWgjbB0gVlqn-q5LMJbGIsqOrzru4yowQz67dz2yc"", ""'STC'!D3:D139""),0))"),0.993430830809193)</f>
        <v>0.99343083080919303</v>
      </c>
      <c r="AC65" s="1"/>
    </row>
    <row r="66" spans="1:29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0">
        <v>44469</v>
      </c>
      <c r="H66" s="10">
        <v>44469</v>
      </c>
      <c r="I66" s="11">
        <v>44651</v>
      </c>
      <c r="J66" s="11">
        <v>44834</v>
      </c>
      <c r="K66" s="11">
        <v>45016</v>
      </c>
      <c r="L66" s="11">
        <v>45199</v>
      </c>
      <c r="M66" s="11">
        <v>45382</v>
      </c>
      <c r="N66" s="11">
        <v>45565</v>
      </c>
      <c r="O66" s="11">
        <v>45565</v>
      </c>
      <c r="P66" s="30">
        <v>22901</v>
      </c>
      <c r="Q66" s="30">
        <v>22901</v>
      </c>
      <c r="R66" s="2"/>
      <c r="S66" s="2"/>
      <c r="T66" s="2"/>
      <c r="U66" s="2"/>
      <c r="V66" s="2"/>
      <c r="W66" s="2"/>
      <c r="X66" s="12">
        <v>22901</v>
      </c>
      <c r="Y66" s="262">
        <f ca="1">IFERROR(__xludf.DUMMYFUNCTION("INDEX(IMPORTRANGE(""1y0FWgjbB0gVlqn-q5LMJbGIsqOrzru4yowQz67dz2yc"", ""'STC'!BG3:BG139""),MATCH($D66,IMPORTRANGE(""1y0FWgjbB0gVlqn-q5LMJbGIsqOrzru4yowQz67dz2yc"", ""'STC'!D3:D139""),0))"),22901)</f>
        <v>22901</v>
      </c>
      <c r="Z66" s="262">
        <f ca="1">IFERROR(__xludf.DUMMYFUNCTION("INDEX(IMPORTRANGE(""1y0FWgjbB0gVlqn-q5LMJbGIsqOrzru4yowQz67dz2yc"", ""'STC'!BH3:BH139""),MATCH($D66,IMPORTRANGE(""1y0FWgjbB0gVlqn-q5LMJbGIsqOrzru4yowQz67dz2yc"", ""'STC'!D3:D139""),0))"),23194)</f>
        <v>23194</v>
      </c>
      <c r="AA66" s="262">
        <f ca="1">IFERROR(__xludf.DUMMYFUNCTION("INDEX(IMPORTRANGE(""1y0FWgjbB0gVlqn-q5LMJbGIsqOrzru4yowQz67dz2yc"", ""'STC'!BI3:BI139""),MATCH($D66,IMPORTRANGE(""1y0FWgjbB0gVlqn-q5LMJbGIsqOrzru4yowQz67dz2yc"", ""'STC'!D3:D139""),0))"),23269)</f>
        <v>23269</v>
      </c>
      <c r="AB66" s="262">
        <f ca="1">IFERROR(__xludf.DUMMYFUNCTION("INDEX(IMPORTRANGE(""1y0FWgjbB0gVlqn-q5LMJbGIsqOrzru4yowQz67dz2yc"", ""'STC'!BJ3:BJ139""),MATCH($D66,IMPORTRANGE(""1y0FWgjbB0gVlqn-q5LMJbGIsqOrzru4yowQz67dz2yc"", ""'STC'!D3:D139""),0))"),23436)</f>
        <v>23436</v>
      </c>
      <c r="AC66" s="1"/>
    </row>
    <row r="67" spans="1:29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0">
        <v>44469</v>
      </c>
      <c r="H67" s="10">
        <v>44469</v>
      </c>
      <c r="I67" s="11">
        <v>44651</v>
      </c>
      <c r="J67" s="11">
        <v>44834</v>
      </c>
      <c r="K67" s="11">
        <v>45016</v>
      </c>
      <c r="L67" s="11">
        <v>45199</v>
      </c>
      <c r="M67" s="11">
        <v>45382</v>
      </c>
      <c r="N67" s="11">
        <v>45565</v>
      </c>
      <c r="O67" s="11">
        <v>45565</v>
      </c>
      <c r="P67" s="30">
        <v>42125</v>
      </c>
      <c r="Q67" s="30">
        <v>42125</v>
      </c>
      <c r="R67" s="2"/>
      <c r="S67" s="2"/>
      <c r="T67" s="2"/>
      <c r="U67" s="2"/>
      <c r="V67" s="2"/>
      <c r="W67" s="2"/>
      <c r="X67" s="12">
        <v>42125</v>
      </c>
      <c r="Y67" s="262">
        <f ca="1">IFERROR(__xludf.DUMMYFUNCTION("INDEX(IMPORTRANGE(""1y0FWgjbB0gVlqn-q5LMJbGIsqOrzru4yowQz67dz2yc"", ""'STC'!BG3:BG139""),MATCH($D67,IMPORTRANGE(""1y0FWgjbB0gVlqn-q5LMJbGIsqOrzru4yowQz67dz2yc"", ""'STC'!D3:D139""),0))"),42125)</f>
        <v>42125</v>
      </c>
      <c r="Z67" s="262">
        <f ca="1">IFERROR(__xludf.DUMMYFUNCTION("INDEX(IMPORTRANGE(""1y0FWgjbB0gVlqn-q5LMJbGIsqOrzru4yowQz67dz2yc"", ""'STC'!BH3:BH139""),MATCH($D67,IMPORTRANGE(""1y0FWgjbB0gVlqn-q5LMJbGIsqOrzru4yowQz67dz2yc"", ""'STC'!D3:D139""),0))"),42125)</f>
        <v>42125</v>
      </c>
      <c r="AA67" s="262">
        <f ca="1">IFERROR(__xludf.DUMMYFUNCTION("INDEX(IMPORTRANGE(""1y0FWgjbB0gVlqn-q5LMJbGIsqOrzru4yowQz67dz2yc"", ""'STC'!BI3:BI139""),MATCH($D67,IMPORTRANGE(""1y0FWgjbB0gVlqn-q5LMJbGIsqOrzru4yowQz67dz2yc"", ""'STC'!D3:D139""),0))"),42125)</f>
        <v>42125</v>
      </c>
      <c r="AB67" s="262">
        <f ca="1">IFERROR(__xludf.DUMMYFUNCTION("INDEX(IMPORTRANGE(""1y0FWgjbB0gVlqn-q5LMJbGIsqOrzru4yowQz67dz2yc"", ""'STC'!BJ3:BJ139""),MATCH($D67,IMPORTRANGE(""1y0FWgjbB0gVlqn-q5LMJbGIsqOrzru4yowQz67dz2yc"", ""'STC'!D3:D139""),0))"),42125)</f>
        <v>42125</v>
      </c>
      <c r="AC67" s="1"/>
    </row>
    <row r="68" spans="1:29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0">
        <v>44469</v>
      </c>
      <c r="H68" s="10">
        <v>44469</v>
      </c>
      <c r="I68" s="11">
        <v>44651</v>
      </c>
      <c r="J68" s="11">
        <v>44834</v>
      </c>
      <c r="K68" s="11">
        <v>45016</v>
      </c>
      <c r="L68" s="11">
        <v>45199</v>
      </c>
      <c r="M68" s="11">
        <v>45382</v>
      </c>
      <c r="N68" s="11">
        <v>45565</v>
      </c>
      <c r="O68" s="11">
        <v>45565</v>
      </c>
      <c r="P68" s="15">
        <f t="shared" ref="P68:Q68" si="17">P66/P67</f>
        <v>0.54364391691394653</v>
      </c>
      <c r="Q68" s="15">
        <f t="shared" si="17"/>
        <v>0.54364391691394653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5">
        <f>X66/X67</f>
        <v>0.54364391691394653</v>
      </c>
      <c r="Y68" s="25">
        <f ca="1">IFERROR(__xludf.DUMMYFUNCTION("INDEX(IMPORTRANGE(""1y0FWgjbB0gVlqn-q5LMJbGIsqOrzru4yowQz67dz2yc"", ""'STC'!BG3:BG139""),MATCH($D68,IMPORTRANGE(""1y0FWgjbB0gVlqn-q5LMJbGIsqOrzru4yowQz67dz2yc"", ""'STC'!D3:D139""),0))"),0.543643916913946)</f>
        <v>0.54364391691394598</v>
      </c>
      <c r="Z68" s="25">
        <f ca="1">IFERROR(__xludf.DUMMYFUNCTION("INDEX(IMPORTRANGE(""1y0FWgjbB0gVlqn-q5LMJbGIsqOrzru4yowQz67dz2yc"", ""'STC'!BH3:BH139""),MATCH($D68,IMPORTRANGE(""1y0FWgjbB0gVlqn-q5LMJbGIsqOrzru4yowQz67dz2yc"", ""'STC'!D3:D139""),0))"),0.55059940652819)</f>
        <v>0.55059940652818995</v>
      </c>
      <c r="AA68" s="25">
        <f ca="1">IFERROR(__xludf.DUMMYFUNCTION("INDEX(IMPORTRANGE(""1y0FWgjbB0gVlqn-q5LMJbGIsqOrzru4yowQz67dz2yc"", ""'STC'!BI3:BI139""),MATCH($D68,IMPORTRANGE(""1y0FWgjbB0gVlqn-q5LMJbGIsqOrzru4yowQz67dz2yc"", ""'STC'!D3:D139""),0))"),0.552379821958456)</f>
        <v>0.55237982195845603</v>
      </c>
      <c r="AB68" s="25">
        <f ca="1">IFERROR(__xludf.DUMMYFUNCTION("INDEX(IMPORTRANGE(""1y0FWgjbB0gVlqn-q5LMJbGIsqOrzru4yowQz67dz2yc"", ""'STC'!BJ3:BJ139""),MATCH($D68,IMPORTRANGE(""1y0FWgjbB0gVlqn-q5LMJbGIsqOrzru4yowQz67dz2yc"", ""'STC'!D3:D139""),0))"),0.556344213649851)</f>
        <v>0.55634421364985098</v>
      </c>
      <c r="AC68" s="1"/>
    </row>
    <row r="69" spans="1:29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2" t="s">
        <v>56</v>
      </c>
      <c r="H69" s="22" t="s">
        <v>57</v>
      </c>
      <c r="I69" s="2" t="s">
        <v>58</v>
      </c>
      <c r="J69" s="2" t="s">
        <v>59</v>
      </c>
      <c r="K69" s="2" t="s">
        <v>130</v>
      </c>
      <c r="L69" s="2" t="s">
        <v>61</v>
      </c>
      <c r="M69" s="2" t="s">
        <v>131</v>
      </c>
      <c r="N69" s="2" t="s">
        <v>63</v>
      </c>
      <c r="O69" s="2" t="s">
        <v>132</v>
      </c>
      <c r="P69" s="12">
        <v>0</v>
      </c>
      <c r="Q69" s="2">
        <v>0</v>
      </c>
      <c r="R69" s="2"/>
      <c r="S69" s="2"/>
      <c r="T69" s="2"/>
      <c r="U69" s="2"/>
      <c r="V69" s="2"/>
      <c r="W69" s="2"/>
      <c r="X69" s="24">
        <v>4.57</v>
      </c>
      <c r="Y69" s="265">
        <f ca="1">IFERROR(__xludf.DUMMYFUNCTION("INDEX(IMPORTRANGE(""1y0FWgjbB0gVlqn-q5LMJbGIsqOrzru4yowQz67dz2yc"", ""'STC'!BG3:BG139""),MATCH($D69,IMPORTRANGE(""1y0FWgjbB0gVlqn-q5LMJbGIsqOrzru4yowQz67dz2yc"", ""'STC'!D3:D139""),0))"),19.17)</f>
        <v>19.170000000000002</v>
      </c>
      <c r="Z69" s="266">
        <f ca="1">IFERROR(__xludf.DUMMYFUNCTION("INDEX(IMPORTRANGE(""1y0FWgjbB0gVlqn-q5LMJbGIsqOrzru4yowQz67dz2yc"", ""'STC'!BH3:BH139""),MATCH($D69,IMPORTRANGE(""1y0FWgjbB0gVlqn-q5LMJbGIsqOrzru4yowQz67dz2yc"", ""'STC'!D3:D139""),0))"),10.1)</f>
        <v>10.1</v>
      </c>
      <c r="AA69" s="265">
        <f ca="1">IFERROR(__xludf.DUMMYFUNCTION("INDEX(IMPORTRANGE(""1y0FWgjbB0gVlqn-q5LMJbGIsqOrzru4yowQz67dz2yc"", ""'STC'!BI3:BI139""),MATCH($D69,IMPORTRANGE(""1y0FWgjbB0gVlqn-q5LMJbGIsqOrzru4yowQz67dz2yc"", ""'STC'!D3:D139""),0))"),19.6)</f>
        <v>19.600000000000001</v>
      </c>
      <c r="AB69" s="266">
        <f ca="1">IFERROR(__xludf.DUMMYFUNCTION("INDEX(IMPORTRANGE(""1y0FWgjbB0gVlqn-q5LMJbGIsqOrzru4yowQz67dz2yc"", ""'STC'!BJ3:BJ139""),MATCH($D69,IMPORTRANGE(""1y0FWgjbB0gVlqn-q5LMJbGIsqOrzru4yowQz67dz2yc"", ""'STC'!D3:D139""),0))"),5.5)</f>
        <v>5.5</v>
      </c>
      <c r="AC69" s="1"/>
    </row>
    <row r="70" spans="1:29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2" t="s">
        <v>56</v>
      </c>
      <c r="H70" s="22" t="s">
        <v>57</v>
      </c>
      <c r="I70" s="2" t="s">
        <v>58</v>
      </c>
      <c r="J70" s="2" t="s">
        <v>59</v>
      </c>
      <c r="K70" s="2" t="s">
        <v>130</v>
      </c>
      <c r="L70" s="2" t="s">
        <v>61</v>
      </c>
      <c r="M70" s="2" t="s">
        <v>131</v>
      </c>
      <c r="N70" s="2" t="s">
        <v>63</v>
      </c>
      <c r="O70" s="2" t="s">
        <v>132</v>
      </c>
      <c r="P70" s="12">
        <v>0</v>
      </c>
      <c r="Q70" s="2">
        <v>0</v>
      </c>
      <c r="R70" s="2"/>
      <c r="S70" s="2"/>
      <c r="T70" s="2"/>
      <c r="U70" s="2"/>
      <c r="V70" s="2"/>
      <c r="W70" s="2"/>
      <c r="X70" s="29">
        <v>0</v>
      </c>
      <c r="Y70" s="265">
        <f ca="1">IFERROR(__xludf.DUMMYFUNCTION("INDEX(IMPORTRANGE(""1y0FWgjbB0gVlqn-q5LMJbGIsqOrzru4yowQz67dz2yc"", ""'STC'!BG3:BG139""),MATCH($D70,IMPORTRANGE(""1y0FWgjbB0gVlqn-q5LMJbGIsqOrzru4yowQz67dz2yc"", ""'STC'!D3:D139""),0))"),0)</f>
        <v>0</v>
      </c>
      <c r="Z70" s="266">
        <f ca="1">IFERROR(__xludf.DUMMYFUNCTION("INDEX(IMPORTRANGE(""1y0FWgjbB0gVlqn-q5LMJbGIsqOrzru4yowQz67dz2yc"", ""'STC'!BH3:BH139""),MATCH($D70,IMPORTRANGE(""1y0FWgjbB0gVlqn-q5LMJbGIsqOrzru4yowQz67dz2yc"", ""'STC'!D3:D139""),0))"),0)</f>
        <v>0</v>
      </c>
      <c r="AA70" s="265">
        <f ca="1">IFERROR(__xludf.DUMMYFUNCTION("INDEX(IMPORTRANGE(""1y0FWgjbB0gVlqn-q5LMJbGIsqOrzru4yowQz67dz2yc"", ""'STC'!BI3:BI139""),MATCH($D70,IMPORTRANGE(""1y0FWgjbB0gVlqn-q5LMJbGIsqOrzru4yowQz67dz2yc"", ""'STC'!D3:D139""),0))"),0)</f>
        <v>0</v>
      </c>
      <c r="AB70" s="266">
        <f ca="1">IFERROR(__xludf.DUMMYFUNCTION("INDEX(IMPORTRANGE(""1y0FWgjbB0gVlqn-q5LMJbGIsqOrzru4yowQz67dz2yc"", ""'STC'!BJ3:BJ139""),MATCH($D70,IMPORTRANGE(""1y0FWgjbB0gVlqn-q5LMJbGIsqOrzru4yowQz67dz2yc"", ""'STC'!D3:D139""),0))"),0)</f>
        <v>0</v>
      </c>
      <c r="AC70" s="1"/>
    </row>
    <row r="71" spans="1:29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0">
        <v>44469</v>
      </c>
      <c r="H71" s="10">
        <v>44469</v>
      </c>
      <c r="I71" s="11">
        <v>44651</v>
      </c>
      <c r="J71" s="11">
        <v>44834</v>
      </c>
      <c r="K71" s="11">
        <v>45016</v>
      </c>
      <c r="L71" s="11">
        <v>45199</v>
      </c>
      <c r="M71" s="11">
        <v>45382</v>
      </c>
      <c r="N71" s="11">
        <v>45565</v>
      </c>
      <c r="O71" s="11">
        <v>45565</v>
      </c>
      <c r="P71" s="30">
        <v>0</v>
      </c>
      <c r="Q71" s="2">
        <v>0</v>
      </c>
      <c r="R71" s="2"/>
      <c r="S71" s="2"/>
      <c r="T71" s="2"/>
      <c r="U71" s="2"/>
      <c r="V71" s="2"/>
      <c r="W71" s="2"/>
      <c r="X71" s="29">
        <v>1</v>
      </c>
      <c r="Y71" s="520" t="str">
        <f ca="1">IFERROR(__xludf.DUMMYFUNCTION("INDEX(IMPORTRANGE(""1y0FWgjbB0gVlqn-q5LMJbGIsqOrzru4yowQz67dz2yc"", ""'STC'!BG3:BG139""),MATCH($D71,IMPORTRANGE(""1y0FWgjbB0gVlqn-q5LMJbGIsqOrzru4yowQz67dz2yc"", ""'STC'!D3:D139""),0))"),"")</f>
        <v/>
      </c>
      <c r="Z71" s="521" t="str">
        <f ca="1">IFERROR(__xludf.DUMMYFUNCTION("INDEX(IMPORTRANGE(""1y0FWgjbB0gVlqn-q5LMJbGIsqOrzru4yowQz67dz2yc"", ""'STC'!BH3:BH139""),MATCH($D71,IMPORTRANGE(""1y0FWgjbB0gVlqn-q5LMJbGIsqOrzru4yowQz67dz2yc"", ""'STC'!D3:D139""),0))"),"")</f>
        <v/>
      </c>
      <c r="AA71" s="520" t="str">
        <f ca="1">IFERROR(__xludf.DUMMYFUNCTION("INDEX(IMPORTRANGE(""1y0FWgjbB0gVlqn-q5LMJbGIsqOrzru4yowQz67dz2yc"", ""'STC'!BI3:BI139""),MATCH($D71,IMPORTRANGE(""1y0FWgjbB0gVlqn-q5LMJbGIsqOrzru4yowQz67dz2yc"", ""'STC'!D3:D139""),0))"),"")</f>
        <v/>
      </c>
      <c r="AB71" s="521" t="str">
        <f ca="1">IFERROR(__xludf.DUMMYFUNCTION("INDEX(IMPORTRANGE(""1y0FWgjbB0gVlqn-q5LMJbGIsqOrzru4yowQz67dz2yc"", ""'STC'!BJ3:BJ139""),MATCH($D71,IMPORTRANGE(""1y0FWgjbB0gVlqn-q5LMJbGIsqOrzru4yowQz67dz2yc"", ""'STC'!D3:D139""),0))"),"""https://drive.google.com/file/d/17msIVXfjbOc4Gfp0vIRKGSCTqgg91TUk/view?usp=sharing
Página 64 Plan Municipal de Desarrollo 2021-2024: chrome-extension://efaidnbmnnnibpcajpcglclefindmkaj/https://www.stacatarina.gob.mx/t2/OFP/1060/PlanMunicipalDesarrollo20"&amp;"212024.pdf""					")</f>
        <v xml:space="preserve">"https://drive.google.com/file/d/17msIVXfjbOc4Gfp0vIRKGSCTqgg91TUk/view?usp=sharing
Página 64 Plan Municipal de Desarrollo 2021-2024: chrome-extension://efaidnbmnnnibpcajpcglclefindmkaj/https://www.stacatarina.gob.mx/t2/OFP/1060/PlanMunicipalDesarrollo20212024.pdf"					</v>
      </c>
      <c r="AC71" s="1"/>
    </row>
    <row r="72" spans="1:29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2" t="s">
        <v>56</v>
      </c>
      <c r="H72" s="22" t="s">
        <v>57</v>
      </c>
      <c r="I72" s="2" t="s">
        <v>58</v>
      </c>
      <c r="J72" s="2" t="s">
        <v>59</v>
      </c>
      <c r="K72" s="2" t="s">
        <v>130</v>
      </c>
      <c r="L72" s="2" t="s">
        <v>61</v>
      </c>
      <c r="M72" s="2" t="s">
        <v>131</v>
      </c>
      <c r="N72" s="2" t="s">
        <v>63</v>
      </c>
      <c r="O72" s="2" t="s">
        <v>132</v>
      </c>
      <c r="P72" s="12">
        <f>P69+P70</f>
        <v>0</v>
      </c>
      <c r="Q72" s="2">
        <v>0</v>
      </c>
      <c r="R72" s="2">
        <v>6</v>
      </c>
      <c r="S72" s="2">
        <v>3</v>
      </c>
      <c r="T72" s="2">
        <v>6</v>
      </c>
      <c r="U72" s="2">
        <v>3</v>
      </c>
      <c r="V72" s="2">
        <v>6</v>
      </c>
      <c r="W72" s="2">
        <v>18</v>
      </c>
      <c r="X72" s="24">
        <f>X69+X70</f>
        <v>4.57</v>
      </c>
      <c r="Y72" s="265">
        <f ca="1">IFERROR(__xludf.DUMMYFUNCTION("INDEX(IMPORTRANGE(""1y0FWgjbB0gVlqn-q5LMJbGIsqOrzru4yowQz67dz2yc"", ""'STC'!BG3:BG139""),MATCH($D72,IMPORTRANGE(""1y0FWgjbB0gVlqn-q5LMJbGIsqOrzru4yowQz67dz2yc"", ""'STC'!D3:D139""),0))"),19.17)</f>
        <v>19.170000000000002</v>
      </c>
      <c r="Z72" s="266">
        <f ca="1">IFERROR(__xludf.DUMMYFUNCTION("INDEX(IMPORTRANGE(""1y0FWgjbB0gVlqn-q5LMJbGIsqOrzru4yowQz67dz2yc"", ""'STC'!BH3:BH139""),MATCH($D72,IMPORTRANGE(""1y0FWgjbB0gVlqn-q5LMJbGIsqOrzru4yowQz67dz2yc"", ""'STC'!D3:D139""),0))"),10.1)</f>
        <v>10.1</v>
      </c>
      <c r="AA72" s="265">
        <f ca="1">IFERROR(__xludf.DUMMYFUNCTION("INDEX(IMPORTRANGE(""1y0FWgjbB0gVlqn-q5LMJbGIsqOrzru4yowQz67dz2yc"", ""'STC'!BI3:BI139""),MATCH($D72,IMPORTRANGE(""1y0FWgjbB0gVlqn-q5LMJbGIsqOrzru4yowQz67dz2yc"", ""'STC'!D3:D139""),0))"),19.6)</f>
        <v>19.600000000000001</v>
      </c>
      <c r="AB72" s="266">
        <f ca="1">IFERROR(__xludf.DUMMYFUNCTION("INDEX(IMPORTRANGE(""1y0FWgjbB0gVlqn-q5LMJbGIsqOrzru4yowQz67dz2yc"", ""'STC'!BJ3:BJ139""),MATCH($D72,IMPORTRANGE(""1y0FWgjbB0gVlqn-q5LMJbGIsqOrzru4yowQz67dz2yc"", ""'STC'!D3:D139""),0))"),5.5)</f>
        <v>5.5</v>
      </c>
      <c r="AC72" s="1"/>
    </row>
    <row r="73" spans="1:29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0">
        <v>44469</v>
      </c>
      <c r="H73" s="10">
        <v>44469</v>
      </c>
      <c r="I73" s="11">
        <v>44651</v>
      </c>
      <c r="J73" s="11">
        <v>44834</v>
      </c>
      <c r="K73" s="11">
        <v>45016</v>
      </c>
      <c r="L73" s="11">
        <v>45199</v>
      </c>
      <c r="M73" s="11">
        <v>45382</v>
      </c>
      <c r="N73" s="11">
        <v>45565</v>
      </c>
      <c r="O73" s="11">
        <v>45565</v>
      </c>
      <c r="P73" s="12">
        <v>0</v>
      </c>
      <c r="Q73" s="12">
        <v>0</v>
      </c>
      <c r="R73" s="2">
        <v>1</v>
      </c>
      <c r="S73" s="2">
        <v>2</v>
      </c>
      <c r="T73" s="2">
        <v>2</v>
      </c>
      <c r="U73" s="2">
        <v>3</v>
      </c>
      <c r="V73" s="2">
        <v>4</v>
      </c>
      <c r="W73" s="2">
        <v>4</v>
      </c>
      <c r="X73" s="2">
        <v>0</v>
      </c>
      <c r="Y73" s="262">
        <f ca="1">IFERROR(__xludf.DUMMYFUNCTION("INDEX(IMPORTRANGE(""1y0FWgjbB0gVlqn-q5LMJbGIsqOrzru4yowQz67dz2yc"", ""'STC'!BG3:BG139""),MATCH($D73,IMPORTRANGE(""1y0FWgjbB0gVlqn-q5LMJbGIsqOrzru4yowQz67dz2yc"", ""'STC'!D3:D139""),0))"),0)</f>
        <v>0</v>
      </c>
      <c r="Z73" s="262">
        <f ca="1">IFERROR(__xludf.DUMMYFUNCTION("INDEX(IMPORTRANGE(""1y0FWgjbB0gVlqn-q5LMJbGIsqOrzru4yowQz67dz2yc"", ""'STC'!BH3:BH139""),MATCH($D73,IMPORTRANGE(""1y0FWgjbB0gVlqn-q5LMJbGIsqOrzru4yowQz67dz2yc"", ""'STC'!D3:D139""),0))"),0)</f>
        <v>0</v>
      </c>
      <c r="AA73" s="262">
        <f ca="1">IFERROR(__xludf.DUMMYFUNCTION("INDEX(IMPORTRANGE(""1y0FWgjbB0gVlqn-q5LMJbGIsqOrzru4yowQz67dz2yc"", ""'STC'!BI3:BI139""),MATCH($D73,IMPORTRANGE(""1y0FWgjbB0gVlqn-q5LMJbGIsqOrzru4yowQz67dz2yc"", ""'STC'!D3:D139""),0))"),0)</f>
        <v>0</v>
      </c>
      <c r="AB73" s="262">
        <f ca="1">IFERROR(__xludf.DUMMYFUNCTION("INDEX(IMPORTRANGE(""1y0FWgjbB0gVlqn-q5LMJbGIsqOrzru4yowQz67dz2yc"", ""'STC'!BJ3:BJ139""),MATCH($D73,IMPORTRANGE(""1y0FWgjbB0gVlqn-q5LMJbGIsqOrzru4yowQz67dz2yc"", ""'STC'!D3:D139""),0))"),1)</f>
        <v>1</v>
      </c>
      <c r="AC73" s="1"/>
    </row>
    <row r="74" spans="1:29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2" t="s">
        <v>56</v>
      </c>
      <c r="H74" s="22" t="s">
        <v>57</v>
      </c>
      <c r="I74" s="2" t="s">
        <v>58</v>
      </c>
      <c r="J74" s="2" t="s">
        <v>59</v>
      </c>
      <c r="K74" s="2" t="s">
        <v>130</v>
      </c>
      <c r="L74" s="2" t="s">
        <v>61</v>
      </c>
      <c r="M74" s="2" t="s">
        <v>131</v>
      </c>
      <c r="N74" s="2" t="s">
        <v>63</v>
      </c>
      <c r="O74" s="2" t="s">
        <v>132</v>
      </c>
      <c r="P74" s="254"/>
      <c r="Q74" s="254"/>
      <c r="R74" s="2"/>
      <c r="S74" s="2"/>
      <c r="T74" s="2"/>
      <c r="U74" s="2"/>
      <c r="V74" s="2"/>
      <c r="W74" s="2"/>
      <c r="X74" s="2">
        <v>740.38</v>
      </c>
      <c r="Y74" s="265">
        <f ca="1">IFERROR(__xludf.DUMMYFUNCTION("INDEX(IMPORTRANGE(""1y0FWgjbB0gVlqn-q5LMJbGIsqOrzru4yowQz67dz2yc"", ""'STC'!BG3:BG139""),MATCH($D74,IMPORTRANGE(""1y0FWgjbB0gVlqn-q5LMJbGIsqOrzru4yowQz67dz2yc"", ""'STC'!D3:D139""),0))"),740.38)</f>
        <v>740.38</v>
      </c>
      <c r="Z74" s="265">
        <f ca="1">IFERROR(__xludf.DUMMYFUNCTION("INDEX(IMPORTRANGE(""1y0FWgjbB0gVlqn-q5LMJbGIsqOrzru4yowQz67dz2yc"", ""'STC'!BH3:BH139""),MATCH($D74,IMPORTRANGE(""1y0FWgjbB0gVlqn-q5LMJbGIsqOrzru4yowQz67dz2yc"", ""'STC'!D3:D139""),0))"),0)</f>
        <v>0</v>
      </c>
      <c r="AA74" s="265">
        <f ca="1">IFERROR(__xludf.DUMMYFUNCTION("INDEX(IMPORTRANGE(""1y0FWgjbB0gVlqn-q5LMJbGIsqOrzru4yowQz67dz2yc"", ""'STC'!BI3:BI139""),MATCH($D74,IMPORTRANGE(""1y0FWgjbB0gVlqn-q5LMJbGIsqOrzru4yowQz67dz2yc"", ""'STC'!D3:D139""),0))"),19945.48)</f>
        <v>19945.48</v>
      </c>
      <c r="AB74" s="265">
        <f ca="1">IFERROR(__xludf.DUMMYFUNCTION("INDEX(IMPORTRANGE(""1y0FWgjbB0gVlqn-q5LMJbGIsqOrzru4yowQz67dz2yc"", ""'STC'!BJ3:BJ139""),MATCH($D74,IMPORTRANGE(""1y0FWgjbB0gVlqn-q5LMJbGIsqOrzru4yowQz67dz2yc"", ""'STC'!D3:D139""),0))"),929.06)</f>
        <v>929.06</v>
      </c>
      <c r="AC74" s="1"/>
    </row>
    <row r="75" spans="1:29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2" t="s">
        <v>56</v>
      </c>
      <c r="H75" s="22" t="s">
        <v>57</v>
      </c>
      <c r="I75" s="2" t="s">
        <v>58</v>
      </c>
      <c r="J75" s="2" t="s">
        <v>59</v>
      </c>
      <c r="K75" s="2" t="s">
        <v>130</v>
      </c>
      <c r="L75" s="2" t="s">
        <v>61</v>
      </c>
      <c r="M75" s="2" t="s">
        <v>131</v>
      </c>
      <c r="N75" s="2" t="s">
        <v>63</v>
      </c>
      <c r="O75" s="2" t="s">
        <v>132</v>
      </c>
      <c r="P75" s="254"/>
      <c r="Q75" s="254"/>
      <c r="R75" s="2"/>
      <c r="S75" s="2"/>
      <c r="T75" s="2"/>
      <c r="U75" s="2"/>
      <c r="V75" s="2"/>
      <c r="W75" s="2"/>
      <c r="X75" s="2">
        <v>1870.34</v>
      </c>
      <c r="Y75" s="265">
        <f ca="1">IFERROR(__xludf.DUMMYFUNCTION("INDEX(IMPORTRANGE(""1y0FWgjbB0gVlqn-q5LMJbGIsqOrzru4yowQz67dz2yc"", ""'STC'!BG3:BG139""),MATCH($D75,IMPORTRANGE(""1y0FWgjbB0gVlqn-q5LMJbGIsqOrzru4yowQz67dz2yc"", ""'STC'!D3:D139""),0))"),5653.03)</f>
        <v>5653.03</v>
      </c>
      <c r="Z75" s="265">
        <f ca="1">IFERROR(__xludf.DUMMYFUNCTION("INDEX(IMPORTRANGE(""1y0FWgjbB0gVlqn-q5LMJbGIsqOrzru4yowQz67dz2yc"", ""'STC'!BH3:BH139""),MATCH($D75,IMPORTRANGE(""1y0FWgjbB0gVlqn-q5LMJbGIsqOrzru4yowQz67dz2yc"", ""'STC'!D3:D139""),0))"),2682.37)</f>
        <v>2682.37</v>
      </c>
      <c r="AA75" s="265">
        <f ca="1">IFERROR(__xludf.DUMMYFUNCTION("INDEX(IMPORTRANGE(""1y0FWgjbB0gVlqn-q5LMJbGIsqOrzru4yowQz67dz2yc"", ""'STC'!BI3:BI139""),MATCH($D75,IMPORTRANGE(""1y0FWgjbB0gVlqn-q5LMJbGIsqOrzru4yowQz67dz2yc"", ""'STC'!D3:D139""),0))"),4679.85)</f>
        <v>4679.8500000000004</v>
      </c>
      <c r="AB75" s="265">
        <f ca="1">IFERROR(__xludf.DUMMYFUNCTION("INDEX(IMPORTRANGE(""1y0FWgjbB0gVlqn-q5LMJbGIsqOrzru4yowQz67dz2yc"", ""'STC'!BJ3:BJ139""),MATCH($D75,IMPORTRANGE(""1y0FWgjbB0gVlqn-q5LMJbGIsqOrzru4yowQz67dz2yc"", ""'STC'!D3:D139""),0))"),176.63)</f>
        <v>176.63</v>
      </c>
      <c r="AC75" s="1"/>
    </row>
    <row r="76" spans="1:29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2" t="s">
        <v>56</v>
      </c>
      <c r="H76" s="22" t="s">
        <v>57</v>
      </c>
      <c r="I76" s="2" t="s">
        <v>58</v>
      </c>
      <c r="J76" s="2" t="s">
        <v>59</v>
      </c>
      <c r="K76" s="2" t="s">
        <v>130</v>
      </c>
      <c r="L76" s="2" t="s">
        <v>61</v>
      </c>
      <c r="M76" s="2" t="s">
        <v>131</v>
      </c>
      <c r="N76" s="2" t="s">
        <v>63</v>
      </c>
      <c r="O76" s="2" t="s">
        <v>132</v>
      </c>
      <c r="P76" s="254"/>
      <c r="Q76" s="254"/>
      <c r="R76" s="2"/>
      <c r="S76" s="2"/>
      <c r="T76" s="2"/>
      <c r="U76" s="2"/>
      <c r="V76" s="2"/>
      <c r="W76" s="2"/>
      <c r="X76" s="2">
        <v>0</v>
      </c>
      <c r="Y76" s="265">
        <f ca="1">IFERROR(__xludf.DUMMYFUNCTION("INDEX(IMPORTRANGE(""1y0FWgjbB0gVlqn-q5LMJbGIsqOrzru4yowQz67dz2yc"", ""'STC'!BG3:BG139""),MATCH($D76,IMPORTRANGE(""1y0FWgjbB0gVlqn-q5LMJbGIsqOrzru4yowQz67dz2yc"", ""'STC'!D3:D139""),0))"),0)</f>
        <v>0</v>
      </c>
      <c r="Z76" s="265">
        <f ca="1">IFERROR(__xludf.DUMMYFUNCTION("INDEX(IMPORTRANGE(""1y0FWgjbB0gVlqn-q5LMJbGIsqOrzru4yowQz67dz2yc"", ""'STC'!BH3:BH139""),MATCH($D76,IMPORTRANGE(""1y0FWgjbB0gVlqn-q5LMJbGIsqOrzru4yowQz67dz2yc"", ""'STC'!D3:D139""),0))"),0)</f>
        <v>0</v>
      </c>
      <c r="AA76" s="265">
        <f ca="1">IFERROR(__xludf.DUMMYFUNCTION("INDEX(IMPORTRANGE(""1y0FWgjbB0gVlqn-q5LMJbGIsqOrzru4yowQz67dz2yc"", ""'STC'!BI3:BI139""),MATCH($D76,IMPORTRANGE(""1y0FWgjbB0gVlqn-q5LMJbGIsqOrzru4yowQz67dz2yc"", ""'STC'!D3:D139""),0))"),0)</f>
        <v>0</v>
      </c>
      <c r="AB76" s="265">
        <f ca="1">IFERROR(__xludf.DUMMYFUNCTION("INDEX(IMPORTRANGE(""1y0FWgjbB0gVlqn-q5LMJbGIsqOrzru4yowQz67dz2yc"", ""'STC'!BJ3:BJ139""),MATCH($D76,IMPORTRANGE(""1y0FWgjbB0gVlqn-q5LMJbGIsqOrzru4yowQz67dz2yc"", ""'STC'!D3:D139""),0))"),0)</f>
        <v>0</v>
      </c>
      <c r="AC76" s="1"/>
    </row>
    <row r="77" spans="1:29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2" t="s">
        <v>56</v>
      </c>
      <c r="H77" s="22" t="s">
        <v>57</v>
      </c>
      <c r="I77" s="2" t="s">
        <v>58</v>
      </c>
      <c r="J77" s="2" t="s">
        <v>59</v>
      </c>
      <c r="K77" s="2" t="s">
        <v>130</v>
      </c>
      <c r="L77" s="2" t="s">
        <v>61</v>
      </c>
      <c r="M77" s="2" t="s">
        <v>131</v>
      </c>
      <c r="N77" s="2" t="s">
        <v>63</v>
      </c>
      <c r="O77" s="2" t="s">
        <v>132</v>
      </c>
      <c r="P77" s="30">
        <f>P74+P75+P76</f>
        <v>0</v>
      </c>
      <c r="Q77" s="2"/>
      <c r="R77" s="12">
        <v>1666</v>
      </c>
      <c r="S77" s="2">
        <v>833</v>
      </c>
      <c r="T77" s="12">
        <v>1666</v>
      </c>
      <c r="U77" s="2">
        <v>833</v>
      </c>
      <c r="V77" s="12">
        <v>1666</v>
      </c>
      <c r="W77" s="30">
        <v>4997.1400000000003</v>
      </c>
      <c r="X77" s="30">
        <f>X74+X75+X76</f>
        <v>2610.7199999999998</v>
      </c>
      <c r="Y77" s="265">
        <f ca="1">IFERROR(__xludf.DUMMYFUNCTION("INDEX(IMPORTRANGE(""1y0FWgjbB0gVlqn-q5LMJbGIsqOrzru4yowQz67dz2yc"", ""'STC'!BG3:BG139""),MATCH($D77,IMPORTRANGE(""1y0FWgjbB0gVlqn-q5LMJbGIsqOrzru4yowQz67dz2yc"", ""'STC'!D3:D139""),0))"),6393.41)</f>
        <v>6393.41</v>
      </c>
      <c r="Z77" s="269">
        <f ca="1">IFERROR(__xludf.DUMMYFUNCTION("INDEX(IMPORTRANGE(""1y0FWgjbB0gVlqn-q5LMJbGIsqOrzru4yowQz67dz2yc"", ""'STC'!BH3:BH139""),MATCH($D77,IMPORTRANGE(""1y0FWgjbB0gVlqn-q5LMJbGIsqOrzru4yowQz67dz2yc"", ""'STC'!D3:D139""),0))"),2682.37)</f>
        <v>2682.37</v>
      </c>
      <c r="AA77" s="265">
        <f ca="1">IFERROR(__xludf.DUMMYFUNCTION("INDEX(IMPORTRANGE(""1y0FWgjbB0gVlqn-q5LMJbGIsqOrzru4yowQz67dz2yc"", ""'STC'!BI3:BI139""),MATCH($D77,IMPORTRANGE(""1y0FWgjbB0gVlqn-q5LMJbGIsqOrzru4yowQz67dz2yc"", ""'STC'!D3:D139""),0))"),24625.33)</f>
        <v>24625.33</v>
      </c>
      <c r="AB77" s="269">
        <f ca="1">IFERROR(__xludf.DUMMYFUNCTION("INDEX(IMPORTRANGE(""1y0FWgjbB0gVlqn-q5LMJbGIsqOrzru4yowQz67dz2yc"", ""'STC'!BJ3:BJ139""),MATCH($D77,IMPORTRANGE(""1y0FWgjbB0gVlqn-q5LMJbGIsqOrzru4yowQz67dz2yc"", ""'STC'!D3:D139""),0))"),1105.69)</f>
        <v>1105.69</v>
      </c>
      <c r="AC77" s="1"/>
    </row>
    <row r="78" spans="1:29">
      <c r="A78" s="7" t="s">
        <v>199</v>
      </c>
      <c r="B78" s="7" t="s">
        <v>200</v>
      </c>
      <c r="C78" s="1" t="s">
        <v>30</v>
      </c>
      <c r="D78" s="155" t="s">
        <v>211</v>
      </c>
      <c r="E78" s="9" t="s">
        <v>38</v>
      </c>
      <c r="F78" s="9" t="s">
        <v>212</v>
      </c>
      <c r="G78" s="21" t="s">
        <v>213</v>
      </c>
      <c r="H78" s="22" t="s">
        <v>214</v>
      </c>
      <c r="I78" s="9" t="s">
        <v>215</v>
      </c>
      <c r="J78" s="182"/>
      <c r="K78" s="9" t="s">
        <v>216</v>
      </c>
      <c r="L78" s="182"/>
      <c r="M78" s="9" t="s">
        <v>217</v>
      </c>
      <c r="N78" s="2" t="s">
        <v>218</v>
      </c>
      <c r="O78" s="2" t="s">
        <v>218</v>
      </c>
      <c r="P78" s="36">
        <v>17147781.029999997</v>
      </c>
      <c r="Q78" s="36">
        <v>17147781.029999997</v>
      </c>
      <c r="R78" s="2"/>
      <c r="S78" s="2"/>
      <c r="T78" s="2"/>
      <c r="U78" s="2"/>
      <c r="V78" s="2"/>
      <c r="W78" s="2"/>
      <c r="X78" s="36">
        <v>17147781.029999997</v>
      </c>
      <c r="Y78" s="522" t="str">
        <f ca="1">IFERROR(__xludf.DUMMYFUNCTION("INDEX(IMPORTRANGE(""1y0FWgjbB0gVlqn-q5LMJbGIsqOrzru4yowQz67dz2yc"", ""'STC'!BG3:BG139""),MATCH($D78,IMPORTRANGE(""1y0FWgjbB0gVlqn-q5LMJbGIsqOrzru4yowQz67dz2yc"", ""'STC'!D3:D139""),0))"),"")</f>
        <v/>
      </c>
      <c r="Z78" s="272">
        <f ca="1">IFERROR(__xludf.DUMMYFUNCTION("INDEX(IMPORTRANGE(""1y0FWgjbB0gVlqn-q5LMJbGIsqOrzru4yowQz67dz2yc"", ""'STC'!BH3:BH139""),MATCH($D78,IMPORTRANGE(""1y0FWgjbB0gVlqn-q5LMJbGIsqOrzru4yowQz67dz2yc"", ""'STC'!D3:D139""),0))"),18080269.07)</f>
        <v>18080269.07</v>
      </c>
      <c r="AA78" s="522" t="str">
        <f ca="1">IFERROR(__xludf.DUMMYFUNCTION("INDEX(IMPORTRANGE(""1y0FWgjbB0gVlqn-q5LMJbGIsqOrzru4yowQz67dz2yc"", ""'STC'!BI3:BI139""),MATCH($D78,IMPORTRANGE(""1y0FWgjbB0gVlqn-q5LMJbGIsqOrzru4yowQz67dz2yc"", ""'STC'!D3:D139""),0))"),"")</f>
        <v/>
      </c>
      <c r="AB78" s="272">
        <f ca="1">IFERROR(__xludf.DUMMYFUNCTION("INDEX(IMPORTRANGE(""1y0FWgjbB0gVlqn-q5LMJbGIsqOrzru4yowQz67dz2yc"", ""'STC'!BJ3:BJ139""),MATCH($D78,IMPORTRANGE(""1y0FWgjbB0gVlqn-q5LMJbGIsqOrzru4yowQz67dz2yc"", ""'STC'!D3:D139""),0))"),5063687)</f>
        <v>5063687</v>
      </c>
      <c r="AC78" s="1"/>
    </row>
    <row r="79" spans="1:29">
      <c r="A79" s="7" t="s">
        <v>199</v>
      </c>
      <c r="B79" s="7" t="s">
        <v>200</v>
      </c>
      <c r="C79" s="1" t="s">
        <v>30</v>
      </c>
      <c r="D79" s="155" t="s">
        <v>219</v>
      </c>
      <c r="E79" s="9" t="s">
        <v>38</v>
      </c>
      <c r="F79" s="9" t="s">
        <v>220</v>
      </c>
      <c r="G79" s="21" t="s">
        <v>213</v>
      </c>
      <c r="H79" s="22" t="s">
        <v>214</v>
      </c>
      <c r="I79" s="9" t="s">
        <v>215</v>
      </c>
      <c r="J79" s="182"/>
      <c r="K79" s="9" t="s">
        <v>216</v>
      </c>
      <c r="L79" s="182"/>
      <c r="M79" s="9" t="s">
        <v>217</v>
      </c>
      <c r="N79" s="2" t="s">
        <v>218</v>
      </c>
      <c r="O79" s="2" t="s">
        <v>218</v>
      </c>
      <c r="P79" s="36">
        <v>1843794.19</v>
      </c>
      <c r="Q79" s="36">
        <v>1843794.19</v>
      </c>
      <c r="R79" s="2"/>
      <c r="S79" s="2"/>
      <c r="T79" s="2"/>
      <c r="U79" s="2"/>
      <c r="V79" s="2"/>
      <c r="W79" s="2"/>
      <c r="X79" s="36">
        <v>1843794.19</v>
      </c>
      <c r="Y79" s="522" t="str">
        <f ca="1">IFERROR(__xludf.DUMMYFUNCTION("INDEX(IMPORTRANGE(""1y0FWgjbB0gVlqn-q5LMJbGIsqOrzru4yowQz67dz2yc"", ""'STC'!BG3:BG139""),MATCH($D79,IMPORTRANGE(""1y0FWgjbB0gVlqn-q5LMJbGIsqOrzru4yowQz67dz2yc"", ""'STC'!D3:D139""),0))"),"")</f>
        <v/>
      </c>
      <c r="Z79" s="272">
        <f ca="1">IFERROR(__xludf.DUMMYFUNCTION("INDEX(IMPORTRANGE(""1y0FWgjbB0gVlqn-q5LMJbGIsqOrzru4yowQz67dz2yc"", ""'STC'!BH3:BH139""),MATCH($D79,IMPORTRANGE(""1y0FWgjbB0gVlqn-q5LMJbGIsqOrzru4yowQz67dz2yc"", ""'STC'!D3:D139""),0))"),4053814.24)</f>
        <v>4053814.24</v>
      </c>
      <c r="AA79" s="522" t="str">
        <f ca="1">IFERROR(__xludf.DUMMYFUNCTION("INDEX(IMPORTRANGE(""1y0FWgjbB0gVlqn-q5LMJbGIsqOrzru4yowQz67dz2yc"", ""'STC'!BI3:BI139""),MATCH($D79,IMPORTRANGE(""1y0FWgjbB0gVlqn-q5LMJbGIsqOrzru4yowQz67dz2yc"", ""'STC'!D3:D139""),0))"),"")</f>
        <v/>
      </c>
      <c r="AB79" s="272">
        <f ca="1">IFERROR(__xludf.DUMMYFUNCTION("INDEX(IMPORTRANGE(""1y0FWgjbB0gVlqn-q5LMJbGIsqOrzru4yowQz67dz2yc"", ""'STC'!BJ3:BJ139""),MATCH($D79,IMPORTRANGE(""1y0FWgjbB0gVlqn-q5LMJbGIsqOrzru4yowQz67dz2yc"", ""'STC'!D3:D139""),0))"),2352302)</f>
        <v>2352302</v>
      </c>
      <c r="AC79" s="1"/>
    </row>
    <row r="80" spans="1:29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21" t="s">
        <v>213</v>
      </c>
      <c r="H80" s="22" t="s">
        <v>214</v>
      </c>
      <c r="I80" s="9" t="s">
        <v>215</v>
      </c>
      <c r="J80" s="182"/>
      <c r="K80" s="9" t="s">
        <v>216</v>
      </c>
      <c r="L80" s="182"/>
      <c r="M80" s="9" t="s">
        <v>217</v>
      </c>
      <c r="N80" s="2" t="s">
        <v>218</v>
      </c>
      <c r="O80" s="2" t="s">
        <v>218</v>
      </c>
      <c r="P80" s="15">
        <f t="shared" ref="P80:Q80" si="18">P79/P78</f>
        <v>0.10752377737820928</v>
      </c>
      <c r="Q80" s="15">
        <f t="shared" si="18"/>
        <v>0.10752377737820928</v>
      </c>
      <c r="R80" s="26"/>
      <c r="S80" s="26">
        <v>0.1183</v>
      </c>
      <c r="T80" s="26"/>
      <c r="U80" s="26">
        <v>0.12920000000000001</v>
      </c>
      <c r="V80" s="14">
        <v>0.14000000000000001</v>
      </c>
      <c r="W80" s="14">
        <v>0.14000000000000001</v>
      </c>
      <c r="X80" s="15">
        <f>X79/X78</f>
        <v>0.10752377737820928</v>
      </c>
      <c r="Y80" s="522" t="str">
        <f ca="1">IFERROR(__xludf.DUMMYFUNCTION("INDEX(IMPORTRANGE(""1y0FWgjbB0gVlqn-q5LMJbGIsqOrzru4yowQz67dz2yc"", ""'STC'!BG3:BG139""),MATCH($D80,IMPORTRANGE(""1y0FWgjbB0gVlqn-q5LMJbGIsqOrzru4yowQz67dz2yc"", ""'STC'!D3:D139""),0))"),"")</f>
        <v/>
      </c>
      <c r="Z80" s="25">
        <f ca="1">IFERROR(__xludf.DUMMYFUNCTION("INDEX(IMPORTRANGE(""1y0FWgjbB0gVlqn-q5LMJbGIsqOrzru4yowQz67dz2yc"", ""'STC'!BH3:BH139""),MATCH($D80,IMPORTRANGE(""1y0FWgjbB0gVlqn-q5LMJbGIsqOrzru4yowQz67dz2yc"", ""'STC'!D3:D139""),0))"),0.224212052614104)</f>
        <v>0.22421205261410401</v>
      </c>
      <c r="AA80" s="522" t="str">
        <f ca="1">IFERROR(__xludf.DUMMYFUNCTION("INDEX(IMPORTRANGE(""1y0FWgjbB0gVlqn-q5LMJbGIsqOrzru4yowQz67dz2yc"", ""'STC'!BI3:BI139""),MATCH($D80,IMPORTRANGE(""1y0FWgjbB0gVlqn-q5LMJbGIsqOrzru4yowQz67dz2yc"", ""'STC'!D3:D139""),0))"),"")</f>
        <v/>
      </c>
      <c r="AB80" s="25">
        <f ca="1">IFERROR(__xludf.DUMMYFUNCTION("INDEX(IMPORTRANGE(""1y0FWgjbB0gVlqn-q5LMJbGIsqOrzru4yowQz67dz2yc"", ""'STC'!BJ3:BJ139""),MATCH($D80,IMPORTRANGE(""1y0FWgjbB0gVlqn-q5LMJbGIsqOrzru4yowQz67dz2yc"", ""'STC'!D3:D139""),0))"),0.464543325841427)</f>
        <v>0.46454332584142699</v>
      </c>
      <c r="AC80" s="1"/>
    </row>
    <row r="81" spans="1:29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2" t="s">
        <v>56</v>
      </c>
      <c r="H81" s="22" t="s">
        <v>57</v>
      </c>
      <c r="I81" s="2" t="s">
        <v>58</v>
      </c>
      <c r="J81" s="2" t="s">
        <v>59</v>
      </c>
      <c r="K81" s="2" t="s">
        <v>130</v>
      </c>
      <c r="L81" s="2" t="s">
        <v>61</v>
      </c>
      <c r="M81" s="2" t="s">
        <v>131</v>
      </c>
      <c r="N81" s="2" t="s">
        <v>63</v>
      </c>
      <c r="O81" s="2" t="s">
        <v>132</v>
      </c>
      <c r="P81" s="12">
        <v>19</v>
      </c>
      <c r="Q81" s="2">
        <v>19</v>
      </c>
      <c r="R81" s="2"/>
      <c r="S81" s="2"/>
      <c r="T81" s="2"/>
      <c r="U81" s="2"/>
      <c r="V81" s="2"/>
      <c r="W81" s="2"/>
      <c r="X81" s="2">
        <v>0</v>
      </c>
      <c r="Y81" s="262">
        <f ca="1">IFERROR(__xludf.DUMMYFUNCTION("INDEX(IMPORTRANGE(""1y0FWgjbB0gVlqn-q5LMJbGIsqOrzru4yowQz67dz2yc"", ""'STC'!BG3:BG139""),MATCH($D81,IMPORTRANGE(""1y0FWgjbB0gVlqn-q5LMJbGIsqOrzru4yowQz67dz2yc"", ""'STC'!D3:D139""),0))"),4)</f>
        <v>4</v>
      </c>
      <c r="Z81" s="262">
        <f ca="1">IFERROR(__xludf.DUMMYFUNCTION("INDEX(IMPORTRANGE(""1y0FWgjbB0gVlqn-q5LMJbGIsqOrzru4yowQz67dz2yc"", ""'STC'!BH3:BH139""),MATCH($D81,IMPORTRANGE(""1y0FWgjbB0gVlqn-q5LMJbGIsqOrzru4yowQz67dz2yc"", ""'STC'!D3:D139""),0))"),4)</f>
        <v>4</v>
      </c>
      <c r="AA81" s="262">
        <f ca="1">IFERROR(__xludf.DUMMYFUNCTION("INDEX(IMPORTRANGE(""1y0FWgjbB0gVlqn-q5LMJbGIsqOrzru4yowQz67dz2yc"", ""'STC'!BI3:BI139""),MATCH($D81,IMPORTRANGE(""1y0FWgjbB0gVlqn-q5LMJbGIsqOrzru4yowQz67dz2yc"", ""'STC'!D3:D139""),0))"),13)</f>
        <v>13</v>
      </c>
      <c r="AB81" s="262">
        <f ca="1">IFERROR(__xludf.DUMMYFUNCTION("INDEX(IMPORTRANGE(""1y0FWgjbB0gVlqn-q5LMJbGIsqOrzru4yowQz67dz2yc"", ""'STC'!BJ3:BJ139""),MATCH($D81,IMPORTRANGE(""1y0FWgjbB0gVlqn-q5LMJbGIsqOrzru4yowQz67dz2yc"", ""'STC'!D3:D139""),0))"),16)</f>
        <v>16</v>
      </c>
      <c r="AC81" s="1"/>
    </row>
    <row r="82" spans="1:29">
      <c r="A82" s="7" t="s">
        <v>199</v>
      </c>
      <c r="B82" s="7" t="s">
        <v>200</v>
      </c>
      <c r="C82" s="1" t="s">
        <v>30</v>
      </c>
      <c r="D82" s="155" t="s">
        <v>225</v>
      </c>
      <c r="E82" s="9" t="s">
        <v>38</v>
      </c>
      <c r="F82" s="9" t="s">
        <v>182</v>
      </c>
      <c r="G82" s="22" t="s">
        <v>56</v>
      </c>
      <c r="H82" s="22" t="s">
        <v>57</v>
      </c>
      <c r="I82" s="2" t="s">
        <v>58</v>
      </c>
      <c r="J82" s="2" t="s">
        <v>59</v>
      </c>
      <c r="K82" s="2" t="s">
        <v>130</v>
      </c>
      <c r="L82" s="2" t="s">
        <v>61</v>
      </c>
      <c r="M82" s="2" t="s">
        <v>131</v>
      </c>
      <c r="N82" s="2" t="s">
        <v>63</v>
      </c>
      <c r="O82" s="2" t="s">
        <v>132</v>
      </c>
      <c r="P82" s="12">
        <v>6</v>
      </c>
      <c r="Q82" s="2">
        <v>6</v>
      </c>
      <c r="R82" s="2"/>
      <c r="S82" s="2"/>
      <c r="T82" s="2"/>
      <c r="U82" s="2"/>
      <c r="V82" s="2"/>
      <c r="W82" s="2"/>
      <c r="X82" s="2">
        <v>0</v>
      </c>
      <c r="Y82" s="262">
        <f ca="1">IFERROR(__xludf.DUMMYFUNCTION("INDEX(IMPORTRANGE(""1y0FWgjbB0gVlqn-q5LMJbGIsqOrzru4yowQz67dz2yc"", ""'STC'!BG3:BG139""),MATCH($D82,IMPORTRANGE(""1y0FWgjbB0gVlqn-q5LMJbGIsqOrzru4yowQz67dz2yc"", ""'STC'!D3:D139""),0))"),0)</f>
        <v>0</v>
      </c>
      <c r="Z82" s="262">
        <f ca="1">IFERROR(__xludf.DUMMYFUNCTION("INDEX(IMPORTRANGE(""1y0FWgjbB0gVlqn-q5LMJbGIsqOrzru4yowQz67dz2yc"", ""'STC'!BH3:BH139""),MATCH($D82,IMPORTRANGE(""1y0FWgjbB0gVlqn-q5LMJbGIsqOrzru4yowQz67dz2yc"", ""'STC'!D3:D139""),0))"),0)</f>
        <v>0</v>
      </c>
      <c r="AA82" s="262">
        <f ca="1">IFERROR(__xludf.DUMMYFUNCTION("INDEX(IMPORTRANGE(""1y0FWgjbB0gVlqn-q5LMJbGIsqOrzru4yowQz67dz2yc"", ""'STC'!BI3:BI139""),MATCH($D82,IMPORTRANGE(""1y0FWgjbB0gVlqn-q5LMJbGIsqOrzru4yowQz67dz2yc"", ""'STC'!D3:D139""),0))"),15)</f>
        <v>15</v>
      </c>
      <c r="AB82" s="262">
        <f ca="1">IFERROR(__xludf.DUMMYFUNCTION("INDEX(IMPORTRANGE(""1y0FWgjbB0gVlqn-q5LMJbGIsqOrzru4yowQz67dz2yc"", ""'STC'!BJ3:BJ139""),MATCH($D82,IMPORTRANGE(""1y0FWgjbB0gVlqn-q5LMJbGIsqOrzru4yowQz67dz2yc"", ""'STC'!D3:D139""),0))"),24)</f>
        <v>24</v>
      </c>
      <c r="AC82" s="1"/>
    </row>
    <row r="83" spans="1:29">
      <c r="A83" s="7" t="s">
        <v>199</v>
      </c>
      <c r="B83" s="7" t="s">
        <v>200</v>
      </c>
      <c r="C83" s="1" t="s">
        <v>36</v>
      </c>
      <c r="D83" s="155" t="s">
        <v>226</v>
      </c>
      <c r="E83" s="9" t="s">
        <v>38</v>
      </c>
      <c r="F83" s="9" t="s">
        <v>227</v>
      </c>
      <c r="G83" s="22" t="s">
        <v>56</v>
      </c>
      <c r="H83" s="22" t="s">
        <v>57</v>
      </c>
      <c r="I83" s="2" t="s">
        <v>58</v>
      </c>
      <c r="J83" s="2" t="s">
        <v>59</v>
      </c>
      <c r="K83" s="2" t="s">
        <v>130</v>
      </c>
      <c r="L83" s="2" t="s">
        <v>61</v>
      </c>
      <c r="M83" s="2" t="s">
        <v>131</v>
      </c>
      <c r="N83" s="2" t="s">
        <v>63</v>
      </c>
      <c r="O83" s="2" t="s">
        <v>132</v>
      </c>
      <c r="P83" s="12">
        <f t="shared" ref="P83:Q83" si="19">P81+P82</f>
        <v>25</v>
      </c>
      <c r="Q83" s="2">
        <f t="shared" si="19"/>
        <v>25</v>
      </c>
      <c r="R83" s="2">
        <v>9</v>
      </c>
      <c r="S83" s="2">
        <v>5</v>
      </c>
      <c r="T83" s="2">
        <v>9</v>
      </c>
      <c r="U83" s="2">
        <v>5</v>
      </c>
      <c r="V83" s="2">
        <v>9</v>
      </c>
      <c r="W83" s="2">
        <v>28</v>
      </c>
      <c r="X83" s="2">
        <f>SUM(X81:X82)</f>
        <v>0</v>
      </c>
      <c r="Y83" s="262">
        <f ca="1">IFERROR(__xludf.DUMMYFUNCTION("INDEX(IMPORTRANGE(""1y0FWgjbB0gVlqn-q5LMJbGIsqOrzru4yowQz67dz2yc"", ""'STC'!BG3:BG139""),MATCH($D83,IMPORTRANGE(""1y0FWgjbB0gVlqn-q5LMJbGIsqOrzru4yowQz67dz2yc"", ""'STC'!D3:D139""),0))"),4)</f>
        <v>4</v>
      </c>
      <c r="Z83" s="262">
        <f ca="1">IFERROR(__xludf.DUMMYFUNCTION("INDEX(IMPORTRANGE(""1y0FWgjbB0gVlqn-q5LMJbGIsqOrzru4yowQz67dz2yc"", ""'STC'!BH3:BH139""),MATCH($D83,IMPORTRANGE(""1y0FWgjbB0gVlqn-q5LMJbGIsqOrzru4yowQz67dz2yc"", ""'STC'!D3:D139""),0))"),4)</f>
        <v>4</v>
      </c>
      <c r="AA83" s="262">
        <f ca="1">IFERROR(__xludf.DUMMYFUNCTION("INDEX(IMPORTRANGE(""1y0FWgjbB0gVlqn-q5LMJbGIsqOrzru4yowQz67dz2yc"", ""'STC'!BI3:BI139""),MATCH($D83,IMPORTRANGE(""1y0FWgjbB0gVlqn-q5LMJbGIsqOrzru4yowQz67dz2yc"", ""'STC'!D3:D139""),0))"),28)</f>
        <v>28</v>
      </c>
      <c r="AB83" s="262">
        <f ca="1">IFERROR(__xludf.DUMMYFUNCTION("INDEX(IMPORTRANGE(""1y0FWgjbB0gVlqn-q5LMJbGIsqOrzru4yowQz67dz2yc"", ""'STC'!BJ3:BJ139""),MATCH($D83,IMPORTRANGE(""1y0FWgjbB0gVlqn-q5LMJbGIsqOrzru4yowQz67dz2yc"", ""'STC'!D3:D139""),0))"),40)</f>
        <v>40</v>
      </c>
      <c r="AC83" s="1"/>
    </row>
    <row r="84" spans="1:29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2" t="s">
        <v>231</v>
      </c>
      <c r="H84" s="22" t="s">
        <v>232</v>
      </c>
      <c r="I84" s="2" t="s">
        <v>58</v>
      </c>
      <c r="J84" s="2" t="s">
        <v>59</v>
      </c>
      <c r="K84" s="2" t="s">
        <v>130</v>
      </c>
      <c r="L84" s="2" t="s">
        <v>61</v>
      </c>
      <c r="M84" s="2" t="s">
        <v>131</v>
      </c>
      <c r="N84" s="2" t="s">
        <v>63</v>
      </c>
      <c r="O84" s="2" t="s">
        <v>63</v>
      </c>
      <c r="P84" s="12">
        <v>51</v>
      </c>
      <c r="Q84" s="2">
        <v>77</v>
      </c>
      <c r="R84" s="2"/>
      <c r="S84" s="2"/>
      <c r="T84" s="2"/>
      <c r="U84" s="2"/>
      <c r="V84" s="2"/>
      <c r="W84" s="2"/>
      <c r="X84" s="2">
        <v>40</v>
      </c>
      <c r="Y84" s="262">
        <f ca="1">IFERROR(__xludf.DUMMYFUNCTION("INDEX(IMPORTRANGE(""1y0FWgjbB0gVlqn-q5LMJbGIsqOrzru4yowQz67dz2yc"", ""'STC'!BG3:BG139""),MATCH($D84,IMPORTRANGE(""1y0FWgjbB0gVlqn-q5LMJbGIsqOrzru4yowQz67dz2yc"", ""'STC'!D3:D139""),0))"),1564)</f>
        <v>1564</v>
      </c>
      <c r="Z84" s="262">
        <f ca="1">IFERROR(__xludf.DUMMYFUNCTION("INDEX(IMPORTRANGE(""1y0FWgjbB0gVlqn-q5LMJbGIsqOrzru4yowQz67dz2yc"", ""'STC'!BH3:BH139""),MATCH($D84,IMPORTRANGE(""1y0FWgjbB0gVlqn-q5LMJbGIsqOrzru4yowQz67dz2yc"", ""'STC'!D3:D139""),0))"),25)</f>
        <v>25</v>
      </c>
      <c r="AA84" s="262">
        <f ca="1">IFERROR(__xludf.DUMMYFUNCTION("INDEX(IMPORTRANGE(""1y0FWgjbB0gVlqn-q5LMJbGIsqOrzru4yowQz67dz2yc"", ""'STC'!BI3:BI139""),MATCH($D84,IMPORTRANGE(""1y0FWgjbB0gVlqn-q5LMJbGIsqOrzru4yowQz67dz2yc"", ""'STC'!D3:D139""),0))"),90)</f>
        <v>90</v>
      </c>
      <c r="AB84" s="262">
        <f ca="1">IFERROR(__xludf.DUMMYFUNCTION("INDEX(IMPORTRANGE(""1y0FWgjbB0gVlqn-q5LMJbGIsqOrzru4yowQz67dz2yc"", ""'STC'!BJ3:BJ139""),MATCH($D84,IMPORTRANGE(""1y0FWgjbB0gVlqn-q5LMJbGIsqOrzru4yowQz67dz2yc"", ""'STC'!D3:D139""),0))"),44)</f>
        <v>44</v>
      </c>
      <c r="AC84" s="1"/>
    </row>
    <row r="85" spans="1:29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2" t="s">
        <v>231</v>
      </c>
      <c r="H85" s="22" t="s">
        <v>232</v>
      </c>
      <c r="I85" s="2" t="s">
        <v>58</v>
      </c>
      <c r="J85" s="2" t="s">
        <v>59</v>
      </c>
      <c r="K85" s="2" t="s">
        <v>130</v>
      </c>
      <c r="L85" s="2" t="s">
        <v>61</v>
      </c>
      <c r="M85" s="2" t="s">
        <v>131</v>
      </c>
      <c r="N85" s="2" t="s">
        <v>63</v>
      </c>
      <c r="O85" s="2" t="s">
        <v>63</v>
      </c>
      <c r="P85" s="12">
        <v>5</v>
      </c>
      <c r="Q85" s="2">
        <v>7</v>
      </c>
      <c r="R85" s="2"/>
      <c r="S85" s="2"/>
      <c r="T85" s="2"/>
      <c r="U85" s="2"/>
      <c r="V85" s="2"/>
      <c r="W85" s="2"/>
      <c r="X85" s="2">
        <v>3</v>
      </c>
      <c r="Y85" s="262">
        <f ca="1">IFERROR(__xludf.DUMMYFUNCTION("INDEX(IMPORTRANGE(""1y0FWgjbB0gVlqn-q5LMJbGIsqOrzru4yowQz67dz2yc"", ""'STC'!BG3:BG139""),MATCH($D85,IMPORTRANGE(""1y0FWgjbB0gVlqn-q5LMJbGIsqOrzru4yowQz67dz2yc"", ""'STC'!D3:D139""),0))"),131)</f>
        <v>131</v>
      </c>
      <c r="Z85" s="262">
        <f ca="1">IFERROR(__xludf.DUMMYFUNCTION("INDEX(IMPORTRANGE(""1y0FWgjbB0gVlqn-q5LMJbGIsqOrzru4yowQz67dz2yc"", ""'STC'!BH3:BH139""),MATCH($D85,IMPORTRANGE(""1y0FWgjbB0gVlqn-q5LMJbGIsqOrzru4yowQz67dz2yc"", ""'STC'!D3:D139""),0))"),3)</f>
        <v>3</v>
      </c>
      <c r="AA85" s="262">
        <f ca="1">IFERROR(__xludf.DUMMYFUNCTION("INDEX(IMPORTRANGE(""1y0FWgjbB0gVlqn-q5LMJbGIsqOrzru4yowQz67dz2yc"", ""'STC'!BI3:BI139""),MATCH($D85,IMPORTRANGE(""1y0FWgjbB0gVlqn-q5LMJbGIsqOrzru4yowQz67dz2yc"", ""'STC'!D3:D139""),0))"),12)</f>
        <v>12</v>
      </c>
      <c r="AB85" s="262">
        <f ca="1">IFERROR(__xludf.DUMMYFUNCTION("INDEX(IMPORTRANGE(""1y0FWgjbB0gVlqn-q5LMJbGIsqOrzru4yowQz67dz2yc"", ""'STC'!BJ3:BJ139""),MATCH($D85,IMPORTRANGE(""1y0FWgjbB0gVlqn-q5LMJbGIsqOrzru4yowQz67dz2yc"", ""'STC'!D3:D139""),0))"),0)</f>
        <v>0</v>
      </c>
      <c r="AC85" s="1"/>
    </row>
    <row r="86" spans="1:29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2" t="s">
        <v>231</v>
      </c>
      <c r="H86" s="22" t="s">
        <v>232</v>
      </c>
      <c r="I86" s="2" t="s">
        <v>58</v>
      </c>
      <c r="J86" s="2" t="s">
        <v>59</v>
      </c>
      <c r="K86" s="2" t="s">
        <v>130</v>
      </c>
      <c r="L86" s="2" t="s">
        <v>61</v>
      </c>
      <c r="M86" s="2" t="s">
        <v>131</v>
      </c>
      <c r="N86" s="2" t="s">
        <v>63</v>
      </c>
      <c r="O86" s="2" t="s">
        <v>63</v>
      </c>
      <c r="P86" s="12">
        <v>1650</v>
      </c>
      <c r="Q86" s="12">
        <v>2853</v>
      </c>
      <c r="R86" s="2"/>
      <c r="S86" s="2"/>
      <c r="T86" s="2"/>
      <c r="U86" s="2"/>
      <c r="V86" s="2"/>
      <c r="W86" s="2"/>
      <c r="X86" s="12">
        <v>1738</v>
      </c>
      <c r="Y86" s="262">
        <f ca="1">IFERROR(__xludf.DUMMYFUNCTION("INDEX(IMPORTRANGE(""1y0FWgjbB0gVlqn-q5LMJbGIsqOrzru4yowQz67dz2yc"", ""'STC'!BG3:BG139""),MATCH($D86,IMPORTRANGE(""1y0FWgjbB0gVlqn-q5LMJbGIsqOrzru4yowQz67dz2yc"", ""'STC'!D3:D139""),0))"),1740)</f>
        <v>1740</v>
      </c>
      <c r="Z86" s="262">
        <f ca="1">IFERROR(__xludf.DUMMYFUNCTION("INDEX(IMPORTRANGE(""1y0FWgjbB0gVlqn-q5LMJbGIsqOrzru4yowQz67dz2yc"", ""'STC'!BH3:BH139""),MATCH($D86,IMPORTRANGE(""1y0FWgjbB0gVlqn-q5LMJbGIsqOrzru4yowQz67dz2yc"", ""'STC'!D3:D139""),0))"),1213)</f>
        <v>1213</v>
      </c>
      <c r="AA86" s="262">
        <f ca="1">IFERROR(__xludf.DUMMYFUNCTION("INDEX(IMPORTRANGE(""1y0FWgjbB0gVlqn-q5LMJbGIsqOrzru4yowQz67dz2yc"", ""'STC'!BI3:BI139""),MATCH($D86,IMPORTRANGE(""1y0FWgjbB0gVlqn-q5LMJbGIsqOrzru4yowQz67dz2yc"", ""'STC'!D3:D139""),0))"),2419)</f>
        <v>2419</v>
      </c>
      <c r="AB86" s="262">
        <f ca="1">IFERROR(__xludf.DUMMYFUNCTION("INDEX(IMPORTRANGE(""1y0FWgjbB0gVlqn-q5LMJbGIsqOrzru4yowQz67dz2yc"", ""'STC'!BJ3:BJ139""),MATCH($D86,IMPORTRANGE(""1y0FWgjbB0gVlqn-q5LMJbGIsqOrzru4yowQz67dz2yc"", ""'STC'!D3:D139""),0))"),838)</f>
        <v>838</v>
      </c>
      <c r="AC86" s="1"/>
    </row>
    <row r="87" spans="1:29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2" t="s">
        <v>231</v>
      </c>
      <c r="H87" s="22" t="s">
        <v>232</v>
      </c>
      <c r="I87" s="2" t="s">
        <v>58</v>
      </c>
      <c r="J87" s="2" t="s">
        <v>59</v>
      </c>
      <c r="K87" s="2" t="s">
        <v>130</v>
      </c>
      <c r="L87" s="2" t="s">
        <v>61</v>
      </c>
      <c r="M87" s="2" t="s">
        <v>131</v>
      </c>
      <c r="N87" s="2" t="s">
        <v>63</v>
      </c>
      <c r="O87" s="2" t="s">
        <v>63</v>
      </c>
      <c r="P87" s="12">
        <v>65</v>
      </c>
      <c r="Q87" s="12">
        <v>139</v>
      </c>
      <c r="R87" s="2"/>
      <c r="S87" s="2"/>
      <c r="T87" s="2"/>
      <c r="U87" s="2"/>
      <c r="V87" s="2"/>
      <c r="W87" s="2"/>
      <c r="X87" s="12">
        <v>88</v>
      </c>
      <c r="Y87" s="262">
        <f ca="1">IFERROR(__xludf.DUMMYFUNCTION("INDEX(IMPORTRANGE(""1y0FWgjbB0gVlqn-q5LMJbGIsqOrzru4yowQz67dz2yc"", ""'STC'!BG3:BG139""),MATCH($D87,IMPORTRANGE(""1y0FWgjbB0gVlqn-q5LMJbGIsqOrzru4yowQz67dz2yc"", ""'STC'!D3:D139""),0))"),210)</f>
        <v>210</v>
      </c>
      <c r="Z87" s="262">
        <f ca="1">IFERROR(__xludf.DUMMYFUNCTION("INDEX(IMPORTRANGE(""1y0FWgjbB0gVlqn-q5LMJbGIsqOrzru4yowQz67dz2yc"", ""'STC'!BH3:BH139""),MATCH($D87,IMPORTRANGE(""1y0FWgjbB0gVlqn-q5LMJbGIsqOrzru4yowQz67dz2yc"", ""'STC'!D3:D139""),0))"),77)</f>
        <v>77</v>
      </c>
      <c r="AA87" s="262">
        <f ca="1">IFERROR(__xludf.DUMMYFUNCTION("INDEX(IMPORTRANGE(""1y0FWgjbB0gVlqn-q5LMJbGIsqOrzru4yowQz67dz2yc"", ""'STC'!BI3:BI139""),MATCH($D87,IMPORTRANGE(""1y0FWgjbB0gVlqn-q5LMJbGIsqOrzru4yowQz67dz2yc"", ""'STC'!D3:D139""),0))"),171)</f>
        <v>171</v>
      </c>
      <c r="AB87" s="262">
        <f ca="1">IFERROR(__xludf.DUMMYFUNCTION("INDEX(IMPORTRANGE(""1y0FWgjbB0gVlqn-q5LMJbGIsqOrzru4yowQz67dz2yc"", ""'STC'!BJ3:BJ139""),MATCH($D87,IMPORTRANGE(""1y0FWgjbB0gVlqn-q5LMJbGIsqOrzru4yowQz67dz2yc"", ""'STC'!D3:D139""),0))"),75)</f>
        <v>75</v>
      </c>
      <c r="AC87" s="1"/>
    </row>
    <row r="88" spans="1:29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2" t="s">
        <v>231</v>
      </c>
      <c r="H88" s="22" t="s">
        <v>232</v>
      </c>
      <c r="I88" s="2" t="s">
        <v>58</v>
      </c>
      <c r="J88" s="2" t="s">
        <v>59</v>
      </c>
      <c r="K88" s="2" t="s">
        <v>130</v>
      </c>
      <c r="L88" s="2" t="s">
        <v>61</v>
      </c>
      <c r="M88" s="2" t="s">
        <v>131</v>
      </c>
      <c r="N88" s="2" t="s">
        <v>63</v>
      </c>
      <c r="O88" s="2" t="s">
        <v>63</v>
      </c>
      <c r="P88" s="12">
        <v>173</v>
      </c>
      <c r="Q88" s="12">
        <v>313</v>
      </c>
      <c r="R88" s="2"/>
      <c r="S88" s="2"/>
      <c r="T88" s="2"/>
      <c r="U88" s="2"/>
      <c r="V88" s="2"/>
      <c r="W88" s="2"/>
      <c r="X88" s="12">
        <v>413</v>
      </c>
      <c r="Y88" s="262">
        <f ca="1">IFERROR(__xludf.DUMMYFUNCTION("INDEX(IMPORTRANGE(""1y0FWgjbB0gVlqn-q5LMJbGIsqOrzru4yowQz67dz2yc"", ""'STC'!BG3:BG139""),MATCH($D88,IMPORTRANGE(""1y0FWgjbB0gVlqn-q5LMJbGIsqOrzru4yowQz67dz2yc"", ""'STC'!D3:D139""),0))"),852)</f>
        <v>852</v>
      </c>
      <c r="Z88" s="262">
        <f ca="1">IFERROR(__xludf.DUMMYFUNCTION("INDEX(IMPORTRANGE(""1y0FWgjbB0gVlqn-q5LMJbGIsqOrzru4yowQz67dz2yc"", ""'STC'!BH3:BH139""),MATCH($D88,IMPORTRANGE(""1y0FWgjbB0gVlqn-q5LMJbGIsqOrzru4yowQz67dz2yc"", ""'STC'!D3:D139""),0))"),195)</f>
        <v>195</v>
      </c>
      <c r="AA88" s="262">
        <f ca="1">IFERROR(__xludf.DUMMYFUNCTION("INDEX(IMPORTRANGE(""1y0FWgjbB0gVlqn-q5LMJbGIsqOrzru4yowQz67dz2yc"", ""'STC'!BI3:BI139""),MATCH($D88,IMPORTRANGE(""1y0FWgjbB0gVlqn-q5LMJbGIsqOrzru4yowQz67dz2yc"", ""'STC'!D3:D139""),0))"),496)</f>
        <v>496</v>
      </c>
      <c r="AB88" s="262">
        <f ca="1">IFERROR(__xludf.DUMMYFUNCTION("INDEX(IMPORTRANGE(""1y0FWgjbB0gVlqn-q5LMJbGIsqOrzru4yowQz67dz2yc"", ""'STC'!BJ3:BJ139""),MATCH($D88,IMPORTRANGE(""1y0FWgjbB0gVlqn-q5LMJbGIsqOrzru4yowQz67dz2yc"", ""'STC'!D3:D139""),0))"),225)</f>
        <v>225</v>
      </c>
      <c r="AC88" s="1"/>
    </row>
    <row r="89" spans="1:29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2" t="s">
        <v>231</v>
      </c>
      <c r="H89" s="22" t="s">
        <v>232</v>
      </c>
      <c r="I89" s="2" t="s">
        <v>58</v>
      </c>
      <c r="J89" s="2" t="s">
        <v>59</v>
      </c>
      <c r="K89" s="2" t="s">
        <v>130</v>
      </c>
      <c r="L89" s="2" t="s">
        <v>61</v>
      </c>
      <c r="M89" s="2" t="s">
        <v>131</v>
      </c>
      <c r="N89" s="2" t="s">
        <v>63</v>
      </c>
      <c r="O89" s="2" t="s">
        <v>63</v>
      </c>
      <c r="P89" s="12">
        <v>1944</v>
      </c>
      <c r="Q89" s="12">
        <v>3389</v>
      </c>
      <c r="R89" s="2">
        <v>3009.3</v>
      </c>
      <c r="S89" s="2">
        <v>1508.4</v>
      </c>
      <c r="T89" s="2">
        <v>2629.7</v>
      </c>
      <c r="U89" s="2">
        <v>1290.5999999999999</v>
      </c>
      <c r="V89" s="2">
        <v>2250</v>
      </c>
      <c r="W89" s="2">
        <v>2250</v>
      </c>
      <c r="X89" s="12">
        <v>2282</v>
      </c>
      <c r="Y89" s="262">
        <f ca="1">IFERROR(__xludf.DUMMYFUNCTION("INDEX(IMPORTRANGE(""1y0FWgjbB0gVlqn-q5LMJbGIsqOrzru4yowQz67dz2yc"", ""'STC'!BG3:BG139""),MATCH($D89,IMPORTRANGE(""1y0FWgjbB0gVlqn-q5LMJbGIsqOrzru4yowQz67dz2yc"", ""'STC'!D3:D139""),0))"),4497)</f>
        <v>4497</v>
      </c>
      <c r="Z89" s="262">
        <f ca="1">IFERROR(__xludf.DUMMYFUNCTION("INDEX(IMPORTRANGE(""1y0FWgjbB0gVlqn-q5LMJbGIsqOrzru4yowQz67dz2yc"", ""'STC'!BH3:BH139""),MATCH($D89,IMPORTRANGE(""1y0FWgjbB0gVlqn-q5LMJbGIsqOrzru4yowQz67dz2yc"", ""'STC'!D3:D139""),0))"),1513)</f>
        <v>1513</v>
      </c>
      <c r="AA89" s="262">
        <f ca="1">IFERROR(__xludf.DUMMYFUNCTION("INDEX(IMPORTRANGE(""1y0FWgjbB0gVlqn-q5LMJbGIsqOrzru4yowQz67dz2yc"", ""'STC'!BI3:BI139""),MATCH($D89,IMPORTRANGE(""1y0FWgjbB0gVlqn-q5LMJbGIsqOrzru4yowQz67dz2yc"", ""'STC'!D3:D139""),0))"),3188)</f>
        <v>3188</v>
      </c>
      <c r="AB89" s="262">
        <f ca="1">IFERROR(__xludf.DUMMYFUNCTION("INDEX(IMPORTRANGE(""1y0FWgjbB0gVlqn-q5LMJbGIsqOrzru4yowQz67dz2yc"", ""'STC'!BJ3:BJ139""),MATCH($D89,IMPORTRANGE(""1y0FWgjbB0gVlqn-q5LMJbGIsqOrzru4yowQz67dz2yc"", ""'STC'!D3:D139""),0))"),1182)</f>
        <v>1182</v>
      </c>
      <c r="AC89" s="1"/>
    </row>
    <row r="90" spans="1:29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2" t="s">
        <v>56</v>
      </c>
      <c r="H90" s="22" t="s">
        <v>57</v>
      </c>
      <c r="I90" s="2" t="s">
        <v>58</v>
      </c>
      <c r="J90" s="2" t="s">
        <v>59</v>
      </c>
      <c r="K90" s="2" t="s">
        <v>130</v>
      </c>
      <c r="L90" s="2" t="s">
        <v>61</v>
      </c>
      <c r="M90" s="2" t="s">
        <v>131</v>
      </c>
      <c r="N90" s="2" t="s">
        <v>63</v>
      </c>
      <c r="O90" s="2" t="s">
        <v>132</v>
      </c>
      <c r="P90" s="12">
        <v>1</v>
      </c>
      <c r="Q90" s="12">
        <v>1</v>
      </c>
      <c r="R90" s="2">
        <v>1</v>
      </c>
      <c r="S90" s="2">
        <v>2</v>
      </c>
      <c r="T90" s="2">
        <v>3</v>
      </c>
      <c r="U90" s="2">
        <v>3</v>
      </c>
      <c r="V90" s="2">
        <v>4</v>
      </c>
      <c r="W90" s="2">
        <v>4</v>
      </c>
      <c r="X90" s="2">
        <v>8</v>
      </c>
      <c r="Y90" s="262">
        <f ca="1">IFERROR(__xludf.DUMMYFUNCTION("INDEX(IMPORTRANGE(""1y0FWgjbB0gVlqn-q5LMJbGIsqOrzru4yowQz67dz2yc"", ""'STC'!BG3:BG139""),MATCH($D90,IMPORTRANGE(""1y0FWgjbB0gVlqn-q5LMJbGIsqOrzru4yowQz67dz2yc"", ""'STC'!D3:D139""),0))"),9)</f>
        <v>9</v>
      </c>
      <c r="Z90" s="262">
        <f ca="1">IFERROR(__xludf.DUMMYFUNCTION("INDEX(IMPORTRANGE(""1y0FWgjbB0gVlqn-q5LMJbGIsqOrzru4yowQz67dz2yc"", ""'STC'!BH3:BH139""),MATCH($D90,IMPORTRANGE(""1y0FWgjbB0gVlqn-q5LMJbGIsqOrzru4yowQz67dz2yc"", ""'STC'!D3:D139""),0))"),3)</f>
        <v>3</v>
      </c>
      <c r="AA90" s="262">
        <f ca="1">IFERROR(__xludf.DUMMYFUNCTION("INDEX(IMPORTRANGE(""1y0FWgjbB0gVlqn-q5LMJbGIsqOrzru4yowQz67dz2yc"", ""'STC'!BI3:BI139""),MATCH($D90,IMPORTRANGE(""1y0FWgjbB0gVlqn-q5LMJbGIsqOrzru4yowQz67dz2yc"", ""'STC'!D3:D139""),0))"),315)</f>
        <v>315</v>
      </c>
      <c r="AB90" s="262">
        <f ca="1">IFERROR(__xludf.DUMMYFUNCTION("INDEX(IMPORTRANGE(""1y0FWgjbB0gVlqn-q5LMJbGIsqOrzru4yowQz67dz2yc"", ""'STC'!BJ3:BJ139""),MATCH($D90,IMPORTRANGE(""1y0FWgjbB0gVlqn-q5LMJbGIsqOrzru4yowQz67dz2yc"", ""'STC'!D3:D139""),0))"),314)</f>
        <v>314</v>
      </c>
      <c r="AC90" s="1"/>
    </row>
    <row r="91" spans="1:29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0">
        <v>44469</v>
      </c>
      <c r="H91" s="10">
        <v>44469</v>
      </c>
      <c r="I91" s="11">
        <v>44651</v>
      </c>
      <c r="J91" s="11">
        <v>44834</v>
      </c>
      <c r="K91" s="11">
        <v>45016</v>
      </c>
      <c r="L91" s="11">
        <v>45199</v>
      </c>
      <c r="M91" s="11">
        <v>45382</v>
      </c>
      <c r="N91" s="11">
        <v>45565</v>
      </c>
      <c r="O91" s="11">
        <v>45565</v>
      </c>
      <c r="P91" s="12">
        <v>2</v>
      </c>
      <c r="Q91" s="12">
        <v>2</v>
      </c>
      <c r="R91" s="22">
        <v>2</v>
      </c>
      <c r="S91" s="22">
        <v>2</v>
      </c>
      <c r="T91" s="22">
        <v>3</v>
      </c>
      <c r="U91" s="22">
        <v>3</v>
      </c>
      <c r="V91" s="22">
        <v>4</v>
      </c>
      <c r="W91" s="2">
        <v>4</v>
      </c>
      <c r="X91" s="2">
        <v>2</v>
      </c>
      <c r="Y91" s="262">
        <f ca="1">IFERROR(__xludf.DUMMYFUNCTION("INDEX(IMPORTRANGE(""1y0FWgjbB0gVlqn-q5LMJbGIsqOrzru4yowQz67dz2yc"", ""'STC'!BG3:BG139""),MATCH($D91,IMPORTRANGE(""1y0FWgjbB0gVlqn-q5LMJbGIsqOrzru4yowQz67dz2yc"", ""'STC'!D3:D139""),0))"),2)</f>
        <v>2</v>
      </c>
      <c r="Z91" s="262">
        <f ca="1">IFERROR(__xludf.DUMMYFUNCTION("INDEX(IMPORTRANGE(""1y0FWgjbB0gVlqn-q5LMJbGIsqOrzru4yowQz67dz2yc"", ""'STC'!BH3:BH139""),MATCH($D91,IMPORTRANGE(""1y0FWgjbB0gVlqn-q5LMJbGIsqOrzru4yowQz67dz2yc"", ""'STC'!D3:D139""),0))"),1)</f>
        <v>1</v>
      </c>
      <c r="AA91" s="262">
        <f ca="1">IFERROR(__xludf.DUMMYFUNCTION("INDEX(IMPORTRANGE(""1y0FWgjbB0gVlqn-q5LMJbGIsqOrzru4yowQz67dz2yc"", ""'STC'!BI3:BI139""),MATCH($D91,IMPORTRANGE(""1y0FWgjbB0gVlqn-q5LMJbGIsqOrzru4yowQz67dz2yc"", ""'STC'!D3:D139""),0))"),2)</f>
        <v>2</v>
      </c>
      <c r="AB91" s="262">
        <f ca="1">IFERROR(__xludf.DUMMYFUNCTION("INDEX(IMPORTRANGE(""1y0FWgjbB0gVlqn-q5LMJbGIsqOrzru4yowQz67dz2yc"", ""'STC'!BJ3:BJ139""),MATCH($D91,IMPORTRANGE(""1y0FWgjbB0gVlqn-q5LMJbGIsqOrzru4yowQz67dz2yc"", ""'STC'!D3:D139""),0))"),4)</f>
        <v>4</v>
      </c>
      <c r="AC91" s="1"/>
    </row>
    <row r="92" spans="1:29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0">
        <v>44469</v>
      </c>
      <c r="H92" s="10">
        <v>44469</v>
      </c>
      <c r="I92" s="11" t="s">
        <v>254</v>
      </c>
      <c r="J92" s="11">
        <v>44713</v>
      </c>
      <c r="K92" s="11" t="s">
        <v>255</v>
      </c>
      <c r="L92" s="11">
        <v>45078</v>
      </c>
      <c r="M92" s="11" t="s">
        <v>256</v>
      </c>
      <c r="N92" s="11">
        <v>45444</v>
      </c>
      <c r="O92" s="11">
        <v>45444</v>
      </c>
      <c r="P92" s="12">
        <v>100</v>
      </c>
      <c r="Q92" s="12">
        <v>100</v>
      </c>
      <c r="R92" s="2">
        <v>100</v>
      </c>
      <c r="S92" s="2"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66">
        <f ca="1">IFERROR(__xludf.DUMMYFUNCTION("INDEX(IMPORTRANGE(""1y0FWgjbB0gVlqn-q5LMJbGIsqOrzru4yowQz67dz2yc"", ""'STC'!BG3:BG139""),MATCH($D92,IMPORTRANGE(""1y0FWgjbB0gVlqn-q5LMJbGIsqOrzru4yowQz67dz2yc"", ""'STC'!D3:D139""),0))"),96.24)</f>
        <v>96.24</v>
      </c>
      <c r="Z92" s="266">
        <f ca="1">IFERROR(__xludf.DUMMYFUNCTION("INDEX(IMPORTRANGE(""1y0FWgjbB0gVlqn-q5LMJbGIsqOrzru4yowQz67dz2yc"", ""'STC'!BH3:BH139""),MATCH($D92,IMPORTRANGE(""1y0FWgjbB0gVlqn-q5LMJbGIsqOrzru4yowQz67dz2yc"", ""'STC'!D3:D139""),0))"),88.86)</f>
        <v>88.86</v>
      </c>
      <c r="AA92" s="266">
        <f ca="1">IFERROR(__xludf.DUMMYFUNCTION("INDEX(IMPORTRANGE(""1y0FWgjbB0gVlqn-q5LMJbGIsqOrzru4yowQz67dz2yc"", ""'STC'!BI3:BI139""),MATCH($D92,IMPORTRANGE(""1y0FWgjbB0gVlqn-q5LMJbGIsqOrzru4yowQz67dz2yc"", ""'STC'!D3:D139""),0))"),98.42)</f>
        <v>98.42</v>
      </c>
      <c r="AB92" s="266">
        <f ca="1">IFERROR(__xludf.DUMMYFUNCTION("INDEX(IMPORTRANGE(""1y0FWgjbB0gVlqn-q5LMJbGIsqOrzru4yowQz67dz2yc"", ""'STC'!BJ3:BJ139""),MATCH($D92,IMPORTRANGE(""1y0FWgjbB0gVlqn-q5LMJbGIsqOrzru4yowQz67dz2yc"", ""'STC'!D3:D139""),0))"),94.98)</f>
        <v>94.98</v>
      </c>
      <c r="AC92" s="1"/>
    </row>
    <row r="93" spans="1:29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0">
        <v>44469</v>
      </c>
      <c r="H93" s="10">
        <v>44469</v>
      </c>
      <c r="I93" s="11">
        <v>44651</v>
      </c>
      <c r="J93" s="11">
        <v>44834</v>
      </c>
      <c r="K93" s="11">
        <v>45016</v>
      </c>
      <c r="L93" s="11">
        <v>45199</v>
      </c>
      <c r="M93" s="11">
        <v>45382</v>
      </c>
      <c r="N93" s="11">
        <v>45565</v>
      </c>
      <c r="O93" s="11">
        <v>45565</v>
      </c>
      <c r="P93" s="12">
        <v>0</v>
      </c>
      <c r="Q93" s="12">
        <v>0</v>
      </c>
      <c r="R93" s="2">
        <v>4</v>
      </c>
      <c r="S93" s="2">
        <v>4</v>
      </c>
      <c r="T93" s="2">
        <v>4</v>
      </c>
      <c r="U93" s="2">
        <v>4</v>
      </c>
      <c r="V93" s="2">
        <v>4</v>
      </c>
      <c r="W93" s="2">
        <v>4</v>
      </c>
      <c r="X93" s="2">
        <v>0</v>
      </c>
      <c r="Y93" s="265">
        <f ca="1">IFERROR(__xludf.DUMMYFUNCTION("INDEX(IMPORTRANGE(""1y0FWgjbB0gVlqn-q5LMJbGIsqOrzru4yowQz67dz2yc"", ""'STC'!BG3:BG139""),MATCH($D93,IMPORTRANGE(""1y0FWgjbB0gVlqn-q5LMJbGIsqOrzru4yowQz67dz2yc"", ""'STC'!D3:D139""),0))"),0)</f>
        <v>0</v>
      </c>
      <c r="Z93" s="265">
        <f ca="1">IFERROR(__xludf.DUMMYFUNCTION("INDEX(IMPORTRANGE(""1y0FWgjbB0gVlqn-q5LMJbGIsqOrzru4yowQz67dz2yc"", ""'STC'!BH3:BH139""),MATCH($D93,IMPORTRANGE(""1y0FWgjbB0gVlqn-q5LMJbGIsqOrzru4yowQz67dz2yc"", ""'STC'!D3:D139""),0))"),2.66666666666666)</f>
        <v>2.6666666666666599</v>
      </c>
      <c r="AA93" s="265">
        <f ca="1">IFERROR(__xludf.DUMMYFUNCTION("INDEX(IMPORTRANGE(""1y0FWgjbB0gVlqn-q5LMJbGIsqOrzru4yowQz67dz2yc"", ""'STC'!BI3:BI139""),MATCH($D93,IMPORTRANGE(""1y0FWgjbB0gVlqn-q5LMJbGIsqOrzru4yowQz67dz2yc"", ""'STC'!D3:D139""),0))"),2.44289044289044)</f>
        <v>2.4428904428904401</v>
      </c>
      <c r="AB93" s="265">
        <f ca="1">IFERROR(__xludf.DUMMYFUNCTION("INDEX(IMPORTRANGE(""1y0FWgjbB0gVlqn-q5LMJbGIsqOrzru4yowQz67dz2yc"", ""'STC'!BJ3:BJ139""),MATCH($D93,IMPORTRANGE(""1y0FWgjbB0gVlqn-q5LMJbGIsqOrzru4yowQz67dz2yc"", ""'STC'!D3:D139""),0))"),3.84615384615384)</f>
        <v>3.84615384615384</v>
      </c>
      <c r="AC93" s="1"/>
    </row>
    <row r="94" spans="1:29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0">
        <v>44469</v>
      </c>
      <c r="H94" s="58"/>
      <c r="I94" s="11">
        <v>44651</v>
      </c>
      <c r="J94" s="182"/>
      <c r="K94" s="11">
        <v>45016</v>
      </c>
      <c r="L94" s="182"/>
      <c r="M94" s="11">
        <v>45382</v>
      </c>
      <c r="N94" s="182"/>
      <c r="O94" s="11">
        <v>45565</v>
      </c>
      <c r="P94" s="254"/>
      <c r="Q94" s="254"/>
      <c r="R94" s="2"/>
      <c r="S94" s="2"/>
      <c r="T94" s="2"/>
      <c r="U94" s="2"/>
      <c r="V94" s="2"/>
      <c r="W94" s="2"/>
      <c r="X94" s="2">
        <v>2</v>
      </c>
      <c r="Y94" s="262">
        <f ca="1">IFERROR(__xludf.DUMMYFUNCTION("INDEX(IMPORTRANGE(""1y0FWgjbB0gVlqn-q5LMJbGIsqOrzru4yowQz67dz2yc"", ""'STC'!BG3:BG139""),MATCH($D94,IMPORTRANGE(""1y0FWgjbB0gVlqn-q5LMJbGIsqOrzru4yowQz67dz2yc"", ""'STC'!D3:D139""),0))"),1)</f>
        <v>1</v>
      </c>
      <c r="Z94" s="262">
        <f ca="1">IFERROR(__xludf.DUMMYFUNCTION("INDEX(IMPORTRANGE(""1y0FWgjbB0gVlqn-q5LMJbGIsqOrzru4yowQz67dz2yc"", ""'STC'!BH3:BH139""),MATCH($D94,IMPORTRANGE(""1y0FWgjbB0gVlqn-q5LMJbGIsqOrzru4yowQz67dz2yc"", ""'STC'!D3:D139""),0))"),1)</f>
        <v>1</v>
      </c>
      <c r="AA94" s="262" t="str">
        <f ca="1">IFERROR(__xludf.DUMMYFUNCTION("INDEX(IMPORTRANGE(""1y0FWgjbB0gVlqn-q5LMJbGIsqOrzru4yowQz67dz2yc"", ""'STC'!BI3:BI139""),MATCH($D94,IMPORTRANGE(""1y0FWgjbB0gVlqn-q5LMJbGIsqOrzru4yowQz67dz2yc"", ""'STC'!D3:D139""),0))"),"")</f>
        <v/>
      </c>
      <c r="AB94" s="262">
        <f ca="1">IFERROR(__xludf.DUMMYFUNCTION("INDEX(IMPORTRANGE(""1y0FWgjbB0gVlqn-q5LMJbGIsqOrzru4yowQz67dz2yc"", ""'STC'!BJ3:BJ139""),MATCH($D94,IMPORTRANGE(""1y0FWgjbB0gVlqn-q5LMJbGIsqOrzru4yowQz67dz2yc"", ""'STC'!D3:D139""),0))"),1)</f>
        <v>1</v>
      </c>
      <c r="AC94" s="1"/>
    </row>
    <row r="95" spans="1:29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0">
        <v>44469</v>
      </c>
      <c r="H95" s="59"/>
      <c r="I95" s="11">
        <v>44651</v>
      </c>
      <c r="J95" s="182"/>
      <c r="K95" s="11">
        <v>45016</v>
      </c>
      <c r="L95" s="182"/>
      <c r="M95" s="11">
        <v>45382</v>
      </c>
      <c r="N95" s="182"/>
      <c r="O95" s="11">
        <v>45565</v>
      </c>
      <c r="P95" s="254"/>
      <c r="Q95" s="254"/>
      <c r="R95" s="2"/>
      <c r="S95" s="2"/>
      <c r="T95" s="2"/>
      <c r="U95" s="2"/>
      <c r="V95" s="2"/>
      <c r="W95" s="2"/>
      <c r="X95" s="2">
        <v>14</v>
      </c>
      <c r="Y95" s="262">
        <f ca="1">IFERROR(__xludf.DUMMYFUNCTION("INDEX(IMPORTRANGE(""1y0FWgjbB0gVlqn-q5LMJbGIsqOrzru4yowQz67dz2yc"", ""'STC'!BG3:BG139""),MATCH($D95,IMPORTRANGE(""1y0FWgjbB0gVlqn-q5LMJbGIsqOrzru4yowQz67dz2yc"", ""'STC'!D3:D139""),0))"),13)</f>
        <v>13</v>
      </c>
      <c r="Z95" s="262">
        <f ca="1">IFERROR(__xludf.DUMMYFUNCTION("INDEX(IMPORTRANGE(""1y0FWgjbB0gVlqn-q5LMJbGIsqOrzru4yowQz67dz2yc"", ""'STC'!BH3:BH139""),MATCH($D95,IMPORTRANGE(""1y0FWgjbB0gVlqn-q5LMJbGIsqOrzru4yowQz67dz2yc"", ""'STC'!D3:D139""),0))"),12)</f>
        <v>12</v>
      </c>
      <c r="AA95" s="262">
        <f ca="1">IFERROR(__xludf.DUMMYFUNCTION("INDEX(IMPORTRANGE(""1y0FWgjbB0gVlqn-q5LMJbGIsqOrzru4yowQz67dz2yc"", ""'STC'!BI3:BI139""),MATCH($D95,IMPORTRANGE(""1y0FWgjbB0gVlqn-q5LMJbGIsqOrzru4yowQz67dz2yc"", ""'STC'!D3:D139""),0))"),0)</f>
        <v>0</v>
      </c>
      <c r="AB95" s="262">
        <f ca="1">IFERROR(__xludf.DUMMYFUNCTION("INDEX(IMPORTRANGE(""1y0FWgjbB0gVlqn-q5LMJbGIsqOrzru4yowQz67dz2yc"", ""'STC'!BJ3:BJ139""),MATCH($D95,IMPORTRANGE(""1y0FWgjbB0gVlqn-q5LMJbGIsqOrzru4yowQz67dz2yc"", ""'STC'!D3:D139""),0))"),11)</f>
        <v>11</v>
      </c>
      <c r="AC95" s="1"/>
    </row>
    <row r="96" spans="1:29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0">
        <v>44469</v>
      </c>
      <c r="H96" s="59"/>
      <c r="I96" s="11">
        <v>44651</v>
      </c>
      <c r="J96" s="182"/>
      <c r="K96" s="11">
        <v>45016</v>
      </c>
      <c r="L96" s="182"/>
      <c r="M96" s="11">
        <v>45382</v>
      </c>
      <c r="N96" s="182"/>
      <c r="O96" s="11">
        <v>45565</v>
      </c>
      <c r="P96" s="254"/>
      <c r="Q96" s="254"/>
      <c r="R96" s="2"/>
      <c r="S96" s="2"/>
      <c r="T96" s="2"/>
      <c r="U96" s="2"/>
      <c r="V96" s="2"/>
      <c r="W96" s="2"/>
      <c r="X96" s="2">
        <v>0</v>
      </c>
      <c r="Y96" s="262">
        <f ca="1">IFERROR(__xludf.DUMMYFUNCTION("INDEX(IMPORTRANGE(""1y0FWgjbB0gVlqn-q5LMJbGIsqOrzru4yowQz67dz2yc"", ""'STC'!BG3:BG139""),MATCH($D96,IMPORTRANGE(""1y0FWgjbB0gVlqn-q5LMJbGIsqOrzru4yowQz67dz2yc"", ""'STC'!D3:D139""),0))"),0)</f>
        <v>0</v>
      </c>
      <c r="Z96" s="262">
        <f ca="1">IFERROR(__xludf.DUMMYFUNCTION("INDEX(IMPORTRANGE(""1y0FWgjbB0gVlqn-q5LMJbGIsqOrzru4yowQz67dz2yc"", ""'STC'!BH3:BH139""),MATCH($D96,IMPORTRANGE(""1y0FWgjbB0gVlqn-q5LMJbGIsqOrzru4yowQz67dz2yc"", ""'STC'!D3:D139""),0))"),0)</f>
        <v>0</v>
      </c>
      <c r="AA96" s="262" t="str">
        <f ca="1">IFERROR(__xludf.DUMMYFUNCTION("INDEX(IMPORTRANGE(""1y0FWgjbB0gVlqn-q5LMJbGIsqOrzru4yowQz67dz2yc"", ""'STC'!BI3:BI139""),MATCH($D96,IMPORTRANGE(""1y0FWgjbB0gVlqn-q5LMJbGIsqOrzru4yowQz67dz2yc"", ""'STC'!D3:D139""),0))"),"")</f>
        <v/>
      </c>
      <c r="AB96" s="262">
        <f ca="1">IFERROR(__xludf.DUMMYFUNCTION("INDEX(IMPORTRANGE(""1y0FWgjbB0gVlqn-q5LMJbGIsqOrzru4yowQz67dz2yc"", ""'STC'!BJ3:BJ139""),MATCH($D96,IMPORTRANGE(""1y0FWgjbB0gVlqn-q5LMJbGIsqOrzru4yowQz67dz2yc"", ""'STC'!D3:D139""),0))"),0)</f>
        <v>0</v>
      </c>
      <c r="AC96" s="1"/>
    </row>
    <row r="97" spans="1:29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0">
        <v>44469</v>
      </c>
      <c r="H97" s="59"/>
      <c r="I97" s="11">
        <v>44651</v>
      </c>
      <c r="J97" s="182"/>
      <c r="K97" s="11">
        <v>45016</v>
      </c>
      <c r="L97" s="182"/>
      <c r="M97" s="11">
        <v>45382</v>
      </c>
      <c r="N97" s="182"/>
      <c r="O97" s="11">
        <v>45565</v>
      </c>
      <c r="P97" s="254"/>
      <c r="Q97" s="254"/>
      <c r="R97" s="2"/>
      <c r="S97" s="2"/>
      <c r="T97" s="2"/>
      <c r="U97" s="2"/>
      <c r="V97" s="2"/>
      <c r="W97" s="2"/>
      <c r="X97" s="2">
        <v>0</v>
      </c>
      <c r="Y97" s="262">
        <f ca="1">IFERROR(__xludf.DUMMYFUNCTION("INDEX(IMPORTRANGE(""1y0FWgjbB0gVlqn-q5LMJbGIsqOrzru4yowQz67dz2yc"", ""'STC'!BG3:BG139""),MATCH($D97,IMPORTRANGE(""1y0FWgjbB0gVlqn-q5LMJbGIsqOrzru4yowQz67dz2yc"", ""'STC'!D3:D139""),0))"),0)</f>
        <v>0</v>
      </c>
      <c r="Z97" s="262">
        <f ca="1">IFERROR(__xludf.DUMMYFUNCTION("INDEX(IMPORTRANGE(""1y0FWgjbB0gVlqn-q5LMJbGIsqOrzru4yowQz67dz2yc"", ""'STC'!BH3:BH139""),MATCH($D97,IMPORTRANGE(""1y0FWgjbB0gVlqn-q5LMJbGIsqOrzru4yowQz67dz2yc"", ""'STC'!D3:D139""),0))"),0)</f>
        <v>0</v>
      </c>
      <c r="AA97" s="262">
        <f ca="1">IFERROR(__xludf.DUMMYFUNCTION("INDEX(IMPORTRANGE(""1y0FWgjbB0gVlqn-q5LMJbGIsqOrzru4yowQz67dz2yc"", ""'STC'!BI3:BI139""),MATCH($D97,IMPORTRANGE(""1y0FWgjbB0gVlqn-q5LMJbGIsqOrzru4yowQz67dz2yc"", ""'STC'!D3:D139""),0))"),0)</f>
        <v>0</v>
      </c>
      <c r="AB97" s="262">
        <f ca="1">IFERROR(__xludf.DUMMYFUNCTION("INDEX(IMPORTRANGE(""1y0FWgjbB0gVlqn-q5LMJbGIsqOrzru4yowQz67dz2yc"", ""'STC'!BJ3:BJ139""),MATCH($D97,IMPORTRANGE(""1y0FWgjbB0gVlqn-q5LMJbGIsqOrzru4yowQz67dz2yc"", ""'STC'!D3:D139""),0))"),0)</f>
        <v>0</v>
      </c>
      <c r="AC97" s="1"/>
    </row>
    <row r="98" spans="1:29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0">
        <v>44469</v>
      </c>
      <c r="H98" s="59"/>
      <c r="I98" s="11">
        <v>44651</v>
      </c>
      <c r="J98" s="182"/>
      <c r="K98" s="11">
        <v>45016</v>
      </c>
      <c r="L98" s="182"/>
      <c r="M98" s="11">
        <v>45382</v>
      </c>
      <c r="N98" s="182"/>
      <c r="O98" s="11">
        <v>45565</v>
      </c>
      <c r="P98" s="254"/>
      <c r="Q98" s="254"/>
      <c r="R98" s="2"/>
      <c r="S98" s="2"/>
      <c r="T98" s="2"/>
      <c r="U98" s="2"/>
      <c r="V98" s="2"/>
      <c r="W98" s="2"/>
      <c r="X98" s="2">
        <v>13</v>
      </c>
      <c r="Y98" s="262">
        <f ca="1">IFERROR(__xludf.DUMMYFUNCTION("INDEX(IMPORTRANGE(""1y0FWgjbB0gVlqn-q5LMJbGIsqOrzru4yowQz67dz2yc"", ""'STC'!BG3:BG139""),MATCH($D98,IMPORTRANGE(""1y0FWgjbB0gVlqn-q5LMJbGIsqOrzru4yowQz67dz2yc"", ""'STC'!D3:D139""),0))"),14)</f>
        <v>14</v>
      </c>
      <c r="Z98" s="262">
        <f ca="1">IFERROR(__xludf.DUMMYFUNCTION("INDEX(IMPORTRANGE(""1y0FWgjbB0gVlqn-q5LMJbGIsqOrzru4yowQz67dz2yc"", ""'STC'!BH3:BH139""),MATCH($D98,IMPORTRANGE(""1y0FWgjbB0gVlqn-q5LMJbGIsqOrzru4yowQz67dz2yc"", ""'STC'!D3:D139""),0))"),14)</f>
        <v>14</v>
      </c>
      <c r="AA98" s="262" t="str">
        <f ca="1">IFERROR(__xludf.DUMMYFUNCTION("INDEX(IMPORTRANGE(""1y0FWgjbB0gVlqn-q5LMJbGIsqOrzru4yowQz67dz2yc"", ""'STC'!BI3:BI139""),MATCH($D98,IMPORTRANGE(""1y0FWgjbB0gVlqn-q5LMJbGIsqOrzru4yowQz67dz2yc"", ""'STC'!D3:D139""),0))"),"")</f>
        <v/>
      </c>
      <c r="AB98" s="262">
        <f ca="1">IFERROR(__xludf.DUMMYFUNCTION("INDEX(IMPORTRANGE(""1y0FWgjbB0gVlqn-q5LMJbGIsqOrzru4yowQz67dz2yc"", ""'STC'!BJ3:BJ139""),MATCH($D98,IMPORTRANGE(""1y0FWgjbB0gVlqn-q5LMJbGIsqOrzru4yowQz67dz2yc"", ""'STC'!D3:D139""),0))"),13)</f>
        <v>13</v>
      </c>
      <c r="AC98" s="1"/>
    </row>
    <row r="99" spans="1:29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0">
        <v>44469</v>
      </c>
      <c r="H99" s="59"/>
      <c r="I99" s="11">
        <v>44651</v>
      </c>
      <c r="J99" s="182"/>
      <c r="K99" s="11">
        <v>45016</v>
      </c>
      <c r="L99" s="182"/>
      <c r="M99" s="11">
        <v>45382</v>
      </c>
      <c r="N99" s="182"/>
      <c r="O99" s="11">
        <v>45565</v>
      </c>
      <c r="P99" s="254"/>
      <c r="Q99" s="254"/>
      <c r="R99" s="2"/>
      <c r="S99" s="2"/>
      <c r="T99" s="2"/>
      <c r="U99" s="2"/>
      <c r="V99" s="2"/>
      <c r="W99" s="2"/>
      <c r="X99" s="2">
        <v>60</v>
      </c>
      <c r="Y99" s="262">
        <f ca="1">IFERROR(__xludf.DUMMYFUNCTION("INDEX(IMPORTRANGE(""1y0FWgjbB0gVlqn-q5LMJbGIsqOrzru4yowQz67dz2yc"", ""'STC'!BG3:BG139""),MATCH($D99,IMPORTRANGE(""1y0FWgjbB0gVlqn-q5LMJbGIsqOrzru4yowQz67dz2yc"", ""'STC'!D3:D139""),0))"),58)</f>
        <v>58</v>
      </c>
      <c r="Z99" s="262">
        <f ca="1">IFERROR(__xludf.DUMMYFUNCTION("INDEX(IMPORTRANGE(""1y0FWgjbB0gVlqn-q5LMJbGIsqOrzru4yowQz67dz2yc"", ""'STC'!BH3:BH139""),MATCH($D99,IMPORTRANGE(""1y0FWgjbB0gVlqn-q5LMJbGIsqOrzru4yowQz67dz2yc"", ""'STC'!D3:D139""),0))"),61)</f>
        <v>61</v>
      </c>
      <c r="AA99" s="262">
        <f ca="1">IFERROR(__xludf.DUMMYFUNCTION("INDEX(IMPORTRANGE(""1y0FWgjbB0gVlqn-q5LMJbGIsqOrzru4yowQz67dz2yc"", ""'STC'!BI3:BI139""),MATCH($D99,IMPORTRANGE(""1y0FWgjbB0gVlqn-q5LMJbGIsqOrzru4yowQz67dz2yc"", ""'STC'!D3:D139""),0))"),0)</f>
        <v>0</v>
      </c>
      <c r="AB99" s="262">
        <f ca="1">IFERROR(__xludf.DUMMYFUNCTION("INDEX(IMPORTRANGE(""1y0FWgjbB0gVlqn-q5LMJbGIsqOrzru4yowQz67dz2yc"", ""'STC'!BJ3:BJ139""),MATCH($D99,IMPORTRANGE(""1y0FWgjbB0gVlqn-q5LMJbGIsqOrzru4yowQz67dz2yc"", ""'STC'!D3:D139""),0))"),56)</f>
        <v>56</v>
      </c>
      <c r="AC99" s="1"/>
    </row>
    <row r="100" spans="1:29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0">
        <v>44469</v>
      </c>
      <c r="H100" s="59"/>
      <c r="I100" s="11">
        <v>44651</v>
      </c>
      <c r="J100" s="182"/>
      <c r="K100" s="11">
        <v>45016</v>
      </c>
      <c r="L100" s="182"/>
      <c r="M100" s="11">
        <v>45382</v>
      </c>
      <c r="N100" s="182"/>
      <c r="O100" s="11">
        <v>45565</v>
      </c>
      <c r="P100" s="254"/>
      <c r="Q100" s="254"/>
      <c r="R100" s="2"/>
      <c r="S100" s="14">
        <v>0.5</v>
      </c>
      <c r="T100" s="2"/>
      <c r="U100" s="14">
        <v>0.5</v>
      </c>
      <c r="V100" s="14">
        <v>0.5</v>
      </c>
      <c r="W100" s="14">
        <v>0.5</v>
      </c>
      <c r="X100" s="15">
        <f>SUM(X94,X96,X98)/SUM(X95,X97,X99)</f>
        <v>0.20270270270270271</v>
      </c>
      <c r="Y100" s="25">
        <f ca="1">IFERROR(__xludf.DUMMYFUNCTION("INDEX(IMPORTRANGE(""1y0FWgjbB0gVlqn-q5LMJbGIsqOrzru4yowQz67dz2yc"", ""'STC'!BG3:BG139""),MATCH($D100,IMPORTRANGE(""1y0FWgjbB0gVlqn-q5LMJbGIsqOrzru4yowQz67dz2yc"", ""'STC'!D3:D139""),0))"),0.211267605633802)</f>
        <v>0.21126760563380201</v>
      </c>
      <c r="Z100" s="25">
        <f ca="1">IFERROR(__xludf.DUMMYFUNCTION("INDEX(IMPORTRANGE(""1y0FWgjbB0gVlqn-q5LMJbGIsqOrzru4yowQz67dz2yc"", ""'STC'!BH3:BH139""),MATCH($D100,IMPORTRANGE(""1y0FWgjbB0gVlqn-q5LMJbGIsqOrzru4yowQz67dz2yc"", ""'STC'!D3:D139""),0))"),0.205479452054794)</f>
        <v>0.20547945205479401</v>
      </c>
      <c r="AA100" s="25" t="str">
        <f ca="1">IFERROR(__xludf.DUMMYFUNCTION("INDEX(IMPORTRANGE(""1y0FWgjbB0gVlqn-q5LMJbGIsqOrzru4yowQz67dz2yc"", ""'STC'!BI3:BI139""),MATCH($D100,IMPORTRANGE(""1y0FWgjbB0gVlqn-q5LMJbGIsqOrzru4yowQz67dz2yc"", ""'STC'!D3:D139""),0))"),"")</f>
        <v/>
      </c>
      <c r="AB100" s="25">
        <f ca="1">IFERROR(__xludf.DUMMYFUNCTION("INDEX(IMPORTRANGE(""1y0FWgjbB0gVlqn-q5LMJbGIsqOrzru4yowQz67dz2yc"", ""'STC'!BJ3:BJ139""),MATCH($D100,IMPORTRANGE(""1y0FWgjbB0gVlqn-q5LMJbGIsqOrzru4yowQz67dz2yc"", ""'STC'!D3:D139""),0))"),0.208955223880597)</f>
        <v>0.20895522388059701</v>
      </c>
      <c r="AC100" s="1"/>
    </row>
    <row r="101" spans="1:29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0" t="s">
        <v>213</v>
      </c>
      <c r="H101" s="22" t="s">
        <v>214</v>
      </c>
      <c r="I101" s="9" t="s">
        <v>215</v>
      </c>
      <c r="J101" s="182"/>
      <c r="K101" s="9" t="s">
        <v>216</v>
      </c>
      <c r="L101" s="182"/>
      <c r="M101" s="9" t="s">
        <v>217</v>
      </c>
      <c r="N101" s="2" t="s">
        <v>218</v>
      </c>
      <c r="O101" s="2" t="s">
        <v>218</v>
      </c>
      <c r="P101" s="36">
        <v>412666403</v>
      </c>
      <c r="Q101" s="36">
        <v>412666403</v>
      </c>
      <c r="R101" s="2"/>
      <c r="S101" s="2"/>
      <c r="T101" s="2"/>
      <c r="U101" s="2"/>
      <c r="V101" s="2"/>
      <c r="W101" s="2"/>
      <c r="X101" s="36">
        <v>412666403</v>
      </c>
      <c r="Y101" s="522" t="str">
        <f ca="1">IFERROR(__xludf.DUMMYFUNCTION("INDEX(IMPORTRANGE(""1y0FWgjbB0gVlqn-q5LMJbGIsqOrzru4yowQz67dz2yc"", ""'STC'!BG3:BG139""),MATCH($D101,IMPORTRANGE(""1y0FWgjbB0gVlqn-q5LMJbGIsqOrzru4yowQz67dz2yc"", ""'STC'!D3:D139""),0))"),"")</f>
        <v/>
      </c>
      <c r="Z101" s="272">
        <f ca="1">IFERROR(__xludf.DUMMYFUNCTION("INDEX(IMPORTRANGE(""1y0FWgjbB0gVlqn-q5LMJbGIsqOrzru4yowQz67dz2yc"", ""'STC'!BH3:BH139""),MATCH($D101,IMPORTRANGE(""1y0FWgjbB0gVlqn-q5LMJbGIsqOrzru4yowQz67dz2yc"", ""'STC'!D3:D139""),0))"),521932721)</f>
        <v>521932721</v>
      </c>
      <c r="AA101" s="522" t="str">
        <f ca="1">IFERROR(__xludf.DUMMYFUNCTION("INDEX(IMPORTRANGE(""1y0FWgjbB0gVlqn-q5LMJbGIsqOrzru4yowQz67dz2yc"", ""'STC'!BI3:BI139""),MATCH($D101,IMPORTRANGE(""1y0FWgjbB0gVlqn-q5LMJbGIsqOrzru4yowQz67dz2yc"", ""'STC'!D3:D139""),0))"),"")</f>
        <v/>
      </c>
      <c r="AB101" s="272">
        <f ca="1">IFERROR(__xludf.DUMMYFUNCTION("INDEX(IMPORTRANGE(""1y0FWgjbB0gVlqn-q5LMJbGIsqOrzru4yowQz67dz2yc"", ""'STC'!BJ3:BJ139""),MATCH($D101,IMPORTRANGE(""1y0FWgjbB0gVlqn-q5LMJbGIsqOrzru4yowQz67dz2yc"", ""'STC'!D3:D139""),0))"),803544397)</f>
        <v>803544397</v>
      </c>
      <c r="AC101" s="1"/>
    </row>
    <row r="102" spans="1:29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21" t="s">
        <v>213</v>
      </c>
      <c r="H102" s="22" t="s">
        <v>214</v>
      </c>
      <c r="I102" s="9" t="s">
        <v>215</v>
      </c>
      <c r="J102" s="182"/>
      <c r="K102" s="9" t="s">
        <v>216</v>
      </c>
      <c r="L102" s="182"/>
      <c r="M102" s="9" t="s">
        <v>217</v>
      </c>
      <c r="N102" s="2" t="s">
        <v>218</v>
      </c>
      <c r="O102" s="2" t="s">
        <v>218</v>
      </c>
      <c r="P102" s="36">
        <v>1342608130</v>
      </c>
      <c r="Q102" s="36">
        <v>1342608130</v>
      </c>
      <c r="R102" s="2"/>
      <c r="S102" s="2"/>
      <c r="T102" s="2"/>
      <c r="U102" s="2"/>
      <c r="V102" s="2"/>
      <c r="W102" s="2"/>
      <c r="X102" s="36">
        <v>1342608130</v>
      </c>
      <c r="Y102" s="522" t="str">
        <f ca="1">IFERROR(__xludf.DUMMYFUNCTION("INDEX(IMPORTRANGE(""1y0FWgjbB0gVlqn-q5LMJbGIsqOrzru4yowQz67dz2yc"", ""'STC'!BG3:BG139""),MATCH($D102,IMPORTRANGE(""1y0FWgjbB0gVlqn-q5LMJbGIsqOrzru4yowQz67dz2yc"", ""'STC'!D3:D139""),0))"),"")</f>
        <v/>
      </c>
      <c r="Z102" s="272">
        <f ca="1">IFERROR(__xludf.DUMMYFUNCTION("INDEX(IMPORTRANGE(""1y0FWgjbB0gVlqn-q5LMJbGIsqOrzru4yowQz67dz2yc"", ""'STC'!BH3:BH139""),MATCH($D102,IMPORTRANGE(""1y0FWgjbB0gVlqn-q5LMJbGIsqOrzru4yowQz67dz2yc"", ""'STC'!D3:D139""),0))"),1724136981)</f>
        <v>1724136981</v>
      </c>
      <c r="AA102" s="522" t="str">
        <f ca="1">IFERROR(__xludf.DUMMYFUNCTION("INDEX(IMPORTRANGE(""1y0FWgjbB0gVlqn-q5LMJbGIsqOrzru4yowQz67dz2yc"", ""'STC'!BI3:BI139""),MATCH($D102,IMPORTRANGE(""1y0FWgjbB0gVlqn-q5LMJbGIsqOrzru4yowQz67dz2yc"", ""'STC'!D3:D139""),0))"),"")</f>
        <v/>
      </c>
      <c r="AB102" s="272">
        <f ca="1">IFERROR(__xludf.DUMMYFUNCTION("INDEX(IMPORTRANGE(""1y0FWgjbB0gVlqn-q5LMJbGIsqOrzru4yowQz67dz2yc"", ""'STC'!BJ3:BJ139""),MATCH($D102,IMPORTRANGE(""1y0FWgjbB0gVlqn-q5LMJbGIsqOrzru4yowQz67dz2yc"", ""'STC'!D3:D139""),0))"),2532369048)</f>
        <v>2532369048</v>
      </c>
      <c r="AC102" s="1"/>
    </row>
    <row r="103" spans="1:29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21" t="s">
        <v>213</v>
      </c>
      <c r="H103" s="22" t="s">
        <v>214</v>
      </c>
      <c r="I103" s="9" t="s">
        <v>215</v>
      </c>
      <c r="J103" s="182"/>
      <c r="K103" s="9" t="s">
        <v>216</v>
      </c>
      <c r="L103" s="182"/>
      <c r="M103" s="9" t="s">
        <v>217</v>
      </c>
      <c r="N103" s="2" t="s">
        <v>218</v>
      </c>
      <c r="O103" s="2" t="s">
        <v>218</v>
      </c>
      <c r="P103" s="15">
        <f t="shared" ref="P103:Q103" si="20">P101/P102</f>
        <v>0.30736176385286745</v>
      </c>
      <c r="Q103" s="15">
        <f t="shared" si="20"/>
        <v>0.30736176385286745</v>
      </c>
      <c r="R103" s="2"/>
      <c r="S103" s="26">
        <v>0.315</v>
      </c>
      <c r="T103" s="2"/>
      <c r="U103" s="15">
        <v>0.32200000000000001</v>
      </c>
      <c r="V103" s="15">
        <v>0.33</v>
      </c>
      <c r="W103" s="15">
        <v>0.33</v>
      </c>
      <c r="X103" s="15">
        <f>X101/X102</f>
        <v>0.30736176385286745</v>
      </c>
      <c r="Y103" s="522" t="str">
        <f ca="1">IFERROR(__xludf.DUMMYFUNCTION("INDEX(IMPORTRANGE(""1y0FWgjbB0gVlqn-q5LMJbGIsqOrzru4yowQz67dz2yc"", ""'STC'!BG3:BG139""),MATCH($D103,IMPORTRANGE(""1y0FWgjbB0gVlqn-q5LMJbGIsqOrzru4yowQz67dz2yc"", ""'STC'!D3:D139""),0))"),"")</f>
        <v/>
      </c>
      <c r="Z103" s="25">
        <f ca="1">IFERROR(__xludf.DUMMYFUNCTION("INDEX(IMPORTRANGE(""1y0FWgjbB0gVlqn-q5LMJbGIsqOrzru4yowQz67dz2yc"", ""'STC'!BH3:BH139""),MATCH($D103,IMPORTRANGE(""1y0FWgjbB0gVlqn-q5LMJbGIsqOrzru4yowQz67dz2yc"", ""'STC'!D3:D139""),0))"),0.302721144985405)</f>
        <v>0.30272114498540498</v>
      </c>
      <c r="AA103" s="522" t="str">
        <f ca="1">IFERROR(__xludf.DUMMYFUNCTION("INDEX(IMPORTRANGE(""1y0FWgjbB0gVlqn-q5LMJbGIsqOrzru4yowQz67dz2yc"", ""'STC'!BI3:BI139""),MATCH($D103,IMPORTRANGE(""1y0FWgjbB0gVlqn-q5LMJbGIsqOrzru4yowQz67dz2yc"", ""'STC'!D3:D139""),0))"),"")</f>
        <v/>
      </c>
      <c r="AB103" s="25">
        <f ca="1">IFERROR(__xludf.DUMMYFUNCTION("INDEX(IMPORTRANGE(""1y0FWgjbB0gVlqn-q5LMJbGIsqOrzru4yowQz67dz2yc"", ""'STC'!BJ3:BJ139""),MATCH($D103,IMPORTRANGE(""1y0FWgjbB0gVlqn-q5LMJbGIsqOrzru4yowQz67dz2yc"", ""'STC'!D3:D139""),0))"),0.317309358063201)</f>
        <v>0.31730935806320099</v>
      </c>
      <c r="AC103" s="1"/>
    </row>
    <row r="104" spans="1:29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9" t="s">
        <v>215</v>
      </c>
      <c r="J104" s="182"/>
      <c r="K104" s="9" t="s">
        <v>216</v>
      </c>
      <c r="L104" s="182"/>
      <c r="M104" s="9" t="s">
        <v>217</v>
      </c>
      <c r="N104" s="2" t="s">
        <v>218</v>
      </c>
      <c r="O104" s="2" t="s">
        <v>218</v>
      </c>
      <c r="P104" s="36">
        <v>968130919</v>
      </c>
      <c r="Q104" s="36">
        <v>968130919</v>
      </c>
      <c r="R104" s="2"/>
      <c r="S104" s="2"/>
      <c r="T104" s="2"/>
      <c r="U104" s="2"/>
      <c r="V104" s="2"/>
      <c r="W104" s="2"/>
      <c r="X104" s="36">
        <v>968130919</v>
      </c>
      <c r="Y104" s="522" t="str">
        <f ca="1">IFERROR(__xludf.DUMMYFUNCTION("INDEX(IMPORTRANGE(""1y0FWgjbB0gVlqn-q5LMJbGIsqOrzru4yowQz67dz2yc"", ""'STC'!BG3:BG139""),MATCH($D104,IMPORTRANGE(""1y0FWgjbB0gVlqn-q5LMJbGIsqOrzru4yowQz67dz2yc"", ""'STC'!D3:D139""),0))"),"")</f>
        <v/>
      </c>
      <c r="Z104" s="272">
        <f ca="1">IFERROR(__xludf.DUMMYFUNCTION("INDEX(IMPORTRANGE(""1y0FWgjbB0gVlqn-q5LMJbGIsqOrzru4yowQz67dz2yc"", ""'STC'!BH3:BH139""),MATCH($D104,IMPORTRANGE(""1y0FWgjbB0gVlqn-q5LMJbGIsqOrzru4yowQz67dz2yc"", ""'STC'!D3:D139""),0))"),1257622635)</f>
        <v>1257622635</v>
      </c>
      <c r="AA104" s="522" t="str">
        <f ca="1">IFERROR(__xludf.DUMMYFUNCTION("INDEX(IMPORTRANGE(""1y0FWgjbB0gVlqn-q5LMJbGIsqOrzru4yowQz67dz2yc"", ""'STC'!BI3:BI139""),MATCH($D104,IMPORTRANGE(""1y0FWgjbB0gVlqn-q5LMJbGIsqOrzru4yowQz67dz2yc"", ""'STC'!D3:D139""),0))"),"")</f>
        <v/>
      </c>
      <c r="AB104" s="272">
        <f ca="1">IFERROR(__xludf.DUMMYFUNCTION("INDEX(IMPORTRANGE(""1y0FWgjbB0gVlqn-q5LMJbGIsqOrzru4yowQz67dz2yc"", ""'STC'!BJ3:BJ139""),MATCH($D104,IMPORTRANGE(""1y0FWgjbB0gVlqn-q5LMJbGIsqOrzru4yowQz67dz2yc"", ""'STC'!D3:D139""),0))"),2105208118)</f>
        <v>2105208118</v>
      </c>
      <c r="AC104" s="1"/>
    </row>
    <row r="105" spans="1:29">
      <c r="A105" s="7" t="s">
        <v>275</v>
      </c>
      <c r="B105" s="7" t="s">
        <v>276</v>
      </c>
      <c r="C105" s="1" t="s">
        <v>36</v>
      </c>
      <c r="D105" s="155" t="s">
        <v>287</v>
      </c>
      <c r="E105" s="9" t="s">
        <v>278</v>
      </c>
      <c r="F105" s="9" t="s">
        <v>288</v>
      </c>
      <c r="G105" s="21" t="s">
        <v>213</v>
      </c>
      <c r="H105" s="22" t="s">
        <v>214</v>
      </c>
      <c r="I105" s="9" t="s">
        <v>215</v>
      </c>
      <c r="J105" s="182"/>
      <c r="K105" s="9" t="s">
        <v>216</v>
      </c>
      <c r="L105" s="182"/>
      <c r="M105" s="9" t="s">
        <v>217</v>
      </c>
      <c r="N105" s="2" t="s">
        <v>218</v>
      </c>
      <c r="O105" s="2" t="s">
        <v>218</v>
      </c>
      <c r="P105" s="15">
        <f t="shared" ref="P105:Q105" si="21">P101/P104</f>
        <v>0.42625061848685775</v>
      </c>
      <c r="Q105" s="15">
        <f t="shared" si="21"/>
        <v>0.42625061848685775</v>
      </c>
      <c r="R105" s="2"/>
      <c r="S105" s="26">
        <v>0.434</v>
      </c>
      <c r="T105" s="2"/>
      <c r="U105" s="15">
        <v>0.442</v>
      </c>
      <c r="V105" s="15">
        <v>0.45</v>
      </c>
      <c r="W105" s="15">
        <v>0.45</v>
      </c>
      <c r="X105" s="15">
        <f>X101/X104</f>
        <v>0.42625061848685775</v>
      </c>
      <c r="Y105" s="522" t="str">
        <f ca="1">IFERROR(__xludf.DUMMYFUNCTION("INDEX(IMPORTRANGE(""1y0FWgjbB0gVlqn-q5LMJbGIsqOrzru4yowQz67dz2yc"", ""'STC'!BG3:BG139""),MATCH($D105,IMPORTRANGE(""1y0FWgjbB0gVlqn-q5LMJbGIsqOrzru4yowQz67dz2yc"", ""'STC'!D3:D139""),0))"),"")</f>
        <v/>
      </c>
      <c r="Z105" s="25">
        <f ca="1">IFERROR(__xludf.DUMMYFUNCTION("INDEX(IMPORTRANGE(""1y0FWgjbB0gVlqn-q5LMJbGIsqOrzru4yowQz67dz2yc"", ""'STC'!BH3:BH139""),MATCH($D105,IMPORTRANGE(""1y0FWgjbB0gVlqn-q5LMJbGIsqOrzru4yowQz67dz2yc"", ""'STC'!D3:D139""),0))"),0.415015368262674)</f>
        <v>0.41501536826267399</v>
      </c>
      <c r="AA105" s="522" t="str">
        <f ca="1">IFERROR(__xludf.DUMMYFUNCTION("INDEX(IMPORTRANGE(""1y0FWgjbB0gVlqn-q5LMJbGIsqOrzru4yowQz67dz2yc"", ""'STC'!BI3:BI139""),MATCH($D105,IMPORTRANGE(""1y0FWgjbB0gVlqn-q5LMJbGIsqOrzru4yowQz67dz2yc"", ""'STC'!D3:D139""),0))"),"")</f>
        <v/>
      </c>
      <c r="AB105" s="25">
        <f ca="1">IFERROR(__xludf.DUMMYFUNCTION("INDEX(IMPORTRANGE(""1y0FWgjbB0gVlqn-q5LMJbGIsqOrzru4yowQz67dz2yc"", ""'STC'!BJ3:BJ139""),MATCH($D105,IMPORTRANGE(""1y0FWgjbB0gVlqn-q5LMJbGIsqOrzru4yowQz67dz2yc"", ""'STC'!D3:D139""),0))"),0.381693567552545)</f>
        <v>0.38169356755254502</v>
      </c>
      <c r="AC105" s="1"/>
    </row>
    <row r="106" spans="1:29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21" t="s">
        <v>254</v>
      </c>
      <c r="H106" s="21" t="s">
        <v>254</v>
      </c>
      <c r="I106" s="9" t="s">
        <v>254</v>
      </c>
      <c r="J106" s="182"/>
      <c r="K106" s="9" t="s">
        <v>255</v>
      </c>
      <c r="L106" s="182"/>
      <c r="M106" s="9" t="s">
        <v>256</v>
      </c>
      <c r="N106" s="49">
        <v>45536</v>
      </c>
      <c r="O106" s="2" t="s">
        <v>218</v>
      </c>
      <c r="P106" s="12">
        <v>106593</v>
      </c>
      <c r="Q106" s="12">
        <v>106593</v>
      </c>
      <c r="R106" s="2"/>
      <c r="S106" s="2"/>
      <c r="T106" s="2"/>
      <c r="U106" s="2"/>
      <c r="V106" s="2"/>
      <c r="W106" s="2"/>
      <c r="X106" s="12">
        <v>106593</v>
      </c>
      <c r="Y106" s="522" t="str">
        <f ca="1">IFERROR(__xludf.DUMMYFUNCTION("INDEX(IMPORTRANGE(""1y0FWgjbB0gVlqn-q5LMJbGIsqOrzru4yowQz67dz2yc"", ""'STC'!BG3:BG139""),MATCH($D106,IMPORTRANGE(""1y0FWgjbB0gVlqn-q5LMJbGIsqOrzru4yowQz67dz2yc"", ""'STC'!D3:D139""),0))"),"")</f>
        <v/>
      </c>
      <c r="Z106" s="262">
        <f ca="1">IFERROR(__xludf.DUMMYFUNCTION("INDEX(IMPORTRANGE(""1y0FWgjbB0gVlqn-q5LMJbGIsqOrzru4yowQz67dz2yc"", ""'STC'!BH3:BH139""),MATCH($D106,IMPORTRANGE(""1y0FWgjbB0gVlqn-q5LMJbGIsqOrzru4yowQz67dz2yc"", ""'STC'!D3:D139""),0))"),104194)</f>
        <v>104194</v>
      </c>
      <c r="AA106" s="522" t="str">
        <f ca="1">IFERROR(__xludf.DUMMYFUNCTION("INDEX(IMPORTRANGE(""1y0FWgjbB0gVlqn-q5LMJbGIsqOrzru4yowQz67dz2yc"", ""'STC'!BI3:BI139""),MATCH($D106,IMPORTRANGE(""1y0FWgjbB0gVlqn-q5LMJbGIsqOrzru4yowQz67dz2yc"", ""'STC'!D3:D139""),0))"),"")</f>
        <v/>
      </c>
      <c r="AB106" s="262">
        <f ca="1">IFERROR(__xludf.DUMMYFUNCTION("INDEX(IMPORTRANGE(""1y0FWgjbB0gVlqn-q5LMJbGIsqOrzru4yowQz67dz2yc"", ""'STC'!BJ3:BJ139""),MATCH($D106,IMPORTRANGE(""1y0FWgjbB0gVlqn-q5LMJbGIsqOrzru4yowQz67dz2yc"", ""'STC'!D3:D139""),0))"),105377)</f>
        <v>105377</v>
      </c>
      <c r="AC106" s="1"/>
    </row>
    <row r="107" spans="1:29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21" t="s">
        <v>213</v>
      </c>
      <c r="H107" s="22" t="s">
        <v>214</v>
      </c>
      <c r="I107" s="9" t="s">
        <v>215</v>
      </c>
      <c r="J107" s="182"/>
      <c r="K107" s="9" t="s">
        <v>216</v>
      </c>
      <c r="L107" s="182"/>
      <c r="M107" s="9" t="s">
        <v>217</v>
      </c>
      <c r="N107" s="2" t="s">
        <v>218</v>
      </c>
      <c r="O107" s="2" t="s">
        <v>218</v>
      </c>
      <c r="P107" s="12">
        <v>56902</v>
      </c>
      <c r="Q107" s="12">
        <v>56902</v>
      </c>
      <c r="R107" s="2"/>
      <c r="S107" s="2"/>
      <c r="T107" s="2"/>
      <c r="U107" s="2"/>
      <c r="V107" s="2"/>
      <c r="W107" s="2"/>
      <c r="X107" s="12">
        <v>56902</v>
      </c>
      <c r="Y107" s="522" t="str">
        <f ca="1">IFERROR(__xludf.DUMMYFUNCTION("INDEX(IMPORTRANGE(""1y0FWgjbB0gVlqn-q5LMJbGIsqOrzru4yowQz67dz2yc"", ""'STC'!BG3:BG139""),MATCH($D107,IMPORTRANGE(""1y0FWgjbB0gVlqn-q5LMJbGIsqOrzru4yowQz67dz2yc"", ""'STC'!D3:D139""),0))"),"")</f>
        <v/>
      </c>
      <c r="Z107" s="262">
        <f ca="1">IFERROR(__xludf.DUMMYFUNCTION("INDEX(IMPORTRANGE(""1y0FWgjbB0gVlqn-q5LMJbGIsqOrzru4yowQz67dz2yc"", ""'STC'!BH3:BH139""),MATCH($D107,IMPORTRANGE(""1y0FWgjbB0gVlqn-q5LMJbGIsqOrzru4yowQz67dz2yc"", ""'STC'!D3:D139""),0))"),70425)</f>
        <v>70425</v>
      </c>
      <c r="AA107" s="522" t="str">
        <f ca="1">IFERROR(__xludf.DUMMYFUNCTION("INDEX(IMPORTRANGE(""1y0FWgjbB0gVlqn-q5LMJbGIsqOrzru4yowQz67dz2yc"", ""'STC'!BI3:BI139""),MATCH($D107,IMPORTRANGE(""1y0FWgjbB0gVlqn-q5LMJbGIsqOrzru4yowQz67dz2yc"", ""'STC'!D3:D139""),0))"),"")</f>
        <v/>
      </c>
      <c r="AB107" s="262">
        <f ca="1">IFERROR(__xludf.DUMMYFUNCTION("INDEX(IMPORTRANGE(""1y0FWgjbB0gVlqn-q5LMJbGIsqOrzru4yowQz67dz2yc"", ""'STC'!BJ3:BJ139""),MATCH($D107,IMPORTRANGE(""1y0FWgjbB0gVlqn-q5LMJbGIsqOrzru4yowQz67dz2yc"", ""'STC'!D3:D139""),0))"),62420)</f>
        <v>62420</v>
      </c>
      <c r="AC107" s="1"/>
    </row>
    <row r="108" spans="1:29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21" t="s">
        <v>213</v>
      </c>
      <c r="H108" s="22" t="s">
        <v>214</v>
      </c>
      <c r="I108" s="9" t="s">
        <v>215</v>
      </c>
      <c r="J108" s="182"/>
      <c r="K108" s="9" t="s">
        <v>216</v>
      </c>
      <c r="L108" s="182"/>
      <c r="M108" s="9" t="s">
        <v>217</v>
      </c>
      <c r="N108" s="2" t="s">
        <v>218</v>
      </c>
      <c r="O108" s="2" t="s">
        <v>218</v>
      </c>
      <c r="P108" s="15">
        <f t="shared" ref="P108:Q108" si="22">P107/P106</f>
        <v>0.53382492283733451</v>
      </c>
      <c r="Q108" s="15">
        <f t="shared" si="22"/>
        <v>0.53382492283733451</v>
      </c>
      <c r="R108" s="2"/>
      <c r="S108" s="26">
        <v>0.55600000000000005</v>
      </c>
      <c r="T108" s="2"/>
      <c r="U108" s="15">
        <v>0.57799999999999996</v>
      </c>
      <c r="V108" s="15">
        <v>0.6</v>
      </c>
      <c r="W108" s="15">
        <v>0.6</v>
      </c>
      <c r="X108" s="15">
        <f>X107/X106</f>
        <v>0.53382492283733451</v>
      </c>
      <c r="Y108" s="522" t="str">
        <f ca="1">IFERROR(__xludf.DUMMYFUNCTION("INDEX(IMPORTRANGE(""1y0FWgjbB0gVlqn-q5LMJbGIsqOrzru4yowQz67dz2yc"", ""'STC'!BG3:BG139""),MATCH($D108,IMPORTRANGE(""1y0FWgjbB0gVlqn-q5LMJbGIsqOrzru4yowQz67dz2yc"", ""'STC'!D3:D139""),0))"),"")</f>
        <v/>
      </c>
      <c r="Z108" s="25">
        <f ca="1">IFERROR(__xludf.DUMMYFUNCTION("INDEX(IMPORTRANGE(""1y0FWgjbB0gVlqn-q5LMJbGIsqOrzru4yowQz67dz2yc"", ""'STC'!BH3:BH139""),MATCH($D108,IMPORTRANGE(""1y0FWgjbB0gVlqn-q5LMJbGIsqOrzru4yowQz67dz2yc"", ""'STC'!D3:D139""),0))"),0.675902643146438)</f>
        <v>0.675902643146438</v>
      </c>
      <c r="AA108" s="522" t="str">
        <f ca="1">IFERROR(__xludf.DUMMYFUNCTION("INDEX(IMPORTRANGE(""1y0FWgjbB0gVlqn-q5LMJbGIsqOrzru4yowQz67dz2yc"", ""'STC'!BI3:BI139""),MATCH($D108,IMPORTRANGE(""1y0FWgjbB0gVlqn-q5LMJbGIsqOrzru4yowQz67dz2yc"", ""'STC'!D3:D139""),0))"),"")</f>
        <v/>
      </c>
      <c r="AB108" s="25">
        <f ca="1">IFERROR(__xludf.DUMMYFUNCTION("INDEX(IMPORTRANGE(""1y0FWgjbB0gVlqn-q5LMJbGIsqOrzru4yowQz67dz2yc"", ""'STC'!BJ3:BJ139""),MATCH($D108,IMPORTRANGE(""1y0FWgjbB0gVlqn-q5LMJbGIsqOrzru4yowQz67dz2yc"", ""'STC'!D3:D139""),0))"),0.592349374151854)</f>
        <v>0.59234937415185396</v>
      </c>
      <c r="AC108" s="1"/>
    </row>
    <row r="109" spans="1:29">
      <c r="A109" s="155" t="s">
        <v>275</v>
      </c>
      <c r="B109" s="155" t="s">
        <v>276</v>
      </c>
      <c r="C109" s="155" t="s">
        <v>30</v>
      </c>
      <c r="D109" s="155" t="s">
        <v>294</v>
      </c>
      <c r="E109" s="21" t="s">
        <v>38</v>
      </c>
      <c r="F109" s="21" t="s">
        <v>295</v>
      </c>
      <c r="G109" s="21" t="s">
        <v>213</v>
      </c>
      <c r="H109" s="22" t="s">
        <v>214</v>
      </c>
      <c r="I109" s="21" t="s">
        <v>215</v>
      </c>
      <c r="J109" s="59"/>
      <c r="K109" s="21" t="s">
        <v>216</v>
      </c>
      <c r="L109" s="59"/>
      <c r="M109" s="21" t="s">
        <v>217</v>
      </c>
      <c r="N109" s="22" t="s">
        <v>218</v>
      </c>
      <c r="O109" s="22" t="s">
        <v>218</v>
      </c>
      <c r="P109" s="349"/>
      <c r="Q109" s="349"/>
      <c r="R109" s="2"/>
      <c r="S109" s="2"/>
      <c r="T109" s="2"/>
      <c r="U109" s="2"/>
      <c r="V109" s="2"/>
      <c r="W109" s="2"/>
      <c r="X109" s="349"/>
      <c r="Y109" s="522" t="str">
        <f ca="1">IFERROR(__xludf.DUMMYFUNCTION("INDEX(IMPORTRANGE(""1y0FWgjbB0gVlqn-q5LMJbGIsqOrzru4yowQz67dz2yc"", ""'STC'!BG3:BG139""),MATCH($D109,IMPORTRANGE(""1y0FWgjbB0gVlqn-q5LMJbGIsqOrzru4yowQz67dz2yc"", ""'STC'!D3:D139""),0))"),"")</f>
        <v/>
      </c>
      <c r="Z109" s="375">
        <f ca="1">IFERROR(__xludf.DUMMYFUNCTION("INDEX(IMPORTRANGE(""1y0FWgjbB0gVlqn-q5LMJbGIsqOrzru4yowQz67dz2yc"", ""'STC'!BH3:BH139""),MATCH($D109,IMPORTRANGE(""1y0FWgjbB0gVlqn-q5LMJbGIsqOrzru4yowQz67dz2yc"", ""'STC'!D3:D139""),0))"),183318826)</f>
        <v>183318826</v>
      </c>
      <c r="AA109" s="522" t="str">
        <f ca="1">IFERROR(__xludf.DUMMYFUNCTION("INDEX(IMPORTRANGE(""1y0FWgjbB0gVlqn-q5LMJbGIsqOrzru4yowQz67dz2yc"", ""'STC'!BI3:BI139""),MATCH($D109,IMPORTRANGE(""1y0FWgjbB0gVlqn-q5LMJbGIsqOrzru4yowQz67dz2yc"", ""'STC'!D3:D139""),0))"),"")</f>
        <v/>
      </c>
      <c r="AB109" s="375">
        <f ca="1">IFERROR(__xludf.DUMMYFUNCTION("INDEX(IMPORTRANGE(""1y0FWgjbB0gVlqn-q5LMJbGIsqOrzru4yowQz67dz2yc"", ""'STC'!BJ3:BJ139""),MATCH($D109,IMPORTRANGE(""1y0FWgjbB0gVlqn-q5LMJbGIsqOrzru4yowQz67dz2yc"", ""'STC'!D3:D139""),0))"),189451119)</f>
        <v>189451119</v>
      </c>
      <c r="AC109" s="1"/>
    </row>
    <row r="110" spans="1:29">
      <c r="A110" s="155" t="s">
        <v>275</v>
      </c>
      <c r="B110" s="155" t="s">
        <v>276</v>
      </c>
      <c r="C110" s="155" t="s">
        <v>36</v>
      </c>
      <c r="D110" s="155" t="s">
        <v>296</v>
      </c>
      <c r="E110" s="21" t="s">
        <v>38</v>
      </c>
      <c r="F110" s="21" t="s">
        <v>297</v>
      </c>
      <c r="G110" s="21" t="s">
        <v>213</v>
      </c>
      <c r="H110" s="22" t="s">
        <v>214</v>
      </c>
      <c r="I110" s="21" t="s">
        <v>215</v>
      </c>
      <c r="J110" s="59"/>
      <c r="K110" s="21" t="s">
        <v>216</v>
      </c>
      <c r="L110" s="59"/>
      <c r="M110" s="21" t="s">
        <v>217</v>
      </c>
      <c r="N110" s="22" t="s">
        <v>218</v>
      </c>
      <c r="O110" s="22" t="s">
        <v>218</v>
      </c>
      <c r="P110" s="349">
        <v>122025706</v>
      </c>
      <c r="Q110" s="349">
        <v>122025706</v>
      </c>
      <c r="R110" s="2"/>
      <c r="S110" s="36">
        <v>133017137.33</v>
      </c>
      <c r="T110" s="2"/>
      <c r="U110" s="36">
        <v>144008568.66999999</v>
      </c>
      <c r="V110" s="36">
        <v>155000000</v>
      </c>
      <c r="W110" s="12">
        <v>155000000</v>
      </c>
      <c r="X110" s="349">
        <v>122025706</v>
      </c>
      <c r="Y110" s="522" t="str">
        <f ca="1">IFERROR(__xludf.DUMMYFUNCTION("INDEX(IMPORTRANGE(""1y0FWgjbB0gVlqn-q5LMJbGIsqOrzru4yowQz67dz2yc"", ""'STC'!BG3:BG139""),MATCH($D110,IMPORTRANGE(""1y0FWgjbB0gVlqn-q5LMJbGIsqOrzru4yowQz67dz2yc"", ""'STC'!D3:D139""),0))"),"")</f>
        <v/>
      </c>
      <c r="Z110" s="375">
        <f ca="1">IFERROR(__xludf.DUMMYFUNCTION("INDEX(IMPORTRANGE(""1y0FWgjbB0gVlqn-q5LMJbGIsqOrzru4yowQz67dz2yc"", ""'STC'!BH3:BH139""),MATCH($D110,IMPORTRANGE(""1y0FWgjbB0gVlqn-q5LMJbGIsqOrzru4yowQz67dz2yc"", ""'STC'!D3:D139""),0))"),267020341)</f>
        <v>267020341</v>
      </c>
      <c r="AA110" s="522" t="str">
        <f ca="1">IFERROR(__xludf.DUMMYFUNCTION("INDEX(IMPORTRANGE(""1y0FWgjbB0gVlqn-q5LMJbGIsqOrzru4yowQz67dz2yc"", ""'STC'!BI3:BI139""),MATCH($D110,IMPORTRANGE(""1y0FWgjbB0gVlqn-q5LMJbGIsqOrzru4yowQz67dz2yc"", ""'STC'!D3:D139""),0))"),"")</f>
        <v/>
      </c>
      <c r="AB110" s="375">
        <f ca="1">IFERROR(__xludf.DUMMYFUNCTION("INDEX(IMPORTRANGE(""1y0FWgjbB0gVlqn-q5LMJbGIsqOrzru4yowQz67dz2yc"", ""'STC'!BJ3:BJ139""),MATCH($D110,IMPORTRANGE(""1y0FWgjbB0gVlqn-q5LMJbGIsqOrzru4yowQz67dz2yc"", ""'STC'!D3:D139""),0))"),263202205)</f>
        <v>263202205</v>
      </c>
      <c r="AC110" s="1"/>
    </row>
    <row r="111" spans="1:29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21" t="s">
        <v>213</v>
      </c>
      <c r="H111" s="22" t="s">
        <v>214</v>
      </c>
      <c r="I111" s="9" t="s">
        <v>215</v>
      </c>
      <c r="J111" s="182"/>
      <c r="K111" s="9" t="s">
        <v>216</v>
      </c>
      <c r="L111" s="182"/>
      <c r="M111" s="9" t="s">
        <v>217</v>
      </c>
      <c r="N111" s="2" t="s">
        <v>218</v>
      </c>
      <c r="O111" s="2" t="s">
        <v>218</v>
      </c>
      <c r="P111" s="50">
        <v>1352030259</v>
      </c>
      <c r="Q111" s="50">
        <v>1352030259</v>
      </c>
      <c r="R111" s="2"/>
      <c r="S111" s="2"/>
      <c r="T111" s="2"/>
      <c r="U111" s="2"/>
      <c r="V111" s="2"/>
      <c r="W111" s="2"/>
      <c r="X111" s="36">
        <v>1352030259</v>
      </c>
      <c r="Y111" s="522" t="str">
        <f ca="1">IFERROR(__xludf.DUMMYFUNCTION("INDEX(IMPORTRANGE(""1y0FWgjbB0gVlqn-q5LMJbGIsqOrzru4yowQz67dz2yc"", ""'STC'!BG3:BG139""),MATCH($D111,IMPORTRANGE(""1y0FWgjbB0gVlqn-q5LMJbGIsqOrzru4yowQz67dz2yc"", ""'STC'!D3:D139""),0))"),"")</f>
        <v/>
      </c>
      <c r="Z111" s="272">
        <f ca="1">IFERROR(__xludf.DUMMYFUNCTION("INDEX(IMPORTRANGE(""1y0FWgjbB0gVlqn-q5LMJbGIsqOrzru4yowQz67dz2yc"", ""'STC'!BH3:BH139""),MATCH($D111,IMPORTRANGE(""1y0FWgjbB0gVlqn-q5LMJbGIsqOrzru4yowQz67dz2yc"", ""'STC'!D3:D139""),0))"),1646561121)</f>
        <v>1646561121</v>
      </c>
      <c r="AA111" s="522" t="str">
        <f ca="1">IFERROR(__xludf.DUMMYFUNCTION("INDEX(IMPORTRANGE(""1y0FWgjbB0gVlqn-q5LMJbGIsqOrzru4yowQz67dz2yc"", ""'STC'!BI3:BI139""),MATCH($D111,IMPORTRANGE(""1y0FWgjbB0gVlqn-q5LMJbGIsqOrzru4yowQz67dz2yc"", ""'STC'!D3:D139""),0))"),"")</f>
        <v/>
      </c>
      <c r="AB111" s="272">
        <f ca="1">IFERROR(__xludf.DUMMYFUNCTION("INDEX(IMPORTRANGE(""1y0FWgjbB0gVlqn-q5LMJbGIsqOrzru4yowQz67dz2yc"", ""'STC'!BJ3:BJ139""),MATCH($D111,IMPORTRANGE(""1y0FWgjbB0gVlqn-q5LMJbGIsqOrzru4yowQz67dz2yc"", ""'STC'!D3:D139""),0))"),2657030610)</f>
        <v>2657030610</v>
      </c>
      <c r="AC111" s="1"/>
    </row>
    <row r="112" spans="1:29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21" t="s">
        <v>213</v>
      </c>
      <c r="H112" s="22" t="s">
        <v>214</v>
      </c>
      <c r="I112" s="9" t="s">
        <v>215</v>
      </c>
      <c r="J112" s="182"/>
      <c r="K112" s="9" t="s">
        <v>216</v>
      </c>
      <c r="L112" s="182"/>
      <c r="M112" s="9" t="s">
        <v>217</v>
      </c>
      <c r="N112" s="2" t="s">
        <v>218</v>
      </c>
      <c r="O112" s="2" t="s">
        <v>218</v>
      </c>
      <c r="P112" s="15">
        <f t="shared" ref="P112:Q112" si="23">P104/P111</f>
        <v>0.71605713892532041</v>
      </c>
      <c r="Q112" s="15">
        <f t="shared" si="23"/>
        <v>0.71605713892532041</v>
      </c>
      <c r="R112" s="2"/>
      <c r="S112" s="26">
        <v>0.70699999999999996</v>
      </c>
      <c r="T112" s="2"/>
      <c r="U112" s="15">
        <v>0.69899999999999995</v>
      </c>
      <c r="V112" s="15">
        <v>0.69</v>
      </c>
      <c r="W112" s="15">
        <v>0.69</v>
      </c>
      <c r="X112" s="15">
        <f>X104/X111</f>
        <v>0.71605713892532041</v>
      </c>
      <c r="Y112" s="522" t="str">
        <f ca="1">IFERROR(__xludf.DUMMYFUNCTION("INDEX(IMPORTRANGE(""1y0FWgjbB0gVlqn-q5LMJbGIsqOrzru4yowQz67dz2yc"", ""'STC'!BG3:BG139""),MATCH($D112,IMPORTRANGE(""1y0FWgjbB0gVlqn-q5LMJbGIsqOrzru4yowQz67dz2yc"", ""'STC'!D3:D139""),0))"),"")</f>
        <v/>
      </c>
      <c r="Z112" s="25">
        <f ca="1">IFERROR(__xludf.DUMMYFUNCTION("INDEX(IMPORTRANGE(""1y0FWgjbB0gVlqn-q5LMJbGIsqOrzru4yowQz67dz2yc"", ""'STC'!BH3:BH139""),MATCH($D112,IMPORTRANGE(""1y0FWgjbB0gVlqn-q5LMJbGIsqOrzru4yowQz67dz2yc"", ""'STC'!D3:D139""),0))"),0.763787398451514)</f>
        <v>0.763787398451514</v>
      </c>
      <c r="AA112" s="522" t="str">
        <f ca="1">IFERROR(__xludf.DUMMYFUNCTION("INDEX(IMPORTRANGE(""1y0FWgjbB0gVlqn-q5LMJbGIsqOrzru4yowQz67dz2yc"", ""'STC'!BI3:BI139""),MATCH($D112,IMPORTRANGE(""1y0FWgjbB0gVlqn-q5LMJbGIsqOrzru4yowQz67dz2yc"", ""'STC'!D3:D139""),0))"),"")</f>
        <v/>
      </c>
      <c r="AB112" s="25">
        <f ca="1">IFERROR(__xludf.DUMMYFUNCTION("INDEX(IMPORTRANGE(""1y0FWgjbB0gVlqn-q5LMJbGIsqOrzru4yowQz67dz2yc"", ""'STC'!BJ3:BJ139""),MATCH($D112,IMPORTRANGE(""1y0FWgjbB0gVlqn-q5LMJbGIsqOrzru4yowQz67dz2yc"", ""'STC'!D3:D139""),0))"),0.792316095297073)</f>
        <v>0.79231609529707303</v>
      </c>
      <c r="AC112" s="1"/>
    </row>
    <row r="113" spans="1:29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0" t="s">
        <v>307</v>
      </c>
      <c r="H113" s="59"/>
      <c r="I113" s="2" t="s">
        <v>254</v>
      </c>
      <c r="J113" s="182"/>
      <c r="K113" s="2" t="s">
        <v>255</v>
      </c>
      <c r="L113" s="182"/>
      <c r="M113" s="2" t="s">
        <v>256</v>
      </c>
      <c r="N113" s="49">
        <v>45473</v>
      </c>
      <c r="O113" s="2"/>
      <c r="P113" s="30" t="s">
        <v>308</v>
      </c>
      <c r="Q113" s="30" t="s">
        <v>308</v>
      </c>
      <c r="R113" s="2" t="s">
        <v>308</v>
      </c>
      <c r="S113" s="2" t="s">
        <v>308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522" t="str">
        <f ca="1">IFERROR(__xludf.DUMMYFUNCTION("INDEX(IMPORTRANGE(""1y0FWgjbB0gVlqn-q5LMJbGIsqOrzru4yowQz67dz2yc"", ""'STC'!BG3:BG139""),MATCH($D113,IMPORTRANGE(""1y0FWgjbB0gVlqn-q5LMJbGIsqOrzru4yowQz67dz2yc"", ""'STC'!D3:D139""),0))"),"")</f>
        <v/>
      </c>
      <c r="Z113" s="22" t="str">
        <f ca="1">IFERROR(__xludf.DUMMYFUNCTION("INDEX(IMPORTRANGE(""1y0FWgjbB0gVlqn-q5LMJbGIsqOrzru4yowQz67dz2yc"", ""'STC'!BH3:BH139""),MATCH($D113,IMPORTRANGE(""1y0FWgjbB0gVlqn-q5LMJbGIsqOrzru4yowQz67dz2yc"", ""'STC'!D3:D139""),0))"),"Verde")</f>
        <v>Verde</v>
      </c>
      <c r="AA113" s="522" t="str">
        <f ca="1">IFERROR(__xludf.DUMMYFUNCTION("INDEX(IMPORTRANGE(""1y0FWgjbB0gVlqn-q5LMJbGIsqOrzru4yowQz67dz2yc"", ""'STC'!BI3:BI139""),MATCH($D113,IMPORTRANGE(""1y0FWgjbB0gVlqn-q5LMJbGIsqOrzru4yowQz67dz2yc"", ""'STC'!D3:D139""),0))"),"")</f>
        <v/>
      </c>
      <c r="AB113" s="22" t="str">
        <f ca="1">IFERROR(__xludf.DUMMYFUNCTION("INDEX(IMPORTRANGE(""1y0FWgjbB0gVlqn-q5LMJbGIsqOrzru4yowQz67dz2yc"", ""'STC'!BJ3:BJ139""),MATCH($D113,IMPORTRANGE(""1y0FWgjbB0gVlqn-q5LMJbGIsqOrzru4yowQz67dz2yc"", ""'STC'!D3:D139""),0))"),"Verde")</f>
        <v>Verde</v>
      </c>
      <c r="AC113" s="1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5AAB9-5005-444A-9D88-18D447B43CA3}">
  <dimension ref="A1:M39"/>
  <sheetViews>
    <sheetView workbookViewId="0">
      <selection activeCell="E3" sqref="E3"/>
    </sheetView>
  </sheetViews>
  <sheetFormatPr baseColWidth="10" defaultRowHeight="16"/>
  <cols>
    <col min="1" max="1" width="10.83203125" style="118"/>
    <col min="3" max="4" width="10.83203125" customWidth="1"/>
    <col min="5" max="5" width="12.83203125" customWidth="1"/>
    <col min="7" max="7" width="12.83203125" customWidth="1"/>
    <col min="8" max="8" width="12.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6</v>
      </c>
      <c r="E1" s="70" t="s">
        <v>15</v>
      </c>
      <c r="F1" s="69" t="s">
        <v>12</v>
      </c>
      <c r="G1" s="70" t="s">
        <v>354</v>
      </c>
      <c r="H1" s="70" t="s">
        <v>355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4 STC'!$D$3:$AB$113,4,0)</f>
        <v>44469</v>
      </c>
      <c r="E2" s="212">
        <f>VLOOKUP(C2,'BD EVA 4 STC'!$D$3:$AB$113,13,0)</f>
        <v>265</v>
      </c>
      <c r="F2" s="75">
        <f>VLOOKUP(C2,'BD EVA 4 STC'!$D$3:$AB$113,10,0)</f>
        <v>45382</v>
      </c>
      <c r="G2" s="212">
        <f ca="1">VLOOKUP(C2,'BD EVA 4 STC'!$D$3:$AC$113,25,0)</f>
        <v>435</v>
      </c>
      <c r="H2" s="212">
        <f>VLOOKUP(C2,'BD EVA 4 STC'!$D$3:$AC$113,18,0)</f>
        <v>400</v>
      </c>
      <c r="I2" s="78">
        <f ca="1">IF(G2&gt;=E2,G2/H2,0)</f>
        <v>1.0874999999999999</v>
      </c>
      <c r="J2" s="72" t="s">
        <v>316</v>
      </c>
      <c r="K2" s="81">
        <v>2.7</v>
      </c>
      <c r="L2" s="81">
        <f t="shared" ref="L2:L39" ca="1" si="0">IF(I2&lt;0,0,IF(I2&gt;1,K2,I2*K2))</f>
        <v>2.7</v>
      </c>
      <c r="M2" s="124">
        <f ca="1">SUM(L2:L4)</f>
        <v>9.2259509420547445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4 STC'!$D$3:$AB$113,4,0)</f>
        <v>44469</v>
      </c>
      <c r="E3" s="207">
        <f>VLOOKUP(C3,'BD EVA 4 STC'!$D$3:$AB$113,13,0)</f>
        <v>0.98867924528301887</v>
      </c>
      <c r="F3" s="75">
        <f>VLOOKUP(C3,'BD EVA 4 STC'!$D$3:$AB$113,10,0)</f>
        <v>45382</v>
      </c>
      <c r="G3" s="207">
        <f ca="1">VLOOKUP(C3,'BD EVA 4 STC'!$D$3:$AC$113,25,0)</f>
        <v>0.77241379310344804</v>
      </c>
      <c r="H3" s="207" t="str">
        <f>VLOOKUP(C3,'BD EVA 4 STC'!$D$3:$AC$113,18,0)</f>
        <v>&gt;=97%</v>
      </c>
      <c r="I3" s="78">
        <f ca="1">IF(G3&gt;=97%,1,G3/97%)</f>
        <v>0.79630287948809075</v>
      </c>
      <c r="J3" s="75" t="s">
        <v>318</v>
      </c>
      <c r="K3" s="81">
        <v>3.8</v>
      </c>
      <c r="L3" s="81">
        <f t="shared" ca="1" si="0"/>
        <v>3.0259509420547448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75">
        <f>VLOOKUP(C4,'BD EVA 4 STC'!$D$3:$AB$113,4,0)</f>
        <v>44469</v>
      </c>
      <c r="E4" s="207">
        <f>VLOOKUP(C4,'BD EVA 4 STC'!$D$3:$AB$113,13,0)</f>
        <v>0</v>
      </c>
      <c r="F4" s="75">
        <f>VLOOKUP(C4,'BD EVA 4 STC'!$D$3:$AB$113,10,0)</f>
        <v>45382</v>
      </c>
      <c r="G4" s="207">
        <f ca="1">VLOOKUP(C4,'BD EVA 4 STC'!$D$3:$AC$113,25,0)</f>
        <v>0.112643678160919</v>
      </c>
      <c r="H4" s="207">
        <f>VLOOKUP(C4,'BD EVA 4 STC'!$D$3:$AC$113,18,0)</f>
        <v>0.10100000000000001</v>
      </c>
      <c r="I4" s="77">
        <f t="shared" ref="I4:I5" ca="1" si="1">G4/H4</f>
        <v>1.1152839421873166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4 STC'!$D$3:$AB$113,4,0)</f>
        <v>octubre 20 - mar 21</v>
      </c>
      <c r="E5" s="207">
        <f>VLOOKUP(C5,'BD EVA 4 STC'!$D$3:$AB$113,13,0)</f>
        <v>5.3097345132743362E-3</v>
      </c>
      <c r="F5" s="75" t="str">
        <f>VLOOKUP(C5,'BD EVA 4 STC'!$D$3:$AB$113,10,0)</f>
        <v>octubre 23- mar 24</v>
      </c>
      <c r="G5" s="207">
        <f ca="1">VLOOKUP(C5,'BD EVA 4 STC'!$D$3:$AC$113,25,0)</f>
        <v>0.39950576606260202</v>
      </c>
      <c r="H5" s="207">
        <f>VLOOKUP(C5,'BD EVA 4 STC'!$D$3:$AC$113,18,0)</f>
        <v>0.38666666666666671</v>
      </c>
      <c r="I5" s="77">
        <f t="shared" ca="1" si="1"/>
        <v>1.033204567403281</v>
      </c>
      <c r="J5" s="75" t="s">
        <v>318</v>
      </c>
      <c r="K5" s="209">
        <v>1.6</v>
      </c>
      <c r="L5" s="209">
        <f t="shared" ca="1" si="0"/>
        <v>1.6</v>
      </c>
      <c r="M5" s="130">
        <f ca="1">SUM(L5:L10)</f>
        <v>2.259446166711776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4 STC'!$D$3:$AB$113,4,0)</f>
        <v>octubre 20 - mar 21</v>
      </c>
      <c r="E6" s="209">
        <f>VLOOKUP(C6,'BD EVA 4 STC'!$D$3:$AB$113,13,0)</f>
        <v>7.066746961298807</v>
      </c>
      <c r="F6" s="75" t="str">
        <f>VLOOKUP(C6,'BD EVA 4 STC'!$D$3:$AB$113,10,0)</f>
        <v>octubre 23- mar 24</v>
      </c>
      <c r="G6" s="209">
        <f ca="1">VLOOKUP(C6,'BD EVA 4 STC'!$D$3:$AC$113,25,0)</f>
        <v>9.5360133504186901</v>
      </c>
      <c r="H6" s="209">
        <f>VLOOKUP(C6,'BD EVA 4 STC'!$D$3:$AC$113,18,0)</f>
        <v>6.6</v>
      </c>
      <c r="I6" s="78">
        <f t="shared" ref="I6:I10" ca="1" si="2">(G6-E6)/(H6-E6)</f>
        <v>-5.2903748580359382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4 STC'!$D$3:$AB$113,4,0)</f>
        <v>octubre 20 - mar 21</v>
      </c>
      <c r="E7" s="208">
        <f>VLOOKUP(C7,'BD EVA 4 STC'!$D$3:$AB$113,13,0)</f>
        <v>148.70893605515749</v>
      </c>
      <c r="F7" s="75" t="str">
        <f>VLOOKUP(C7,'BD EVA 4 STC'!$D$3:$AB$113,10,0)</f>
        <v>octubre 23- mar 24</v>
      </c>
      <c r="G7" s="208">
        <f ca="1">VLOOKUP(C7,'BD EVA 4 STC'!$D$3:$AC$113,25,0)</f>
        <v>143.04020025628</v>
      </c>
      <c r="H7" s="208">
        <f>VLOOKUP(C7,'BD EVA 4 STC'!$D$3:$AC$113,18,0)</f>
        <v>67.099999999999994</v>
      </c>
      <c r="I7" s="78">
        <f t="shared" ca="1" si="2"/>
        <v>6.9462194618566411E-2</v>
      </c>
      <c r="J7" s="71" t="s">
        <v>319</v>
      </c>
      <c r="K7" s="209">
        <v>1.6</v>
      </c>
      <c r="L7" s="209">
        <f t="shared" ca="1" si="0"/>
        <v>0.11113951138970626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4 STC'!$D$3:$AB$113,4,0)</f>
        <v>octubre 20 - mar 21</v>
      </c>
      <c r="E8" s="208">
        <f>VLOOKUP(C8,'BD EVA 4 STC'!$D$3:$AB$113,13,0)</f>
        <v>381.297086042253</v>
      </c>
      <c r="F8" s="75" t="str">
        <f>VLOOKUP(C8,'BD EVA 4 STC'!$D$3:$AB$113,10,0)</f>
        <v>octubre 23- mar 24</v>
      </c>
      <c r="G8" s="208">
        <f ca="1">VLOOKUP(C8,'BD EVA 4 STC'!$D$3:$AC$113,25,0)</f>
        <v>365.944512322317</v>
      </c>
      <c r="H8" s="208">
        <f>VLOOKUP(C8,'BD EVA 4 STC'!$D$3:$AC$113,18,0)</f>
        <v>248</v>
      </c>
      <c r="I8" s="78">
        <f t="shared" ca="1" si="2"/>
        <v>0.11517561392954598</v>
      </c>
      <c r="J8" s="71" t="s">
        <v>319</v>
      </c>
      <c r="K8" s="209">
        <v>1.7</v>
      </c>
      <c r="L8" s="209">
        <f t="shared" ca="1" si="0"/>
        <v>0.19579854368022817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4 STC'!$D$3:$AB$113,4,0)</f>
        <v>octubre 20 - mar 21</v>
      </c>
      <c r="E9" s="208">
        <f>VLOOKUP(C9,'BD EVA 4 STC'!$D$3:$AB$113,13,0)</f>
        <v>66.058721594749713</v>
      </c>
      <c r="F9" s="75" t="str">
        <f>VLOOKUP(C9,'BD EVA 4 STC'!$D$3:$AB$113,10,0)</f>
        <v>octubre 23- mar 24</v>
      </c>
      <c r="G9" s="208">
        <f ca="1">VLOOKUP(C9,'BD EVA 4 STC'!$D$3:$AC$113,25,0)</f>
        <v>58.706082188514998</v>
      </c>
      <c r="H9" s="208">
        <f>VLOOKUP(C9,'BD EVA 4 STC'!$D$3:$AC$113,18,0)</f>
        <v>30.6</v>
      </c>
      <c r="I9" s="78">
        <f t="shared" ca="1" si="2"/>
        <v>0.20735771273049514</v>
      </c>
      <c r="J9" s="71" t="s">
        <v>319</v>
      </c>
      <c r="K9" s="209">
        <v>1.7</v>
      </c>
      <c r="L9" s="209">
        <f t="shared" ca="1" si="0"/>
        <v>0.3525081116418417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75" t="str">
        <f>VLOOKUP(C10,'BD EVA 4 STC'!$D$3:$AB$113,4,0)</f>
        <v>octubre 20 - mar 21</v>
      </c>
      <c r="E10" s="208">
        <f>VLOOKUP(C10,'BD EVA 4 STC'!$D$3:$AB$113,13,0)</f>
        <v>8.6029963007115899</v>
      </c>
      <c r="F10" s="75" t="str">
        <f>VLOOKUP(C10,'BD EVA 4 STC'!$D$3:$AB$113,10,0)</f>
        <v>octubre 23- mar 24</v>
      </c>
      <c r="G10" s="208">
        <f ca="1">VLOOKUP(C10,'BD EVA 4 STC'!$D$3:$AC$113,25,0)</f>
        <v>15.198021277229699</v>
      </c>
      <c r="H10" s="208">
        <f>VLOOKUP(C10,'BD EVA 4 STC'!$D$3:$AC$113,18,0)</f>
        <v>5.7</v>
      </c>
      <c r="I10" s="78">
        <f t="shared" ca="1" si="2"/>
        <v>-2.271799304360643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89">
        <f>VLOOKUP(C11,'BD EVA 4 STC'!$D$3:$AB$113,4,0)</f>
        <v>44469</v>
      </c>
      <c r="E11" s="78">
        <f>VLOOKUP(C11,'BD EVA 4 STC'!$D$3:$AB$113,13,0)</f>
        <v>0</v>
      </c>
      <c r="F11" s="89">
        <f>VLOOKUP(C11,'BD EVA 4 STC'!$D$3:$AB$113,10,0)</f>
        <v>45382</v>
      </c>
      <c r="G11" s="78">
        <f ca="1">VLOOKUP(C11,'BD EVA 4 STC'!$D$3:$AC$113,25,0)</f>
        <v>5.34288074910493E-2</v>
      </c>
      <c r="H11" s="78">
        <f>VLOOKUP(C11,'BD EVA 4 STC'!$D$3:$AC$113,18,0)</f>
        <v>8.0000000000000002E-3</v>
      </c>
      <c r="I11" s="77">
        <f t="shared" ref="I11:I15" ca="1" si="3">G11/H11</f>
        <v>6.6786009363811623</v>
      </c>
      <c r="J11" s="89" t="s">
        <v>318</v>
      </c>
      <c r="K11" s="71">
        <v>1.1000000000000001</v>
      </c>
      <c r="L11" s="209">
        <f t="shared" ca="1" si="0"/>
        <v>1.1000000000000001</v>
      </c>
      <c r="M11" s="130">
        <f ca="1">SUM(L11:L15)</f>
        <v>8.769047619047619</v>
      </c>
    </row>
    <row r="12" spans="1:13" ht="91">
      <c r="A12" s="141" t="s">
        <v>119</v>
      </c>
      <c r="B12" s="72" t="s">
        <v>120</v>
      </c>
      <c r="C12" s="72" t="s">
        <v>333</v>
      </c>
      <c r="D12" s="89" t="str">
        <f>VLOOKUP(C12,'BD EVA 4 STC'!$D$3:$AB$113,4,0)</f>
        <v>octubre 20 - mar 21</v>
      </c>
      <c r="E12" s="210">
        <f>VLOOKUP(C12,'BD EVA 4 STC'!$D$3:$AB$113,13,0)</f>
        <v>0</v>
      </c>
      <c r="F12" s="89" t="str">
        <f>VLOOKUP(C12,'BD EVA 4 STC'!$D$3:$AB$113,10,0)</f>
        <v>octubre 23- mar 24</v>
      </c>
      <c r="G12" s="210">
        <f ca="1">VLOOKUP(C12,'BD EVA 4 STC'!$D$3:$AC$113,25,0)</f>
        <v>3.1226697826701798E-2</v>
      </c>
      <c r="H12" s="210">
        <f>VLOOKUP(C12,'BD EVA 4 STC'!$D$3:$AC$113,18,0)</f>
        <v>2.7E-4</v>
      </c>
      <c r="I12" s="78">
        <f t="shared" ca="1" si="3"/>
        <v>115.65443639519185</v>
      </c>
      <c r="J12" s="75" t="s">
        <v>318</v>
      </c>
      <c r="K12" s="71">
        <v>1.1000000000000001</v>
      </c>
      <c r="L12" s="209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89" t="str">
        <f>VLOOKUP(C13,'BD EVA 4 STC'!$D$3:$AB$113,4,0)</f>
        <v>octubre 20 - mar 21</v>
      </c>
      <c r="E13" s="212">
        <f>VLOOKUP(C13,'BD EVA 4 STC'!$D$3:$AB$113,13,0)</f>
        <v>0</v>
      </c>
      <c r="F13" s="89" t="str">
        <f>VLOOKUP(C13,'BD EVA 4 STC'!$D$3:$AB$113,10,0)</f>
        <v>octubre 21 - mar 24</v>
      </c>
      <c r="G13" s="212">
        <f ca="1">VLOOKUP(C13,'BD EVA 4 STC'!$D$3:$AC$113,25,0)</f>
        <v>10</v>
      </c>
      <c r="H13" s="212">
        <f>VLOOKUP(C13,'BD EVA 4 STC'!$D$3:$AC$113,18,0)</f>
        <v>21</v>
      </c>
      <c r="I13" s="78">
        <f t="shared" ca="1" si="3"/>
        <v>0.47619047619047616</v>
      </c>
      <c r="J13" s="75" t="s">
        <v>318</v>
      </c>
      <c r="K13" s="82">
        <v>2.35</v>
      </c>
      <c r="L13" s="209">
        <f t="shared" ca="1" si="0"/>
        <v>1.1190476190476191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89" t="str">
        <f>VLOOKUP(C14,'BD EVA 4 STC'!$D$3:$AB$113,4,0)</f>
        <v>octubre 20 - mar 21</v>
      </c>
      <c r="E14" s="212">
        <f>VLOOKUP(C14,'BD EVA 4 STC'!$D$3:$AB$113,13,0)</f>
        <v>2219</v>
      </c>
      <c r="F14" s="89" t="str">
        <f>VLOOKUP(C14,'BD EVA 4 STC'!$D$3:$AB$113,10,0)</f>
        <v>octubre 21 - mar 24</v>
      </c>
      <c r="G14" s="212">
        <f ca="1">VLOOKUP(C14,'BD EVA 4 STC'!$D$3:$AC$113,25,0)</f>
        <v>1319</v>
      </c>
      <c r="H14" s="212">
        <f>VLOOKUP(C14,'BD EVA 4 STC'!$D$3:$AC$113,18,0)</f>
        <v>930</v>
      </c>
      <c r="I14" s="78">
        <f t="shared" ca="1" si="3"/>
        <v>1.4182795698924731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4 STC'!$D$3:$AB$113,4,0)</f>
        <v>octubre 20 - mar 21</v>
      </c>
      <c r="E15" s="212">
        <f>VLOOKUP(C15,'BD EVA 4 STC'!$D$3:$AB$113,13,0)</f>
        <v>0</v>
      </c>
      <c r="F15" s="89" t="str">
        <f>VLOOKUP(C15,'BD EVA 4 STC'!$D$3:$AB$113,10,0)</f>
        <v>octubre 21 - mar 24</v>
      </c>
      <c r="G15" s="212">
        <f ca="1">VLOOKUP(C15,'BD EVA 4 STC'!$D$3:$AC$113,25,0)</f>
        <v>79</v>
      </c>
      <c r="H15" s="212">
        <f>VLOOKUP(C15,'BD EVA 4 STC'!$D$3:$AC$113,18,0)</f>
        <v>17</v>
      </c>
      <c r="I15" s="78">
        <f t="shared" ca="1" si="3"/>
        <v>4.6470588235294121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4 STC'!$D$3:$AB$113,4,0)</f>
        <v>44469</v>
      </c>
      <c r="E16" s="213">
        <f>VLOOKUP(C16,'BD EVA 4 STC'!$D$3:$AB$113,13,0)</f>
        <v>0.33333333333333331</v>
      </c>
      <c r="F16" s="75">
        <f>VLOOKUP(C16,'BD EVA 4 STC'!$D$3:$AB$113,10,0)</f>
        <v>45382</v>
      </c>
      <c r="G16" s="213">
        <f ca="1">VLOOKUP(C16,'BD EVA 4 STC'!$D$3:$AC$113,25,0)</f>
        <v>0.66666666666666596</v>
      </c>
      <c r="H16" s="213" t="str">
        <f>VLOOKUP(C16,'BD EVA 4 STC'!$D$3:$AC$113,18,0)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0.66666666666666596</v>
      </c>
      <c r="J16" s="75" t="s">
        <v>318</v>
      </c>
      <c r="K16" s="171">
        <v>1.5</v>
      </c>
      <c r="L16" s="209">
        <f t="shared" ca="1" si="0"/>
        <v>0.99999999999999889</v>
      </c>
      <c r="M16" s="130">
        <f ca="1">SUM(L16:L23)</f>
        <v>8.0786040682030489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4 STC'!$D$3:$AB$113,4,0)</f>
        <v>44469</v>
      </c>
      <c r="E17" s="212">
        <f>VLOOKUP(C17,'BD EVA 4 STC'!$D$3:$AB$113,13,0)</f>
        <v>1</v>
      </c>
      <c r="F17" s="75">
        <f>VLOOKUP(C17,'BD EVA 4 STC'!$D$3:$AB$113,10,0)</f>
        <v>45382</v>
      </c>
      <c r="G17" s="212">
        <f ca="1">VLOOKUP(C17,'BD EVA 4 STC'!$D$3:$AC$113,25,0)</f>
        <v>0.5</v>
      </c>
      <c r="H17" s="212" t="str">
        <f>VLOOKUP(C17,'BD EVA 4 STC'!$D$3:$AC$113,18,0)</f>
        <v>Actualizado al 2019</v>
      </c>
      <c r="I17" s="214">
        <f t="shared" ca="1" si="4"/>
        <v>0.5</v>
      </c>
      <c r="J17" s="75" t="s">
        <v>318</v>
      </c>
      <c r="K17" s="71">
        <v>1.5</v>
      </c>
      <c r="L17" s="209">
        <f t="shared" ca="1" si="0"/>
        <v>0.75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4 STC'!$D$3:$AB$113,4,0)</f>
        <v>44469</v>
      </c>
      <c r="E18" s="207" t="str">
        <f>VLOOKUP(C18,'BD EVA 4 STC'!$D$3:$AB$113,13,0)</f>
        <v>NA</v>
      </c>
      <c r="F18" s="75">
        <f>VLOOKUP(C18,'BD EVA 4 STC'!$D$3:$AB$113,10,0)</f>
        <v>45382</v>
      </c>
      <c r="G18" s="72" t="s">
        <v>320</v>
      </c>
      <c r="H18" s="207">
        <f>VLOOKUP(C18,'BD EVA 4 STC'!$D$3:$AC$113,18,0)</f>
        <v>1</v>
      </c>
      <c r="I18" s="214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4 STC'!$D$3:$AB$113,4,0)</f>
        <v>44469</v>
      </c>
      <c r="E19" s="207">
        <f>VLOOKUP(C19,'BD EVA 4 STC'!$D$3:$AB$113,13,0)</f>
        <v>0.9794801086824283</v>
      </c>
      <c r="F19" s="75">
        <f>VLOOKUP(C19,'BD EVA 4 STC'!$D$3:$AB$113,10,0)</f>
        <v>45382</v>
      </c>
      <c r="G19" s="207">
        <f ca="1">VLOOKUP(C19,'BD EVA 4 STC'!$D$3:$AC$113,25,0)</f>
        <v>1</v>
      </c>
      <c r="H19" s="207">
        <f>VLOOKUP(C19,'BD EVA 4 STC'!$D$3:$AC$113,18,0)</f>
        <v>1</v>
      </c>
      <c r="I19" s="214">
        <f t="shared" ref="I19:I27" ca="1" si="5">G19/H19</f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4 STC'!$D$3:$AB$113,4,0)</f>
        <v>44469</v>
      </c>
      <c r="E20" s="214">
        <f>VLOOKUP(C20,'BD EVA 4 STC'!$D$3:$AB$113,13,0)</f>
        <v>0.96452997337739832</v>
      </c>
      <c r="F20" s="75">
        <f>VLOOKUP(C20,'BD EVA 4 STC'!$D$3:$AB$113,10,0)</f>
        <v>45382</v>
      </c>
      <c r="G20" s="214">
        <f ca="1">VLOOKUP(C20,'BD EVA 4 STC'!$D$3:$AC$113,25,0)</f>
        <v>1</v>
      </c>
      <c r="H20" s="214">
        <f>VLOOKUP(C20,'BD EVA 4 STC'!$D$3:$AC$113,18,0)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4 STC'!$D$3:$AB$113,4,0)</f>
        <v>44469</v>
      </c>
      <c r="E21" s="207">
        <f>VLOOKUP(C21,'BD EVA 4 STC'!$D$3:$AB$113,13,0)</f>
        <v>0.99295063250668425</v>
      </c>
      <c r="F21" s="75">
        <f>VLOOKUP(C21,'BD EVA 4 STC'!$D$3:$AB$113,10,0)</f>
        <v>45382</v>
      </c>
      <c r="G21" s="207">
        <f ca="1">VLOOKUP(C21,'BD EVA 4 STC'!$D$3:$AC$113,25,0)</f>
        <v>0.99343083080919303</v>
      </c>
      <c r="H21" s="207">
        <f>VLOOKUP(C21,'BD EVA 4 STC'!$D$3:$AC$113,18,0)</f>
        <v>1</v>
      </c>
      <c r="I21" s="214">
        <f t="shared" ca="1" si="5"/>
        <v>0.99343083080919303</v>
      </c>
      <c r="J21" s="75" t="s">
        <v>318</v>
      </c>
      <c r="K21" s="71">
        <v>0.9</v>
      </c>
      <c r="L21" s="209">
        <f t="shared" ca="1" si="0"/>
        <v>0.89408774772827371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4 STC'!$D$3:$AB$113,4,0)</f>
        <v>44469</v>
      </c>
      <c r="E22" s="207">
        <f>VLOOKUP(C22,'BD EVA 4 STC'!$D$3:$AB$113,13,0)</f>
        <v>0.54364391691394653</v>
      </c>
      <c r="F22" s="75">
        <f>VLOOKUP(C22,'BD EVA 4 STC'!$D$3:$AB$113,10,0)</f>
        <v>45382</v>
      </c>
      <c r="G22" s="207">
        <f ca="1">VLOOKUP(C22,'BD EVA 4 STC'!$D$3:$AC$113,25,0)</f>
        <v>0.55634421364985098</v>
      </c>
      <c r="H22" s="207">
        <f>VLOOKUP(C22,'BD EVA 4 STC'!$D$3:$AC$113,18,0)</f>
        <v>1</v>
      </c>
      <c r="I22" s="214">
        <f t="shared" ca="1" si="5"/>
        <v>0.55634421364985098</v>
      </c>
      <c r="J22" s="75" t="s">
        <v>318</v>
      </c>
      <c r="K22" s="71">
        <v>1.5</v>
      </c>
      <c r="L22" s="209">
        <f t="shared" ca="1" si="0"/>
        <v>0.83451632047477653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4 STC'!$D$3:$AB$113,4,0)</f>
        <v>octubre 20 - mar 21</v>
      </c>
      <c r="E23" s="208">
        <f>VLOOKUP(C23,'BD EVA 4 STC'!$D$3:$AB$113,13,0)</f>
        <v>0</v>
      </c>
      <c r="F23" s="89" t="str">
        <f>VLOOKUP(C23,'BD EVA 4 STC'!$D$3:$AB$113,10,0)</f>
        <v>octubre 23 - mar 24</v>
      </c>
      <c r="G23" s="208">
        <f ca="1">VLOOKUP(C23,'BD EVA 4 STC'!$D$3:$AC$113,25,0)</f>
        <v>5.5</v>
      </c>
      <c r="H23" s="208">
        <f>VLOOKUP(C23,'BD EVA 4 STC'!$D$3:$AC$113,18,0)</f>
        <v>3</v>
      </c>
      <c r="I23" s="214">
        <f t="shared" ca="1" si="5"/>
        <v>1.8333333333333333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4 STC'!$D$3:$AB$113,4,0)</f>
        <v>44469</v>
      </c>
      <c r="E24" s="171">
        <f>VLOOKUP(C24,'BD EVA 4 STC'!$D$3:$AB$113,13,0)</f>
        <v>0</v>
      </c>
      <c r="F24" s="75">
        <f>VLOOKUP(C24,'BD EVA 4 STC'!$D$3:$AB$113,10,0)</f>
        <v>45382</v>
      </c>
      <c r="G24" s="82">
        <f ca="1">VLOOKUP(C24,'BD EVA 4 STC'!$D$3:$AC$113,25,0)</f>
        <v>1</v>
      </c>
      <c r="H24" s="82">
        <f>VLOOKUP(C24,'BD EVA 4 STC'!$D$3:$AC$113,18,0)</f>
        <v>3</v>
      </c>
      <c r="I24" s="214">
        <f t="shared" ca="1" si="5"/>
        <v>0.33333333333333331</v>
      </c>
      <c r="J24" s="75" t="s">
        <v>318</v>
      </c>
      <c r="K24" s="82">
        <v>1.9450000000000001</v>
      </c>
      <c r="L24" s="82">
        <f t="shared" ca="1" si="0"/>
        <v>0.64833333333333332</v>
      </c>
      <c r="M24" s="130">
        <f ca="1">SUM(L24:L28)</f>
        <v>8.7033333333333331</v>
      </c>
    </row>
    <row r="25" spans="1:13" ht="130">
      <c r="A25" s="121" t="s">
        <v>199</v>
      </c>
      <c r="B25" s="72" t="s">
        <v>200</v>
      </c>
      <c r="C25" s="72" t="s">
        <v>209</v>
      </c>
      <c r="D25" s="71" t="str">
        <f>VLOOKUP(C25,'BD EVA 4 STC'!$D$3:$AB$113,4,0)</f>
        <v>octubre 20 - mar 21</v>
      </c>
      <c r="E25" s="340">
        <f>VLOOKUP(C25,'BD EVA 4 STC'!$D$3:$AB$113,13,0)</f>
        <v>0</v>
      </c>
      <c r="F25" s="71" t="str">
        <f>VLOOKUP(C25,'BD EVA 4 STC'!$D$3:$AB$113,10,0)</f>
        <v>octubre 23 - mar 24</v>
      </c>
      <c r="G25" s="212">
        <f ca="1">VLOOKUP(C25,'BD EVA 4 STC'!$D$3:$AC$113,25,0)</f>
        <v>1105.69</v>
      </c>
      <c r="H25" s="212">
        <f>VLOOKUP(C25,'BD EVA 4 STC'!$D$3:$AC$113,18,0)</f>
        <v>833</v>
      </c>
      <c r="I25" s="214">
        <f t="shared" ca="1" si="5"/>
        <v>1.3273589435774311</v>
      </c>
      <c r="J25" s="75" t="s">
        <v>318</v>
      </c>
      <c r="K25" s="82">
        <v>1.6337999999999999</v>
      </c>
      <c r="L25" s="209">
        <f t="shared" ca="1" si="0"/>
        <v>1.6337999999999999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1" t="str">
        <f>VLOOKUP(C26,'BD EVA 4 STC'!$D$3:$AB$113,4,0)</f>
        <v>enero - diciembre 2021</v>
      </c>
      <c r="E26" s="210">
        <f>VLOOKUP(C26,'BD EVA 4 STC'!$D$3:$AB$113,13,0)</f>
        <v>0.10752377737820928</v>
      </c>
      <c r="F26" s="71" t="str">
        <f>VLOOKUP(C26,'BD EVA 4 STC'!$D$3:$AB$113,10,0)</f>
        <v>enero- diciembre 2023</v>
      </c>
      <c r="G26" s="207">
        <f ca="1">VLOOKUP(C26,'BD EVA 4 STC'!$D$3:$AC$113,25,0)</f>
        <v>0.46454332584142699</v>
      </c>
      <c r="H26" s="207">
        <f>VLOOKUP(C26,'BD EVA 4 STC'!$D$3:$AC$113,18,0)</f>
        <v>0.12920000000000001</v>
      </c>
      <c r="I26" s="214">
        <f t="shared" ca="1" si="5"/>
        <v>3.595536577720023</v>
      </c>
      <c r="J26" s="75" t="s">
        <v>318</v>
      </c>
      <c r="K26" s="82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1" t="str">
        <f>VLOOKUP(C27,'BD EVA 4 STC'!$D$3:$AB$113,4,0)</f>
        <v>octubre 20 - mar 21</v>
      </c>
      <c r="E27" s="212">
        <f>VLOOKUP(C27,'BD EVA 4 STC'!$D$3:$AB$113,13,0)</f>
        <v>25</v>
      </c>
      <c r="F27" s="71" t="str">
        <f>VLOOKUP(C27,'BD EVA 4 STC'!$D$3:$AB$113,10,0)</f>
        <v>octubre 23 - mar 24</v>
      </c>
      <c r="G27" s="212">
        <f ca="1">VLOOKUP(C27,'BD EVA 4 STC'!$D$3:$AC$113,25,0)</f>
        <v>40</v>
      </c>
      <c r="H27" s="212">
        <f>VLOOKUP(C27,'BD EVA 4 STC'!$D$3:$AC$113,18,0)</f>
        <v>5</v>
      </c>
      <c r="I27" s="214">
        <f t="shared" ca="1" si="5"/>
        <v>8</v>
      </c>
      <c r="J27" s="75" t="s">
        <v>318</v>
      </c>
      <c r="K27" s="82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4 STC'!$D$3:$AB$113,4,0)</f>
        <v>octubre 2018 - marzo 2019</v>
      </c>
      <c r="E28" s="212">
        <f>VLOOKUP(C28,'BD EVA 4 STC'!$D$3:$AB$113,13,0)</f>
        <v>1944</v>
      </c>
      <c r="F28" s="89" t="str">
        <f>VLOOKUP(C28,'BD EVA 4 STC'!$D$3:$AB$113,10,0)</f>
        <v>octubre 23 - mar 24</v>
      </c>
      <c r="G28" s="212">
        <f ca="1">VLOOKUP(C28,'BD EVA 4 STC'!$D$3:$AC$113,25,0)</f>
        <v>1182</v>
      </c>
      <c r="H28" s="212">
        <f>VLOOKUP(C28,'BD EVA 4 STC'!$D$3:$AC$113,18,0)</f>
        <v>1290.5999999999999</v>
      </c>
      <c r="I28" s="78">
        <f ca="1">(G28-E28)/(H28-E28)</f>
        <v>1.1662075298438934</v>
      </c>
      <c r="J28" s="89" t="s">
        <v>319</v>
      </c>
      <c r="K28" s="82">
        <v>2.2200000000000002</v>
      </c>
      <c r="L28" s="209">
        <f t="shared" ca="1" si="0"/>
        <v>2.2200000000000002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89" t="str">
        <f>VLOOKUP(C29,'BD EVA 4 STC'!$D$3:$AB$113,4,0)</f>
        <v>octubre 20 - mar 21</v>
      </c>
      <c r="E29" s="212">
        <f>VLOOKUP(C29,'BD EVA 4 STC'!$D$3:$AB$113,13,0)</f>
        <v>1</v>
      </c>
      <c r="F29" s="89" t="str">
        <f>VLOOKUP(C29,'BD EVA 4 STC'!$D$3:$AB$113,10,0)</f>
        <v>octubre 23 - mar 24</v>
      </c>
      <c r="G29" s="212">
        <f ca="1">VLOOKUP(C29,'BD EVA 4 STC'!$D$3:$AC$113,25,0)</f>
        <v>314</v>
      </c>
      <c r="H29" s="212">
        <f>VLOOKUP(C29,'BD EVA 4 STC'!$D$3:$AC$113,18,0)</f>
        <v>3</v>
      </c>
      <c r="I29" s="78">
        <f t="shared" ref="I29:I33" ca="1" si="6">G29/H29</f>
        <v>104.66666666666667</v>
      </c>
      <c r="J29" s="75" t="s">
        <v>318</v>
      </c>
      <c r="K29" s="82">
        <v>2</v>
      </c>
      <c r="L29" s="209">
        <f t="shared" ca="1" si="0"/>
        <v>2</v>
      </c>
      <c r="M29" s="130">
        <f ca="1">SUM(L29:L33)</f>
        <v>8.658497818599308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4 STC'!$D$3:$AB$113,4,0)</f>
        <v>44469</v>
      </c>
      <c r="E30" s="212">
        <f>VLOOKUP(C30,'BD EVA 4 STC'!$D$3:$AB$113,13,0)</f>
        <v>2</v>
      </c>
      <c r="F30" s="75">
        <f>VLOOKUP(C30,'BD EVA 4 STC'!$D$3:$AB$113,10,0)</f>
        <v>45382</v>
      </c>
      <c r="G30" s="212">
        <f ca="1">VLOOKUP(C30,'BD EVA 4 STC'!$D$3:$AC$113,25,0)</f>
        <v>4</v>
      </c>
      <c r="H30" s="212">
        <f>VLOOKUP(C30,'BD EVA 4 STC'!$D$3:$AC$113,18,0)</f>
        <v>3</v>
      </c>
      <c r="I30" s="78">
        <f t="shared" ca="1" si="6"/>
        <v>1.3333333333333333</v>
      </c>
      <c r="J30" s="75" t="s">
        <v>318</v>
      </c>
      <c r="K30" s="82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4 STC'!$D$3:$AB$113,4,0)</f>
        <v>44469</v>
      </c>
      <c r="E31" s="212">
        <f>VLOOKUP(C31,'BD EVA 4 STC'!$D$3:$AB$113,13,0)</f>
        <v>100</v>
      </c>
      <c r="F31" s="75" t="str">
        <f>VLOOKUP(C31,'BD EVA 4 STC'!$D$3:$AB$113,10,0)</f>
        <v>Dic 2023</v>
      </c>
      <c r="G31" s="212">
        <f ca="1">VLOOKUP(C31,'BD EVA 4 STC'!$D$3:$AC$113,25,0)</f>
        <v>94.98</v>
      </c>
      <c r="H31" s="212">
        <f>VLOOKUP(C31,'BD EVA 4 STC'!$D$3:$AC$113,18,0)</f>
        <v>100</v>
      </c>
      <c r="I31" s="78">
        <f t="shared" ca="1" si="6"/>
        <v>0.94980000000000009</v>
      </c>
      <c r="J31" s="75" t="s">
        <v>318</v>
      </c>
      <c r="K31" s="82">
        <v>2</v>
      </c>
      <c r="L31" s="209">
        <f t="shared" ca="1" si="0"/>
        <v>1.8996000000000002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4 STC'!$D$3:$AB$113,4,0)</f>
        <v>44469</v>
      </c>
      <c r="E32" s="209">
        <f>VLOOKUP(C32,'BD EVA 4 STC'!$D$3:$AB$113,13,0)</f>
        <v>0</v>
      </c>
      <c r="F32" s="75">
        <f>VLOOKUP(C32,'BD EVA 4 STC'!$D$3:$AB$113,10,0)</f>
        <v>45382</v>
      </c>
      <c r="G32" s="209">
        <f ca="1">VLOOKUP(C32,'BD EVA 4 STC'!$D$3:$AC$113,25,0)</f>
        <v>3.84615384615384</v>
      </c>
      <c r="H32" s="209">
        <f>VLOOKUP(C32,'BD EVA 4 STC'!$D$3:$AC$113,18,0)</f>
        <v>4</v>
      </c>
      <c r="I32" s="78">
        <f t="shared" ca="1" si="6"/>
        <v>0.96153846153846001</v>
      </c>
      <c r="J32" s="75" t="s">
        <v>318</v>
      </c>
      <c r="K32" s="82">
        <v>2</v>
      </c>
      <c r="L32" s="209">
        <f t="shared" ca="1" si="0"/>
        <v>1.92307692307692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4 STC'!$D$3:$AB$113,4,0)</f>
        <v>44469</v>
      </c>
      <c r="E33" s="341">
        <f>VLOOKUP(C33,'BD EVA 4 STC'!$D$3:$AB$113,13,0)</f>
        <v>0</v>
      </c>
      <c r="F33" s="75">
        <f>VLOOKUP(C33,'BD EVA 4 STC'!$D$3:$AB$113,10,0)</f>
        <v>45382</v>
      </c>
      <c r="G33" s="207">
        <f ca="1">VLOOKUP(C33,'BD EVA 4 STC'!$D$3:$AC$113,25,0)</f>
        <v>0.20895522388059701</v>
      </c>
      <c r="H33" s="207">
        <f>VLOOKUP(C33,'BD EVA 4 STC'!$D$3:$AC$113,18,0)</f>
        <v>0.5</v>
      </c>
      <c r="I33" s="78">
        <f t="shared" ca="1" si="6"/>
        <v>0.41791044776119401</v>
      </c>
      <c r="J33" s="75" t="s">
        <v>318</v>
      </c>
      <c r="K33" s="82">
        <v>2</v>
      </c>
      <c r="L33" s="209">
        <f t="shared" ca="1" si="0"/>
        <v>0.83582089552238803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89" t="str">
        <f>VLOOKUP(C34,'BD EVA 4 STC'!$D$3:$AB$113,4,0)</f>
        <v>enero - diciembre 2021</v>
      </c>
      <c r="E34" s="78">
        <f>VLOOKUP(C34,'BD EVA 4 STC'!$D$3:$AB$113,13,0)</f>
        <v>0.30736176385286745</v>
      </c>
      <c r="F34" s="89" t="str">
        <f>VLOOKUP(C34,'BD EVA 4 STC'!$D$3:$AB$113,10,0)</f>
        <v>enero- diciembre 2023</v>
      </c>
      <c r="G34" s="78">
        <f ca="1">VLOOKUP(C34,'BD EVA 4 STC'!$D$3:$AC$113,25,0)</f>
        <v>0.31730935806320099</v>
      </c>
      <c r="H34" s="78">
        <f>VLOOKUP(C34,'BD EVA 4 STC'!$D$3:$AC$113,18,0)</f>
        <v>0.32200000000000001</v>
      </c>
      <c r="I34" s="78">
        <f ca="1">(G34/H34)</f>
        <v>0.98543278901615206</v>
      </c>
      <c r="J34" s="75" t="s">
        <v>318</v>
      </c>
      <c r="K34" s="81">
        <v>2.1631999999999998</v>
      </c>
      <c r="L34" s="209">
        <f t="shared" ca="1" si="0"/>
        <v>2.1316882091997398</v>
      </c>
      <c r="M34" s="130">
        <f ca="1">SUM(L34:L39)</f>
        <v>9.5932237926706314</v>
      </c>
    </row>
    <row r="35" spans="1:13" ht="117">
      <c r="A35" s="121" t="s">
        <v>275</v>
      </c>
      <c r="B35" s="72" t="s">
        <v>276</v>
      </c>
      <c r="C35" s="72" t="s">
        <v>287</v>
      </c>
      <c r="D35" s="89" t="str">
        <f>VLOOKUP(C35,'BD EVA 4 STC'!$D$3:$AB$113,4,0)</f>
        <v>enero - diciembre 2021</v>
      </c>
      <c r="E35" s="78">
        <f>VLOOKUP(C35,'BD EVA 4 STC'!$D$3:$AB$113,13,0)</f>
        <v>0.42625061848685775</v>
      </c>
      <c r="F35" s="89" t="str">
        <f>VLOOKUP(C35,'BD EVA 4 STC'!$D$3:$AB$113,10,0)</f>
        <v>enero- diciembre 2023</v>
      </c>
      <c r="G35" s="78">
        <f ca="1">VLOOKUP(C35,'BD EVA 4 STC'!$D$3:$AC$113,25,0)</f>
        <v>0.38169356755254502</v>
      </c>
      <c r="H35" s="78">
        <f>VLOOKUP(C35,'BD EVA 4 STC'!$D$3:$AC$113,18,0)</f>
        <v>0.442</v>
      </c>
      <c r="I35" s="78">
        <f ca="1">G35/H35</f>
        <v>0.8635601075849435</v>
      </c>
      <c r="J35" s="75" t="s">
        <v>318</v>
      </c>
      <c r="K35" s="81">
        <v>1.3520000000000001</v>
      </c>
      <c r="L35" s="209">
        <f t="shared" ca="1" si="0"/>
        <v>1.1675332654548436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89" t="str">
        <f>VLOOKUP(C36,'BD EVA 4 STC'!$D$3:$AB$113,4,0)</f>
        <v>enero - diciembre 2021</v>
      </c>
      <c r="E36" s="78">
        <f>VLOOKUP(C36,'BD EVA 4 STC'!$D$3:$AB$113,13,0)</f>
        <v>0.53382492283733451</v>
      </c>
      <c r="F36" s="89" t="str">
        <f>VLOOKUP(C36,'BD EVA 4 STC'!$D$3:$AB$113,10,0)</f>
        <v>enero- diciembre 2023</v>
      </c>
      <c r="G36" s="78">
        <f ca="1">VLOOKUP(C36,'BD EVA 4 STC'!$D$3:$AC$113,25,0)</f>
        <v>0.59234937415185396</v>
      </c>
      <c r="H36" s="78">
        <f>VLOOKUP(C36,'BD EVA 4 STC'!$D$3:$AC$113,18,0)</f>
        <v>0.57799999999999996</v>
      </c>
      <c r="I36" s="78">
        <f ca="1">IF(G36&lt;E36,0,G36/H36)</f>
        <v>1.0248259068371177</v>
      </c>
      <c r="J36" s="72" t="s">
        <v>316</v>
      </c>
      <c r="K36" s="81">
        <v>2.1631999999999998</v>
      </c>
      <c r="L36" s="209">
        <f t="shared" ca="1" si="0"/>
        <v>2.1631999999999998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89" t="str">
        <f>VLOOKUP(C37,'BD EVA 4 STC'!$D$3:$AB$113,4,0)</f>
        <v>enero - diciembre 2021</v>
      </c>
      <c r="E37" s="90">
        <f>VLOOKUP(C37,'BD EVA 4 STC'!$D$3:$AB$113,13,0)</f>
        <v>122025706</v>
      </c>
      <c r="F37" s="89" t="str">
        <f>VLOOKUP(C37,'BD EVA 4 STC'!$D$3:$AB$113,10,0)</f>
        <v>enero- diciembre 2023</v>
      </c>
      <c r="G37" s="90">
        <f ca="1">VLOOKUP(C37,'BD EVA 4 STC'!$D$3:$AC$113,25,0)</f>
        <v>263202205</v>
      </c>
      <c r="H37" s="90">
        <f>VLOOKUP(C37,'BD EVA 4 STC'!$D$3:$AC$113,18,0)</f>
        <v>144008568.66999999</v>
      </c>
      <c r="I37" s="78">
        <f ca="1">G37/H37</f>
        <v>1.8276843345560627</v>
      </c>
      <c r="J37" s="75" t="s">
        <v>318</v>
      </c>
      <c r="K37" s="81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89" t="str">
        <f>VLOOKUP(C38,'BD EVA 4 STC'!$D$3:$AB$113,4,0)</f>
        <v>enero - diciembre 2021</v>
      </c>
      <c r="E38" s="78">
        <f>VLOOKUP(C38,'BD EVA 4 STC'!$D$3:$AB$113,13,0)</f>
        <v>0.71605713892532041</v>
      </c>
      <c r="F38" s="89" t="str">
        <f>VLOOKUP(C38,'BD EVA 4 STC'!$D$3:$AB$113,10,0)</f>
        <v>enero- diciembre 2023</v>
      </c>
      <c r="G38" s="78">
        <f ca="1">VLOOKUP(C38,'BD EVA 4 STC'!$D$3:$AC$113,25,0)</f>
        <v>0.79231609529707303</v>
      </c>
      <c r="H38" s="78">
        <f>VLOOKUP(C38,'BD EVA 4 STC'!$D$3:$AC$113,18,0)</f>
        <v>0.69899999999999995</v>
      </c>
      <c r="I38" s="78">
        <f ca="1">(H38/G38)</f>
        <v>0.88222365309632522</v>
      </c>
      <c r="J38" s="89" t="s">
        <v>341</v>
      </c>
      <c r="K38" s="81">
        <v>1.62</v>
      </c>
      <c r="L38" s="209">
        <f t="shared" ca="1" si="0"/>
        <v>1.4292023180160469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89" t="str">
        <f>VLOOKUP(C39,'BD EVA 4 STC'!$D$3:$AB$113,4,0)</f>
        <v>Dic 2020</v>
      </c>
      <c r="E39" s="76" t="str">
        <f>VLOOKUP(C39,'BD EVA 4 STC'!$D$3:$AB$113,13,0)</f>
        <v>Verde</v>
      </c>
      <c r="F39" s="89" t="str">
        <f>VLOOKUP(C39,'BD EVA 4 STC'!$D$3:$AB$113,10,0)</f>
        <v>Dic 2023</v>
      </c>
      <c r="G39" s="76" t="str">
        <f ca="1">VLOOKUP(C39,'BD EVA 4 STC'!$D$3:$AC$113,25,0)</f>
        <v>Verde</v>
      </c>
      <c r="H39" s="76" t="str">
        <f>VLOOKUP(C39,'BD EVA 4 STC'!$D$3:$AC$113,18,0)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12C48-9C60-F843-84FF-0D968525DD40}">
  <dimension ref="A1:AE113"/>
  <sheetViews>
    <sheetView workbookViewId="0">
      <selection sqref="A1:XFD1"/>
    </sheetView>
  </sheetViews>
  <sheetFormatPr baseColWidth="10" defaultRowHeight="16"/>
  <sheetData>
    <row r="1" spans="1:31" s="113" customFormat="1" ht="78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216" t="s">
        <v>421</v>
      </c>
      <c r="J1" s="61" t="s">
        <v>8</v>
      </c>
      <c r="K1" s="61" t="s">
        <v>9</v>
      </c>
      <c r="L1" s="61" t="s">
        <v>10</v>
      </c>
      <c r="M1" s="61" t="s">
        <v>11</v>
      </c>
      <c r="N1" s="61" t="s">
        <v>12</v>
      </c>
      <c r="O1" s="61" t="s">
        <v>357</v>
      </c>
      <c r="P1" s="61" t="s">
        <v>14</v>
      </c>
      <c r="Q1" s="61" t="s">
        <v>15</v>
      </c>
      <c r="R1" s="61" t="s">
        <v>16</v>
      </c>
      <c r="S1" s="216" t="s">
        <v>422</v>
      </c>
      <c r="T1" s="514" t="s">
        <v>321</v>
      </c>
      <c r="U1" s="514" t="s">
        <v>18</v>
      </c>
      <c r="V1" s="514" t="s">
        <v>322</v>
      </c>
      <c r="W1" s="514" t="s">
        <v>20</v>
      </c>
      <c r="X1" s="514" t="s">
        <v>359</v>
      </c>
      <c r="Y1" s="514" t="s">
        <v>22</v>
      </c>
      <c r="Z1" s="61" t="s">
        <v>23</v>
      </c>
      <c r="AA1" s="61" t="s">
        <v>450</v>
      </c>
      <c r="AB1" s="61" t="s">
        <v>25</v>
      </c>
      <c r="AC1" s="61" t="s">
        <v>325</v>
      </c>
      <c r="AD1" s="61" t="s">
        <v>27</v>
      </c>
      <c r="AE1" s="61" t="s">
        <v>360</v>
      </c>
    </row>
    <row r="2" spans="1:31">
      <c r="A2" s="1" t="s">
        <v>29</v>
      </c>
      <c r="B2" s="1" t="s">
        <v>29</v>
      </c>
      <c r="C2" s="1" t="s">
        <v>30</v>
      </c>
      <c r="D2" s="1" t="s">
        <v>31</v>
      </c>
      <c r="E2" s="2" t="s">
        <v>32</v>
      </c>
      <c r="F2" s="2" t="s">
        <v>33</v>
      </c>
      <c r="G2" s="3">
        <v>2021</v>
      </c>
      <c r="H2" s="3">
        <v>2021</v>
      </c>
      <c r="I2" s="22">
        <v>2021</v>
      </c>
      <c r="J2" s="4">
        <v>2022</v>
      </c>
      <c r="K2" s="4">
        <v>2022</v>
      </c>
      <c r="L2" s="4">
        <v>2023</v>
      </c>
      <c r="M2" s="4">
        <v>2023</v>
      </c>
      <c r="N2" s="4">
        <v>2024</v>
      </c>
      <c r="O2" s="3">
        <v>2024</v>
      </c>
      <c r="P2" s="4"/>
      <c r="Q2" s="12">
        <v>325468</v>
      </c>
      <c r="R2" s="12">
        <v>325468</v>
      </c>
      <c r="S2" s="12">
        <v>325468</v>
      </c>
      <c r="T2" s="2"/>
      <c r="U2" s="12"/>
      <c r="V2" s="12"/>
      <c r="W2" s="12"/>
      <c r="X2" s="12"/>
      <c r="Y2" s="12"/>
      <c r="Z2" s="12">
        <v>328847</v>
      </c>
      <c r="AA2" s="12">
        <v>328847</v>
      </c>
      <c r="AB2" s="12">
        <v>332214</v>
      </c>
      <c r="AC2" s="12">
        <v>332214</v>
      </c>
      <c r="AD2" s="12">
        <v>335570</v>
      </c>
      <c r="AE2" s="12">
        <v>335570</v>
      </c>
    </row>
    <row r="3" spans="1:31">
      <c r="A3" s="7" t="s">
        <v>34</v>
      </c>
      <c r="B3" s="7" t="s">
        <v>35</v>
      </c>
      <c r="C3" s="1" t="s">
        <v>36</v>
      </c>
      <c r="D3" s="1" t="s">
        <v>37</v>
      </c>
      <c r="E3" s="9" t="s">
        <v>38</v>
      </c>
      <c r="F3" s="9" t="s">
        <v>39</v>
      </c>
      <c r="G3" s="11">
        <v>44469</v>
      </c>
      <c r="H3" s="11">
        <v>44469</v>
      </c>
      <c r="I3" s="11">
        <v>44469</v>
      </c>
      <c r="J3" s="11">
        <v>44651</v>
      </c>
      <c r="K3" s="11">
        <v>44834</v>
      </c>
      <c r="L3" s="11">
        <v>45016</v>
      </c>
      <c r="M3" s="11">
        <v>45199</v>
      </c>
      <c r="N3" s="11">
        <v>45382</v>
      </c>
      <c r="O3" s="10" t="s">
        <v>361</v>
      </c>
      <c r="P3" s="11">
        <v>45565</v>
      </c>
      <c r="Q3" s="12">
        <v>265</v>
      </c>
      <c r="R3" s="12">
        <v>265</v>
      </c>
      <c r="S3" s="12">
        <f ca="1">IFERROR(__xludf.DUMMYFUNCTION("INDEX(IMPORTRANGE(""17pNv02DXDpQT9S3w4-QeNym2QJy2BzMBqDXp-XtzJBM"", ""'STC'!BG3:BG139""),MATCH($D3,IMPORTRANGE(""17pNv02DXDpQT9S3w4-QeNym2QJy2BzMBqDXp-XtzJBM"", ""'STC'!D3:D139""),0))"),265)</f>
        <v>265</v>
      </c>
      <c r="T3" s="2">
        <v>299</v>
      </c>
      <c r="U3" s="2">
        <v>333</v>
      </c>
      <c r="V3" s="2">
        <v>366</v>
      </c>
      <c r="W3" s="2">
        <v>400</v>
      </c>
      <c r="X3" s="29">
        <f>((Y3-W3)/6)*5+W3</f>
        <v>428.33333333333331</v>
      </c>
      <c r="Y3" s="2">
        <v>434</v>
      </c>
      <c r="Z3" s="2">
        <f ca="1">IFERROR(__xludf.DUMMYFUNCTION("INDEX(IMPORTRANGE(""17pNv02DXDpQT9S3w4-QeNym2QJy2BzMBqDXp-XtzJBM"", ""'STC'!BH3:BH139""),MATCH($D3,IMPORTRANGE(""17pNv02DXDpQT9S3w4-QeNym2QJy2BzMBqDXp-XtzJBM"", ""'STC'!D3:D139""),0))"),284)</f>
        <v>284</v>
      </c>
      <c r="AA3" s="2">
        <f ca="1">IFERROR(__xludf.DUMMYFUNCTION("INDEX(IMPORTRANGE(""17pNv02DXDpQT9S3w4-QeNym2QJy2BzMBqDXp-XtzJBM"", ""'STC'!BI3:BI139""),MATCH($D3,IMPORTRANGE(""17pNv02DXDpQT9S3w4-QeNym2QJy2BzMBqDXp-XtzJBM"", ""'STC'!D3:D139""),0))"),371)</f>
        <v>371</v>
      </c>
      <c r="AB3" s="2">
        <f ca="1">IFERROR(__xludf.DUMMYFUNCTION("INDEX(IMPORTRANGE(""17pNv02DXDpQT9S3w4-QeNym2QJy2BzMBqDXp-XtzJBM"", ""'STC'!BJ3:BJ139""),MATCH($D3,IMPORTRANGE(""17pNv02DXDpQT9S3w4-QeNym2QJy2BzMBqDXp-XtzJBM"", ""'STC'!D3:D139""),0))"),382)</f>
        <v>382</v>
      </c>
      <c r="AC3" s="2">
        <f ca="1">IFERROR(__xludf.DUMMYFUNCTION("INDEX(IMPORTRANGE(""17pNv02DXDpQT9S3w4-QeNym2QJy2BzMBqDXp-XtzJBM"", ""'STC'!BK3:BK139""),MATCH($D3,IMPORTRANGE(""17pNv02DXDpQT9S3w4-QeNym2QJy2BzMBqDXp-XtzJBM"", ""'STC'!D3:D139""),0))"),419)</f>
        <v>419</v>
      </c>
      <c r="AD3" s="2">
        <f ca="1">IFERROR(__xludf.DUMMYFUNCTION("INDEX(IMPORTRANGE(""17pNv02DXDpQT9S3w4-QeNym2QJy2BzMBqDXp-XtzJBM"", ""'STC'!BL3:BL139""),MATCH($D3,IMPORTRANGE(""17pNv02DXDpQT9S3w4-QeNym2QJy2BzMBqDXp-XtzJBM"", ""'STC'!D3:D139""),0))"),435)</f>
        <v>435</v>
      </c>
      <c r="AE3" s="2">
        <f ca="1">IFERROR(__xludf.DUMMYFUNCTION("INDEX(IMPORTRANGE(""17pNv02DXDpQT9S3w4-QeNym2QJy2BzMBqDXp-XtzJBM"", ""'STC'!BM3:BM139""),MATCH($D3,IMPORTRANGE(""17pNv02DXDpQT9S3w4-QeNym2QJy2BzMBqDXp-XtzJBM"", ""'STC'!D3:D139""),0))"),391)</f>
        <v>391</v>
      </c>
    </row>
    <row r="4" spans="1:31">
      <c r="A4" s="7" t="s">
        <v>34</v>
      </c>
      <c r="B4" s="7" t="s">
        <v>40</v>
      </c>
      <c r="C4" s="1" t="s">
        <v>30</v>
      </c>
      <c r="D4" s="7" t="s">
        <v>41</v>
      </c>
      <c r="E4" s="9" t="s">
        <v>38</v>
      </c>
      <c r="F4" s="9" t="s">
        <v>42</v>
      </c>
      <c r="G4" s="11">
        <v>44469</v>
      </c>
      <c r="H4" s="11">
        <v>44469</v>
      </c>
      <c r="I4" s="11">
        <v>44469</v>
      </c>
      <c r="J4" s="11">
        <v>44651</v>
      </c>
      <c r="K4" s="11">
        <v>44834</v>
      </c>
      <c r="L4" s="11">
        <v>45016</v>
      </c>
      <c r="M4" s="11">
        <v>45199</v>
      </c>
      <c r="N4" s="11">
        <v>45382</v>
      </c>
      <c r="O4" s="10" t="s">
        <v>361</v>
      </c>
      <c r="P4" s="11">
        <v>45565</v>
      </c>
      <c r="Q4" s="12">
        <v>262</v>
      </c>
      <c r="R4" s="12">
        <v>262</v>
      </c>
      <c r="S4" s="12">
        <f ca="1">IFERROR(__xludf.DUMMYFUNCTION("INDEX(IMPORTRANGE(""17pNv02DXDpQT9S3w4-QeNym2QJy2BzMBqDXp-XtzJBM"", ""'STC'!BG3:BG139""),MATCH($D4,IMPORTRANGE(""17pNv02DXDpQT9S3w4-QeNym2QJy2BzMBqDXp-XtzJBM"", ""'STC'!D3:D139""),0))"),262)</f>
        <v>262</v>
      </c>
      <c r="T4" s="2"/>
      <c r="U4" s="2"/>
      <c r="V4" s="2"/>
      <c r="W4" s="2"/>
      <c r="X4" s="2"/>
      <c r="Y4" s="2"/>
      <c r="Z4" s="2">
        <f ca="1">IFERROR(__xludf.DUMMYFUNCTION("INDEX(IMPORTRANGE(""17pNv02DXDpQT9S3w4-QeNym2QJy2BzMBqDXp-XtzJBM"", ""'STC'!BH3:BH139""),MATCH($D4,IMPORTRANGE(""17pNv02DXDpQT9S3w4-QeNym2QJy2BzMBqDXp-XtzJBM"", ""'STC'!D3:D139""),0))"),241)</f>
        <v>241</v>
      </c>
      <c r="AA4" s="2">
        <f ca="1">IFERROR(__xludf.DUMMYFUNCTION("INDEX(IMPORTRANGE(""17pNv02DXDpQT9S3w4-QeNym2QJy2BzMBqDXp-XtzJBM"", ""'STC'!BI3:BI139""),MATCH($D4,IMPORTRANGE(""17pNv02DXDpQT9S3w4-QeNym2QJy2BzMBqDXp-XtzJBM"", ""'STC'!D3:D139""),0))"),280)</f>
        <v>280</v>
      </c>
      <c r="AB4" s="2">
        <f ca="1">IFERROR(__xludf.DUMMYFUNCTION("INDEX(IMPORTRANGE(""17pNv02DXDpQT9S3w4-QeNym2QJy2BzMBqDXp-XtzJBM"", ""'STC'!BJ3:BJ139""),MATCH($D4,IMPORTRANGE(""17pNv02DXDpQT9S3w4-QeNym2QJy2BzMBqDXp-XtzJBM"", ""'STC'!D3:D139""),0))"),286)</f>
        <v>286</v>
      </c>
      <c r="AC4" s="2">
        <f ca="1">IFERROR(__xludf.DUMMYFUNCTION("INDEX(IMPORTRANGE(""17pNv02DXDpQT9S3w4-QeNym2QJy2BzMBqDXp-XtzJBM"", ""'STC'!BK3:BK139""),MATCH($D4,IMPORTRANGE(""17pNv02DXDpQT9S3w4-QeNym2QJy2BzMBqDXp-XtzJBM"", ""'STC'!D3:D139""),0))"),295)</f>
        <v>295</v>
      </c>
      <c r="AD4" s="2">
        <f ca="1">IFERROR(__xludf.DUMMYFUNCTION("INDEX(IMPORTRANGE(""17pNv02DXDpQT9S3w4-QeNym2QJy2BzMBqDXp-XtzJBM"", ""'STC'!BL3:BL139""),MATCH($D4,IMPORTRANGE(""17pNv02DXDpQT9S3w4-QeNym2QJy2BzMBqDXp-XtzJBM"", ""'STC'!D3:D139""),0))"),336)</f>
        <v>336</v>
      </c>
      <c r="AE4" s="2">
        <f ca="1">IFERROR(__xludf.DUMMYFUNCTION("INDEX(IMPORTRANGE(""17pNv02DXDpQT9S3w4-QeNym2QJy2BzMBqDXp-XtzJBM"", ""'STC'!BM3:BM139""),MATCH($D4,IMPORTRANGE(""17pNv02DXDpQT9S3w4-QeNym2QJy2BzMBqDXp-XtzJBM"", ""'STC'!D3:D139""),0))"),367)</f>
        <v>367</v>
      </c>
    </row>
    <row r="5" spans="1:31">
      <c r="A5" s="261" t="s">
        <v>34</v>
      </c>
      <c r="B5" s="261" t="s">
        <v>40</v>
      </c>
      <c r="C5" s="47" t="s">
        <v>36</v>
      </c>
      <c r="D5" s="1" t="s">
        <v>43</v>
      </c>
      <c r="E5" s="192" t="s">
        <v>38</v>
      </c>
      <c r="F5" s="192" t="s">
        <v>44</v>
      </c>
      <c r="G5" s="11">
        <v>44469</v>
      </c>
      <c r="H5" s="11">
        <v>44469</v>
      </c>
      <c r="I5" s="11">
        <v>44469</v>
      </c>
      <c r="J5" s="11">
        <v>44651</v>
      </c>
      <c r="K5" s="11">
        <v>44834</v>
      </c>
      <c r="L5" s="11">
        <v>45016</v>
      </c>
      <c r="M5" s="11">
        <v>45199</v>
      </c>
      <c r="N5" s="11">
        <v>45382</v>
      </c>
      <c r="O5" s="10" t="s">
        <v>361</v>
      </c>
      <c r="P5" s="11">
        <v>45565</v>
      </c>
      <c r="Q5" s="15">
        <f t="shared" ref="Q5:R5" si="0">Q4/Q3</f>
        <v>0.98867924528301887</v>
      </c>
      <c r="R5" s="15">
        <f t="shared" si="0"/>
        <v>0.98867924528301887</v>
      </c>
      <c r="S5" s="15">
        <f ca="1">IFERROR(__xludf.DUMMYFUNCTION("INDEX(IMPORTRANGE(""17pNv02DXDpQT9S3w4-QeNym2QJy2BzMBqDXp-XtzJBM"", ""'STC'!BG3:BG139""),MATCH($D5,IMPORTRANGE(""17pNv02DXDpQT9S3w4-QeNym2QJy2BzMBqDXp-XtzJBM"", ""'STC'!D3:D139""),0))"),0.988679245283018)</f>
        <v>0.98867924528301798</v>
      </c>
      <c r="T5" s="15" t="s">
        <v>327</v>
      </c>
      <c r="U5" s="15" t="s">
        <v>327</v>
      </c>
      <c r="V5" s="15" t="s">
        <v>327</v>
      </c>
      <c r="W5" s="15" t="s">
        <v>327</v>
      </c>
      <c r="X5" s="15" t="s">
        <v>327</v>
      </c>
      <c r="Y5" s="15" t="s">
        <v>327</v>
      </c>
      <c r="Z5" s="15">
        <f ca="1">IFERROR(__xludf.DUMMYFUNCTION("INDEX(IMPORTRANGE(""17pNv02DXDpQT9S3w4-QeNym2QJy2BzMBqDXp-XtzJBM"", ""'STC'!BH3:BH139""),MATCH($D5,IMPORTRANGE(""17pNv02DXDpQT9S3w4-QeNym2QJy2BzMBqDXp-XtzJBM"", ""'STC'!D3:D139""),0))"),0.848591549295774)</f>
        <v>0.84859154929577396</v>
      </c>
      <c r="AA5" s="15">
        <f ca="1">IFERROR(__xludf.DUMMYFUNCTION("INDEX(IMPORTRANGE(""17pNv02DXDpQT9S3w4-QeNym2QJy2BzMBqDXp-XtzJBM"", ""'STC'!BI3:BI139""),MATCH($D5,IMPORTRANGE(""17pNv02DXDpQT9S3w4-QeNym2QJy2BzMBqDXp-XtzJBM"", ""'STC'!D3:D139""),0))"),0.754716981132075)</f>
        <v>0.75471698113207497</v>
      </c>
      <c r="AB5" s="15">
        <f ca="1">IFERROR(__xludf.DUMMYFUNCTION("INDEX(IMPORTRANGE(""17pNv02DXDpQT9S3w4-QeNym2QJy2BzMBqDXp-XtzJBM"", ""'STC'!BJ3:BJ139""),MATCH($D5,IMPORTRANGE(""17pNv02DXDpQT9S3w4-QeNym2QJy2BzMBqDXp-XtzJBM"", ""'STC'!D3:D139""),0))"),0.748691099476439)</f>
        <v>0.74869109947643897</v>
      </c>
      <c r="AC5" s="15">
        <f ca="1">IFERROR(__xludf.DUMMYFUNCTION("INDEX(IMPORTRANGE(""17pNv02DXDpQT9S3w4-QeNym2QJy2BzMBqDXp-XtzJBM"", ""'STC'!BK3:BK139""),MATCH($D5,IMPORTRANGE(""17pNv02DXDpQT9S3w4-QeNym2QJy2BzMBqDXp-XtzJBM"", ""'STC'!D3:D139""),0))"),0.704057279236276)</f>
        <v>0.70405727923627603</v>
      </c>
      <c r="AD5" s="15">
        <f ca="1">IFERROR(__xludf.DUMMYFUNCTION("INDEX(IMPORTRANGE(""17pNv02DXDpQT9S3w4-QeNym2QJy2BzMBqDXp-XtzJBM"", ""'STC'!BL3:BL139""),MATCH($D5,IMPORTRANGE(""17pNv02DXDpQT9S3w4-QeNym2QJy2BzMBqDXp-XtzJBM"", ""'STC'!D3:D139""),0))"),0.772413793103448)</f>
        <v>0.77241379310344804</v>
      </c>
      <c r="AE5" s="15">
        <f ca="1">IFERROR(__xludf.DUMMYFUNCTION("INDEX(IMPORTRANGE(""17pNv02DXDpQT9S3w4-QeNym2QJy2BzMBqDXp-XtzJBM"", ""'STC'!BM3:BM139""),MATCH($D5,IMPORTRANGE(""17pNv02DXDpQT9S3w4-QeNym2QJy2BzMBqDXp-XtzJBM"", ""'STC'!D3:D139""),0))"),0.938618925831202)</f>
        <v>0.93861892583120199</v>
      </c>
    </row>
    <row r="6" spans="1:31">
      <c r="A6" s="7" t="s">
        <v>34</v>
      </c>
      <c r="B6" s="7" t="s">
        <v>45</v>
      </c>
      <c r="C6" s="1" t="s">
        <v>30</v>
      </c>
      <c r="D6" s="1" t="s">
        <v>328</v>
      </c>
      <c r="E6" s="9" t="s">
        <v>38</v>
      </c>
      <c r="F6" s="9" t="s">
        <v>47</v>
      </c>
      <c r="G6" s="11">
        <v>44469</v>
      </c>
      <c r="H6" s="11">
        <v>44469</v>
      </c>
      <c r="I6" s="11">
        <v>44469</v>
      </c>
      <c r="J6" s="11">
        <v>44651</v>
      </c>
      <c r="K6" s="11">
        <v>44834</v>
      </c>
      <c r="L6" s="11">
        <v>45016</v>
      </c>
      <c r="M6" s="11">
        <v>45199</v>
      </c>
      <c r="N6" s="11">
        <v>45382</v>
      </c>
      <c r="O6" s="10" t="s">
        <v>361</v>
      </c>
      <c r="P6" s="11">
        <v>45565</v>
      </c>
      <c r="Q6" s="12"/>
      <c r="R6" s="2"/>
      <c r="S6" s="2">
        <f ca="1">IFERROR(__xludf.DUMMYFUNCTION("INDEX(IMPORTRANGE(""17pNv02DXDpQT9S3w4-QeNym2QJy2BzMBqDXp-XtzJBM"", ""'STC'!BG3:BG139""),MATCH($D6,IMPORTRANGE(""17pNv02DXDpQT9S3w4-QeNym2QJy2BzMBqDXp-XtzJBM"", ""'STC'!D3:D139""),0))"),28)</f>
        <v>28</v>
      </c>
      <c r="T6" s="2"/>
      <c r="U6" s="2"/>
      <c r="V6" s="2"/>
      <c r="W6" s="2"/>
      <c r="X6" s="2"/>
      <c r="Y6" s="2"/>
      <c r="Z6" s="2">
        <f ca="1">IFERROR(__xludf.DUMMYFUNCTION("INDEX(IMPORTRANGE(""17pNv02DXDpQT9S3w4-QeNym2QJy2BzMBqDXp-XtzJBM"", ""'STC'!BH3:BH139""),MATCH($D6,IMPORTRANGE(""17pNv02DXDpQT9S3w4-QeNym2QJy2BzMBqDXp-XtzJBM"", ""'STC'!D3:D139""),0))"),2)</f>
        <v>2</v>
      </c>
      <c r="AA6" s="2">
        <f ca="1">IFERROR(__xludf.DUMMYFUNCTION("INDEX(IMPORTRANGE(""17pNv02DXDpQT9S3w4-QeNym2QJy2BzMBqDXp-XtzJBM"", ""'STC'!BI3:BI139""),MATCH($D6,IMPORTRANGE(""17pNv02DXDpQT9S3w4-QeNym2QJy2BzMBqDXp-XtzJBM"", ""'STC'!D3:D139""),0))"),22)</f>
        <v>22</v>
      </c>
      <c r="AB6" s="2">
        <f ca="1">IFERROR(__xludf.DUMMYFUNCTION("INDEX(IMPORTRANGE(""17pNv02DXDpQT9S3w4-QeNym2QJy2BzMBqDXp-XtzJBM"", ""'STC'!BJ3:BJ139""),MATCH($D6,IMPORTRANGE(""17pNv02DXDpQT9S3w4-QeNym2QJy2BzMBqDXp-XtzJBM"", ""'STC'!D3:D139""),0))"),22)</f>
        <v>22</v>
      </c>
      <c r="AC6" s="2">
        <f ca="1">IFERROR(__xludf.DUMMYFUNCTION("INDEX(IMPORTRANGE(""17pNv02DXDpQT9S3w4-QeNym2QJy2BzMBqDXp-XtzJBM"", ""'STC'!BK3:BK139""),MATCH($D6,IMPORTRANGE(""17pNv02DXDpQT9S3w4-QeNym2QJy2BzMBqDXp-XtzJBM"", ""'STC'!D3:D139""),0))"),28)</f>
        <v>28</v>
      </c>
      <c r="AD6" s="2">
        <f ca="1">IFERROR(__xludf.DUMMYFUNCTION("INDEX(IMPORTRANGE(""17pNv02DXDpQT9S3w4-QeNym2QJy2BzMBqDXp-XtzJBM"", ""'STC'!BL3:BL139""),MATCH($D6,IMPORTRANGE(""17pNv02DXDpQT9S3w4-QeNym2QJy2BzMBqDXp-XtzJBM"", ""'STC'!D3:D139""),0))"),41)</f>
        <v>41</v>
      </c>
      <c r="AE6" s="2">
        <f ca="1">IFERROR(__xludf.DUMMYFUNCTION("INDEX(IMPORTRANGE(""17pNv02DXDpQT9S3w4-QeNym2QJy2BzMBqDXp-XtzJBM"", ""'STC'!BM3:BM139""),MATCH($D6,IMPORTRANGE(""17pNv02DXDpQT9S3w4-QeNym2QJy2BzMBqDXp-XtzJBM"", ""'STC'!D3:D139""),0))"),41)</f>
        <v>41</v>
      </c>
    </row>
    <row r="7" spans="1:31">
      <c r="A7" s="7" t="s">
        <v>34</v>
      </c>
      <c r="B7" s="7" t="s">
        <v>45</v>
      </c>
      <c r="C7" s="1" t="s">
        <v>30</v>
      </c>
      <c r="D7" s="1" t="s">
        <v>329</v>
      </c>
      <c r="E7" s="9" t="s">
        <v>38</v>
      </c>
      <c r="F7" s="9" t="s">
        <v>49</v>
      </c>
      <c r="G7" s="11">
        <v>44469</v>
      </c>
      <c r="H7" s="11">
        <v>44469</v>
      </c>
      <c r="I7" s="11">
        <v>44469</v>
      </c>
      <c r="J7" s="11">
        <v>44651</v>
      </c>
      <c r="K7" s="11">
        <v>44834</v>
      </c>
      <c r="L7" s="11">
        <v>45016</v>
      </c>
      <c r="M7" s="11">
        <v>45199</v>
      </c>
      <c r="N7" s="11">
        <v>45382</v>
      </c>
      <c r="O7" s="10" t="s">
        <v>361</v>
      </c>
      <c r="P7" s="11">
        <v>45565</v>
      </c>
      <c r="Q7" s="12"/>
      <c r="R7" s="2"/>
      <c r="S7" s="2">
        <f ca="1">IFERROR(__xludf.DUMMYFUNCTION("INDEX(IMPORTRANGE(""17pNv02DXDpQT9S3w4-QeNym2QJy2BzMBqDXp-XtzJBM"", ""'STC'!BG3:BG139""),MATCH($D7,IMPORTRANGE(""17pNv02DXDpQT9S3w4-QeNym2QJy2BzMBqDXp-XtzJBM"", ""'STC'!D3:D139""),0))"),0)</f>
        <v>0</v>
      </c>
      <c r="T7" s="26"/>
      <c r="U7" s="26"/>
      <c r="V7" s="26"/>
      <c r="W7" s="30"/>
      <c r="X7" s="30"/>
      <c r="Y7" s="30"/>
      <c r="Z7" s="2" t="str">
        <f ca="1">IFERROR(__xludf.DUMMYFUNCTION("INDEX(IMPORTRANGE(""17pNv02DXDpQT9S3w4-QeNym2QJy2BzMBqDXp-XtzJBM"", ""'STC'!BH3:BH139""),MATCH($D7,IMPORTRANGE(""17pNv02DXDpQT9S3w4-QeNym2QJy2BzMBqDXp-XtzJBM"", ""'STC'!D3:D139""),0))"),"")</f>
        <v/>
      </c>
      <c r="AA7" s="2">
        <f ca="1">IFERROR(__xludf.DUMMYFUNCTION("INDEX(IMPORTRANGE(""17pNv02DXDpQT9S3w4-QeNym2QJy2BzMBqDXp-XtzJBM"", ""'STC'!BI3:BI139""),MATCH($D7,IMPORTRANGE(""17pNv02DXDpQT9S3w4-QeNym2QJy2BzMBqDXp-XtzJBM"", ""'STC'!D3:D139""),0))"),0)</f>
        <v>0</v>
      </c>
      <c r="AB7" s="2">
        <f ca="1">IFERROR(__xludf.DUMMYFUNCTION("INDEX(IMPORTRANGE(""17pNv02DXDpQT9S3w4-QeNym2QJy2BzMBqDXp-XtzJBM"", ""'STC'!BJ3:BJ139""),MATCH($D7,IMPORTRANGE(""17pNv02DXDpQT9S3w4-QeNym2QJy2BzMBqDXp-XtzJBM"", ""'STC'!D3:D139""),0))"),0)</f>
        <v>0</v>
      </c>
      <c r="AC7" s="2">
        <f ca="1">IFERROR(__xludf.DUMMYFUNCTION("INDEX(IMPORTRANGE(""17pNv02DXDpQT9S3w4-QeNym2QJy2BzMBqDXp-XtzJBM"", ""'STC'!BK3:BK139""),MATCH($D7,IMPORTRANGE(""17pNv02DXDpQT9S3w4-QeNym2QJy2BzMBqDXp-XtzJBM"", ""'STC'!D3:D139""),0))"),3)</f>
        <v>3</v>
      </c>
      <c r="AD7" s="2">
        <f ca="1">IFERROR(__xludf.DUMMYFUNCTION("INDEX(IMPORTRANGE(""17pNv02DXDpQT9S3w4-QeNym2QJy2BzMBqDXp-XtzJBM"", ""'STC'!BL3:BL139""),MATCH($D7,IMPORTRANGE(""17pNv02DXDpQT9S3w4-QeNym2QJy2BzMBqDXp-XtzJBM"", ""'STC'!D3:D139""),0))"),8)</f>
        <v>8</v>
      </c>
      <c r="AE7" s="2">
        <f ca="1">IFERROR(__xludf.DUMMYFUNCTION("INDEX(IMPORTRANGE(""17pNv02DXDpQT9S3w4-QeNym2QJy2BzMBqDXp-XtzJBM"", ""'STC'!BM3:BM139""),MATCH($D7,IMPORTRANGE(""17pNv02DXDpQT9S3w4-QeNym2QJy2BzMBqDXp-XtzJBM"", ""'STC'!D3:D139""),0))"),8)</f>
        <v>8</v>
      </c>
    </row>
    <row r="8" spans="1:31">
      <c r="A8" s="7" t="s">
        <v>34</v>
      </c>
      <c r="B8" s="7" t="s">
        <v>45</v>
      </c>
      <c r="C8" s="1" t="s">
        <v>36</v>
      </c>
      <c r="D8" s="1" t="s">
        <v>50</v>
      </c>
      <c r="E8" s="9" t="s">
        <v>38</v>
      </c>
      <c r="F8" s="9" t="s">
        <v>51</v>
      </c>
      <c r="G8" s="11">
        <v>44469</v>
      </c>
      <c r="H8" s="11">
        <v>44469</v>
      </c>
      <c r="I8" s="11">
        <v>44469</v>
      </c>
      <c r="J8" s="11">
        <v>44651</v>
      </c>
      <c r="K8" s="11">
        <v>44834</v>
      </c>
      <c r="L8" s="11">
        <v>45016</v>
      </c>
      <c r="M8" s="11">
        <v>45199</v>
      </c>
      <c r="N8" s="11">
        <v>45382</v>
      </c>
      <c r="O8" s="10" t="s">
        <v>361</v>
      </c>
      <c r="P8" s="11">
        <v>45565</v>
      </c>
      <c r="Q8" s="15">
        <f t="shared" ref="Q8:R8" si="1">Q6/Q3</f>
        <v>0</v>
      </c>
      <c r="R8" s="15">
        <f t="shared" si="1"/>
        <v>0</v>
      </c>
      <c r="S8" s="15">
        <f ca="1">IFERROR(__xludf.DUMMYFUNCTION("INDEX(IMPORTRANGE(""17pNv02DXDpQT9S3w4-QeNym2QJy2BzMBqDXp-XtzJBM"", ""'STC'!BG3:BG139""),MATCH($D8,IMPORTRANGE(""17pNv02DXDpQT9S3w4-QeNym2QJy2BzMBqDXp-XtzJBM"", ""'STC'!D3:D139""),0))"),0.10566037735849)</f>
        <v>0.10566037735849</v>
      </c>
      <c r="T8" s="26">
        <v>9.2999999999999999E-2</v>
      </c>
      <c r="U8" s="26">
        <v>9.6000000000000002E-2</v>
      </c>
      <c r="V8" s="26">
        <v>9.8000000000000004E-2</v>
      </c>
      <c r="W8" s="26">
        <v>0.10100000000000001</v>
      </c>
      <c r="X8" s="26">
        <f>((Y8-W8)/6)*5+W8</f>
        <v>0.10349999999999999</v>
      </c>
      <c r="Y8" s="26">
        <v>0.104</v>
      </c>
      <c r="Z8" s="15">
        <f ca="1">IFERROR(__xludf.DUMMYFUNCTION("INDEX(IMPORTRANGE(""17pNv02DXDpQT9S3w4-QeNym2QJy2BzMBqDXp-XtzJBM"", ""'STC'!BH3:BH139""),MATCH($D8,IMPORTRANGE(""17pNv02DXDpQT9S3w4-QeNym2QJy2BzMBqDXp-XtzJBM"", ""'STC'!D3:D139""),0))"),0.00704225352112676)</f>
        <v>7.0422535211267599E-3</v>
      </c>
      <c r="AA8" s="15">
        <f ca="1">IFERROR(__xludf.DUMMYFUNCTION("INDEX(IMPORTRANGE(""17pNv02DXDpQT9S3w4-QeNym2QJy2BzMBqDXp-XtzJBM"", ""'STC'!BI3:BI139""),MATCH($D8,IMPORTRANGE(""17pNv02DXDpQT9S3w4-QeNym2QJy2BzMBqDXp-XtzJBM"", ""'STC'!D3:D139""),0))"),0.059299191374663)</f>
        <v>5.9299191374663003E-2</v>
      </c>
      <c r="AB8" s="15">
        <f ca="1">IFERROR(__xludf.DUMMYFUNCTION("INDEX(IMPORTRANGE(""17pNv02DXDpQT9S3w4-QeNym2QJy2BzMBqDXp-XtzJBM"", ""'STC'!BJ3:BJ139""),MATCH($D8,IMPORTRANGE(""17pNv02DXDpQT9S3w4-QeNym2QJy2BzMBqDXp-XtzJBM"", ""'STC'!D3:D139""),0))"),0.0575916230366492)</f>
        <v>5.7591623036649199E-2</v>
      </c>
      <c r="AC8" s="15">
        <f ca="1">IFERROR(__xludf.DUMMYFUNCTION("INDEX(IMPORTRANGE(""17pNv02DXDpQT9S3w4-QeNym2QJy2BzMBqDXp-XtzJBM"", ""'STC'!BK3:BK139""),MATCH($D8,IMPORTRANGE(""17pNv02DXDpQT9S3w4-QeNym2QJy2BzMBqDXp-XtzJBM"", ""'STC'!D3:D139""),0))"),0.0739856801909307)</f>
        <v>7.39856801909307E-2</v>
      </c>
      <c r="AD8" s="15">
        <f ca="1">IFERROR(__xludf.DUMMYFUNCTION("INDEX(IMPORTRANGE(""17pNv02DXDpQT9S3w4-QeNym2QJy2BzMBqDXp-XtzJBM"", ""'STC'!BL3:BL139""),MATCH($D8,IMPORTRANGE(""17pNv02DXDpQT9S3w4-QeNym2QJy2BzMBqDXp-XtzJBM"", ""'STC'!D3:D139""),0))"),0.112643678160919)</f>
        <v>0.112643678160919</v>
      </c>
      <c r="AE8" s="15">
        <f ca="1">IFERROR(__xludf.DUMMYFUNCTION("INDEX(IMPORTRANGE(""17pNv02DXDpQT9S3w4-QeNym2QJy2BzMBqDXp-XtzJBM"", ""'STC'!BM3:BM139""),MATCH($D8,IMPORTRANGE(""17pNv02DXDpQT9S3w4-QeNym2QJy2BzMBqDXp-XtzJBM"", ""'STC'!D3:D139""),0))"),0.125319693094629)</f>
        <v>0.12531969309462901</v>
      </c>
    </row>
    <row r="9" spans="1:31">
      <c r="A9" s="7" t="s">
        <v>52</v>
      </c>
      <c r="B9" s="7" t="s">
        <v>53</v>
      </c>
      <c r="C9" s="1" t="s">
        <v>30</v>
      </c>
      <c r="D9" s="7" t="s">
        <v>54</v>
      </c>
      <c r="E9" s="9" t="s">
        <v>38</v>
      </c>
      <c r="F9" s="9" t="s">
        <v>55</v>
      </c>
      <c r="G9" s="9" t="s">
        <v>56</v>
      </c>
      <c r="H9" s="9" t="s">
        <v>57</v>
      </c>
      <c r="I9" s="2" t="s">
        <v>362</v>
      </c>
      <c r="J9" s="9" t="s">
        <v>58</v>
      </c>
      <c r="K9" s="9" t="s">
        <v>59</v>
      </c>
      <c r="L9" s="9" t="s">
        <v>60</v>
      </c>
      <c r="M9" s="9" t="s">
        <v>61</v>
      </c>
      <c r="N9" s="9" t="s">
        <v>62</v>
      </c>
      <c r="O9" s="21" t="s">
        <v>363</v>
      </c>
      <c r="P9" s="9" t="s">
        <v>63</v>
      </c>
      <c r="Q9" s="12">
        <v>9</v>
      </c>
      <c r="R9" s="2">
        <v>74</v>
      </c>
      <c r="S9" s="2">
        <f ca="1">IFERROR(__xludf.DUMMYFUNCTION("INDEX(IMPORTRANGE(""17pNv02DXDpQT9S3w4-QeNym2QJy2BzMBqDXp-XtzJBM"", ""'STC'!BG3:BG139""),MATCH($D9,IMPORTRANGE(""17pNv02DXDpQT9S3w4-QeNym2QJy2BzMBqDXp-XtzJBM"", ""'STC'!D3:D139""),0))"),74)</f>
        <v>74</v>
      </c>
      <c r="T9" s="2"/>
      <c r="U9" s="2"/>
      <c r="V9" s="2"/>
      <c r="W9" s="2"/>
      <c r="X9" s="2"/>
      <c r="Y9" s="2"/>
      <c r="Z9" s="2">
        <f ca="1">IFERROR(__xludf.DUMMYFUNCTION("INDEX(IMPORTRANGE(""17pNv02DXDpQT9S3w4-QeNym2QJy2BzMBqDXp-XtzJBM"", ""'STC'!BH3:BH139""),MATCH($D9,IMPORTRANGE(""17pNv02DXDpQT9S3w4-QeNym2QJy2BzMBqDXp-XtzJBM"", ""'STC'!D3:D139""),0))"),18)</f>
        <v>18</v>
      </c>
      <c r="AA9" s="2">
        <f ca="1">IFERROR(__xludf.DUMMYFUNCTION("INDEX(IMPORTRANGE(""17pNv02DXDpQT9S3w4-QeNym2QJy2BzMBqDXp-XtzJBM"", ""'STC'!BI3:BI139""),MATCH($D9,IMPORTRANGE(""17pNv02DXDpQT9S3w4-QeNym2QJy2BzMBqDXp-XtzJBM"", ""'STC'!D3:D139""),0))"),318)</f>
        <v>318</v>
      </c>
      <c r="AB9" s="2">
        <f ca="1">IFERROR(__xludf.DUMMYFUNCTION("INDEX(IMPORTRANGE(""17pNv02DXDpQT9S3w4-QeNym2QJy2BzMBqDXp-XtzJBM"", ""'STC'!BJ3:BJ139""),MATCH($D9,IMPORTRANGE(""17pNv02DXDpQT9S3w4-QeNym2QJy2BzMBqDXp-XtzJBM"", ""'STC'!D3:D139""),0))"),1064)</f>
        <v>1064</v>
      </c>
      <c r="AC9" s="2">
        <f ca="1">IFERROR(__xludf.DUMMYFUNCTION("INDEX(IMPORTRANGE(""17pNv02DXDpQT9S3w4-QeNym2QJy2BzMBqDXp-XtzJBM"", ""'STC'!BK3:BK139""),MATCH($D9,IMPORTRANGE(""17pNv02DXDpQT9S3w4-QeNym2QJy2BzMBqDXp-XtzJBM"", ""'STC'!D3:D139""),0))"),1884)</f>
        <v>1884</v>
      </c>
      <c r="AD9" s="2">
        <f ca="1">IFERROR(__xludf.DUMMYFUNCTION("INDEX(IMPORTRANGE(""17pNv02DXDpQT9S3w4-QeNym2QJy2BzMBqDXp-XtzJBM"", ""'STC'!BL3:BL139""),MATCH($D9,IMPORTRANGE(""17pNv02DXDpQT9S3w4-QeNym2QJy2BzMBqDXp-XtzJBM"", ""'STC'!D3:D139""),0))"),970)</f>
        <v>970</v>
      </c>
      <c r="AE9" s="2">
        <f ca="1">IFERROR(__xludf.DUMMYFUNCTION("INDEX(IMPORTRANGE(""17pNv02DXDpQT9S3w4-QeNym2QJy2BzMBqDXp-XtzJBM"", ""'STC'!BM3:BM139""),MATCH($D9,IMPORTRANGE(""17pNv02DXDpQT9S3w4-QeNym2QJy2BzMBqDXp-XtzJBM"", ""'STC'!D3:D139""),0))"),1493)</f>
        <v>1493</v>
      </c>
    </row>
    <row r="10" spans="1:31">
      <c r="A10" s="7" t="s">
        <v>52</v>
      </c>
      <c r="B10" s="7" t="s">
        <v>53</v>
      </c>
      <c r="C10" s="1" t="s">
        <v>30</v>
      </c>
      <c r="D10" s="7" t="s">
        <v>64</v>
      </c>
      <c r="E10" s="9" t="s">
        <v>38</v>
      </c>
      <c r="F10" s="9" t="s">
        <v>65</v>
      </c>
      <c r="G10" s="9" t="s">
        <v>56</v>
      </c>
      <c r="H10" s="9" t="s">
        <v>57</v>
      </c>
      <c r="I10" s="2" t="s">
        <v>362</v>
      </c>
      <c r="J10" s="9" t="s">
        <v>58</v>
      </c>
      <c r="K10" s="9" t="s">
        <v>59</v>
      </c>
      <c r="L10" s="9" t="s">
        <v>60</v>
      </c>
      <c r="M10" s="9" t="s">
        <v>61</v>
      </c>
      <c r="N10" s="9" t="s">
        <v>62</v>
      </c>
      <c r="O10" s="21" t="s">
        <v>363</v>
      </c>
      <c r="P10" s="9" t="s">
        <v>63</v>
      </c>
      <c r="Q10" s="12">
        <v>1695</v>
      </c>
      <c r="R10" s="12">
        <v>2149</v>
      </c>
      <c r="S10" s="12">
        <f ca="1">IFERROR(__xludf.DUMMYFUNCTION("INDEX(IMPORTRANGE(""17pNv02DXDpQT9S3w4-QeNym2QJy2BzMBqDXp-XtzJBM"", ""'STC'!BG3:BG139""),MATCH($D10,IMPORTRANGE(""17pNv02DXDpQT9S3w4-QeNym2QJy2BzMBqDXp-XtzJBM"", ""'STC'!D3:D139""),0))"),2149)</f>
        <v>2149</v>
      </c>
      <c r="T10" s="2"/>
      <c r="U10" s="2"/>
      <c r="V10" s="2"/>
      <c r="W10" s="2"/>
      <c r="X10" s="2"/>
      <c r="Y10" s="2"/>
      <c r="Z10" s="12">
        <f ca="1">IFERROR(__xludf.DUMMYFUNCTION("INDEX(IMPORTRANGE(""17pNv02DXDpQT9S3w4-QeNym2QJy2BzMBqDXp-XtzJBM"", ""'STC'!BH3:BH139""),MATCH($D10,IMPORTRANGE(""17pNv02DXDpQT9S3w4-QeNym2QJy2BzMBqDXp-XtzJBM"", ""'STC'!D3:D139""),0))"),312)</f>
        <v>312</v>
      </c>
      <c r="AA10" s="12">
        <f ca="1">IFERROR(__xludf.DUMMYFUNCTION("INDEX(IMPORTRANGE(""17pNv02DXDpQT9S3w4-QeNym2QJy2BzMBqDXp-XtzJBM"", ""'STC'!BI3:BI139""),MATCH($D10,IMPORTRANGE(""17pNv02DXDpQT9S3w4-QeNym2QJy2BzMBqDXp-XtzJBM"", ""'STC'!D3:D139""),0))"),983)</f>
        <v>983</v>
      </c>
      <c r="AB10" s="12">
        <f ca="1">IFERROR(__xludf.DUMMYFUNCTION("INDEX(IMPORTRANGE(""17pNv02DXDpQT9S3w4-QeNym2QJy2BzMBqDXp-XtzJBM"", ""'STC'!BJ3:BJ139""),MATCH($D10,IMPORTRANGE(""17pNv02DXDpQT9S3w4-QeNym2QJy2BzMBqDXp-XtzJBM"", ""'STC'!D3:D139""),0))"),2909)</f>
        <v>2909</v>
      </c>
      <c r="AC10" s="12">
        <f ca="1">IFERROR(__xludf.DUMMYFUNCTION("INDEX(IMPORTRANGE(""17pNv02DXDpQT9S3w4-QeNym2QJy2BzMBqDXp-XtzJBM"", ""'STC'!BK3:BK139""),MATCH($D10,IMPORTRANGE(""17pNv02DXDpQT9S3w4-QeNym2QJy2BzMBqDXp-XtzJBM"", ""'STC'!D3:D139""),0))"),5526)</f>
        <v>5526</v>
      </c>
      <c r="AD10" s="12">
        <f ca="1">IFERROR(__xludf.DUMMYFUNCTION("INDEX(IMPORTRANGE(""17pNv02DXDpQT9S3w4-QeNym2QJy2BzMBqDXp-XtzJBM"", ""'STC'!BL3:BL139""),MATCH($D10,IMPORTRANGE(""17pNv02DXDpQT9S3w4-QeNym2QJy2BzMBqDXp-XtzJBM"", ""'STC'!D3:D139""),0))"),2428)</f>
        <v>2428</v>
      </c>
      <c r="AE10" s="12">
        <f ca="1">IFERROR(__xludf.DUMMYFUNCTION("INDEX(IMPORTRANGE(""17pNv02DXDpQT9S3w4-QeNym2QJy2BzMBqDXp-XtzJBM"", ""'STC'!BM3:BM139""),MATCH($D10,IMPORTRANGE(""17pNv02DXDpQT9S3w4-QeNym2QJy2BzMBqDXp-XtzJBM"", ""'STC'!D3:D139""),0))"),4004)</f>
        <v>4004</v>
      </c>
    </row>
    <row r="11" spans="1:31">
      <c r="A11" s="7" t="s">
        <v>52</v>
      </c>
      <c r="B11" s="7" t="s">
        <v>53</v>
      </c>
      <c r="C11" s="1" t="s">
        <v>36</v>
      </c>
      <c r="D11" s="7" t="s">
        <v>66</v>
      </c>
      <c r="E11" s="9" t="s">
        <v>38</v>
      </c>
      <c r="F11" s="9" t="s">
        <v>67</v>
      </c>
      <c r="G11" s="9" t="s">
        <v>56</v>
      </c>
      <c r="H11" s="9" t="s">
        <v>57</v>
      </c>
      <c r="I11" s="2" t="s">
        <v>362</v>
      </c>
      <c r="J11" s="9" t="s">
        <v>58</v>
      </c>
      <c r="K11" s="9" t="s">
        <v>59</v>
      </c>
      <c r="L11" s="9" t="s">
        <v>60</v>
      </c>
      <c r="M11" s="9" t="s">
        <v>61</v>
      </c>
      <c r="N11" s="9" t="s">
        <v>62</v>
      </c>
      <c r="O11" s="21" t="s">
        <v>363</v>
      </c>
      <c r="P11" s="9" t="s">
        <v>63</v>
      </c>
      <c r="Q11" s="15">
        <f t="shared" ref="Q11:R11" si="2">Q9/Q10</f>
        <v>5.3097345132743362E-3</v>
      </c>
      <c r="R11" s="15">
        <f t="shared" si="2"/>
        <v>3.4434620753838997E-2</v>
      </c>
      <c r="S11" s="15">
        <f ca="1">IFERROR(__xludf.DUMMYFUNCTION("INDEX(IMPORTRANGE(""17pNv02DXDpQT9S3w4-QeNym2QJy2BzMBqDXp-XtzJBM"", ""'STC'!BG3:BG139""),MATCH($D11,IMPORTRANGE(""17pNv02DXDpQT9S3w4-QeNym2QJy2BzMBqDXp-XtzJBM"", ""'STC'!D3:D139""),0))"),0.034434620753839)</f>
        <v>3.4434620753838997E-2</v>
      </c>
      <c r="T11" s="26">
        <v>3.9E-2</v>
      </c>
      <c r="U11" s="15">
        <v>0.36</v>
      </c>
      <c r="V11" s="15">
        <f t="shared" ref="V11:W11" si="3">($Y$11-$U$11)/3+U11</f>
        <v>0.37333333333333335</v>
      </c>
      <c r="W11" s="15">
        <f t="shared" si="3"/>
        <v>0.38666666666666671</v>
      </c>
      <c r="X11" s="15">
        <f>((Y11-W11)/6)*5+W11</f>
        <v>0.39777777777777779</v>
      </c>
      <c r="Y11" s="14">
        <v>0.4</v>
      </c>
      <c r="Z11" s="15">
        <f ca="1">IFERROR(__xludf.DUMMYFUNCTION("INDEX(IMPORTRANGE(""17pNv02DXDpQT9S3w4-QeNym2QJy2BzMBqDXp-XtzJBM"", ""'STC'!BH3:BH139""),MATCH($D11,IMPORTRANGE(""17pNv02DXDpQT9S3w4-QeNym2QJy2BzMBqDXp-XtzJBM"", ""'STC'!D3:D139""),0))"),0.0576923076923076)</f>
        <v>5.7692307692307598E-2</v>
      </c>
      <c r="AA11" s="15">
        <f ca="1">IFERROR(__xludf.DUMMYFUNCTION("INDEX(IMPORTRANGE(""17pNv02DXDpQT9S3w4-QeNym2QJy2BzMBqDXp-XtzJBM"", ""'STC'!BI3:BI139""),MATCH($D11,IMPORTRANGE(""17pNv02DXDpQT9S3w4-QeNym2QJy2BzMBqDXp-XtzJBM"", ""'STC'!D3:D139""),0))"),0.323499491353001)</f>
        <v>0.32349949135300099</v>
      </c>
      <c r="AB11" s="15">
        <f ca="1">IFERROR(__xludf.DUMMYFUNCTION("INDEX(IMPORTRANGE(""17pNv02DXDpQT9S3w4-QeNym2QJy2BzMBqDXp-XtzJBM"", ""'STC'!BJ3:BJ139""),MATCH($D11,IMPORTRANGE(""17pNv02DXDpQT9S3w4-QeNym2QJy2BzMBqDXp-XtzJBM"", ""'STC'!D3:D139""),0))"),0.365761430044688)</f>
        <v>0.36576143004468797</v>
      </c>
      <c r="AC11" s="15">
        <f ca="1">IFERROR(__xludf.DUMMYFUNCTION("INDEX(IMPORTRANGE(""17pNv02DXDpQT9S3w4-QeNym2QJy2BzMBqDXp-XtzJBM"", ""'STC'!BK3:BK139""),MATCH($D11,IMPORTRANGE(""17pNv02DXDpQT9S3w4-QeNym2QJy2BzMBqDXp-XtzJBM"", ""'STC'!D3:D139""),0))"),0.340933767643865)</f>
        <v>0.34093376764386502</v>
      </c>
      <c r="AD11" s="15">
        <f ca="1">IFERROR(__xludf.DUMMYFUNCTION("INDEX(IMPORTRANGE(""17pNv02DXDpQT9S3w4-QeNym2QJy2BzMBqDXp-XtzJBM"", ""'STC'!BL3:BL139""),MATCH($D11,IMPORTRANGE(""17pNv02DXDpQT9S3w4-QeNym2QJy2BzMBqDXp-XtzJBM"", ""'STC'!D3:D139""),0))"),0.399505766062602)</f>
        <v>0.39950576606260202</v>
      </c>
      <c r="AE11" s="15">
        <f ca="1">IFERROR(__xludf.DUMMYFUNCTION("INDEX(IMPORTRANGE(""17pNv02DXDpQT9S3w4-QeNym2QJy2BzMBqDXp-XtzJBM"", ""'STC'!BM3:BM139""),MATCH($D11,IMPORTRANGE(""17pNv02DXDpQT9S3w4-QeNym2QJy2BzMBqDXp-XtzJBM"", ""'STC'!D3:D139""),0))"),0.372877122877122)</f>
        <v>0.37287712287712199</v>
      </c>
    </row>
    <row r="12" spans="1:31">
      <c r="A12" s="7" t="s">
        <v>52</v>
      </c>
      <c r="B12" s="7" t="s">
        <v>68</v>
      </c>
      <c r="C12" s="1" t="s">
        <v>30</v>
      </c>
      <c r="D12" s="7" t="s">
        <v>69</v>
      </c>
      <c r="E12" s="9" t="s">
        <v>70</v>
      </c>
      <c r="F12" s="9" t="s">
        <v>71</v>
      </c>
      <c r="G12" s="9" t="s">
        <v>56</v>
      </c>
      <c r="H12" s="9" t="s">
        <v>57</v>
      </c>
      <c r="I12" s="2" t="s">
        <v>362</v>
      </c>
      <c r="J12" s="9" t="s">
        <v>58</v>
      </c>
      <c r="K12" s="9" t="s">
        <v>59</v>
      </c>
      <c r="L12" s="9" t="s">
        <v>60</v>
      </c>
      <c r="M12" s="9" t="s">
        <v>61</v>
      </c>
      <c r="N12" s="9" t="s">
        <v>62</v>
      </c>
      <c r="O12" s="21" t="s">
        <v>363</v>
      </c>
      <c r="P12" s="9" t="s">
        <v>63</v>
      </c>
      <c r="Q12" s="12">
        <v>23</v>
      </c>
      <c r="R12" s="2">
        <v>42</v>
      </c>
      <c r="S12" s="2">
        <f ca="1">IFERROR(__xludf.DUMMYFUNCTION("INDEX(IMPORTRANGE(""17pNv02DXDpQT9S3w4-QeNym2QJy2BzMBqDXp-XtzJBM"", ""'STC'!BG3:BG139""),MATCH($D12,IMPORTRANGE(""17pNv02DXDpQT9S3w4-QeNym2QJy2BzMBqDXp-XtzJBM"", ""'STC'!D3:D139""),0))"),37)</f>
        <v>37</v>
      </c>
      <c r="T12" s="2"/>
      <c r="U12" s="2"/>
      <c r="V12" s="2"/>
      <c r="W12" s="2"/>
      <c r="X12" s="2"/>
      <c r="Y12" s="2"/>
      <c r="Z12" s="2">
        <f ca="1">IFERROR(__xludf.DUMMYFUNCTION("INDEX(IMPORTRANGE(""17pNv02DXDpQT9S3w4-QeNym2QJy2BzMBqDXp-XtzJBM"", ""'STC'!BH3:BH139""),MATCH($D12,IMPORTRANGE(""17pNv02DXDpQT9S3w4-QeNym2QJy2BzMBqDXp-XtzJBM"", ""'STC'!D3:D139""),0))"),44)</f>
        <v>44</v>
      </c>
      <c r="AA12" s="2">
        <f ca="1">IFERROR(__xludf.DUMMYFUNCTION("INDEX(IMPORTRANGE(""17pNv02DXDpQT9S3w4-QeNym2QJy2BzMBqDXp-XtzJBM"", ""'STC'!BI3:BI139""),MATCH($D12,IMPORTRANGE(""17pNv02DXDpQT9S3w4-QeNym2QJy2BzMBqDXp-XtzJBM"", ""'STC'!D3:D139""),0))"),87)</f>
        <v>87</v>
      </c>
      <c r="AB12" s="2">
        <f ca="1">IFERROR(__xludf.DUMMYFUNCTION("INDEX(IMPORTRANGE(""17pNv02DXDpQT9S3w4-QeNym2QJy2BzMBqDXp-XtzJBM"", ""'STC'!BJ3:BJ139""),MATCH($D12,IMPORTRANGE(""17pNv02DXDpQT9S3w4-QeNym2QJy2BzMBqDXp-XtzJBM"", ""'STC'!D3:D139""),0))"),42)</f>
        <v>42</v>
      </c>
      <c r="AC12" s="2">
        <f ca="1">IFERROR(__xludf.DUMMYFUNCTION("INDEX(IMPORTRANGE(""17pNv02DXDpQT9S3w4-QeNym2QJy2BzMBqDXp-XtzJBM"", ""'STC'!BK3:BK139""),MATCH($D12,IMPORTRANGE(""17pNv02DXDpQT9S3w4-QeNym2QJy2BzMBqDXp-XtzJBM"", ""'STC'!D3:D139""),0))"),85)</f>
        <v>85</v>
      </c>
      <c r="AD12" s="2">
        <f ca="1">IFERROR(__xludf.DUMMYFUNCTION("INDEX(IMPORTRANGE(""17pNv02DXDpQT9S3w4-QeNym2QJy2BzMBqDXp-XtzJBM"", ""'STC'!BL3:BL139""),MATCH($D12,IMPORTRANGE(""17pNv02DXDpQT9S3w4-QeNym2QJy2BzMBqDXp-XtzJBM"", ""'STC'!D3:D139""),0))"),32)</f>
        <v>32</v>
      </c>
      <c r="AE12" s="2">
        <f ca="1">IFERROR(__xludf.DUMMYFUNCTION("INDEX(IMPORTRANGE(""17pNv02DXDpQT9S3w4-QeNym2QJy2BzMBqDXp-XtzJBM"", ""'STC'!BM3:BM139""),MATCH($D12,IMPORTRANGE(""17pNv02DXDpQT9S3w4-QeNym2QJy2BzMBqDXp-XtzJBM"", ""'STC'!D3:D139""),0))"),63)</f>
        <v>63</v>
      </c>
    </row>
    <row r="13" spans="1:31">
      <c r="A13" s="7" t="s">
        <v>52</v>
      </c>
      <c r="B13" s="7" t="s">
        <v>68</v>
      </c>
      <c r="C13" s="1" t="s">
        <v>36</v>
      </c>
      <c r="D13" s="7" t="s">
        <v>72</v>
      </c>
      <c r="E13" s="9" t="s">
        <v>73</v>
      </c>
      <c r="F13" s="9" t="s">
        <v>74</v>
      </c>
      <c r="G13" s="2" t="s">
        <v>56</v>
      </c>
      <c r="H13" s="2" t="s">
        <v>57</v>
      </c>
      <c r="I13" s="2" t="s">
        <v>362</v>
      </c>
      <c r="J13" s="9" t="s">
        <v>58</v>
      </c>
      <c r="K13" s="9" t="s">
        <v>59</v>
      </c>
      <c r="L13" s="9" t="s">
        <v>60</v>
      </c>
      <c r="M13" s="9" t="s">
        <v>61</v>
      </c>
      <c r="N13" s="9" t="s">
        <v>62</v>
      </c>
      <c r="O13" s="21" t="s">
        <v>363</v>
      </c>
      <c r="P13" s="9" t="s">
        <v>63</v>
      </c>
      <c r="Q13" s="23">
        <f t="shared" ref="Q13:R13" si="4">(Q12/Q$2)*100000</f>
        <v>7.066746961298807</v>
      </c>
      <c r="R13" s="23">
        <f t="shared" si="4"/>
        <v>12.904494451067386</v>
      </c>
      <c r="S13" s="23">
        <f ca="1">IFERROR(__xludf.DUMMYFUNCTION("INDEX(IMPORTRANGE(""17pNv02DXDpQT9S3w4-QeNym2QJy2BzMBqDXp-XtzJBM"", ""'STC'!BG3:BG139""),MATCH($D13,IMPORTRANGE(""17pNv02DXDpQT9S3w4-QeNym2QJy2BzMBqDXp-XtzJBM"", ""'STC'!D3:D139""),0))"),11.3682451116546)</f>
        <v>11.3682451116546</v>
      </c>
      <c r="T13" s="2">
        <v>12.6</v>
      </c>
      <c r="U13" s="2">
        <v>6.7</v>
      </c>
      <c r="V13" s="2">
        <v>12.3</v>
      </c>
      <c r="W13" s="2">
        <v>6.6</v>
      </c>
      <c r="X13" s="24">
        <f ca="1">+S13*(1+(Y13-R13)/R13)</f>
        <v>10.571428571428569</v>
      </c>
      <c r="Y13" s="2">
        <v>12</v>
      </c>
      <c r="Z13" s="23">
        <f ca="1">IFERROR(__xludf.DUMMYFUNCTION("INDEX(IMPORTRANGE(""17pNv02DXDpQT9S3w4-QeNym2QJy2BzMBqDXp-XtzJBM"", ""'STC'!BH3:BH139""),MATCH($D13,IMPORTRANGE(""17pNv02DXDpQT9S3w4-QeNym2QJy2BzMBqDXp-XtzJBM"", ""'STC'!D3:D139""),0))"),13.3800825307817)</f>
        <v>13.380082530781699</v>
      </c>
      <c r="AA13" s="23">
        <f ca="1">IFERROR(__xludf.DUMMYFUNCTION("INDEX(IMPORTRANGE(""17pNv02DXDpQT9S3w4-QeNym2QJy2BzMBqDXp-XtzJBM"", ""'STC'!BI3:BI139""),MATCH($D13,IMPORTRANGE(""17pNv02DXDpQT9S3w4-QeNym2QJy2BzMBqDXp-XtzJBM"", ""'STC'!D3:D139""),0))"),26.456072276773)</f>
        <v>26.456072276773</v>
      </c>
      <c r="AB13" s="23">
        <f ca="1">IFERROR(__xludf.DUMMYFUNCTION("INDEX(IMPORTRANGE(""17pNv02DXDpQT9S3w4-QeNym2QJy2BzMBqDXp-XtzJBM"", ""'STC'!BJ3:BJ139""),MATCH($D13,IMPORTRANGE(""17pNv02DXDpQT9S3w4-QeNym2QJy2BzMBqDXp-XtzJBM"", ""'STC'!D3:D139""),0))"),12.6424533583774)</f>
        <v>12.6424533583774</v>
      </c>
      <c r="AC13" s="23">
        <f ca="1">IFERROR(__xludf.DUMMYFUNCTION("INDEX(IMPORTRANGE(""17pNv02DXDpQT9S3w4-QeNym2QJy2BzMBqDXp-XtzJBM"", ""'STC'!BK3:BK139""),MATCH($D13,IMPORTRANGE(""17pNv02DXDpQT9S3w4-QeNym2QJy2BzMBqDXp-XtzJBM"", ""'STC'!D3:D139""),0))"),25.5859175110019)</f>
        <v>25.585917511001899</v>
      </c>
      <c r="AD13" s="23">
        <f ca="1">IFERROR(__xludf.DUMMYFUNCTION("INDEX(IMPORTRANGE(""17pNv02DXDpQT9S3w4-QeNym2QJy2BzMBqDXp-XtzJBM"", ""'STC'!BL3:BL139""),MATCH($D13,IMPORTRANGE(""17pNv02DXDpQT9S3w4-QeNym2QJy2BzMBqDXp-XtzJBM"", ""'STC'!D3:D139""),0))"),9.53601335041869)</f>
        <v>9.5360133504186901</v>
      </c>
      <c r="AE13" s="23">
        <f ca="1">IFERROR(__xludf.DUMMYFUNCTION("INDEX(IMPORTRANGE(""17pNv02DXDpQT9S3w4-QeNym2QJy2BzMBqDXp-XtzJBM"", ""'STC'!BM3:BM139""),MATCH($D13,IMPORTRANGE(""17pNv02DXDpQT9S3w4-QeNym2QJy2BzMBqDXp-XtzJBM"", ""'STC'!D3:D139""),0))"),18.7740262836367)</f>
        <v>18.774026283636701</v>
      </c>
    </row>
    <row r="14" spans="1:31">
      <c r="A14" s="7" t="s">
        <v>52</v>
      </c>
      <c r="B14" s="7" t="s">
        <v>68</v>
      </c>
      <c r="C14" s="1" t="s">
        <v>30</v>
      </c>
      <c r="D14" s="7" t="s">
        <v>75</v>
      </c>
      <c r="E14" s="9" t="s">
        <v>76</v>
      </c>
      <c r="F14" s="9" t="s">
        <v>77</v>
      </c>
      <c r="G14" s="2" t="s">
        <v>56</v>
      </c>
      <c r="H14" s="2" t="s">
        <v>57</v>
      </c>
      <c r="I14" s="2" t="s">
        <v>362</v>
      </c>
      <c r="J14" s="9" t="s">
        <v>58</v>
      </c>
      <c r="K14" s="9" t="s">
        <v>59</v>
      </c>
      <c r="L14" s="9" t="s">
        <v>60</v>
      </c>
      <c r="M14" s="9" t="s">
        <v>61</v>
      </c>
      <c r="N14" s="9" t="s">
        <v>62</v>
      </c>
      <c r="O14" s="21" t="s">
        <v>363</v>
      </c>
      <c r="P14" s="9" t="s">
        <v>63</v>
      </c>
      <c r="Q14" s="30">
        <v>101</v>
      </c>
      <c r="R14" s="2">
        <v>221</v>
      </c>
      <c r="S14" s="2">
        <f ca="1">IFERROR(__xludf.DUMMYFUNCTION("INDEX(IMPORTRANGE(""17pNv02DXDpQT9S3w4-QeNym2QJy2BzMBqDXp-XtzJBM"", ""'STC'!BG3:BG139""),MATCH($D14,IMPORTRANGE(""17pNv02DXDpQT9S3w4-QeNym2QJy2BzMBqDXp-XtzJBM"", ""'STC'!D3:D139""),0))"),198)</f>
        <v>198</v>
      </c>
      <c r="T14" s="2"/>
      <c r="U14" s="2"/>
      <c r="V14" s="2"/>
      <c r="W14" s="2"/>
      <c r="X14" s="24"/>
      <c r="Y14" s="2"/>
      <c r="Z14" s="2">
        <f ca="1">IFERROR(__xludf.DUMMYFUNCTION("INDEX(IMPORTRANGE(""17pNv02DXDpQT9S3w4-QeNym2QJy2BzMBqDXp-XtzJBM"", ""'STC'!BH3:BH139""),MATCH($D14,IMPORTRANGE(""17pNv02DXDpQT9S3w4-QeNym2QJy2BzMBqDXp-XtzJBM"", ""'STC'!D3:D139""),0))"),76)</f>
        <v>76</v>
      </c>
      <c r="AA14" s="2">
        <f ca="1">IFERROR(__xludf.DUMMYFUNCTION("INDEX(IMPORTRANGE(""17pNv02DXDpQT9S3w4-QeNym2QJy2BzMBqDXp-XtzJBM"", ""'STC'!BI3:BI139""),MATCH($D14,IMPORTRANGE(""17pNv02DXDpQT9S3w4-QeNym2QJy2BzMBqDXp-XtzJBM"", ""'STC'!D3:D139""),0))"),190)</f>
        <v>190</v>
      </c>
      <c r="AB14" s="2">
        <f ca="1">IFERROR(__xludf.DUMMYFUNCTION("INDEX(IMPORTRANGE(""17pNv02DXDpQT9S3w4-QeNym2QJy2BzMBqDXp-XtzJBM"", ""'STC'!BJ3:BJ139""),MATCH($D14,IMPORTRANGE(""17pNv02DXDpQT9S3w4-QeNym2QJy2BzMBqDXp-XtzJBM"", ""'STC'!D3:D139""),0))"),82)</f>
        <v>82</v>
      </c>
      <c r="AC14" s="2">
        <f ca="1">IFERROR(__xludf.DUMMYFUNCTION("INDEX(IMPORTRANGE(""17pNv02DXDpQT9S3w4-QeNym2QJy2BzMBqDXp-XtzJBM"", ""'STC'!BK3:BK139""),MATCH($D14,IMPORTRANGE(""17pNv02DXDpQT9S3w4-QeNym2QJy2BzMBqDXp-XtzJBM"", ""'STC'!D3:D139""),0))"),148)</f>
        <v>148</v>
      </c>
      <c r="AD14" s="2">
        <f ca="1">IFERROR(__xludf.DUMMYFUNCTION("INDEX(IMPORTRANGE(""17pNv02DXDpQT9S3w4-QeNym2QJy2BzMBqDXp-XtzJBM"", ""'STC'!BL3:BL139""),MATCH($D14,IMPORTRANGE(""17pNv02DXDpQT9S3w4-QeNym2QJy2BzMBqDXp-XtzJBM"", ""'STC'!D3:D139""),0))"),72)</f>
        <v>72</v>
      </c>
      <c r="AE14" s="2">
        <f ca="1">IFERROR(__xludf.DUMMYFUNCTION("INDEX(IMPORTRANGE(""17pNv02DXDpQT9S3w4-QeNym2QJy2BzMBqDXp-XtzJBM"", ""'STC'!BM3:BM139""),MATCH($D14,IMPORTRANGE(""17pNv02DXDpQT9S3w4-QeNym2QJy2BzMBqDXp-XtzJBM"", ""'STC'!D3:D139""),0))"),114)</f>
        <v>114</v>
      </c>
    </row>
    <row r="15" spans="1:31">
      <c r="A15" s="7" t="s">
        <v>52</v>
      </c>
      <c r="B15" s="7" t="s">
        <v>68</v>
      </c>
      <c r="C15" s="1" t="s">
        <v>30</v>
      </c>
      <c r="D15" s="7" t="s">
        <v>78</v>
      </c>
      <c r="E15" s="9" t="s">
        <v>76</v>
      </c>
      <c r="F15" s="9" t="s">
        <v>79</v>
      </c>
      <c r="G15" s="2" t="s">
        <v>56</v>
      </c>
      <c r="H15" s="2" t="s">
        <v>57</v>
      </c>
      <c r="I15" s="2" t="s">
        <v>362</v>
      </c>
      <c r="J15" s="9" t="s">
        <v>58</v>
      </c>
      <c r="K15" s="9" t="s">
        <v>59</v>
      </c>
      <c r="L15" s="9" t="s">
        <v>60</v>
      </c>
      <c r="M15" s="9" t="s">
        <v>61</v>
      </c>
      <c r="N15" s="9" t="s">
        <v>62</v>
      </c>
      <c r="O15" s="21" t="s">
        <v>363</v>
      </c>
      <c r="P15" s="9" t="s">
        <v>63</v>
      </c>
      <c r="Q15" s="30">
        <v>185</v>
      </c>
      <c r="R15" s="2">
        <v>401</v>
      </c>
      <c r="S15" s="2">
        <f ca="1">IFERROR(__xludf.DUMMYFUNCTION("INDEX(IMPORTRANGE(""17pNv02DXDpQT9S3w4-QeNym2QJy2BzMBqDXp-XtzJBM"", ""'STC'!BG3:BG139""),MATCH($D15,IMPORTRANGE(""17pNv02DXDpQT9S3w4-QeNym2QJy2BzMBqDXp-XtzJBM"", ""'STC'!D3:D139""),0))"),358)</f>
        <v>358</v>
      </c>
      <c r="T15" s="2"/>
      <c r="U15" s="2"/>
      <c r="V15" s="2"/>
      <c r="W15" s="2"/>
      <c r="X15" s="24"/>
      <c r="Y15" s="2"/>
      <c r="Z15" s="2">
        <f ca="1">IFERROR(__xludf.DUMMYFUNCTION("INDEX(IMPORTRANGE(""17pNv02DXDpQT9S3w4-QeNym2QJy2BzMBqDXp-XtzJBM"", ""'STC'!BH3:BH139""),MATCH($D15,IMPORTRANGE(""17pNv02DXDpQT9S3w4-QeNym2QJy2BzMBqDXp-XtzJBM"", ""'STC'!D3:D139""),0))"),253)</f>
        <v>253</v>
      </c>
      <c r="AA15" s="2">
        <f ca="1">IFERROR(__xludf.DUMMYFUNCTION("INDEX(IMPORTRANGE(""17pNv02DXDpQT9S3w4-QeNym2QJy2BzMBqDXp-XtzJBM"", ""'STC'!BI3:BI139""),MATCH($D15,IMPORTRANGE(""17pNv02DXDpQT9S3w4-QeNym2QJy2BzMBqDXp-XtzJBM"", ""'STC'!D3:D139""),0))"),500)</f>
        <v>500</v>
      </c>
      <c r="AB15" s="2">
        <f ca="1">IFERROR(__xludf.DUMMYFUNCTION("INDEX(IMPORTRANGE(""17pNv02DXDpQT9S3w4-QeNym2QJy2BzMBqDXp-XtzJBM"", ""'STC'!BJ3:BJ139""),MATCH($D15,IMPORTRANGE(""17pNv02DXDpQT9S3w4-QeNym2QJy2BzMBqDXp-XtzJBM"", ""'STC'!D3:D139""),0))"),216)</f>
        <v>216</v>
      </c>
      <c r="AC15" s="2">
        <f ca="1">IFERROR(__xludf.DUMMYFUNCTION("INDEX(IMPORTRANGE(""17pNv02DXDpQT9S3w4-QeNym2QJy2BzMBqDXp-XtzJBM"", ""'STC'!BK3:BK139""),MATCH($D15,IMPORTRANGE(""17pNv02DXDpQT9S3w4-QeNym2QJy2BzMBqDXp-XtzJBM"", ""'STC'!D3:D139""),0))"),452)</f>
        <v>452</v>
      </c>
      <c r="AD15" s="2">
        <f ca="1">IFERROR(__xludf.DUMMYFUNCTION("INDEX(IMPORTRANGE(""17pNv02DXDpQT9S3w4-QeNym2QJy2BzMBqDXp-XtzJBM"", ""'STC'!BL3:BL139""),MATCH($D15,IMPORTRANGE(""17pNv02DXDpQT9S3w4-QeNym2QJy2BzMBqDXp-XtzJBM"", ""'STC'!D3:D139""),0))"),248)</f>
        <v>248</v>
      </c>
      <c r="AE15" s="2">
        <f ca="1">IFERROR(__xludf.DUMMYFUNCTION("INDEX(IMPORTRANGE(""17pNv02DXDpQT9S3w4-QeNym2QJy2BzMBqDXp-XtzJBM"", ""'STC'!BM3:BM139""),MATCH($D15,IMPORTRANGE(""17pNv02DXDpQT9S3w4-QeNym2QJy2BzMBqDXp-XtzJBM"", ""'STC'!D3:D139""),0))"),436)</f>
        <v>436</v>
      </c>
    </row>
    <row r="16" spans="1:31">
      <c r="A16" s="7" t="s">
        <v>52</v>
      </c>
      <c r="B16" s="7" t="s">
        <v>68</v>
      </c>
      <c r="C16" s="1" t="s">
        <v>30</v>
      </c>
      <c r="D16" s="7" t="s">
        <v>80</v>
      </c>
      <c r="E16" s="9" t="s">
        <v>76</v>
      </c>
      <c r="F16" s="9" t="s">
        <v>81</v>
      </c>
      <c r="G16" s="2" t="s">
        <v>56</v>
      </c>
      <c r="H16" s="2" t="s">
        <v>57</v>
      </c>
      <c r="I16" s="2" t="s">
        <v>362</v>
      </c>
      <c r="J16" s="9" t="s">
        <v>58</v>
      </c>
      <c r="K16" s="9" t="s">
        <v>59</v>
      </c>
      <c r="L16" s="9" t="s">
        <v>60</v>
      </c>
      <c r="M16" s="9" t="s">
        <v>61</v>
      </c>
      <c r="N16" s="9" t="s">
        <v>62</v>
      </c>
      <c r="O16" s="21" t="s">
        <v>363</v>
      </c>
      <c r="P16" s="9" t="s">
        <v>63</v>
      </c>
      <c r="Q16" s="30">
        <v>97</v>
      </c>
      <c r="R16" s="2">
        <v>226</v>
      </c>
      <c r="S16" s="2">
        <f ca="1">IFERROR(__xludf.DUMMYFUNCTION("INDEX(IMPORTRANGE(""17pNv02DXDpQT9S3w4-QeNym2QJy2BzMBqDXp-XtzJBM"", ""'STC'!BG3:BG139""),MATCH($D16,IMPORTRANGE(""17pNv02DXDpQT9S3w4-QeNym2QJy2BzMBqDXp-XtzJBM"", ""'STC'!D3:D139""),0))"),205)</f>
        <v>205</v>
      </c>
      <c r="T16" s="2"/>
      <c r="U16" s="2"/>
      <c r="V16" s="2"/>
      <c r="W16" s="2"/>
      <c r="X16" s="24"/>
      <c r="Y16" s="2"/>
      <c r="Z16" s="2">
        <f ca="1">IFERROR(__xludf.DUMMYFUNCTION("INDEX(IMPORTRANGE(""17pNv02DXDpQT9S3w4-QeNym2QJy2BzMBqDXp-XtzJBM"", ""'STC'!BH3:BH139""),MATCH($D16,IMPORTRANGE(""17pNv02DXDpQT9S3w4-QeNym2QJy2BzMBqDXp-XtzJBM"", ""'STC'!D3:D139""),0))"),93)</f>
        <v>93</v>
      </c>
      <c r="AA16" s="2">
        <f ca="1">IFERROR(__xludf.DUMMYFUNCTION("INDEX(IMPORTRANGE(""17pNv02DXDpQT9S3w4-QeNym2QJy2BzMBqDXp-XtzJBM"", ""'STC'!BI3:BI139""),MATCH($D16,IMPORTRANGE(""17pNv02DXDpQT9S3w4-QeNym2QJy2BzMBqDXp-XtzJBM"", ""'STC'!D3:D139""),0))"),194)</f>
        <v>194</v>
      </c>
      <c r="AB16" s="2">
        <f ca="1">IFERROR(__xludf.DUMMYFUNCTION("INDEX(IMPORTRANGE(""17pNv02DXDpQT9S3w4-QeNym2QJy2BzMBqDXp-XtzJBM"", ""'STC'!BJ3:BJ139""),MATCH($D16,IMPORTRANGE(""17pNv02DXDpQT9S3w4-QeNym2QJy2BzMBqDXp-XtzJBM"", ""'STC'!D3:D139""),0))"),61)</f>
        <v>61</v>
      </c>
      <c r="AC16" s="2">
        <f ca="1">IFERROR(__xludf.DUMMYFUNCTION("INDEX(IMPORTRANGE(""17pNv02DXDpQT9S3w4-QeNym2QJy2BzMBqDXp-XtzJBM"", ""'STC'!BK3:BK139""),MATCH($D16,IMPORTRANGE(""17pNv02DXDpQT9S3w4-QeNym2QJy2BzMBqDXp-XtzJBM"", ""'STC'!D3:D139""),0))"),156)</f>
        <v>156</v>
      </c>
      <c r="AD16" s="2">
        <f ca="1">IFERROR(__xludf.DUMMYFUNCTION("INDEX(IMPORTRANGE(""17pNv02DXDpQT9S3w4-QeNym2QJy2BzMBqDXp-XtzJBM"", ""'STC'!BL3:BL139""),MATCH($D16,IMPORTRANGE(""17pNv02DXDpQT9S3w4-QeNym2QJy2BzMBqDXp-XtzJBM"", ""'STC'!D3:D139""),0))"),77)</f>
        <v>77</v>
      </c>
      <c r="AE16" s="2">
        <f ca="1">IFERROR(__xludf.DUMMYFUNCTION("INDEX(IMPORTRANGE(""17pNv02DXDpQT9S3w4-QeNym2QJy2BzMBqDXp-XtzJBM"", ""'STC'!BM3:BM139""),MATCH($D16,IMPORTRANGE(""17pNv02DXDpQT9S3w4-QeNym2QJy2BzMBqDXp-XtzJBM"", ""'STC'!D3:D139""),0))"),110)</f>
        <v>110</v>
      </c>
    </row>
    <row r="17" spans="1:31">
      <c r="A17" s="7" t="s">
        <v>52</v>
      </c>
      <c r="B17" s="7" t="s">
        <v>68</v>
      </c>
      <c r="C17" s="1" t="s">
        <v>30</v>
      </c>
      <c r="D17" s="7" t="s">
        <v>82</v>
      </c>
      <c r="E17" s="9" t="s">
        <v>76</v>
      </c>
      <c r="F17" s="9" t="s">
        <v>83</v>
      </c>
      <c r="G17" s="2" t="s">
        <v>56</v>
      </c>
      <c r="H17" s="2" t="s">
        <v>57</v>
      </c>
      <c r="I17" s="2" t="s">
        <v>362</v>
      </c>
      <c r="J17" s="9" t="s">
        <v>58</v>
      </c>
      <c r="K17" s="9" t="s">
        <v>59</v>
      </c>
      <c r="L17" s="9" t="s">
        <v>60</v>
      </c>
      <c r="M17" s="9" t="s">
        <v>61</v>
      </c>
      <c r="N17" s="9" t="s">
        <v>62</v>
      </c>
      <c r="O17" s="21" t="s">
        <v>363</v>
      </c>
      <c r="P17" s="9" t="s">
        <v>63</v>
      </c>
      <c r="Q17" s="30">
        <v>101</v>
      </c>
      <c r="R17" s="2">
        <v>176</v>
      </c>
      <c r="S17" s="2">
        <f ca="1">IFERROR(__xludf.DUMMYFUNCTION("INDEX(IMPORTRANGE(""17pNv02DXDpQT9S3w4-QeNym2QJy2BzMBqDXp-XtzJBM"", ""'STC'!BG3:BG139""),MATCH($D17,IMPORTRANGE(""17pNv02DXDpQT9S3w4-QeNym2QJy2BzMBqDXp-XtzJBM"", ""'STC'!D3:D139""),0))"),162)</f>
        <v>162</v>
      </c>
      <c r="T17" s="2"/>
      <c r="U17" s="2"/>
      <c r="V17" s="2"/>
      <c r="W17" s="2"/>
      <c r="X17" s="24"/>
      <c r="Y17" s="2"/>
      <c r="Z17" s="2">
        <f ca="1">IFERROR(__xludf.DUMMYFUNCTION("INDEX(IMPORTRANGE(""17pNv02DXDpQT9S3w4-QeNym2QJy2BzMBqDXp-XtzJBM"", ""'STC'!BH3:BH139""),MATCH($D17,IMPORTRANGE(""17pNv02DXDpQT9S3w4-QeNym2QJy2BzMBqDXp-XtzJBM"", ""'STC'!D3:D139""),0))"),56)</f>
        <v>56</v>
      </c>
      <c r="AA17" s="2">
        <f ca="1">IFERROR(__xludf.DUMMYFUNCTION("INDEX(IMPORTRANGE(""17pNv02DXDpQT9S3w4-QeNym2QJy2BzMBqDXp-XtzJBM"", ""'STC'!BI3:BI139""),MATCH($D17,IMPORTRANGE(""17pNv02DXDpQT9S3w4-QeNym2QJy2BzMBqDXp-XtzJBM"", ""'STC'!D3:D139""),0))"),136)</f>
        <v>136</v>
      </c>
      <c r="AB17" s="2">
        <f ca="1">IFERROR(__xludf.DUMMYFUNCTION("INDEX(IMPORTRANGE(""17pNv02DXDpQT9S3w4-QeNym2QJy2BzMBqDXp-XtzJBM"", ""'STC'!BJ3:BJ139""),MATCH($D17,IMPORTRANGE(""17pNv02DXDpQT9S3w4-QeNym2QJy2BzMBqDXp-XtzJBM"", ""'STC'!D3:D139""),0))"),68)</f>
        <v>68</v>
      </c>
      <c r="AC17" s="2">
        <f ca="1">IFERROR(__xludf.DUMMYFUNCTION("INDEX(IMPORTRANGE(""17pNv02DXDpQT9S3w4-QeNym2QJy2BzMBqDXp-XtzJBM"", ""'STC'!BK3:BK139""),MATCH($D17,IMPORTRANGE(""17pNv02DXDpQT9S3w4-QeNym2QJy2BzMBqDXp-XtzJBM"", ""'STC'!D3:D139""),0))"),130)</f>
        <v>130</v>
      </c>
      <c r="AD17" s="2">
        <f ca="1">IFERROR(__xludf.DUMMYFUNCTION("INDEX(IMPORTRANGE(""17pNv02DXDpQT9S3w4-QeNym2QJy2BzMBqDXp-XtzJBM"", ""'STC'!BL3:BL139""),MATCH($D17,IMPORTRANGE(""17pNv02DXDpQT9S3w4-QeNym2QJy2BzMBqDXp-XtzJBM"", ""'STC'!D3:D139""),0))"),83)</f>
        <v>83</v>
      </c>
      <c r="AE17" s="2">
        <f ca="1">IFERROR(__xludf.DUMMYFUNCTION("INDEX(IMPORTRANGE(""17pNv02DXDpQT9S3w4-QeNym2QJy2BzMBqDXp-XtzJBM"", ""'STC'!BM3:BM139""),MATCH($D17,IMPORTRANGE(""17pNv02DXDpQT9S3w4-QeNym2QJy2BzMBqDXp-XtzJBM"", ""'STC'!D3:D139""),0))"),145)</f>
        <v>145</v>
      </c>
    </row>
    <row r="18" spans="1:31">
      <c r="A18" s="7" t="s">
        <v>52</v>
      </c>
      <c r="B18" s="7" t="s">
        <v>68</v>
      </c>
      <c r="C18" s="1" t="s">
        <v>30</v>
      </c>
      <c r="D18" s="7" t="s">
        <v>342</v>
      </c>
      <c r="E18" s="7" t="str">
        <f>E17</f>
        <v>Secretaría de Seguridad Pública del Estado, CONAPO</v>
      </c>
      <c r="F18" s="515"/>
      <c r="G18" s="2" t="s">
        <v>343</v>
      </c>
      <c r="H18" s="2" t="s">
        <v>344</v>
      </c>
      <c r="I18" s="2" t="s">
        <v>362</v>
      </c>
      <c r="J18" s="9" t="s">
        <v>345</v>
      </c>
      <c r="K18" s="9" t="s">
        <v>336</v>
      </c>
      <c r="L18" s="9" t="s">
        <v>346</v>
      </c>
      <c r="M18" s="9" t="s">
        <v>347</v>
      </c>
      <c r="N18" s="9" t="s">
        <v>348</v>
      </c>
      <c r="O18" s="21" t="s">
        <v>363</v>
      </c>
      <c r="P18" s="9" t="s">
        <v>349</v>
      </c>
      <c r="Q18" s="12">
        <f t="shared" ref="Q18:R18" si="5">SUM(Q14:Q17)</f>
        <v>484</v>
      </c>
      <c r="R18" s="12">
        <f t="shared" si="5"/>
        <v>1024</v>
      </c>
      <c r="S18" s="12">
        <f ca="1">IFERROR(__xludf.DUMMYFUNCTION("INDEX(IMPORTRANGE(""17pNv02DXDpQT9S3w4-QeNym2QJy2BzMBqDXp-XtzJBM"", ""'STC'!BG3:BG139""),MATCH($D18,IMPORTRANGE(""17pNv02DXDpQT9S3w4-QeNym2QJy2BzMBqDXp-XtzJBM"", ""'STC'!D3:D139""),0))"),923)</f>
        <v>923</v>
      </c>
      <c r="T18" s="477"/>
      <c r="U18" s="477"/>
      <c r="V18" s="477"/>
      <c r="W18" s="477"/>
      <c r="X18" s="477"/>
      <c r="Y18" s="477"/>
      <c r="Z18" s="12">
        <f ca="1">IFERROR(__xludf.DUMMYFUNCTION("INDEX(IMPORTRANGE(""17pNv02DXDpQT9S3w4-QeNym2QJy2BzMBqDXp-XtzJBM"", ""'STC'!BH3:BH139""),MATCH($D18,IMPORTRANGE(""17pNv02DXDpQT9S3w4-QeNym2QJy2BzMBqDXp-XtzJBM"", ""'STC'!D3:D139""),0))"),478)</f>
        <v>478</v>
      </c>
      <c r="AA18" s="12">
        <f ca="1">IFERROR(__xludf.DUMMYFUNCTION("INDEX(IMPORTRANGE(""17pNv02DXDpQT9S3w4-QeNym2QJy2BzMBqDXp-XtzJBM"", ""'STC'!BI3:BI139""),MATCH($D18,IMPORTRANGE(""17pNv02DXDpQT9S3w4-QeNym2QJy2BzMBqDXp-XtzJBM"", ""'STC'!D3:D139""),0))"),1020)</f>
        <v>1020</v>
      </c>
      <c r="AB18" s="12">
        <f ca="1">IFERROR(__xludf.DUMMYFUNCTION("INDEX(IMPORTRANGE(""17pNv02DXDpQT9S3w4-QeNym2QJy2BzMBqDXp-XtzJBM"", ""'STC'!BJ3:BJ139""),MATCH($D18,IMPORTRANGE(""17pNv02DXDpQT9S3w4-QeNym2QJy2BzMBqDXp-XtzJBM"", ""'STC'!D3:D139""),0))"),427)</f>
        <v>427</v>
      </c>
      <c r="AC18" s="12">
        <f ca="1">IFERROR(__xludf.DUMMYFUNCTION("INDEX(IMPORTRANGE(""17pNv02DXDpQT9S3w4-QeNym2QJy2BzMBqDXp-XtzJBM"", ""'STC'!BK3:BK139""),MATCH($D18,IMPORTRANGE(""17pNv02DXDpQT9S3w4-QeNym2QJy2BzMBqDXp-XtzJBM"", ""'STC'!D3:D139""),0))"),886)</f>
        <v>886</v>
      </c>
      <c r="AD18" s="12">
        <f ca="1">IFERROR(__xludf.DUMMYFUNCTION("INDEX(IMPORTRANGE(""17pNv02DXDpQT9S3w4-QeNym2QJy2BzMBqDXp-XtzJBM"", ""'STC'!BL3:BL139""),MATCH($D18,IMPORTRANGE(""17pNv02DXDpQT9S3w4-QeNym2QJy2BzMBqDXp-XtzJBM"", ""'STC'!D3:D139""),0))"),480)</f>
        <v>480</v>
      </c>
      <c r="AE18" s="12">
        <f ca="1">IFERROR(__xludf.DUMMYFUNCTION("INDEX(IMPORTRANGE(""17pNv02DXDpQT9S3w4-QeNym2QJy2BzMBqDXp-XtzJBM"", ""'STC'!BM3:BM139""),MATCH($D18,IMPORTRANGE(""17pNv02DXDpQT9S3w4-QeNym2QJy2BzMBqDXp-XtzJBM"", ""'STC'!D3:D139""),0))"),805)</f>
        <v>805</v>
      </c>
    </row>
    <row r="19" spans="1:31">
      <c r="A19" s="7" t="s">
        <v>52</v>
      </c>
      <c r="B19" s="7" t="s">
        <v>68</v>
      </c>
      <c r="C19" s="1" t="s">
        <v>36</v>
      </c>
      <c r="D19" s="7" t="s">
        <v>84</v>
      </c>
      <c r="E19" s="9" t="s">
        <v>76</v>
      </c>
      <c r="F19" s="9" t="s">
        <v>85</v>
      </c>
      <c r="G19" s="2" t="s">
        <v>56</v>
      </c>
      <c r="H19" s="2" t="s">
        <v>57</v>
      </c>
      <c r="I19" s="2" t="s">
        <v>362</v>
      </c>
      <c r="J19" s="9" t="s">
        <v>58</v>
      </c>
      <c r="K19" s="9" t="s">
        <v>59</v>
      </c>
      <c r="L19" s="9" t="s">
        <v>60</v>
      </c>
      <c r="M19" s="9" t="s">
        <v>61</v>
      </c>
      <c r="N19" s="9" t="s">
        <v>62</v>
      </c>
      <c r="O19" s="21" t="s">
        <v>363</v>
      </c>
      <c r="P19" s="9" t="s">
        <v>63</v>
      </c>
      <c r="Q19" s="23">
        <f t="shared" ref="Q19:R19" si="6">(SUM(Q14:Q17)/Q2)*100000</f>
        <v>148.70893605515749</v>
      </c>
      <c r="R19" s="23">
        <f t="shared" si="6"/>
        <v>314.62386471173818</v>
      </c>
      <c r="S19" s="23">
        <f ca="1">IFERROR(__xludf.DUMMYFUNCTION("INDEX(IMPORTRANGE(""17pNv02DXDpQT9S3w4-QeNym2QJy2BzMBqDXp-XtzJBM"", ""'STC'!BG3:BG139""),MATCH($D19,IMPORTRANGE(""17pNv02DXDpQT9S3w4-QeNym2QJy2BzMBqDXp-XtzJBM"", ""'STC'!D3:D139""),0))"),283.591628055599)</f>
        <v>283.59162805559902</v>
      </c>
      <c r="T19" s="2">
        <v>257.10000000000002</v>
      </c>
      <c r="U19" s="2">
        <v>94.3</v>
      </c>
      <c r="V19" s="2">
        <v>199.5</v>
      </c>
      <c r="W19" s="2">
        <v>67.099999999999994</v>
      </c>
      <c r="X19" s="24">
        <f ca="1">+S19*(1+(Y19-R19)/R19)</f>
        <v>127.99414062499957</v>
      </c>
      <c r="Y19" s="2">
        <v>142</v>
      </c>
      <c r="Z19" s="23">
        <f ca="1">IFERROR(__xludf.DUMMYFUNCTION("INDEX(IMPORTRANGE(""17pNv02DXDpQT9S3w4-QeNym2QJy2BzMBqDXp-XtzJBM"", ""'STC'!BH3:BH139""),MATCH($D19,IMPORTRANGE(""17pNv02DXDpQT9S3w4-QeNym2QJy2BzMBqDXp-XtzJBM"", ""'STC'!D3:D139""),0))"),145.356351129856)</f>
        <v>145.35635112985599</v>
      </c>
      <c r="AA19" s="23">
        <f ca="1">IFERROR(__xludf.DUMMYFUNCTION("INDEX(IMPORTRANGE(""17pNv02DXDpQT9S3w4-QeNym2QJy2BzMBqDXp-XtzJBM"", ""'STC'!BI3:BI139""),MATCH($D19,IMPORTRANGE(""17pNv02DXDpQT9S3w4-QeNym2QJy2BzMBqDXp-XtzJBM"", ""'STC'!D3:D139""),0))"),310.174640486305)</f>
        <v>310.17464048630501</v>
      </c>
      <c r="AB19" s="23">
        <f ca="1">IFERROR(__xludf.DUMMYFUNCTION("INDEX(IMPORTRANGE(""17pNv02DXDpQT9S3w4-QeNym2QJy2BzMBqDXp-XtzJBM"", ""'STC'!BJ3:BJ139""),MATCH($D19,IMPORTRANGE(""17pNv02DXDpQT9S3w4-QeNym2QJy2BzMBqDXp-XtzJBM"", ""'STC'!D3:D139""),0))"),128.531609143503)</f>
        <v>128.531609143503</v>
      </c>
      <c r="AC19" s="23">
        <f ca="1">IFERROR(__xludf.DUMMYFUNCTION("INDEX(IMPORTRANGE(""17pNv02DXDpQT9S3w4-QeNym2QJy2BzMBqDXp-XtzJBM"", ""'STC'!BK3:BK139""),MATCH($D19,IMPORTRANGE(""17pNv02DXDpQT9S3w4-QeNym2QJy2BzMBqDXp-XtzJBM"", ""'STC'!D3:D139""),0))"),266.695563702914)</f>
        <v>266.695563702914</v>
      </c>
      <c r="AD19" s="23">
        <f ca="1">IFERROR(__xludf.DUMMYFUNCTION("INDEX(IMPORTRANGE(""17pNv02DXDpQT9S3w4-QeNym2QJy2BzMBqDXp-XtzJBM"", ""'STC'!BL3:BL139""),MATCH($D19,IMPORTRANGE(""17pNv02DXDpQT9S3w4-QeNym2QJy2BzMBqDXp-XtzJBM"", ""'STC'!D3:D139""),0))"),143.04020025628)</f>
        <v>143.04020025628</v>
      </c>
      <c r="AE19" s="23">
        <f ca="1">IFERROR(__xludf.DUMMYFUNCTION("INDEX(IMPORTRANGE(""17pNv02DXDpQT9S3w4-QeNym2QJy2BzMBqDXp-XtzJBM"", ""'STC'!BM3:BM139""),MATCH($D19,IMPORTRANGE(""17pNv02DXDpQT9S3w4-QeNym2QJy2BzMBqDXp-XtzJBM"", ""'STC'!D3:D139""),0))"),239.89033584647)</f>
        <v>239.89033584647001</v>
      </c>
    </row>
    <row r="20" spans="1:31">
      <c r="A20" s="7" t="s">
        <v>52</v>
      </c>
      <c r="B20" s="7" t="s">
        <v>86</v>
      </c>
      <c r="C20" s="1" t="s">
        <v>30</v>
      </c>
      <c r="D20" s="7" t="s">
        <v>87</v>
      </c>
      <c r="E20" s="9" t="s">
        <v>76</v>
      </c>
      <c r="F20" s="9" t="s">
        <v>88</v>
      </c>
      <c r="G20" s="2" t="s">
        <v>56</v>
      </c>
      <c r="H20" s="2" t="s">
        <v>57</v>
      </c>
      <c r="I20" s="2" t="s">
        <v>362</v>
      </c>
      <c r="J20" s="9" t="s">
        <v>58</v>
      </c>
      <c r="K20" s="9" t="s">
        <v>59</v>
      </c>
      <c r="L20" s="9" t="s">
        <v>60</v>
      </c>
      <c r="M20" s="9" t="s">
        <v>61</v>
      </c>
      <c r="N20" s="9" t="s">
        <v>62</v>
      </c>
      <c r="O20" s="21" t="s">
        <v>363</v>
      </c>
      <c r="P20" s="9" t="s">
        <v>63</v>
      </c>
      <c r="Q20" s="12">
        <v>1241</v>
      </c>
      <c r="R20" s="12">
        <v>2802</v>
      </c>
      <c r="S20" s="12">
        <f ca="1">IFERROR(__xludf.DUMMYFUNCTION("INDEX(IMPORTRANGE(""17pNv02DXDpQT9S3w4-QeNym2QJy2BzMBqDXp-XtzJBM"", ""'STC'!BG3:BG139""),MATCH($D20,IMPORTRANGE(""17pNv02DXDpQT9S3w4-QeNym2QJy2BzMBqDXp-XtzJBM"", ""'STC'!D3:D139""),0))"),2549)</f>
        <v>2549</v>
      </c>
      <c r="T20" s="2"/>
      <c r="U20" s="2"/>
      <c r="V20" s="2"/>
      <c r="W20" s="2"/>
      <c r="X20" s="24"/>
      <c r="Y20" s="2"/>
      <c r="Z20" s="12">
        <f ca="1">IFERROR(__xludf.DUMMYFUNCTION("INDEX(IMPORTRANGE(""17pNv02DXDpQT9S3w4-QeNym2QJy2BzMBqDXp-XtzJBM"", ""'STC'!BH3:BH139""),MATCH($D20,IMPORTRANGE(""17pNv02DXDpQT9S3w4-QeNym2QJy2BzMBqDXp-XtzJBM"", ""'STC'!D3:D139""),0))"),1347)</f>
        <v>1347</v>
      </c>
      <c r="AA20" s="12">
        <f ca="1">IFERROR(__xludf.DUMMYFUNCTION("INDEX(IMPORTRANGE(""17pNv02DXDpQT9S3w4-QeNym2QJy2BzMBqDXp-XtzJBM"", ""'STC'!BI3:BI139""),MATCH($D20,IMPORTRANGE(""17pNv02DXDpQT9S3w4-QeNym2QJy2BzMBqDXp-XtzJBM"", ""'STC'!D3:D139""),0))"),2976)</f>
        <v>2976</v>
      </c>
      <c r="AB20" s="12">
        <f ca="1">IFERROR(__xludf.DUMMYFUNCTION("INDEX(IMPORTRANGE(""17pNv02DXDpQT9S3w4-QeNym2QJy2BzMBqDXp-XtzJBM"", ""'STC'!BJ3:BJ139""),MATCH($D20,IMPORTRANGE(""17pNv02DXDpQT9S3w4-QeNym2QJy2BzMBqDXp-XtzJBM"", ""'STC'!D3:D139""),0))"),1300)</f>
        <v>1300</v>
      </c>
      <c r="AC20" s="12">
        <f ca="1">IFERROR(__xludf.DUMMYFUNCTION("INDEX(IMPORTRANGE(""17pNv02DXDpQT9S3w4-QeNym2QJy2BzMBqDXp-XtzJBM"", ""'STC'!BK3:BK139""),MATCH($D20,IMPORTRANGE(""17pNv02DXDpQT9S3w4-QeNym2QJy2BzMBqDXp-XtzJBM"", ""'STC'!D3:D139""),0))"),2898)</f>
        <v>2898</v>
      </c>
      <c r="AD20" s="12">
        <f ca="1">IFERROR(__xludf.DUMMYFUNCTION("INDEX(IMPORTRANGE(""17pNv02DXDpQT9S3w4-QeNym2QJy2BzMBqDXp-XtzJBM"", ""'STC'!BL3:BL139""),MATCH($D20,IMPORTRANGE(""17pNv02DXDpQT9S3w4-QeNym2QJy2BzMBqDXp-XtzJBM"", ""'STC'!D3:D139""),0))"),1228)</f>
        <v>1228</v>
      </c>
      <c r="AE20" s="12">
        <f ca="1">IFERROR(__xludf.DUMMYFUNCTION("INDEX(IMPORTRANGE(""17pNv02DXDpQT9S3w4-QeNym2QJy2BzMBqDXp-XtzJBM"", ""'STC'!BM3:BM139""),MATCH($D20,IMPORTRANGE(""17pNv02DXDpQT9S3w4-QeNym2QJy2BzMBqDXp-XtzJBM"", ""'STC'!D3:D139""),0))"),2369)</f>
        <v>2369</v>
      </c>
    </row>
    <row r="21" spans="1:31">
      <c r="A21" s="7" t="s">
        <v>52</v>
      </c>
      <c r="B21" s="7" t="s">
        <v>86</v>
      </c>
      <c r="C21" s="1" t="s">
        <v>36</v>
      </c>
      <c r="D21" s="7" t="s">
        <v>89</v>
      </c>
      <c r="E21" s="9" t="s">
        <v>76</v>
      </c>
      <c r="F21" s="9" t="s">
        <v>90</v>
      </c>
      <c r="G21" s="2" t="s">
        <v>56</v>
      </c>
      <c r="H21" s="2" t="s">
        <v>57</v>
      </c>
      <c r="I21" s="2" t="s">
        <v>362</v>
      </c>
      <c r="J21" s="9" t="s">
        <v>58</v>
      </c>
      <c r="K21" s="9" t="s">
        <v>59</v>
      </c>
      <c r="L21" s="9" t="s">
        <v>60</v>
      </c>
      <c r="M21" s="9" t="s">
        <v>61</v>
      </c>
      <c r="N21" s="9" t="s">
        <v>62</v>
      </c>
      <c r="O21" s="21" t="s">
        <v>363</v>
      </c>
      <c r="P21" s="9" t="s">
        <v>63</v>
      </c>
      <c r="Q21" s="23">
        <f t="shared" ref="Q21:R21" si="7">(Q20/Q$2)*100000</f>
        <v>381.297086042253</v>
      </c>
      <c r="R21" s="23">
        <f t="shared" si="7"/>
        <v>860.91412980692417</v>
      </c>
      <c r="S21" s="23">
        <f ca="1">IFERROR(__xludf.DUMMYFUNCTION("INDEX(IMPORTRANGE(""17pNv02DXDpQT9S3w4-QeNym2QJy2BzMBqDXp-XtzJBM"", ""'STC'!BG3:BG139""),MATCH($D21,IMPORTRANGE(""17pNv02DXDpQT9S3w4-QeNym2QJy2BzMBqDXp-XtzJBM"", ""'STC'!D3:D139""),0))"),783.179913232637)</f>
        <v>783.17991323263698</v>
      </c>
      <c r="T21" s="2">
        <v>760.6</v>
      </c>
      <c r="U21" s="2">
        <v>292.39999999999998</v>
      </c>
      <c r="V21" s="2">
        <v>660.3</v>
      </c>
      <c r="W21" s="2">
        <v>248</v>
      </c>
      <c r="X21" s="24">
        <f ca="1">+S21*(1+(Y21-R21)/R21)</f>
        <v>509.4361170592432</v>
      </c>
      <c r="Y21" s="2">
        <v>560</v>
      </c>
      <c r="Z21" s="23">
        <f ca="1">IFERROR(__xludf.DUMMYFUNCTION("INDEX(IMPORTRANGE(""17pNv02DXDpQT9S3w4-QeNym2QJy2BzMBqDXp-XtzJBM"", ""'STC'!BH3:BH139""),MATCH($D21,IMPORTRANGE(""17pNv02DXDpQT9S3w4-QeNym2QJy2BzMBqDXp-XtzJBM"", ""'STC'!D3:D139""),0))"),409.612981112797)</f>
        <v>409.612981112797</v>
      </c>
      <c r="AA21" s="23">
        <f ca="1">IFERROR(__xludf.DUMMYFUNCTION("INDEX(IMPORTRANGE(""17pNv02DXDpQT9S3w4-QeNym2QJy2BzMBqDXp-XtzJBM"", ""'STC'!BI3:BI139""),MATCH($D21,IMPORTRANGE(""17pNv02DXDpQT9S3w4-QeNym2QJy2BzMBqDXp-XtzJBM"", ""'STC'!D3:D139""),0))"),904.980127536514)</f>
        <v>904.98012753651403</v>
      </c>
      <c r="AB21" s="23">
        <f ca="1">IFERROR(__xludf.DUMMYFUNCTION("INDEX(IMPORTRANGE(""17pNv02DXDpQT9S3w4-QeNym2QJy2BzMBqDXp-XtzJBM"", ""'STC'!BJ3:BJ139""),MATCH($D21,IMPORTRANGE(""17pNv02DXDpQT9S3w4-QeNym2QJy2BzMBqDXp-XtzJBM"", ""'STC'!D3:D139""),0))"),391.314032521206)</f>
        <v>391.314032521206</v>
      </c>
      <c r="AC21" s="23">
        <f ca="1">IFERROR(__xludf.DUMMYFUNCTION("INDEX(IMPORTRANGE(""17pNv02DXDpQT9S3w4-QeNym2QJy2BzMBqDXp-XtzJBM"", ""'STC'!BK3:BK139""),MATCH($D21,IMPORTRANGE(""17pNv02DXDpQT9S3w4-QeNym2QJy2BzMBqDXp-XtzJBM"", ""'STC'!D3:D139""),0))"),872.329281728042)</f>
        <v>872.32928172804202</v>
      </c>
      <c r="AD21" s="23">
        <f ca="1">IFERROR(__xludf.DUMMYFUNCTION("INDEX(IMPORTRANGE(""17pNv02DXDpQT9S3w4-QeNym2QJy2BzMBqDXp-XtzJBM"", ""'STC'!BL3:BL139""),MATCH($D21,IMPORTRANGE(""17pNv02DXDpQT9S3w4-QeNym2QJy2BzMBqDXp-XtzJBM"", ""'STC'!D3:D139""),0))"),365.944512322317)</f>
        <v>365.944512322317</v>
      </c>
      <c r="AE21" s="23">
        <f ca="1">IFERROR(__xludf.DUMMYFUNCTION("INDEX(IMPORTRANGE(""17pNv02DXDpQT9S3w4-QeNym2QJy2BzMBqDXp-XtzJBM"", ""'STC'!BM3:BM139""),MATCH($D21,IMPORTRANGE(""17pNv02DXDpQT9S3w4-QeNym2QJy2BzMBqDXp-XtzJBM"", ""'STC'!D3:D139""),0))"),705.962988348183)</f>
        <v>705.96298834818299</v>
      </c>
    </row>
    <row r="22" spans="1:31">
      <c r="A22" s="7" t="s">
        <v>52</v>
      </c>
      <c r="B22" s="7" t="s">
        <v>86</v>
      </c>
      <c r="C22" s="1" t="s">
        <v>30</v>
      </c>
      <c r="D22" s="7" t="s">
        <v>91</v>
      </c>
      <c r="E22" s="9" t="s">
        <v>76</v>
      </c>
      <c r="F22" s="9" t="s">
        <v>92</v>
      </c>
      <c r="G22" s="2" t="s">
        <v>56</v>
      </c>
      <c r="H22" s="2" t="s">
        <v>57</v>
      </c>
      <c r="I22" s="2" t="s">
        <v>362</v>
      </c>
      <c r="J22" s="9" t="s">
        <v>58</v>
      </c>
      <c r="K22" s="9" t="s">
        <v>59</v>
      </c>
      <c r="L22" s="9" t="s">
        <v>60</v>
      </c>
      <c r="M22" s="9" t="s">
        <v>61</v>
      </c>
      <c r="N22" s="9" t="s">
        <v>62</v>
      </c>
      <c r="O22" s="21" t="s">
        <v>363</v>
      </c>
      <c r="P22" s="9" t="s">
        <v>63</v>
      </c>
      <c r="Q22" s="12">
        <v>215</v>
      </c>
      <c r="R22" s="12">
        <v>470</v>
      </c>
      <c r="S22" s="12">
        <f ca="1">IFERROR(__xludf.DUMMYFUNCTION("INDEX(IMPORTRANGE(""17pNv02DXDpQT9S3w4-QeNym2QJy2BzMBqDXp-XtzJBM"", ""'STC'!BG3:BG139""),MATCH($D22,IMPORTRANGE(""17pNv02DXDpQT9S3w4-QeNym2QJy2BzMBqDXp-XtzJBM"", ""'STC'!D3:D139""),0))"),432)</f>
        <v>432</v>
      </c>
      <c r="T22" s="2"/>
      <c r="U22" s="2"/>
      <c r="V22" s="2"/>
      <c r="W22" s="2"/>
      <c r="X22" s="24"/>
      <c r="Y22" s="2"/>
      <c r="Z22" s="12">
        <f ca="1">IFERROR(__xludf.DUMMYFUNCTION("INDEX(IMPORTRANGE(""17pNv02DXDpQT9S3w4-QeNym2QJy2BzMBqDXp-XtzJBM"", ""'STC'!BH3:BH139""),MATCH($D22,IMPORTRANGE(""17pNv02DXDpQT9S3w4-QeNym2QJy2BzMBqDXp-XtzJBM"", ""'STC'!D3:D139""),0))"),188)</f>
        <v>188</v>
      </c>
      <c r="AA22" s="12">
        <f ca="1">IFERROR(__xludf.DUMMYFUNCTION("INDEX(IMPORTRANGE(""17pNv02DXDpQT9S3w4-QeNym2QJy2BzMBqDXp-XtzJBM"", ""'STC'!BI3:BI139""),MATCH($D22,IMPORTRANGE(""17pNv02DXDpQT9S3w4-QeNym2QJy2BzMBqDXp-XtzJBM"", ""'STC'!D3:D139""),0))"),483)</f>
        <v>483</v>
      </c>
      <c r="AB22" s="12">
        <f ca="1">IFERROR(__xludf.DUMMYFUNCTION("INDEX(IMPORTRANGE(""17pNv02DXDpQT9S3w4-QeNym2QJy2BzMBqDXp-XtzJBM"", ""'STC'!BJ3:BJ139""),MATCH($D22,IMPORTRANGE(""17pNv02DXDpQT9S3w4-QeNym2QJy2BzMBqDXp-XtzJBM"", ""'STC'!D3:D139""),0))"),218)</f>
        <v>218</v>
      </c>
      <c r="AC22" s="12">
        <f ca="1">IFERROR(__xludf.DUMMYFUNCTION("INDEX(IMPORTRANGE(""17pNv02DXDpQT9S3w4-QeNym2QJy2BzMBqDXp-XtzJBM"", ""'STC'!BK3:BK139""),MATCH($D22,IMPORTRANGE(""17pNv02DXDpQT9S3w4-QeNym2QJy2BzMBqDXp-XtzJBM"", ""'STC'!D3:D139""),0))"),432)</f>
        <v>432</v>
      </c>
      <c r="AD22" s="12">
        <f ca="1">IFERROR(__xludf.DUMMYFUNCTION("INDEX(IMPORTRANGE(""17pNv02DXDpQT9S3w4-QeNym2QJy2BzMBqDXp-XtzJBM"", ""'STC'!BL3:BL139""),MATCH($D22,IMPORTRANGE(""17pNv02DXDpQT9S3w4-QeNym2QJy2BzMBqDXp-XtzJBM"", ""'STC'!D3:D139""),0))"),197)</f>
        <v>197</v>
      </c>
      <c r="AE22" s="12">
        <f ca="1">IFERROR(__xludf.DUMMYFUNCTION("INDEX(IMPORTRANGE(""17pNv02DXDpQT9S3w4-QeNym2QJy2BzMBqDXp-XtzJBM"", ""'STC'!BM3:BM139""),MATCH($D22,IMPORTRANGE(""17pNv02DXDpQT9S3w4-QeNym2QJy2BzMBqDXp-XtzJBM"", ""'STC'!D3:D139""),0))"),358)</f>
        <v>358</v>
      </c>
    </row>
    <row r="23" spans="1:31">
      <c r="A23" s="7" t="s">
        <v>52</v>
      </c>
      <c r="B23" s="7" t="s">
        <v>86</v>
      </c>
      <c r="C23" s="1" t="s">
        <v>36</v>
      </c>
      <c r="D23" s="7" t="s">
        <v>93</v>
      </c>
      <c r="E23" s="9" t="s">
        <v>76</v>
      </c>
      <c r="F23" s="9" t="s">
        <v>94</v>
      </c>
      <c r="G23" s="2" t="s">
        <v>56</v>
      </c>
      <c r="H23" s="2" t="s">
        <v>57</v>
      </c>
      <c r="I23" s="2" t="s">
        <v>362</v>
      </c>
      <c r="J23" s="9" t="s">
        <v>58</v>
      </c>
      <c r="K23" s="9" t="s">
        <v>59</v>
      </c>
      <c r="L23" s="9" t="s">
        <v>60</v>
      </c>
      <c r="M23" s="9" t="s">
        <v>61</v>
      </c>
      <c r="N23" s="9" t="s">
        <v>62</v>
      </c>
      <c r="O23" s="21" t="s">
        <v>363</v>
      </c>
      <c r="P23" s="9" t="s">
        <v>63</v>
      </c>
      <c r="Q23" s="23">
        <f t="shared" ref="Q23:R23" si="8">(Q22/Q$2)*100000</f>
        <v>66.058721594749713</v>
      </c>
      <c r="R23" s="23">
        <f t="shared" si="8"/>
        <v>144.4074379048017</v>
      </c>
      <c r="S23" s="23">
        <f ca="1">IFERROR(__xludf.DUMMYFUNCTION("INDEX(IMPORTRANGE(""17pNv02DXDpQT9S3w4-QeNym2QJy2BzMBqDXp-XtzJBM"", ""'STC'!BG3:BG139""),MATCH($D23,IMPORTRANGE(""17pNv02DXDpQT9S3w4-QeNym2QJy2BzMBqDXp-XtzJBM"", ""'STC'!D3:D139""),0))"),132.731942925264)</f>
        <v>132.73194292526401</v>
      </c>
      <c r="T23" s="2">
        <v>118.6</v>
      </c>
      <c r="U23" s="2">
        <v>42.5</v>
      </c>
      <c r="V23" s="2">
        <v>92.8</v>
      </c>
      <c r="W23" s="2">
        <v>30.6</v>
      </c>
      <c r="X23" s="24">
        <f ca="1">+S23*(1+(Y23-R23)/R23)</f>
        <v>61.582978723404011</v>
      </c>
      <c r="Y23" s="2">
        <v>67</v>
      </c>
      <c r="Z23" s="23">
        <f ca="1">IFERROR(__xludf.DUMMYFUNCTION("INDEX(IMPORTRANGE(""17pNv02DXDpQT9S3w4-QeNym2QJy2BzMBqDXp-XtzJBM"", ""'STC'!BH3:BH139""),MATCH($D23,IMPORTRANGE(""17pNv02DXDpQT9S3w4-QeNym2QJy2BzMBqDXp-XtzJBM"", ""'STC'!D3:D139""),0))"),57.1694435406131)</f>
        <v>57.169443540613102</v>
      </c>
      <c r="AA23" s="23">
        <f ca="1">IFERROR(__xludf.DUMMYFUNCTION("INDEX(IMPORTRANGE(""17pNv02DXDpQT9S3w4-QeNym2QJy2BzMBqDXp-XtzJBM"", ""'STC'!BI3:BI139""),MATCH($D23,IMPORTRANGE(""17pNv02DXDpQT9S3w4-QeNym2QJy2BzMBqDXp-XtzJBM"", ""'STC'!D3:D139""),0))"),146.876815053809)</f>
        <v>146.876815053809</v>
      </c>
      <c r="AB23" s="23">
        <f ca="1">IFERROR(__xludf.DUMMYFUNCTION("INDEX(IMPORTRANGE(""17pNv02DXDpQT9S3w4-QeNym2QJy2BzMBqDXp-XtzJBM"", ""'STC'!BJ3:BJ139""),MATCH($D23,IMPORTRANGE(""17pNv02DXDpQT9S3w4-QeNym2QJy2BzMBqDXp-XtzJBM"", ""'STC'!D3:D139""),0))"),65.6203531458638)</f>
        <v>65.620353145863803</v>
      </c>
      <c r="AC23" s="23">
        <f ca="1">IFERROR(__xludf.DUMMYFUNCTION("INDEX(IMPORTRANGE(""17pNv02DXDpQT9S3w4-QeNym2QJy2BzMBqDXp-XtzJBM"", ""'STC'!BK3:BK139""),MATCH($D23,IMPORTRANGE(""17pNv02DXDpQT9S3w4-QeNym2QJy2BzMBqDXp-XtzJBM"", ""'STC'!D3:D139""),0))"),130.036663114739)</f>
        <v>130.03666311473901</v>
      </c>
      <c r="AD23" s="23">
        <f ca="1">IFERROR(__xludf.DUMMYFUNCTION("INDEX(IMPORTRANGE(""17pNv02DXDpQT9S3w4-QeNym2QJy2BzMBqDXp-XtzJBM"", ""'STC'!BL3:BL139""),MATCH($D23,IMPORTRANGE(""17pNv02DXDpQT9S3w4-QeNym2QJy2BzMBqDXp-XtzJBM"", ""'STC'!D3:D139""),0))"),58.706082188515)</f>
        <v>58.706082188514998</v>
      </c>
      <c r="AE23" s="23">
        <f ca="1">IFERROR(__xludf.DUMMYFUNCTION("INDEX(IMPORTRANGE(""17pNv02DXDpQT9S3w4-QeNym2QJy2BzMBqDXp-XtzJBM"", ""'STC'!BM3:BM139""),MATCH($D23,IMPORTRANGE(""17pNv02DXDpQT9S3w4-QeNym2QJy2BzMBqDXp-XtzJBM"", ""'STC'!D3:D139""),0))"),106.684149357809)</f>
        <v>106.68414935780901</v>
      </c>
    </row>
    <row r="24" spans="1:31">
      <c r="A24" s="7" t="s">
        <v>52</v>
      </c>
      <c r="B24" s="7" t="s">
        <v>86</v>
      </c>
      <c r="C24" s="1" t="s">
        <v>30</v>
      </c>
      <c r="D24" s="7" t="s">
        <v>95</v>
      </c>
      <c r="E24" s="9" t="s">
        <v>76</v>
      </c>
      <c r="F24" s="9" t="s">
        <v>96</v>
      </c>
      <c r="G24" s="2" t="s">
        <v>56</v>
      </c>
      <c r="H24" s="2" t="s">
        <v>57</v>
      </c>
      <c r="I24" s="2" t="s">
        <v>362</v>
      </c>
      <c r="J24" s="9" t="s">
        <v>58</v>
      </c>
      <c r="K24" s="9" t="s">
        <v>59</v>
      </c>
      <c r="L24" s="9" t="s">
        <v>60</v>
      </c>
      <c r="M24" s="9" t="s">
        <v>61</v>
      </c>
      <c r="N24" s="9" t="s">
        <v>62</v>
      </c>
      <c r="O24" s="21" t="s">
        <v>363</v>
      </c>
      <c r="P24" s="9" t="s">
        <v>63</v>
      </c>
      <c r="Q24" s="12">
        <v>3</v>
      </c>
      <c r="R24" s="12">
        <v>11</v>
      </c>
      <c r="S24" s="12">
        <f ca="1">IFERROR(__xludf.DUMMYFUNCTION("INDEX(IMPORTRANGE(""17pNv02DXDpQT9S3w4-QeNym2QJy2BzMBqDXp-XtzJBM"", ""'STC'!BG3:BG139""),MATCH($D24,IMPORTRANGE(""17pNv02DXDpQT9S3w4-QeNym2QJy2BzMBqDXp-XtzJBM"", ""'STC'!D3:D139""),0))"),8)</f>
        <v>8</v>
      </c>
      <c r="T24" s="2"/>
      <c r="U24" s="2"/>
      <c r="V24" s="2"/>
      <c r="W24" s="2"/>
      <c r="X24" s="2"/>
      <c r="Y24" s="2"/>
      <c r="Z24" s="12">
        <f ca="1">IFERROR(__xludf.DUMMYFUNCTION("INDEX(IMPORTRANGE(""17pNv02DXDpQT9S3w4-QeNym2QJy2BzMBqDXp-XtzJBM"", ""'STC'!BH3:BH139""),MATCH($D24,IMPORTRANGE(""17pNv02DXDpQT9S3w4-QeNym2QJy2BzMBqDXp-XtzJBM"", ""'STC'!D3:D139""),0))"),11)</f>
        <v>11</v>
      </c>
      <c r="AA24" s="12">
        <f ca="1">IFERROR(__xludf.DUMMYFUNCTION("INDEX(IMPORTRANGE(""17pNv02DXDpQT9S3w4-QeNym2QJy2BzMBqDXp-XtzJBM"", ""'STC'!BI3:BI139""),MATCH($D24,IMPORTRANGE(""17pNv02DXDpQT9S3w4-QeNym2QJy2BzMBqDXp-XtzJBM"", ""'STC'!D3:D139""),0))"),22)</f>
        <v>22</v>
      </c>
      <c r="AB24" s="12">
        <f ca="1">IFERROR(__xludf.DUMMYFUNCTION("INDEX(IMPORTRANGE(""17pNv02DXDpQT9S3w4-QeNym2QJy2BzMBqDXp-XtzJBM"", ""'STC'!BJ3:BJ139""),MATCH($D24,IMPORTRANGE(""17pNv02DXDpQT9S3w4-QeNym2QJy2BzMBqDXp-XtzJBM"", ""'STC'!D3:D139""),0))"),10)</f>
        <v>10</v>
      </c>
      <c r="AC24" s="12">
        <f ca="1">IFERROR(__xludf.DUMMYFUNCTION("INDEX(IMPORTRANGE(""17pNv02DXDpQT9S3w4-QeNym2QJy2BzMBqDXp-XtzJBM"", ""'STC'!BK3:BK139""),MATCH($D24,IMPORTRANGE(""17pNv02DXDpQT9S3w4-QeNym2QJy2BzMBqDXp-XtzJBM"", ""'STC'!D3:D139""),0))"),27)</f>
        <v>27</v>
      </c>
      <c r="AD24" s="12">
        <f ca="1">IFERROR(__xludf.DUMMYFUNCTION("INDEX(IMPORTRANGE(""17pNv02DXDpQT9S3w4-QeNym2QJy2BzMBqDXp-XtzJBM"", ""'STC'!BL3:BL139""),MATCH($D24,IMPORTRANGE(""17pNv02DXDpQT9S3w4-QeNym2QJy2BzMBqDXp-XtzJBM"", ""'STC'!D3:D139""),0))"),18)</f>
        <v>18</v>
      </c>
      <c r="AE24" s="12">
        <f ca="1">IFERROR(__xludf.DUMMYFUNCTION("INDEX(IMPORTRANGE(""17pNv02DXDpQT9S3w4-QeNym2QJy2BzMBqDXp-XtzJBM"", ""'STC'!BM3:BM139""),MATCH($D24,IMPORTRANGE(""17pNv02DXDpQT9S3w4-QeNym2QJy2BzMBqDXp-XtzJBM"", ""'STC'!D3:D139""),0))"),40)</f>
        <v>40</v>
      </c>
    </row>
    <row r="25" spans="1:31">
      <c r="A25" s="7" t="s">
        <v>52</v>
      </c>
      <c r="B25" s="7" t="s">
        <v>86</v>
      </c>
      <c r="C25" s="1" t="s">
        <v>30</v>
      </c>
      <c r="D25" s="7" t="s">
        <v>97</v>
      </c>
      <c r="E25" s="9" t="s">
        <v>76</v>
      </c>
      <c r="F25" s="9" t="s">
        <v>98</v>
      </c>
      <c r="G25" s="2" t="s">
        <v>56</v>
      </c>
      <c r="H25" s="2" t="s">
        <v>57</v>
      </c>
      <c r="I25" s="2" t="s">
        <v>362</v>
      </c>
      <c r="J25" s="9" t="s">
        <v>58</v>
      </c>
      <c r="K25" s="9" t="s">
        <v>59</v>
      </c>
      <c r="L25" s="9" t="s">
        <v>60</v>
      </c>
      <c r="M25" s="9" t="s">
        <v>61</v>
      </c>
      <c r="N25" s="9" t="s">
        <v>62</v>
      </c>
      <c r="O25" s="21" t="s">
        <v>363</v>
      </c>
      <c r="P25" s="9" t="s">
        <v>63</v>
      </c>
      <c r="Q25" s="12">
        <v>8</v>
      </c>
      <c r="R25" s="12">
        <v>21</v>
      </c>
      <c r="S25" s="12">
        <f ca="1">IFERROR(__xludf.DUMMYFUNCTION("INDEX(IMPORTRANGE(""17pNv02DXDpQT9S3w4-QeNym2QJy2BzMBqDXp-XtzJBM"", ""'STC'!BG3:BG139""),MATCH($D25,IMPORTRANGE(""17pNv02DXDpQT9S3w4-QeNym2QJy2BzMBqDXp-XtzJBM"", ""'STC'!D3:D139""),0))"),19)</f>
        <v>19</v>
      </c>
      <c r="T25" s="2"/>
      <c r="U25" s="2"/>
      <c r="V25" s="2"/>
      <c r="W25" s="2"/>
      <c r="X25" s="2"/>
      <c r="Y25" s="2"/>
      <c r="Z25" s="12">
        <f ca="1">IFERROR(__xludf.DUMMYFUNCTION("INDEX(IMPORTRANGE(""17pNv02DXDpQT9S3w4-QeNym2QJy2BzMBqDXp-XtzJBM"", ""'STC'!BH3:BH139""),MATCH($D25,IMPORTRANGE(""17pNv02DXDpQT9S3w4-QeNym2QJy2BzMBqDXp-XtzJBM"", ""'STC'!D3:D139""),0))"),9)</f>
        <v>9</v>
      </c>
      <c r="AA25" s="12">
        <f ca="1">IFERROR(__xludf.DUMMYFUNCTION("INDEX(IMPORTRANGE(""17pNv02DXDpQT9S3w4-QeNym2QJy2BzMBqDXp-XtzJBM"", ""'STC'!BI3:BI139""),MATCH($D25,IMPORTRANGE(""17pNv02DXDpQT9S3w4-QeNym2QJy2BzMBqDXp-XtzJBM"", ""'STC'!D3:D139""),0))"),34)</f>
        <v>34</v>
      </c>
      <c r="AB25" s="12">
        <f ca="1">IFERROR(__xludf.DUMMYFUNCTION("INDEX(IMPORTRANGE(""17pNv02DXDpQT9S3w4-QeNym2QJy2BzMBqDXp-XtzJBM"", ""'STC'!BJ3:BJ139""),MATCH($D25,IMPORTRANGE(""17pNv02DXDpQT9S3w4-QeNym2QJy2BzMBqDXp-XtzJBM"", ""'STC'!D3:D139""),0))"),20)</f>
        <v>20</v>
      </c>
      <c r="AC25" s="12">
        <f ca="1">IFERROR(__xludf.DUMMYFUNCTION("INDEX(IMPORTRANGE(""17pNv02DXDpQT9S3w4-QeNym2QJy2BzMBqDXp-XtzJBM"", ""'STC'!BK3:BK139""),MATCH($D25,IMPORTRANGE(""17pNv02DXDpQT9S3w4-QeNym2QJy2BzMBqDXp-XtzJBM"", ""'STC'!D3:D139""),0))"),43)</f>
        <v>43</v>
      </c>
      <c r="AD25" s="12">
        <f ca="1">IFERROR(__xludf.DUMMYFUNCTION("INDEX(IMPORTRANGE(""17pNv02DXDpQT9S3w4-QeNym2QJy2BzMBqDXp-XtzJBM"", ""'STC'!BL3:BL139""),MATCH($D25,IMPORTRANGE(""17pNv02DXDpQT9S3w4-QeNym2QJy2BzMBqDXp-XtzJBM"", ""'STC'!D3:D139""),0))"),15)</f>
        <v>15</v>
      </c>
      <c r="AE25" s="12">
        <f ca="1">IFERROR(__xludf.DUMMYFUNCTION("INDEX(IMPORTRANGE(""17pNv02DXDpQT9S3w4-QeNym2QJy2BzMBqDXp-XtzJBM"", ""'STC'!BM3:BM139""),MATCH($D25,IMPORTRANGE(""17pNv02DXDpQT9S3w4-QeNym2QJy2BzMBqDXp-XtzJBM"", ""'STC'!D3:D139""),0))"),31)</f>
        <v>31</v>
      </c>
    </row>
    <row r="26" spans="1:31">
      <c r="A26" s="7" t="s">
        <v>52</v>
      </c>
      <c r="B26" s="7" t="s">
        <v>86</v>
      </c>
      <c r="C26" s="1" t="s">
        <v>30</v>
      </c>
      <c r="D26" s="7" t="s">
        <v>99</v>
      </c>
      <c r="E26" s="9" t="s">
        <v>76</v>
      </c>
      <c r="F26" s="9" t="s">
        <v>100</v>
      </c>
      <c r="G26" s="2" t="s">
        <v>56</v>
      </c>
      <c r="H26" s="2" t="s">
        <v>57</v>
      </c>
      <c r="I26" s="2" t="s">
        <v>362</v>
      </c>
      <c r="J26" s="9" t="s">
        <v>58</v>
      </c>
      <c r="K26" s="9" t="s">
        <v>59</v>
      </c>
      <c r="L26" s="9" t="s">
        <v>60</v>
      </c>
      <c r="M26" s="9" t="s">
        <v>61</v>
      </c>
      <c r="N26" s="9" t="s">
        <v>62</v>
      </c>
      <c r="O26" s="21" t="s">
        <v>363</v>
      </c>
      <c r="P26" s="9" t="s">
        <v>63</v>
      </c>
      <c r="Q26" s="12">
        <v>14</v>
      </c>
      <c r="R26" s="12">
        <v>19</v>
      </c>
      <c r="S26" s="12">
        <f ca="1">IFERROR(__xludf.DUMMYFUNCTION("INDEX(IMPORTRANGE(""17pNv02DXDpQT9S3w4-QeNym2QJy2BzMBqDXp-XtzJBM"", ""'STC'!BG3:BG139""),MATCH($D26,IMPORTRANGE(""17pNv02DXDpQT9S3w4-QeNym2QJy2BzMBqDXp-XtzJBM"", ""'STC'!D3:D139""),0))"),18)</f>
        <v>18</v>
      </c>
      <c r="T26" s="2"/>
      <c r="U26" s="2"/>
      <c r="V26" s="2"/>
      <c r="W26" s="2"/>
      <c r="X26" s="2"/>
      <c r="Y26" s="2"/>
      <c r="Z26" s="12">
        <f ca="1">IFERROR(__xludf.DUMMYFUNCTION("INDEX(IMPORTRANGE(""17pNv02DXDpQT9S3w4-QeNym2QJy2BzMBqDXp-XtzJBM"", ""'STC'!BH3:BH139""),MATCH($D26,IMPORTRANGE(""17pNv02DXDpQT9S3w4-QeNym2QJy2BzMBqDXp-XtzJBM"", ""'STC'!D3:D139""),0))"),10)</f>
        <v>10</v>
      </c>
      <c r="AA26" s="12">
        <f ca="1">IFERROR(__xludf.DUMMYFUNCTION("INDEX(IMPORTRANGE(""17pNv02DXDpQT9S3w4-QeNym2QJy2BzMBqDXp-XtzJBM"", ""'STC'!BI3:BI139""),MATCH($D26,IMPORTRANGE(""17pNv02DXDpQT9S3w4-QeNym2QJy2BzMBqDXp-XtzJBM"", ""'STC'!D3:D139""),0))"),18)</f>
        <v>18</v>
      </c>
      <c r="AB26" s="12">
        <f ca="1">IFERROR(__xludf.DUMMYFUNCTION("INDEX(IMPORTRANGE(""17pNv02DXDpQT9S3w4-QeNym2QJy2BzMBqDXp-XtzJBM"", ""'STC'!BJ3:BJ139""),MATCH($D26,IMPORTRANGE(""17pNv02DXDpQT9S3w4-QeNym2QJy2BzMBqDXp-XtzJBM"", ""'STC'!D3:D139""),0))"),14)</f>
        <v>14</v>
      </c>
      <c r="AC26" s="12">
        <f ca="1">IFERROR(__xludf.DUMMYFUNCTION("INDEX(IMPORTRANGE(""17pNv02DXDpQT9S3w4-QeNym2QJy2BzMBqDXp-XtzJBM"", ""'STC'!BK3:BK139""),MATCH($D26,IMPORTRANGE(""17pNv02DXDpQT9S3w4-QeNym2QJy2BzMBqDXp-XtzJBM"", ""'STC'!D3:D139""),0))"),29)</f>
        <v>29</v>
      </c>
      <c r="AD26" s="12">
        <f ca="1">IFERROR(__xludf.DUMMYFUNCTION("INDEX(IMPORTRANGE(""17pNv02DXDpQT9S3w4-QeNym2QJy2BzMBqDXp-XtzJBM"", ""'STC'!BL3:BL139""),MATCH($D26,IMPORTRANGE(""17pNv02DXDpQT9S3w4-QeNym2QJy2BzMBqDXp-XtzJBM"", ""'STC'!D3:D139""),0))"),5)</f>
        <v>5</v>
      </c>
      <c r="AE26" s="12">
        <f ca="1">IFERROR(__xludf.DUMMYFUNCTION("INDEX(IMPORTRANGE(""17pNv02DXDpQT9S3w4-QeNym2QJy2BzMBqDXp-XtzJBM"", ""'STC'!BM3:BM139""),MATCH($D26,IMPORTRANGE(""17pNv02DXDpQT9S3w4-QeNym2QJy2BzMBqDXp-XtzJBM"", ""'STC'!D3:D139""),0))"),11)</f>
        <v>11</v>
      </c>
    </row>
    <row r="27" spans="1:31">
      <c r="A27" s="7" t="s">
        <v>52</v>
      </c>
      <c r="B27" s="7" t="s">
        <v>86</v>
      </c>
      <c r="C27" s="1" t="s">
        <v>30</v>
      </c>
      <c r="D27" s="7" t="s">
        <v>101</v>
      </c>
      <c r="E27" s="9" t="s">
        <v>76</v>
      </c>
      <c r="F27" s="9" t="s">
        <v>102</v>
      </c>
      <c r="G27" s="2" t="s">
        <v>56</v>
      </c>
      <c r="H27" s="2" t="s">
        <v>57</v>
      </c>
      <c r="I27" s="2" t="s">
        <v>362</v>
      </c>
      <c r="J27" s="9" t="s">
        <v>58</v>
      </c>
      <c r="K27" s="9" t="s">
        <v>59</v>
      </c>
      <c r="L27" s="9" t="s">
        <v>60</v>
      </c>
      <c r="M27" s="9" t="s">
        <v>61</v>
      </c>
      <c r="N27" s="9" t="s">
        <v>62</v>
      </c>
      <c r="O27" s="21" t="s">
        <v>363</v>
      </c>
      <c r="P27" s="9" t="s">
        <v>63</v>
      </c>
      <c r="Q27" s="12">
        <v>1</v>
      </c>
      <c r="R27" s="12">
        <v>1</v>
      </c>
      <c r="S27" s="12">
        <f ca="1">IFERROR(__xludf.DUMMYFUNCTION("INDEX(IMPORTRANGE(""17pNv02DXDpQT9S3w4-QeNym2QJy2BzMBqDXp-XtzJBM"", ""'STC'!BG3:BG139""),MATCH($D27,IMPORTRANGE(""17pNv02DXDpQT9S3w4-QeNym2QJy2BzMBqDXp-XtzJBM"", ""'STC'!D3:D139""),0))"),1)</f>
        <v>1</v>
      </c>
      <c r="T27" s="2"/>
      <c r="U27" s="2"/>
      <c r="V27" s="2"/>
      <c r="W27" s="2"/>
      <c r="X27" s="2"/>
      <c r="Y27" s="2"/>
      <c r="Z27" s="12">
        <f ca="1">IFERROR(__xludf.DUMMYFUNCTION("INDEX(IMPORTRANGE(""17pNv02DXDpQT9S3w4-QeNym2QJy2BzMBqDXp-XtzJBM"", ""'STC'!BH3:BH139""),MATCH($D27,IMPORTRANGE(""17pNv02DXDpQT9S3w4-QeNym2QJy2BzMBqDXp-XtzJBM"", ""'STC'!D3:D139""),0))"),1)</f>
        <v>1</v>
      </c>
      <c r="AA27" s="12">
        <f ca="1">IFERROR(__xludf.DUMMYFUNCTION("INDEX(IMPORTRANGE(""17pNv02DXDpQT9S3w4-QeNym2QJy2BzMBqDXp-XtzJBM"", ""'STC'!BI3:BI139""),MATCH($D27,IMPORTRANGE(""17pNv02DXDpQT9S3w4-QeNym2QJy2BzMBqDXp-XtzJBM"", ""'STC'!D3:D139""),0))"),2)</f>
        <v>2</v>
      </c>
      <c r="AB27" s="12">
        <f ca="1">IFERROR(__xludf.DUMMYFUNCTION("INDEX(IMPORTRANGE(""17pNv02DXDpQT9S3w4-QeNym2QJy2BzMBqDXp-XtzJBM"", ""'STC'!BJ3:BJ139""),MATCH($D27,IMPORTRANGE(""17pNv02DXDpQT9S3w4-QeNym2QJy2BzMBqDXp-XtzJBM"", ""'STC'!D3:D139""),0))"),0)</f>
        <v>0</v>
      </c>
      <c r="AC27" s="12">
        <f ca="1">IFERROR(__xludf.DUMMYFUNCTION("INDEX(IMPORTRANGE(""17pNv02DXDpQT9S3w4-QeNym2QJy2BzMBqDXp-XtzJBM"", ""'STC'!BK3:BK139""),MATCH($D27,IMPORTRANGE(""17pNv02DXDpQT9S3w4-QeNym2QJy2BzMBqDXp-XtzJBM"", ""'STC'!D3:D139""),0))"),0)</f>
        <v>0</v>
      </c>
      <c r="AD27" s="12">
        <f ca="1">IFERROR(__xludf.DUMMYFUNCTION("INDEX(IMPORTRANGE(""17pNv02DXDpQT9S3w4-QeNym2QJy2BzMBqDXp-XtzJBM"", ""'STC'!BL3:BL139""),MATCH($D27,IMPORTRANGE(""17pNv02DXDpQT9S3w4-QeNym2QJy2BzMBqDXp-XtzJBM"", ""'STC'!D3:D139""),0))"),0)</f>
        <v>0</v>
      </c>
      <c r="AE27" s="12">
        <f ca="1">IFERROR(__xludf.DUMMYFUNCTION("INDEX(IMPORTRANGE(""17pNv02DXDpQT9S3w4-QeNym2QJy2BzMBqDXp-XtzJBM"", ""'STC'!BM3:BM139""),MATCH($D27,IMPORTRANGE(""17pNv02DXDpQT9S3w4-QeNym2QJy2BzMBqDXp-XtzJBM"", ""'STC'!D3:D139""),0))"),0)</f>
        <v>0</v>
      </c>
    </row>
    <row r="28" spans="1:31">
      <c r="A28" s="7" t="s">
        <v>52</v>
      </c>
      <c r="B28" s="7" t="s">
        <v>86</v>
      </c>
      <c r="C28" s="1" t="s">
        <v>30</v>
      </c>
      <c r="D28" s="7" t="s">
        <v>103</v>
      </c>
      <c r="E28" s="9" t="s">
        <v>76</v>
      </c>
      <c r="F28" s="9" t="s">
        <v>104</v>
      </c>
      <c r="G28" s="2" t="s">
        <v>56</v>
      </c>
      <c r="H28" s="2" t="s">
        <v>57</v>
      </c>
      <c r="I28" s="2" t="s">
        <v>362</v>
      </c>
      <c r="J28" s="9" t="s">
        <v>58</v>
      </c>
      <c r="K28" s="9" t="s">
        <v>59</v>
      </c>
      <c r="L28" s="9" t="s">
        <v>60</v>
      </c>
      <c r="M28" s="9" t="s">
        <v>61</v>
      </c>
      <c r="N28" s="9" t="s">
        <v>62</v>
      </c>
      <c r="O28" s="21" t="s">
        <v>363</v>
      </c>
      <c r="P28" s="9" t="s">
        <v>63</v>
      </c>
      <c r="Q28" s="12">
        <v>0</v>
      </c>
      <c r="R28" s="12">
        <v>1</v>
      </c>
      <c r="S28" s="12">
        <f ca="1">IFERROR(__xludf.DUMMYFUNCTION("INDEX(IMPORTRANGE(""17pNv02DXDpQT9S3w4-QeNym2QJy2BzMBqDXp-XtzJBM"", ""'STC'!BG3:BG139""),MATCH($D28,IMPORTRANGE(""17pNv02DXDpQT9S3w4-QeNym2QJy2BzMBqDXp-XtzJBM"", ""'STC'!D3:D139""),0))"),0)</f>
        <v>0</v>
      </c>
      <c r="T28" s="2"/>
      <c r="U28" s="2"/>
      <c r="V28" s="2"/>
      <c r="W28" s="2"/>
      <c r="X28" s="2"/>
      <c r="Y28" s="2"/>
      <c r="Z28" s="12">
        <f ca="1">IFERROR(__xludf.DUMMYFUNCTION("INDEX(IMPORTRANGE(""17pNv02DXDpQT9S3w4-QeNym2QJy2BzMBqDXp-XtzJBM"", ""'STC'!BH3:BH139""),MATCH($D28,IMPORTRANGE(""17pNv02DXDpQT9S3w4-QeNym2QJy2BzMBqDXp-XtzJBM"", ""'STC'!D3:D139""),0))"),0)</f>
        <v>0</v>
      </c>
      <c r="AA28" s="12">
        <f ca="1">IFERROR(__xludf.DUMMYFUNCTION("INDEX(IMPORTRANGE(""17pNv02DXDpQT9S3w4-QeNym2QJy2BzMBqDXp-XtzJBM"", ""'STC'!BI3:BI139""),MATCH($D28,IMPORTRANGE(""17pNv02DXDpQT9S3w4-QeNym2QJy2BzMBqDXp-XtzJBM"", ""'STC'!D3:D139""),0))"),0)</f>
        <v>0</v>
      </c>
      <c r="AB28" s="12">
        <f ca="1">IFERROR(__xludf.DUMMYFUNCTION("INDEX(IMPORTRANGE(""17pNv02DXDpQT9S3w4-QeNym2QJy2BzMBqDXp-XtzJBM"", ""'STC'!BJ3:BJ139""),MATCH($D28,IMPORTRANGE(""17pNv02DXDpQT9S3w4-QeNym2QJy2BzMBqDXp-XtzJBM"", ""'STC'!D3:D139""),0))"),0)</f>
        <v>0</v>
      </c>
      <c r="AC28" s="12">
        <f ca="1">IFERROR(__xludf.DUMMYFUNCTION("INDEX(IMPORTRANGE(""17pNv02DXDpQT9S3w4-QeNym2QJy2BzMBqDXp-XtzJBM"", ""'STC'!BK3:BK139""),MATCH($D28,IMPORTRANGE(""17pNv02DXDpQT9S3w4-QeNym2QJy2BzMBqDXp-XtzJBM"", ""'STC'!D3:D139""),0))"),3)</f>
        <v>3</v>
      </c>
      <c r="AD28" s="12">
        <f ca="1">IFERROR(__xludf.DUMMYFUNCTION("INDEX(IMPORTRANGE(""17pNv02DXDpQT9S3w4-QeNym2QJy2BzMBqDXp-XtzJBM"", ""'STC'!BL3:BL139""),MATCH($D28,IMPORTRANGE(""17pNv02DXDpQT9S3w4-QeNym2QJy2BzMBqDXp-XtzJBM"", ""'STC'!D3:D139""),0))"),1)</f>
        <v>1</v>
      </c>
      <c r="AE28" s="12">
        <f ca="1">IFERROR(__xludf.DUMMYFUNCTION("INDEX(IMPORTRANGE(""17pNv02DXDpQT9S3w4-QeNym2QJy2BzMBqDXp-XtzJBM"", ""'STC'!BM3:BM139""),MATCH($D28,IMPORTRANGE(""17pNv02DXDpQT9S3w4-QeNym2QJy2BzMBqDXp-XtzJBM"", ""'STC'!D3:D139""),0))"),2)</f>
        <v>2</v>
      </c>
    </row>
    <row r="29" spans="1:31">
      <c r="A29" s="7" t="s">
        <v>52</v>
      </c>
      <c r="B29" s="7" t="s">
        <v>86</v>
      </c>
      <c r="C29" s="1" t="s">
        <v>30</v>
      </c>
      <c r="D29" s="7" t="s">
        <v>105</v>
      </c>
      <c r="E29" s="9" t="s">
        <v>76</v>
      </c>
      <c r="F29" s="9" t="s">
        <v>106</v>
      </c>
      <c r="G29" s="2" t="s">
        <v>56</v>
      </c>
      <c r="H29" s="2" t="s">
        <v>57</v>
      </c>
      <c r="I29" s="2" t="s">
        <v>362</v>
      </c>
      <c r="J29" s="9" t="s">
        <v>58</v>
      </c>
      <c r="K29" s="9" t="s">
        <v>59</v>
      </c>
      <c r="L29" s="9" t="s">
        <v>60</v>
      </c>
      <c r="M29" s="9" t="s">
        <v>61</v>
      </c>
      <c r="N29" s="9" t="s">
        <v>62</v>
      </c>
      <c r="O29" s="21" t="s">
        <v>363</v>
      </c>
      <c r="P29" s="9" t="s">
        <v>63</v>
      </c>
      <c r="Q29" s="12">
        <v>0</v>
      </c>
      <c r="R29" s="12">
        <v>0</v>
      </c>
      <c r="S29" s="12">
        <f ca="1">IFERROR(__xludf.DUMMYFUNCTION("INDEX(IMPORTRANGE(""17pNv02DXDpQT9S3w4-QeNym2QJy2BzMBqDXp-XtzJBM"", ""'STC'!BG3:BG139""),MATCH($D29,IMPORTRANGE(""17pNv02DXDpQT9S3w4-QeNym2QJy2BzMBqDXp-XtzJBM"", ""'STC'!D3:D139""),0))"),0)</f>
        <v>0</v>
      </c>
      <c r="T29" s="2"/>
      <c r="U29" s="2"/>
      <c r="V29" s="2"/>
      <c r="W29" s="2"/>
      <c r="X29" s="2"/>
      <c r="Y29" s="2"/>
      <c r="Z29" s="12">
        <f ca="1">IFERROR(__xludf.DUMMYFUNCTION("INDEX(IMPORTRANGE(""17pNv02DXDpQT9S3w4-QeNym2QJy2BzMBqDXp-XtzJBM"", ""'STC'!BH3:BH139""),MATCH($D29,IMPORTRANGE(""17pNv02DXDpQT9S3w4-QeNym2QJy2BzMBqDXp-XtzJBM"", ""'STC'!D3:D139""),0))"),0)</f>
        <v>0</v>
      </c>
      <c r="AA29" s="12">
        <f ca="1">IFERROR(__xludf.DUMMYFUNCTION("INDEX(IMPORTRANGE(""17pNv02DXDpQT9S3w4-QeNym2QJy2BzMBqDXp-XtzJBM"", ""'STC'!BI3:BI139""),MATCH($D29,IMPORTRANGE(""17pNv02DXDpQT9S3w4-QeNym2QJy2BzMBqDXp-XtzJBM"", ""'STC'!D3:D139""),0))"),0)</f>
        <v>0</v>
      </c>
      <c r="AB29" s="12">
        <f ca="1">IFERROR(__xludf.DUMMYFUNCTION("INDEX(IMPORTRANGE(""17pNv02DXDpQT9S3w4-QeNym2QJy2BzMBqDXp-XtzJBM"", ""'STC'!BJ3:BJ139""),MATCH($D29,IMPORTRANGE(""17pNv02DXDpQT9S3w4-QeNym2QJy2BzMBqDXp-XtzJBM"", ""'STC'!D3:D139""),0))"),0)</f>
        <v>0</v>
      </c>
      <c r="AC29" s="12">
        <f ca="1">IFERROR(__xludf.DUMMYFUNCTION("INDEX(IMPORTRANGE(""17pNv02DXDpQT9S3w4-QeNym2QJy2BzMBqDXp-XtzJBM"", ""'STC'!BK3:BK139""),MATCH($D29,IMPORTRANGE(""17pNv02DXDpQT9S3w4-QeNym2QJy2BzMBqDXp-XtzJBM"", ""'STC'!D3:D139""),0))"),0)</f>
        <v>0</v>
      </c>
      <c r="AD29" s="12">
        <f ca="1">IFERROR(__xludf.DUMMYFUNCTION("INDEX(IMPORTRANGE(""17pNv02DXDpQT9S3w4-QeNym2QJy2BzMBqDXp-XtzJBM"", ""'STC'!BL3:BL139""),MATCH($D29,IMPORTRANGE(""17pNv02DXDpQT9S3w4-QeNym2QJy2BzMBqDXp-XtzJBM"", ""'STC'!D3:D139""),0))"),0)</f>
        <v>0</v>
      </c>
      <c r="AE29" s="12">
        <f ca="1">IFERROR(__xludf.DUMMYFUNCTION("INDEX(IMPORTRANGE(""17pNv02DXDpQT9S3w4-QeNym2QJy2BzMBqDXp-XtzJBM"", ""'STC'!BM3:BM139""),MATCH($D29,IMPORTRANGE(""17pNv02DXDpQT9S3w4-QeNym2QJy2BzMBqDXp-XtzJBM"", ""'STC'!D3:D139""),0))"),0)</f>
        <v>0</v>
      </c>
    </row>
    <row r="30" spans="1:31">
      <c r="A30" s="7" t="s">
        <v>52</v>
      </c>
      <c r="B30" s="7" t="s">
        <v>86</v>
      </c>
      <c r="C30" s="1" t="s">
        <v>30</v>
      </c>
      <c r="D30" s="7" t="s">
        <v>107</v>
      </c>
      <c r="E30" s="9" t="s">
        <v>76</v>
      </c>
      <c r="F30" s="9" t="s">
        <v>108</v>
      </c>
      <c r="G30" s="2" t="s">
        <v>56</v>
      </c>
      <c r="H30" s="2" t="s">
        <v>57</v>
      </c>
      <c r="I30" s="2" t="s">
        <v>362</v>
      </c>
      <c r="J30" s="9" t="s">
        <v>58</v>
      </c>
      <c r="K30" s="9" t="s">
        <v>59</v>
      </c>
      <c r="L30" s="9" t="s">
        <v>60</v>
      </c>
      <c r="M30" s="9" t="s">
        <v>61</v>
      </c>
      <c r="N30" s="9" t="s">
        <v>62</v>
      </c>
      <c r="O30" s="21" t="s">
        <v>363</v>
      </c>
      <c r="P30" s="9" t="s">
        <v>63</v>
      </c>
      <c r="Q30" s="12">
        <v>2</v>
      </c>
      <c r="R30" s="12">
        <v>6</v>
      </c>
      <c r="S30" s="12">
        <f ca="1">IFERROR(__xludf.DUMMYFUNCTION("INDEX(IMPORTRANGE(""17pNv02DXDpQT9S3w4-QeNym2QJy2BzMBqDXp-XtzJBM"", ""'STC'!BG3:BG139""),MATCH($D30,IMPORTRANGE(""17pNv02DXDpQT9S3w4-QeNym2QJy2BzMBqDXp-XtzJBM"", ""'STC'!D3:D139""),0))"),4)</f>
        <v>4</v>
      </c>
      <c r="T30" s="2"/>
      <c r="U30" s="2"/>
      <c r="V30" s="2"/>
      <c r="W30" s="2"/>
      <c r="X30" s="2"/>
      <c r="Y30" s="2"/>
      <c r="Z30" s="12">
        <f ca="1">IFERROR(__xludf.DUMMYFUNCTION("INDEX(IMPORTRANGE(""17pNv02DXDpQT9S3w4-QeNym2QJy2BzMBqDXp-XtzJBM"", ""'STC'!BH3:BH139""),MATCH($D30,IMPORTRANGE(""17pNv02DXDpQT9S3w4-QeNym2QJy2BzMBqDXp-XtzJBM"", ""'STC'!D3:D139""),0))"),0)</f>
        <v>0</v>
      </c>
      <c r="AA30" s="12">
        <f ca="1">IFERROR(__xludf.DUMMYFUNCTION("INDEX(IMPORTRANGE(""17pNv02DXDpQT9S3w4-QeNym2QJy2BzMBqDXp-XtzJBM"", ""'STC'!BI3:BI139""),MATCH($D30,IMPORTRANGE(""17pNv02DXDpQT9S3w4-QeNym2QJy2BzMBqDXp-XtzJBM"", ""'STC'!D3:D139""),0))"),3)</f>
        <v>3</v>
      </c>
      <c r="AB30" s="12">
        <f ca="1">IFERROR(__xludf.DUMMYFUNCTION("INDEX(IMPORTRANGE(""17pNv02DXDpQT9S3w4-QeNym2QJy2BzMBqDXp-XtzJBM"", ""'STC'!BJ3:BJ139""),MATCH($D30,IMPORTRANGE(""17pNv02DXDpQT9S3w4-QeNym2QJy2BzMBqDXp-XtzJBM"", ""'STC'!D3:D139""),0))"),4)</f>
        <v>4</v>
      </c>
      <c r="AC30" s="12">
        <f ca="1">IFERROR(__xludf.DUMMYFUNCTION("INDEX(IMPORTRANGE(""17pNv02DXDpQT9S3w4-QeNym2QJy2BzMBqDXp-XtzJBM"", ""'STC'!BK3:BK139""),MATCH($D30,IMPORTRANGE(""17pNv02DXDpQT9S3w4-QeNym2QJy2BzMBqDXp-XtzJBM"", ""'STC'!D3:D139""),0))"),13)</f>
        <v>13</v>
      </c>
      <c r="AD30" s="12">
        <f ca="1">IFERROR(__xludf.DUMMYFUNCTION("INDEX(IMPORTRANGE(""17pNv02DXDpQT9S3w4-QeNym2QJy2BzMBqDXp-XtzJBM"", ""'STC'!BL3:BL139""),MATCH($D30,IMPORTRANGE(""17pNv02DXDpQT9S3w4-QeNym2QJy2BzMBqDXp-XtzJBM"", ""'STC'!D3:D139""),0))"),6)</f>
        <v>6</v>
      </c>
      <c r="AE30" s="12">
        <f ca="1">IFERROR(__xludf.DUMMYFUNCTION("INDEX(IMPORTRANGE(""17pNv02DXDpQT9S3w4-QeNym2QJy2BzMBqDXp-XtzJBM"", ""'STC'!BM3:BM139""),MATCH($D30,IMPORTRANGE(""17pNv02DXDpQT9S3w4-QeNym2QJy2BzMBqDXp-XtzJBM"", ""'STC'!D3:D139""),0))"),9)</f>
        <v>9</v>
      </c>
    </row>
    <row r="31" spans="1:31">
      <c r="A31" s="7" t="s">
        <v>52</v>
      </c>
      <c r="B31" s="7" t="s">
        <v>86</v>
      </c>
      <c r="C31" s="1" t="s">
        <v>30</v>
      </c>
      <c r="D31" s="7" t="s">
        <v>109</v>
      </c>
      <c r="E31" s="9" t="s">
        <v>76</v>
      </c>
      <c r="F31" s="9" t="s">
        <v>110</v>
      </c>
      <c r="G31" s="2" t="s">
        <v>56</v>
      </c>
      <c r="H31" s="2" t="s">
        <v>57</v>
      </c>
      <c r="I31" s="2" t="s">
        <v>362</v>
      </c>
      <c r="J31" s="9" t="s">
        <v>58</v>
      </c>
      <c r="K31" s="9" t="s">
        <v>59</v>
      </c>
      <c r="L31" s="9" t="s">
        <v>60</v>
      </c>
      <c r="M31" s="9" t="s">
        <v>61</v>
      </c>
      <c r="N31" s="9" t="s">
        <v>62</v>
      </c>
      <c r="O31" s="21" t="s">
        <v>363</v>
      </c>
      <c r="P31" s="9" t="s">
        <v>63</v>
      </c>
      <c r="Q31" s="12">
        <v>0</v>
      </c>
      <c r="R31" s="12">
        <v>0</v>
      </c>
      <c r="S31" s="12">
        <f ca="1">IFERROR(__xludf.DUMMYFUNCTION("INDEX(IMPORTRANGE(""17pNv02DXDpQT9S3w4-QeNym2QJy2BzMBqDXp-XtzJBM"", ""'STC'!BG3:BG139""),MATCH($D31,IMPORTRANGE(""17pNv02DXDpQT9S3w4-QeNym2QJy2BzMBqDXp-XtzJBM"", ""'STC'!D3:D139""),0))"),0)</f>
        <v>0</v>
      </c>
      <c r="T31" s="2"/>
      <c r="U31" s="2"/>
      <c r="V31" s="2"/>
      <c r="W31" s="2"/>
      <c r="X31" s="2"/>
      <c r="Y31" s="2"/>
      <c r="Z31" s="12">
        <f ca="1">IFERROR(__xludf.DUMMYFUNCTION("INDEX(IMPORTRANGE(""17pNv02DXDpQT9S3w4-QeNym2QJy2BzMBqDXp-XtzJBM"", ""'STC'!BH3:BH139""),MATCH($D31,IMPORTRANGE(""17pNv02DXDpQT9S3w4-QeNym2QJy2BzMBqDXp-XtzJBM"", ""'STC'!D3:D139""),0))"),1)</f>
        <v>1</v>
      </c>
      <c r="AA31" s="12">
        <f ca="1">IFERROR(__xludf.DUMMYFUNCTION("INDEX(IMPORTRANGE(""17pNv02DXDpQT9S3w4-QeNym2QJy2BzMBqDXp-XtzJBM"", ""'STC'!BI3:BI139""),MATCH($D31,IMPORTRANGE(""17pNv02DXDpQT9S3w4-QeNym2QJy2BzMBqDXp-XtzJBM"", ""'STC'!D3:D139""),0))"),2)</f>
        <v>2</v>
      </c>
      <c r="AB31" s="12">
        <f ca="1">IFERROR(__xludf.DUMMYFUNCTION("INDEX(IMPORTRANGE(""17pNv02DXDpQT9S3w4-QeNym2QJy2BzMBqDXp-XtzJBM"", ""'STC'!BJ3:BJ139""),MATCH($D31,IMPORTRANGE(""17pNv02DXDpQT9S3w4-QeNym2QJy2BzMBqDXp-XtzJBM"", ""'STC'!D3:D139""),0))"),0)</f>
        <v>0</v>
      </c>
      <c r="AC31" s="12">
        <f ca="1">IFERROR(__xludf.DUMMYFUNCTION("INDEX(IMPORTRANGE(""17pNv02DXDpQT9S3w4-QeNym2QJy2BzMBqDXp-XtzJBM"", ""'STC'!BK3:BK139""),MATCH($D31,IMPORTRANGE(""17pNv02DXDpQT9S3w4-QeNym2QJy2BzMBqDXp-XtzJBM"", ""'STC'!D3:D139""),0))"),0)</f>
        <v>0</v>
      </c>
      <c r="AD31" s="12">
        <f ca="1">IFERROR(__xludf.DUMMYFUNCTION("INDEX(IMPORTRANGE(""17pNv02DXDpQT9S3w4-QeNym2QJy2BzMBqDXp-XtzJBM"", ""'STC'!BL3:BL139""),MATCH($D31,IMPORTRANGE(""17pNv02DXDpQT9S3w4-QeNym2QJy2BzMBqDXp-XtzJBM"", ""'STC'!D3:D139""),0))"),0)</f>
        <v>0</v>
      </c>
      <c r="AE31" s="12">
        <f ca="1">IFERROR(__xludf.DUMMYFUNCTION("INDEX(IMPORTRANGE(""17pNv02DXDpQT9S3w4-QeNym2QJy2BzMBqDXp-XtzJBM"", ""'STC'!BM3:BM139""),MATCH($D31,IMPORTRANGE(""17pNv02DXDpQT9S3w4-QeNym2QJy2BzMBqDXp-XtzJBM"", ""'STC'!D3:D139""),0))"),0)</f>
        <v>0</v>
      </c>
    </row>
    <row r="32" spans="1:31">
      <c r="A32" s="7" t="s">
        <v>52</v>
      </c>
      <c r="B32" s="7" t="s">
        <v>86</v>
      </c>
      <c r="C32" s="1" t="s">
        <v>30</v>
      </c>
      <c r="D32" s="7" t="s">
        <v>111</v>
      </c>
      <c r="E32" s="9" t="s">
        <v>76</v>
      </c>
      <c r="F32" s="9" t="s">
        <v>112</v>
      </c>
      <c r="G32" s="2" t="s">
        <v>56</v>
      </c>
      <c r="H32" s="2" t="s">
        <v>57</v>
      </c>
      <c r="I32" s="2" t="s">
        <v>362</v>
      </c>
      <c r="J32" s="9" t="s">
        <v>58</v>
      </c>
      <c r="K32" s="9" t="s">
        <v>59</v>
      </c>
      <c r="L32" s="9" t="s">
        <v>60</v>
      </c>
      <c r="M32" s="9" t="s">
        <v>61</v>
      </c>
      <c r="N32" s="9" t="s">
        <v>62</v>
      </c>
      <c r="O32" s="21" t="s">
        <v>363</v>
      </c>
      <c r="P32" s="9" t="s">
        <v>63</v>
      </c>
      <c r="Q32" s="12">
        <v>0</v>
      </c>
      <c r="R32" s="12">
        <v>0</v>
      </c>
      <c r="S32" s="12">
        <f ca="1">IFERROR(__xludf.DUMMYFUNCTION("INDEX(IMPORTRANGE(""17pNv02DXDpQT9S3w4-QeNym2QJy2BzMBqDXp-XtzJBM"", ""'STC'!BG3:BG139""),MATCH($D32,IMPORTRANGE(""17pNv02DXDpQT9S3w4-QeNym2QJy2BzMBqDXp-XtzJBM"", ""'STC'!D3:D139""),0))"),0)</f>
        <v>0</v>
      </c>
      <c r="T32" s="2"/>
      <c r="U32" s="2"/>
      <c r="V32" s="2"/>
      <c r="W32" s="2"/>
      <c r="X32" s="2"/>
      <c r="Y32" s="2"/>
      <c r="Z32" s="12">
        <f ca="1">IFERROR(__xludf.DUMMYFUNCTION("INDEX(IMPORTRANGE(""17pNv02DXDpQT9S3w4-QeNym2QJy2BzMBqDXp-XtzJBM"", ""'STC'!BH3:BH139""),MATCH($D32,IMPORTRANGE(""17pNv02DXDpQT9S3w4-QeNym2QJy2BzMBqDXp-XtzJBM"", ""'STC'!D3:D139""),0))"),0)</f>
        <v>0</v>
      </c>
      <c r="AA32" s="12">
        <f ca="1">IFERROR(__xludf.DUMMYFUNCTION("INDEX(IMPORTRANGE(""17pNv02DXDpQT9S3w4-QeNym2QJy2BzMBqDXp-XtzJBM"", ""'STC'!BI3:BI139""),MATCH($D32,IMPORTRANGE(""17pNv02DXDpQT9S3w4-QeNym2QJy2BzMBqDXp-XtzJBM"", ""'STC'!D3:D139""),0))"),0)</f>
        <v>0</v>
      </c>
      <c r="AB32" s="12">
        <f ca="1">IFERROR(__xludf.DUMMYFUNCTION("INDEX(IMPORTRANGE(""17pNv02DXDpQT9S3w4-QeNym2QJy2BzMBqDXp-XtzJBM"", ""'STC'!BJ3:BJ139""),MATCH($D32,IMPORTRANGE(""17pNv02DXDpQT9S3w4-QeNym2QJy2BzMBqDXp-XtzJBM"", ""'STC'!D3:D139""),0))"),0)</f>
        <v>0</v>
      </c>
      <c r="AC32" s="12">
        <f ca="1">IFERROR(__xludf.DUMMYFUNCTION("INDEX(IMPORTRANGE(""17pNv02DXDpQT9S3w4-QeNym2QJy2BzMBqDXp-XtzJBM"", ""'STC'!BK3:BK139""),MATCH($D32,IMPORTRANGE(""17pNv02DXDpQT9S3w4-QeNym2QJy2BzMBqDXp-XtzJBM"", ""'STC'!D3:D139""),0))"),0)</f>
        <v>0</v>
      </c>
      <c r="AD32" s="12">
        <f ca="1">IFERROR(__xludf.DUMMYFUNCTION("INDEX(IMPORTRANGE(""17pNv02DXDpQT9S3w4-QeNym2QJy2BzMBqDXp-XtzJBM"", ""'STC'!BL3:BL139""),MATCH($D32,IMPORTRANGE(""17pNv02DXDpQT9S3w4-QeNym2QJy2BzMBqDXp-XtzJBM"", ""'STC'!D3:D139""),0))"),0)</f>
        <v>0</v>
      </c>
      <c r="AE32" s="12">
        <f ca="1">IFERROR(__xludf.DUMMYFUNCTION("INDEX(IMPORTRANGE(""17pNv02DXDpQT9S3w4-QeNym2QJy2BzMBqDXp-XtzJBM"", ""'STC'!BM3:BM139""),MATCH($D32,IMPORTRANGE(""17pNv02DXDpQT9S3w4-QeNym2QJy2BzMBqDXp-XtzJBM"", ""'STC'!D3:D139""),0))"),0)</f>
        <v>0</v>
      </c>
    </row>
    <row r="33" spans="1:31">
      <c r="A33" s="7" t="s">
        <v>52</v>
      </c>
      <c r="B33" s="7" t="s">
        <v>86</v>
      </c>
      <c r="C33" s="1" t="s">
        <v>30</v>
      </c>
      <c r="D33" s="7" t="s">
        <v>113</v>
      </c>
      <c r="E33" s="9" t="s">
        <v>76</v>
      </c>
      <c r="F33" s="9" t="s">
        <v>114</v>
      </c>
      <c r="G33" s="2" t="s">
        <v>56</v>
      </c>
      <c r="H33" s="2" t="s">
        <v>57</v>
      </c>
      <c r="I33" s="2" t="s">
        <v>362</v>
      </c>
      <c r="J33" s="9" t="s">
        <v>58</v>
      </c>
      <c r="K33" s="9" t="s">
        <v>59</v>
      </c>
      <c r="L33" s="9" t="s">
        <v>60</v>
      </c>
      <c r="M33" s="9" t="s">
        <v>61</v>
      </c>
      <c r="N33" s="9" t="s">
        <v>62</v>
      </c>
      <c r="O33" s="21" t="s">
        <v>363</v>
      </c>
      <c r="P33" s="9" t="s">
        <v>63</v>
      </c>
      <c r="Q33" s="12">
        <v>0</v>
      </c>
      <c r="R33" s="12">
        <v>0</v>
      </c>
      <c r="S33" s="12">
        <f ca="1">IFERROR(__xludf.DUMMYFUNCTION("INDEX(IMPORTRANGE(""17pNv02DXDpQT9S3w4-QeNym2QJy2BzMBqDXp-XtzJBM"", ""'STC'!BG3:BG139""),MATCH($D33,IMPORTRANGE(""17pNv02DXDpQT9S3w4-QeNym2QJy2BzMBqDXp-XtzJBM"", ""'STC'!D3:D139""),0))"),0)</f>
        <v>0</v>
      </c>
      <c r="T33" s="2"/>
      <c r="U33" s="2"/>
      <c r="V33" s="2"/>
      <c r="W33" s="2"/>
      <c r="X33" s="2"/>
      <c r="Y33" s="2"/>
      <c r="Z33" s="12">
        <f ca="1">IFERROR(__xludf.DUMMYFUNCTION("INDEX(IMPORTRANGE(""17pNv02DXDpQT9S3w4-QeNym2QJy2BzMBqDXp-XtzJBM"", ""'STC'!BH3:BH139""),MATCH($D33,IMPORTRANGE(""17pNv02DXDpQT9S3w4-QeNym2QJy2BzMBqDXp-XtzJBM"", ""'STC'!D3:D139""),0))"),4)</f>
        <v>4</v>
      </c>
      <c r="AA33" s="12">
        <f ca="1">IFERROR(__xludf.DUMMYFUNCTION("INDEX(IMPORTRANGE(""17pNv02DXDpQT9S3w4-QeNym2QJy2BzMBqDXp-XtzJBM"", ""'STC'!BI3:BI139""),MATCH($D33,IMPORTRANGE(""17pNv02DXDpQT9S3w4-QeNym2QJy2BzMBqDXp-XtzJBM"", ""'STC'!D3:D139""),0))"),6)</f>
        <v>6</v>
      </c>
      <c r="AB33" s="12">
        <f ca="1">IFERROR(__xludf.DUMMYFUNCTION("INDEX(IMPORTRANGE(""17pNv02DXDpQT9S3w4-QeNym2QJy2BzMBqDXp-XtzJBM"", ""'STC'!BJ3:BJ139""),MATCH($D33,IMPORTRANGE(""17pNv02DXDpQT9S3w4-QeNym2QJy2BzMBqDXp-XtzJBM"", ""'STC'!D3:D139""),0))"),4)</f>
        <v>4</v>
      </c>
      <c r="AC33" s="12">
        <f ca="1">IFERROR(__xludf.DUMMYFUNCTION("INDEX(IMPORTRANGE(""17pNv02DXDpQT9S3w4-QeNym2QJy2BzMBqDXp-XtzJBM"", ""'STC'!BK3:BK139""),MATCH($D33,IMPORTRANGE(""17pNv02DXDpQT9S3w4-QeNym2QJy2BzMBqDXp-XtzJBM"", ""'STC'!D3:D139""),0))"),6)</f>
        <v>6</v>
      </c>
      <c r="AD33" s="12">
        <f ca="1">IFERROR(__xludf.DUMMYFUNCTION("INDEX(IMPORTRANGE(""17pNv02DXDpQT9S3w4-QeNym2QJy2BzMBqDXp-XtzJBM"", ""'STC'!BL3:BL139""),MATCH($D33,IMPORTRANGE(""17pNv02DXDpQT9S3w4-QeNym2QJy2BzMBqDXp-XtzJBM"", ""'STC'!D3:D139""),0))"),4)</f>
        <v>4</v>
      </c>
      <c r="AE33" s="12">
        <f ca="1">IFERROR(__xludf.DUMMYFUNCTION("INDEX(IMPORTRANGE(""17pNv02DXDpQT9S3w4-QeNym2QJy2BzMBqDXp-XtzJBM"", ""'STC'!BM3:BM139""),MATCH($D33,IMPORTRANGE(""17pNv02DXDpQT9S3w4-QeNym2QJy2BzMBqDXp-XtzJBM"", ""'STC'!D3:D139""),0))"),5)</f>
        <v>5</v>
      </c>
    </row>
    <row r="34" spans="1:31">
      <c r="A34" s="7" t="s">
        <v>52</v>
      </c>
      <c r="B34" s="7" t="s">
        <v>86</v>
      </c>
      <c r="C34" s="1" t="s">
        <v>30</v>
      </c>
      <c r="D34" s="7" t="s">
        <v>115</v>
      </c>
      <c r="E34" s="9" t="s">
        <v>76</v>
      </c>
      <c r="F34" s="9" t="s">
        <v>116</v>
      </c>
      <c r="G34" s="2" t="s">
        <v>56</v>
      </c>
      <c r="H34" s="2" t="s">
        <v>57</v>
      </c>
      <c r="I34" s="2" t="s">
        <v>362</v>
      </c>
      <c r="J34" s="9" t="s">
        <v>58</v>
      </c>
      <c r="K34" s="9" t="s">
        <v>59</v>
      </c>
      <c r="L34" s="9" t="s">
        <v>60</v>
      </c>
      <c r="M34" s="9" t="s">
        <v>61</v>
      </c>
      <c r="N34" s="9" t="s">
        <v>62</v>
      </c>
      <c r="O34" s="21" t="s">
        <v>363</v>
      </c>
      <c r="P34" s="9" t="s">
        <v>63</v>
      </c>
      <c r="Q34" s="12">
        <v>0</v>
      </c>
      <c r="R34" s="12">
        <v>0</v>
      </c>
      <c r="S34" s="12">
        <f ca="1">IFERROR(__xludf.DUMMYFUNCTION("INDEX(IMPORTRANGE(""17pNv02DXDpQT9S3w4-QeNym2QJy2BzMBqDXp-XtzJBM"", ""'STC'!BG3:BG139""),MATCH($D34,IMPORTRANGE(""17pNv02DXDpQT9S3w4-QeNym2QJy2BzMBqDXp-XtzJBM"", ""'STC'!D3:D139""),0))"),0)</f>
        <v>0</v>
      </c>
      <c r="T34" s="2"/>
      <c r="U34" s="2"/>
      <c r="V34" s="2"/>
      <c r="W34" s="2"/>
      <c r="X34" s="2"/>
      <c r="Y34" s="2"/>
      <c r="Z34" s="12">
        <f ca="1">IFERROR(__xludf.DUMMYFUNCTION("INDEX(IMPORTRANGE(""17pNv02DXDpQT9S3w4-QeNym2QJy2BzMBqDXp-XtzJBM"", ""'STC'!BH3:BH139""),MATCH($D34,IMPORTRANGE(""17pNv02DXDpQT9S3w4-QeNym2QJy2BzMBqDXp-XtzJBM"", ""'STC'!D3:D139""),0))"),1)</f>
        <v>1</v>
      </c>
      <c r="AA34" s="12">
        <f ca="1">IFERROR(__xludf.DUMMYFUNCTION("INDEX(IMPORTRANGE(""17pNv02DXDpQT9S3w4-QeNym2QJy2BzMBqDXp-XtzJBM"", ""'STC'!BI3:BI139""),MATCH($D34,IMPORTRANGE(""17pNv02DXDpQT9S3w4-QeNym2QJy2BzMBqDXp-XtzJBM"", ""'STC'!D3:D139""),0))"),4)</f>
        <v>4</v>
      </c>
      <c r="AB34" s="12">
        <f ca="1">IFERROR(__xludf.DUMMYFUNCTION("INDEX(IMPORTRANGE(""17pNv02DXDpQT9S3w4-QeNym2QJy2BzMBqDXp-XtzJBM"", ""'STC'!BJ3:BJ139""),MATCH($D34,IMPORTRANGE(""17pNv02DXDpQT9S3w4-QeNym2QJy2BzMBqDXp-XtzJBM"", ""'STC'!D3:D139""),0))"),3)</f>
        <v>3</v>
      </c>
      <c r="AC34" s="12">
        <f ca="1">IFERROR(__xludf.DUMMYFUNCTION("INDEX(IMPORTRANGE(""17pNv02DXDpQT9S3w4-QeNym2QJy2BzMBqDXp-XtzJBM"", ""'STC'!BK3:BK139""),MATCH($D34,IMPORTRANGE(""17pNv02DXDpQT9S3w4-QeNym2QJy2BzMBqDXp-XtzJBM"", ""'STC'!D3:D139""),0))"),4)</f>
        <v>4</v>
      </c>
      <c r="AD34" s="12">
        <f ca="1">IFERROR(__xludf.DUMMYFUNCTION("INDEX(IMPORTRANGE(""17pNv02DXDpQT9S3w4-QeNym2QJy2BzMBqDXp-XtzJBM"", ""'STC'!BL3:BL139""),MATCH($D34,IMPORTRANGE(""17pNv02DXDpQT9S3w4-QeNym2QJy2BzMBqDXp-XtzJBM"", ""'STC'!D3:D139""),0))"),2)</f>
        <v>2</v>
      </c>
      <c r="AE34" s="12">
        <f ca="1">IFERROR(__xludf.DUMMYFUNCTION("INDEX(IMPORTRANGE(""17pNv02DXDpQT9S3w4-QeNym2QJy2BzMBqDXp-XtzJBM"", ""'STC'!BM3:BM139""),MATCH($D34,IMPORTRANGE(""17pNv02DXDpQT9S3w4-QeNym2QJy2BzMBqDXp-XtzJBM"", ""'STC'!D3:D139""),0))"),3)</f>
        <v>3</v>
      </c>
    </row>
    <row r="35" spans="1:31">
      <c r="A35" s="7" t="s">
        <v>52</v>
      </c>
      <c r="B35" s="7" t="s">
        <v>86</v>
      </c>
      <c r="C35" s="1" t="s">
        <v>30</v>
      </c>
      <c r="D35" s="7" t="s">
        <v>350</v>
      </c>
      <c r="E35" s="7" t="s">
        <v>76</v>
      </c>
      <c r="F35" s="250"/>
      <c r="G35" s="2" t="s">
        <v>343</v>
      </c>
      <c r="H35" s="2" t="s">
        <v>344</v>
      </c>
      <c r="I35" s="2" t="s">
        <v>362</v>
      </c>
      <c r="J35" s="9" t="s">
        <v>345</v>
      </c>
      <c r="K35" s="9" t="s">
        <v>336</v>
      </c>
      <c r="L35" s="9" t="s">
        <v>346</v>
      </c>
      <c r="M35" s="9" t="s">
        <v>347</v>
      </c>
      <c r="N35" s="9" t="s">
        <v>348</v>
      </c>
      <c r="O35" s="21" t="s">
        <v>363</v>
      </c>
      <c r="P35" s="9" t="s">
        <v>349</v>
      </c>
      <c r="Q35" s="12">
        <f t="shared" ref="Q35:R35" si="9">SUM(Q24:Q34)</f>
        <v>28</v>
      </c>
      <c r="R35" s="12">
        <f t="shared" si="9"/>
        <v>59</v>
      </c>
      <c r="S35" s="12">
        <f ca="1">IFERROR(__xludf.DUMMYFUNCTION("INDEX(IMPORTRANGE(""17pNv02DXDpQT9S3w4-QeNym2QJy2BzMBqDXp-XtzJBM"", ""'STC'!BG3:BG139""),MATCH($D35,IMPORTRANGE(""17pNv02DXDpQT9S3w4-QeNym2QJy2BzMBqDXp-XtzJBM"", ""'STC'!D3:D139""),0))"),50)</f>
        <v>50</v>
      </c>
      <c r="T35" s="477"/>
      <c r="U35" s="477"/>
      <c r="V35" s="477"/>
      <c r="W35" s="477"/>
      <c r="X35" s="477"/>
      <c r="Y35" s="477"/>
      <c r="Z35" s="12">
        <f ca="1">IFERROR(__xludf.DUMMYFUNCTION("INDEX(IMPORTRANGE(""17pNv02DXDpQT9S3w4-QeNym2QJy2BzMBqDXp-XtzJBM"", ""'STC'!BH3:BH139""),MATCH($D35,IMPORTRANGE(""17pNv02DXDpQT9S3w4-QeNym2QJy2BzMBqDXp-XtzJBM"", ""'STC'!D3:D139""),0))"),37)</f>
        <v>37</v>
      </c>
      <c r="AA35" s="12">
        <f ca="1">IFERROR(__xludf.DUMMYFUNCTION("INDEX(IMPORTRANGE(""17pNv02DXDpQT9S3w4-QeNym2QJy2BzMBqDXp-XtzJBM"", ""'STC'!BI3:BI139""),MATCH($D35,IMPORTRANGE(""17pNv02DXDpQT9S3w4-QeNym2QJy2BzMBqDXp-XtzJBM"", ""'STC'!D3:D139""),0))"),91)</f>
        <v>91</v>
      </c>
      <c r="AB35" s="12">
        <f ca="1">IFERROR(__xludf.DUMMYFUNCTION("INDEX(IMPORTRANGE(""17pNv02DXDpQT9S3w4-QeNym2QJy2BzMBqDXp-XtzJBM"", ""'STC'!BJ3:BJ139""),MATCH($D35,IMPORTRANGE(""17pNv02DXDpQT9S3w4-QeNym2QJy2BzMBqDXp-XtzJBM"", ""'STC'!D3:D139""),0))"),55)</f>
        <v>55</v>
      </c>
      <c r="AC35" s="12">
        <f ca="1">IFERROR(__xludf.DUMMYFUNCTION("INDEX(IMPORTRANGE(""17pNv02DXDpQT9S3w4-QeNym2QJy2BzMBqDXp-XtzJBM"", ""'STC'!BK3:BK139""),MATCH($D35,IMPORTRANGE(""17pNv02DXDpQT9S3w4-QeNym2QJy2BzMBqDXp-XtzJBM"", ""'STC'!D3:D139""),0))"),125)</f>
        <v>125</v>
      </c>
      <c r="AD35" s="12">
        <f ca="1">IFERROR(__xludf.DUMMYFUNCTION("INDEX(IMPORTRANGE(""17pNv02DXDpQT9S3w4-QeNym2QJy2BzMBqDXp-XtzJBM"", ""'STC'!BL3:BL139""),MATCH($D35,IMPORTRANGE(""17pNv02DXDpQT9S3w4-QeNym2QJy2BzMBqDXp-XtzJBM"", ""'STC'!D3:D139""),0))"),51)</f>
        <v>51</v>
      </c>
      <c r="AE35" s="12">
        <f ca="1">IFERROR(__xludf.DUMMYFUNCTION("INDEX(IMPORTRANGE(""17pNv02DXDpQT9S3w4-QeNym2QJy2BzMBqDXp-XtzJBM"", ""'STC'!BM3:BM139""),MATCH($D35,IMPORTRANGE(""17pNv02DXDpQT9S3w4-QeNym2QJy2BzMBqDXp-XtzJBM"", ""'STC'!D3:D139""),0))"),101)</f>
        <v>101</v>
      </c>
    </row>
    <row r="36" spans="1:31">
      <c r="A36" s="7" t="s">
        <v>52</v>
      </c>
      <c r="B36" s="7" t="s">
        <v>86</v>
      </c>
      <c r="C36" s="1" t="s">
        <v>36</v>
      </c>
      <c r="D36" s="7" t="s">
        <v>117</v>
      </c>
      <c r="E36" s="9" t="s">
        <v>76</v>
      </c>
      <c r="F36" s="9" t="s">
        <v>118</v>
      </c>
      <c r="G36" s="2" t="s">
        <v>56</v>
      </c>
      <c r="H36" s="2" t="s">
        <v>57</v>
      </c>
      <c r="I36" s="2" t="s">
        <v>362</v>
      </c>
      <c r="J36" s="9" t="s">
        <v>58</v>
      </c>
      <c r="K36" s="9" t="s">
        <v>59</v>
      </c>
      <c r="L36" s="9" t="s">
        <v>60</v>
      </c>
      <c r="M36" s="9" t="s">
        <v>61</v>
      </c>
      <c r="N36" s="9" t="s">
        <v>62</v>
      </c>
      <c r="O36" s="21" t="s">
        <v>363</v>
      </c>
      <c r="P36" s="9" t="s">
        <v>63</v>
      </c>
      <c r="Q36" s="23">
        <f t="shared" ref="Q36:R36" si="10">(SUM(Q24:Q34)/Q$2)*100000</f>
        <v>8.6029963007115899</v>
      </c>
      <c r="R36" s="23">
        <f t="shared" si="10"/>
        <v>18.127742205070852</v>
      </c>
      <c r="S36" s="23">
        <f ca="1">IFERROR(__xludf.DUMMYFUNCTION("INDEX(IMPORTRANGE(""17pNv02DXDpQT9S3w4-QeNym2QJy2BzMBqDXp-XtzJBM"", ""'STC'!BG3:BG139""),MATCH($D36,IMPORTRANGE(""17pNv02DXDpQT9S3w4-QeNym2QJy2BzMBqDXp-XtzJBM"", ""'STC'!D3:D139""),0))"),15.3624933941278)</f>
        <v>15.362493394127799</v>
      </c>
      <c r="T36" s="2">
        <v>16.100000000000001</v>
      </c>
      <c r="U36" s="2">
        <v>6.7</v>
      </c>
      <c r="V36" s="2">
        <v>14</v>
      </c>
      <c r="W36" s="2">
        <v>5.7</v>
      </c>
      <c r="X36" s="24">
        <f ca="1">+S36*(1+(Y36-R36)/R36)</f>
        <v>10.169491525423702</v>
      </c>
      <c r="Y36" s="2">
        <v>12</v>
      </c>
      <c r="Z36" s="23">
        <f ca="1">IFERROR(__xludf.DUMMYFUNCTION("INDEX(IMPORTRANGE(""17pNv02DXDpQT9S3w4-QeNym2QJy2BzMBqDXp-XtzJBM"", ""'STC'!BH3:BH139""),MATCH($D36,IMPORTRANGE(""17pNv02DXDpQT9S3w4-QeNym2QJy2BzMBqDXp-XtzJBM"", ""'STC'!D3:D139""),0))"),11.2514330372483)</f>
        <v>11.251433037248299</v>
      </c>
      <c r="AA36" s="23">
        <f ca="1">IFERROR(__xludf.DUMMYFUNCTION("INDEX(IMPORTRANGE(""17pNv02DXDpQT9S3w4-QeNym2QJy2BzMBqDXp-XtzJBM"", ""'STC'!BI3:BI139""),MATCH($D36,IMPORTRANGE(""17pNv02DXDpQT9S3w4-QeNym2QJy2BzMBqDXp-XtzJBM"", ""'STC'!D3:D139""),0))"),27.672443415935)</f>
        <v>27.672443415935</v>
      </c>
      <c r="AB36" s="23">
        <f ca="1">IFERROR(__xludf.DUMMYFUNCTION("INDEX(IMPORTRANGE(""17pNv02DXDpQT9S3w4-QeNym2QJy2BzMBqDXp-XtzJBM"", ""'STC'!BJ3:BJ139""),MATCH($D36,IMPORTRANGE(""17pNv02DXDpQT9S3w4-QeNym2QJy2BzMBqDXp-XtzJBM"", ""'STC'!D3:D139""),0))"),16.5555936835894)</f>
        <v>16.5555936835894</v>
      </c>
      <c r="AC36" s="23">
        <f ca="1">IFERROR(__xludf.DUMMYFUNCTION("INDEX(IMPORTRANGE(""17pNv02DXDpQT9S3w4-QeNym2QJy2BzMBqDXp-XtzJBM"", ""'STC'!BK3:BK139""),MATCH($D36,IMPORTRANGE(""17pNv02DXDpQT9S3w4-QeNym2QJy2BzMBqDXp-XtzJBM"", ""'STC'!D3:D139""),0))"),37.6263492808852)</f>
        <v>37.626349280885201</v>
      </c>
      <c r="AD36" s="23">
        <f ca="1">IFERROR(__xludf.DUMMYFUNCTION("INDEX(IMPORTRANGE(""17pNv02DXDpQT9S3w4-QeNym2QJy2BzMBqDXp-XtzJBM"", ""'STC'!BL3:BL139""),MATCH($D36,IMPORTRANGE(""17pNv02DXDpQT9S3w4-QeNym2QJy2BzMBqDXp-XtzJBM"", ""'STC'!D3:D139""),0))"),15.1980212772297)</f>
        <v>15.198021277229699</v>
      </c>
      <c r="AE36" s="23">
        <f ca="1">IFERROR(__xludf.DUMMYFUNCTION("INDEX(IMPORTRANGE(""17pNv02DXDpQT9S3w4-QeNym2QJy2BzMBqDXp-XtzJBM"", ""'STC'!BM3:BM139""),MATCH($D36,IMPORTRANGE(""17pNv02DXDpQT9S3w4-QeNym2QJy2BzMBqDXp-XtzJBM"", ""'STC'!D3:D139""),0))"),30.0980421372589)</f>
        <v>30.098042137258901</v>
      </c>
    </row>
    <row r="37" spans="1:31">
      <c r="A37" s="7" t="s">
        <v>119</v>
      </c>
      <c r="B37" s="7" t="s">
        <v>120</v>
      </c>
      <c r="C37" s="1" t="s">
        <v>30</v>
      </c>
      <c r="D37" s="1" t="s">
        <v>121</v>
      </c>
      <c r="E37" s="9" t="s">
        <v>38</v>
      </c>
      <c r="F37" s="2" t="s">
        <v>122</v>
      </c>
      <c r="G37" s="11">
        <v>44469</v>
      </c>
      <c r="H37" s="11">
        <v>44469</v>
      </c>
      <c r="I37" s="11">
        <v>44469</v>
      </c>
      <c r="J37" s="11">
        <v>44651</v>
      </c>
      <c r="K37" s="11">
        <v>44834</v>
      </c>
      <c r="L37" s="11">
        <v>45016</v>
      </c>
      <c r="M37" s="11">
        <v>45199</v>
      </c>
      <c r="N37" s="11">
        <v>45382</v>
      </c>
      <c r="O37" s="10" t="s">
        <v>361</v>
      </c>
      <c r="P37" s="11">
        <v>45565</v>
      </c>
      <c r="Q37" s="12">
        <v>87144</v>
      </c>
      <c r="R37" s="12">
        <v>87144</v>
      </c>
      <c r="S37" s="12">
        <f ca="1">IFERROR(__xludf.DUMMYFUNCTION("INDEX(IMPORTRANGE(""17pNv02DXDpQT9S3w4-QeNym2QJy2BzMBqDXp-XtzJBM"", ""'STC'!BG3:BG139""),MATCH($D37,IMPORTRANGE(""17pNv02DXDpQT9S3w4-QeNym2QJy2BzMBqDXp-XtzJBM"", ""'STC'!D3:D139""),0))"),87144)</f>
        <v>87144</v>
      </c>
      <c r="T37" s="2"/>
      <c r="U37" s="2"/>
      <c r="V37" s="2"/>
      <c r="W37" s="2"/>
      <c r="X37" s="2"/>
      <c r="Y37" s="2"/>
      <c r="Z37" s="12">
        <f ca="1">IFERROR(__xludf.DUMMYFUNCTION("INDEX(IMPORTRANGE(""17pNv02DXDpQT9S3w4-QeNym2QJy2BzMBqDXp-XtzJBM"", ""'STC'!BH3:BH139""),MATCH($D37,IMPORTRANGE(""17pNv02DXDpQT9S3w4-QeNym2QJy2BzMBqDXp-XtzJBM"", ""'STC'!D3:D139""),0))"),87144)</f>
        <v>87144</v>
      </c>
      <c r="AA37" s="12">
        <f ca="1">IFERROR(__xludf.DUMMYFUNCTION("INDEX(IMPORTRANGE(""17pNv02DXDpQT9S3w4-QeNym2QJy2BzMBqDXp-XtzJBM"", ""'STC'!BI3:BI139""),MATCH($D37,IMPORTRANGE(""17pNv02DXDpQT9S3w4-QeNym2QJy2BzMBqDXp-XtzJBM"", ""'STC'!D3:D139""),0))"),87144)</f>
        <v>87144</v>
      </c>
      <c r="AB37" s="12">
        <f ca="1">IFERROR(__xludf.DUMMYFUNCTION("INDEX(IMPORTRANGE(""17pNv02DXDpQT9S3w4-QeNym2QJy2BzMBqDXp-XtzJBM"", ""'STC'!BJ3:BJ139""),MATCH($D37,IMPORTRANGE(""17pNv02DXDpQT9S3w4-QeNym2QJy2BzMBqDXp-XtzJBM"", ""'STC'!D3:D139""),0))"),87144)</f>
        <v>87144</v>
      </c>
      <c r="AC37" s="12">
        <f ca="1">IFERROR(__xludf.DUMMYFUNCTION("INDEX(IMPORTRANGE(""17pNv02DXDpQT9S3w4-QeNym2QJy2BzMBqDXp-XtzJBM"", ""'STC'!BK3:BK139""),MATCH($D37,IMPORTRANGE(""17pNv02DXDpQT9S3w4-QeNym2QJy2BzMBqDXp-XtzJBM"", ""'STC'!D3:D139""),0))"),87144)</f>
        <v>87144</v>
      </c>
      <c r="AD37" s="12">
        <f ca="1">IFERROR(__xludf.DUMMYFUNCTION("INDEX(IMPORTRANGE(""17pNv02DXDpQT9S3w4-QeNym2QJy2BzMBqDXp-XtzJBM"", ""'STC'!BL3:BL139""),MATCH($D37,IMPORTRANGE(""17pNv02DXDpQT9S3w4-QeNym2QJy2BzMBqDXp-XtzJBM"", ""'STC'!D3:D139""),0))"),87144)</f>
        <v>87144</v>
      </c>
      <c r="AE37" s="12">
        <f ca="1">IFERROR(__xludf.DUMMYFUNCTION("INDEX(IMPORTRANGE(""17pNv02DXDpQT9S3w4-QeNym2QJy2BzMBqDXp-XtzJBM"", ""'STC'!BM3:BM139""),MATCH($D37,IMPORTRANGE(""17pNv02DXDpQT9S3w4-QeNym2QJy2BzMBqDXp-XtzJBM"", ""'STC'!D3:D139""),0))"),87144)</f>
        <v>87144</v>
      </c>
    </row>
    <row r="38" spans="1:31">
      <c r="A38" s="7" t="s">
        <v>119</v>
      </c>
      <c r="B38" s="7" t="s">
        <v>120</v>
      </c>
      <c r="C38" s="1" t="s">
        <v>30</v>
      </c>
      <c r="D38" s="1" t="s">
        <v>123</v>
      </c>
      <c r="E38" s="9" t="s">
        <v>38</v>
      </c>
      <c r="F38" s="2" t="s">
        <v>124</v>
      </c>
      <c r="G38" s="11">
        <v>44469</v>
      </c>
      <c r="H38" s="11">
        <v>44469</v>
      </c>
      <c r="I38" s="11">
        <v>44469</v>
      </c>
      <c r="J38" s="11">
        <v>44651</v>
      </c>
      <c r="K38" s="11">
        <v>44834</v>
      </c>
      <c r="L38" s="11">
        <v>45016</v>
      </c>
      <c r="M38" s="11">
        <v>45199</v>
      </c>
      <c r="N38" s="11">
        <v>45382</v>
      </c>
      <c r="O38" s="10" t="s">
        <v>361</v>
      </c>
      <c r="P38" s="11">
        <v>45565</v>
      </c>
      <c r="Q38" s="12">
        <v>0</v>
      </c>
      <c r="R38" s="12">
        <v>0</v>
      </c>
      <c r="S38" s="12">
        <f ca="1">IFERROR(__xludf.DUMMYFUNCTION("INDEX(IMPORTRANGE(""17pNv02DXDpQT9S3w4-QeNym2QJy2BzMBqDXp-XtzJBM"", ""'STC'!BG3:BG139""),MATCH($D38,IMPORTRANGE(""17pNv02DXDpQT9S3w4-QeNym2QJy2BzMBqDXp-XtzJBM"", ""'STC'!D3:D139""),0))"),0)</f>
        <v>0</v>
      </c>
      <c r="T38" s="2"/>
      <c r="U38" s="2"/>
      <c r="V38" s="2"/>
      <c r="W38" s="2"/>
      <c r="X38" s="2"/>
      <c r="Y38" s="2"/>
      <c r="Z38" s="12">
        <f ca="1">IFERROR(__xludf.DUMMYFUNCTION("INDEX(IMPORTRANGE(""17pNv02DXDpQT9S3w4-QeNym2QJy2BzMBqDXp-XtzJBM"", ""'STC'!BH3:BH139""),MATCH($D38,IMPORTRANGE(""17pNv02DXDpQT9S3w4-QeNym2QJy2BzMBqDXp-XtzJBM"", ""'STC'!D3:D139""),0))"),0)</f>
        <v>0</v>
      </c>
      <c r="AA38" s="12">
        <f ca="1">IFERROR(__xludf.DUMMYFUNCTION("INDEX(IMPORTRANGE(""17pNv02DXDpQT9S3w4-QeNym2QJy2BzMBqDXp-XtzJBM"", ""'STC'!BI3:BI139""),MATCH($D38,IMPORTRANGE(""17pNv02DXDpQT9S3w4-QeNym2QJy2BzMBqDXp-XtzJBM"", ""'STC'!D3:D139""),0))"),0)</f>
        <v>0</v>
      </c>
      <c r="AB38" s="12">
        <f ca="1">IFERROR(__xludf.DUMMYFUNCTION("INDEX(IMPORTRANGE(""17pNv02DXDpQT9S3w4-QeNym2QJy2BzMBqDXp-XtzJBM"", ""'STC'!BJ3:BJ139""),MATCH($D38,IMPORTRANGE(""17pNv02DXDpQT9S3w4-QeNym2QJy2BzMBqDXp-XtzJBM"", ""'STC'!D3:D139""),0))"),0)</f>
        <v>0</v>
      </c>
      <c r="AC38" s="12">
        <f ca="1">IFERROR(__xludf.DUMMYFUNCTION("INDEX(IMPORTRANGE(""17pNv02DXDpQT9S3w4-QeNym2QJy2BzMBqDXp-XtzJBM"", ""'STC'!BK3:BK139""),MATCH($D38,IMPORTRANGE(""17pNv02DXDpQT9S3w4-QeNym2QJy2BzMBqDXp-XtzJBM"", ""'STC'!D3:D139""),0))"),0)</f>
        <v>0</v>
      </c>
      <c r="AD38" s="12">
        <f ca="1">IFERROR(__xludf.DUMMYFUNCTION("INDEX(IMPORTRANGE(""17pNv02DXDpQT9S3w4-QeNym2QJy2BzMBqDXp-XtzJBM"", ""'STC'!BL3:BL139""),MATCH($D38,IMPORTRANGE(""17pNv02DXDpQT9S3w4-QeNym2QJy2BzMBqDXp-XtzJBM"", ""'STC'!D3:D139""),0))"),4656)</f>
        <v>4656</v>
      </c>
      <c r="AE38" s="12">
        <f ca="1">IFERROR(__xludf.DUMMYFUNCTION("INDEX(IMPORTRANGE(""17pNv02DXDpQT9S3w4-QeNym2QJy2BzMBqDXp-XtzJBM"", ""'STC'!BM3:BM139""),MATCH($D38,IMPORTRANGE(""17pNv02DXDpQT9S3w4-QeNym2QJy2BzMBqDXp-XtzJBM"", ""'STC'!D3:D139""),0))"),4656)</f>
        <v>4656</v>
      </c>
    </row>
    <row r="39" spans="1:31">
      <c r="A39" s="7" t="s">
        <v>119</v>
      </c>
      <c r="B39" s="7" t="s">
        <v>120</v>
      </c>
      <c r="C39" s="1" t="s">
        <v>36</v>
      </c>
      <c r="D39" s="1" t="s">
        <v>125</v>
      </c>
      <c r="E39" s="9" t="s">
        <v>38</v>
      </c>
      <c r="F39" s="2" t="s">
        <v>126</v>
      </c>
      <c r="G39" s="11">
        <v>44469</v>
      </c>
      <c r="H39" s="11">
        <v>44469</v>
      </c>
      <c r="I39" s="11">
        <v>44469</v>
      </c>
      <c r="J39" s="11">
        <v>44651</v>
      </c>
      <c r="K39" s="11">
        <v>44834</v>
      </c>
      <c r="L39" s="11">
        <v>45016</v>
      </c>
      <c r="M39" s="11">
        <v>45199</v>
      </c>
      <c r="N39" s="11">
        <v>45382</v>
      </c>
      <c r="O39" s="10" t="s">
        <v>361</v>
      </c>
      <c r="P39" s="11">
        <v>45565</v>
      </c>
      <c r="Q39" s="12">
        <f t="shared" ref="Q39:R39" si="11">Q38/Q37</f>
        <v>0</v>
      </c>
      <c r="R39" s="12">
        <f t="shared" si="11"/>
        <v>0</v>
      </c>
      <c r="S39" s="12">
        <f ca="1">IFERROR(__xludf.DUMMYFUNCTION("INDEX(IMPORTRANGE(""17pNv02DXDpQT9S3w4-QeNym2QJy2BzMBqDXp-XtzJBM"", ""'STC'!BG3:BG139""),MATCH($D39,IMPORTRANGE(""17pNv02DXDpQT9S3w4-QeNym2QJy2BzMBqDXp-XtzJBM"", ""'STC'!D3:D139""),0))"),0)</f>
        <v>0</v>
      </c>
      <c r="T39" s="26">
        <v>2E-3</v>
      </c>
      <c r="U39" s="26">
        <v>4.0000000000000001E-3</v>
      </c>
      <c r="V39" s="26">
        <v>6.0000000000000001E-3</v>
      </c>
      <c r="W39" s="26">
        <v>8.0000000000000002E-3</v>
      </c>
      <c r="X39" s="14">
        <v>0.01</v>
      </c>
      <c r="Y39" s="14">
        <v>0.01</v>
      </c>
      <c r="Z39" s="15">
        <f ca="1">IFERROR(__xludf.DUMMYFUNCTION("INDEX(IMPORTRANGE(""17pNv02DXDpQT9S3w4-QeNym2QJy2BzMBqDXp-XtzJBM"", ""'STC'!BH3:BH139""),MATCH($D39,IMPORTRANGE(""17pNv02DXDpQT9S3w4-QeNym2QJy2BzMBqDXp-XtzJBM"", ""'STC'!D3:D139""),0))"),0)</f>
        <v>0</v>
      </c>
      <c r="AA39" s="15">
        <f ca="1">IFERROR(__xludf.DUMMYFUNCTION("INDEX(IMPORTRANGE(""17pNv02DXDpQT9S3w4-QeNym2QJy2BzMBqDXp-XtzJBM"", ""'STC'!BI3:BI139""),MATCH($D39,IMPORTRANGE(""17pNv02DXDpQT9S3w4-QeNym2QJy2BzMBqDXp-XtzJBM"", ""'STC'!D3:D139""),0))"),0)</f>
        <v>0</v>
      </c>
      <c r="AB39" s="15">
        <f ca="1">IFERROR(__xludf.DUMMYFUNCTION("INDEX(IMPORTRANGE(""17pNv02DXDpQT9S3w4-QeNym2QJy2BzMBqDXp-XtzJBM"", ""'STC'!BJ3:BJ139""),MATCH($D39,IMPORTRANGE(""17pNv02DXDpQT9S3w4-QeNym2QJy2BzMBqDXp-XtzJBM"", ""'STC'!D3:D139""),0))"),0)</f>
        <v>0</v>
      </c>
      <c r="AC39" s="15">
        <f ca="1">IFERROR(__xludf.DUMMYFUNCTION("INDEX(IMPORTRANGE(""17pNv02DXDpQT9S3w4-QeNym2QJy2BzMBqDXp-XtzJBM"", ""'STC'!BK3:BK139""),MATCH($D39,IMPORTRANGE(""17pNv02DXDpQT9S3w4-QeNym2QJy2BzMBqDXp-XtzJBM"", ""'STC'!D3:D139""),0))"),0)</f>
        <v>0</v>
      </c>
      <c r="AD39" s="15">
        <f ca="1">IFERROR(__xludf.DUMMYFUNCTION("INDEX(IMPORTRANGE(""17pNv02DXDpQT9S3w4-QeNym2QJy2BzMBqDXp-XtzJBM"", ""'STC'!BL3:BL139""),MATCH($D39,IMPORTRANGE(""17pNv02DXDpQT9S3w4-QeNym2QJy2BzMBqDXp-XtzJBM"", ""'STC'!D3:D139""),0))"),0.0534288074910493)</f>
        <v>5.34288074910493E-2</v>
      </c>
      <c r="AE39" s="15">
        <f ca="1">IFERROR(__xludf.DUMMYFUNCTION("INDEX(IMPORTRANGE(""17pNv02DXDpQT9S3w4-QeNym2QJy2BzMBqDXp-XtzJBM"", ""'STC'!BM3:BM139""),MATCH($D39,IMPORTRANGE(""17pNv02DXDpQT9S3w4-QeNym2QJy2BzMBqDXp-XtzJBM"", ""'STC'!D3:D139""),0))"),0.0534288074910493)</f>
        <v>5.34288074910493E-2</v>
      </c>
    </row>
    <row r="40" spans="1:31">
      <c r="A40" s="7" t="s">
        <v>119</v>
      </c>
      <c r="B40" s="7" t="s">
        <v>120</v>
      </c>
      <c r="C40" s="1" t="s">
        <v>30</v>
      </c>
      <c r="D40" s="7" t="s">
        <v>330</v>
      </c>
      <c r="E40" s="9" t="s">
        <v>38</v>
      </c>
      <c r="F40" s="2" t="s">
        <v>176</v>
      </c>
      <c r="G40" s="2" t="s">
        <v>56</v>
      </c>
      <c r="H40" s="2" t="s">
        <v>57</v>
      </c>
      <c r="I40" s="2" t="s">
        <v>362</v>
      </c>
      <c r="J40" s="9" t="s">
        <v>58</v>
      </c>
      <c r="K40" s="9" t="s">
        <v>59</v>
      </c>
      <c r="L40" s="9" t="s">
        <v>60</v>
      </c>
      <c r="M40" s="9" t="s">
        <v>61</v>
      </c>
      <c r="N40" s="9" t="s">
        <v>62</v>
      </c>
      <c r="O40" s="21" t="s">
        <v>363</v>
      </c>
      <c r="P40" s="9" t="s">
        <v>63</v>
      </c>
      <c r="Q40" s="12"/>
      <c r="R40" s="12"/>
      <c r="S40" s="12" t="str">
        <f ca="1">IFERROR(__xludf.DUMMYFUNCTION("INDEX(IMPORTRANGE(""17pNv02DXDpQT9S3w4-QeNym2QJy2BzMBqDXp-XtzJBM"", ""'STC'!BG3:BG139""),MATCH($D40,IMPORTRANGE(""17pNv02DXDpQT9S3w4-QeNym2QJy2BzMBqDXp-XtzJBM"", ""'STC'!D3:D139""),0))"),"")</f>
        <v/>
      </c>
      <c r="T40" s="2"/>
      <c r="U40" s="2"/>
      <c r="V40" s="2"/>
      <c r="W40" s="2"/>
      <c r="X40" s="2"/>
      <c r="Y40" s="2"/>
      <c r="Z40" s="12" t="str">
        <f ca="1">IFERROR(__xludf.DUMMYFUNCTION("INDEX(IMPORTRANGE(""17pNv02DXDpQT9S3w4-QeNym2QJy2BzMBqDXp-XtzJBM"", ""'STC'!BH3:BH139""),MATCH($D40,IMPORTRANGE(""17pNv02DXDpQT9S3w4-QeNym2QJy2BzMBqDXp-XtzJBM"", ""'STC'!D3:D139""),0))"),"")</f>
        <v/>
      </c>
      <c r="AA40" s="12" t="str">
        <f ca="1">IFERROR(__xludf.DUMMYFUNCTION("INDEX(IMPORTRANGE(""17pNv02DXDpQT9S3w4-QeNym2QJy2BzMBqDXp-XtzJBM"", ""'STC'!BI3:BI139""),MATCH($D40,IMPORTRANGE(""17pNv02DXDpQT9S3w4-QeNym2QJy2BzMBqDXp-XtzJBM"", ""'STC'!D3:D139""),0))"),"")</f>
        <v/>
      </c>
      <c r="AB40" s="12">
        <f ca="1">IFERROR(__xludf.DUMMYFUNCTION("INDEX(IMPORTRANGE(""17pNv02DXDpQT9S3w4-QeNym2QJy2BzMBqDXp-XtzJBM"", ""'STC'!BJ3:BJ139""),MATCH($D40,IMPORTRANGE(""17pNv02DXDpQT9S3w4-QeNym2QJy2BzMBqDXp-XtzJBM"", ""'STC'!D3:D139""),0))"),18.9)</f>
        <v>18.899999999999999</v>
      </c>
      <c r="AC40" s="12">
        <f ca="1">IFERROR(__xludf.DUMMYFUNCTION("INDEX(IMPORTRANGE(""17pNv02DXDpQT9S3w4-QeNym2QJy2BzMBqDXp-XtzJBM"", ""'STC'!BK3:BK139""),MATCH($D40,IMPORTRANGE(""17pNv02DXDpQT9S3w4-QeNym2QJy2BzMBqDXp-XtzJBM"", ""'STC'!D3:D139""),0))"),26.59)</f>
        <v>26.59</v>
      </c>
      <c r="AD40" s="12">
        <f ca="1">IFERROR(__xludf.DUMMYFUNCTION("INDEX(IMPORTRANGE(""17pNv02DXDpQT9S3w4-QeNym2QJy2BzMBqDXp-XtzJBM"", ""'STC'!BL3:BL139""),MATCH($D40,IMPORTRANGE(""17pNv02DXDpQT9S3w4-QeNym2QJy2BzMBqDXp-XtzJBM"", ""'STC'!D3:D139""),0))"),1093)</f>
        <v>1093</v>
      </c>
      <c r="AE40" s="12">
        <f ca="1">IFERROR(__xludf.DUMMYFUNCTION("INDEX(IMPORTRANGE(""17pNv02DXDpQT9S3w4-QeNym2QJy2BzMBqDXp-XtzJBM"", ""'STC'!BM3:BM139""),MATCH($D40,IMPORTRANGE(""17pNv02DXDpQT9S3w4-QeNym2QJy2BzMBqDXp-XtzJBM"", ""'STC'!D3:D139""),0))"),1312.1)</f>
        <v>1312.1</v>
      </c>
    </row>
    <row r="41" spans="1:31">
      <c r="A41" s="7" t="s">
        <v>119</v>
      </c>
      <c r="B41" s="7" t="s">
        <v>120</v>
      </c>
      <c r="C41" s="1" t="s">
        <v>30</v>
      </c>
      <c r="D41" s="7" t="s">
        <v>331</v>
      </c>
      <c r="E41" s="9" t="s">
        <v>38</v>
      </c>
      <c r="F41" s="2" t="s">
        <v>332</v>
      </c>
      <c r="G41" s="2" t="s">
        <v>56</v>
      </c>
      <c r="H41" s="2" t="s">
        <v>57</v>
      </c>
      <c r="I41" s="2" t="s">
        <v>362</v>
      </c>
      <c r="J41" s="9" t="s">
        <v>58</v>
      </c>
      <c r="K41" s="9" t="s">
        <v>59</v>
      </c>
      <c r="L41" s="9" t="s">
        <v>60</v>
      </c>
      <c r="M41" s="9" t="s">
        <v>61</v>
      </c>
      <c r="N41" s="9" t="s">
        <v>62</v>
      </c>
      <c r="O41" s="21" t="s">
        <v>363</v>
      </c>
      <c r="P41" s="9" t="s">
        <v>63</v>
      </c>
      <c r="Q41" s="12"/>
      <c r="R41" s="12"/>
      <c r="S41" s="12" t="str">
        <f ca="1">IFERROR(__xludf.DUMMYFUNCTION("INDEX(IMPORTRANGE(""17pNv02DXDpQT9S3w4-QeNym2QJy2BzMBqDXp-XtzJBM"", ""'STC'!BG3:BG139""),MATCH($D41,IMPORTRANGE(""17pNv02DXDpQT9S3w4-QeNym2QJy2BzMBqDXp-XtzJBM"", ""'STC'!D3:D139""),0))"),"")</f>
        <v/>
      </c>
      <c r="T41" s="2"/>
      <c r="U41" s="2"/>
      <c r="V41" s="2"/>
      <c r="W41" s="2"/>
      <c r="X41" s="2"/>
      <c r="Y41" s="2"/>
      <c r="Z41" s="12" t="str">
        <f ca="1">IFERROR(__xludf.DUMMYFUNCTION("INDEX(IMPORTRANGE(""17pNv02DXDpQT9S3w4-QeNym2QJy2BzMBqDXp-XtzJBM"", ""'STC'!BH3:BH139""),MATCH($D41,IMPORTRANGE(""17pNv02DXDpQT9S3w4-QeNym2QJy2BzMBqDXp-XtzJBM"", ""'STC'!D3:D139""),0))"),"")</f>
        <v/>
      </c>
      <c r="AA41" s="12" t="str">
        <f ca="1">IFERROR(__xludf.DUMMYFUNCTION("INDEX(IMPORTRANGE(""17pNv02DXDpQT9S3w4-QeNym2QJy2BzMBqDXp-XtzJBM"", ""'STC'!BI3:BI139""),MATCH($D41,IMPORTRANGE(""17pNv02DXDpQT9S3w4-QeNym2QJy2BzMBqDXp-XtzJBM"", ""'STC'!D3:D139""),0))"),"")</f>
        <v/>
      </c>
      <c r="AB41" s="12">
        <f ca="1">IFERROR(__xludf.DUMMYFUNCTION("INDEX(IMPORTRANGE(""17pNv02DXDpQT9S3w4-QeNym2QJy2BzMBqDXp-XtzJBM"", ""'STC'!BJ3:BJ139""),MATCH($D41,IMPORTRANGE(""17pNv02DXDpQT9S3w4-QeNym2QJy2BzMBqDXp-XtzJBM"", ""'STC'!D3:D139""),0))"),101421.56)</f>
        <v>101421.56</v>
      </c>
      <c r="AC41" s="12">
        <f ca="1">IFERROR(__xludf.DUMMYFUNCTION("INDEX(IMPORTRANGE(""17pNv02DXDpQT9S3w4-QeNym2QJy2BzMBqDXp-XtzJBM"", ""'STC'!BK3:BK139""),MATCH($D41,IMPORTRANGE(""17pNv02DXDpQT9S3w4-QeNym2QJy2BzMBqDXp-XtzJBM"", ""'STC'!D3:D139""),0))"),142230.699999999)</f>
        <v>142230.69999999899</v>
      </c>
      <c r="AD41" s="12">
        <f ca="1">IFERROR(__xludf.DUMMYFUNCTION("INDEX(IMPORTRANGE(""17pNv02DXDpQT9S3w4-QeNym2QJy2BzMBqDXp-XtzJBM"", ""'STC'!BL3:BL139""),MATCH($D41,IMPORTRANGE(""17pNv02DXDpQT9S3w4-QeNym2QJy2BzMBqDXp-XtzJBM"", ""'STC'!D3:D139""),0))"),35002.1)</f>
        <v>35002.1</v>
      </c>
      <c r="AE41" s="12">
        <f ca="1">IFERROR(__xludf.DUMMYFUNCTION("INDEX(IMPORTRANGE(""17pNv02DXDpQT9S3w4-QeNym2QJy2BzMBqDXp-XtzJBM"", ""'STC'!BM3:BM139""),MATCH($D41,IMPORTRANGE(""17pNv02DXDpQT9S3w4-QeNym2QJy2BzMBqDXp-XtzJBM"", ""'STC'!D3:D139""),0))"),71429.1)</f>
        <v>71429.100000000006</v>
      </c>
    </row>
    <row r="42" spans="1:31">
      <c r="A42" s="7" t="s">
        <v>119</v>
      </c>
      <c r="B42" s="7" t="s">
        <v>120</v>
      </c>
      <c r="C42" s="1" t="s">
        <v>36</v>
      </c>
      <c r="D42" s="7" t="s">
        <v>333</v>
      </c>
      <c r="E42" s="9" t="s">
        <v>38</v>
      </c>
      <c r="F42" s="2" t="s">
        <v>334</v>
      </c>
      <c r="G42" s="2" t="s">
        <v>56</v>
      </c>
      <c r="H42" s="2" t="s">
        <v>57</v>
      </c>
      <c r="I42" s="2" t="s">
        <v>362</v>
      </c>
      <c r="J42" s="9" t="s">
        <v>58</v>
      </c>
      <c r="K42" s="9" t="s">
        <v>59</v>
      </c>
      <c r="L42" s="9" t="s">
        <v>60</v>
      </c>
      <c r="M42" s="9" t="s">
        <v>61</v>
      </c>
      <c r="N42" s="9" t="s">
        <v>62</v>
      </c>
      <c r="O42" s="21" t="s">
        <v>363</v>
      </c>
      <c r="P42" s="9" t="s">
        <v>63</v>
      </c>
      <c r="Q42" s="12"/>
      <c r="R42" s="12"/>
      <c r="S42" s="12" t="str">
        <f ca="1">IFERROR(__xludf.DUMMYFUNCTION("INDEX(IMPORTRANGE(""17pNv02DXDpQT9S3w4-QeNym2QJy2BzMBqDXp-XtzJBM"", ""'STC'!BG3:BG139""),MATCH($D42,IMPORTRANGE(""17pNv02DXDpQT9S3w4-QeNym2QJy2BzMBqDXp-XtzJBM"", ""'STC'!D3:D139""),0))"),"")</f>
        <v/>
      </c>
      <c r="T42" s="2"/>
      <c r="U42" s="26">
        <v>2.0000000000000001E-4</v>
      </c>
      <c r="V42" s="26">
        <v>2.2000000000000001E-4</v>
      </c>
      <c r="W42" s="26">
        <v>2.7E-4</v>
      </c>
      <c r="X42" s="26">
        <f t="shared" ref="X42:X43" si="12">((Y42-W42)/6)*5+W42</f>
        <v>3.6166666666666671E-4</v>
      </c>
      <c r="Y42" s="26">
        <v>3.8000000000000002E-4</v>
      </c>
      <c r="Z42" s="26" t="str">
        <f ca="1">IFERROR(__xludf.DUMMYFUNCTION("INDEX(IMPORTRANGE(""17pNv02DXDpQT9S3w4-QeNym2QJy2BzMBqDXp-XtzJBM"", ""'STC'!BH3:BH139""),MATCH($D42,IMPORTRANGE(""17pNv02DXDpQT9S3w4-QeNym2QJy2BzMBqDXp-XtzJBM"", ""'STC'!D3:D139""),0))"),"")</f>
        <v/>
      </c>
      <c r="AA42" s="26" t="str">
        <f ca="1">IFERROR(__xludf.DUMMYFUNCTION("INDEX(IMPORTRANGE(""17pNv02DXDpQT9S3w4-QeNym2QJy2BzMBqDXp-XtzJBM"", ""'STC'!BI3:BI139""),MATCH($D42,IMPORTRANGE(""17pNv02DXDpQT9S3w4-QeNym2QJy2BzMBqDXp-XtzJBM"", ""'STC'!D3:D139""),0))"),"")</f>
        <v/>
      </c>
      <c r="AB42" s="26">
        <f ca="1">IFERROR(__xludf.DUMMYFUNCTION("INDEX(IMPORTRANGE(""17pNv02DXDpQT9S3w4-QeNym2QJy2BzMBqDXp-XtzJBM"", ""'STC'!BJ3:BJ139""),MATCH($D42,IMPORTRANGE(""17pNv02DXDpQT9S3w4-QeNym2QJy2BzMBqDXp-XtzJBM"", ""'STC'!D3:D139""),0))"),0.00018635091000375)</f>
        <v>1.8635091000375001E-4</v>
      </c>
      <c r="AC42" s="26">
        <f ca="1">IFERROR(__xludf.DUMMYFUNCTION("INDEX(IMPORTRANGE(""17pNv02DXDpQT9S3w4-QeNym2QJy2BzMBqDXp-XtzJBM"", ""'STC'!BK3:BK139""),MATCH($D42,IMPORTRANGE(""17pNv02DXDpQT9S3w4-QeNym2QJy2BzMBqDXp-XtzJBM"", ""'STC'!D3:D139""),0))"),0.00018694979353965)</f>
        <v>1.8694979353965001E-4</v>
      </c>
      <c r="AD42" s="26">
        <f ca="1">IFERROR(__xludf.DUMMYFUNCTION("INDEX(IMPORTRANGE(""17pNv02DXDpQT9S3w4-QeNym2QJy2BzMBqDXp-XtzJBM"", ""'STC'!BL3:BL139""),MATCH($D42,IMPORTRANGE(""17pNv02DXDpQT9S3w4-QeNym2QJy2BzMBqDXp-XtzJBM"", ""'STC'!D3:D139""),0))"),0.0312266978267018)</f>
        <v>3.1226697826701798E-2</v>
      </c>
      <c r="AE42" s="26">
        <f ca="1">IFERROR(__xludf.DUMMYFUNCTION("INDEX(IMPORTRANGE(""17pNv02DXDpQT9S3w4-QeNym2QJy2BzMBqDXp-XtzJBM"", ""'STC'!BM3:BM139""),MATCH($D42,IMPORTRANGE(""17pNv02DXDpQT9S3w4-QeNym2QJy2BzMBqDXp-XtzJBM"", ""'STC'!D3:D139""),0))"),0.0183692640674459)</f>
        <v>1.8369264067445899E-2</v>
      </c>
    </row>
    <row r="43" spans="1:31">
      <c r="A43" s="7" t="s">
        <v>119</v>
      </c>
      <c r="B43" s="7" t="s">
        <v>127</v>
      </c>
      <c r="C43" s="1" t="s">
        <v>36</v>
      </c>
      <c r="D43" s="7" t="s">
        <v>128</v>
      </c>
      <c r="E43" s="9" t="s">
        <v>38</v>
      </c>
      <c r="F43" s="9" t="s">
        <v>129</v>
      </c>
      <c r="G43" s="2" t="s">
        <v>56</v>
      </c>
      <c r="H43" s="2" t="s">
        <v>57</v>
      </c>
      <c r="I43" s="2" t="s">
        <v>362</v>
      </c>
      <c r="J43" s="2" t="s">
        <v>58</v>
      </c>
      <c r="K43" s="2" t="s">
        <v>59</v>
      </c>
      <c r="L43" s="2" t="s">
        <v>335</v>
      </c>
      <c r="M43" s="2" t="s">
        <v>336</v>
      </c>
      <c r="N43" s="2" t="s">
        <v>337</v>
      </c>
      <c r="O43" s="262" t="s">
        <v>364</v>
      </c>
      <c r="P43" s="12" t="s">
        <v>132</v>
      </c>
      <c r="Q43" s="12">
        <v>0</v>
      </c>
      <c r="R43" s="12">
        <v>0</v>
      </c>
      <c r="S43" s="12">
        <f ca="1">IFERROR(__xludf.DUMMYFUNCTION("INDEX(IMPORTRANGE(""17pNv02DXDpQT9S3w4-QeNym2QJy2BzMBqDXp-XtzJBM"", ""'STC'!BG3:BG139""),MATCH($D43,IMPORTRANGE(""17pNv02DXDpQT9S3w4-QeNym2QJy2BzMBqDXp-XtzJBM"", ""'STC'!D3:D139""),0))"),0)</f>
        <v>0</v>
      </c>
      <c r="T43" s="2">
        <v>6</v>
      </c>
      <c r="U43" s="2">
        <v>11</v>
      </c>
      <c r="V43" s="2">
        <v>16</v>
      </c>
      <c r="W43" s="2">
        <v>21</v>
      </c>
      <c r="X43" s="456">
        <f t="shared" si="12"/>
        <v>24.333333333333332</v>
      </c>
      <c r="Y43" s="2">
        <v>25</v>
      </c>
      <c r="Z43" s="12">
        <f ca="1">IFERROR(__xludf.DUMMYFUNCTION("INDEX(IMPORTRANGE(""17pNv02DXDpQT9S3w4-QeNym2QJy2BzMBqDXp-XtzJBM"", ""'STC'!BH3:BH139""),MATCH($D43,IMPORTRANGE(""17pNv02DXDpQT9S3w4-QeNym2QJy2BzMBqDXp-XtzJBM"", ""'STC'!D3:D139""),0))"),0)</f>
        <v>0</v>
      </c>
      <c r="AA43" s="12">
        <f ca="1">IFERROR(__xludf.DUMMYFUNCTION("INDEX(IMPORTRANGE(""17pNv02DXDpQT9S3w4-QeNym2QJy2BzMBqDXp-XtzJBM"", ""'STC'!BI3:BI139""),MATCH($D43,IMPORTRANGE(""17pNv02DXDpQT9S3w4-QeNym2QJy2BzMBqDXp-XtzJBM"", ""'STC'!D3:D139""),0))"),6)</f>
        <v>6</v>
      </c>
      <c r="AB43" s="12">
        <f ca="1">IFERROR(__xludf.DUMMYFUNCTION("INDEX(IMPORTRANGE(""17pNv02DXDpQT9S3w4-QeNym2QJy2BzMBqDXp-XtzJBM"", ""'STC'!BJ3:BJ139""),MATCH($D43,IMPORTRANGE(""17pNv02DXDpQT9S3w4-QeNym2QJy2BzMBqDXp-XtzJBM"", ""'STC'!D3:D139""),0))"),7)</f>
        <v>7</v>
      </c>
      <c r="AC43" s="12">
        <f ca="1">IFERROR(__xludf.DUMMYFUNCTION("INDEX(IMPORTRANGE(""17pNv02DXDpQT9S3w4-QeNym2QJy2BzMBqDXp-XtzJBM"", ""'STC'!BK3:BK139""),MATCH($D43,IMPORTRANGE(""17pNv02DXDpQT9S3w4-QeNym2QJy2BzMBqDXp-XtzJBM"", ""'STC'!D3:D139""),0))"),7)</f>
        <v>7</v>
      </c>
      <c r="AD43" s="12">
        <f ca="1">IFERROR(__xludf.DUMMYFUNCTION("INDEX(IMPORTRANGE(""17pNv02DXDpQT9S3w4-QeNym2QJy2BzMBqDXp-XtzJBM"", ""'STC'!BL3:BL139""),MATCH($D43,IMPORTRANGE(""17pNv02DXDpQT9S3w4-QeNym2QJy2BzMBqDXp-XtzJBM"", ""'STC'!D3:D139""),0))"),10)</f>
        <v>10</v>
      </c>
      <c r="AE43" s="12">
        <f ca="1">IFERROR(__xludf.DUMMYFUNCTION("INDEX(IMPORTRANGE(""17pNv02DXDpQT9S3w4-QeNym2QJy2BzMBqDXp-XtzJBM"", ""'STC'!BM3:BM139""),MATCH($D43,IMPORTRANGE(""17pNv02DXDpQT9S3w4-QeNym2QJy2BzMBqDXp-XtzJBM"", ""'STC'!D3:D139""),0))"),14)</f>
        <v>14</v>
      </c>
    </row>
    <row r="44" spans="1:31">
      <c r="A44" s="7" t="s">
        <v>119</v>
      </c>
      <c r="B44" s="7" t="s">
        <v>133</v>
      </c>
      <c r="C44" s="1" t="s">
        <v>36</v>
      </c>
      <c r="D44" s="7" t="s">
        <v>134</v>
      </c>
      <c r="E44" s="9" t="s">
        <v>38</v>
      </c>
      <c r="F44" s="9" t="s">
        <v>135</v>
      </c>
      <c r="G44" s="2" t="s">
        <v>56</v>
      </c>
      <c r="H44" s="2" t="s">
        <v>57</v>
      </c>
      <c r="I44" s="2" t="s">
        <v>362</v>
      </c>
      <c r="J44" s="2" t="s">
        <v>58</v>
      </c>
      <c r="K44" s="2" t="s">
        <v>59</v>
      </c>
      <c r="L44" s="2" t="s">
        <v>335</v>
      </c>
      <c r="M44" s="2" t="s">
        <v>336</v>
      </c>
      <c r="N44" s="2" t="s">
        <v>337</v>
      </c>
      <c r="O44" s="262" t="s">
        <v>364</v>
      </c>
      <c r="P44" s="12" t="s">
        <v>132</v>
      </c>
      <c r="Q44" s="12">
        <v>2219</v>
      </c>
      <c r="R44" s="12">
        <v>3265</v>
      </c>
      <c r="S44" s="12">
        <f ca="1">IFERROR(__xludf.DUMMYFUNCTION("INDEX(IMPORTRANGE(""17pNv02DXDpQT9S3w4-QeNym2QJy2BzMBqDXp-XtzJBM"", ""'STC'!BG3:BG139""),MATCH($D44,IMPORTRANGE(""17pNv02DXDpQT9S3w4-QeNym2QJy2BzMBqDXp-XtzJBM"", ""'STC'!D3:D139""),0))"),3140)</f>
        <v>3140</v>
      </c>
      <c r="T44" s="2">
        <v>180</v>
      </c>
      <c r="U44" s="2">
        <f>220+T44</f>
        <v>400</v>
      </c>
      <c r="V44" s="2">
        <f>250+U44</f>
        <v>650</v>
      </c>
      <c r="W44" s="2">
        <f>V44+ 280</f>
        <v>930</v>
      </c>
      <c r="X44" s="456">
        <f ca="1">((Y44-AD44)/6)*5+AD44</f>
        <v>1369.8333333333333</v>
      </c>
      <c r="Y44" s="2">
        <v>1380</v>
      </c>
      <c r="Z44" s="12">
        <f ca="1">IFERROR(__xludf.DUMMYFUNCTION("INDEX(IMPORTRANGE(""17pNv02DXDpQT9S3w4-QeNym2QJy2BzMBqDXp-XtzJBM"", ""'STC'!BH3:BH139""),MATCH($D44,IMPORTRANGE(""17pNv02DXDpQT9S3w4-QeNym2QJy2BzMBqDXp-XtzJBM"", ""'STC'!D3:D139""),0))"),153)</f>
        <v>153</v>
      </c>
      <c r="AA44" s="12">
        <f ca="1">IFERROR(__xludf.DUMMYFUNCTION("INDEX(IMPORTRANGE(""17pNv02DXDpQT9S3w4-QeNym2QJy2BzMBqDXp-XtzJBM"", ""'STC'!BI3:BI139""),MATCH($D44,IMPORTRANGE(""17pNv02DXDpQT9S3w4-QeNym2QJy2BzMBqDXp-XtzJBM"", ""'STC'!D3:D139""),0))"),309)</f>
        <v>309</v>
      </c>
      <c r="AB44" s="12">
        <f ca="1">IFERROR(__xludf.DUMMYFUNCTION("INDEX(IMPORTRANGE(""17pNv02DXDpQT9S3w4-QeNym2QJy2BzMBqDXp-XtzJBM"", ""'STC'!BJ3:BJ139""),MATCH($D44,IMPORTRANGE(""17pNv02DXDpQT9S3w4-QeNym2QJy2BzMBqDXp-XtzJBM"", ""'STC'!D3:D139""),0))"),542)</f>
        <v>542</v>
      </c>
      <c r="AC44" s="12">
        <f ca="1">IFERROR(__xludf.DUMMYFUNCTION("INDEX(IMPORTRANGE(""17pNv02DXDpQT9S3w4-QeNym2QJy2BzMBqDXp-XtzJBM"", ""'STC'!BK3:BK139""),MATCH($D44,IMPORTRANGE(""17pNv02DXDpQT9S3w4-QeNym2QJy2BzMBqDXp-XtzJBM"", ""'STC'!D3:D139""),0))"),961)</f>
        <v>961</v>
      </c>
      <c r="AD44" s="12">
        <f ca="1">IFERROR(__xludf.DUMMYFUNCTION("INDEX(IMPORTRANGE(""17pNv02DXDpQT9S3w4-QeNym2QJy2BzMBqDXp-XtzJBM"", ""'STC'!BL3:BL139""),MATCH($D44,IMPORTRANGE(""17pNv02DXDpQT9S3w4-QeNym2QJy2BzMBqDXp-XtzJBM"", ""'STC'!D3:D139""),0))"),1319)</f>
        <v>1319</v>
      </c>
      <c r="AE44" s="12">
        <f ca="1">IFERROR(__xludf.DUMMYFUNCTION("INDEX(IMPORTRANGE(""17pNv02DXDpQT9S3w4-QeNym2QJy2BzMBqDXp-XtzJBM"", ""'STC'!BM3:BM139""),MATCH($D44,IMPORTRANGE(""17pNv02DXDpQT9S3w4-QeNym2QJy2BzMBqDXp-XtzJBM"", ""'STC'!D3:D139""),0))"),1535)</f>
        <v>1535</v>
      </c>
    </row>
    <row r="45" spans="1:31">
      <c r="A45" s="7" t="s">
        <v>119</v>
      </c>
      <c r="B45" s="7" t="s">
        <v>136</v>
      </c>
      <c r="C45" s="1" t="s">
        <v>30</v>
      </c>
      <c r="D45" s="7" t="s">
        <v>137</v>
      </c>
      <c r="E45" s="9" t="s">
        <v>38</v>
      </c>
      <c r="F45" s="2" t="s">
        <v>138</v>
      </c>
      <c r="G45" s="2" t="s">
        <v>56</v>
      </c>
      <c r="H45" s="2" t="s">
        <v>57</v>
      </c>
      <c r="I45" s="2" t="s">
        <v>362</v>
      </c>
      <c r="J45" s="2" t="s">
        <v>58</v>
      </c>
      <c r="K45" s="2" t="s">
        <v>59</v>
      </c>
      <c r="L45" s="2" t="s">
        <v>335</v>
      </c>
      <c r="M45" s="2" t="s">
        <v>336</v>
      </c>
      <c r="N45" s="2" t="s">
        <v>337</v>
      </c>
      <c r="O45" s="262" t="s">
        <v>364</v>
      </c>
      <c r="P45" s="12" t="s">
        <v>132</v>
      </c>
      <c r="Q45" s="12">
        <v>0</v>
      </c>
      <c r="R45" s="2">
        <v>1</v>
      </c>
      <c r="S45" s="2">
        <f ca="1">IFERROR(__xludf.DUMMYFUNCTION("INDEX(IMPORTRANGE(""17pNv02DXDpQT9S3w4-QeNym2QJy2BzMBqDXp-XtzJBM"", ""'STC'!BG3:BG139""),MATCH($D45,IMPORTRANGE(""17pNv02DXDpQT9S3w4-QeNym2QJy2BzMBqDXp-XtzJBM"", ""'STC'!D3:D139""),0))"),1)</f>
        <v>1</v>
      </c>
      <c r="T45" s="2"/>
      <c r="U45" s="2"/>
      <c r="V45" s="2"/>
      <c r="W45" s="2"/>
      <c r="X45" s="2"/>
      <c r="Y45" s="2"/>
      <c r="Z45" s="12">
        <f ca="1">IFERROR(__xludf.DUMMYFUNCTION("INDEX(IMPORTRANGE(""17pNv02DXDpQT9S3w4-QeNym2QJy2BzMBqDXp-XtzJBM"", ""'STC'!BH3:BH139""),MATCH($D45,IMPORTRANGE(""17pNv02DXDpQT9S3w4-QeNym2QJy2BzMBqDXp-XtzJBM"", ""'STC'!D3:D139""),0))"),5)</f>
        <v>5</v>
      </c>
      <c r="AA45" s="12">
        <f ca="1">IFERROR(__xludf.DUMMYFUNCTION("INDEX(IMPORTRANGE(""17pNv02DXDpQT9S3w4-QeNym2QJy2BzMBqDXp-XtzJBM"", ""'STC'!BI3:BI139""),MATCH($D45,IMPORTRANGE(""17pNv02DXDpQT9S3w4-QeNym2QJy2BzMBqDXp-XtzJBM"", ""'STC'!D3:D139""),0))"),7)</f>
        <v>7</v>
      </c>
      <c r="AB45" s="12">
        <f ca="1">IFERROR(__xludf.DUMMYFUNCTION("INDEX(IMPORTRANGE(""17pNv02DXDpQT9S3w4-QeNym2QJy2BzMBqDXp-XtzJBM"", ""'STC'!BJ3:BJ139""),MATCH($D45,IMPORTRANGE(""17pNv02DXDpQT9S3w4-QeNym2QJy2BzMBqDXp-XtzJBM"", ""'STC'!D3:D139""),0))"),8)</f>
        <v>8</v>
      </c>
      <c r="AC45" s="12">
        <f ca="1">IFERROR(__xludf.DUMMYFUNCTION("INDEX(IMPORTRANGE(""17pNv02DXDpQT9S3w4-QeNym2QJy2BzMBqDXp-XtzJBM"", ""'STC'!BK3:BK139""),MATCH($D45,IMPORTRANGE(""17pNv02DXDpQT9S3w4-QeNym2QJy2BzMBqDXp-XtzJBM"", ""'STC'!D3:D139""),0))"),12)</f>
        <v>12</v>
      </c>
      <c r="AD45" s="12">
        <f ca="1">IFERROR(__xludf.DUMMYFUNCTION("INDEX(IMPORTRANGE(""17pNv02DXDpQT9S3w4-QeNym2QJy2BzMBqDXp-XtzJBM"", ""'STC'!BL3:BL139""),MATCH($D45,IMPORTRANGE(""17pNv02DXDpQT9S3w4-QeNym2QJy2BzMBqDXp-XtzJBM"", ""'STC'!D3:D139""),0))"),12)</f>
        <v>12</v>
      </c>
      <c r="AE45" s="12">
        <f ca="1">IFERROR(__xludf.DUMMYFUNCTION("INDEX(IMPORTRANGE(""17pNv02DXDpQT9S3w4-QeNym2QJy2BzMBqDXp-XtzJBM"", ""'STC'!BM3:BM139""),MATCH($D45,IMPORTRANGE(""17pNv02DXDpQT9S3w4-QeNym2QJy2BzMBqDXp-XtzJBM"", ""'STC'!D3:D139""),0))"),12)</f>
        <v>12</v>
      </c>
    </row>
    <row r="46" spans="1:31">
      <c r="A46" s="7" t="s">
        <v>119</v>
      </c>
      <c r="B46" s="7" t="s">
        <v>136</v>
      </c>
      <c r="C46" s="1" t="s">
        <v>30</v>
      </c>
      <c r="D46" s="7" t="s">
        <v>139</v>
      </c>
      <c r="E46" s="9" t="s">
        <v>38</v>
      </c>
      <c r="F46" s="2" t="s">
        <v>140</v>
      </c>
      <c r="G46" s="2" t="s">
        <v>56</v>
      </c>
      <c r="H46" s="2" t="s">
        <v>57</v>
      </c>
      <c r="I46" s="2" t="s">
        <v>362</v>
      </c>
      <c r="J46" s="2" t="s">
        <v>58</v>
      </c>
      <c r="K46" s="2" t="s">
        <v>59</v>
      </c>
      <c r="L46" s="2" t="s">
        <v>335</v>
      </c>
      <c r="M46" s="2" t="s">
        <v>336</v>
      </c>
      <c r="N46" s="2" t="s">
        <v>337</v>
      </c>
      <c r="O46" s="262" t="s">
        <v>364</v>
      </c>
      <c r="P46" s="12" t="s">
        <v>132</v>
      </c>
      <c r="Q46" s="12"/>
      <c r="R46" s="2"/>
      <c r="S46" s="2">
        <f ca="1">IFERROR(__xludf.DUMMYFUNCTION("INDEX(IMPORTRANGE(""17pNv02DXDpQT9S3w4-QeNym2QJy2BzMBqDXp-XtzJBM"", ""'STC'!BG3:BG139""),MATCH($D46,IMPORTRANGE(""17pNv02DXDpQT9S3w4-QeNym2QJy2BzMBqDXp-XtzJBM"", ""'STC'!D3:D139""),0))"),0)</f>
        <v>0</v>
      </c>
      <c r="T46" s="2"/>
      <c r="U46" s="2"/>
      <c r="V46" s="2"/>
      <c r="W46" s="2"/>
      <c r="X46" s="2"/>
      <c r="Y46" s="2"/>
      <c r="Z46" s="12" t="str">
        <f ca="1">IFERROR(__xludf.DUMMYFUNCTION("INDEX(IMPORTRANGE(""17pNv02DXDpQT9S3w4-QeNym2QJy2BzMBqDXp-XtzJBM"", ""'STC'!BH3:BH139""),MATCH($D46,IMPORTRANGE(""17pNv02DXDpQT9S3w4-QeNym2QJy2BzMBqDXp-XtzJBM"", ""'STC'!D3:D139""),0))"),"")</f>
        <v/>
      </c>
      <c r="AA46" s="12">
        <f ca="1">IFERROR(__xludf.DUMMYFUNCTION("INDEX(IMPORTRANGE(""17pNv02DXDpQT9S3w4-QeNym2QJy2BzMBqDXp-XtzJBM"", ""'STC'!BI3:BI139""),MATCH($D46,IMPORTRANGE(""17pNv02DXDpQT9S3w4-QeNym2QJy2BzMBqDXp-XtzJBM"", ""'STC'!D3:D139""),0))"),0)</f>
        <v>0</v>
      </c>
      <c r="AB46" s="12">
        <f ca="1">IFERROR(__xludf.DUMMYFUNCTION("INDEX(IMPORTRANGE(""17pNv02DXDpQT9S3w4-QeNym2QJy2BzMBqDXp-XtzJBM"", ""'STC'!BJ3:BJ139""),MATCH($D46,IMPORTRANGE(""17pNv02DXDpQT9S3w4-QeNym2QJy2BzMBqDXp-XtzJBM"", ""'STC'!D3:D139""),0))"),1)</f>
        <v>1</v>
      </c>
      <c r="AC46" s="12">
        <f ca="1">IFERROR(__xludf.DUMMYFUNCTION("INDEX(IMPORTRANGE(""17pNv02DXDpQT9S3w4-QeNym2QJy2BzMBqDXp-XtzJBM"", ""'STC'!BK3:BK139""),MATCH($D46,IMPORTRANGE(""17pNv02DXDpQT9S3w4-QeNym2QJy2BzMBqDXp-XtzJBM"", ""'STC'!D3:D139""),0))"),1)</f>
        <v>1</v>
      </c>
      <c r="AD46" s="12">
        <f ca="1">IFERROR(__xludf.DUMMYFUNCTION("INDEX(IMPORTRANGE(""17pNv02DXDpQT9S3w4-QeNym2QJy2BzMBqDXp-XtzJBM"", ""'STC'!BL3:BL139""),MATCH($D46,IMPORTRANGE(""17pNv02DXDpQT9S3w4-QeNym2QJy2BzMBqDXp-XtzJBM"", ""'STC'!D3:D139""),0))"),1)</f>
        <v>1</v>
      </c>
      <c r="AE46" s="12">
        <f ca="1">IFERROR(__xludf.DUMMYFUNCTION("INDEX(IMPORTRANGE(""17pNv02DXDpQT9S3w4-QeNym2QJy2BzMBqDXp-XtzJBM"", ""'STC'!BM3:BM139""),MATCH($D46,IMPORTRANGE(""17pNv02DXDpQT9S3w4-QeNym2QJy2BzMBqDXp-XtzJBM"", ""'STC'!D3:D139""),0))"),1)</f>
        <v>1</v>
      </c>
    </row>
    <row r="47" spans="1:31">
      <c r="A47" s="7" t="s">
        <v>119</v>
      </c>
      <c r="B47" s="7" t="s">
        <v>136</v>
      </c>
      <c r="C47" s="1" t="s">
        <v>30</v>
      </c>
      <c r="D47" s="7" t="s">
        <v>141</v>
      </c>
      <c r="E47" s="9" t="s">
        <v>38</v>
      </c>
      <c r="F47" s="2" t="s">
        <v>142</v>
      </c>
      <c r="G47" s="2" t="s">
        <v>56</v>
      </c>
      <c r="H47" s="2" t="s">
        <v>57</v>
      </c>
      <c r="I47" s="2" t="s">
        <v>362</v>
      </c>
      <c r="J47" s="2" t="s">
        <v>58</v>
      </c>
      <c r="K47" s="2" t="s">
        <v>59</v>
      </c>
      <c r="L47" s="2" t="s">
        <v>335</v>
      </c>
      <c r="M47" s="2" t="s">
        <v>336</v>
      </c>
      <c r="N47" s="2" t="s">
        <v>337</v>
      </c>
      <c r="O47" s="262" t="s">
        <v>364</v>
      </c>
      <c r="P47" s="12" t="s">
        <v>132</v>
      </c>
      <c r="Q47" s="12">
        <v>0</v>
      </c>
      <c r="R47" s="2">
        <v>14</v>
      </c>
      <c r="S47" s="2">
        <f ca="1">IFERROR(__xludf.DUMMYFUNCTION("INDEX(IMPORTRANGE(""17pNv02DXDpQT9S3w4-QeNym2QJy2BzMBqDXp-XtzJBM"", ""'STC'!BG3:BG139""),MATCH($D47,IMPORTRANGE(""17pNv02DXDpQT9S3w4-QeNym2QJy2BzMBqDXp-XtzJBM"", ""'STC'!D3:D139""),0))"),14)</f>
        <v>14</v>
      </c>
      <c r="T47" s="2"/>
      <c r="U47" s="2"/>
      <c r="V47" s="2"/>
      <c r="W47" s="2"/>
      <c r="X47" s="2"/>
      <c r="Y47" s="2"/>
      <c r="Z47" s="12">
        <f ca="1">IFERROR(__xludf.DUMMYFUNCTION("INDEX(IMPORTRANGE(""17pNv02DXDpQT9S3w4-QeNym2QJy2BzMBqDXp-XtzJBM"", ""'STC'!BH3:BH139""),MATCH($D47,IMPORTRANGE(""17pNv02DXDpQT9S3w4-QeNym2QJy2BzMBqDXp-XtzJBM"", ""'STC'!D3:D139""),0))"),3)</f>
        <v>3</v>
      </c>
      <c r="AA47" s="12">
        <f ca="1">IFERROR(__xludf.DUMMYFUNCTION("INDEX(IMPORTRANGE(""17pNv02DXDpQT9S3w4-QeNym2QJy2BzMBqDXp-XtzJBM"", ""'STC'!BI3:BI139""),MATCH($D47,IMPORTRANGE(""17pNv02DXDpQT9S3w4-QeNym2QJy2BzMBqDXp-XtzJBM"", ""'STC'!D3:D139""),0))"),9)</f>
        <v>9</v>
      </c>
      <c r="AB47" s="12">
        <f ca="1">IFERROR(__xludf.DUMMYFUNCTION("INDEX(IMPORTRANGE(""17pNv02DXDpQT9S3w4-QeNym2QJy2BzMBqDXp-XtzJBM"", ""'STC'!BJ3:BJ139""),MATCH($D47,IMPORTRANGE(""17pNv02DXDpQT9S3w4-QeNym2QJy2BzMBqDXp-XtzJBM"", ""'STC'!D3:D139""),0))"),11)</f>
        <v>11</v>
      </c>
      <c r="AC47" s="12">
        <f ca="1">IFERROR(__xludf.DUMMYFUNCTION("INDEX(IMPORTRANGE(""17pNv02DXDpQT9S3w4-QeNym2QJy2BzMBqDXp-XtzJBM"", ""'STC'!BK3:BK139""),MATCH($D47,IMPORTRANGE(""17pNv02DXDpQT9S3w4-QeNym2QJy2BzMBqDXp-XtzJBM"", ""'STC'!D3:D139""),0))"),39)</f>
        <v>39</v>
      </c>
      <c r="AD47" s="12">
        <f ca="1">IFERROR(__xludf.DUMMYFUNCTION("INDEX(IMPORTRANGE(""17pNv02DXDpQT9S3w4-QeNym2QJy2BzMBqDXp-XtzJBM"", ""'STC'!BL3:BL139""),MATCH($D47,IMPORTRANGE(""17pNv02DXDpQT9S3w4-QeNym2QJy2BzMBqDXp-XtzJBM"", ""'STC'!D3:D139""),0))"),58)</f>
        <v>58</v>
      </c>
      <c r="AE47" s="12">
        <f ca="1">IFERROR(__xludf.DUMMYFUNCTION("INDEX(IMPORTRANGE(""17pNv02DXDpQT9S3w4-QeNym2QJy2BzMBqDXp-XtzJBM"", ""'STC'!BM3:BM139""),MATCH($D47,IMPORTRANGE(""17pNv02DXDpQT9S3w4-QeNym2QJy2BzMBqDXp-XtzJBM"", ""'STC'!D3:D139""),0))"),64)</f>
        <v>64</v>
      </c>
    </row>
    <row r="48" spans="1:31">
      <c r="A48" s="7" t="s">
        <v>119</v>
      </c>
      <c r="B48" s="7" t="s">
        <v>136</v>
      </c>
      <c r="C48" s="1" t="s">
        <v>30</v>
      </c>
      <c r="D48" s="7" t="s">
        <v>143</v>
      </c>
      <c r="E48" s="9" t="s">
        <v>38</v>
      </c>
      <c r="F48" s="2" t="s">
        <v>144</v>
      </c>
      <c r="G48" s="2" t="s">
        <v>56</v>
      </c>
      <c r="H48" s="2" t="s">
        <v>57</v>
      </c>
      <c r="I48" s="2" t="s">
        <v>362</v>
      </c>
      <c r="J48" s="2" t="s">
        <v>58</v>
      </c>
      <c r="K48" s="2" t="s">
        <v>59</v>
      </c>
      <c r="L48" s="2" t="s">
        <v>335</v>
      </c>
      <c r="M48" s="2" t="s">
        <v>336</v>
      </c>
      <c r="N48" s="2" t="s">
        <v>337</v>
      </c>
      <c r="O48" s="262" t="s">
        <v>364</v>
      </c>
      <c r="P48" s="12" t="s">
        <v>132</v>
      </c>
      <c r="Q48" s="12"/>
      <c r="R48" s="12"/>
      <c r="S48" s="12">
        <f ca="1">IFERROR(__xludf.DUMMYFUNCTION("INDEX(IMPORTRANGE(""17pNv02DXDpQT9S3w4-QeNym2QJy2BzMBqDXp-XtzJBM"", ""'STC'!BG3:BG139""),MATCH($D48,IMPORTRANGE(""17pNv02DXDpQT9S3w4-QeNym2QJy2BzMBqDXp-XtzJBM"", ""'STC'!D3:D139""),0))"),0)</f>
        <v>0</v>
      </c>
      <c r="T48" s="2"/>
      <c r="U48" s="2"/>
      <c r="V48" s="2"/>
      <c r="W48" s="2"/>
      <c r="X48" s="2"/>
      <c r="Y48" s="2"/>
      <c r="Z48" s="12" t="str">
        <f ca="1">IFERROR(__xludf.DUMMYFUNCTION("INDEX(IMPORTRANGE(""17pNv02DXDpQT9S3w4-QeNym2QJy2BzMBqDXp-XtzJBM"", ""'STC'!BH3:BH139""),MATCH($D48,IMPORTRANGE(""17pNv02DXDpQT9S3w4-QeNym2QJy2BzMBqDXp-XtzJBM"", ""'STC'!D3:D139""),0))"),"")</f>
        <v/>
      </c>
      <c r="AA48" s="12">
        <f ca="1">IFERROR(__xludf.DUMMYFUNCTION("INDEX(IMPORTRANGE(""17pNv02DXDpQT9S3w4-QeNym2QJy2BzMBqDXp-XtzJBM"", ""'STC'!BI3:BI139""),MATCH($D48,IMPORTRANGE(""17pNv02DXDpQT9S3w4-QeNym2QJy2BzMBqDXp-XtzJBM"", ""'STC'!D3:D139""),0))"),1)</f>
        <v>1</v>
      </c>
      <c r="AB48" s="12">
        <f ca="1">IFERROR(__xludf.DUMMYFUNCTION("INDEX(IMPORTRANGE(""17pNv02DXDpQT9S3w4-QeNym2QJy2BzMBqDXp-XtzJBM"", ""'STC'!BJ3:BJ139""),MATCH($D48,IMPORTRANGE(""17pNv02DXDpQT9S3w4-QeNym2QJy2BzMBqDXp-XtzJBM"", ""'STC'!D3:D139""),0))"),5)</f>
        <v>5</v>
      </c>
      <c r="AC48" s="12">
        <f ca="1">IFERROR(__xludf.DUMMYFUNCTION("INDEX(IMPORTRANGE(""17pNv02DXDpQT9S3w4-QeNym2QJy2BzMBqDXp-XtzJBM"", ""'STC'!BK3:BK139""),MATCH($D48,IMPORTRANGE(""17pNv02DXDpQT9S3w4-QeNym2QJy2BzMBqDXp-XtzJBM"", ""'STC'!D3:D139""),0))"),5)</f>
        <v>5</v>
      </c>
      <c r="AD48" s="12">
        <f ca="1">IFERROR(__xludf.DUMMYFUNCTION("INDEX(IMPORTRANGE(""17pNv02DXDpQT9S3w4-QeNym2QJy2BzMBqDXp-XtzJBM"", ""'STC'!BL3:BL139""),MATCH($D48,IMPORTRANGE(""17pNv02DXDpQT9S3w4-QeNym2QJy2BzMBqDXp-XtzJBM"", ""'STC'!D3:D139""),0))"),8)</f>
        <v>8</v>
      </c>
      <c r="AE48" s="12">
        <f ca="1">IFERROR(__xludf.DUMMYFUNCTION("INDEX(IMPORTRANGE(""17pNv02DXDpQT9S3w4-QeNym2QJy2BzMBqDXp-XtzJBM"", ""'STC'!BM3:BM139""),MATCH($D48,IMPORTRANGE(""17pNv02DXDpQT9S3w4-QeNym2QJy2BzMBqDXp-XtzJBM"", ""'STC'!D3:D139""),0))"),8)</f>
        <v>8</v>
      </c>
    </row>
    <row r="49" spans="1:31">
      <c r="A49" s="7" t="s">
        <v>119</v>
      </c>
      <c r="B49" s="7" t="s">
        <v>136</v>
      </c>
      <c r="C49" s="1" t="s">
        <v>36</v>
      </c>
      <c r="D49" s="7" t="s">
        <v>145</v>
      </c>
      <c r="E49" s="9" t="s">
        <v>38</v>
      </c>
      <c r="F49" s="2" t="s">
        <v>146</v>
      </c>
      <c r="G49" s="2" t="s">
        <v>56</v>
      </c>
      <c r="H49" s="2" t="s">
        <v>57</v>
      </c>
      <c r="I49" s="2" t="s">
        <v>362</v>
      </c>
      <c r="J49" s="2" t="s">
        <v>58</v>
      </c>
      <c r="K49" s="2" t="s">
        <v>59</v>
      </c>
      <c r="L49" s="2" t="s">
        <v>335</v>
      </c>
      <c r="M49" s="2" t="s">
        <v>336</v>
      </c>
      <c r="N49" s="2" t="s">
        <v>337</v>
      </c>
      <c r="O49" s="262" t="s">
        <v>364</v>
      </c>
      <c r="P49" s="12" t="s">
        <v>132</v>
      </c>
      <c r="Q49" s="12">
        <v>0</v>
      </c>
      <c r="R49" s="12">
        <f>SUM(R45:R47)</f>
        <v>15</v>
      </c>
      <c r="S49" s="12">
        <f ca="1">IFERROR(__xludf.DUMMYFUNCTION("INDEX(IMPORTRANGE(""17pNv02DXDpQT9S3w4-QeNym2QJy2BzMBqDXp-XtzJBM"", ""'STC'!BG3:BG139""),MATCH($D49,IMPORTRANGE(""17pNv02DXDpQT9S3w4-QeNym2QJy2BzMBqDXp-XtzJBM"", ""'STC'!D3:D139""),0))"),16)</f>
        <v>16</v>
      </c>
      <c r="T49" s="2">
        <v>7</v>
      </c>
      <c r="U49" s="2">
        <f>3+T49</f>
        <v>10</v>
      </c>
      <c r="V49" s="2">
        <f>4+U49</f>
        <v>14</v>
      </c>
      <c r="W49" s="2">
        <f>3+V49</f>
        <v>17</v>
      </c>
      <c r="X49" s="2">
        <f>W49+4</f>
        <v>21</v>
      </c>
      <c r="Y49" s="2">
        <v>21</v>
      </c>
      <c r="Z49" s="12">
        <f ca="1">IFERROR(__xludf.DUMMYFUNCTION("INDEX(IMPORTRANGE(""17pNv02DXDpQT9S3w4-QeNym2QJy2BzMBqDXp-XtzJBM"", ""'STC'!BH3:BH139""),MATCH($D49,IMPORTRANGE(""17pNv02DXDpQT9S3w4-QeNym2QJy2BzMBqDXp-XtzJBM"", ""'STC'!D3:D139""),0))"),8)</f>
        <v>8</v>
      </c>
      <c r="AA49" s="12">
        <f ca="1">IFERROR(__xludf.DUMMYFUNCTION("INDEX(IMPORTRANGE(""17pNv02DXDpQT9S3w4-QeNym2QJy2BzMBqDXp-XtzJBM"", ""'STC'!BI3:BI139""),MATCH($D49,IMPORTRANGE(""17pNv02DXDpQT9S3w4-QeNym2QJy2BzMBqDXp-XtzJBM"", ""'STC'!D3:D139""),0))"),17)</f>
        <v>17</v>
      </c>
      <c r="AB49" s="12">
        <f ca="1">IFERROR(__xludf.DUMMYFUNCTION("INDEX(IMPORTRANGE(""17pNv02DXDpQT9S3w4-QeNym2QJy2BzMBqDXp-XtzJBM"", ""'STC'!BJ3:BJ139""),MATCH($D49,IMPORTRANGE(""17pNv02DXDpQT9S3w4-QeNym2QJy2BzMBqDXp-XtzJBM"", ""'STC'!D3:D139""),0))"),25)</f>
        <v>25</v>
      </c>
      <c r="AC49" s="12">
        <f ca="1">IFERROR(__xludf.DUMMYFUNCTION("INDEX(IMPORTRANGE(""17pNv02DXDpQT9S3w4-QeNym2QJy2BzMBqDXp-XtzJBM"", ""'STC'!BK3:BK139""),MATCH($D49,IMPORTRANGE(""17pNv02DXDpQT9S3w4-QeNym2QJy2BzMBqDXp-XtzJBM"", ""'STC'!D3:D139""),0))"),57)</f>
        <v>57</v>
      </c>
      <c r="AD49" s="12">
        <f ca="1">IFERROR(__xludf.DUMMYFUNCTION("INDEX(IMPORTRANGE(""17pNv02DXDpQT9S3w4-QeNym2QJy2BzMBqDXp-XtzJBM"", ""'STC'!BL3:BL139""),MATCH($D49,IMPORTRANGE(""17pNv02DXDpQT9S3w4-QeNym2QJy2BzMBqDXp-XtzJBM"", ""'STC'!D3:D139""),0))"),79)</f>
        <v>79</v>
      </c>
      <c r="AE49" s="12">
        <f ca="1">IFERROR(__xludf.DUMMYFUNCTION("INDEX(IMPORTRANGE(""17pNv02DXDpQT9S3w4-QeNym2QJy2BzMBqDXp-XtzJBM"", ""'STC'!BM3:BM139""),MATCH($D49,IMPORTRANGE(""17pNv02DXDpQT9S3w4-QeNym2QJy2BzMBqDXp-XtzJBM"", ""'STC'!D3:D139""),0))"),85)</f>
        <v>85</v>
      </c>
    </row>
    <row r="50" spans="1:31">
      <c r="A50" s="7" t="s">
        <v>147</v>
      </c>
      <c r="B50" s="7" t="s">
        <v>148</v>
      </c>
      <c r="C50" s="1" t="s">
        <v>30</v>
      </c>
      <c r="D50" s="7" t="s">
        <v>149</v>
      </c>
      <c r="E50" s="9" t="s">
        <v>38</v>
      </c>
      <c r="F50" s="9"/>
      <c r="G50" s="11">
        <v>44469</v>
      </c>
      <c r="H50" s="11">
        <v>44469</v>
      </c>
      <c r="I50" s="11">
        <v>44469</v>
      </c>
      <c r="J50" s="11">
        <v>44651</v>
      </c>
      <c r="K50" s="11">
        <v>44834</v>
      </c>
      <c r="L50" s="11">
        <v>45016</v>
      </c>
      <c r="M50" s="11">
        <v>45199</v>
      </c>
      <c r="N50" s="11">
        <v>45382</v>
      </c>
      <c r="O50" s="10" t="s">
        <v>361</v>
      </c>
      <c r="P50" s="11">
        <v>45565</v>
      </c>
      <c r="Q50" s="30" t="s">
        <v>150</v>
      </c>
      <c r="R50" s="30" t="s">
        <v>150</v>
      </c>
      <c r="S50" s="30" t="str">
        <f ca="1">IFERROR(__xludf.DUMMYFUNCTION("INDEX(IMPORTRANGE(""17pNv02DXDpQT9S3w4-QeNym2QJy2BzMBqDXp-XtzJBM"", ""'STC'!BG3:BG139""),MATCH($D50,IMPORTRANGE(""17pNv02DXDpQT9S3w4-QeNym2QJy2BzMBqDXp-XtzJBM"", ""'STC'!D3:D139""),0))"),"No")</f>
        <v>No</v>
      </c>
      <c r="T50" s="2" t="s">
        <v>151</v>
      </c>
      <c r="U50" s="2" t="s">
        <v>151</v>
      </c>
      <c r="V50" s="2" t="s">
        <v>151</v>
      </c>
      <c r="W50" s="2" t="s">
        <v>151</v>
      </c>
      <c r="X50" s="2" t="s">
        <v>151</v>
      </c>
      <c r="Y50" s="2" t="s">
        <v>151</v>
      </c>
      <c r="Z50" s="23" t="str">
        <f ca="1">IFERROR(__xludf.DUMMYFUNCTION("INDEX(IMPORTRANGE(""17pNv02DXDpQT9S3w4-QeNym2QJy2BzMBqDXp-XtzJBM"", ""'STC'!BH3:BH139""),MATCH($D50,IMPORTRANGE(""17pNv02DXDpQT9S3w4-QeNym2QJy2BzMBqDXp-XtzJBM"", ""'STC'!D3:D139""),0))"),"No")</f>
        <v>No</v>
      </c>
      <c r="AA50" s="23" t="str">
        <f ca="1">IFERROR(__xludf.DUMMYFUNCTION("INDEX(IMPORTRANGE(""17pNv02DXDpQT9S3w4-QeNym2QJy2BzMBqDXp-XtzJBM"", ""'STC'!BI3:BI139""),MATCH($D50,IMPORTRANGE(""17pNv02DXDpQT9S3w4-QeNym2QJy2BzMBqDXp-XtzJBM"", ""'STC'!D3:D139""),0))"),"No")</f>
        <v>No</v>
      </c>
      <c r="AB50" s="23" t="str">
        <f ca="1">IFERROR(__xludf.DUMMYFUNCTION("INDEX(IMPORTRANGE(""17pNv02DXDpQT9S3w4-QeNym2QJy2BzMBqDXp-XtzJBM"", ""'STC'!BJ3:BJ139""),MATCH($D50,IMPORTRANGE(""17pNv02DXDpQT9S3w4-QeNym2QJy2BzMBqDXp-XtzJBM"", ""'STC'!D3:D139""),0))"),"No")</f>
        <v>No</v>
      </c>
      <c r="AC50" s="23" t="str">
        <f ca="1">IFERROR(__xludf.DUMMYFUNCTION("INDEX(IMPORTRANGE(""17pNv02DXDpQT9S3w4-QeNym2QJy2BzMBqDXp-XtzJBM"", ""'STC'!BK3:BK139""),MATCH($D50,IMPORTRANGE(""17pNv02DXDpQT9S3w4-QeNym2QJy2BzMBqDXp-XtzJBM"", ""'STC'!D3:D139""),0))"),"No")</f>
        <v>No</v>
      </c>
      <c r="AD50" s="23" t="str">
        <f ca="1">IFERROR(__xludf.DUMMYFUNCTION("INDEX(IMPORTRANGE(""17pNv02DXDpQT9S3w4-QeNym2QJy2BzMBqDXp-XtzJBM"", ""'STC'!BL3:BL139""),MATCH($D50,IMPORTRANGE(""17pNv02DXDpQT9S3w4-QeNym2QJy2BzMBqDXp-XtzJBM"", ""'STC'!D3:D139""),0))"),"No")</f>
        <v>No</v>
      </c>
      <c r="AE50" s="23" t="str">
        <f ca="1">IFERROR(__xludf.DUMMYFUNCTION("INDEX(IMPORTRANGE(""17pNv02DXDpQT9S3w4-QeNym2QJy2BzMBqDXp-XtzJBM"", ""'STC'!BM3:BM139""),MATCH($D50,IMPORTRANGE(""17pNv02DXDpQT9S3w4-QeNym2QJy2BzMBqDXp-XtzJBM"", ""'STC'!D3:D139""),0))"),"Sí")</f>
        <v>Sí</v>
      </c>
    </row>
    <row r="51" spans="1:31">
      <c r="A51" s="7" t="s">
        <v>147</v>
      </c>
      <c r="B51" s="7" t="s">
        <v>148</v>
      </c>
      <c r="C51" s="1" t="s">
        <v>30</v>
      </c>
      <c r="D51" s="7" t="s">
        <v>152</v>
      </c>
      <c r="E51" s="9" t="s">
        <v>38</v>
      </c>
      <c r="F51" s="9"/>
      <c r="G51" s="11">
        <v>44469</v>
      </c>
      <c r="H51" s="11">
        <v>44469</v>
      </c>
      <c r="I51" s="11">
        <v>44469</v>
      </c>
      <c r="J51" s="11">
        <v>44651</v>
      </c>
      <c r="K51" s="11">
        <v>44834</v>
      </c>
      <c r="L51" s="11">
        <v>45016</v>
      </c>
      <c r="M51" s="11">
        <v>45199</v>
      </c>
      <c r="N51" s="11">
        <v>45382</v>
      </c>
      <c r="O51" s="10" t="s">
        <v>361</v>
      </c>
      <c r="P51" s="11">
        <v>45565</v>
      </c>
      <c r="Q51" s="30" t="s">
        <v>150</v>
      </c>
      <c r="R51" s="30" t="s">
        <v>150</v>
      </c>
      <c r="S51" s="30" t="str">
        <f ca="1">IFERROR(__xludf.DUMMYFUNCTION("INDEX(IMPORTRANGE(""17pNv02DXDpQT9S3w4-QeNym2QJy2BzMBqDXp-XtzJBM"", ""'STC'!BG3:BG139""),MATCH($D51,IMPORTRANGE(""17pNv02DXDpQT9S3w4-QeNym2QJy2BzMBqDXp-XtzJBM"", ""'STC'!D3:D139""),0))"),"No")</f>
        <v>No</v>
      </c>
      <c r="T51" s="2" t="s">
        <v>151</v>
      </c>
      <c r="U51" s="2" t="s">
        <v>151</v>
      </c>
      <c r="V51" s="2" t="s">
        <v>151</v>
      </c>
      <c r="W51" s="2" t="s">
        <v>151</v>
      </c>
      <c r="X51" s="2" t="s">
        <v>151</v>
      </c>
      <c r="Y51" s="2" t="s">
        <v>151</v>
      </c>
      <c r="Z51" s="23" t="str">
        <f ca="1">IFERROR(__xludf.DUMMYFUNCTION("INDEX(IMPORTRANGE(""17pNv02DXDpQT9S3w4-QeNym2QJy2BzMBqDXp-XtzJBM"", ""'STC'!BH3:BH139""),MATCH($D51,IMPORTRANGE(""17pNv02DXDpQT9S3w4-QeNym2QJy2BzMBqDXp-XtzJBM"", ""'STC'!D3:D139""),0))"),"No")</f>
        <v>No</v>
      </c>
      <c r="AA51" s="23" t="str">
        <f ca="1">IFERROR(__xludf.DUMMYFUNCTION("INDEX(IMPORTRANGE(""17pNv02DXDpQT9S3w4-QeNym2QJy2BzMBqDXp-XtzJBM"", ""'STC'!BI3:BI139""),MATCH($D51,IMPORTRANGE(""17pNv02DXDpQT9S3w4-QeNym2QJy2BzMBqDXp-XtzJBM"", ""'STC'!D3:D139""),0))"),"Sí")</f>
        <v>Sí</v>
      </c>
      <c r="AB51" s="23" t="str">
        <f ca="1">IFERROR(__xludf.DUMMYFUNCTION("INDEX(IMPORTRANGE(""17pNv02DXDpQT9S3w4-QeNym2QJy2BzMBqDXp-XtzJBM"", ""'STC'!BJ3:BJ139""),MATCH($D51,IMPORTRANGE(""17pNv02DXDpQT9S3w4-QeNym2QJy2BzMBqDXp-XtzJBM"", ""'STC'!D3:D139""),0))"),"Sí")</f>
        <v>Sí</v>
      </c>
      <c r="AC51" s="23" t="str">
        <f ca="1">IFERROR(__xludf.DUMMYFUNCTION("INDEX(IMPORTRANGE(""17pNv02DXDpQT9S3w4-QeNym2QJy2BzMBqDXp-XtzJBM"", ""'STC'!BK3:BK139""),MATCH($D51,IMPORTRANGE(""17pNv02DXDpQT9S3w4-QeNym2QJy2BzMBqDXp-XtzJBM"", ""'STC'!D3:D139""),0))"),"Sí")</f>
        <v>Sí</v>
      </c>
      <c r="AD51" s="23" t="str">
        <f ca="1">IFERROR(__xludf.DUMMYFUNCTION("INDEX(IMPORTRANGE(""17pNv02DXDpQT9S3w4-QeNym2QJy2BzMBqDXp-XtzJBM"", ""'STC'!BL3:BL139""),MATCH($D51,IMPORTRANGE(""17pNv02DXDpQT9S3w4-QeNym2QJy2BzMBqDXp-XtzJBM"", ""'STC'!D3:D139""),0))"),"Sí")</f>
        <v>Sí</v>
      </c>
      <c r="AE51" s="23" t="str">
        <f ca="1">IFERROR(__xludf.DUMMYFUNCTION("INDEX(IMPORTRANGE(""17pNv02DXDpQT9S3w4-QeNym2QJy2BzMBqDXp-XtzJBM"", ""'STC'!BM3:BM139""),MATCH($D51,IMPORTRANGE(""17pNv02DXDpQT9S3w4-QeNym2QJy2BzMBqDXp-XtzJBM"", ""'STC'!D3:D139""),0))"),"Sí")</f>
        <v>Sí</v>
      </c>
    </row>
    <row r="52" spans="1:31">
      <c r="A52" s="7" t="s">
        <v>147</v>
      </c>
      <c r="B52" s="7" t="s">
        <v>148</v>
      </c>
      <c r="C52" s="1" t="s">
        <v>30</v>
      </c>
      <c r="D52" s="7" t="s">
        <v>154</v>
      </c>
      <c r="E52" s="9" t="s">
        <v>38</v>
      </c>
      <c r="F52" s="9"/>
      <c r="G52" s="11">
        <v>44469</v>
      </c>
      <c r="H52" s="11">
        <v>44469</v>
      </c>
      <c r="I52" s="11">
        <v>44469</v>
      </c>
      <c r="J52" s="11">
        <v>44651</v>
      </c>
      <c r="K52" s="11">
        <v>44834</v>
      </c>
      <c r="L52" s="11">
        <v>45016</v>
      </c>
      <c r="M52" s="11">
        <v>45199</v>
      </c>
      <c r="N52" s="11">
        <v>45382</v>
      </c>
      <c r="O52" s="10" t="s">
        <v>361</v>
      </c>
      <c r="P52" s="11">
        <v>45565</v>
      </c>
      <c r="Q52" s="30" t="s">
        <v>153</v>
      </c>
      <c r="R52" s="30" t="s">
        <v>153</v>
      </c>
      <c r="S52" s="30" t="str">
        <f ca="1">IFERROR(__xludf.DUMMYFUNCTION("INDEX(IMPORTRANGE(""17pNv02DXDpQT9S3w4-QeNym2QJy2BzMBqDXp-XtzJBM"", ""'STC'!BG3:BG139""),MATCH($D52,IMPORTRANGE(""17pNv02DXDpQT9S3w4-QeNym2QJy2BzMBqDXp-XtzJBM"", ""'STC'!D3:D139""),0))"),"Sí")</f>
        <v>Sí</v>
      </c>
      <c r="T52" s="2" t="s">
        <v>155</v>
      </c>
      <c r="U52" s="2" t="s">
        <v>155</v>
      </c>
      <c r="V52" s="2" t="s">
        <v>155</v>
      </c>
      <c r="W52" s="2" t="s">
        <v>155</v>
      </c>
      <c r="X52" s="2" t="s">
        <v>155</v>
      </c>
      <c r="Y52" s="2" t="s">
        <v>155</v>
      </c>
      <c r="Z52" s="23" t="str">
        <f ca="1">IFERROR(__xludf.DUMMYFUNCTION("INDEX(IMPORTRANGE(""17pNv02DXDpQT9S3w4-QeNym2QJy2BzMBqDXp-XtzJBM"", ""'STC'!BH3:BH139""),MATCH($D52,IMPORTRANGE(""17pNv02DXDpQT9S3w4-QeNym2QJy2BzMBqDXp-XtzJBM"", ""'STC'!D3:D139""),0))"),"Sí")</f>
        <v>Sí</v>
      </c>
      <c r="AA52" s="23" t="str">
        <f ca="1">IFERROR(__xludf.DUMMYFUNCTION("INDEX(IMPORTRANGE(""17pNv02DXDpQT9S3w4-QeNym2QJy2BzMBqDXp-XtzJBM"", ""'STC'!BI3:BI139""),MATCH($D52,IMPORTRANGE(""17pNv02DXDpQT9S3w4-QeNym2QJy2BzMBqDXp-XtzJBM"", ""'STC'!D3:D139""),0))"),"Sí")</f>
        <v>Sí</v>
      </c>
      <c r="AB52" s="23" t="str">
        <f ca="1">IFERROR(__xludf.DUMMYFUNCTION("INDEX(IMPORTRANGE(""17pNv02DXDpQT9S3w4-QeNym2QJy2BzMBqDXp-XtzJBM"", ""'STC'!BJ3:BJ139""),MATCH($D52,IMPORTRANGE(""17pNv02DXDpQT9S3w4-QeNym2QJy2BzMBqDXp-XtzJBM"", ""'STC'!D3:D139""),0))"),"Sí")</f>
        <v>Sí</v>
      </c>
      <c r="AC52" s="23" t="str">
        <f ca="1">IFERROR(__xludf.DUMMYFUNCTION("INDEX(IMPORTRANGE(""17pNv02DXDpQT9S3w4-QeNym2QJy2BzMBqDXp-XtzJBM"", ""'STC'!BK3:BK139""),MATCH($D52,IMPORTRANGE(""17pNv02DXDpQT9S3w4-QeNym2QJy2BzMBqDXp-XtzJBM"", ""'STC'!D3:D139""),0))"),"Sí")</f>
        <v>Sí</v>
      </c>
      <c r="AD52" s="23" t="str">
        <f ca="1">IFERROR(__xludf.DUMMYFUNCTION("INDEX(IMPORTRANGE(""17pNv02DXDpQT9S3w4-QeNym2QJy2BzMBqDXp-XtzJBM"", ""'STC'!BL3:BL139""),MATCH($D52,IMPORTRANGE(""17pNv02DXDpQT9S3w4-QeNym2QJy2BzMBqDXp-XtzJBM"", ""'STC'!D3:D139""),0))"),"Sí")</f>
        <v>Sí</v>
      </c>
      <c r="AE52" s="23" t="str">
        <f ca="1">IFERROR(__xludf.DUMMYFUNCTION("INDEX(IMPORTRANGE(""17pNv02DXDpQT9S3w4-QeNym2QJy2BzMBqDXp-XtzJBM"", ""'STC'!BM3:BM139""),MATCH($D52,IMPORTRANGE(""17pNv02DXDpQT9S3w4-QeNym2QJy2BzMBqDXp-XtzJBM"", ""'STC'!D3:D139""),0))"),"Sí")</f>
        <v>Sí</v>
      </c>
    </row>
    <row r="53" spans="1:31">
      <c r="A53" s="7" t="s">
        <v>147</v>
      </c>
      <c r="B53" s="7" t="s">
        <v>148</v>
      </c>
      <c r="C53" s="1" t="s">
        <v>36</v>
      </c>
      <c r="D53" s="7" t="s">
        <v>156</v>
      </c>
      <c r="E53" s="9" t="s">
        <v>38</v>
      </c>
      <c r="F53" s="9"/>
      <c r="G53" s="11">
        <v>44469</v>
      </c>
      <c r="H53" s="11">
        <v>44469</v>
      </c>
      <c r="I53" s="11">
        <v>44469</v>
      </c>
      <c r="J53" s="11">
        <v>44651</v>
      </c>
      <c r="K53" s="11">
        <v>44834</v>
      </c>
      <c r="L53" s="11">
        <v>45016</v>
      </c>
      <c r="M53" s="11">
        <v>45199</v>
      </c>
      <c r="N53" s="11">
        <v>45382</v>
      </c>
      <c r="O53" s="10" t="s">
        <v>361</v>
      </c>
      <c r="P53" s="11">
        <v>45565</v>
      </c>
      <c r="Q53" s="30">
        <f>COUNTIF(Q50:Q52,"Sí")*(1/3)</f>
        <v>0.33333333333333331</v>
      </c>
      <c r="R53" s="30">
        <f>COUNTIF(R50:R52,"Sí")*0.33</f>
        <v>0.33</v>
      </c>
      <c r="S53" s="30">
        <f ca="1">IFERROR(__xludf.DUMMYFUNCTION("INDEX(IMPORTRANGE(""17pNv02DXDpQT9S3w4-QeNym2QJy2BzMBqDXp-XtzJBM"", ""'STC'!BG3:BG139""),MATCH($D53,IMPORTRANGE(""17pNv02DXDpQT9S3w4-QeNym2QJy2BzMBqDXp-XtzJBM"", ""'STC'!D3:D139""),0))"),0.333333333333333)</f>
        <v>0.33333333333333298</v>
      </c>
      <c r="T53" s="2" t="s">
        <v>157</v>
      </c>
      <c r="U53" s="2" t="s">
        <v>157</v>
      </c>
      <c r="V53" s="2" t="s">
        <v>157</v>
      </c>
      <c r="W53" s="2" t="s">
        <v>157</v>
      </c>
      <c r="X53" s="2" t="s">
        <v>157</v>
      </c>
      <c r="Y53" s="2" t="s">
        <v>157</v>
      </c>
      <c r="Z53" s="30" t="str">
        <f ca="1">IFERROR(__xludf.DUMMYFUNCTION("INDEX(IMPORTRANGE(""17pNv02DXDpQT9S3w4-QeNym2QJy2BzMBqDXp-XtzJBM"", ""'STC'!BH3:BH139""),MATCH($D53,IMPORTRANGE(""17pNv02DXDpQT9S3w4-QeNym2QJy2BzMBqDXp-XtzJBM"", ""'STC'!D3:D139""),0))"),"")</f>
        <v/>
      </c>
      <c r="AA53" s="30">
        <f ca="1">IFERROR(__xludf.DUMMYFUNCTION("INDEX(IMPORTRANGE(""17pNv02DXDpQT9S3w4-QeNym2QJy2BzMBqDXp-XtzJBM"", ""'STC'!BI3:BI139""),MATCH($D53,IMPORTRANGE(""17pNv02DXDpQT9S3w4-QeNym2QJy2BzMBqDXp-XtzJBM"", ""'STC'!D3:D139""),0))"),0.666666666666666)</f>
        <v>0.66666666666666596</v>
      </c>
      <c r="AB53" s="30">
        <f ca="1">IFERROR(__xludf.DUMMYFUNCTION("INDEX(IMPORTRANGE(""17pNv02DXDpQT9S3w4-QeNym2QJy2BzMBqDXp-XtzJBM"", ""'STC'!BJ3:BJ139""),MATCH($D53,IMPORTRANGE(""17pNv02DXDpQT9S3w4-QeNym2QJy2BzMBqDXp-XtzJBM"", ""'STC'!D3:D139""),0))"),0.666666666666666)</f>
        <v>0.66666666666666596</v>
      </c>
      <c r="AC53" s="30">
        <f ca="1">IFERROR(__xludf.DUMMYFUNCTION("INDEX(IMPORTRANGE(""17pNv02DXDpQT9S3w4-QeNym2QJy2BzMBqDXp-XtzJBM"", ""'STC'!BK3:BK139""),MATCH($D53,IMPORTRANGE(""17pNv02DXDpQT9S3w4-QeNym2QJy2BzMBqDXp-XtzJBM"", ""'STC'!D3:D139""),0))"),0.666666666666666)</f>
        <v>0.66666666666666596</v>
      </c>
      <c r="AD53" s="30">
        <f ca="1">IFERROR(__xludf.DUMMYFUNCTION("INDEX(IMPORTRANGE(""17pNv02DXDpQT9S3w4-QeNym2QJy2BzMBqDXp-XtzJBM"", ""'STC'!BL3:BL139""),MATCH($D53,IMPORTRANGE(""17pNv02DXDpQT9S3w4-QeNym2QJy2BzMBqDXp-XtzJBM"", ""'STC'!D3:D139""),0))"),0.666666666666666)</f>
        <v>0.66666666666666596</v>
      </c>
      <c r="AE53" s="30">
        <f ca="1">IFERROR(__xludf.DUMMYFUNCTION("INDEX(IMPORTRANGE(""17pNv02DXDpQT9S3w4-QeNym2QJy2BzMBqDXp-XtzJBM"", ""'STC'!BM3:BM139""),MATCH($D53,IMPORTRANGE(""17pNv02DXDpQT9S3w4-QeNym2QJy2BzMBqDXp-XtzJBM"", ""'STC'!D3:D139""),0))"),1)</f>
        <v>1</v>
      </c>
    </row>
    <row r="54" spans="1:31">
      <c r="A54" s="7" t="s">
        <v>147</v>
      </c>
      <c r="B54" s="7" t="s">
        <v>148</v>
      </c>
      <c r="C54" s="1" t="s">
        <v>36</v>
      </c>
      <c r="D54" s="7" t="s">
        <v>351</v>
      </c>
      <c r="E54" s="9" t="s">
        <v>38</v>
      </c>
      <c r="F54" s="9"/>
      <c r="G54" s="11">
        <v>44469</v>
      </c>
      <c r="H54" s="11">
        <v>44469</v>
      </c>
      <c r="I54" s="11">
        <v>44469</v>
      </c>
      <c r="J54" s="11">
        <v>44651</v>
      </c>
      <c r="K54" s="11">
        <v>44834</v>
      </c>
      <c r="L54" s="11">
        <v>45016</v>
      </c>
      <c r="M54" s="11">
        <v>45199</v>
      </c>
      <c r="N54" s="11">
        <v>45382</v>
      </c>
      <c r="O54" s="10" t="s">
        <v>361</v>
      </c>
      <c r="P54" s="11">
        <v>45565</v>
      </c>
      <c r="Q54" s="12">
        <v>1</v>
      </c>
      <c r="R54" s="12">
        <v>1</v>
      </c>
      <c r="S54" s="12">
        <f ca="1">IFERROR(__xludf.DUMMYFUNCTION("INDEX(IMPORTRANGE(""17pNv02DXDpQT9S3w4-QeNym2QJy2BzMBqDXp-XtzJBM"", ""'STC'!BG3:BG139""),MATCH($D54,IMPORTRANGE(""17pNv02DXDpQT9S3w4-QeNym2QJy2BzMBqDXp-XtzJBM"", ""'STC'!D3:D139""),0))"),1)</f>
        <v>1</v>
      </c>
      <c r="T54" s="2" t="s">
        <v>159</v>
      </c>
      <c r="U54" s="2" t="s">
        <v>160</v>
      </c>
      <c r="V54" s="2" t="s">
        <v>160</v>
      </c>
      <c r="W54" s="2" t="s">
        <v>161</v>
      </c>
      <c r="X54" s="2" t="s">
        <v>161</v>
      </c>
      <c r="Y54" s="2" t="s">
        <v>161</v>
      </c>
      <c r="Z54" s="12">
        <f ca="1">IFERROR(__xludf.DUMMYFUNCTION("INDEX(IMPORTRANGE(""17pNv02DXDpQT9S3w4-QeNym2QJy2BzMBqDXp-XtzJBM"", ""'STC'!BH3:BH139""),MATCH($D54,IMPORTRANGE(""17pNv02DXDpQT9S3w4-QeNym2QJy2BzMBqDXp-XtzJBM"", ""'STC'!D3:D139""),0))"),1)</f>
        <v>1</v>
      </c>
      <c r="AA54" s="12">
        <f ca="1">IFERROR(__xludf.DUMMYFUNCTION("INDEX(IMPORTRANGE(""17pNv02DXDpQT9S3w4-QeNym2QJy2BzMBqDXp-XtzJBM"", ""'STC'!BI3:BI139""),MATCH($D54,IMPORTRANGE(""17pNv02DXDpQT9S3w4-QeNym2QJy2BzMBqDXp-XtzJBM"", ""'STC'!D3:D139""),0))"),1)</f>
        <v>1</v>
      </c>
      <c r="AB54" s="12">
        <f ca="1">IFERROR(__xludf.DUMMYFUNCTION("INDEX(IMPORTRANGE(""17pNv02DXDpQT9S3w4-QeNym2QJy2BzMBqDXp-XtzJBM"", ""'STC'!BJ3:BJ139""),MATCH($D54,IMPORTRANGE(""17pNv02DXDpQT9S3w4-QeNym2QJy2BzMBqDXp-XtzJBM"", ""'STC'!D3:D139""),0))"),0.5)</f>
        <v>0.5</v>
      </c>
      <c r="AC54" s="12">
        <f ca="1">IFERROR(__xludf.DUMMYFUNCTION("INDEX(IMPORTRANGE(""17pNv02DXDpQT9S3w4-QeNym2QJy2BzMBqDXp-XtzJBM"", ""'STC'!BK3:BK139""),MATCH($D54,IMPORTRANGE(""17pNv02DXDpQT9S3w4-QeNym2QJy2BzMBqDXp-XtzJBM"", ""'STC'!D3:D139""),0))"),0.5)</f>
        <v>0.5</v>
      </c>
      <c r="AD54" s="12">
        <f ca="1">IFERROR(__xludf.DUMMYFUNCTION("INDEX(IMPORTRANGE(""17pNv02DXDpQT9S3w4-QeNym2QJy2BzMBqDXp-XtzJBM"", ""'STC'!BL3:BL139""),MATCH($D54,IMPORTRANGE(""17pNv02DXDpQT9S3w4-QeNym2QJy2BzMBqDXp-XtzJBM"", ""'STC'!D3:D139""),0))"),0.5)</f>
        <v>0.5</v>
      </c>
      <c r="AE54" s="12">
        <f ca="1">IFERROR(__xludf.DUMMYFUNCTION("INDEX(IMPORTRANGE(""17pNv02DXDpQT9S3w4-QeNym2QJy2BzMBqDXp-XtzJBM"", ""'STC'!BM3:BM139""),MATCH($D54,IMPORTRANGE(""17pNv02DXDpQT9S3w4-QeNym2QJy2BzMBqDXp-XtzJBM"", ""'STC'!D3:D139""),0))"),0.5)</f>
        <v>0.5</v>
      </c>
    </row>
    <row r="55" spans="1:31">
      <c r="A55" s="7" t="s">
        <v>147</v>
      </c>
      <c r="B55" s="7" t="s">
        <v>148</v>
      </c>
      <c r="C55" s="1" t="s">
        <v>30</v>
      </c>
      <c r="D55" s="7" t="s">
        <v>162</v>
      </c>
      <c r="E55" s="9" t="s">
        <v>38</v>
      </c>
      <c r="F55" s="9" t="s">
        <v>163</v>
      </c>
      <c r="G55" s="11">
        <v>44469</v>
      </c>
      <c r="H55" s="11">
        <v>44469</v>
      </c>
      <c r="I55" s="11">
        <v>44469</v>
      </c>
      <c r="J55" s="11">
        <v>44651</v>
      </c>
      <c r="K55" s="11">
        <v>44834</v>
      </c>
      <c r="L55" s="11">
        <v>45016</v>
      </c>
      <c r="M55" s="11">
        <v>45199</v>
      </c>
      <c r="N55" s="11">
        <v>45382</v>
      </c>
      <c r="O55" s="10" t="s">
        <v>361</v>
      </c>
      <c r="P55" s="11">
        <v>45565</v>
      </c>
      <c r="Q55" s="12">
        <v>0</v>
      </c>
      <c r="R55" s="12">
        <v>0</v>
      </c>
      <c r="S55" s="12">
        <f ca="1">IFERROR(__xludf.DUMMYFUNCTION("INDEX(IMPORTRANGE(""17pNv02DXDpQT9S3w4-QeNym2QJy2BzMBqDXp-XtzJBM"", ""'STC'!BG3:BG139""),MATCH($D55,IMPORTRANGE(""17pNv02DXDpQT9S3w4-QeNym2QJy2BzMBqDXp-XtzJBM"", ""'STC'!D3:D139""),0))"),0)</f>
        <v>0</v>
      </c>
      <c r="T55" s="2"/>
      <c r="U55" s="2"/>
      <c r="V55" s="2"/>
      <c r="W55" s="2"/>
      <c r="X55" s="2"/>
      <c r="Y55" s="2"/>
      <c r="Z55" s="12">
        <f ca="1">IFERROR(__xludf.DUMMYFUNCTION("INDEX(IMPORTRANGE(""17pNv02DXDpQT9S3w4-QeNym2QJy2BzMBqDXp-XtzJBM"", ""'STC'!BH3:BH139""),MATCH($D55,IMPORTRANGE(""17pNv02DXDpQT9S3w4-QeNym2QJy2BzMBqDXp-XtzJBM"", ""'STC'!D3:D139""),0))"),0)</f>
        <v>0</v>
      </c>
      <c r="AA55" s="12">
        <f ca="1">IFERROR(__xludf.DUMMYFUNCTION("INDEX(IMPORTRANGE(""17pNv02DXDpQT9S3w4-QeNym2QJy2BzMBqDXp-XtzJBM"", ""'STC'!BI3:BI139""),MATCH($D55,IMPORTRANGE(""17pNv02DXDpQT9S3w4-QeNym2QJy2BzMBqDXp-XtzJBM"", ""'STC'!D3:D139""),0))"),0)</f>
        <v>0</v>
      </c>
      <c r="AB55" s="12">
        <f ca="1">IFERROR(__xludf.DUMMYFUNCTION("INDEX(IMPORTRANGE(""17pNv02DXDpQT9S3w4-QeNym2QJy2BzMBqDXp-XtzJBM"", ""'STC'!BJ3:BJ139""),MATCH($D55,IMPORTRANGE(""17pNv02DXDpQT9S3w4-QeNym2QJy2BzMBqDXp-XtzJBM"", ""'STC'!D3:D139""),0))"),0)</f>
        <v>0</v>
      </c>
      <c r="AC55" s="12">
        <f ca="1">IFERROR(__xludf.DUMMYFUNCTION("INDEX(IMPORTRANGE(""17pNv02DXDpQT9S3w4-QeNym2QJy2BzMBqDXp-XtzJBM"", ""'STC'!BK3:BK139""),MATCH($D55,IMPORTRANGE(""17pNv02DXDpQT9S3w4-QeNym2QJy2BzMBqDXp-XtzJBM"", ""'STC'!D3:D139""),0))"),0)</f>
        <v>0</v>
      </c>
      <c r="AD55" s="12">
        <f ca="1">IFERROR(__xludf.DUMMYFUNCTION("INDEX(IMPORTRANGE(""17pNv02DXDpQT9S3w4-QeNym2QJy2BzMBqDXp-XtzJBM"", ""'STC'!BL3:BL139""),MATCH($D55,IMPORTRANGE(""17pNv02DXDpQT9S3w4-QeNym2QJy2BzMBqDXp-XtzJBM"", ""'STC'!D3:D139""),0))"),0)</f>
        <v>0</v>
      </c>
      <c r="AE55" s="12">
        <f ca="1">IFERROR(__xludf.DUMMYFUNCTION("INDEX(IMPORTRANGE(""17pNv02DXDpQT9S3w4-QeNym2QJy2BzMBqDXp-XtzJBM"", ""'STC'!BM3:BM139""),MATCH($D55,IMPORTRANGE(""17pNv02DXDpQT9S3w4-QeNym2QJy2BzMBqDXp-XtzJBM"", ""'STC'!D3:D139""),0))"),0)</f>
        <v>0</v>
      </c>
    </row>
    <row r="56" spans="1:31">
      <c r="A56" s="7" t="s">
        <v>147</v>
      </c>
      <c r="B56" s="7" t="s">
        <v>148</v>
      </c>
      <c r="C56" s="1" t="s">
        <v>30</v>
      </c>
      <c r="D56" s="7" t="s">
        <v>164</v>
      </c>
      <c r="E56" s="9" t="s">
        <v>38</v>
      </c>
      <c r="F56" s="9" t="s">
        <v>165</v>
      </c>
      <c r="G56" s="11">
        <v>44469</v>
      </c>
      <c r="H56" s="11">
        <v>44469</v>
      </c>
      <c r="I56" s="11">
        <v>44469</v>
      </c>
      <c r="J56" s="11">
        <v>44651</v>
      </c>
      <c r="K56" s="11">
        <v>44834</v>
      </c>
      <c r="L56" s="11">
        <v>45016</v>
      </c>
      <c r="M56" s="11">
        <v>45199</v>
      </c>
      <c r="N56" s="11">
        <v>45382</v>
      </c>
      <c r="O56" s="10" t="s">
        <v>361</v>
      </c>
      <c r="P56" s="11">
        <v>45565</v>
      </c>
      <c r="Q56" s="12">
        <v>0</v>
      </c>
      <c r="R56" s="12">
        <v>0</v>
      </c>
      <c r="S56" s="12">
        <f ca="1">IFERROR(__xludf.DUMMYFUNCTION("INDEX(IMPORTRANGE(""17pNv02DXDpQT9S3w4-QeNym2QJy2BzMBqDXp-XtzJBM"", ""'STC'!BG3:BG139""),MATCH($D56,IMPORTRANGE(""17pNv02DXDpQT9S3w4-QeNym2QJy2BzMBqDXp-XtzJBM"", ""'STC'!D3:D139""),0))"),0)</f>
        <v>0</v>
      </c>
      <c r="T56" s="2"/>
      <c r="U56" s="2"/>
      <c r="V56" s="2"/>
      <c r="W56" s="2"/>
      <c r="X56" s="2"/>
      <c r="Y56" s="2"/>
      <c r="Z56" s="12">
        <f ca="1">IFERROR(__xludf.DUMMYFUNCTION("INDEX(IMPORTRANGE(""17pNv02DXDpQT9S3w4-QeNym2QJy2BzMBqDXp-XtzJBM"", ""'STC'!BH3:BH139""),MATCH($D56,IMPORTRANGE(""17pNv02DXDpQT9S3w4-QeNym2QJy2BzMBqDXp-XtzJBM"", ""'STC'!D3:D139""),0))"),0)</f>
        <v>0</v>
      </c>
      <c r="AA56" s="12">
        <f ca="1">IFERROR(__xludf.DUMMYFUNCTION("INDEX(IMPORTRANGE(""17pNv02DXDpQT9S3w4-QeNym2QJy2BzMBqDXp-XtzJBM"", ""'STC'!BI3:BI139""),MATCH($D56,IMPORTRANGE(""17pNv02DXDpQT9S3w4-QeNym2QJy2BzMBqDXp-XtzJBM"", ""'STC'!D3:D139""),0))"),0)</f>
        <v>0</v>
      </c>
      <c r="AB56" s="12">
        <f ca="1">IFERROR(__xludf.DUMMYFUNCTION("INDEX(IMPORTRANGE(""17pNv02DXDpQT9S3w4-QeNym2QJy2BzMBqDXp-XtzJBM"", ""'STC'!BJ3:BJ139""),MATCH($D56,IMPORTRANGE(""17pNv02DXDpQT9S3w4-QeNym2QJy2BzMBqDXp-XtzJBM"", ""'STC'!D3:D139""),0))"),0)</f>
        <v>0</v>
      </c>
      <c r="AC56" s="12">
        <f ca="1">IFERROR(__xludf.DUMMYFUNCTION("INDEX(IMPORTRANGE(""17pNv02DXDpQT9S3w4-QeNym2QJy2BzMBqDXp-XtzJBM"", ""'STC'!BK3:BK139""),MATCH($D56,IMPORTRANGE(""17pNv02DXDpQT9S3w4-QeNym2QJy2BzMBqDXp-XtzJBM"", ""'STC'!D3:D139""),0))"),0)</f>
        <v>0</v>
      </c>
      <c r="AD56" s="12">
        <f ca="1">IFERROR(__xludf.DUMMYFUNCTION("INDEX(IMPORTRANGE(""17pNv02DXDpQT9S3w4-QeNym2QJy2BzMBqDXp-XtzJBM"", ""'STC'!BL3:BL139""),MATCH($D56,IMPORTRANGE(""17pNv02DXDpQT9S3w4-QeNym2QJy2BzMBqDXp-XtzJBM"", ""'STC'!D3:D139""),0))"),0)</f>
        <v>0</v>
      </c>
      <c r="AE56" s="12">
        <f ca="1">IFERROR(__xludf.DUMMYFUNCTION("INDEX(IMPORTRANGE(""17pNv02DXDpQT9S3w4-QeNym2QJy2BzMBqDXp-XtzJBM"", ""'STC'!BM3:BM139""),MATCH($D56,IMPORTRANGE(""17pNv02DXDpQT9S3w4-QeNym2QJy2BzMBqDXp-XtzJBM"", ""'STC'!D3:D139""),0))"),0)</f>
        <v>0</v>
      </c>
    </row>
    <row r="57" spans="1:31">
      <c r="A57" s="7" t="s">
        <v>147</v>
      </c>
      <c r="B57" s="7" t="s">
        <v>148</v>
      </c>
      <c r="C57" s="1" t="s">
        <v>36</v>
      </c>
      <c r="D57" s="7" t="s">
        <v>166</v>
      </c>
      <c r="E57" s="9" t="s">
        <v>38</v>
      </c>
      <c r="F57" s="9" t="s">
        <v>167</v>
      </c>
      <c r="G57" s="11">
        <v>44469</v>
      </c>
      <c r="H57" s="11">
        <v>44469</v>
      </c>
      <c r="I57" s="11">
        <v>44469</v>
      </c>
      <c r="J57" s="11">
        <v>44651</v>
      </c>
      <c r="K57" s="11">
        <v>44834</v>
      </c>
      <c r="L57" s="11">
        <v>45016</v>
      </c>
      <c r="M57" s="11">
        <v>45199</v>
      </c>
      <c r="N57" s="11">
        <v>45382</v>
      </c>
      <c r="O57" s="10" t="s">
        <v>361</v>
      </c>
      <c r="P57" s="11">
        <v>45565</v>
      </c>
      <c r="Q57" s="30" t="s">
        <v>320</v>
      </c>
      <c r="R57" s="30" t="s">
        <v>320</v>
      </c>
      <c r="S57" s="30" t="str">
        <f ca="1">IFERROR(__xludf.DUMMYFUNCTION("INDEX(IMPORTRANGE(""17pNv02DXDpQT9S3w4-QeNym2QJy2BzMBqDXp-XtzJBM"", ""'STC'!BG3:BG139""),MATCH($D57,IMPORTRANGE(""17pNv02DXDpQT9S3w4-QeNym2QJy2BzMBqDXp-XtzJBM"", ""'STC'!D3:D139""),0))"),"#DIV/0!")</f>
        <v>#DIV/0!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30" t="str">
        <f ca="1">IFERROR(__xludf.DUMMYFUNCTION("INDEX(IMPORTRANGE(""17pNv02DXDpQT9S3w4-QeNym2QJy2BzMBqDXp-XtzJBM"", ""'STC'!BH3:BH139""),MATCH($D57,IMPORTRANGE(""17pNv02DXDpQT9S3w4-QeNym2QJy2BzMBqDXp-XtzJBM"", ""'STC'!D3:D139""),0))"),"NA")</f>
        <v>NA</v>
      </c>
      <c r="AA57" s="23" t="str">
        <f ca="1">IFERROR(__xludf.DUMMYFUNCTION("INDEX(IMPORTRANGE(""17pNv02DXDpQT9S3w4-QeNym2QJy2BzMBqDXp-XtzJBM"", ""'STC'!BI3:BI139""),MATCH($D57,IMPORTRANGE(""17pNv02DXDpQT9S3w4-QeNym2QJy2BzMBqDXp-XtzJBM"", ""'STC'!D3:D139""),0))"),"NA")</f>
        <v>NA</v>
      </c>
      <c r="AB57" s="30" t="str">
        <f ca="1">IFERROR(__xludf.DUMMYFUNCTION("INDEX(IMPORTRANGE(""17pNv02DXDpQT9S3w4-QeNym2QJy2BzMBqDXp-XtzJBM"", ""'STC'!BJ3:BJ139""),MATCH($D57,IMPORTRANGE(""17pNv02DXDpQT9S3w4-QeNym2QJy2BzMBqDXp-XtzJBM"", ""'STC'!D3:D139""),0))"),"NA")</f>
        <v>NA</v>
      </c>
      <c r="AC57" s="23" t="str">
        <f ca="1">IFERROR(__xludf.DUMMYFUNCTION("INDEX(IMPORTRANGE(""17pNv02DXDpQT9S3w4-QeNym2QJy2BzMBqDXp-XtzJBM"", ""'STC'!BK3:BK139""),MATCH($D57,IMPORTRANGE(""17pNv02DXDpQT9S3w4-QeNym2QJy2BzMBqDXp-XtzJBM"", ""'STC'!D3:D139""),0))"),"NA")</f>
        <v>NA</v>
      </c>
      <c r="AD57" s="30" t="str">
        <f ca="1">IFERROR(__xludf.DUMMYFUNCTION("INDEX(IMPORTRANGE(""17pNv02DXDpQT9S3w4-QeNym2QJy2BzMBqDXp-XtzJBM"", ""'STC'!BL3:BL139""),MATCH($D57,IMPORTRANGE(""17pNv02DXDpQT9S3w4-QeNym2QJy2BzMBqDXp-XtzJBM"", ""'STC'!D3:D139""),0))"),"NA")</f>
        <v>NA</v>
      </c>
      <c r="AE57" s="30" t="str">
        <f ca="1">IFERROR(__xludf.DUMMYFUNCTION("INDEX(IMPORTRANGE(""17pNv02DXDpQT9S3w4-QeNym2QJy2BzMBqDXp-XtzJBM"", ""'STC'!BM3:BM139""),MATCH($D57,IMPORTRANGE(""17pNv02DXDpQT9S3w4-QeNym2QJy2BzMBqDXp-XtzJBM"", ""'STC'!D3:D139""),0))"),"NA")</f>
        <v>NA</v>
      </c>
    </row>
    <row r="58" spans="1:31">
      <c r="A58" s="7" t="s">
        <v>147</v>
      </c>
      <c r="B58" s="7" t="s">
        <v>168</v>
      </c>
      <c r="C58" s="1" t="s">
        <v>30</v>
      </c>
      <c r="D58" s="7" t="s">
        <v>169</v>
      </c>
      <c r="E58" s="9" t="s">
        <v>38</v>
      </c>
      <c r="F58" s="9" t="s">
        <v>170</v>
      </c>
      <c r="G58" s="11">
        <v>44469</v>
      </c>
      <c r="H58" s="11">
        <v>44469</v>
      </c>
      <c r="I58" s="11">
        <v>44469</v>
      </c>
      <c r="J58" s="11">
        <v>44651</v>
      </c>
      <c r="K58" s="11">
        <v>44834</v>
      </c>
      <c r="L58" s="11">
        <v>45016</v>
      </c>
      <c r="M58" s="11">
        <v>45199</v>
      </c>
      <c r="N58" s="11">
        <v>45382</v>
      </c>
      <c r="O58" s="10" t="s">
        <v>361</v>
      </c>
      <c r="P58" s="11">
        <v>45565</v>
      </c>
      <c r="Q58" s="12">
        <v>24153</v>
      </c>
      <c r="R58" s="12">
        <v>24153</v>
      </c>
      <c r="S58" s="12">
        <f ca="1">IFERROR(__xludf.DUMMYFUNCTION("INDEX(IMPORTRANGE(""17pNv02DXDpQT9S3w4-QeNym2QJy2BzMBqDXp-XtzJBM"", ""'STC'!BG3:BG139""),MATCH($D58,IMPORTRANGE(""17pNv02DXDpQT9S3w4-QeNym2QJy2BzMBqDXp-XtzJBM"", ""'STC'!D3:D139""),0))"),24153)</f>
        <v>24153</v>
      </c>
      <c r="T58" s="2"/>
      <c r="U58" s="2"/>
      <c r="V58" s="2"/>
      <c r="W58" s="2"/>
      <c r="X58" s="2"/>
      <c r="Y58" s="2"/>
      <c r="Z58" s="12">
        <f ca="1">IFERROR(__xludf.DUMMYFUNCTION("INDEX(IMPORTRANGE(""17pNv02DXDpQT9S3w4-QeNym2QJy2BzMBqDXp-XtzJBM"", ""'STC'!BH3:BH139""),MATCH($D58,IMPORTRANGE(""17pNv02DXDpQT9S3w4-QeNym2QJy2BzMBqDXp-XtzJBM"", ""'STC'!D3:D139""),0))"),24659)</f>
        <v>24659</v>
      </c>
      <c r="AA58" s="12">
        <f ca="1">IFERROR(__xludf.DUMMYFUNCTION("INDEX(IMPORTRANGE(""17pNv02DXDpQT9S3w4-QeNym2QJy2BzMBqDXp-XtzJBM"", ""'STC'!BI3:BI139""),MATCH($D58,IMPORTRANGE(""17pNv02DXDpQT9S3w4-QeNym2QJy2BzMBqDXp-XtzJBM"", ""'STC'!D3:D139""),0))"),24985)</f>
        <v>24985</v>
      </c>
      <c r="AB58" s="12">
        <f ca="1">IFERROR(__xludf.DUMMYFUNCTION("INDEX(IMPORTRANGE(""17pNv02DXDpQT9S3w4-QeNym2QJy2BzMBqDXp-XtzJBM"", ""'STC'!BJ3:BJ139""),MATCH($D58,IMPORTRANGE(""17pNv02DXDpQT9S3w4-QeNym2QJy2BzMBqDXp-XtzJBM"", ""'STC'!D3:D139""),0))"),25195)</f>
        <v>25195</v>
      </c>
      <c r="AC58" s="12">
        <f ca="1">IFERROR(__xludf.DUMMYFUNCTION("INDEX(IMPORTRANGE(""17pNv02DXDpQT9S3w4-QeNym2QJy2BzMBqDXp-XtzJBM"", ""'STC'!BK3:BK139""),MATCH($D58,IMPORTRANGE(""17pNv02DXDpQT9S3w4-QeNym2QJy2BzMBqDXp-XtzJBM"", ""'STC'!D3:D139""),0))"),25195)</f>
        <v>25195</v>
      </c>
      <c r="AD58" s="12">
        <f ca="1">IFERROR(__xludf.DUMMYFUNCTION("INDEX(IMPORTRANGE(""17pNv02DXDpQT9S3w4-QeNym2QJy2BzMBqDXp-XtzJBM"", ""'STC'!BL3:BL139""),MATCH($D58,IMPORTRANGE(""17pNv02DXDpQT9S3w4-QeNym2QJy2BzMBqDXp-XtzJBM"", ""'STC'!D3:D139""),0))"),26225)</f>
        <v>26225</v>
      </c>
      <c r="AE58" s="12">
        <f ca="1">IFERROR(__xludf.DUMMYFUNCTION("INDEX(IMPORTRANGE(""17pNv02DXDpQT9S3w4-QeNym2QJy2BzMBqDXp-XtzJBM"", ""'STC'!BM3:BM139""),MATCH($D58,IMPORTRANGE(""17pNv02DXDpQT9S3w4-QeNym2QJy2BzMBqDXp-XtzJBM"", ""'STC'!D3:D139""),0))"),26225)</f>
        <v>26225</v>
      </c>
    </row>
    <row r="59" spans="1:31">
      <c r="A59" s="7" t="s">
        <v>147</v>
      </c>
      <c r="B59" s="7" t="s">
        <v>168</v>
      </c>
      <c r="C59" s="1" t="s">
        <v>30</v>
      </c>
      <c r="D59" s="7" t="s">
        <v>171</v>
      </c>
      <c r="E59" s="9" t="s">
        <v>38</v>
      </c>
      <c r="F59" s="9" t="s">
        <v>172</v>
      </c>
      <c r="G59" s="11">
        <v>44469</v>
      </c>
      <c r="H59" s="11">
        <v>44469</v>
      </c>
      <c r="I59" s="11">
        <v>44469</v>
      </c>
      <c r="J59" s="11">
        <v>44651</v>
      </c>
      <c r="K59" s="11">
        <v>44834</v>
      </c>
      <c r="L59" s="11">
        <v>45016</v>
      </c>
      <c r="M59" s="11">
        <v>45199</v>
      </c>
      <c r="N59" s="11">
        <v>45382</v>
      </c>
      <c r="O59" s="10" t="s">
        <v>361</v>
      </c>
      <c r="P59" s="11">
        <v>45565</v>
      </c>
      <c r="Q59" s="12">
        <v>24659</v>
      </c>
      <c r="R59" s="12">
        <v>24659</v>
      </c>
      <c r="S59" s="12">
        <f ca="1">IFERROR(__xludf.DUMMYFUNCTION("INDEX(IMPORTRANGE(""17pNv02DXDpQT9S3w4-QeNym2QJy2BzMBqDXp-XtzJBM"", ""'STC'!BG3:BG139""),MATCH($D59,IMPORTRANGE(""17pNv02DXDpQT9S3w4-QeNym2QJy2BzMBqDXp-XtzJBM"", ""'STC'!D3:D139""),0))"),24659)</f>
        <v>24659</v>
      </c>
      <c r="T59" s="2"/>
      <c r="U59" s="2"/>
      <c r="V59" s="2"/>
      <c r="W59" s="2"/>
      <c r="X59" s="2"/>
      <c r="Y59" s="2"/>
      <c r="Z59" s="12">
        <f ca="1">IFERROR(__xludf.DUMMYFUNCTION("INDEX(IMPORTRANGE(""17pNv02DXDpQT9S3w4-QeNym2QJy2BzMBqDXp-XtzJBM"", ""'STC'!BH3:BH139""),MATCH($D59,IMPORTRANGE(""17pNv02DXDpQT9S3w4-QeNym2QJy2BzMBqDXp-XtzJBM"", ""'STC'!D3:D139""),0))"),26225)</f>
        <v>26225</v>
      </c>
      <c r="AA59" s="12">
        <f ca="1">IFERROR(__xludf.DUMMYFUNCTION("INDEX(IMPORTRANGE(""17pNv02DXDpQT9S3w4-QeNym2QJy2BzMBqDXp-XtzJBM"", ""'STC'!BI3:BI139""),MATCH($D59,IMPORTRANGE(""17pNv02DXDpQT9S3w4-QeNym2QJy2BzMBqDXp-XtzJBM"", ""'STC'!D3:D139""),0))"),26225)</f>
        <v>26225</v>
      </c>
      <c r="AB59" s="12">
        <f ca="1">IFERROR(__xludf.DUMMYFUNCTION("INDEX(IMPORTRANGE(""17pNv02DXDpQT9S3w4-QeNym2QJy2BzMBqDXp-XtzJBM"", ""'STC'!BJ3:BJ139""),MATCH($D59,IMPORTRANGE(""17pNv02DXDpQT9S3w4-QeNym2QJy2BzMBqDXp-XtzJBM"", ""'STC'!D3:D139""),0))"),26225)</f>
        <v>26225</v>
      </c>
      <c r="AC59" s="12">
        <f ca="1">IFERROR(__xludf.DUMMYFUNCTION("INDEX(IMPORTRANGE(""17pNv02DXDpQT9S3w4-QeNym2QJy2BzMBqDXp-XtzJBM"", ""'STC'!BK3:BK139""),MATCH($D59,IMPORTRANGE(""17pNv02DXDpQT9S3w4-QeNym2QJy2BzMBqDXp-XtzJBM"", ""'STC'!D3:D139""),0))"),26225)</f>
        <v>26225</v>
      </c>
      <c r="AD59" s="12">
        <f ca="1">IFERROR(__xludf.DUMMYFUNCTION("INDEX(IMPORTRANGE(""17pNv02DXDpQT9S3w4-QeNym2QJy2BzMBqDXp-XtzJBM"", ""'STC'!BL3:BL139""),MATCH($D59,IMPORTRANGE(""17pNv02DXDpQT9S3w4-QeNym2QJy2BzMBqDXp-XtzJBM"", ""'STC'!D3:D139""),0))"),26225)</f>
        <v>26225</v>
      </c>
      <c r="AE59" s="12">
        <f ca="1">IFERROR(__xludf.DUMMYFUNCTION("INDEX(IMPORTRANGE(""17pNv02DXDpQT9S3w4-QeNym2QJy2BzMBqDXp-XtzJBM"", ""'STC'!BM3:BM139""),MATCH($D59,IMPORTRANGE(""17pNv02DXDpQT9S3w4-QeNym2QJy2BzMBqDXp-XtzJBM"", ""'STC'!D3:D139""),0))"),26225)</f>
        <v>26225</v>
      </c>
    </row>
    <row r="60" spans="1:31">
      <c r="A60" s="7" t="s">
        <v>147</v>
      </c>
      <c r="B60" s="7" t="s">
        <v>168</v>
      </c>
      <c r="C60" s="1" t="s">
        <v>36</v>
      </c>
      <c r="D60" s="7" t="s">
        <v>173</v>
      </c>
      <c r="E60" s="9" t="s">
        <v>38</v>
      </c>
      <c r="F60" s="9" t="s">
        <v>174</v>
      </c>
      <c r="G60" s="11">
        <v>44469</v>
      </c>
      <c r="H60" s="11">
        <v>44469</v>
      </c>
      <c r="I60" s="11">
        <v>44469</v>
      </c>
      <c r="J60" s="11">
        <v>44651</v>
      </c>
      <c r="K60" s="11">
        <v>44834</v>
      </c>
      <c r="L60" s="11">
        <v>45016</v>
      </c>
      <c r="M60" s="11">
        <v>45199</v>
      </c>
      <c r="N60" s="11">
        <v>45382</v>
      </c>
      <c r="O60" s="10" t="s">
        <v>361</v>
      </c>
      <c r="P60" s="11">
        <v>45565</v>
      </c>
      <c r="Q60" s="15">
        <f t="shared" ref="Q60:R60" si="13">Q58/Q59</f>
        <v>0.9794801086824283</v>
      </c>
      <c r="R60" s="15">
        <f t="shared" si="13"/>
        <v>0.9794801086824283</v>
      </c>
      <c r="S60" s="15">
        <f ca="1">IFERROR(__xludf.DUMMYFUNCTION("INDEX(IMPORTRANGE(""17pNv02DXDpQT9S3w4-QeNym2QJy2BzMBqDXp-XtzJBM"", ""'STC'!BG3:BG139""),MATCH($D60,IMPORTRANGE(""17pNv02DXDpQT9S3w4-QeNym2QJy2BzMBqDXp-XtzJBM"", ""'STC'!D3:D139""),0))"),0.979480108682428)</f>
        <v>0.97948010868242796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5">
        <f ca="1">IFERROR(__xludf.DUMMYFUNCTION("INDEX(IMPORTRANGE(""17pNv02DXDpQT9S3w4-QeNym2QJy2BzMBqDXp-XtzJBM"", ""'STC'!BH3:BH139""),MATCH($D60,IMPORTRANGE(""17pNv02DXDpQT9S3w4-QeNym2QJy2BzMBqDXp-XtzJBM"", ""'STC'!D3:D139""),0))"),0.940285986653956)</f>
        <v>0.94028598665395602</v>
      </c>
      <c r="AA60" s="192">
        <f ca="1">IFERROR(__xludf.DUMMYFUNCTION("INDEX(IMPORTRANGE(""17pNv02DXDpQT9S3w4-QeNym2QJy2BzMBqDXp-XtzJBM"", ""'STC'!BI3:BI139""),MATCH($D60,IMPORTRANGE(""17pNv02DXDpQT9S3w4-QeNym2QJy2BzMBqDXp-XtzJBM"", ""'STC'!D3:D139""),0))"),0.952716873212583)</f>
        <v>0.95271687321258303</v>
      </c>
      <c r="AB60" s="15">
        <f ca="1">IFERROR(__xludf.DUMMYFUNCTION("INDEX(IMPORTRANGE(""17pNv02DXDpQT9S3w4-QeNym2QJy2BzMBqDXp-XtzJBM"", ""'STC'!BJ3:BJ139""),MATCH($D60,IMPORTRANGE(""17pNv02DXDpQT9S3w4-QeNym2QJy2BzMBqDXp-XtzJBM"", ""'STC'!D3:D139""),0))"),0.960724499523355)</f>
        <v>0.96072449952335504</v>
      </c>
      <c r="AC60" s="192">
        <f ca="1">IFERROR(__xludf.DUMMYFUNCTION("INDEX(IMPORTRANGE(""17pNv02DXDpQT9S3w4-QeNym2QJy2BzMBqDXp-XtzJBM"", ""'STC'!BK3:BK139""),MATCH($D60,IMPORTRANGE(""17pNv02DXDpQT9S3w4-QeNym2QJy2BzMBqDXp-XtzJBM"", ""'STC'!D3:D139""),0))"),0.960724499523355)</f>
        <v>0.96072449952335504</v>
      </c>
      <c r="AD60" s="15">
        <f ca="1">IFERROR(__xludf.DUMMYFUNCTION("INDEX(IMPORTRANGE(""17pNv02DXDpQT9S3w4-QeNym2QJy2BzMBqDXp-XtzJBM"", ""'STC'!BL3:BL139""),MATCH($D60,IMPORTRANGE(""17pNv02DXDpQT9S3w4-QeNym2QJy2BzMBqDXp-XtzJBM"", ""'STC'!D3:D139""),0))"),1)</f>
        <v>1</v>
      </c>
      <c r="AE60" s="15">
        <f ca="1">IFERROR(__xludf.DUMMYFUNCTION("INDEX(IMPORTRANGE(""17pNv02DXDpQT9S3w4-QeNym2QJy2BzMBqDXp-XtzJBM"", ""'STC'!BM3:BM139""),MATCH($D60,IMPORTRANGE(""17pNv02DXDpQT9S3w4-QeNym2QJy2BzMBqDXp-XtzJBM"", ""'STC'!D3:D139""),0))"),1)</f>
        <v>1</v>
      </c>
    </row>
    <row r="61" spans="1:31">
      <c r="A61" s="7" t="s">
        <v>147</v>
      </c>
      <c r="B61" s="7" t="s">
        <v>168</v>
      </c>
      <c r="C61" s="1" t="s">
        <v>30</v>
      </c>
      <c r="D61" s="7" t="s">
        <v>175</v>
      </c>
      <c r="E61" s="9" t="s">
        <v>38</v>
      </c>
      <c r="F61" s="9" t="s">
        <v>176</v>
      </c>
      <c r="G61" s="11">
        <v>44469</v>
      </c>
      <c r="H61" s="11">
        <v>44469</v>
      </c>
      <c r="I61" s="11">
        <v>44469</v>
      </c>
      <c r="J61" s="11">
        <v>44651</v>
      </c>
      <c r="K61" s="11">
        <v>44834</v>
      </c>
      <c r="L61" s="11">
        <v>45016</v>
      </c>
      <c r="M61" s="11">
        <v>45199</v>
      </c>
      <c r="N61" s="11">
        <v>45382</v>
      </c>
      <c r="O61" s="10" t="s">
        <v>361</v>
      </c>
      <c r="P61" s="11">
        <v>45565</v>
      </c>
      <c r="Q61" s="12">
        <v>84053</v>
      </c>
      <c r="R61" s="12">
        <v>84053</v>
      </c>
      <c r="S61" s="12">
        <f ca="1">IFERROR(__xludf.DUMMYFUNCTION("INDEX(IMPORTRANGE(""17pNv02DXDpQT9S3w4-QeNym2QJy2BzMBqDXp-XtzJBM"", ""'STC'!BG3:BG139""),MATCH($D61,IMPORTRANGE(""17pNv02DXDpQT9S3w4-QeNym2QJy2BzMBqDXp-XtzJBM"", ""'STC'!D3:D139""),0))"),84053)</f>
        <v>84053</v>
      </c>
      <c r="T61" s="2"/>
      <c r="U61" s="2"/>
      <c r="V61" s="2"/>
      <c r="W61" s="2"/>
      <c r="X61" s="2"/>
      <c r="Y61" s="2"/>
      <c r="Z61" s="12">
        <f ca="1">IFERROR(__xludf.DUMMYFUNCTION("INDEX(IMPORTRANGE(""17pNv02DXDpQT9S3w4-QeNym2QJy2BzMBqDXp-XtzJBM"", ""'STC'!BH3:BH139""),MATCH($D61,IMPORTRANGE(""17pNv02DXDpQT9S3w4-QeNym2QJy2BzMBqDXp-XtzJBM"", ""'STC'!D3:D139""),0))"),84053)</f>
        <v>84053</v>
      </c>
      <c r="AA61" s="23">
        <f ca="1">IFERROR(__xludf.DUMMYFUNCTION("INDEX(IMPORTRANGE(""17pNv02DXDpQT9S3w4-QeNym2QJy2BzMBqDXp-XtzJBM"", ""'STC'!BI3:BI139""),MATCH($D61,IMPORTRANGE(""17pNv02DXDpQT9S3w4-QeNym2QJy2BzMBqDXp-XtzJBM"", ""'STC'!D3:D139""),0))"),84054)</f>
        <v>84054</v>
      </c>
      <c r="AB61" s="12">
        <f ca="1">IFERROR(__xludf.DUMMYFUNCTION("INDEX(IMPORTRANGE(""17pNv02DXDpQT9S3w4-QeNym2QJy2BzMBqDXp-XtzJBM"", ""'STC'!BJ3:BJ139""),MATCH($D61,IMPORTRANGE(""17pNv02DXDpQT9S3w4-QeNym2QJy2BzMBqDXp-XtzJBM"", ""'STC'!D3:D139""),0))"),84054)</f>
        <v>84054</v>
      </c>
      <c r="AC61" s="23">
        <f ca="1">IFERROR(__xludf.DUMMYFUNCTION("INDEX(IMPORTRANGE(""17pNv02DXDpQT9S3w4-QeNym2QJy2BzMBqDXp-XtzJBM"", ""'STC'!BK3:BK139""),MATCH($D61,IMPORTRANGE(""17pNv02DXDpQT9S3w4-QeNym2QJy2BzMBqDXp-XtzJBM"", ""'STC'!D3:D139""),0))"),84054)</f>
        <v>84054</v>
      </c>
      <c r="AD61" s="12">
        <f ca="1">IFERROR(__xludf.DUMMYFUNCTION("INDEX(IMPORTRANGE(""17pNv02DXDpQT9S3w4-QeNym2QJy2BzMBqDXp-XtzJBM"", ""'STC'!BL3:BL139""),MATCH($D61,IMPORTRANGE(""17pNv02DXDpQT9S3w4-QeNym2QJy2BzMBqDXp-XtzJBM"", ""'STC'!D3:D139""),0))"),87144)</f>
        <v>87144</v>
      </c>
      <c r="AE61" s="12">
        <f ca="1">IFERROR(__xludf.DUMMYFUNCTION("INDEX(IMPORTRANGE(""17pNv02DXDpQT9S3w4-QeNym2QJy2BzMBqDXp-XtzJBM"", ""'STC'!BM3:BM139""),MATCH($D61,IMPORTRANGE(""17pNv02DXDpQT9S3w4-QeNym2QJy2BzMBqDXp-XtzJBM"", ""'STC'!D3:D139""),0))"),87144)</f>
        <v>87144</v>
      </c>
    </row>
    <row r="62" spans="1:31">
      <c r="A62" s="7" t="s">
        <v>147</v>
      </c>
      <c r="B62" s="7" t="s">
        <v>168</v>
      </c>
      <c r="C62" s="1" t="s">
        <v>36</v>
      </c>
      <c r="D62" s="1" t="s">
        <v>177</v>
      </c>
      <c r="E62" s="9" t="s">
        <v>38</v>
      </c>
      <c r="F62" s="2" t="s">
        <v>178</v>
      </c>
      <c r="G62" s="11">
        <v>44469</v>
      </c>
      <c r="H62" s="11">
        <v>44469</v>
      </c>
      <c r="I62" s="11">
        <v>44469</v>
      </c>
      <c r="J62" s="11">
        <v>44651</v>
      </c>
      <c r="K62" s="11">
        <v>44834</v>
      </c>
      <c r="L62" s="11">
        <v>45016</v>
      </c>
      <c r="M62" s="11">
        <v>45199</v>
      </c>
      <c r="N62" s="11">
        <v>45382</v>
      </c>
      <c r="O62" s="10" t="s">
        <v>361</v>
      </c>
      <c r="P62" s="11">
        <v>45565</v>
      </c>
      <c r="Q62" s="15">
        <f t="shared" ref="Q62:R62" si="14">Q61/Q37</f>
        <v>0.96452997337739832</v>
      </c>
      <c r="R62" s="15">
        <f t="shared" si="14"/>
        <v>0.96452997337739832</v>
      </c>
      <c r="S62" s="15">
        <f ca="1">IFERROR(__xludf.DUMMYFUNCTION("INDEX(IMPORTRANGE(""17pNv02DXDpQT9S3w4-QeNym2QJy2BzMBqDXp-XtzJBM"", ""'STC'!BG3:BG139""),MATCH($D62,IMPORTRANGE(""17pNv02DXDpQT9S3w4-QeNym2QJy2BzMBqDXp-XtzJBM"", ""'STC'!D3:D139""),0))"),0.964529973377398)</f>
        <v>0.96452997337739799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5">
        <f ca="1">IFERROR(__xludf.DUMMYFUNCTION("INDEX(IMPORTRANGE(""17pNv02DXDpQT9S3w4-QeNym2QJy2BzMBqDXp-XtzJBM"", ""'STC'!BH3:BH139""),MATCH($D62,IMPORTRANGE(""17pNv02DXDpQT9S3w4-QeNym2QJy2BzMBqDXp-XtzJBM"", ""'STC'!D3:D139""),0))"),0.964529973377398)</f>
        <v>0.96452997337739799</v>
      </c>
      <c r="AA62" s="15">
        <f ca="1">IFERROR(__xludf.DUMMYFUNCTION("INDEX(IMPORTRANGE(""17pNv02DXDpQT9S3w4-QeNym2QJy2BzMBqDXp-XtzJBM"", ""'STC'!BI3:BI139""),MATCH($D62,IMPORTRANGE(""17pNv02DXDpQT9S3w4-QeNym2QJy2BzMBqDXp-XtzJBM"", ""'STC'!D3:D139""),0))"),0.964541448636739)</f>
        <v>0.96454144863673896</v>
      </c>
      <c r="AB62" s="15">
        <f ca="1">IFERROR(__xludf.DUMMYFUNCTION("INDEX(IMPORTRANGE(""17pNv02DXDpQT9S3w4-QeNym2QJy2BzMBqDXp-XtzJBM"", ""'STC'!BJ3:BJ139""),MATCH($D62,IMPORTRANGE(""17pNv02DXDpQT9S3w4-QeNym2QJy2BzMBqDXp-XtzJBM"", ""'STC'!D3:D139""),0))"),0.964541448636739)</f>
        <v>0.96454144863673896</v>
      </c>
      <c r="AC62" s="15">
        <f ca="1">IFERROR(__xludf.DUMMYFUNCTION("INDEX(IMPORTRANGE(""17pNv02DXDpQT9S3w4-QeNym2QJy2BzMBqDXp-XtzJBM"", ""'STC'!BK3:BK139""),MATCH($D62,IMPORTRANGE(""17pNv02DXDpQT9S3w4-QeNym2QJy2BzMBqDXp-XtzJBM"", ""'STC'!D3:D139""),0))"),0.964541448636739)</f>
        <v>0.96454144863673896</v>
      </c>
      <c r="AD62" s="15">
        <f ca="1">IFERROR(__xludf.DUMMYFUNCTION("INDEX(IMPORTRANGE(""17pNv02DXDpQT9S3w4-QeNym2QJy2BzMBqDXp-XtzJBM"", ""'STC'!BL3:BL139""),MATCH($D62,IMPORTRANGE(""17pNv02DXDpQT9S3w4-QeNym2QJy2BzMBqDXp-XtzJBM"", ""'STC'!D3:D139""),0))"),1)</f>
        <v>1</v>
      </c>
      <c r="AE62" s="15">
        <f ca="1">IFERROR(__xludf.DUMMYFUNCTION("INDEX(IMPORTRANGE(""17pNv02DXDpQT9S3w4-QeNym2QJy2BzMBqDXp-XtzJBM"", ""'STC'!BM3:BM139""),MATCH($D62,IMPORTRANGE(""17pNv02DXDpQT9S3w4-QeNym2QJy2BzMBqDXp-XtzJBM"", ""'STC'!D3:D139""),0))"),1)</f>
        <v>1</v>
      </c>
    </row>
    <row r="63" spans="1:31">
      <c r="A63" s="7" t="s">
        <v>147</v>
      </c>
      <c r="B63" s="7" t="s">
        <v>168</v>
      </c>
      <c r="C63" s="1" t="s">
        <v>30</v>
      </c>
      <c r="D63" s="7" t="s">
        <v>179</v>
      </c>
      <c r="E63" s="9" t="s">
        <v>38</v>
      </c>
      <c r="F63" s="9" t="s">
        <v>180</v>
      </c>
      <c r="G63" s="11">
        <v>44469</v>
      </c>
      <c r="H63" s="11">
        <v>44469</v>
      </c>
      <c r="I63" s="11">
        <v>44469</v>
      </c>
      <c r="J63" s="11">
        <v>44651</v>
      </c>
      <c r="K63" s="11">
        <v>44834</v>
      </c>
      <c r="L63" s="11">
        <v>45016</v>
      </c>
      <c r="M63" s="11">
        <v>45199</v>
      </c>
      <c r="N63" s="11">
        <v>45382</v>
      </c>
      <c r="O63" s="10" t="s">
        <v>361</v>
      </c>
      <c r="P63" s="11">
        <v>45565</v>
      </c>
      <c r="Q63" s="30">
        <v>6302632.9800000004</v>
      </c>
      <c r="R63" s="30">
        <v>6302632.9800000004</v>
      </c>
      <c r="S63" s="30">
        <f ca="1">IFERROR(__xludf.DUMMYFUNCTION("INDEX(IMPORTRANGE(""17pNv02DXDpQT9S3w4-QeNym2QJy2BzMBqDXp-XtzJBM"", ""'STC'!BG3:BG139""),MATCH($D63,IMPORTRANGE(""17pNv02DXDpQT9S3w4-QeNym2QJy2BzMBqDXp-XtzJBM"", ""'STC'!D3:D139""),0))"),6302632.98)</f>
        <v>6302632.9800000004</v>
      </c>
      <c r="T63" s="2"/>
      <c r="U63" s="2"/>
      <c r="V63" s="2"/>
      <c r="W63" s="2"/>
      <c r="X63" s="2"/>
      <c r="Y63" s="2"/>
      <c r="Z63" s="30">
        <f ca="1">IFERROR(__xludf.DUMMYFUNCTION("INDEX(IMPORTRANGE(""17pNv02DXDpQT9S3w4-QeNym2QJy2BzMBqDXp-XtzJBM"", ""'STC'!BH3:BH139""),MATCH($D63,IMPORTRANGE(""17pNv02DXDpQT9S3w4-QeNym2QJy2BzMBqDXp-XtzJBM"", ""'STC'!D3:D139""),0))"),6302632.98)</f>
        <v>6302632.9800000004</v>
      </c>
      <c r="AA63" s="23">
        <f ca="1">IFERROR(__xludf.DUMMYFUNCTION("INDEX(IMPORTRANGE(""17pNv02DXDpQT9S3w4-QeNym2QJy2BzMBqDXp-XtzJBM"", ""'STC'!BI3:BI139""),MATCH($D63,IMPORTRANGE(""17pNv02DXDpQT9S3w4-QeNym2QJy2BzMBqDXp-XtzJBM"", ""'STC'!D3:D139""),0))"),6302632.98)</f>
        <v>6302632.9800000004</v>
      </c>
      <c r="AB63" s="30">
        <f ca="1">IFERROR(__xludf.DUMMYFUNCTION("INDEX(IMPORTRANGE(""17pNv02DXDpQT9S3w4-QeNym2QJy2BzMBqDXp-XtzJBM"", ""'STC'!BJ3:BJ139""),MATCH($D63,IMPORTRANGE(""17pNv02DXDpQT9S3w4-QeNym2QJy2BzMBqDXp-XtzJBM"", ""'STC'!D3:D139""),0))"),6305681)</f>
        <v>6305681</v>
      </c>
      <c r="AC63" s="23">
        <f ca="1">IFERROR(__xludf.DUMMYFUNCTION("INDEX(IMPORTRANGE(""17pNv02DXDpQT9S3w4-QeNym2QJy2BzMBqDXp-XtzJBM"", ""'STC'!BK3:BK139""),MATCH($D63,IMPORTRANGE(""17pNv02DXDpQT9S3w4-QeNym2QJy2BzMBqDXp-XtzJBM"", ""'STC'!D3:D139""),0))"),6302632.98)</f>
        <v>6302632.9800000004</v>
      </c>
      <c r="AD63" s="30">
        <f ca="1">IFERROR(__xludf.DUMMYFUNCTION("INDEX(IMPORTRANGE(""17pNv02DXDpQT9S3w4-QeNym2QJy2BzMBqDXp-XtzJBM"", ""'STC'!BL3:BL139""),MATCH($D63,IMPORTRANGE(""17pNv02DXDpQT9S3w4-QeNym2QJy2BzMBqDXp-XtzJBM"", ""'STC'!D3:D139""),0))"),6305681)</f>
        <v>6305681</v>
      </c>
      <c r="AE63" s="30">
        <f ca="1">IFERROR(__xludf.DUMMYFUNCTION("INDEX(IMPORTRANGE(""17pNv02DXDpQT9S3w4-QeNym2QJy2BzMBqDXp-XtzJBM"", ""'STC'!BM3:BM139""),MATCH($D63,IMPORTRANGE(""17pNv02DXDpQT9S3w4-QeNym2QJy2BzMBqDXp-XtzJBM"", ""'STC'!D3:D139""),0))"),6305681)</f>
        <v>6305681</v>
      </c>
    </row>
    <row r="64" spans="1:31">
      <c r="A64" s="7" t="s">
        <v>147</v>
      </c>
      <c r="B64" s="7" t="s">
        <v>168</v>
      </c>
      <c r="C64" s="1" t="s">
        <v>30</v>
      </c>
      <c r="D64" s="7" t="s">
        <v>181</v>
      </c>
      <c r="E64" s="9" t="s">
        <v>38</v>
      </c>
      <c r="F64" s="9" t="s">
        <v>182</v>
      </c>
      <c r="G64" s="11">
        <v>44469</v>
      </c>
      <c r="H64" s="11">
        <v>44469</v>
      </c>
      <c r="I64" s="11">
        <v>44469</v>
      </c>
      <c r="J64" s="11">
        <v>44651</v>
      </c>
      <c r="K64" s="11">
        <v>44834</v>
      </c>
      <c r="L64" s="11">
        <v>45016</v>
      </c>
      <c r="M64" s="11">
        <v>45199</v>
      </c>
      <c r="N64" s="11">
        <v>45382</v>
      </c>
      <c r="O64" s="10" t="s">
        <v>361</v>
      </c>
      <c r="P64" s="11">
        <v>45565</v>
      </c>
      <c r="Q64" s="30">
        <v>6347377.9800000004</v>
      </c>
      <c r="R64" s="30">
        <v>6347377.9800000004</v>
      </c>
      <c r="S64" s="30">
        <f ca="1">IFERROR(__xludf.DUMMYFUNCTION("INDEX(IMPORTRANGE(""17pNv02DXDpQT9S3w4-QeNym2QJy2BzMBqDXp-XtzJBM"", ""'STC'!BG3:BG139""),MATCH($D64,IMPORTRANGE(""17pNv02DXDpQT9S3w4-QeNym2QJy2BzMBqDXp-XtzJBM"", ""'STC'!D3:D139""),0))"),6347377.98)</f>
        <v>6347377.9800000004</v>
      </c>
      <c r="T64" s="2"/>
      <c r="U64" s="2"/>
      <c r="V64" s="2"/>
      <c r="W64" s="2"/>
      <c r="X64" s="2"/>
      <c r="Y64" s="2"/>
      <c r="Z64" s="30">
        <f ca="1">IFERROR(__xludf.DUMMYFUNCTION("INDEX(IMPORTRANGE(""17pNv02DXDpQT9S3w4-QeNym2QJy2BzMBqDXp-XtzJBM"", ""'STC'!BH3:BH139""),MATCH($D64,IMPORTRANGE(""17pNv02DXDpQT9S3w4-QeNym2QJy2BzMBqDXp-XtzJBM"", ""'STC'!D3:D139""),0))"),6347377.98)</f>
        <v>6347377.9800000004</v>
      </c>
      <c r="AA64" s="23">
        <f ca="1">IFERROR(__xludf.DUMMYFUNCTION("INDEX(IMPORTRANGE(""17pNv02DXDpQT9S3w4-QeNym2QJy2BzMBqDXp-XtzJBM"", ""'STC'!BI3:BI139""),MATCH($D64,IMPORTRANGE(""17pNv02DXDpQT9S3w4-QeNym2QJy2BzMBqDXp-XtzJBM"", ""'STC'!D3:D139""),0))"),6347377.98)</f>
        <v>6347377.9800000004</v>
      </c>
      <c r="AB64" s="30">
        <f ca="1">IFERROR(__xludf.DUMMYFUNCTION("INDEX(IMPORTRANGE(""17pNv02DXDpQT9S3w4-QeNym2QJy2BzMBqDXp-XtzJBM"", ""'STC'!BJ3:BJ139""),MATCH($D64,IMPORTRANGE(""17pNv02DXDpQT9S3w4-QeNym2QJy2BzMBqDXp-XtzJBM"", ""'STC'!D3:D139""),0))"),6347377.98)</f>
        <v>6347377.9800000004</v>
      </c>
      <c r="AC64" s="23">
        <f ca="1">IFERROR(__xludf.DUMMYFUNCTION("INDEX(IMPORTRANGE(""17pNv02DXDpQT9S3w4-QeNym2QJy2BzMBqDXp-XtzJBM"", ""'STC'!BK3:BK139""),MATCH($D64,IMPORTRANGE(""17pNv02DXDpQT9S3w4-QeNym2QJy2BzMBqDXp-XtzJBM"", ""'STC'!D3:D139""),0))"),6347377.98)</f>
        <v>6347377.9800000004</v>
      </c>
      <c r="AD64" s="30">
        <f ca="1">IFERROR(__xludf.DUMMYFUNCTION("INDEX(IMPORTRANGE(""17pNv02DXDpQT9S3w4-QeNym2QJy2BzMBqDXp-XtzJBM"", ""'STC'!BL3:BL139""),MATCH($D64,IMPORTRANGE(""17pNv02DXDpQT9S3w4-QeNym2QJy2BzMBqDXp-XtzJBM"", ""'STC'!D3:D139""),0))"),6347378)</f>
        <v>6347378</v>
      </c>
      <c r="AE64" s="30">
        <f ca="1">IFERROR(__xludf.DUMMYFUNCTION("INDEX(IMPORTRANGE(""17pNv02DXDpQT9S3w4-QeNym2QJy2BzMBqDXp-XtzJBM"", ""'STC'!BM3:BM139""),MATCH($D64,IMPORTRANGE(""17pNv02DXDpQT9S3w4-QeNym2QJy2BzMBqDXp-XtzJBM"", ""'STC'!D3:D139""),0))"),6347378)</f>
        <v>6347378</v>
      </c>
    </row>
    <row r="65" spans="1:31">
      <c r="A65" s="7" t="s">
        <v>147</v>
      </c>
      <c r="B65" s="7" t="s">
        <v>168</v>
      </c>
      <c r="C65" s="1" t="s">
        <v>36</v>
      </c>
      <c r="D65" s="7" t="s">
        <v>183</v>
      </c>
      <c r="E65" s="9" t="s">
        <v>38</v>
      </c>
      <c r="F65" s="9" t="s">
        <v>184</v>
      </c>
      <c r="G65" s="11">
        <v>44469</v>
      </c>
      <c r="H65" s="11">
        <v>44469</v>
      </c>
      <c r="I65" s="11">
        <v>44469</v>
      </c>
      <c r="J65" s="11">
        <v>44651</v>
      </c>
      <c r="K65" s="11">
        <v>44834</v>
      </c>
      <c r="L65" s="11">
        <v>45016</v>
      </c>
      <c r="M65" s="11">
        <v>45199</v>
      </c>
      <c r="N65" s="11">
        <v>45382</v>
      </c>
      <c r="O65" s="10" t="s">
        <v>361</v>
      </c>
      <c r="P65" s="11">
        <v>45565</v>
      </c>
      <c r="Q65" s="15">
        <f t="shared" ref="Q65:R65" si="15">Q63/Q64</f>
        <v>0.99295063250668425</v>
      </c>
      <c r="R65" s="15">
        <f t="shared" si="15"/>
        <v>0.99295063250668425</v>
      </c>
      <c r="S65" s="15">
        <f ca="1">IFERROR(__xludf.DUMMYFUNCTION("INDEX(IMPORTRANGE(""17pNv02DXDpQT9S3w4-QeNym2QJy2BzMBqDXp-XtzJBM"", ""'STC'!BG3:BG139""),MATCH($D65,IMPORTRANGE(""17pNv02DXDpQT9S3w4-QeNym2QJy2BzMBqDXp-XtzJBM"", ""'STC'!D3:D139""),0))"),0.992950632506684)</f>
        <v>0.99295063250668403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5">
        <f ca="1">IFERROR(__xludf.DUMMYFUNCTION("INDEX(IMPORTRANGE(""17pNv02DXDpQT9S3w4-QeNym2QJy2BzMBqDXp-XtzJBM"", ""'STC'!BH3:BH139""),MATCH($D65,IMPORTRANGE(""17pNv02DXDpQT9S3w4-QeNym2QJy2BzMBqDXp-XtzJBM"", ""'STC'!D3:D139""),0))"),0.992950632506684)</f>
        <v>0.99295063250668403</v>
      </c>
      <c r="AA65" s="15">
        <f ca="1">IFERROR(__xludf.DUMMYFUNCTION("INDEX(IMPORTRANGE(""17pNv02DXDpQT9S3w4-QeNym2QJy2BzMBqDXp-XtzJBM"", ""'STC'!BI3:BI139""),MATCH($D65,IMPORTRANGE(""17pNv02DXDpQT9S3w4-QeNym2QJy2BzMBqDXp-XtzJBM"", ""'STC'!D3:D139""),0))"),0.992950632506684)</f>
        <v>0.99295063250668403</v>
      </c>
      <c r="AB65" s="15">
        <f ca="1">IFERROR(__xludf.DUMMYFUNCTION("INDEX(IMPORTRANGE(""17pNv02DXDpQT9S3w4-QeNym2QJy2BzMBqDXp-XtzJBM"", ""'STC'!BJ3:BJ139""),MATCH($D65,IMPORTRANGE(""17pNv02DXDpQT9S3w4-QeNym2QJy2BzMBqDXp-XtzJBM"", ""'STC'!D3:D139""),0))"),0.993430833939402)</f>
        <v>0.99343083393940201</v>
      </c>
      <c r="AC65" s="15">
        <f ca="1">IFERROR(__xludf.DUMMYFUNCTION("INDEX(IMPORTRANGE(""17pNv02DXDpQT9S3w4-QeNym2QJy2BzMBqDXp-XtzJBM"", ""'STC'!BK3:BK139""),MATCH($D65,IMPORTRANGE(""17pNv02DXDpQT9S3w4-QeNym2QJy2BzMBqDXp-XtzJBM"", ""'STC'!D3:D139""),0))"),0.992950632506684)</f>
        <v>0.99295063250668403</v>
      </c>
      <c r="AD65" s="15">
        <f ca="1">IFERROR(__xludf.DUMMYFUNCTION("INDEX(IMPORTRANGE(""17pNv02DXDpQT9S3w4-QeNym2QJy2BzMBqDXp-XtzJBM"", ""'STC'!BL3:BL139""),MATCH($D65,IMPORTRANGE(""17pNv02DXDpQT9S3w4-QeNym2QJy2BzMBqDXp-XtzJBM"", ""'STC'!D3:D139""),0))"),0.993430830809193)</f>
        <v>0.99343083080919303</v>
      </c>
      <c r="AE65" s="15">
        <f ca="1">IFERROR(__xludf.DUMMYFUNCTION("INDEX(IMPORTRANGE(""17pNv02DXDpQT9S3w4-QeNym2QJy2BzMBqDXp-XtzJBM"", ""'STC'!BM3:BM139""),MATCH($D65,IMPORTRANGE(""17pNv02DXDpQT9S3w4-QeNym2QJy2BzMBqDXp-XtzJBM"", ""'STC'!D3:D139""),0))"),0.993430830809193)</f>
        <v>0.99343083080919303</v>
      </c>
    </row>
    <row r="66" spans="1:31">
      <c r="A66" s="7" t="s">
        <v>147</v>
      </c>
      <c r="B66" s="7" t="s">
        <v>168</v>
      </c>
      <c r="C66" s="1" t="s">
        <v>30</v>
      </c>
      <c r="D66" s="7" t="s">
        <v>185</v>
      </c>
      <c r="E66" s="9" t="s">
        <v>38</v>
      </c>
      <c r="F66" s="9" t="s">
        <v>186</v>
      </c>
      <c r="G66" s="11">
        <v>44469</v>
      </c>
      <c r="H66" s="11">
        <v>44469</v>
      </c>
      <c r="I66" s="11">
        <v>44469</v>
      </c>
      <c r="J66" s="11">
        <v>44651</v>
      </c>
      <c r="K66" s="11">
        <v>44834</v>
      </c>
      <c r="L66" s="11">
        <v>45016</v>
      </c>
      <c r="M66" s="11">
        <v>45199</v>
      </c>
      <c r="N66" s="11">
        <v>45382</v>
      </c>
      <c r="O66" s="10" t="s">
        <v>361</v>
      </c>
      <c r="P66" s="11">
        <v>45565</v>
      </c>
      <c r="Q66" s="30">
        <v>22901</v>
      </c>
      <c r="R66" s="30">
        <v>22901</v>
      </c>
      <c r="S66" s="30">
        <f ca="1">IFERROR(__xludf.DUMMYFUNCTION("INDEX(IMPORTRANGE(""17pNv02DXDpQT9S3w4-QeNym2QJy2BzMBqDXp-XtzJBM"", ""'STC'!BG3:BG139""),MATCH($D66,IMPORTRANGE(""17pNv02DXDpQT9S3w4-QeNym2QJy2BzMBqDXp-XtzJBM"", ""'STC'!D3:D139""),0))"),22901)</f>
        <v>22901</v>
      </c>
      <c r="T66" s="2"/>
      <c r="U66" s="2"/>
      <c r="V66" s="2"/>
      <c r="W66" s="2"/>
      <c r="X66" s="2"/>
      <c r="Y66" s="2"/>
      <c r="Z66" s="12">
        <f ca="1">IFERROR(__xludf.DUMMYFUNCTION("INDEX(IMPORTRANGE(""17pNv02DXDpQT9S3w4-QeNym2QJy2BzMBqDXp-XtzJBM"", ""'STC'!BH3:BH139""),MATCH($D66,IMPORTRANGE(""17pNv02DXDpQT9S3w4-QeNym2QJy2BzMBqDXp-XtzJBM"", ""'STC'!D3:D139""),0))"),22901)</f>
        <v>22901</v>
      </c>
      <c r="AA66" s="12">
        <f ca="1">IFERROR(__xludf.DUMMYFUNCTION("INDEX(IMPORTRANGE(""17pNv02DXDpQT9S3w4-QeNym2QJy2BzMBqDXp-XtzJBM"", ""'STC'!BI3:BI139""),MATCH($D66,IMPORTRANGE(""17pNv02DXDpQT9S3w4-QeNym2QJy2BzMBqDXp-XtzJBM"", ""'STC'!D3:D139""),0))"),22901)</f>
        <v>22901</v>
      </c>
      <c r="AB66" s="12">
        <f ca="1">IFERROR(__xludf.DUMMYFUNCTION("INDEX(IMPORTRANGE(""17pNv02DXDpQT9S3w4-QeNym2QJy2BzMBqDXp-XtzJBM"", ""'STC'!BJ3:BJ139""),MATCH($D66,IMPORTRANGE(""17pNv02DXDpQT9S3w4-QeNym2QJy2BzMBqDXp-XtzJBM"", ""'STC'!D3:D139""),0))"),23194)</f>
        <v>23194</v>
      </c>
      <c r="AC66" s="12">
        <f ca="1">IFERROR(__xludf.DUMMYFUNCTION("INDEX(IMPORTRANGE(""17pNv02DXDpQT9S3w4-QeNym2QJy2BzMBqDXp-XtzJBM"", ""'STC'!BK3:BK139""),MATCH($D66,IMPORTRANGE(""17pNv02DXDpQT9S3w4-QeNym2QJy2BzMBqDXp-XtzJBM"", ""'STC'!D3:D139""),0))"),23269)</f>
        <v>23269</v>
      </c>
      <c r="AD66" s="12">
        <f ca="1">IFERROR(__xludf.DUMMYFUNCTION("INDEX(IMPORTRANGE(""17pNv02DXDpQT9S3w4-QeNym2QJy2BzMBqDXp-XtzJBM"", ""'STC'!BL3:BL139""),MATCH($D66,IMPORTRANGE(""17pNv02DXDpQT9S3w4-QeNym2QJy2BzMBqDXp-XtzJBM"", ""'STC'!D3:D139""),0))"),23436)</f>
        <v>23436</v>
      </c>
      <c r="AE66" s="12">
        <f ca="1">IFERROR(__xludf.DUMMYFUNCTION("INDEX(IMPORTRANGE(""17pNv02DXDpQT9S3w4-QeNym2QJy2BzMBqDXp-XtzJBM"", ""'STC'!BM3:BM139""),MATCH($D66,IMPORTRANGE(""17pNv02DXDpQT9S3w4-QeNym2QJy2BzMBqDXp-XtzJBM"", ""'STC'!D3:D139""),0))"),23561)</f>
        <v>23561</v>
      </c>
    </row>
    <row r="67" spans="1:31">
      <c r="A67" s="7" t="s">
        <v>147</v>
      </c>
      <c r="B67" s="7" t="s">
        <v>168</v>
      </c>
      <c r="C67" s="1" t="s">
        <v>30</v>
      </c>
      <c r="D67" s="7" t="s">
        <v>187</v>
      </c>
      <c r="E67" s="9" t="s">
        <v>38</v>
      </c>
      <c r="F67" s="9" t="s">
        <v>188</v>
      </c>
      <c r="G67" s="11">
        <v>44469</v>
      </c>
      <c r="H67" s="11">
        <v>44469</v>
      </c>
      <c r="I67" s="11">
        <v>44469</v>
      </c>
      <c r="J67" s="11">
        <v>44651</v>
      </c>
      <c r="K67" s="11">
        <v>44834</v>
      </c>
      <c r="L67" s="11">
        <v>45016</v>
      </c>
      <c r="M67" s="11">
        <v>45199</v>
      </c>
      <c r="N67" s="11">
        <v>45382</v>
      </c>
      <c r="O67" s="10" t="s">
        <v>361</v>
      </c>
      <c r="P67" s="11">
        <v>45565</v>
      </c>
      <c r="Q67" s="30">
        <v>42125</v>
      </c>
      <c r="R67" s="30">
        <v>42125</v>
      </c>
      <c r="S67" s="30">
        <f ca="1">IFERROR(__xludf.DUMMYFUNCTION("INDEX(IMPORTRANGE(""17pNv02DXDpQT9S3w4-QeNym2QJy2BzMBqDXp-XtzJBM"", ""'STC'!BG3:BG139""),MATCH($D67,IMPORTRANGE(""17pNv02DXDpQT9S3w4-QeNym2QJy2BzMBqDXp-XtzJBM"", ""'STC'!D3:D139""),0))"),42125)</f>
        <v>42125</v>
      </c>
      <c r="T67" s="2"/>
      <c r="U67" s="2"/>
      <c r="V67" s="2"/>
      <c r="W67" s="2"/>
      <c r="X67" s="2"/>
      <c r="Y67" s="2"/>
      <c r="Z67" s="12">
        <f ca="1">IFERROR(__xludf.DUMMYFUNCTION("INDEX(IMPORTRANGE(""17pNv02DXDpQT9S3w4-QeNym2QJy2BzMBqDXp-XtzJBM"", ""'STC'!BH3:BH139""),MATCH($D67,IMPORTRANGE(""17pNv02DXDpQT9S3w4-QeNym2QJy2BzMBqDXp-XtzJBM"", ""'STC'!D3:D139""),0))"),42125)</f>
        <v>42125</v>
      </c>
      <c r="AA67" s="12">
        <f ca="1">IFERROR(__xludf.DUMMYFUNCTION("INDEX(IMPORTRANGE(""17pNv02DXDpQT9S3w4-QeNym2QJy2BzMBqDXp-XtzJBM"", ""'STC'!BI3:BI139""),MATCH($D67,IMPORTRANGE(""17pNv02DXDpQT9S3w4-QeNym2QJy2BzMBqDXp-XtzJBM"", ""'STC'!D3:D139""),0))"),42125)</f>
        <v>42125</v>
      </c>
      <c r="AB67" s="12">
        <f ca="1">IFERROR(__xludf.DUMMYFUNCTION("INDEX(IMPORTRANGE(""17pNv02DXDpQT9S3w4-QeNym2QJy2BzMBqDXp-XtzJBM"", ""'STC'!BJ3:BJ139""),MATCH($D67,IMPORTRANGE(""17pNv02DXDpQT9S3w4-QeNym2QJy2BzMBqDXp-XtzJBM"", ""'STC'!D3:D139""),0))"),42125)</f>
        <v>42125</v>
      </c>
      <c r="AC67" s="12">
        <f ca="1">IFERROR(__xludf.DUMMYFUNCTION("INDEX(IMPORTRANGE(""17pNv02DXDpQT9S3w4-QeNym2QJy2BzMBqDXp-XtzJBM"", ""'STC'!BK3:BK139""),MATCH($D67,IMPORTRANGE(""17pNv02DXDpQT9S3w4-QeNym2QJy2BzMBqDXp-XtzJBM"", ""'STC'!D3:D139""),0))"),42125)</f>
        <v>42125</v>
      </c>
      <c r="AD67" s="12">
        <f ca="1">IFERROR(__xludf.DUMMYFUNCTION("INDEX(IMPORTRANGE(""17pNv02DXDpQT9S3w4-QeNym2QJy2BzMBqDXp-XtzJBM"", ""'STC'!BL3:BL139""),MATCH($D67,IMPORTRANGE(""17pNv02DXDpQT9S3w4-QeNym2QJy2BzMBqDXp-XtzJBM"", ""'STC'!D3:D139""),0))"),42125)</f>
        <v>42125</v>
      </c>
      <c r="AE67" s="12">
        <f ca="1">IFERROR(__xludf.DUMMYFUNCTION("INDEX(IMPORTRANGE(""17pNv02DXDpQT9S3w4-QeNym2QJy2BzMBqDXp-XtzJBM"", ""'STC'!BM3:BM139""),MATCH($D67,IMPORTRANGE(""17pNv02DXDpQT9S3w4-QeNym2QJy2BzMBqDXp-XtzJBM"", ""'STC'!D3:D139""),0))"),42125)</f>
        <v>42125</v>
      </c>
    </row>
    <row r="68" spans="1:31">
      <c r="A68" s="7" t="s">
        <v>147</v>
      </c>
      <c r="B68" s="7" t="s">
        <v>168</v>
      </c>
      <c r="C68" s="1" t="s">
        <v>36</v>
      </c>
      <c r="D68" s="7" t="s">
        <v>189</v>
      </c>
      <c r="E68" s="9" t="s">
        <v>38</v>
      </c>
      <c r="F68" s="9" t="s">
        <v>190</v>
      </c>
      <c r="G68" s="11">
        <v>44469</v>
      </c>
      <c r="H68" s="11">
        <v>44469</v>
      </c>
      <c r="I68" s="11">
        <v>44469</v>
      </c>
      <c r="J68" s="11">
        <v>44651</v>
      </c>
      <c r="K68" s="11">
        <v>44834</v>
      </c>
      <c r="L68" s="11">
        <v>45016</v>
      </c>
      <c r="M68" s="11">
        <v>45199</v>
      </c>
      <c r="N68" s="11">
        <v>45382</v>
      </c>
      <c r="O68" s="10" t="s">
        <v>361</v>
      </c>
      <c r="P68" s="11">
        <v>45565</v>
      </c>
      <c r="Q68" s="15">
        <f t="shared" ref="Q68:R68" si="16">Q66/Q67</f>
        <v>0.54364391691394653</v>
      </c>
      <c r="R68" s="15">
        <f t="shared" si="16"/>
        <v>0.54364391691394653</v>
      </c>
      <c r="S68" s="15">
        <f ca="1">IFERROR(__xludf.DUMMYFUNCTION("INDEX(IMPORTRANGE(""17pNv02DXDpQT9S3w4-QeNym2QJy2BzMBqDXp-XtzJBM"", ""'STC'!BG3:BG139""),MATCH($D68,IMPORTRANGE(""17pNv02DXDpQT9S3w4-QeNym2QJy2BzMBqDXp-XtzJBM"", ""'STC'!D3:D139""),0))"),0.543643916913946)</f>
        <v>0.54364391691394598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5">
        <f ca="1">IFERROR(__xludf.DUMMYFUNCTION("INDEX(IMPORTRANGE(""17pNv02DXDpQT9S3w4-QeNym2QJy2BzMBqDXp-XtzJBM"", ""'STC'!BH3:BH139""),MATCH($D68,IMPORTRANGE(""17pNv02DXDpQT9S3w4-QeNym2QJy2BzMBqDXp-XtzJBM"", ""'STC'!D3:D139""),0))"),0.543643916913946)</f>
        <v>0.54364391691394598</v>
      </c>
      <c r="AA68" s="15">
        <f ca="1">IFERROR(__xludf.DUMMYFUNCTION("INDEX(IMPORTRANGE(""17pNv02DXDpQT9S3w4-QeNym2QJy2BzMBqDXp-XtzJBM"", ""'STC'!BI3:BI139""),MATCH($D68,IMPORTRANGE(""17pNv02DXDpQT9S3w4-QeNym2QJy2BzMBqDXp-XtzJBM"", ""'STC'!D3:D139""),0))"),0.543643916913946)</f>
        <v>0.54364391691394598</v>
      </c>
      <c r="AB68" s="15">
        <f ca="1">IFERROR(__xludf.DUMMYFUNCTION("INDEX(IMPORTRANGE(""17pNv02DXDpQT9S3w4-QeNym2QJy2BzMBqDXp-XtzJBM"", ""'STC'!BJ3:BJ139""),MATCH($D68,IMPORTRANGE(""17pNv02DXDpQT9S3w4-QeNym2QJy2BzMBqDXp-XtzJBM"", ""'STC'!D3:D139""),0))"),0.55059940652819)</f>
        <v>0.55059940652818995</v>
      </c>
      <c r="AC68" s="15">
        <f ca="1">IFERROR(__xludf.DUMMYFUNCTION("INDEX(IMPORTRANGE(""17pNv02DXDpQT9S3w4-QeNym2QJy2BzMBqDXp-XtzJBM"", ""'STC'!BK3:BK139""),MATCH($D68,IMPORTRANGE(""17pNv02DXDpQT9S3w4-QeNym2QJy2BzMBqDXp-XtzJBM"", ""'STC'!D3:D139""),0))"),0.552379821958456)</f>
        <v>0.55237982195845603</v>
      </c>
      <c r="AD68" s="15">
        <f ca="1">IFERROR(__xludf.DUMMYFUNCTION("INDEX(IMPORTRANGE(""17pNv02DXDpQT9S3w4-QeNym2QJy2BzMBqDXp-XtzJBM"", ""'STC'!BL3:BL139""),MATCH($D68,IMPORTRANGE(""17pNv02DXDpQT9S3w4-QeNym2QJy2BzMBqDXp-XtzJBM"", ""'STC'!D3:D139""),0))"),0.556344213649851)</f>
        <v>0.55634421364985098</v>
      </c>
      <c r="AE68" s="15">
        <f ca="1">IFERROR(__xludf.DUMMYFUNCTION("INDEX(IMPORTRANGE(""17pNv02DXDpQT9S3w4-QeNym2QJy2BzMBqDXp-XtzJBM"", ""'STC'!BM3:BM139""),MATCH($D68,IMPORTRANGE(""17pNv02DXDpQT9S3w4-QeNym2QJy2BzMBqDXp-XtzJBM"", ""'STC'!D3:D139""),0))"),0.559311572700296)</f>
        <v>0.55931157270029597</v>
      </c>
    </row>
    <row r="69" spans="1:31">
      <c r="A69" s="7" t="s">
        <v>147</v>
      </c>
      <c r="B69" s="7" t="s">
        <v>168</v>
      </c>
      <c r="C69" s="1" t="s">
        <v>30</v>
      </c>
      <c r="D69" s="7" t="s">
        <v>191</v>
      </c>
      <c r="E69" s="9" t="s">
        <v>38</v>
      </c>
      <c r="F69" s="9" t="s">
        <v>192</v>
      </c>
      <c r="G69" s="2" t="s">
        <v>56</v>
      </c>
      <c r="H69" s="2" t="s">
        <v>57</v>
      </c>
      <c r="I69" s="2" t="s">
        <v>57</v>
      </c>
      <c r="J69" s="2" t="s">
        <v>58</v>
      </c>
      <c r="K69" s="2" t="s">
        <v>59</v>
      </c>
      <c r="L69" s="2" t="s">
        <v>130</v>
      </c>
      <c r="M69" s="2" t="s">
        <v>61</v>
      </c>
      <c r="N69" s="2" t="s">
        <v>131</v>
      </c>
      <c r="O69" s="22" t="s">
        <v>63</v>
      </c>
      <c r="P69" s="2" t="s">
        <v>132</v>
      </c>
      <c r="Q69" s="12">
        <v>0</v>
      </c>
      <c r="R69" s="2">
        <v>0</v>
      </c>
      <c r="S69" s="2">
        <f ca="1">IFERROR(__xludf.DUMMYFUNCTION("INDEX(IMPORTRANGE(""17pNv02DXDpQT9S3w4-QeNym2QJy2BzMBqDXp-XtzJBM"", ""'STC'!BG3:BG139""),MATCH($D69,IMPORTRANGE(""17pNv02DXDpQT9S3w4-QeNym2QJy2BzMBqDXp-XtzJBM"", ""'STC'!D3:D139""),0))"),0)</f>
        <v>0</v>
      </c>
      <c r="T69" s="2"/>
      <c r="U69" s="2"/>
      <c r="V69" s="2"/>
      <c r="W69" s="2"/>
      <c r="X69" s="2"/>
      <c r="Y69" s="2"/>
      <c r="Z69" s="24">
        <f ca="1">IFERROR(__xludf.DUMMYFUNCTION("INDEX(IMPORTRANGE(""17pNv02DXDpQT9S3w4-QeNym2QJy2BzMBqDXp-XtzJBM"", ""'STC'!BH3:BH139""),MATCH($D69,IMPORTRANGE(""17pNv02DXDpQT9S3w4-QeNym2QJy2BzMBqDXp-XtzJBM"", ""'STC'!D3:D139""),0))"),4.57)</f>
        <v>4.57</v>
      </c>
      <c r="AA69" s="23">
        <f ca="1">IFERROR(__xludf.DUMMYFUNCTION("INDEX(IMPORTRANGE(""17pNv02DXDpQT9S3w4-QeNym2QJy2BzMBqDXp-XtzJBM"", ""'STC'!BI3:BI139""),MATCH($D69,IMPORTRANGE(""17pNv02DXDpQT9S3w4-QeNym2QJy2BzMBqDXp-XtzJBM"", ""'STC'!D3:D139""),0))"),19.17)</f>
        <v>19.170000000000002</v>
      </c>
      <c r="AB69" s="24">
        <f ca="1">IFERROR(__xludf.DUMMYFUNCTION("INDEX(IMPORTRANGE(""17pNv02DXDpQT9S3w4-QeNym2QJy2BzMBqDXp-XtzJBM"", ""'STC'!BJ3:BJ139""),MATCH($D69,IMPORTRANGE(""17pNv02DXDpQT9S3w4-QeNym2QJy2BzMBqDXp-XtzJBM"", ""'STC'!D3:D139""),0))"),10.1)</f>
        <v>10.1</v>
      </c>
      <c r="AC69" s="23">
        <f ca="1">IFERROR(__xludf.DUMMYFUNCTION("INDEX(IMPORTRANGE(""17pNv02DXDpQT9S3w4-QeNym2QJy2BzMBqDXp-XtzJBM"", ""'STC'!BK3:BK139""),MATCH($D69,IMPORTRANGE(""17pNv02DXDpQT9S3w4-QeNym2QJy2BzMBqDXp-XtzJBM"", ""'STC'!D3:D139""),0))"),19.6)</f>
        <v>19.600000000000001</v>
      </c>
      <c r="AD69" s="24">
        <f ca="1">IFERROR(__xludf.DUMMYFUNCTION("INDEX(IMPORTRANGE(""17pNv02DXDpQT9S3w4-QeNym2QJy2BzMBqDXp-XtzJBM"", ""'STC'!BL3:BL139""),MATCH($D69,IMPORTRANGE(""17pNv02DXDpQT9S3w4-QeNym2QJy2BzMBqDXp-XtzJBM"", ""'STC'!D3:D139""),0))"),5.5)</f>
        <v>5.5</v>
      </c>
      <c r="AE69" s="24">
        <f ca="1">IFERROR(__xludf.DUMMYFUNCTION("INDEX(IMPORTRANGE(""17pNv02DXDpQT9S3w4-QeNym2QJy2BzMBqDXp-XtzJBM"", ""'STC'!BM3:BM139""),MATCH($D69,IMPORTRANGE(""17pNv02DXDpQT9S3w4-QeNym2QJy2BzMBqDXp-XtzJBM"", ""'STC'!D3:D139""),0))"),14.5)</f>
        <v>14.5</v>
      </c>
    </row>
    <row r="70" spans="1:31">
      <c r="A70" s="7" t="s">
        <v>147</v>
      </c>
      <c r="B70" s="7" t="s">
        <v>168</v>
      </c>
      <c r="C70" s="1" t="s">
        <v>30</v>
      </c>
      <c r="D70" s="7" t="s">
        <v>193</v>
      </c>
      <c r="E70" s="9" t="s">
        <v>38</v>
      </c>
      <c r="F70" s="9" t="s">
        <v>194</v>
      </c>
      <c r="G70" s="2" t="s">
        <v>56</v>
      </c>
      <c r="H70" s="2" t="s">
        <v>57</v>
      </c>
      <c r="I70" s="2" t="s">
        <v>57</v>
      </c>
      <c r="J70" s="2" t="s">
        <v>58</v>
      </c>
      <c r="K70" s="2" t="s">
        <v>59</v>
      </c>
      <c r="L70" s="2" t="s">
        <v>130</v>
      </c>
      <c r="M70" s="2" t="s">
        <v>61</v>
      </c>
      <c r="N70" s="2" t="s">
        <v>131</v>
      </c>
      <c r="O70" s="22" t="s">
        <v>63</v>
      </c>
      <c r="P70" s="2" t="s">
        <v>132</v>
      </c>
      <c r="Q70" s="12">
        <v>0</v>
      </c>
      <c r="R70" s="2">
        <v>0</v>
      </c>
      <c r="S70" s="2">
        <f ca="1">IFERROR(__xludf.DUMMYFUNCTION("INDEX(IMPORTRANGE(""17pNv02DXDpQT9S3w4-QeNym2QJy2BzMBqDXp-XtzJBM"", ""'STC'!BG3:BG139""),MATCH($D70,IMPORTRANGE(""17pNv02DXDpQT9S3w4-QeNym2QJy2BzMBqDXp-XtzJBM"", ""'STC'!D3:D139""),0))"),0)</f>
        <v>0</v>
      </c>
      <c r="T70" s="2"/>
      <c r="U70" s="2"/>
      <c r="V70" s="2"/>
      <c r="W70" s="2"/>
      <c r="X70" s="2"/>
      <c r="Y70" s="2"/>
      <c r="Z70" s="24">
        <f ca="1">IFERROR(__xludf.DUMMYFUNCTION("INDEX(IMPORTRANGE(""17pNv02DXDpQT9S3w4-QeNym2QJy2BzMBqDXp-XtzJBM"", ""'STC'!BH3:BH139""),MATCH($D70,IMPORTRANGE(""17pNv02DXDpQT9S3w4-QeNym2QJy2BzMBqDXp-XtzJBM"", ""'STC'!D3:D139""),0))"),0)</f>
        <v>0</v>
      </c>
      <c r="AA70" s="23">
        <f ca="1">IFERROR(__xludf.DUMMYFUNCTION("INDEX(IMPORTRANGE(""17pNv02DXDpQT9S3w4-QeNym2QJy2BzMBqDXp-XtzJBM"", ""'STC'!BI3:BI139""),MATCH($D70,IMPORTRANGE(""17pNv02DXDpQT9S3w4-QeNym2QJy2BzMBqDXp-XtzJBM"", ""'STC'!D3:D139""),0))"),0)</f>
        <v>0</v>
      </c>
      <c r="AB70" s="24">
        <f ca="1">IFERROR(__xludf.DUMMYFUNCTION("INDEX(IMPORTRANGE(""17pNv02DXDpQT9S3w4-QeNym2QJy2BzMBqDXp-XtzJBM"", ""'STC'!BJ3:BJ139""),MATCH($D70,IMPORTRANGE(""17pNv02DXDpQT9S3w4-QeNym2QJy2BzMBqDXp-XtzJBM"", ""'STC'!D3:D139""),0))"),0)</f>
        <v>0</v>
      </c>
      <c r="AC70" s="23">
        <f ca="1">IFERROR(__xludf.DUMMYFUNCTION("INDEX(IMPORTRANGE(""17pNv02DXDpQT9S3w4-QeNym2QJy2BzMBqDXp-XtzJBM"", ""'STC'!BK3:BK139""),MATCH($D70,IMPORTRANGE(""17pNv02DXDpQT9S3w4-QeNym2QJy2BzMBqDXp-XtzJBM"", ""'STC'!D3:D139""),0))"),0)</f>
        <v>0</v>
      </c>
      <c r="AD70" s="24">
        <f ca="1">IFERROR(__xludf.DUMMYFUNCTION("INDEX(IMPORTRANGE(""17pNv02DXDpQT9S3w4-QeNym2QJy2BzMBqDXp-XtzJBM"", ""'STC'!BL3:BL139""),MATCH($D70,IMPORTRANGE(""17pNv02DXDpQT9S3w4-QeNym2QJy2BzMBqDXp-XtzJBM"", ""'STC'!D3:D139""),0))"),0)</f>
        <v>0</v>
      </c>
      <c r="AE70" s="24">
        <f ca="1">IFERROR(__xludf.DUMMYFUNCTION("INDEX(IMPORTRANGE(""17pNv02DXDpQT9S3w4-QeNym2QJy2BzMBqDXp-XtzJBM"", ""'STC'!BM3:BM139""),MATCH($D70,IMPORTRANGE(""17pNv02DXDpQT9S3w4-QeNym2QJy2BzMBqDXp-XtzJBM"", ""'STC'!D3:D139""),0))"),2)</f>
        <v>2</v>
      </c>
    </row>
    <row r="71" spans="1:31">
      <c r="A71" s="7" t="s">
        <v>147</v>
      </c>
      <c r="B71" s="7" t="s">
        <v>168</v>
      </c>
      <c r="C71" s="1" t="s">
        <v>30</v>
      </c>
      <c r="D71" s="7" t="s">
        <v>195</v>
      </c>
      <c r="E71" s="9" t="s">
        <v>38</v>
      </c>
      <c r="F71" s="9" t="s">
        <v>196</v>
      </c>
      <c r="G71" s="11">
        <v>44469</v>
      </c>
      <c r="H71" s="11">
        <v>44469</v>
      </c>
      <c r="I71" s="11">
        <v>44469</v>
      </c>
      <c r="J71" s="11">
        <v>44651</v>
      </c>
      <c r="K71" s="11">
        <v>44834</v>
      </c>
      <c r="L71" s="11">
        <v>45016</v>
      </c>
      <c r="M71" s="11">
        <v>45199</v>
      </c>
      <c r="N71" s="11">
        <v>45382</v>
      </c>
      <c r="O71" s="10" t="s">
        <v>361</v>
      </c>
      <c r="P71" s="11">
        <v>45565</v>
      </c>
      <c r="Q71" s="30">
        <v>0</v>
      </c>
      <c r="R71" s="2">
        <v>0</v>
      </c>
      <c r="S71" s="2">
        <f ca="1">IFERROR(__xludf.DUMMYFUNCTION("INDEX(IMPORTRANGE(""17pNv02DXDpQT9S3w4-QeNym2QJy2BzMBqDXp-XtzJBM"", ""'STC'!BG3:BG139""),MATCH($D71,IMPORTRANGE(""17pNv02DXDpQT9S3w4-QeNym2QJy2BzMBqDXp-XtzJBM"", ""'STC'!D3:D139""),0))"),0)</f>
        <v>0</v>
      </c>
      <c r="T71" s="2"/>
      <c r="U71" s="2"/>
      <c r="V71" s="2"/>
      <c r="W71" s="2"/>
      <c r="X71" s="2"/>
      <c r="Y71" s="2"/>
      <c r="Z71" s="29">
        <f ca="1">IFERROR(__xludf.DUMMYFUNCTION("INDEX(IMPORTRANGE(""17pNv02DXDpQT9S3w4-QeNym2QJy2BzMBqDXp-XtzJBM"", ""'STC'!BH3:BH139""),MATCH($D71,IMPORTRANGE(""17pNv02DXDpQT9S3w4-QeNym2QJy2BzMBqDXp-XtzJBM"", ""'STC'!D3:D139""),0))"),1)</f>
        <v>1</v>
      </c>
      <c r="AA71" s="23" t="str">
        <f ca="1">IFERROR(__xludf.DUMMYFUNCTION("INDEX(IMPORTRANGE(""17pNv02DXDpQT9S3w4-QeNym2QJy2BzMBqDXp-XtzJBM"", ""'STC'!BI3:BI139""),MATCH($D71,IMPORTRANGE(""17pNv02DXDpQT9S3w4-QeNym2QJy2BzMBqDXp-XtzJBM"", ""'STC'!D3:D139""),0))"),"")</f>
        <v/>
      </c>
      <c r="AB71" s="29" t="str">
        <f ca="1">IFERROR(__xludf.DUMMYFUNCTION("INDEX(IMPORTRANGE(""17pNv02DXDpQT9S3w4-QeNym2QJy2BzMBqDXp-XtzJBM"", ""'STC'!BJ3:BJ139""),MATCH($D71,IMPORTRANGE(""17pNv02DXDpQT9S3w4-QeNym2QJy2BzMBqDXp-XtzJBM"", ""'STC'!D3:D139""),0))"),"")</f>
        <v/>
      </c>
      <c r="AC71" s="23" t="str">
        <f ca="1">IFERROR(__xludf.DUMMYFUNCTION("INDEX(IMPORTRANGE(""17pNv02DXDpQT9S3w4-QeNym2QJy2BzMBqDXp-XtzJBM"", ""'STC'!BK3:BK139""),MATCH($D71,IMPORTRANGE(""17pNv02DXDpQT9S3w4-QeNym2QJy2BzMBqDXp-XtzJBM"", ""'STC'!D3:D139""),0))"),"")</f>
        <v/>
      </c>
      <c r="AD71" s="29" t="str">
        <f ca="1">IFERROR(__xludf.DUMMYFUNCTION("INDEX(IMPORTRANGE(""17pNv02DXDpQT9S3w4-QeNym2QJy2BzMBqDXp-XtzJBM"", ""'STC'!BL3:BL139""),MATCH($D71,IMPORTRANGE(""17pNv02DXDpQT9S3w4-QeNym2QJy2BzMBqDXp-XtzJBM"", ""'STC'!D3:D139""),0))"),"""https://drive.google.com/file/d/17msIVXfjbOc4Gfp0vIRKGSCTqgg91TUk/view?usp=sharing
Página 64 Plan Municipal de Desarrollo 2021-2024: chrome-extension://efaidnbmnnnibpcajpcglclefindmkaj/https://www.stacatarina.gob.mx/t2/OFP/1060/PlanMunicipalDesarrollo20"&amp;"212024.pdf""					")</f>
        <v xml:space="preserve">"https://drive.google.com/file/d/17msIVXfjbOc4Gfp0vIRKGSCTqgg91TUk/view?usp=sharing
Página 64 Plan Municipal de Desarrollo 2021-2024: chrome-extension://efaidnbmnnnibpcajpcglclefindmkaj/https://www.stacatarina.gob.mx/t2/OFP/1060/PlanMunicipalDesarrollo20212024.pdf"					</v>
      </c>
      <c r="AE71" s="29" t="str">
        <f ca="1">IFERROR(__xludf.DUMMYFUNCTION("INDEX(IMPORTRANGE(""17pNv02DXDpQT9S3w4-QeNym2QJy2BzMBqDXp-XtzJBM"", ""'STC'!BM3:BM139""),MATCH($D71,IMPORTRANGE(""17pNv02DXDpQT9S3w4-QeNym2QJy2BzMBqDXp-XtzJBM"", ""'STC'!D3:D139""),0))"),"""https://drive.google.com/file/d/17msIVXfjbOc4Gfp0vIRKGSCTqgg91TUk/view?usp=sharing
Página 64 Plan Municipal de Desarrollo 2021-2024: chrome-extension://efaidnbmnnnibpcajpcglclefindmkaj/https://www.stacatarina.gob.mx/t2/OFP/1060/PlanMunicipalDesarrollo20"&amp;"212024.pdf""                                                        ")</f>
        <v xml:space="preserve">"https://drive.google.com/file/d/17msIVXfjbOc4Gfp0vIRKGSCTqgg91TUk/view?usp=sharing
Página 64 Plan Municipal de Desarrollo 2021-2024: chrome-extension://efaidnbmnnnibpcajpcglclefindmkaj/https://www.stacatarina.gob.mx/t2/OFP/1060/PlanMunicipalDesarrollo20212024.pdf"                                                        </v>
      </c>
    </row>
    <row r="72" spans="1:31">
      <c r="A72" s="7" t="s">
        <v>147</v>
      </c>
      <c r="B72" s="7" t="s">
        <v>168</v>
      </c>
      <c r="C72" s="1" t="s">
        <v>36</v>
      </c>
      <c r="D72" s="7" t="s">
        <v>197</v>
      </c>
      <c r="E72" s="9" t="s">
        <v>38</v>
      </c>
      <c r="F72" s="9" t="s">
        <v>198</v>
      </c>
      <c r="G72" s="2" t="s">
        <v>56</v>
      </c>
      <c r="H72" s="2" t="s">
        <v>57</v>
      </c>
      <c r="I72" s="2" t="s">
        <v>57</v>
      </c>
      <c r="J72" s="2" t="s">
        <v>58</v>
      </c>
      <c r="K72" s="2" t="s">
        <v>59</v>
      </c>
      <c r="L72" s="2" t="s">
        <v>130</v>
      </c>
      <c r="M72" s="2" t="s">
        <v>61</v>
      </c>
      <c r="N72" s="2" t="s">
        <v>131</v>
      </c>
      <c r="O72" s="22" t="s">
        <v>63</v>
      </c>
      <c r="P72" s="2" t="s">
        <v>132</v>
      </c>
      <c r="Q72" s="12">
        <f>Q69+Q70</f>
        <v>0</v>
      </c>
      <c r="R72" s="2">
        <v>0</v>
      </c>
      <c r="S72" s="2">
        <f ca="1">IFERROR(__xludf.DUMMYFUNCTION("INDEX(IMPORTRANGE(""17pNv02DXDpQT9S3w4-QeNym2QJy2BzMBqDXp-XtzJBM"", ""'STC'!BG3:BG139""),MATCH($D72,IMPORTRANGE(""17pNv02DXDpQT9S3w4-QeNym2QJy2BzMBqDXp-XtzJBM"", ""'STC'!D3:D139""),0))"),0)</f>
        <v>0</v>
      </c>
      <c r="T72" s="2">
        <v>6</v>
      </c>
      <c r="U72" s="2">
        <v>3</v>
      </c>
      <c r="V72" s="2">
        <v>6</v>
      </c>
      <c r="W72" s="2">
        <v>3</v>
      </c>
      <c r="X72" s="2">
        <f>(6-W72)/6*5+W72</f>
        <v>5.5</v>
      </c>
      <c r="Y72" s="2">
        <v>18</v>
      </c>
      <c r="Z72" s="24">
        <f ca="1">IFERROR(__xludf.DUMMYFUNCTION("INDEX(IMPORTRANGE(""17pNv02DXDpQT9S3w4-QeNym2QJy2BzMBqDXp-XtzJBM"", ""'STC'!BH3:BH139""),MATCH($D72,IMPORTRANGE(""17pNv02DXDpQT9S3w4-QeNym2QJy2BzMBqDXp-XtzJBM"", ""'STC'!D3:D139""),0))"),4.57)</f>
        <v>4.57</v>
      </c>
      <c r="AA72" s="23">
        <f ca="1">IFERROR(__xludf.DUMMYFUNCTION("INDEX(IMPORTRANGE(""17pNv02DXDpQT9S3w4-QeNym2QJy2BzMBqDXp-XtzJBM"", ""'STC'!BI3:BI139""),MATCH($D72,IMPORTRANGE(""17pNv02DXDpQT9S3w4-QeNym2QJy2BzMBqDXp-XtzJBM"", ""'STC'!D3:D139""),0))"),19.17)</f>
        <v>19.170000000000002</v>
      </c>
      <c r="AB72" s="24">
        <f ca="1">IFERROR(__xludf.DUMMYFUNCTION("INDEX(IMPORTRANGE(""17pNv02DXDpQT9S3w4-QeNym2QJy2BzMBqDXp-XtzJBM"", ""'STC'!BJ3:BJ139""),MATCH($D72,IMPORTRANGE(""17pNv02DXDpQT9S3w4-QeNym2QJy2BzMBqDXp-XtzJBM"", ""'STC'!D3:D139""),0))"),10.1)</f>
        <v>10.1</v>
      </c>
      <c r="AC72" s="23">
        <f ca="1">IFERROR(__xludf.DUMMYFUNCTION("INDEX(IMPORTRANGE(""17pNv02DXDpQT9S3w4-QeNym2QJy2BzMBqDXp-XtzJBM"", ""'STC'!BK3:BK139""),MATCH($D72,IMPORTRANGE(""17pNv02DXDpQT9S3w4-QeNym2QJy2BzMBqDXp-XtzJBM"", ""'STC'!D3:D139""),0))"),19.6)</f>
        <v>19.600000000000001</v>
      </c>
      <c r="AD72" s="24">
        <f ca="1">IFERROR(__xludf.DUMMYFUNCTION("INDEX(IMPORTRANGE(""17pNv02DXDpQT9S3w4-QeNym2QJy2BzMBqDXp-XtzJBM"", ""'STC'!BL3:BL139""),MATCH($D72,IMPORTRANGE(""17pNv02DXDpQT9S3w4-QeNym2QJy2BzMBqDXp-XtzJBM"", ""'STC'!D3:D139""),0))"),5.5)</f>
        <v>5.5</v>
      </c>
      <c r="AE72" s="24">
        <f ca="1">IFERROR(__xludf.DUMMYFUNCTION("INDEX(IMPORTRANGE(""17pNv02DXDpQT9S3w4-QeNym2QJy2BzMBqDXp-XtzJBM"", ""'STC'!BM3:BM139""),MATCH($D72,IMPORTRANGE(""17pNv02DXDpQT9S3w4-QeNym2QJy2BzMBqDXp-XtzJBM"", ""'STC'!D3:D139""),0))"),16.5)</f>
        <v>16.5</v>
      </c>
    </row>
    <row r="73" spans="1:31">
      <c r="A73" s="7" t="s">
        <v>199</v>
      </c>
      <c r="B73" s="7" t="s">
        <v>200</v>
      </c>
      <c r="C73" s="1" t="s">
        <v>36</v>
      </c>
      <c r="D73" s="7" t="s">
        <v>201</v>
      </c>
      <c r="E73" s="9" t="s">
        <v>38</v>
      </c>
      <c r="F73" s="9" t="s">
        <v>202</v>
      </c>
      <c r="G73" s="11">
        <v>44469</v>
      </c>
      <c r="H73" s="11">
        <v>44469</v>
      </c>
      <c r="I73" s="11">
        <v>44469</v>
      </c>
      <c r="J73" s="11">
        <v>44651</v>
      </c>
      <c r="K73" s="11">
        <v>44834</v>
      </c>
      <c r="L73" s="11">
        <v>45016</v>
      </c>
      <c r="M73" s="11">
        <v>45199</v>
      </c>
      <c r="N73" s="11">
        <v>45382</v>
      </c>
      <c r="O73" s="10" t="s">
        <v>361</v>
      </c>
      <c r="P73" s="11">
        <v>45565</v>
      </c>
      <c r="Q73" s="12">
        <v>0</v>
      </c>
      <c r="R73" s="12">
        <v>0</v>
      </c>
      <c r="S73" s="12">
        <f ca="1">IFERROR(__xludf.DUMMYFUNCTION("INDEX(IMPORTRANGE(""17pNv02DXDpQT9S3w4-QeNym2QJy2BzMBqDXp-XtzJBM"", ""'STC'!BG3:BG139""),MATCH($D73,IMPORTRANGE(""17pNv02DXDpQT9S3w4-QeNym2QJy2BzMBqDXp-XtzJBM"", ""'STC'!D3:D139""),0))"),0)</f>
        <v>0</v>
      </c>
      <c r="T73" s="2">
        <v>1</v>
      </c>
      <c r="U73" s="2">
        <v>2</v>
      </c>
      <c r="V73" s="2">
        <v>2</v>
      </c>
      <c r="W73" s="2">
        <v>3</v>
      </c>
      <c r="X73" s="23">
        <f>((Y73-W73)/6)*5+W73</f>
        <v>3.833333333333333</v>
      </c>
      <c r="Y73" s="2">
        <v>4</v>
      </c>
      <c r="Z73" s="12">
        <f ca="1">IFERROR(__xludf.DUMMYFUNCTION("INDEX(IMPORTRANGE(""17pNv02DXDpQT9S3w4-QeNym2QJy2BzMBqDXp-XtzJBM"", ""'STC'!BH3:BH139""),MATCH($D73,IMPORTRANGE(""17pNv02DXDpQT9S3w4-QeNym2QJy2BzMBqDXp-XtzJBM"", ""'STC'!D3:D139""),0))"),0)</f>
        <v>0</v>
      </c>
      <c r="AA73" s="12">
        <f ca="1">IFERROR(__xludf.DUMMYFUNCTION("INDEX(IMPORTRANGE(""17pNv02DXDpQT9S3w4-QeNym2QJy2BzMBqDXp-XtzJBM"", ""'STC'!BI3:BI139""),MATCH($D73,IMPORTRANGE(""17pNv02DXDpQT9S3w4-QeNym2QJy2BzMBqDXp-XtzJBM"", ""'STC'!D3:D139""),0))"),0)</f>
        <v>0</v>
      </c>
      <c r="AB73" s="12">
        <f ca="1">IFERROR(__xludf.DUMMYFUNCTION("INDEX(IMPORTRANGE(""17pNv02DXDpQT9S3w4-QeNym2QJy2BzMBqDXp-XtzJBM"", ""'STC'!BJ3:BJ139""),MATCH($D73,IMPORTRANGE(""17pNv02DXDpQT9S3w4-QeNym2QJy2BzMBqDXp-XtzJBM"", ""'STC'!D3:D139""),0))"),0)</f>
        <v>0</v>
      </c>
      <c r="AC73" s="12">
        <f ca="1">IFERROR(__xludf.DUMMYFUNCTION("INDEX(IMPORTRANGE(""17pNv02DXDpQT9S3w4-QeNym2QJy2BzMBqDXp-XtzJBM"", ""'STC'!BK3:BK139""),MATCH($D73,IMPORTRANGE(""17pNv02DXDpQT9S3w4-QeNym2QJy2BzMBqDXp-XtzJBM"", ""'STC'!D3:D139""),0))"),0)</f>
        <v>0</v>
      </c>
      <c r="AD73" s="12">
        <f ca="1">IFERROR(__xludf.DUMMYFUNCTION("INDEX(IMPORTRANGE(""17pNv02DXDpQT9S3w4-QeNym2QJy2BzMBqDXp-XtzJBM"", ""'STC'!BL3:BL139""),MATCH($D73,IMPORTRANGE(""17pNv02DXDpQT9S3w4-QeNym2QJy2BzMBqDXp-XtzJBM"", ""'STC'!D3:D139""),0))"),1)</f>
        <v>1</v>
      </c>
      <c r="AE73" s="12">
        <f ca="1">IFERROR(__xludf.DUMMYFUNCTION("INDEX(IMPORTRANGE(""17pNv02DXDpQT9S3w4-QeNym2QJy2BzMBqDXp-XtzJBM"", ""'STC'!BM3:BM139""),MATCH($D73,IMPORTRANGE(""17pNv02DXDpQT9S3w4-QeNym2QJy2BzMBqDXp-XtzJBM"", ""'STC'!D3:D139""),0))"),0)</f>
        <v>0</v>
      </c>
    </row>
    <row r="74" spans="1:31">
      <c r="A74" s="7" t="s">
        <v>199</v>
      </c>
      <c r="B74" s="7" t="s">
        <v>200</v>
      </c>
      <c r="C74" s="1" t="s">
        <v>30</v>
      </c>
      <c r="D74" s="7" t="s">
        <v>203</v>
      </c>
      <c r="E74" s="9" t="s">
        <v>38</v>
      </c>
      <c r="F74" s="9" t="s">
        <v>204</v>
      </c>
      <c r="G74" s="2" t="s">
        <v>56</v>
      </c>
      <c r="H74" s="2" t="s">
        <v>57</v>
      </c>
      <c r="I74" s="2" t="s">
        <v>362</v>
      </c>
      <c r="J74" s="2" t="s">
        <v>58</v>
      </c>
      <c r="K74" s="2" t="s">
        <v>59</v>
      </c>
      <c r="L74" s="2" t="s">
        <v>130</v>
      </c>
      <c r="M74" s="2" t="s">
        <v>61</v>
      </c>
      <c r="N74" s="2" t="s">
        <v>131</v>
      </c>
      <c r="O74" s="22" t="s">
        <v>363</v>
      </c>
      <c r="P74" s="2" t="s">
        <v>132</v>
      </c>
      <c r="Q74" s="254"/>
      <c r="R74" s="254"/>
      <c r="S74" s="30">
        <f ca="1">IFERROR(__xludf.DUMMYFUNCTION("INDEX(IMPORTRANGE(""17pNv02DXDpQT9S3w4-QeNym2QJy2BzMBqDXp-XtzJBM"", ""'STC'!BG3:BG139""),MATCH($D74,IMPORTRANGE(""17pNv02DXDpQT9S3w4-QeNym2QJy2BzMBqDXp-XtzJBM"", ""'STC'!D3:D139""),0))"),980.3)</f>
        <v>980.3</v>
      </c>
      <c r="T74" s="2"/>
      <c r="U74" s="2"/>
      <c r="V74" s="2"/>
      <c r="W74" s="2"/>
      <c r="X74" s="2"/>
      <c r="Y74" s="2"/>
      <c r="Z74" s="23">
        <f ca="1">IFERROR(__xludf.DUMMYFUNCTION("INDEX(IMPORTRANGE(""17pNv02DXDpQT9S3w4-QeNym2QJy2BzMBqDXp-XtzJBM"", ""'STC'!BH3:BH139""),MATCH($D74,IMPORTRANGE(""17pNv02DXDpQT9S3w4-QeNym2QJy2BzMBqDXp-XtzJBM"", ""'STC'!D3:D139""),0))"),740.38)</f>
        <v>740.38</v>
      </c>
      <c r="AA74" s="23">
        <f ca="1">IFERROR(__xludf.DUMMYFUNCTION("INDEX(IMPORTRANGE(""17pNv02DXDpQT9S3w4-QeNym2QJy2BzMBqDXp-XtzJBM"", ""'STC'!BI3:BI139""),MATCH($D74,IMPORTRANGE(""17pNv02DXDpQT9S3w4-QeNym2QJy2BzMBqDXp-XtzJBM"", ""'STC'!D3:D139""),0))"),740.38)</f>
        <v>740.38</v>
      </c>
      <c r="AB74" s="23">
        <f ca="1">IFERROR(__xludf.DUMMYFUNCTION("INDEX(IMPORTRANGE(""17pNv02DXDpQT9S3w4-QeNym2QJy2BzMBqDXp-XtzJBM"", ""'STC'!BJ3:BJ139""),MATCH($D74,IMPORTRANGE(""17pNv02DXDpQT9S3w4-QeNym2QJy2BzMBqDXp-XtzJBM"", ""'STC'!D3:D139""),0))"),0)</f>
        <v>0</v>
      </c>
      <c r="AC74" s="23">
        <f ca="1">IFERROR(__xludf.DUMMYFUNCTION("INDEX(IMPORTRANGE(""17pNv02DXDpQT9S3w4-QeNym2QJy2BzMBqDXp-XtzJBM"", ""'STC'!BK3:BK139""),MATCH($D74,IMPORTRANGE(""17pNv02DXDpQT9S3w4-QeNym2QJy2BzMBqDXp-XtzJBM"", ""'STC'!D3:D139""),0))"),19945.48)</f>
        <v>19945.48</v>
      </c>
      <c r="AD74" s="23">
        <f ca="1">IFERROR(__xludf.DUMMYFUNCTION("INDEX(IMPORTRANGE(""17pNv02DXDpQT9S3w4-QeNym2QJy2BzMBqDXp-XtzJBM"", ""'STC'!BL3:BL139""),MATCH($D74,IMPORTRANGE(""17pNv02DXDpQT9S3w4-QeNym2QJy2BzMBqDXp-XtzJBM"", ""'STC'!D3:D139""),0))"),929.06)</f>
        <v>929.06</v>
      </c>
      <c r="AE74" s="23">
        <f ca="1">IFERROR(__xludf.DUMMYFUNCTION("INDEX(IMPORTRANGE(""17pNv02DXDpQT9S3w4-QeNym2QJy2BzMBqDXp-XtzJBM"", ""'STC'!BM3:BM139""),MATCH($D74,IMPORTRANGE(""17pNv02DXDpQT9S3w4-QeNym2QJy2BzMBqDXp-XtzJBM"", ""'STC'!D3:D139""),0))"),929.06)</f>
        <v>929.06</v>
      </c>
    </row>
    <row r="75" spans="1:31">
      <c r="A75" s="7" t="s">
        <v>199</v>
      </c>
      <c r="B75" s="7" t="s">
        <v>200</v>
      </c>
      <c r="C75" s="1" t="s">
        <v>30</v>
      </c>
      <c r="D75" s="7" t="s">
        <v>205</v>
      </c>
      <c r="E75" s="9" t="s">
        <v>38</v>
      </c>
      <c r="F75" s="9" t="s">
        <v>206</v>
      </c>
      <c r="G75" s="2" t="s">
        <v>56</v>
      </c>
      <c r="H75" s="2" t="s">
        <v>57</v>
      </c>
      <c r="I75" s="2" t="s">
        <v>362</v>
      </c>
      <c r="J75" s="2" t="s">
        <v>58</v>
      </c>
      <c r="K75" s="2" t="s">
        <v>59</v>
      </c>
      <c r="L75" s="2" t="s">
        <v>130</v>
      </c>
      <c r="M75" s="2" t="s">
        <v>61</v>
      </c>
      <c r="N75" s="2" t="s">
        <v>131</v>
      </c>
      <c r="O75" s="22" t="s">
        <v>363</v>
      </c>
      <c r="P75" s="2" t="s">
        <v>132</v>
      </c>
      <c r="Q75" s="254"/>
      <c r="R75" s="254"/>
      <c r="S75" s="30" t="str">
        <f ca="1">IFERROR(__xludf.DUMMYFUNCTION("INDEX(IMPORTRANGE(""17pNv02DXDpQT9S3w4-QeNym2QJy2BzMBqDXp-XtzJBM"", ""'STC'!BG3:BG139""),MATCH($D75,IMPORTRANGE(""17pNv02DXDpQT9S3w4-QeNym2QJy2BzMBqDXp-XtzJBM"", ""'STC'!D3:D139""),0))"),"")</f>
        <v/>
      </c>
      <c r="T75" s="2"/>
      <c r="U75" s="2"/>
      <c r="V75" s="2"/>
      <c r="W75" s="2"/>
      <c r="X75" s="2"/>
      <c r="Y75" s="2"/>
      <c r="Z75" s="23">
        <f ca="1">IFERROR(__xludf.DUMMYFUNCTION("INDEX(IMPORTRANGE(""17pNv02DXDpQT9S3w4-QeNym2QJy2BzMBqDXp-XtzJBM"", ""'STC'!BH3:BH139""),MATCH($D75,IMPORTRANGE(""17pNv02DXDpQT9S3w4-QeNym2QJy2BzMBqDXp-XtzJBM"", ""'STC'!D3:D139""),0))"),1870.34)</f>
        <v>1870.34</v>
      </c>
      <c r="AA75" s="23">
        <f ca="1">IFERROR(__xludf.DUMMYFUNCTION("INDEX(IMPORTRANGE(""17pNv02DXDpQT9S3w4-QeNym2QJy2BzMBqDXp-XtzJBM"", ""'STC'!BI3:BI139""),MATCH($D75,IMPORTRANGE(""17pNv02DXDpQT9S3w4-QeNym2QJy2BzMBqDXp-XtzJBM"", ""'STC'!D3:D139""),0))"),5653.03)</f>
        <v>5653.03</v>
      </c>
      <c r="AB75" s="23">
        <f ca="1">IFERROR(__xludf.DUMMYFUNCTION("INDEX(IMPORTRANGE(""17pNv02DXDpQT9S3w4-QeNym2QJy2BzMBqDXp-XtzJBM"", ""'STC'!BJ3:BJ139""),MATCH($D75,IMPORTRANGE(""17pNv02DXDpQT9S3w4-QeNym2QJy2BzMBqDXp-XtzJBM"", ""'STC'!D3:D139""),0))"),2682.37)</f>
        <v>2682.37</v>
      </c>
      <c r="AC75" s="23">
        <f ca="1">IFERROR(__xludf.DUMMYFUNCTION("INDEX(IMPORTRANGE(""17pNv02DXDpQT9S3w4-QeNym2QJy2BzMBqDXp-XtzJBM"", ""'STC'!BK3:BK139""),MATCH($D75,IMPORTRANGE(""17pNv02DXDpQT9S3w4-QeNym2QJy2BzMBqDXp-XtzJBM"", ""'STC'!D3:D139""),0))"),4679.85)</f>
        <v>4679.8500000000004</v>
      </c>
      <c r="AD75" s="23">
        <f ca="1">IFERROR(__xludf.DUMMYFUNCTION("INDEX(IMPORTRANGE(""17pNv02DXDpQT9S3w4-QeNym2QJy2BzMBqDXp-XtzJBM"", ""'STC'!BL3:BL139""),MATCH($D75,IMPORTRANGE(""17pNv02DXDpQT9S3w4-QeNym2QJy2BzMBqDXp-XtzJBM"", ""'STC'!D3:D139""),0))"),176.63)</f>
        <v>176.63</v>
      </c>
      <c r="AE75" s="23">
        <f ca="1">IFERROR(__xludf.DUMMYFUNCTION("INDEX(IMPORTRANGE(""17pNv02DXDpQT9S3w4-QeNym2QJy2BzMBqDXp-XtzJBM"", ""'STC'!BM3:BM139""),MATCH($D75,IMPORTRANGE(""17pNv02DXDpQT9S3w4-QeNym2QJy2BzMBqDXp-XtzJBM"", ""'STC'!D3:D139""),0))"),176.63)</f>
        <v>176.63</v>
      </c>
    </row>
    <row r="76" spans="1:31">
      <c r="A76" s="7" t="s">
        <v>199</v>
      </c>
      <c r="B76" s="7" t="s">
        <v>200</v>
      </c>
      <c r="C76" s="1" t="s">
        <v>30</v>
      </c>
      <c r="D76" s="7" t="s">
        <v>207</v>
      </c>
      <c r="E76" s="9" t="s">
        <v>38</v>
      </c>
      <c r="F76" s="9" t="s">
        <v>208</v>
      </c>
      <c r="G76" s="2" t="s">
        <v>56</v>
      </c>
      <c r="H76" s="2" t="s">
        <v>57</v>
      </c>
      <c r="I76" s="2" t="s">
        <v>362</v>
      </c>
      <c r="J76" s="2" t="s">
        <v>58</v>
      </c>
      <c r="K76" s="2" t="s">
        <v>59</v>
      </c>
      <c r="L76" s="2" t="s">
        <v>130</v>
      </c>
      <c r="M76" s="2" t="s">
        <v>61</v>
      </c>
      <c r="N76" s="2" t="s">
        <v>131</v>
      </c>
      <c r="O76" s="22" t="s">
        <v>363</v>
      </c>
      <c r="P76" s="2" t="s">
        <v>132</v>
      </c>
      <c r="Q76" s="254"/>
      <c r="R76" s="254"/>
      <c r="S76" s="30" t="str">
        <f ca="1">IFERROR(__xludf.DUMMYFUNCTION("INDEX(IMPORTRANGE(""17pNv02DXDpQT9S3w4-QeNym2QJy2BzMBqDXp-XtzJBM"", ""'STC'!BG3:BG139""),MATCH($D76,IMPORTRANGE(""17pNv02DXDpQT9S3w4-QeNym2QJy2BzMBqDXp-XtzJBM"", ""'STC'!D3:D139""),0))"),"")</f>
        <v/>
      </c>
      <c r="T76" s="2"/>
      <c r="U76" s="2"/>
      <c r="V76" s="2"/>
      <c r="W76" s="2"/>
      <c r="X76" s="2"/>
      <c r="Y76" s="2"/>
      <c r="Z76" s="23">
        <f ca="1">IFERROR(__xludf.DUMMYFUNCTION("INDEX(IMPORTRANGE(""17pNv02DXDpQT9S3w4-QeNym2QJy2BzMBqDXp-XtzJBM"", ""'STC'!BH3:BH139""),MATCH($D76,IMPORTRANGE(""17pNv02DXDpQT9S3w4-QeNym2QJy2BzMBqDXp-XtzJBM"", ""'STC'!D3:D139""),0))"),0)</f>
        <v>0</v>
      </c>
      <c r="AA76" s="23">
        <f ca="1">IFERROR(__xludf.DUMMYFUNCTION("INDEX(IMPORTRANGE(""17pNv02DXDpQT9S3w4-QeNym2QJy2BzMBqDXp-XtzJBM"", ""'STC'!BI3:BI139""),MATCH($D76,IMPORTRANGE(""17pNv02DXDpQT9S3w4-QeNym2QJy2BzMBqDXp-XtzJBM"", ""'STC'!D3:D139""),0))"),0)</f>
        <v>0</v>
      </c>
      <c r="AB76" s="23">
        <f ca="1">IFERROR(__xludf.DUMMYFUNCTION("INDEX(IMPORTRANGE(""17pNv02DXDpQT9S3w4-QeNym2QJy2BzMBqDXp-XtzJBM"", ""'STC'!BJ3:BJ139""),MATCH($D76,IMPORTRANGE(""17pNv02DXDpQT9S3w4-QeNym2QJy2BzMBqDXp-XtzJBM"", ""'STC'!D3:D139""),0))"),0)</f>
        <v>0</v>
      </c>
      <c r="AC76" s="23">
        <f ca="1">IFERROR(__xludf.DUMMYFUNCTION("INDEX(IMPORTRANGE(""17pNv02DXDpQT9S3w4-QeNym2QJy2BzMBqDXp-XtzJBM"", ""'STC'!BK3:BK139""),MATCH($D76,IMPORTRANGE(""17pNv02DXDpQT9S3w4-QeNym2QJy2BzMBqDXp-XtzJBM"", ""'STC'!D3:D139""),0))"),0)</f>
        <v>0</v>
      </c>
      <c r="AD76" s="23">
        <f ca="1">IFERROR(__xludf.DUMMYFUNCTION("INDEX(IMPORTRANGE(""17pNv02DXDpQT9S3w4-QeNym2QJy2BzMBqDXp-XtzJBM"", ""'STC'!BL3:BL139""),MATCH($D76,IMPORTRANGE(""17pNv02DXDpQT9S3w4-QeNym2QJy2BzMBqDXp-XtzJBM"", ""'STC'!D3:D139""),0))"),0)</f>
        <v>0</v>
      </c>
      <c r="AE76" s="23">
        <f ca="1">IFERROR(__xludf.DUMMYFUNCTION("INDEX(IMPORTRANGE(""17pNv02DXDpQT9S3w4-QeNym2QJy2BzMBqDXp-XtzJBM"", ""'STC'!BM3:BM139""),MATCH($D76,IMPORTRANGE(""17pNv02DXDpQT9S3w4-QeNym2QJy2BzMBqDXp-XtzJBM"", ""'STC'!D3:D139""),0))"),0)</f>
        <v>0</v>
      </c>
    </row>
    <row r="77" spans="1:31">
      <c r="A77" s="7" t="s">
        <v>199</v>
      </c>
      <c r="B77" s="7" t="s">
        <v>200</v>
      </c>
      <c r="C77" s="1" t="s">
        <v>36</v>
      </c>
      <c r="D77" s="7" t="s">
        <v>209</v>
      </c>
      <c r="E77" s="9" t="s">
        <v>38</v>
      </c>
      <c r="F77" s="9" t="s">
        <v>210</v>
      </c>
      <c r="G77" s="2" t="s">
        <v>56</v>
      </c>
      <c r="H77" s="2" t="s">
        <v>57</v>
      </c>
      <c r="I77" s="2" t="s">
        <v>362</v>
      </c>
      <c r="J77" s="2" t="s">
        <v>58</v>
      </c>
      <c r="K77" s="2" t="s">
        <v>59</v>
      </c>
      <c r="L77" s="2" t="s">
        <v>130</v>
      </c>
      <c r="M77" s="2" t="s">
        <v>61</v>
      </c>
      <c r="N77" s="2" t="s">
        <v>131</v>
      </c>
      <c r="O77" s="22" t="s">
        <v>363</v>
      </c>
      <c r="P77" s="2" t="s">
        <v>132</v>
      </c>
      <c r="Q77" s="30">
        <f>Q74+Q75+Q76</f>
        <v>0</v>
      </c>
      <c r="R77" s="2"/>
      <c r="S77" s="2" t="str">
        <f ca="1">IFERROR(__xludf.DUMMYFUNCTION("INDEX(IMPORTRANGE(""17pNv02DXDpQT9S3w4-QeNym2QJy2BzMBqDXp-XtzJBM"", ""'STC'!BG3:BG139""),MATCH($D77,IMPORTRANGE(""17pNv02DXDpQT9S3w4-QeNym2QJy2BzMBqDXp-XtzJBM"", ""'STC'!D3:D139""),0))"),"")</f>
        <v/>
      </c>
      <c r="T77" s="12">
        <v>1666</v>
      </c>
      <c r="U77" s="2">
        <v>833</v>
      </c>
      <c r="V77" s="12">
        <v>1666</v>
      </c>
      <c r="W77" s="2">
        <v>833</v>
      </c>
      <c r="X77" s="12">
        <f>(V77-W77)/6*5+W77</f>
        <v>1527.1666666666667</v>
      </c>
      <c r="Y77" s="30">
        <v>4997.1400000000003</v>
      </c>
      <c r="Z77" s="30">
        <f ca="1">IFERROR(__xludf.DUMMYFUNCTION("INDEX(IMPORTRANGE(""17pNv02DXDpQT9S3w4-QeNym2QJy2BzMBqDXp-XtzJBM"", ""'STC'!BH3:BH139""),MATCH($D77,IMPORTRANGE(""17pNv02DXDpQT9S3w4-QeNym2QJy2BzMBqDXp-XtzJBM"", ""'STC'!D3:D139""),0))"),2610.72)</f>
        <v>2610.7199999999998</v>
      </c>
      <c r="AA77" s="23">
        <f ca="1">IFERROR(__xludf.DUMMYFUNCTION("INDEX(IMPORTRANGE(""17pNv02DXDpQT9S3w4-QeNym2QJy2BzMBqDXp-XtzJBM"", ""'STC'!BI3:BI139""),MATCH($D77,IMPORTRANGE(""17pNv02DXDpQT9S3w4-QeNym2QJy2BzMBqDXp-XtzJBM"", ""'STC'!D3:D139""),0))"),6393.41)</f>
        <v>6393.41</v>
      </c>
      <c r="AB77" s="30">
        <f ca="1">IFERROR(__xludf.DUMMYFUNCTION("INDEX(IMPORTRANGE(""17pNv02DXDpQT9S3w4-QeNym2QJy2BzMBqDXp-XtzJBM"", ""'STC'!BJ3:BJ139""),MATCH($D77,IMPORTRANGE(""17pNv02DXDpQT9S3w4-QeNym2QJy2BzMBqDXp-XtzJBM"", ""'STC'!D3:D139""),0))"),2682.37)</f>
        <v>2682.37</v>
      </c>
      <c r="AC77" s="23">
        <f ca="1">IFERROR(__xludf.DUMMYFUNCTION("INDEX(IMPORTRANGE(""17pNv02DXDpQT9S3w4-QeNym2QJy2BzMBqDXp-XtzJBM"", ""'STC'!BK3:BK139""),MATCH($D77,IMPORTRANGE(""17pNv02DXDpQT9S3w4-QeNym2QJy2BzMBqDXp-XtzJBM"", ""'STC'!D3:D139""),0))"),24625.33)</f>
        <v>24625.33</v>
      </c>
      <c r="AD77" s="30">
        <f ca="1">IFERROR(__xludf.DUMMYFUNCTION("INDEX(IMPORTRANGE(""17pNv02DXDpQT9S3w4-QeNym2QJy2BzMBqDXp-XtzJBM"", ""'STC'!BL3:BL139""),MATCH($D77,IMPORTRANGE(""17pNv02DXDpQT9S3w4-QeNym2QJy2BzMBqDXp-XtzJBM"", ""'STC'!D3:D139""),0))"),1105.69)</f>
        <v>1105.69</v>
      </c>
      <c r="AE77" s="30">
        <f ca="1">IFERROR(__xludf.DUMMYFUNCTION("INDEX(IMPORTRANGE(""17pNv02DXDpQT9S3w4-QeNym2QJy2BzMBqDXp-XtzJBM"", ""'STC'!BM3:BM139""),MATCH($D77,IMPORTRANGE(""17pNv02DXDpQT9S3w4-QeNym2QJy2BzMBqDXp-XtzJBM"", ""'STC'!D3:D139""),0))"),1105.69)</f>
        <v>1105.69</v>
      </c>
    </row>
    <row r="78" spans="1:31">
      <c r="A78" s="7" t="s">
        <v>199</v>
      </c>
      <c r="B78" s="7" t="s">
        <v>200</v>
      </c>
      <c r="C78" s="1" t="s">
        <v>30</v>
      </c>
      <c r="D78" s="7" t="s">
        <v>211</v>
      </c>
      <c r="E78" s="9" t="s">
        <v>38</v>
      </c>
      <c r="F78" s="9" t="s">
        <v>212</v>
      </c>
      <c r="G78" s="9" t="s">
        <v>213</v>
      </c>
      <c r="H78" s="2" t="s">
        <v>214</v>
      </c>
      <c r="I78" s="2" t="s">
        <v>365</v>
      </c>
      <c r="J78" s="9" t="s">
        <v>215</v>
      </c>
      <c r="K78" s="182"/>
      <c r="L78" s="9" t="s">
        <v>216</v>
      </c>
      <c r="M78" s="182"/>
      <c r="N78" s="9" t="s">
        <v>217</v>
      </c>
      <c r="O78" s="22" t="s">
        <v>366</v>
      </c>
      <c r="P78" s="2" t="s">
        <v>218</v>
      </c>
      <c r="Q78" s="36">
        <v>17147781.029999997</v>
      </c>
      <c r="R78" s="36">
        <v>17147781.029999997</v>
      </c>
      <c r="S78" s="36">
        <f ca="1">IFERROR(__xludf.DUMMYFUNCTION("INDEX(IMPORTRANGE(""17pNv02DXDpQT9S3w4-QeNym2QJy2BzMBqDXp-XtzJBM"", ""'STC'!BG3:BG139""),MATCH($D78,IMPORTRANGE(""17pNv02DXDpQT9S3w4-QeNym2QJy2BzMBqDXp-XtzJBM"", ""'STC'!D3:D139""),0))"),9041326.73999999)</f>
        <v>9041326.7399999909</v>
      </c>
      <c r="T78" s="2"/>
      <c r="U78" s="2"/>
      <c r="V78" s="2"/>
      <c r="W78" s="2"/>
      <c r="X78" s="2"/>
      <c r="Y78" s="2"/>
      <c r="Z78" s="36">
        <f ca="1">IFERROR(__xludf.DUMMYFUNCTION("INDEX(IMPORTRANGE(""17pNv02DXDpQT9S3w4-QeNym2QJy2BzMBqDXp-XtzJBM"", ""'STC'!BH3:BH139""),MATCH($D78,IMPORTRANGE(""17pNv02DXDpQT9S3w4-QeNym2QJy2BzMBqDXp-XtzJBM"", ""'STC'!D3:D139""),0))"),17147781.0299999)</f>
        <v>17147781.029999901</v>
      </c>
      <c r="AA78" s="479" t="str">
        <f ca="1">IFERROR(__xludf.DUMMYFUNCTION("INDEX(IMPORTRANGE(""17pNv02DXDpQT9S3w4-QeNym2QJy2BzMBqDXp-XtzJBM"", ""'STC'!BI3:BI139""),MATCH($D78,IMPORTRANGE(""17pNv02DXDpQT9S3w4-QeNym2QJy2BzMBqDXp-XtzJBM"", ""'STC'!D3:D139""),0))"),"")</f>
        <v/>
      </c>
      <c r="AB78" s="36">
        <f ca="1">IFERROR(__xludf.DUMMYFUNCTION("INDEX(IMPORTRANGE(""17pNv02DXDpQT9S3w4-QeNym2QJy2BzMBqDXp-XtzJBM"", ""'STC'!BJ3:BJ139""),MATCH($D78,IMPORTRANGE(""17pNv02DXDpQT9S3w4-QeNym2QJy2BzMBqDXp-XtzJBM"", ""'STC'!D3:D139""),0))"),18080269.07)</f>
        <v>18080269.07</v>
      </c>
      <c r="AC78" s="479" t="str">
        <f ca="1">IFERROR(__xludf.DUMMYFUNCTION("INDEX(IMPORTRANGE(""17pNv02DXDpQT9S3w4-QeNym2QJy2BzMBqDXp-XtzJBM"", ""'STC'!BK3:BK139""),MATCH($D78,IMPORTRANGE(""17pNv02DXDpQT9S3w4-QeNym2QJy2BzMBqDXp-XtzJBM"", ""'STC'!D3:D139""),0))"),"")</f>
        <v/>
      </c>
      <c r="AD78" s="36">
        <f ca="1">IFERROR(__xludf.DUMMYFUNCTION("INDEX(IMPORTRANGE(""17pNv02DXDpQT9S3w4-QeNym2QJy2BzMBqDXp-XtzJBM"", ""'STC'!BL3:BL139""),MATCH($D78,IMPORTRANGE(""17pNv02DXDpQT9S3w4-QeNym2QJy2BzMBqDXp-XtzJBM"", ""'STC'!D3:D139""),0))"),5063687)</f>
        <v>5063687</v>
      </c>
      <c r="AE78" s="36">
        <f ca="1">IFERROR(__xludf.DUMMYFUNCTION("INDEX(IMPORTRANGE(""17pNv02DXDpQT9S3w4-QeNym2QJy2BzMBqDXp-XtzJBM"", ""'STC'!BM3:BM139""),MATCH($D78,IMPORTRANGE(""17pNv02DXDpQT9S3w4-QeNym2QJy2BzMBqDXp-XtzJBM"", ""'STC'!D3:D139""),0))"),2595548.61)</f>
        <v>2595548.61</v>
      </c>
    </row>
    <row r="79" spans="1:31">
      <c r="A79" s="7" t="s">
        <v>199</v>
      </c>
      <c r="B79" s="7" t="s">
        <v>200</v>
      </c>
      <c r="C79" s="1" t="s">
        <v>30</v>
      </c>
      <c r="D79" s="7" t="s">
        <v>219</v>
      </c>
      <c r="E79" s="9" t="s">
        <v>38</v>
      </c>
      <c r="F79" s="9" t="s">
        <v>220</v>
      </c>
      <c r="G79" s="9" t="s">
        <v>213</v>
      </c>
      <c r="H79" s="2" t="s">
        <v>214</v>
      </c>
      <c r="I79" s="2" t="s">
        <v>365</v>
      </c>
      <c r="J79" s="9" t="s">
        <v>215</v>
      </c>
      <c r="K79" s="182"/>
      <c r="L79" s="9" t="s">
        <v>216</v>
      </c>
      <c r="M79" s="182"/>
      <c r="N79" s="9" t="s">
        <v>217</v>
      </c>
      <c r="O79" s="22" t="s">
        <v>366</v>
      </c>
      <c r="P79" s="2" t="s">
        <v>218</v>
      </c>
      <c r="Q79" s="36">
        <v>1843794.19</v>
      </c>
      <c r="R79" s="36">
        <v>1843794.19</v>
      </c>
      <c r="S79" s="36">
        <f ca="1">IFERROR(__xludf.DUMMYFUNCTION("INDEX(IMPORTRANGE(""17pNv02DXDpQT9S3w4-QeNym2QJy2BzMBqDXp-XtzJBM"", ""'STC'!BG3:BG139""),MATCH($D79,IMPORTRANGE(""17pNv02DXDpQT9S3w4-QeNym2QJy2BzMBqDXp-XtzJBM"", ""'STC'!D3:D139""),0))"),189852.85)</f>
        <v>189852.85</v>
      </c>
      <c r="T79" s="2"/>
      <c r="U79" s="2"/>
      <c r="V79" s="2"/>
      <c r="W79" s="2"/>
      <c r="X79" s="2"/>
      <c r="Y79" s="2"/>
      <c r="Z79" s="36">
        <f ca="1">IFERROR(__xludf.DUMMYFUNCTION("INDEX(IMPORTRANGE(""17pNv02DXDpQT9S3w4-QeNym2QJy2BzMBqDXp-XtzJBM"", ""'STC'!BH3:BH139""),MATCH($D79,IMPORTRANGE(""17pNv02DXDpQT9S3w4-QeNym2QJy2BzMBqDXp-XtzJBM"", ""'STC'!D3:D139""),0))"),1843794.19)</f>
        <v>1843794.19</v>
      </c>
      <c r="AA79" s="479" t="str">
        <f ca="1">IFERROR(__xludf.DUMMYFUNCTION("INDEX(IMPORTRANGE(""17pNv02DXDpQT9S3w4-QeNym2QJy2BzMBqDXp-XtzJBM"", ""'STC'!BI3:BI139""),MATCH($D79,IMPORTRANGE(""17pNv02DXDpQT9S3w4-QeNym2QJy2BzMBqDXp-XtzJBM"", ""'STC'!D3:D139""),0))"),"")</f>
        <v/>
      </c>
      <c r="AB79" s="36">
        <f ca="1">IFERROR(__xludf.DUMMYFUNCTION("INDEX(IMPORTRANGE(""17pNv02DXDpQT9S3w4-QeNym2QJy2BzMBqDXp-XtzJBM"", ""'STC'!BJ3:BJ139""),MATCH($D79,IMPORTRANGE(""17pNv02DXDpQT9S3w4-QeNym2QJy2BzMBqDXp-XtzJBM"", ""'STC'!D3:D139""),0))"),4053814.24)</f>
        <v>4053814.24</v>
      </c>
      <c r="AC79" s="479" t="str">
        <f ca="1">IFERROR(__xludf.DUMMYFUNCTION("INDEX(IMPORTRANGE(""17pNv02DXDpQT9S3w4-QeNym2QJy2BzMBqDXp-XtzJBM"", ""'STC'!BK3:BK139""),MATCH($D79,IMPORTRANGE(""17pNv02DXDpQT9S3w4-QeNym2QJy2BzMBqDXp-XtzJBM"", ""'STC'!D3:D139""),0))"),"")</f>
        <v/>
      </c>
      <c r="AD79" s="36">
        <f ca="1">IFERROR(__xludf.DUMMYFUNCTION("INDEX(IMPORTRANGE(""17pNv02DXDpQT9S3w4-QeNym2QJy2BzMBqDXp-XtzJBM"", ""'STC'!BL3:BL139""),MATCH($D79,IMPORTRANGE(""17pNv02DXDpQT9S3w4-QeNym2QJy2BzMBqDXp-XtzJBM"", ""'STC'!D3:D139""),0))"),2352302)</f>
        <v>2352302</v>
      </c>
      <c r="AE79" s="36">
        <f ca="1">IFERROR(__xludf.DUMMYFUNCTION("INDEX(IMPORTRANGE(""17pNv02DXDpQT9S3w4-QeNym2QJy2BzMBqDXp-XtzJBM"", ""'STC'!BM3:BM139""),MATCH($D79,IMPORTRANGE(""17pNv02DXDpQT9S3w4-QeNym2QJy2BzMBqDXp-XtzJBM"", ""'STC'!D3:D139""),0))"),2579420.61)</f>
        <v>2579420.61</v>
      </c>
    </row>
    <row r="80" spans="1:31">
      <c r="A80" s="7" t="s">
        <v>199</v>
      </c>
      <c r="B80" s="7" t="s">
        <v>200</v>
      </c>
      <c r="C80" s="1" t="s">
        <v>36</v>
      </c>
      <c r="D80" s="7" t="s">
        <v>221</v>
      </c>
      <c r="E80" s="9" t="s">
        <v>38</v>
      </c>
      <c r="F80" s="9" t="s">
        <v>222</v>
      </c>
      <c r="G80" s="9" t="s">
        <v>213</v>
      </c>
      <c r="H80" s="2" t="s">
        <v>214</v>
      </c>
      <c r="I80" s="2" t="s">
        <v>365</v>
      </c>
      <c r="J80" s="9" t="s">
        <v>215</v>
      </c>
      <c r="K80" s="182"/>
      <c r="L80" s="9" t="s">
        <v>216</v>
      </c>
      <c r="M80" s="182"/>
      <c r="N80" s="9" t="s">
        <v>217</v>
      </c>
      <c r="O80" s="22" t="s">
        <v>366</v>
      </c>
      <c r="P80" s="2" t="s">
        <v>218</v>
      </c>
      <c r="Q80" s="15">
        <f t="shared" ref="Q80:R80" si="17">Q79/Q78</f>
        <v>0.10752377737820928</v>
      </c>
      <c r="R80" s="15">
        <f t="shared" si="17"/>
        <v>0.10752377737820928</v>
      </c>
      <c r="S80" s="15">
        <f ca="1">IFERROR(__xludf.DUMMYFUNCTION("INDEX(IMPORTRANGE(""17pNv02DXDpQT9S3w4-QeNym2QJy2BzMBqDXp-XtzJBM"", ""'STC'!BG3:BG139""),MATCH($D80,IMPORTRANGE(""17pNv02DXDpQT9S3w4-QeNym2QJy2BzMBqDXp-XtzJBM"", ""'STC'!D3:D139""),0))"),0.0209983396750906)</f>
        <v>2.0998339675090599E-2</v>
      </c>
      <c r="T80" s="26"/>
      <c r="U80" s="26">
        <v>0.1183</v>
      </c>
      <c r="V80" s="26"/>
      <c r="W80" s="26">
        <v>0.12920000000000001</v>
      </c>
      <c r="X80" s="15">
        <f>(Y80-W80)/6*5+W80</f>
        <v>0.13820000000000002</v>
      </c>
      <c r="Y80" s="14">
        <v>0.14000000000000001</v>
      </c>
      <c r="Z80" s="15">
        <f ca="1">IFERROR(__xludf.DUMMYFUNCTION("INDEX(IMPORTRANGE(""17pNv02DXDpQT9S3w4-QeNym2QJy2BzMBqDXp-XtzJBM"", ""'STC'!BH3:BH139""),MATCH($D80,IMPORTRANGE(""17pNv02DXDpQT9S3w4-QeNym2QJy2BzMBqDXp-XtzJBM"", ""'STC'!D3:D139""),0))"),0.107523777378209)</f>
        <v>0.10752377737820901</v>
      </c>
      <c r="AA80" s="479" t="str">
        <f ca="1">IFERROR(__xludf.DUMMYFUNCTION("INDEX(IMPORTRANGE(""17pNv02DXDpQT9S3w4-QeNym2QJy2BzMBqDXp-XtzJBM"", ""'STC'!BI3:BI139""),MATCH($D80,IMPORTRANGE(""17pNv02DXDpQT9S3w4-QeNym2QJy2BzMBqDXp-XtzJBM"", ""'STC'!D3:D139""),0))"),"")</f>
        <v/>
      </c>
      <c r="AB80" s="15">
        <f ca="1">IFERROR(__xludf.DUMMYFUNCTION("INDEX(IMPORTRANGE(""17pNv02DXDpQT9S3w4-QeNym2QJy2BzMBqDXp-XtzJBM"", ""'STC'!BJ3:BJ139""),MATCH($D80,IMPORTRANGE(""17pNv02DXDpQT9S3w4-QeNym2QJy2BzMBqDXp-XtzJBM"", ""'STC'!D3:D139""),0))"),0.224212052614104)</f>
        <v>0.22421205261410401</v>
      </c>
      <c r="AC80" s="479" t="str">
        <f ca="1">IFERROR(__xludf.DUMMYFUNCTION("INDEX(IMPORTRANGE(""17pNv02DXDpQT9S3w4-QeNym2QJy2BzMBqDXp-XtzJBM"", ""'STC'!BK3:BK139""),MATCH($D80,IMPORTRANGE(""17pNv02DXDpQT9S3w4-QeNym2QJy2BzMBqDXp-XtzJBM"", ""'STC'!D3:D139""),0))"),"")</f>
        <v/>
      </c>
      <c r="AD80" s="15">
        <f ca="1">IFERROR(__xludf.DUMMYFUNCTION("INDEX(IMPORTRANGE(""17pNv02DXDpQT9S3w4-QeNym2QJy2BzMBqDXp-XtzJBM"", ""'STC'!BL3:BL139""),MATCH($D80,IMPORTRANGE(""17pNv02DXDpQT9S3w4-QeNym2QJy2BzMBqDXp-XtzJBM"", ""'STC'!D3:D139""),0))"),0.464543325841427)</f>
        <v>0.46454332584142699</v>
      </c>
      <c r="AE80" s="15">
        <f ca="1">IFERROR(__xludf.DUMMYFUNCTION("INDEX(IMPORTRANGE(""17pNv02DXDpQT9S3w4-QeNym2QJy2BzMBqDXp-XtzJBM"", ""'STC'!BM3:BM139""),MATCH($D80,IMPORTRANGE(""17pNv02DXDpQT9S3w4-QeNym2QJy2BzMBqDXp-XtzJBM"", ""'STC'!D3:D139""),0))"),0.993786284742322)</f>
        <v>0.993786284742322</v>
      </c>
    </row>
    <row r="81" spans="1:31">
      <c r="A81" s="7" t="s">
        <v>199</v>
      </c>
      <c r="B81" s="7" t="s">
        <v>200</v>
      </c>
      <c r="C81" s="1" t="s">
        <v>30</v>
      </c>
      <c r="D81" s="7" t="s">
        <v>223</v>
      </c>
      <c r="E81" s="9" t="s">
        <v>38</v>
      </c>
      <c r="F81" s="9" t="s">
        <v>224</v>
      </c>
      <c r="G81" s="2" t="s">
        <v>56</v>
      </c>
      <c r="H81" s="2" t="s">
        <v>57</v>
      </c>
      <c r="I81" s="2" t="s">
        <v>362</v>
      </c>
      <c r="J81" s="2" t="s">
        <v>58</v>
      </c>
      <c r="K81" s="2" t="s">
        <v>59</v>
      </c>
      <c r="L81" s="2" t="s">
        <v>130</v>
      </c>
      <c r="M81" s="2" t="s">
        <v>61</v>
      </c>
      <c r="N81" s="2" t="s">
        <v>131</v>
      </c>
      <c r="O81" s="22" t="s">
        <v>363</v>
      </c>
      <c r="P81" s="2" t="s">
        <v>132</v>
      </c>
      <c r="Q81" s="12">
        <v>19</v>
      </c>
      <c r="R81" s="2">
        <v>19</v>
      </c>
      <c r="S81" s="2">
        <f ca="1">IFERROR(__xludf.DUMMYFUNCTION("INDEX(IMPORTRANGE(""17pNv02DXDpQT9S3w4-QeNym2QJy2BzMBqDXp-XtzJBM"", ""'STC'!BG3:BG139""),MATCH($D81,IMPORTRANGE(""17pNv02DXDpQT9S3w4-QeNym2QJy2BzMBqDXp-XtzJBM"", ""'STC'!D3:D139""),0))"),19)</f>
        <v>19</v>
      </c>
      <c r="T81" s="2"/>
      <c r="U81" s="2"/>
      <c r="V81" s="2"/>
      <c r="W81" s="2"/>
      <c r="X81" s="2"/>
      <c r="Y81" s="2"/>
      <c r="Z81" s="12">
        <f ca="1">IFERROR(__xludf.DUMMYFUNCTION("INDEX(IMPORTRANGE(""17pNv02DXDpQT9S3w4-QeNym2QJy2BzMBqDXp-XtzJBM"", ""'STC'!BH3:BH139""),MATCH($D81,IMPORTRANGE(""17pNv02DXDpQT9S3w4-QeNym2QJy2BzMBqDXp-XtzJBM"", ""'STC'!D3:D139""),0))"),0)</f>
        <v>0</v>
      </c>
      <c r="AA81" s="12">
        <f ca="1">IFERROR(__xludf.DUMMYFUNCTION("INDEX(IMPORTRANGE(""17pNv02DXDpQT9S3w4-QeNym2QJy2BzMBqDXp-XtzJBM"", ""'STC'!BI3:BI139""),MATCH($D81,IMPORTRANGE(""17pNv02DXDpQT9S3w4-QeNym2QJy2BzMBqDXp-XtzJBM"", ""'STC'!D3:D139""),0))"),4)</f>
        <v>4</v>
      </c>
      <c r="AB81" s="12">
        <f ca="1">IFERROR(__xludf.DUMMYFUNCTION("INDEX(IMPORTRANGE(""17pNv02DXDpQT9S3w4-QeNym2QJy2BzMBqDXp-XtzJBM"", ""'STC'!BJ3:BJ139""),MATCH($D81,IMPORTRANGE(""17pNv02DXDpQT9S3w4-QeNym2QJy2BzMBqDXp-XtzJBM"", ""'STC'!D3:D139""),0))"),4)</f>
        <v>4</v>
      </c>
      <c r="AC81" s="12">
        <f ca="1">IFERROR(__xludf.DUMMYFUNCTION("INDEX(IMPORTRANGE(""17pNv02DXDpQT9S3w4-QeNym2QJy2BzMBqDXp-XtzJBM"", ""'STC'!BK3:BK139""),MATCH($D81,IMPORTRANGE(""17pNv02DXDpQT9S3w4-QeNym2QJy2BzMBqDXp-XtzJBM"", ""'STC'!D3:D139""),0))"),13)</f>
        <v>13</v>
      </c>
      <c r="AD81" s="12">
        <f ca="1">IFERROR(__xludf.DUMMYFUNCTION("INDEX(IMPORTRANGE(""17pNv02DXDpQT9S3w4-QeNym2QJy2BzMBqDXp-XtzJBM"", ""'STC'!BL3:BL139""),MATCH($D81,IMPORTRANGE(""17pNv02DXDpQT9S3w4-QeNym2QJy2BzMBqDXp-XtzJBM"", ""'STC'!D3:D139""),0))"),16)</f>
        <v>16</v>
      </c>
      <c r="AE81" s="12">
        <f ca="1">IFERROR(__xludf.DUMMYFUNCTION("INDEX(IMPORTRANGE(""17pNv02DXDpQT9S3w4-QeNym2QJy2BzMBqDXp-XtzJBM"", ""'STC'!BM3:BM139""),MATCH($D81,IMPORTRANGE(""17pNv02DXDpQT9S3w4-QeNym2QJy2BzMBqDXp-XtzJBM"", ""'STC'!D3:D139""),0))"),40)</f>
        <v>40</v>
      </c>
    </row>
    <row r="82" spans="1:31">
      <c r="A82" s="7" t="s">
        <v>199</v>
      </c>
      <c r="B82" s="7" t="s">
        <v>200</v>
      </c>
      <c r="C82" s="1" t="s">
        <v>30</v>
      </c>
      <c r="D82" s="7" t="s">
        <v>225</v>
      </c>
      <c r="E82" s="9" t="s">
        <v>38</v>
      </c>
      <c r="F82" s="9" t="s">
        <v>182</v>
      </c>
      <c r="G82" s="2" t="s">
        <v>56</v>
      </c>
      <c r="H82" s="2" t="s">
        <v>57</v>
      </c>
      <c r="I82" s="2" t="s">
        <v>362</v>
      </c>
      <c r="J82" s="2" t="s">
        <v>58</v>
      </c>
      <c r="K82" s="2" t="s">
        <v>59</v>
      </c>
      <c r="L82" s="2" t="s">
        <v>130</v>
      </c>
      <c r="M82" s="2" t="s">
        <v>61</v>
      </c>
      <c r="N82" s="2" t="s">
        <v>131</v>
      </c>
      <c r="O82" s="22" t="s">
        <v>363</v>
      </c>
      <c r="P82" s="2" t="s">
        <v>132</v>
      </c>
      <c r="Q82" s="12">
        <v>6</v>
      </c>
      <c r="R82" s="2">
        <v>6</v>
      </c>
      <c r="S82" s="2">
        <f ca="1">IFERROR(__xludf.DUMMYFUNCTION("INDEX(IMPORTRANGE(""17pNv02DXDpQT9S3w4-QeNym2QJy2BzMBqDXp-XtzJBM"", ""'STC'!BG3:BG139""),MATCH($D82,IMPORTRANGE(""17pNv02DXDpQT9S3w4-QeNym2QJy2BzMBqDXp-XtzJBM"", ""'STC'!D3:D139""),0))"),6)</f>
        <v>6</v>
      </c>
      <c r="T82" s="2"/>
      <c r="U82" s="2"/>
      <c r="V82" s="2"/>
      <c r="W82" s="2"/>
      <c r="X82" s="2"/>
      <c r="Y82" s="2"/>
      <c r="Z82" s="12">
        <f ca="1">IFERROR(__xludf.DUMMYFUNCTION("INDEX(IMPORTRANGE(""17pNv02DXDpQT9S3w4-QeNym2QJy2BzMBqDXp-XtzJBM"", ""'STC'!BH3:BH139""),MATCH($D82,IMPORTRANGE(""17pNv02DXDpQT9S3w4-QeNym2QJy2BzMBqDXp-XtzJBM"", ""'STC'!D3:D139""),0))"),0)</f>
        <v>0</v>
      </c>
      <c r="AA82" s="12">
        <f ca="1">IFERROR(__xludf.DUMMYFUNCTION("INDEX(IMPORTRANGE(""17pNv02DXDpQT9S3w4-QeNym2QJy2BzMBqDXp-XtzJBM"", ""'STC'!BI3:BI139""),MATCH($D82,IMPORTRANGE(""17pNv02DXDpQT9S3w4-QeNym2QJy2BzMBqDXp-XtzJBM"", ""'STC'!D3:D139""),0))"),0)</f>
        <v>0</v>
      </c>
      <c r="AB82" s="12">
        <f ca="1">IFERROR(__xludf.DUMMYFUNCTION("INDEX(IMPORTRANGE(""17pNv02DXDpQT9S3w4-QeNym2QJy2BzMBqDXp-XtzJBM"", ""'STC'!BJ3:BJ139""),MATCH($D82,IMPORTRANGE(""17pNv02DXDpQT9S3w4-QeNym2QJy2BzMBqDXp-XtzJBM"", ""'STC'!D3:D139""),0))"),0)</f>
        <v>0</v>
      </c>
      <c r="AC82" s="12">
        <f ca="1">IFERROR(__xludf.DUMMYFUNCTION("INDEX(IMPORTRANGE(""17pNv02DXDpQT9S3w4-QeNym2QJy2BzMBqDXp-XtzJBM"", ""'STC'!BK3:BK139""),MATCH($D82,IMPORTRANGE(""17pNv02DXDpQT9S3w4-QeNym2QJy2BzMBqDXp-XtzJBM"", ""'STC'!D3:D139""),0))"),15)</f>
        <v>15</v>
      </c>
      <c r="AD82" s="12">
        <f ca="1">IFERROR(__xludf.DUMMYFUNCTION("INDEX(IMPORTRANGE(""17pNv02DXDpQT9S3w4-QeNym2QJy2BzMBqDXp-XtzJBM"", ""'STC'!BL3:BL139""),MATCH($D82,IMPORTRANGE(""17pNv02DXDpQT9S3w4-QeNym2QJy2BzMBqDXp-XtzJBM"", ""'STC'!D3:D139""),0))"),24)</f>
        <v>24</v>
      </c>
      <c r="AE82" s="12">
        <f ca="1">IFERROR(__xludf.DUMMYFUNCTION("INDEX(IMPORTRANGE(""17pNv02DXDpQT9S3w4-QeNym2QJy2BzMBqDXp-XtzJBM"", ""'STC'!BM3:BM139""),MATCH($D82,IMPORTRANGE(""17pNv02DXDpQT9S3w4-QeNym2QJy2BzMBqDXp-XtzJBM"", ""'STC'!D3:D139""),0))"),27)</f>
        <v>27</v>
      </c>
    </row>
    <row r="83" spans="1:31">
      <c r="A83" s="7" t="s">
        <v>199</v>
      </c>
      <c r="B83" s="7" t="s">
        <v>200</v>
      </c>
      <c r="C83" s="1" t="s">
        <v>36</v>
      </c>
      <c r="D83" s="7" t="s">
        <v>226</v>
      </c>
      <c r="E83" s="9" t="s">
        <v>38</v>
      </c>
      <c r="F83" s="9" t="s">
        <v>227</v>
      </c>
      <c r="G83" s="2" t="s">
        <v>56</v>
      </c>
      <c r="H83" s="2" t="s">
        <v>57</v>
      </c>
      <c r="I83" s="2" t="s">
        <v>362</v>
      </c>
      <c r="J83" s="2" t="s">
        <v>58</v>
      </c>
      <c r="K83" s="2" t="s">
        <v>59</v>
      </c>
      <c r="L83" s="2" t="s">
        <v>130</v>
      </c>
      <c r="M83" s="2" t="s">
        <v>61</v>
      </c>
      <c r="N83" s="2" t="s">
        <v>131</v>
      </c>
      <c r="O83" s="22" t="s">
        <v>363</v>
      </c>
      <c r="P83" s="2" t="s">
        <v>132</v>
      </c>
      <c r="Q83" s="12">
        <f t="shared" ref="Q83:R83" si="18">Q81+Q82</f>
        <v>25</v>
      </c>
      <c r="R83" s="2">
        <f t="shared" si="18"/>
        <v>25</v>
      </c>
      <c r="S83" s="2">
        <f ca="1">IFERROR(__xludf.DUMMYFUNCTION("INDEX(IMPORTRANGE(""17pNv02DXDpQT9S3w4-QeNym2QJy2BzMBqDXp-XtzJBM"", ""'STC'!BG3:BG139""),MATCH($D83,IMPORTRANGE(""17pNv02DXDpQT9S3w4-QeNym2QJy2BzMBqDXp-XtzJBM"", ""'STC'!D3:D139""),0))"),25)</f>
        <v>25</v>
      </c>
      <c r="T83" s="2">
        <v>9</v>
      </c>
      <c r="U83" s="2">
        <v>5</v>
      </c>
      <c r="V83" s="2">
        <v>9</v>
      </c>
      <c r="W83" s="2">
        <v>5</v>
      </c>
      <c r="X83" s="29">
        <v>9</v>
      </c>
      <c r="Y83" s="2">
        <v>28</v>
      </c>
      <c r="Z83" s="12">
        <f ca="1">IFERROR(__xludf.DUMMYFUNCTION("INDEX(IMPORTRANGE(""17pNv02DXDpQT9S3w4-QeNym2QJy2BzMBqDXp-XtzJBM"", ""'STC'!BH3:BH139""),MATCH($D83,IMPORTRANGE(""17pNv02DXDpQT9S3w4-QeNym2QJy2BzMBqDXp-XtzJBM"", ""'STC'!D3:D139""),0))"),0)</f>
        <v>0</v>
      </c>
      <c r="AA83" s="12">
        <f ca="1">IFERROR(__xludf.DUMMYFUNCTION("INDEX(IMPORTRANGE(""17pNv02DXDpQT9S3w4-QeNym2QJy2BzMBqDXp-XtzJBM"", ""'STC'!BI3:BI139""),MATCH($D83,IMPORTRANGE(""17pNv02DXDpQT9S3w4-QeNym2QJy2BzMBqDXp-XtzJBM"", ""'STC'!D3:D139""),0))"),4)</f>
        <v>4</v>
      </c>
      <c r="AB83" s="12">
        <f ca="1">IFERROR(__xludf.DUMMYFUNCTION("INDEX(IMPORTRANGE(""17pNv02DXDpQT9S3w4-QeNym2QJy2BzMBqDXp-XtzJBM"", ""'STC'!BJ3:BJ139""),MATCH($D83,IMPORTRANGE(""17pNv02DXDpQT9S3w4-QeNym2QJy2BzMBqDXp-XtzJBM"", ""'STC'!D3:D139""),0))"),4)</f>
        <v>4</v>
      </c>
      <c r="AC83" s="12">
        <f ca="1">IFERROR(__xludf.DUMMYFUNCTION("INDEX(IMPORTRANGE(""17pNv02DXDpQT9S3w4-QeNym2QJy2BzMBqDXp-XtzJBM"", ""'STC'!BK3:BK139""),MATCH($D83,IMPORTRANGE(""17pNv02DXDpQT9S3w4-QeNym2QJy2BzMBqDXp-XtzJBM"", ""'STC'!D3:D139""),0))"),28)</f>
        <v>28</v>
      </c>
      <c r="AD83" s="12">
        <f ca="1">IFERROR(__xludf.DUMMYFUNCTION("INDEX(IMPORTRANGE(""17pNv02DXDpQT9S3w4-QeNym2QJy2BzMBqDXp-XtzJBM"", ""'STC'!BL3:BL139""),MATCH($D83,IMPORTRANGE(""17pNv02DXDpQT9S3w4-QeNym2QJy2BzMBqDXp-XtzJBM"", ""'STC'!D3:D139""),0))"),40)</f>
        <v>40</v>
      </c>
      <c r="AE83" s="12">
        <f ca="1">IFERROR(__xludf.DUMMYFUNCTION("INDEX(IMPORTRANGE(""17pNv02DXDpQT9S3w4-QeNym2QJy2BzMBqDXp-XtzJBM"", ""'STC'!BM3:BM139""),MATCH($D83,IMPORTRANGE(""17pNv02DXDpQT9S3w4-QeNym2QJy2BzMBqDXp-XtzJBM"", ""'STC'!D3:D139""),0))"),67)</f>
        <v>67</v>
      </c>
    </row>
    <row r="84" spans="1:31">
      <c r="A84" s="7" t="s">
        <v>199</v>
      </c>
      <c r="B84" s="7" t="s">
        <v>228</v>
      </c>
      <c r="C84" s="1" t="s">
        <v>30</v>
      </c>
      <c r="D84" s="7" t="s">
        <v>229</v>
      </c>
      <c r="E84" s="9" t="s">
        <v>38</v>
      </c>
      <c r="F84" s="9" t="s">
        <v>230</v>
      </c>
      <c r="G84" s="2" t="s">
        <v>231</v>
      </c>
      <c r="H84" s="2" t="s">
        <v>232</v>
      </c>
      <c r="I84" s="2" t="s">
        <v>367</v>
      </c>
      <c r="J84" s="2" t="s">
        <v>58</v>
      </c>
      <c r="K84" s="2" t="s">
        <v>59</v>
      </c>
      <c r="L84" s="2" t="s">
        <v>130</v>
      </c>
      <c r="M84" s="2" t="s">
        <v>61</v>
      </c>
      <c r="N84" s="2" t="s">
        <v>131</v>
      </c>
      <c r="O84" s="22" t="s">
        <v>363</v>
      </c>
      <c r="P84" s="2" t="s">
        <v>63</v>
      </c>
      <c r="Q84" s="12">
        <v>51</v>
      </c>
      <c r="R84" s="2">
        <v>77</v>
      </c>
      <c r="S84" s="2">
        <f ca="1">IFERROR(__xludf.DUMMYFUNCTION("INDEX(IMPORTRANGE(""17pNv02DXDpQT9S3w4-QeNym2QJy2BzMBqDXp-XtzJBM"", ""'STC'!BG3:BG139""),MATCH($D84,IMPORTRANGE(""17pNv02DXDpQT9S3w4-QeNym2QJy2BzMBqDXp-XtzJBM"", ""'STC'!D3:D139""),0))"),72)</f>
        <v>72</v>
      </c>
      <c r="T84" s="2"/>
      <c r="U84" s="2"/>
      <c r="V84" s="2"/>
      <c r="W84" s="2"/>
      <c r="X84" s="2"/>
      <c r="Y84" s="2"/>
      <c r="Z84" s="12">
        <f ca="1">IFERROR(__xludf.DUMMYFUNCTION("INDEX(IMPORTRANGE(""17pNv02DXDpQT9S3w4-QeNym2QJy2BzMBqDXp-XtzJBM"", ""'STC'!BH3:BH139""),MATCH($D84,IMPORTRANGE(""17pNv02DXDpQT9S3w4-QeNym2QJy2BzMBqDXp-XtzJBM"", ""'STC'!D3:D139""),0))"),40)</f>
        <v>40</v>
      </c>
      <c r="AA84" s="12">
        <f ca="1">IFERROR(__xludf.DUMMYFUNCTION("INDEX(IMPORTRANGE(""17pNv02DXDpQT9S3w4-QeNym2QJy2BzMBqDXp-XtzJBM"", ""'STC'!BI3:BI139""),MATCH($D84,IMPORTRANGE(""17pNv02DXDpQT9S3w4-QeNym2QJy2BzMBqDXp-XtzJBM"", ""'STC'!D3:D139""),0))"),1564)</f>
        <v>1564</v>
      </c>
      <c r="AB84" s="12">
        <f ca="1">IFERROR(__xludf.DUMMYFUNCTION("INDEX(IMPORTRANGE(""17pNv02DXDpQT9S3w4-QeNym2QJy2BzMBqDXp-XtzJBM"", ""'STC'!BJ3:BJ139""),MATCH($D84,IMPORTRANGE(""17pNv02DXDpQT9S3w4-QeNym2QJy2BzMBqDXp-XtzJBM"", ""'STC'!D3:D139""),0))"),25)</f>
        <v>25</v>
      </c>
      <c r="AC84" s="12">
        <f ca="1">IFERROR(__xludf.DUMMYFUNCTION("INDEX(IMPORTRANGE(""17pNv02DXDpQT9S3w4-QeNym2QJy2BzMBqDXp-XtzJBM"", ""'STC'!BK3:BK139""),MATCH($D84,IMPORTRANGE(""17pNv02DXDpQT9S3w4-QeNym2QJy2BzMBqDXp-XtzJBM"", ""'STC'!D3:D139""),0))"),90)</f>
        <v>90</v>
      </c>
      <c r="AD84" s="12">
        <f ca="1">IFERROR(__xludf.DUMMYFUNCTION("INDEX(IMPORTRANGE(""17pNv02DXDpQT9S3w4-QeNym2QJy2BzMBqDXp-XtzJBM"", ""'STC'!BL3:BL139""),MATCH($D84,IMPORTRANGE(""17pNv02DXDpQT9S3w4-QeNym2QJy2BzMBqDXp-XtzJBM"", ""'STC'!D3:D139""),0))"),44)</f>
        <v>44</v>
      </c>
      <c r="AE84" s="12">
        <f ca="1">IFERROR(__xludf.DUMMYFUNCTION("INDEX(IMPORTRANGE(""17pNv02DXDpQT9S3w4-QeNym2QJy2BzMBqDXp-XtzJBM"", ""'STC'!BM3:BM139""),MATCH($D84,IMPORTRANGE(""17pNv02DXDpQT9S3w4-QeNym2QJy2BzMBqDXp-XtzJBM"", ""'STC'!D3:D139""),0))"),90)</f>
        <v>90</v>
      </c>
    </row>
    <row r="85" spans="1:31">
      <c r="A85" s="7" t="s">
        <v>199</v>
      </c>
      <c r="B85" s="7" t="s">
        <v>228</v>
      </c>
      <c r="C85" s="1" t="s">
        <v>30</v>
      </c>
      <c r="D85" s="7" t="s">
        <v>233</v>
      </c>
      <c r="E85" s="9" t="s">
        <v>38</v>
      </c>
      <c r="F85" s="9" t="s">
        <v>234</v>
      </c>
      <c r="G85" s="2" t="s">
        <v>231</v>
      </c>
      <c r="H85" s="2" t="s">
        <v>232</v>
      </c>
      <c r="I85" s="2" t="s">
        <v>367</v>
      </c>
      <c r="J85" s="2" t="s">
        <v>58</v>
      </c>
      <c r="K85" s="2" t="s">
        <v>59</v>
      </c>
      <c r="L85" s="2" t="s">
        <v>130</v>
      </c>
      <c r="M85" s="2" t="s">
        <v>61</v>
      </c>
      <c r="N85" s="2" t="s">
        <v>131</v>
      </c>
      <c r="O85" s="22" t="s">
        <v>363</v>
      </c>
      <c r="P85" s="2" t="s">
        <v>63</v>
      </c>
      <c r="Q85" s="12">
        <v>5</v>
      </c>
      <c r="R85" s="2">
        <v>7</v>
      </c>
      <c r="S85" s="2">
        <f ca="1">IFERROR(__xludf.DUMMYFUNCTION("INDEX(IMPORTRANGE(""17pNv02DXDpQT9S3w4-QeNym2QJy2BzMBqDXp-XtzJBM"", ""'STC'!BG3:BG139""),MATCH($D85,IMPORTRANGE(""17pNv02DXDpQT9S3w4-QeNym2QJy2BzMBqDXp-XtzJBM"", ""'STC'!D3:D139""),0))"),7)</f>
        <v>7</v>
      </c>
      <c r="T85" s="2"/>
      <c r="U85" s="2"/>
      <c r="V85" s="2"/>
      <c r="W85" s="2"/>
      <c r="X85" s="2"/>
      <c r="Y85" s="2"/>
      <c r="Z85" s="12">
        <f ca="1">IFERROR(__xludf.DUMMYFUNCTION("INDEX(IMPORTRANGE(""17pNv02DXDpQT9S3w4-QeNym2QJy2BzMBqDXp-XtzJBM"", ""'STC'!BH3:BH139""),MATCH($D85,IMPORTRANGE(""17pNv02DXDpQT9S3w4-QeNym2QJy2BzMBqDXp-XtzJBM"", ""'STC'!D3:D139""),0))"),3)</f>
        <v>3</v>
      </c>
      <c r="AA85" s="12">
        <f ca="1">IFERROR(__xludf.DUMMYFUNCTION("INDEX(IMPORTRANGE(""17pNv02DXDpQT9S3w4-QeNym2QJy2BzMBqDXp-XtzJBM"", ""'STC'!BI3:BI139""),MATCH($D85,IMPORTRANGE(""17pNv02DXDpQT9S3w4-QeNym2QJy2BzMBqDXp-XtzJBM"", ""'STC'!D3:D139""),0))"),131)</f>
        <v>131</v>
      </c>
      <c r="AB85" s="12">
        <f ca="1">IFERROR(__xludf.DUMMYFUNCTION("INDEX(IMPORTRANGE(""17pNv02DXDpQT9S3w4-QeNym2QJy2BzMBqDXp-XtzJBM"", ""'STC'!BJ3:BJ139""),MATCH($D85,IMPORTRANGE(""17pNv02DXDpQT9S3w4-QeNym2QJy2BzMBqDXp-XtzJBM"", ""'STC'!D3:D139""),0))"),3)</f>
        <v>3</v>
      </c>
      <c r="AC85" s="12">
        <f ca="1">IFERROR(__xludf.DUMMYFUNCTION("INDEX(IMPORTRANGE(""17pNv02DXDpQT9S3w4-QeNym2QJy2BzMBqDXp-XtzJBM"", ""'STC'!BK3:BK139""),MATCH($D85,IMPORTRANGE(""17pNv02DXDpQT9S3w4-QeNym2QJy2BzMBqDXp-XtzJBM"", ""'STC'!D3:D139""),0))"),12)</f>
        <v>12</v>
      </c>
      <c r="AD85" s="12">
        <f ca="1">IFERROR(__xludf.DUMMYFUNCTION("INDEX(IMPORTRANGE(""17pNv02DXDpQT9S3w4-QeNym2QJy2BzMBqDXp-XtzJBM"", ""'STC'!BL3:BL139""),MATCH($D85,IMPORTRANGE(""17pNv02DXDpQT9S3w4-QeNym2QJy2BzMBqDXp-XtzJBM"", ""'STC'!D3:D139""),0))"),0)</f>
        <v>0</v>
      </c>
      <c r="AE85" s="12">
        <f ca="1">IFERROR(__xludf.DUMMYFUNCTION("INDEX(IMPORTRANGE(""17pNv02DXDpQT9S3w4-QeNym2QJy2BzMBqDXp-XtzJBM"", ""'STC'!BM3:BM139""),MATCH($D85,IMPORTRANGE(""17pNv02DXDpQT9S3w4-QeNym2QJy2BzMBqDXp-XtzJBM"", ""'STC'!D3:D139""),0))"),5)</f>
        <v>5</v>
      </c>
    </row>
    <row r="86" spans="1:31">
      <c r="A86" s="7" t="s">
        <v>199</v>
      </c>
      <c r="B86" s="7" t="s">
        <v>228</v>
      </c>
      <c r="C86" s="1" t="s">
        <v>30</v>
      </c>
      <c r="D86" s="7" t="s">
        <v>235</v>
      </c>
      <c r="E86" s="9" t="s">
        <v>38</v>
      </c>
      <c r="F86" s="9" t="s">
        <v>236</v>
      </c>
      <c r="G86" s="2" t="s">
        <v>231</v>
      </c>
      <c r="H86" s="2" t="s">
        <v>232</v>
      </c>
      <c r="I86" s="2" t="s">
        <v>367</v>
      </c>
      <c r="J86" s="2" t="s">
        <v>58</v>
      </c>
      <c r="K86" s="2" t="s">
        <v>59</v>
      </c>
      <c r="L86" s="2" t="s">
        <v>130</v>
      </c>
      <c r="M86" s="2" t="s">
        <v>61</v>
      </c>
      <c r="N86" s="2" t="s">
        <v>131</v>
      </c>
      <c r="O86" s="22" t="s">
        <v>363</v>
      </c>
      <c r="P86" s="2" t="s">
        <v>63</v>
      </c>
      <c r="Q86" s="12">
        <v>1650</v>
      </c>
      <c r="R86" s="12">
        <v>2853</v>
      </c>
      <c r="S86" s="12">
        <f ca="1">IFERROR(__xludf.DUMMYFUNCTION("INDEX(IMPORTRANGE(""17pNv02DXDpQT9S3w4-QeNym2QJy2BzMBqDXp-XtzJBM"", ""'STC'!BG3:BG139""),MATCH($D86,IMPORTRANGE(""17pNv02DXDpQT9S3w4-QeNym2QJy2BzMBqDXp-XtzJBM"", ""'STC'!D3:D139""),0))"),2658)</f>
        <v>2658</v>
      </c>
      <c r="T86" s="2"/>
      <c r="U86" s="2"/>
      <c r="V86" s="2"/>
      <c r="W86" s="2"/>
      <c r="X86" s="2"/>
      <c r="Y86" s="2"/>
      <c r="Z86" s="12">
        <f ca="1">IFERROR(__xludf.DUMMYFUNCTION("INDEX(IMPORTRANGE(""17pNv02DXDpQT9S3w4-QeNym2QJy2BzMBqDXp-XtzJBM"", ""'STC'!BH3:BH139""),MATCH($D86,IMPORTRANGE(""17pNv02DXDpQT9S3w4-QeNym2QJy2BzMBqDXp-XtzJBM"", ""'STC'!D3:D139""),0))"),1738)</f>
        <v>1738</v>
      </c>
      <c r="AA86" s="12">
        <f ca="1">IFERROR(__xludf.DUMMYFUNCTION("INDEX(IMPORTRANGE(""17pNv02DXDpQT9S3w4-QeNym2QJy2BzMBqDXp-XtzJBM"", ""'STC'!BI3:BI139""),MATCH($D86,IMPORTRANGE(""17pNv02DXDpQT9S3w4-QeNym2QJy2BzMBqDXp-XtzJBM"", ""'STC'!D3:D139""),0))"),1740)</f>
        <v>1740</v>
      </c>
      <c r="AB86" s="12">
        <f ca="1">IFERROR(__xludf.DUMMYFUNCTION("INDEX(IMPORTRANGE(""17pNv02DXDpQT9S3w4-QeNym2QJy2BzMBqDXp-XtzJBM"", ""'STC'!BJ3:BJ139""),MATCH($D86,IMPORTRANGE(""17pNv02DXDpQT9S3w4-QeNym2QJy2BzMBqDXp-XtzJBM"", ""'STC'!D3:D139""),0))"),1213)</f>
        <v>1213</v>
      </c>
      <c r="AC86" s="12">
        <f ca="1">IFERROR(__xludf.DUMMYFUNCTION("INDEX(IMPORTRANGE(""17pNv02DXDpQT9S3w4-QeNym2QJy2BzMBqDXp-XtzJBM"", ""'STC'!BK3:BK139""),MATCH($D86,IMPORTRANGE(""17pNv02DXDpQT9S3w4-QeNym2QJy2BzMBqDXp-XtzJBM"", ""'STC'!D3:D139""),0))"),2419)</f>
        <v>2419</v>
      </c>
      <c r="AD86" s="12">
        <f ca="1">IFERROR(__xludf.DUMMYFUNCTION("INDEX(IMPORTRANGE(""17pNv02DXDpQT9S3w4-QeNym2QJy2BzMBqDXp-XtzJBM"", ""'STC'!BL3:BL139""),MATCH($D86,IMPORTRANGE(""17pNv02DXDpQT9S3w4-QeNym2QJy2BzMBqDXp-XtzJBM"", ""'STC'!D3:D139""),0))"),838)</f>
        <v>838</v>
      </c>
      <c r="AE86" s="12">
        <f ca="1">IFERROR(__xludf.DUMMYFUNCTION("INDEX(IMPORTRANGE(""17pNv02DXDpQT9S3w4-QeNym2QJy2BzMBqDXp-XtzJBM"", ""'STC'!BM3:BM139""),MATCH($D86,IMPORTRANGE(""17pNv02DXDpQT9S3w4-QeNym2QJy2BzMBqDXp-XtzJBM"", ""'STC'!D3:D139""),0))"),1721)</f>
        <v>1721</v>
      </c>
    </row>
    <row r="87" spans="1:31">
      <c r="A87" s="7" t="s">
        <v>199</v>
      </c>
      <c r="B87" s="7" t="s">
        <v>228</v>
      </c>
      <c r="C87" s="1" t="s">
        <v>30</v>
      </c>
      <c r="D87" s="7" t="s">
        <v>237</v>
      </c>
      <c r="E87" s="9" t="s">
        <v>38</v>
      </c>
      <c r="F87" s="9" t="s">
        <v>238</v>
      </c>
      <c r="G87" s="2" t="s">
        <v>231</v>
      </c>
      <c r="H87" s="2" t="s">
        <v>232</v>
      </c>
      <c r="I87" s="2" t="s">
        <v>367</v>
      </c>
      <c r="J87" s="2" t="s">
        <v>58</v>
      </c>
      <c r="K87" s="2" t="s">
        <v>59</v>
      </c>
      <c r="L87" s="2" t="s">
        <v>130</v>
      </c>
      <c r="M87" s="2" t="s">
        <v>61</v>
      </c>
      <c r="N87" s="2" t="s">
        <v>131</v>
      </c>
      <c r="O87" s="22" t="s">
        <v>363</v>
      </c>
      <c r="P87" s="2" t="s">
        <v>63</v>
      </c>
      <c r="Q87" s="12">
        <v>65</v>
      </c>
      <c r="R87" s="12">
        <v>139</v>
      </c>
      <c r="S87" s="12">
        <f ca="1">IFERROR(__xludf.DUMMYFUNCTION("INDEX(IMPORTRANGE(""17pNv02DXDpQT9S3w4-QeNym2QJy2BzMBqDXp-XtzJBM"", ""'STC'!BG3:BG139""),MATCH($D87,IMPORTRANGE(""17pNv02DXDpQT9S3w4-QeNym2QJy2BzMBqDXp-XtzJBM"", ""'STC'!D3:D139""),0))"),127)</f>
        <v>127</v>
      </c>
      <c r="T87" s="2"/>
      <c r="U87" s="2"/>
      <c r="V87" s="2"/>
      <c r="W87" s="2"/>
      <c r="X87" s="2"/>
      <c r="Y87" s="2"/>
      <c r="Z87" s="12">
        <f ca="1">IFERROR(__xludf.DUMMYFUNCTION("INDEX(IMPORTRANGE(""17pNv02DXDpQT9S3w4-QeNym2QJy2BzMBqDXp-XtzJBM"", ""'STC'!BH3:BH139""),MATCH($D87,IMPORTRANGE(""17pNv02DXDpQT9S3w4-QeNym2QJy2BzMBqDXp-XtzJBM"", ""'STC'!D3:D139""),0))"),88)</f>
        <v>88</v>
      </c>
      <c r="AA87" s="12">
        <f ca="1">IFERROR(__xludf.DUMMYFUNCTION("INDEX(IMPORTRANGE(""17pNv02DXDpQT9S3w4-QeNym2QJy2BzMBqDXp-XtzJBM"", ""'STC'!BI3:BI139""),MATCH($D87,IMPORTRANGE(""17pNv02DXDpQT9S3w4-QeNym2QJy2BzMBqDXp-XtzJBM"", ""'STC'!D3:D139""),0))"),210)</f>
        <v>210</v>
      </c>
      <c r="AB87" s="12">
        <f ca="1">IFERROR(__xludf.DUMMYFUNCTION("INDEX(IMPORTRANGE(""17pNv02DXDpQT9S3w4-QeNym2QJy2BzMBqDXp-XtzJBM"", ""'STC'!BJ3:BJ139""),MATCH($D87,IMPORTRANGE(""17pNv02DXDpQT9S3w4-QeNym2QJy2BzMBqDXp-XtzJBM"", ""'STC'!D3:D139""),0))"),77)</f>
        <v>77</v>
      </c>
      <c r="AC87" s="12">
        <f ca="1">IFERROR(__xludf.DUMMYFUNCTION("INDEX(IMPORTRANGE(""17pNv02DXDpQT9S3w4-QeNym2QJy2BzMBqDXp-XtzJBM"", ""'STC'!BK3:BK139""),MATCH($D87,IMPORTRANGE(""17pNv02DXDpQT9S3w4-QeNym2QJy2BzMBqDXp-XtzJBM"", ""'STC'!D3:D139""),0))"),171)</f>
        <v>171</v>
      </c>
      <c r="AD87" s="12">
        <f ca="1">IFERROR(__xludf.DUMMYFUNCTION("INDEX(IMPORTRANGE(""17pNv02DXDpQT9S3w4-QeNym2QJy2BzMBqDXp-XtzJBM"", ""'STC'!BL3:BL139""),MATCH($D87,IMPORTRANGE(""17pNv02DXDpQT9S3w4-QeNym2QJy2BzMBqDXp-XtzJBM"", ""'STC'!D3:D139""),0))"),75)</f>
        <v>75</v>
      </c>
      <c r="AE87" s="12">
        <f ca="1">IFERROR(__xludf.DUMMYFUNCTION("INDEX(IMPORTRANGE(""17pNv02DXDpQT9S3w4-QeNym2QJy2BzMBqDXp-XtzJBM"", ""'STC'!BM3:BM139""),MATCH($D87,IMPORTRANGE(""17pNv02DXDpQT9S3w4-QeNym2QJy2BzMBqDXp-XtzJBM"", ""'STC'!D3:D139""),0))"),157)</f>
        <v>157</v>
      </c>
    </row>
    <row r="88" spans="1:31">
      <c r="A88" s="7" t="s">
        <v>199</v>
      </c>
      <c r="B88" s="7" t="s">
        <v>228</v>
      </c>
      <c r="C88" s="1" t="s">
        <v>30</v>
      </c>
      <c r="D88" s="7" t="s">
        <v>239</v>
      </c>
      <c r="E88" s="9" t="s">
        <v>38</v>
      </c>
      <c r="F88" s="9" t="s">
        <v>240</v>
      </c>
      <c r="G88" s="2" t="s">
        <v>231</v>
      </c>
      <c r="H88" s="2" t="s">
        <v>232</v>
      </c>
      <c r="I88" s="2" t="s">
        <v>367</v>
      </c>
      <c r="J88" s="2" t="s">
        <v>58</v>
      </c>
      <c r="K88" s="2" t="s">
        <v>59</v>
      </c>
      <c r="L88" s="2" t="s">
        <v>130</v>
      </c>
      <c r="M88" s="2" t="s">
        <v>61</v>
      </c>
      <c r="N88" s="2" t="s">
        <v>131</v>
      </c>
      <c r="O88" s="22" t="s">
        <v>363</v>
      </c>
      <c r="P88" s="2" t="s">
        <v>63</v>
      </c>
      <c r="Q88" s="12">
        <v>173</v>
      </c>
      <c r="R88" s="12">
        <v>313</v>
      </c>
      <c r="S88" s="12">
        <f ca="1">IFERROR(__xludf.DUMMYFUNCTION("INDEX(IMPORTRANGE(""17pNv02DXDpQT9S3w4-QeNym2QJy2BzMBqDXp-XtzJBM"", ""'STC'!BG3:BG139""),MATCH($D88,IMPORTRANGE(""17pNv02DXDpQT9S3w4-QeNym2QJy2BzMBqDXp-XtzJBM"", ""'STC'!D3:D139""),0))"),289)</f>
        <v>289</v>
      </c>
      <c r="T88" s="2"/>
      <c r="U88" s="2"/>
      <c r="V88" s="2"/>
      <c r="W88" s="2"/>
      <c r="X88" s="2"/>
      <c r="Y88" s="2"/>
      <c r="Z88" s="12">
        <f ca="1">IFERROR(__xludf.DUMMYFUNCTION("INDEX(IMPORTRANGE(""17pNv02DXDpQT9S3w4-QeNym2QJy2BzMBqDXp-XtzJBM"", ""'STC'!BH3:BH139""),MATCH($D88,IMPORTRANGE(""17pNv02DXDpQT9S3w4-QeNym2QJy2BzMBqDXp-XtzJBM"", ""'STC'!D3:D139""),0))"),413)</f>
        <v>413</v>
      </c>
      <c r="AA88" s="12">
        <f ca="1">IFERROR(__xludf.DUMMYFUNCTION("INDEX(IMPORTRANGE(""17pNv02DXDpQT9S3w4-QeNym2QJy2BzMBqDXp-XtzJBM"", ""'STC'!BI3:BI139""),MATCH($D88,IMPORTRANGE(""17pNv02DXDpQT9S3w4-QeNym2QJy2BzMBqDXp-XtzJBM"", ""'STC'!D3:D139""),0))"),852)</f>
        <v>852</v>
      </c>
      <c r="AB88" s="12">
        <f ca="1">IFERROR(__xludf.DUMMYFUNCTION("INDEX(IMPORTRANGE(""17pNv02DXDpQT9S3w4-QeNym2QJy2BzMBqDXp-XtzJBM"", ""'STC'!BJ3:BJ139""),MATCH($D88,IMPORTRANGE(""17pNv02DXDpQT9S3w4-QeNym2QJy2BzMBqDXp-XtzJBM"", ""'STC'!D3:D139""),0))"),195)</f>
        <v>195</v>
      </c>
      <c r="AC88" s="12">
        <f ca="1">IFERROR(__xludf.DUMMYFUNCTION("INDEX(IMPORTRANGE(""17pNv02DXDpQT9S3w4-QeNym2QJy2BzMBqDXp-XtzJBM"", ""'STC'!BK3:BK139""),MATCH($D88,IMPORTRANGE(""17pNv02DXDpQT9S3w4-QeNym2QJy2BzMBqDXp-XtzJBM"", ""'STC'!D3:D139""),0))"),496)</f>
        <v>496</v>
      </c>
      <c r="AD88" s="12">
        <f ca="1">IFERROR(__xludf.DUMMYFUNCTION("INDEX(IMPORTRANGE(""17pNv02DXDpQT9S3w4-QeNym2QJy2BzMBqDXp-XtzJBM"", ""'STC'!BL3:BL139""),MATCH($D88,IMPORTRANGE(""17pNv02DXDpQT9S3w4-QeNym2QJy2BzMBqDXp-XtzJBM"", ""'STC'!D3:D139""),0))"),225)</f>
        <v>225</v>
      </c>
      <c r="AE88" s="12">
        <f ca="1">IFERROR(__xludf.DUMMYFUNCTION("INDEX(IMPORTRANGE(""17pNv02DXDpQT9S3w4-QeNym2QJy2BzMBqDXp-XtzJBM"", ""'STC'!BM3:BM139""),MATCH($D88,IMPORTRANGE(""17pNv02DXDpQT9S3w4-QeNym2QJy2BzMBqDXp-XtzJBM"", ""'STC'!D3:D139""),0))"),415)</f>
        <v>415</v>
      </c>
    </row>
    <row r="89" spans="1:31">
      <c r="A89" s="7" t="s">
        <v>199</v>
      </c>
      <c r="B89" s="7" t="s">
        <v>228</v>
      </c>
      <c r="C89" s="1" t="s">
        <v>36</v>
      </c>
      <c r="D89" s="7" t="s">
        <v>241</v>
      </c>
      <c r="E89" s="9" t="s">
        <v>38</v>
      </c>
      <c r="F89" s="2" t="s">
        <v>242</v>
      </c>
      <c r="G89" s="2" t="s">
        <v>231</v>
      </c>
      <c r="H89" s="2" t="s">
        <v>232</v>
      </c>
      <c r="I89" s="2" t="s">
        <v>367</v>
      </c>
      <c r="J89" s="2" t="s">
        <v>58</v>
      </c>
      <c r="K89" s="2" t="s">
        <v>59</v>
      </c>
      <c r="L89" s="2" t="s">
        <v>130</v>
      </c>
      <c r="M89" s="2" t="s">
        <v>61</v>
      </c>
      <c r="N89" s="2" t="s">
        <v>131</v>
      </c>
      <c r="O89" s="22" t="s">
        <v>363</v>
      </c>
      <c r="P89" s="2" t="s">
        <v>63</v>
      </c>
      <c r="Q89" s="12">
        <v>1944</v>
      </c>
      <c r="R89" s="12">
        <v>3389</v>
      </c>
      <c r="S89" s="12">
        <f ca="1">IFERROR(__xludf.DUMMYFUNCTION("INDEX(IMPORTRANGE(""17pNv02DXDpQT9S3w4-QeNym2QJy2BzMBqDXp-XtzJBM"", ""'STC'!BG3:BG139""),MATCH($D89,IMPORTRANGE(""17pNv02DXDpQT9S3w4-QeNym2QJy2BzMBqDXp-XtzJBM"", ""'STC'!D3:D139""),0))"),3153)</f>
        <v>3153</v>
      </c>
      <c r="T89" s="2">
        <v>3009.3</v>
      </c>
      <c r="U89" s="2">
        <v>1508.4</v>
      </c>
      <c r="V89" s="2">
        <v>2629.7</v>
      </c>
      <c r="W89" s="2">
        <v>1290.5999999999999</v>
      </c>
      <c r="X89" s="24">
        <f ca="1">+S89*(1+(Y89-R89)/R89)</f>
        <v>2093.3166125700795</v>
      </c>
      <c r="Y89" s="2">
        <v>2250</v>
      </c>
      <c r="Z89" s="12">
        <f ca="1">IFERROR(__xludf.DUMMYFUNCTION("INDEX(IMPORTRANGE(""17pNv02DXDpQT9S3w4-QeNym2QJy2BzMBqDXp-XtzJBM"", ""'STC'!BH3:BH139""),MATCH($D89,IMPORTRANGE(""17pNv02DXDpQT9S3w4-QeNym2QJy2BzMBqDXp-XtzJBM"", ""'STC'!D3:D139""),0))"),2282)</f>
        <v>2282</v>
      </c>
      <c r="AA89" s="12">
        <f ca="1">IFERROR(__xludf.DUMMYFUNCTION("INDEX(IMPORTRANGE(""17pNv02DXDpQT9S3w4-QeNym2QJy2BzMBqDXp-XtzJBM"", ""'STC'!BI3:BI139""),MATCH($D89,IMPORTRANGE(""17pNv02DXDpQT9S3w4-QeNym2QJy2BzMBqDXp-XtzJBM"", ""'STC'!D3:D139""),0))"),4497)</f>
        <v>4497</v>
      </c>
      <c r="AB89" s="12">
        <f ca="1">IFERROR(__xludf.DUMMYFUNCTION("INDEX(IMPORTRANGE(""17pNv02DXDpQT9S3w4-QeNym2QJy2BzMBqDXp-XtzJBM"", ""'STC'!BJ3:BJ139""),MATCH($D89,IMPORTRANGE(""17pNv02DXDpQT9S3w4-QeNym2QJy2BzMBqDXp-XtzJBM"", ""'STC'!D3:D139""),0))"),1513)</f>
        <v>1513</v>
      </c>
      <c r="AC89" s="12">
        <f ca="1">IFERROR(__xludf.DUMMYFUNCTION("INDEX(IMPORTRANGE(""17pNv02DXDpQT9S3w4-QeNym2QJy2BzMBqDXp-XtzJBM"", ""'STC'!BK3:BK139""),MATCH($D89,IMPORTRANGE(""17pNv02DXDpQT9S3w4-QeNym2QJy2BzMBqDXp-XtzJBM"", ""'STC'!D3:D139""),0))"),3188)</f>
        <v>3188</v>
      </c>
      <c r="AD89" s="12">
        <f ca="1">IFERROR(__xludf.DUMMYFUNCTION("INDEX(IMPORTRANGE(""17pNv02DXDpQT9S3w4-QeNym2QJy2BzMBqDXp-XtzJBM"", ""'STC'!BL3:BL139""),MATCH($D89,IMPORTRANGE(""17pNv02DXDpQT9S3w4-QeNym2QJy2BzMBqDXp-XtzJBM"", ""'STC'!D3:D139""),0))"),1182)</f>
        <v>1182</v>
      </c>
      <c r="AE89" s="12">
        <f ca="1">IFERROR(__xludf.DUMMYFUNCTION("INDEX(IMPORTRANGE(""17pNv02DXDpQT9S3w4-QeNym2QJy2BzMBqDXp-XtzJBM"", ""'STC'!BM3:BM139""),MATCH($D89,IMPORTRANGE(""17pNv02DXDpQT9S3w4-QeNym2QJy2BzMBqDXp-XtzJBM"", ""'STC'!D3:D139""),0))"),2388)</f>
        <v>2388</v>
      </c>
    </row>
    <row r="90" spans="1:31">
      <c r="A90" s="7" t="s">
        <v>243</v>
      </c>
      <c r="B90" s="7" t="s">
        <v>244</v>
      </c>
      <c r="C90" s="1" t="s">
        <v>36</v>
      </c>
      <c r="D90" s="7" t="s">
        <v>338</v>
      </c>
      <c r="E90" s="9" t="s">
        <v>38</v>
      </c>
      <c r="F90" s="9" t="s">
        <v>246</v>
      </c>
      <c r="G90" s="2" t="s">
        <v>56</v>
      </c>
      <c r="H90" s="2" t="s">
        <v>57</v>
      </c>
      <c r="I90" s="2" t="s">
        <v>362</v>
      </c>
      <c r="J90" s="2" t="s">
        <v>58</v>
      </c>
      <c r="K90" s="2" t="s">
        <v>59</v>
      </c>
      <c r="L90" s="2" t="s">
        <v>130</v>
      </c>
      <c r="M90" s="2" t="s">
        <v>61</v>
      </c>
      <c r="N90" s="2" t="s">
        <v>131</v>
      </c>
      <c r="O90" s="22" t="s">
        <v>363</v>
      </c>
      <c r="P90" s="2" t="s">
        <v>132</v>
      </c>
      <c r="Q90" s="12">
        <v>1</v>
      </c>
      <c r="R90" s="12">
        <v>1</v>
      </c>
      <c r="S90" s="12">
        <f ca="1">IFERROR(__xludf.DUMMYFUNCTION("INDEX(IMPORTRANGE(""17pNv02DXDpQT9S3w4-QeNym2QJy2BzMBqDXp-XtzJBM"", ""'STC'!BG3:BG139""),MATCH($D90,IMPORTRANGE(""17pNv02DXDpQT9S3w4-QeNym2QJy2BzMBqDXp-XtzJBM"", ""'STC'!D3:D139""),0))"),1)</f>
        <v>1</v>
      </c>
      <c r="T90" s="2">
        <v>1</v>
      </c>
      <c r="U90" s="2">
        <v>2</v>
      </c>
      <c r="V90" s="2">
        <v>3</v>
      </c>
      <c r="W90" s="2">
        <v>3</v>
      </c>
      <c r="X90" s="2">
        <v>4</v>
      </c>
      <c r="Y90" s="2">
        <v>4</v>
      </c>
      <c r="Z90" s="12">
        <f ca="1">IFERROR(__xludf.DUMMYFUNCTION("INDEX(IMPORTRANGE(""17pNv02DXDpQT9S3w4-QeNym2QJy2BzMBqDXp-XtzJBM"", ""'STC'!BH3:BH139""),MATCH($D90,IMPORTRANGE(""17pNv02DXDpQT9S3w4-QeNym2QJy2BzMBqDXp-XtzJBM"", ""'STC'!D3:D139""),0))"),8)</f>
        <v>8</v>
      </c>
      <c r="AA90" s="12">
        <f ca="1">IFERROR(__xludf.DUMMYFUNCTION("INDEX(IMPORTRANGE(""17pNv02DXDpQT9S3w4-QeNym2QJy2BzMBqDXp-XtzJBM"", ""'STC'!BI3:BI139""),MATCH($D90,IMPORTRANGE(""17pNv02DXDpQT9S3w4-QeNym2QJy2BzMBqDXp-XtzJBM"", ""'STC'!D3:D139""),0))"),9)</f>
        <v>9</v>
      </c>
      <c r="AB90" s="12">
        <f ca="1">IFERROR(__xludf.DUMMYFUNCTION("INDEX(IMPORTRANGE(""17pNv02DXDpQT9S3w4-QeNym2QJy2BzMBqDXp-XtzJBM"", ""'STC'!BJ3:BJ139""),MATCH($D90,IMPORTRANGE(""17pNv02DXDpQT9S3w4-QeNym2QJy2BzMBqDXp-XtzJBM"", ""'STC'!D3:D139""),0))"),3)</f>
        <v>3</v>
      </c>
      <c r="AC90" s="12">
        <f ca="1">IFERROR(__xludf.DUMMYFUNCTION("INDEX(IMPORTRANGE(""17pNv02DXDpQT9S3w4-QeNym2QJy2BzMBqDXp-XtzJBM"", ""'STC'!BK3:BK139""),MATCH($D90,IMPORTRANGE(""17pNv02DXDpQT9S3w4-QeNym2QJy2BzMBqDXp-XtzJBM"", ""'STC'!D3:D139""),0))"),315)</f>
        <v>315</v>
      </c>
      <c r="AD90" s="12">
        <f ca="1">IFERROR(__xludf.DUMMYFUNCTION("INDEX(IMPORTRANGE(""17pNv02DXDpQT9S3w4-QeNym2QJy2BzMBqDXp-XtzJBM"", ""'STC'!BL3:BL139""),MATCH($D90,IMPORTRANGE(""17pNv02DXDpQT9S3w4-QeNym2QJy2BzMBqDXp-XtzJBM"", ""'STC'!D3:D139""),0))"),314)</f>
        <v>314</v>
      </c>
      <c r="AE90" s="12">
        <f ca="1">IFERROR(__xludf.DUMMYFUNCTION("INDEX(IMPORTRANGE(""17pNv02DXDpQT9S3w4-QeNym2QJy2BzMBqDXp-XtzJBM"", ""'STC'!BM3:BM139""),MATCH($D90,IMPORTRANGE(""17pNv02DXDpQT9S3w4-QeNym2QJy2BzMBqDXp-XtzJBM"", ""'STC'!D3:D139""),0))"),470)</f>
        <v>470</v>
      </c>
    </row>
    <row r="91" spans="1:31">
      <c r="A91" s="7" t="s">
        <v>243</v>
      </c>
      <c r="B91" s="7" t="s">
        <v>247</v>
      </c>
      <c r="C91" s="1" t="s">
        <v>36</v>
      </c>
      <c r="D91" s="7" t="s">
        <v>248</v>
      </c>
      <c r="E91" s="9" t="s">
        <v>38</v>
      </c>
      <c r="F91" s="9" t="s">
        <v>249</v>
      </c>
      <c r="G91" s="11">
        <v>44469</v>
      </c>
      <c r="H91" s="11">
        <v>44469</v>
      </c>
      <c r="I91" s="11">
        <v>44469</v>
      </c>
      <c r="J91" s="11">
        <v>44651</v>
      </c>
      <c r="K91" s="11">
        <v>44834</v>
      </c>
      <c r="L91" s="11">
        <v>45016</v>
      </c>
      <c r="M91" s="11">
        <v>45199</v>
      </c>
      <c r="N91" s="11">
        <v>45382</v>
      </c>
      <c r="O91" s="10" t="s">
        <v>361</v>
      </c>
      <c r="P91" s="11">
        <v>45565</v>
      </c>
      <c r="Q91" s="12">
        <v>2</v>
      </c>
      <c r="R91" s="12">
        <v>2</v>
      </c>
      <c r="S91" s="12">
        <f ca="1">IFERROR(__xludf.DUMMYFUNCTION("INDEX(IMPORTRANGE(""17pNv02DXDpQT9S3w4-QeNym2QJy2BzMBqDXp-XtzJBM"", ""'STC'!BG3:BG139""),MATCH($D91,IMPORTRANGE(""17pNv02DXDpQT9S3w4-QeNym2QJy2BzMBqDXp-XtzJBM"", ""'STC'!D3:D139""),0))"),2)</f>
        <v>2</v>
      </c>
      <c r="T91" s="2">
        <v>2</v>
      </c>
      <c r="U91" s="2">
        <v>2</v>
      </c>
      <c r="V91" s="2">
        <v>3</v>
      </c>
      <c r="W91" s="2">
        <v>3</v>
      </c>
      <c r="X91" s="2">
        <v>4</v>
      </c>
      <c r="Y91" s="2">
        <v>4</v>
      </c>
      <c r="Z91" s="12">
        <f ca="1">IFERROR(__xludf.DUMMYFUNCTION("INDEX(IMPORTRANGE(""17pNv02DXDpQT9S3w4-QeNym2QJy2BzMBqDXp-XtzJBM"", ""'STC'!BH3:BH139""),MATCH($D91,IMPORTRANGE(""17pNv02DXDpQT9S3w4-QeNym2QJy2BzMBqDXp-XtzJBM"", ""'STC'!D3:D139""),0))"),2)</f>
        <v>2</v>
      </c>
      <c r="AA91" s="12">
        <f ca="1">IFERROR(__xludf.DUMMYFUNCTION("INDEX(IMPORTRANGE(""17pNv02DXDpQT9S3w4-QeNym2QJy2BzMBqDXp-XtzJBM"", ""'STC'!BI3:BI139""),MATCH($D91,IMPORTRANGE(""17pNv02DXDpQT9S3w4-QeNym2QJy2BzMBqDXp-XtzJBM"", ""'STC'!D3:D139""),0))"),2)</f>
        <v>2</v>
      </c>
      <c r="AB91" s="12">
        <f ca="1">IFERROR(__xludf.DUMMYFUNCTION("INDEX(IMPORTRANGE(""17pNv02DXDpQT9S3w4-QeNym2QJy2BzMBqDXp-XtzJBM"", ""'STC'!BJ3:BJ139""),MATCH($D91,IMPORTRANGE(""17pNv02DXDpQT9S3w4-QeNym2QJy2BzMBqDXp-XtzJBM"", ""'STC'!D3:D139""),0))"),1)</f>
        <v>1</v>
      </c>
      <c r="AC91" s="12">
        <f ca="1">IFERROR(__xludf.DUMMYFUNCTION("INDEX(IMPORTRANGE(""17pNv02DXDpQT9S3w4-QeNym2QJy2BzMBqDXp-XtzJBM"", ""'STC'!BK3:BK139""),MATCH($D91,IMPORTRANGE(""17pNv02DXDpQT9S3w4-QeNym2QJy2BzMBqDXp-XtzJBM"", ""'STC'!D3:D139""),0))"),2)</f>
        <v>2</v>
      </c>
      <c r="AD91" s="12">
        <f ca="1">IFERROR(__xludf.DUMMYFUNCTION("INDEX(IMPORTRANGE(""17pNv02DXDpQT9S3w4-QeNym2QJy2BzMBqDXp-XtzJBM"", ""'STC'!BL3:BL139""),MATCH($D91,IMPORTRANGE(""17pNv02DXDpQT9S3w4-QeNym2QJy2BzMBqDXp-XtzJBM"", ""'STC'!D3:D139""),0))"),4)</f>
        <v>4</v>
      </c>
      <c r="AE91" s="12">
        <f ca="1">IFERROR(__xludf.DUMMYFUNCTION("INDEX(IMPORTRANGE(""17pNv02DXDpQT9S3w4-QeNym2QJy2BzMBqDXp-XtzJBM"", ""'STC'!BM3:BM139""),MATCH($D91,IMPORTRANGE(""17pNv02DXDpQT9S3w4-QeNym2QJy2BzMBqDXp-XtzJBM"", ""'STC'!D3:D139""),0))"),10)</f>
        <v>10</v>
      </c>
    </row>
    <row r="92" spans="1:31">
      <c r="A92" s="7" t="s">
        <v>243</v>
      </c>
      <c r="B92" s="7" t="s">
        <v>250</v>
      </c>
      <c r="C92" s="1" t="s">
        <v>36</v>
      </c>
      <c r="D92" s="7" t="s">
        <v>251</v>
      </c>
      <c r="E92" s="9" t="s">
        <v>252</v>
      </c>
      <c r="F92" s="9" t="s">
        <v>253</v>
      </c>
      <c r="G92" s="11">
        <v>44469</v>
      </c>
      <c r="H92" s="11">
        <v>44469</v>
      </c>
      <c r="I92" s="49">
        <v>44440</v>
      </c>
      <c r="J92" s="11" t="s">
        <v>254</v>
      </c>
      <c r="K92" s="11">
        <v>44713</v>
      </c>
      <c r="L92" s="11" t="s">
        <v>255</v>
      </c>
      <c r="M92" s="11">
        <v>45078</v>
      </c>
      <c r="N92" s="11" t="s">
        <v>256</v>
      </c>
      <c r="O92" s="10">
        <v>45444</v>
      </c>
      <c r="P92" s="11">
        <v>45444</v>
      </c>
      <c r="Q92" s="12">
        <v>100</v>
      </c>
      <c r="R92" s="12">
        <v>100</v>
      </c>
      <c r="S92" s="12">
        <f ca="1">IFERROR(__xludf.DUMMYFUNCTION("INDEX(IMPORTRANGE(""17pNv02DXDpQT9S3w4-QeNym2QJy2BzMBqDXp-XtzJBM"", ""'STC'!BG3:BG139""),MATCH($D92,IMPORTRANGE(""17pNv02DXDpQT9S3w4-QeNym2QJy2BzMBqDXp-XtzJBM"", ""'STC'!D3:D139""),0))"),100)</f>
        <v>100</v>
      </c>
      <c r="T92" s="2">
        <v>100</v>
      </c>
      <c r="U92" s="2">
        <v>100</v>
      </c>
      <c r="V92" s="2">
        <v>100</v>
      </c>
      <c r="W92" s="2">
        <v>100</v>
      </c>
      <c r="X92" s="2">
        <v>100</v>
      </c>
      <c r="Y92" s="2">
        <v>100</v>
      </c>
      <c r="Z92" s="24">
        <f ca="1">IFERROR(__xludf.DUMMYFUNCTION("INDEX(IMPORTRANGE(""17pNv02DXDpQT9S3w4-QeNym2QJy2BzMBqDXp-XtzJBM"", ""'STC'!BH3:BH139""),MATCH($D92,IMPORTRANGE(""17pNv02DXDpQT9S3w4-QeNym2QJy2BzMBqDXp-XtzJBM"", ""'STC'!D3:D139""),0))"),100)</f>
        <v>100</v>
      </c>
      <c r="AA92" s="24">
        <f ca="1">IFERROR(__xludf.DUMMYFUNCTION("INDEX(IMPORTRANGE(""17pNv02DXDpQT9S3w4-QeNym2QJy2BzMBqDXp-XtzJBM"", ""'STC'!BI3:BI139""),MATCH($D92,IMPORTRANGE(""17pNv02DXDpQT9S3w4-QeNym2QJy2BzMBqDXp-XtzJBM"", ""'STC'!D3:D139""),0))"),96.24)</f>
        <v>96.24</v>
      </c>
      <c r="AB92" s="24">
        <f ca="1">IFERROR(__xludf.DUMMYFUNCTION("INDEX(IMPORTRANGE(""17pNv02DXDpQT9S3w4-QeNym2QJy2BzMBqDXp-XtzJBM"", ""'STC'!BJ3:BJ139""),MATCH($D92,IMPORTRANGE(""17pNv02DXDpQT9S3w4-QeNym2QJy2BzMBqDXp-XtzJBM"", ""'STC'!D3:D139""),0))"),88.86)</f>
        <v>88.86</v>
      </c>
      <c r="AC92" s="24">
        <f ca="1">IFERROR(__xludf.DUMMYFUNCTION("INDEX(IMPORTRANGE(""17pNv02DXDpQT9S3w4-QeNym2QJy2BzMBqDXp-XtzJBM"", ""'STC'!BK3:BK139""),MATCH($D92,IMPORTRANGE(""17pNv02DXDpQT9S3w4-QeNym2QJy2BzMBqDXp-XtzJBM"", ""'STC'!D3:D139""),0))"),98.42)</f>
        <v>98.42</v>
      </c>
      <c r="AD92" s="24">
        <f ca="1">IFERROR(__xludf.DUMMYFUNCTION("INDEX(IMPORTRANGE(""17pNv02DXDpQT9S3w4-QeNym2QJy2BzMBqDXp-XtzJBM"", ""'STC'!BL3:BL139""),MATCH($D92,IMPORTRANGE(""17pNv02DXDpQT9S3w4-QeNym2QJy2BzMBqDXp-XtzJBM"", ""'STC'!D3:D139""),0))"),94.98)</f>
        <v>94.98</v>
      </c>
      <c r="AE92" s="24">
        <f ca="1">IFERROR(__xludf.DUMMYFUNCTION("INDEX(IMPORTRANGE(""17pNv02DXDpQT9S3w4-QeNym2QJy2BzMBqDXp-XtzJBM"", ""'STC'!BM3:BM139""),MATCH($D92,IMPORTRANGE(""17pNv02DXDpQT9S3w4-QeNym2QJy2BzMBqDXp-XtzJBM"", ""'STC'!D3:D139""),0))"),94.98)</f>
        <v>94.98</v>
      </c>
    </row>
    <row r="93" spans="1:31">
      <c r="A93" s="7" t="s">
        <v>243</v>
      </c>
      <c r="B93" s="7" t="s">
        <v>257</v>
      </c>
      <c r="C93" s="1" t="s">
        <v>36</v>
      </c>
      <c r="D93" s="7" t="s">
        <v>258</v>
      </c>
      <c r="E93" s="9" t="s">
        <v>38</v>
      </c>
      <c r="F93" s="9" t="s">
        <v>259</v>
      </c>
      <c r="G93" s="11">
        <v>44469</v>
      </c>
      <c r="H93" s="11">
        <v>44469</v>
      </c>
      <c r="I93" s="49">
        <v>44440</v>
      </c>
      <c r="J93" s="11">
        <v>44651</v>
      </c>
      <c r="K93" s="11">
        <v>44834</v>
      </c>
      <c r="L93" s="11">
        <v>45016</v>
      </c>
      <c r="M93" s="11">
        <v>45199</v>
      </c>
      <c r="N93" s="11">
        <v>45382</v>
      </c>
      <c r="O93" s="10" t="s">
        <v>361</v>
      </c>
      <c r="P93" s="11">
        <v>45565</v>
      </c>
      <c r="Q93" s="12">
        <v>0</v>
      </c>
      <c r="R93" s="12">
        <v>0</v>
      </c>
      <c r="S93" s="12">
        <f ca="1">IFERROR(__xludf.DUMMYFUNCTION("INDEX(IMPORTRANGE(""17pNv02DXDpQT9S3w4-QeNym2QJy2BzMBqDXp-XtzJBM"", ""'STC'!BG3:BG139""),MATCH($D93,IMPORTRANGE(""17pNv02DXDpQT9S3w4-QeNym2QJy2BzMBqDXp-XtzJBM"", ""'STC'!D3:D139""),0))"),0)</f>
        <v>0</v>
      </c>
      <c r="T93" s="2">
        <v>4</v>
      </c>
      <c r="U93" s="2">
        <v>4</v>
      </c>
      <c r="V93" s="2">
        <v>4</v>
      </c>
      <c r="W93" s="2">
        <v>4</v>
      </c>
      <c r="X93" s="2">
        <v>4</v>
      </c>
      <c r="Y93" s="2">
        <v>4</v>
      </c>
      <c r="Z93" s="23">
        <f ca="1">IFERROR(__xludf.DUMMYFUNCTION("INDEX(IMPORTRANGE(""17pNv02DXDpQT9S3w4-QeNym2QJy2BzMBqDXp-XtzJBM"", ""'STC'!BH3:BH139""),MATCH($D93,IMPORTRANGE(""17pNv02DXDpQT9S3w4-QeNym2QJy2BzMBqDXp-XtzJBM"", ""'STC'!D3:D139""),0))"),0)</f>
        <v>0</v>
      </c>
      <c r="AA93" s="23">
        <f ca="1">IFERROR(__xludf.DUMMYFUNCTION("INDEX(IMPORTRANGE(""17pNv02DXDpQT9S3w4-QeNym2QJy2BzMBqDXp-XtzJBM"", ""'STC'!BI3:BI139""),MATCH($D93,IMPORTRANGE(""17pNv02DXDpQT9S3w4-QeNym2QJy2BzMBqDXp-XtzJBM"", ""'STC'!D3:D139""),0))"),0)</f>
        <v>0</v>
      </c>
      <c r="AB93" s="23">
        <f ca="1">IFERROR(__xludf.DUMMYFUNCTION("INDEX(IMPORTRANGE(""17pNv02DXDpQT9S3w4-QeNym2QJy2BzMBqDXp-XtzJBM"", ""'STC'!BJ3:BJ139""),MATCH($D93,IMPORTRANGE(""17pNv02DXDpQT9S3w4-QeNym2QJy2BzMBqDXp-XtzJBM"", ""'STC'!D3:D139""),0))"),2.66666666666666)</f>
        <v>2.6666666666666599</v>
      </c>
      <c r="AC93" s="23">
        <f ca="1">IFERROR(__xludf.DUMMYFUNCTION("INDEX(IMPORTRANGE(""17pNv02DXDpQT9S3w4-QeNym2QJy2BzMBqDXp-XtzJBM"", ""'STC'!BK3:BK139""),MATCH($D93,IMPORTRANGE(""17pNv02DXDpQT9S3w4-QeNym2QJy2BzMBqDXp-XtzJBM"", ""'STC'!D3:D139""),0))"),2.44289044289044)</f>
        <v>2.4428904428904401</v>
      </c>
      <c r="AD93" s="23">
        <f ca="1">IFERROR(__xludf.DUMMYFUNCTION("INDEX(IMPORTRANGE(""17pNv02DXDpQT9S3w4-QeNym2QJy2BzMBqDXp-XtzJBM"", ""'STC'!BL3:BL139""),MATCH($D93,IMPORTRANGE(""17pNv02DXDpQT9S3w4-QeNym2QJy2BzMBqDXp-XtzJBM"", ""'STC'!D3:D139""),0))"),3.84615384615384)</f>
        <v>3.84615384615384</v>
      </c>
      <c r="AE93" s="23">
        <f ca="1">IFERROR(__xludf.DUMMYFUNCTION("INDEX(IMPORTRANGE(""17pNv02DXDpQT9S3w4-QeNym2QJy2BzMBqDXp-XtzJBM"", ""'STC'!BM3:BM139""),MATCH($D93,IMPORTRANGE(""17pNv02DXDpQT9S3w4-QeNym2QJy2BzMBqDXp-XtzJBM"", ""'STC'!D3:D139""),0))"),3.79487179487179)</f>
        <v>3.7948717948717898</v>
      </c>
    </row>
    <row r="94" spans="1:31">
      <c r="A94" s="7" t="s">
        <v>243</v>
      </c>
      <c r="B94" s="7" t="s">
        <v>260</v>
      </c>
      <c r="C94" s="1" t="s">
        <v>30</v>
      </c>
      <c r="D94" s="7" t="s">
        <v>261</v>
      </c>
      <c r="E94" s="9" t="s">
        <v>38</v>
      </c>
      <c r="F94" s="9" t="s">
        <v>262</v>
      </c>
      <c r="G94" s="11">
        <v>44469</v>
      </c>
      <c r="H94" s="519"/>
      <c r="I94" s="49">
        <v>44440</v>
      </c>
      <c r="J94" s="11">
        <v>44651</v>
      </c>
      <c r="K94" s="182"/>
      <c r="L94" s="11">
        <v>45016</v>
      </c>
      <c r="M94" s="182"/>
      <c r="N94" s="11">
        <v>45382</v>
      </c>
      <c r="O94" s="10" t="s">
        <v>361</v>
      </c>
      <c r="P94" s="11">
        <v>45565</v>
      </c>
      <c r="Q94" s="254"/>
      <c r="R94" s="254"/>
      <c r="S94" s="30" t="str">
        <f ca="1">IFERROR(__xludf.DUMMYFUNCTION("INDEX(IMPORTRANGE(""17pNv02DXDpQT9S3w4-QeNym2QJy2BzMBqDXp-XtzJBM"", ""'STC'!BG3:BG139""),MATCH($D94,IMPORTRANGE(""17pNv02DXDpQT9S3w4-QeNym2QJy2BzMBqDXp-XtzJBM"", ""'STC'!D3:D139""),0))"),"")</f>
        <v/>
      </c>
      <c r="T94" s="2"/>
      <c r="U94" s="2"/>
      <c r="V94" s="2"/>
      <c r="W94" s="2"/>
      <c r="X94" s="2"/>
      <c r="Y94" s="2"/>
      <c r="Z94" s="12">
        <f ca="1">IFERROR(__xludf.DUMMYFUNCTION("INDEX(IMPORTRANGE(""17pNv02DXDpQT9S3w4-QeNym2QJy2BzMBqDXp-XtzJBM"", ""'STC'!BH3:BH139""),MATCH($D94,IMPORTRANGE(""17pNv02DXDpQT9S3w4-QeNym2QJy2BzMBqDXp-XtzJBM"", ""'STC'!D3:D139""),0))"),2)</f>
        <v>2</v>
      </c>
      <c r="AA94" s="12">
        <f ca="1">IFERROR(__xludf.DUMMYFUNCTION("INDEX(IMPORTRANGE(""17pNv02DXDpQT9S3w4-QeNym2QJy2BzMBqDXp-XtzJBM"", ""'STC'!BI3:BI139""),MATCH($D94,IMPORTRANGE(""17pNv02DXDpQT9S3w4-QeNym2QJy2BzMBqDXp-XtzJBM"", ""'STC'!D3:D139""),0))"),1)</f>
        <v>1</v>
      </c>
      <c r="AB94" s="12">
        <f ca="1">IFERROR(__xludf.DUMMYFUNCTION("INDEX(IMPORTRANGE(""17pNv02DXDpQT9S3w4-QeNym2QJy2BzMBqDXp-XtzJBM"", ""'STC'!BJ3:BJ139""),MATCH($D94,IMPORTRANGE(""17pNv02DXDpQT9S3w4-QeNym2QJy2BzMBqDXp-XtzJBM"", ""'STC'!D3:D139""),0))"),1)</f>
        <v>1</v>
      </c>
      <c r="AC94" s="12" t="str">
        <f ca="1">IFERROR(__xludf.DUMMYFUNCTION("INDEX(IMPORTRANGE(""17pNv02DXDpQT9S3w4-QeNym2QJy2BzMBqDXp-XtzJBM"", ""'STC'!BK3:BK139""),MATCH($D94,IMPORTRANGE(""17pNv02DXDpQT9S3w4-QeNym2QJy2BzMBqDXp-XtzJBM"", ""'STC'!D3:D139""),0))"),"")</f>
        <v/>
      </c>
      <c r="AD94" s="12">
        <f ca="1">IFERROR(__xludf.DUMMYFUNCTION("INDEX(IMPORTRANGE(""17pNv02DXDpQT9S3w4-QeNym2QJy2BzMBqDXp-XtzJBM"", ""'STC'!BL3:BL139""),MATCH($D94,IMPORTRANGE(""17pNv02DXDpQT9S3w4-QeNym2QJy2BzMBqDXp-XtzJBM"", ""'STC'!D3:D139""),0))"),1)</f>
        <v>1</v>
      </c>
      <c r="AE94" s="12">
        <f ca="1">IFERROR(__xludf.DUMMYFUNCTION("INDEX(IMPORTRANGE(""17pNv02DXDpQT9S3w4-QeNym2QJy2BzMBqDXp-XtzJBM"", ""'STC'!BM3:BM139""),MATCH($D94,IMPORTRANGE(""17pNv02DXDpQT9S3w4-QeNym2QJy2BzMBqDXp-XtzJBM"", ""'STC'!D3:D139""),0))"),0)</f>
        <v>0</v>
      </c>
    </row>
    <row r="95" spans="1:31">
      <c r="A95" s="7" t="s">
        <v>243</v>
      </c>
      <c r="B95" s="7" t="s">
        <v>260</v>
      </c>
      <c r="C95" s="1" t="s">
        <v>30</v>
      </c>
      <c r="D95" s="7" t="s">
        <v>263</v>
      </c>
      <c r="E95" s="9" t="s">
        <v>38</v>
      </c>
      <c r="F95" s="9" t="s">
        <v>264</v>
      </c>
      <c r="G95" s="11">
        <v>44469</v>
      </c>
      <c r="H95" s="182"/>
      <c r="I95" s="49">
        <v>44440</v>
      </c>
      <c r="J95" s="11">
        <v>44651</v>
      </c>
      <c r="K95" s="182"/>
      <c r="L95" s="11">
        <v>45016</v>
      </c>
      <c r="M95" s="182"/>
      <c r="N95" s="11">
        <v>45382</v>
      </c>
      <c r="O95" s="10" t="s">
        <v>361</v>
      </c>
      <c r="P95" s="11">
        <v>45565</v>
      </c>
      <c r="Q95" s="254"/>
      <c r="R95" s="254"/>
      <c r="S95" s="30" t="str">
        <f ca="1">IFERROR(__xludf.DUMMYFUNCTION("INDEX(IMPORTRANGE(""17pNv02DXDpQT9S3w4-QeNym2QJy2BzMBqDXp-XtzJBM"", ""'STC'!BG3:BG139""),MATCH($D95,IMPORTRANGE(""17pNv02DXDpQT9S3w4-QeNym2QJy2BzMBqDXp-XtzJBM"", ""'STC'!D3:D139""),0))"),"")</f>
        <v/>
      </c>
      <c r="T95" s="2"/>
      <c r="U95" s="2"/>
      <c r="V95" s="2"/>
      <c r="W95" s="2"/>
      <c r="X95" s="2"/>
      <c r="Y95" s="2"/>
      <c r="Z95" s="12">
        <f ca="1">IFERROR(__xludf.DUMMYFUNCTION("INDEX(IMPORTRANGE(""17pNv02DXDpQT9S3w4-QeNym2QJy2BzMBqDXp-XtzJBM"", ""'STC'!BH3:BH139""),MATCH($D95,IMPORTRANGE(""17pNv02DXDpQT9S3w4-QeNym2QJy2BzMBqDXp-XtzJBM"", ""'STC'!D3:D139""),0))"),14)</f>
        <v>14</v>
      </c>
      <c r="AA95" s="12">
        <f ca="1">IFERROR(__xludf.DUMMYFUNCTION("INDEX(IMPORTRANGE(""17pNv02DXDpQT9S3w4-QeNym2QJy2BzMBqDXp-XtzJBM"", ""'STC'!BI3:BI139""),MATCH($D95,IMPORTRANGE(""17pNv02DXDpQT9S3w4-QeNym2QJy2BzMBqDXp-XtzJBM"", ""'STC'!D3:D139""),0))"),13)</f>
        <v>13</v>
      </c>
      <c r="AB95" s="12">
        <f ca="1">IFERROR(__xludf.DUMMYFUNCTION("INDEX(IMPORTRANGE(""17pNv02DXDpQT9S3w4-QeNym2QJy2BzMBqDXp-XtzJBM"", ""'STC'!BJ3:BJ139""),MATCH($D95,IMPORTRANGE(""17pNv02DXDpQT9S3w4-QeNym2QJy2BzMBqDXp-XtzJBM"", ""'STC'!D3:D139""),0))"),12)</f>
        <v>12</v>
      </c>
      <c r="AC95" s="12">
        <f ca="1">IFERROR(__xludf.DUMMYFUNCTION("INDEX(IMPORTRANGE(""17pNv02DXDpQT9S3w4-QeNym2QJy2BzMBqDXp-XtzJBM"", ""'STC'!BK3:BK139""),MATCH($D95,IMPORTRANGE(""17pNv02DXDpQT9S3w4-QeNym2QJy2BzMBqDXp-XtzJBM"", ""'STC'!D3:D139""),0))"),0)</f>
        <v>0</v>
      </c>
      <c r="AD95" s="12">
        <f ca="1">IFERROR(__xludf.DUMMYFUNCTION("INDEX(IMPORTRANGE(""17pNv02DXDpQT9S3w4-QeNym2QJy2BzMBqDXp-XtzJBM"", ""'STC'!BL3:BL139""),MATCH($D95,IMPORTRANGE(""17pNv02DXDpQT9S3w4-QeNym2QJy2BzMBqDXp-XtzJBM"", ""'STC'!D3:D139""),0))"),11)</f>
        <v>11</v>
      </c>
      <c r="AE95" s="12">
        <f ca="1">IFERROR(__xludf.DUMMYFUNCTION("INDEX(IMPORTRANGE(""17pNv02DXDpQT9S3w4-QeNym2QJy2BzMBqDXp-XtzJBM"", ""'STC'!BM3:BM139""),MATCH($D95,IMPORTRANGE(""17pNv02DXDpQT9S3w4-QeNym2QJy2BzMBqDXp-XtzJBM"", ""'STC'!D3:D139""),0))"),10)</f>
        <v>10</v>
      </c>
    </row>
    <row r="96" spans="1:31">
      <c r="A96" s="7" t="s">
        <v>243</v>
      </c>
      <c r="B96" s="7" t="s">
        <v>260</v>
      </c>
      <c r="C96" s="1" t="s">
        <v>30</v>
      </c>
      <c r="D96" s="7" t="s">
        <v>265</v>
      </c>
      <c r="E96" s="9" t="s">
        <v>38</v>
      </c>
      <c r="F96" s="9" t="s">
        <v>266</v>
      </c>
      <c r="G96" s="11">
        <v>44469</v>
      </c>
      <c r="H96" s="182"/>
      <c r="I96" s="49">
        <v>44440</v>
      </c>
      <c r="J96" s="11">
        <v>44651</v>
      </c>
      <c r="K96" s="182"/>
      <c r="L96" s="11">
        <v>45016</v>
      </c>
      <c r="M96" s="182"/>
      <c r="N96" s="11">
        <v>45382</v>
      </c>
      <c r="O96" s="10" t="s">
        <v>361</v>
      </c>
      <c r="P96" s="11">
        <v>45565</v>
      </c>
      <c r="Q96" s="254"/>
      <c r="R96" s="254"/>
      <c r="S96" s="30" t="str">
        <f ca="1">IFERROR(__xludf.DUMMYFUNCTION("INDEX(IMPORTRANGE(""17pNv02DXDpQT9S3w4-QeNym2QJy2BzMBqDXp-XtzJBM"", ""'STC'!BG3:BG139""),MATCH($D96,IMPORTRANGE(""17pNv02DXDpQT9S3w4-QeNym2QJy2BzMBqDXp-XtzJBM"", ""'STC'!D3:D139""),0))"),"")</f>
        <v/>
      </c>
      <c r="T96" s="2"/>
      <c r="U96" s="2"/>
      <c r="V96" s="2"/>
      <c r="W96" s="2"/>
      <c r="X96" s="2"/>
      <c r="Y96" s="2"/>
      <c r="Z96" s="12">
        <f ca="1">IFERROR(__xludf.DUMMYFUNCTION("INDEX(IMPORTRANGE(""17pNv02DXDpQT9S3w4-QeNym2QJy2BzMBqDXp-XtzJBM"", ""'STC'!BH3:BH139""),MATCH($D96,IMPORTRANGE(""17pNv02DXDpQT9S3w4-QeNym2QJy2BzMBqDXp-XtzJBM"", ""'STC'!D3:D139""),0))"),0)</f>
        <v>0</v>
      </c>
      <c r="AA96" s="12">
        <f ca="1">IFERROR(__xludf.DUMMYFUNCTION("INDEX(IMPORTRANGE(""17pNv02DXDpQT9S3w4-QeNym2QJy2BzMBqDXp-XtzJBM"", ""'STC'!BI3:BI139""),MATCH($D96,IMPORTRANGE(""17pNv02DXDpQT9S3w4-QeNym2QJy2BzMBqDXp-XtzJBM"", ""'STC'!D3:D139""),0))"),0)</f>
        <v>0</v>
      </c>
      <c r="AB96" s="12">
        <f ca="1">IFERROR(__xludf.DUMMYFUNCTION("INDEX(IMPORTRANGE(""17pNv02DXDpQT9S3w4-QeNym2QJy2BzMBqDXp-XtzJBM"", ""'STC'!BJ3:BJ139""),MATCH($D96,IMPORTRANGE(""17pNv02DXDpQT9S3w4-QeNym2QJy2BzMBqDXp-XtzJBM"", ""'STC'!D3:D139""),0))"),0)</f>
        <v>0</v>
      </c>
      <c r="AC96" s="12" t="str">
        <f ca="1">IFERROR(__xludf.DUMMYFUNCTION("INDEX(IMPORTRANGE(""17pNv02DXDpQT9S3w4-QeNym2QJy2BzMBqDXp-XtzJBM"", ""'STC'!BK3:BK139""),MATCH($D96,IMPORTRANGE(""17pNv02DXDpQT9S3w4-QeNym2QJy2BzMBqDXp-XtzJBM"", ""'STC'!D3:D139""),0))"),"")</f>
        <v/>
      </c>
      <c r="AD96" s="12">
        <f ca="1">IFERROR(__xludf.DUMMYFUNCTION("INDEX(IMPORTRANGE(""17pNv02DXDpQT9S3w4-QeNym2QJy2BzMBqDXp-XtzJBM"", ""'STC'!BL3:BL139""),MATCH($D96,IMPORTRANGE(""17pNv02DXDpQT9S3w4-QeNym2QJy2BzMBqDXp-XtzJBM"", ""'STC'!D3:D139""),0))"),0)</f>
        <v>0</v>
      </c>
      <c r="AE96" s="12">
        <f ca="1">IFERROR(__xludf.DUMMYFUNCTION("INDEX(IMPORTRANGE(""17pNv02DXDpQT9S3w4-QeNym2QJy2BzMBqDXp-XtzJBM"", ""'STC'!BM3:BM139""),MATCH($D96,IMPORTRANGE(""17pNv02DXDpQT9S3w4-QeNym2QJy2BzMBqDXp-XtzJBM"", ""'STC'!D3:D139""),0))"),0)</f>
        <v>0</v>
      </c>
    </row>
    <row r="97" spans="1:31">
      <c r="A97" s="7" t="s">
        <v>243</v>
      </c>
      <c r="B97" s="7" t="s">
        <v>260</v>
      </c>
      <c r="C97" s="1" t="s">
        <v>30</v>
      </c>
      <c r="D97" s="7" t="s">
        <v>267</v>
      </c>
      <c r="E97" s="9" t="s">
        <v>38</v>
      </c>
      <c r="F97" s="9" t="s">
        <v>268</v>
      </c>
      <c r="G97" s="11">
        <v>44469</v>
      </c>
      <c r="H97" s="182"/>
      <c r="I97" s="49">
        <v>44440</v>
      </c>
      <c r="J97" s="11">
        <v>44651</v>
      </c>
      <c r="K97" s="182"/>
      <c r="L97" s="11">
        <v>45016</v>
      </c>
      <c r="M97" s="182"/>
      <c r="N97" s="11">
        <v>45382</v>
      </c>
      <c r="O97" s="10" t="s">
        <v>361</v>
      </c>
      <c r="P97" s="11">
        <v>45565</v>
      </c>
      <c r="Q97" s="254"/>
      <c r="R97" s="254"/>
      <c r="S97" s="30" t="str">
        <f ca="1">IFERROR(__xludf.DUMMYFUNCTION("INDEX(IMPORTRANGE(""17pNv02DXDpQT9S3w4-QeNym2QJy2BzMBqDXp-XtzJBM"", ""'STC'!BG3:BG139""),MATCH($D97,IMPORTRANGE(""17pNv02DXDpQT9S3w4-QeNym2QJy2BzMBqDXp-XtzJBM"", ""'STC'!D3:D139""),0))"),"")</f>
        <v/>
      </c>
      <c r="T97" s="2"/>
      <c r="U97" s="2"/>
      <c r="V97" s="2"/>
      <c r="W97" s="2"/>
      <c r="X97" s="2"/>
      <c r="Y97" s="2"/>
      <c r="Z97" s="12">
        <f ca="1">IFERROR(__xludf.DUMMYFUNCTION("INDEX(IMPORTRANGE(""17pNv02DXDpQT9S3w4-QeNym2QJy2BzMBqDXp-XtzJBM"", ""'STC'!BH3:BH139""),MATCH($D97,IMPORTRANGE(""17pNv02DXDpQT9S3w4-QeNym2QJy2BzMBqDXp-XtzJBM"", ""'STC'!D3:D139""),0))"),0)</f>
        <v>0</v>
      </c>
      <c r="AA97" s="12">
        <f ca="1">IFERROR(__xludf.DUMMYFUNCTION("INDEX(IMPORTRANGE(""17pNv02DXDpQT9S3w4-QeNym2QJy2BzMBqDXp-XtzJBM"", ""'STC'!BI3:BI139""),MATCH($D97,IMPORTRANGE(""17pNv02DXDpQT9S3w4-QeNym2QJy2BzMBqDXp-XtzJBM"", ""'STC'!D3:D139""),0))"),0)</f>
        <v>0</v>
      </c>
      <c r="AB97" s="12">
        <f ca="1">IFERROR(__xludf.DUMMYFUNCTION("INDEX(IMPORTRANGE(""17pNv02DXDpQT9S3w4-QeNym2QJy2BzMBqDXp-XtzJBM"", ""'STC'!BJ3:BJ139""),MATCH($D97,IMPORTRANGE(""17pNv02DXDpQT9S3w4-QeNym2QJy2BzMBqDXp-XtzJBM"", ""'STC'!D3:D139""),0))"),0)</f>
        <v>0</v>
      </c>
      <c r="AC97" s="12">
        <f ca="1">IFERROR(__xludf.DUMMYFUNCTION("INDEX(IMPORTRANGE(""17pNv02DXDpQT9S3w4-QeNym2QJy2BzMBqDXp-XtzJBM"", ""'STC'!BK3:BK139""),MATCH($D97,IMPORTRANGE(""17pNv02DXDpQT9S3w4-QeNym2QJy2BzMBqDXp-XtzJBM"", ""'STC'!D3:D139""),0))"),0)</f>
        <v>0</v>
      </c>
      <c r="AD97" s="12">
        <f ca="1">IFERROR(__xludf.DUMMYFUNCTION("INDEX(IMPORTRANGE(""17pNv02DXDpQT9S3w4-QeNym2QJy2BzMBqDXp-XtzJBM"", ""'STC'!BL3:BL139""),MATCH($D97,IMPORTRANGE(""17pNv02DXDpQT9S3w4-QeNym2QJy2BzMBqDXp-XtzJBM"", ""'STC'!D3:D139""),0))"),0)</f>
        <v>0</v>
      </c>
      <c r="AE97" s="12">
        <f ca="1">IFERROR(__xludf.DUMMYFUNCTION("INDEX(IMPORTRANGE(""17pNv02DXDpQT9S3w4-QeNym2QJy2BzMBqDXp-XtzJBM"", ""'STC'!BM3:BM139""),MATCH($D97,IMPORTRANGE(""17pNv02DXDpQT9S3w4-QeNym2QJy2BzMBqDXp-XtzJBM"", ""'STC'!D3:D139""),0))"),0)</f>
        <v>0</v>
      </c>
    </row>
    <row r="98" spans="1:31">
      <c r="A98" s="7" t="s">
        <v>243</v>
      </c>
      <c r="B98" s="7" t="s">
        <v>260</v>
      </c>
      <c r="C98" s="1" t="s">
        <v>30</v>
      </c>
      <c r="D98" s="7" t="s">
        <v>269</v>
      </c>
      <c r="E98" s="9" t="s">
        <v>38</v>
      </c>
      <c r="F98" s="9" t="s">
        <v>270</v>
      </c>
      <c r="G98" s="11">
        <v>44469</v>
      </c>
      <c r="H98" s="182"/>
      <c r="I98" s="49">
        <v>44440</v>
      </c>
      <c r="J98" s="11">
        <v>44651</v>
      </c>
      <c r="K98" s="182"/>
      <c r="L98" s="11">
        <v>45016</v>
      </c>
      <c r="M98" s="182"/>
      <c r="N98" s="11">
        <v>45382</v>
      </c>
      <c r="O98" s="10" t="s">
        <v>361</v>
      </c>
      <c r="P98" s="11">
        <v>45565</v>
      </c>
      <c r="Q98" s="254"/>
      <c r="R98" s="254"/>
      <c r="S98" s="30" t="str">
        <f ca="1">IFERROR(__xludf.DUMMYFUNCTION("INDEX(IMPORTRANGE(""17pNv02DXDpQT9S3w4-QeNym2QJy2BzMBqDXp-XtzJBM"", ""'STC'!BG3:BG139""),MATCH($D98,IMPORTRANGE(""17pNv02DXDpQT9S3w4-QeNym2QJy2BzMBqDXp-XtzJBM"", ""'STC'!D3:D139""),0))"),"")</f>
        <v/>
      </c>
      <c r="T98" s="2"/>
      <c r="U98" s="2"/>
      <c r="V98" s="2"/>
      <c r="W98" s="2"/>
      <c r="X98" s="2"/>
      <c r="Y98" s="2"/>
      <c r="Z98" s="12">
        <f ca="1">IFERROR(__xludf.DUMMYFUNCTION("INDEX(IMPORTRANGE(""17pNv02DXDpQT9S3w4-QeNym2QJy2BzMBqDXp-XtzJBM"", ""'STC'!BH3:BH139""),MATCH($D98,IMPORTRANGE(""17pNv02DXDpQT9S3w4-QeNym2QJy2BzMBqDXp-XtzJBM"", ""'STC'!D3:D139""),0))"),13)</f>
        <v>13</v>
      </c>
      <c r="AA98" s="12">
        <f ca="1">IFERROR(__xludf.DUMMYFUNCTION("INDEX(IMPORTRANGE(""17pNv02DXDpQT9S3w4-QeNym2QJy2BzMBqDXp-XtzJBM"", ""'STC'!BI3:BI139""),MATCH($D98,IMPORTRANGE(""17pNv02DXDpQT9S3w4-QeNym2QJy2BzMBqDXp-XtzJBM"", ""'STC'!D3:D139""),0))"),14)</f>
        <v>14</v>
      </c>
      <c r="AB98" s="12">
        <f ca="1">IFERROR(__xludf.DUMMYFUNCTION("INDEX(IMPORTRANGE(""17pNv02DXDpQT9S3w4-QeNym2QJy2BzMBqDXp-XtzJBM"", ""'STC'!BJ3:BJ139""),MATCH($D98,IMPORTRANGE(""17pNv02DXDpQT9S3w4-QeNym2QJy2BzMBqDXp-XtzJBM"", ""'STC'!D3:D139""),0))"),14)</f>
        <v>14</v>
      </c>
      <c r="AC98" s="12" t="str">
        <f ca="1">IFERROR(__xludf.DUMMYFUNCTION("INDEX(IMPORTRANGE(""17pNv02DXDpQT9S3w4-QeNym2QJy2BzMBqDXp-XtzJBM"", ""'STC'!BK3:BK139""),MATCH($D98,IMPORTRANGE(""17pNv02DXDpQT9S3w4-QeNym2QJy2BzMBqDXp-XtzJBM"", ""'STC'!D3:D139""),0))"),"")</f>
        <v/>
      </c>
      <c r="AD98" s="12">
        <f ca="1">IFERROR(__xludf.DUMMYFUNCTION("INDEX(IMPORTRANGE(""17pNv02DXDpQT9S3w4-QeNym2QJy2BzMBqDXp-XtzJBM"", ""'STC'!BL3:BL139""),MATCH($D98,IMPORTRANGE(""17pNv02DXDpQT9S3w4-QeNym2QJy2BzMBqDXp-XtzJBM"", ""'STC'!D3:D139""),0))"),13)</f>
        <v>13</v>
      </c>
      <c r="AE98" s="12">
        <f ca="1">IFERROR(__xludf.DUMMYFUNCTION("INDEX(IMPORTRANGE(""17pNv02DXDpQT9S3w4-QeNym2QJy2BzMBqDXp-XtzJBM"", ""'STC'!BM3:BM139""),MATCH($D98,IMPORTRANGE(""17pNv02DXDpQT9S3w4-QeNym2QJy2BzMBqDXp-XtzJBM"", ""'STC'!D3:D139""),0))"),14)</f>
        <v>14</v>
      </c>
    </row>
    <row r="99" spans="1:31">
      <c r="A99" s="7" t="s">
        <v>243</v>
      </c>
      <c r="B99" s="7" t="s">
        <v>260</v>
      </c>
      <c r="C99" s="1" t="s">
        <v>30</v>
      </c>
      <c r="D99" s="7" t="s">
        <v>271</v>
      </c>
      <c r="E99" s="9" t="s">
        <v>38</v>
      </c>
      <c r="F99" s="9" t="s">
        <v>272</v>
      </c>
      <c r="G99" s="11">
        <v>44469</v>
      </c>
      <c r="H99" s="182"/>
      <c r="I99" s="49">
        <v>44440</v>
      </c>
      <c r="J99" s="11">
        <v>44651</v>
      </c>
      <c r="K99" s="182"/>
      <c r="L99" s="11">
        <v>45016</v>
      </c>
      <c r="M99" s="182"/>
      <c r="N99" s="11">
        <v>45382</v>
      </c>
      <c r="O99" s="10" t="s">
        <v>361</v>
      </c>
      <c r="P99" s="11">
        <v>45565</v>
      </c>
      <c r="Q99" s="254"/>
      <c r="R99" s="254"/>
      <c r="S99" s="30" t="str">
        <f ca="1">IFERROR(__xludf.DUMMYFUNCTION("INDEX(IMPORTRANGE(""17pNv02DXDpQT9S3w4-QeNym2QJy2BzMBqDXp-XtzJBM"", ""'STC'!BG3:BG139""),MATCH($D99,IMPORTRANGE(""17pNv02DXDpQT9S3w4-QeNym2QJy2BzMBqDXp-XtzJBM"", ""'STC'!D3:D139""),0))"),"")</f>
        <v/>
      </c>
      <c r="T99" s="2"/>
      <c r="U99" s="2"/>
      <c r="V99" s="2"/>
      <c r="W99" s="2"/>
      <c r="X99" s="2"/>
      <c r="Y99" s="2"/>
      <c r="Z99" s="12">
        <f ca="1">IFERROR(__xludf.DUMMYFUNCTION("INDEX(IMPORTRANGE(""17pNv02DXDpQT9S3w4-QeNym2QJy2BzMBqDXp-XtzJBM"", ""'STC'!BH3:BH139""),MATCH($D99,IMPORTRANGE(""17pNv02DXDpQT9S3w4-QeNym2QJy2BzMBqDXp-XtzJBM"", ""'STC'!D3:D139""),0))"),60)</f>
        <v>60</v>
      </c>
      <c r="AA99" s="12">
        <f ca="1">IFERROR(__xludf.DUMMYFUNCTION("INDEX(IMPORTRANGE(""17pNv02DXDpQT9S3w4-QeNym2QJy2BzMBqDXp-XtzJBM"", ""'STC'!BI3:BI139""),MATCH($D99,IMPORTRANGE(""17pNv02DXDpQT9S3w4-QeNym2QJy2BzMBqDXp-XtzJBM"", ""'STC'!D3:D139""),0))"),58)</f>
        <v>58</v>
      </c>
      <c r="AB99" s="12">
        <f ca="1">IFERROR(__xludf.DUMMYFUNCTION("INDEX(IMPORTRANGE(""17pNv02DXDpQT9S3w4-QeNym2QJy2BzMBqDXp-XtzJBM"", ""'STC'!BJ3:BJ139""),MATCH($D99,IMPORTRANGE(""17pNv02DXDpQT9S3w4-QeNym2QJy2BzMBqDXp-XtzJBM"", ""'STC'!D3:D139""),0))"),61)</f>
        <v>61</v>
      </c>
      <c r="AC99" s="12">
        <f ca="1">IFERROR(__xludf.DUMMYFUNCTION("INDEX(IMPORTRANGE(""17pNv02DXDpQT9S3w4-QeNym2QJy2BzMBqDXp-XtzJBM"", ""'STC'!BK3:BK139""),MATCH($D99,IMPORTRANGE(""17pNv02DXDpQT9S3w4-QeNym2QJy2BzMBqDXp-XtzJBM"", ""'STC'!D3:D139""),0))"),0)</f>
        <v>0</v>
      </c>
      <c r="AD99" s="12">
        <f ca="1">IFERROR(__xludf.DUMMYFUNCTION("INDEX(IMPORTRANGE(""17pNv02DXDpQT9S3w4-QeNym2QJy2BzMBqDXp-XtzJBM"", ""'STC'!BL3:BL139""),MATCH($D99,IMPORTRANGE(""17pNv02DXDpQT9S3w4-QeNym2QJy2BzMBqDXp-XtzJBM"", ""'STC'!D3:D139""),0))"),56)</f>
        <v>56</v>
      </c>
      <c r="AE99" s="12">
        <f ca="1">IFERROR(__xludf.DUMMYFUNCTION("INDEX(IMPORTRANGE(""17pNv02DXDpQT9S3w4-QeNym2QJy2BzMBqDXp-XtzJBM"", ""'STC'!BM3:BM139""),MATCH($D99,IMPORTRANGE(""17pNv02DXDpQT9S3w4-QeNym2QJy2BzMBqDXp-XtzJBM"", ""'STC'!D3:D139""),0))"),57)</f>
        <v>57</v>
      </c>
    </row>
    <row r="100" spans="1:31">
      <c r="A100" s="7" t="s">
        <v>243</v>
      </c>
      <c r="B100" s="7" t="s">
        <v>260</v>
      </c>
      <c r="C100" s="1" t="s">
        <v>36</v>
      </c>
      <c r="D100" s="7" t="s">
        <v>273</v>
      </c>
      <c r="E100" s="9" t="s">
        <v>38</v>
      </c>
      <c r="F100" s="9" t="s">
        <v>274</v>
      </c>
      <c r="G100" s="11">
        <v>44469</v>
      </c>
      <c r="H100" s="182"/>
      <c r="I100" s="49">
        <v>44440</v>
      </c>
      <c r="J100" s="11">
        <v>44651</v>
      </c>
      <c r="K100" s="182"/>
      <c r="L100" s="11">
        <v>45016</v>
      </c>
      <c r="M100" s="182"/>
      <c r="N100" s="11">
        <v>45382</v>
      </c>
      <c r="O100" s="10" t="s">
        <v>361</v>
      </c>
      <c r="P100" s="11">
        <v>45565</v>
      </c>
      <c r="Q100" s="254"/>
      <c r="R100" s="254"/>
      <c r="S100" s="30" t="str">
        <f ca="1">IFERROR(__xludf.DUMMYFUNCTION("INDEX(IMPORTRANGE(""17pNv02DXDpQT9S3w4-QeNym2QJy2BzMBqDXp-XtzJBM"", ""'STC'!BG3:BG139""),MATCH($D100,IMPORTRANGE(""17pNv02DXDpQT9S3w4-QeNym2QJy2BzMBqDXp-XtzJBM"", ""'STC'!D3:D139""),0))"),"")</f>
        <v/>
      </c>
      <c r="T100" s="2"/>
      <c r="U100" s="14">
        <v>0.5</v>
      </c>
      <c r="V100" s="2"/>
      <c r="W100" s="14">
        <v>0.5</v>
      </c>
      <c r="X100" s="14">
        <v>0.5</v>
      </c>
      <c r="Y100" s="14">
        <v>0.5</v>
      </c>
      <c r="Z100" s="15">
        <f ca="1">IFERROR(__xludf.DUMMYFUNCTION("INDEX(IMPORTRANGE(""17pNv02DXDpQT9S3w4-QeNym2QJy2BzMBqDXp-XtzJBM"", ""'STC'!BH3:BH139""),MATCH($D100,IMPORTRANGE(""17pNv02DXDpQT9S3w4-QeNym2QJy2BzMBqDXp-XtzJBM"", ""'STC'!D3:D139""),0))"),0.202702702702702)</f>
        <v>0.20270270270270199</v>
      </c>
      <c r="AA100" s="15">
        <f ca="1">IFERROR(__xludf.DUMMYFUNCTION("INDEX(IMPORTRANGE(""17pNv02DXDpQT9S3w4-QeNym2QJy2BzMBqDXp-XtzJBM"", ""'STC'!BI3:BI139""),MATCH($D100,IMPORTRANGE(""17pNv02DXDpQT9S3w4-QeNym2QJy2BzMBqDXp-XtzJBM"", ""'STC'!D3:D139""),0))"),0.211267605633802)</f>
        <v>0.21126760563380201</v>
      </c>
      <c r="AB100" s="15">
        <f ca="1">IFERROR(__xludf.DUMMYFUNCTION("INDEX(IMPORTRANGE(""17pNv02DXDpQT9S3w4-QeNym2QJy2BzMBqDXp-XtzJBM"", ""'STC'!BJ3:BJ139""),MATCH($D100,IMPORTRANGE(""17pNv02DXDpQT9S3w4-QeNym2QJy2BzMBqDXp-XtzJBM"", ""'STC'!D3:D139""),0))"),0.205479452054794)</f>
        <v>0.20547945205479401</v>
      </c>
      <c r="AC100" s="15" t="str">
        <f ca="1">IFERROR(__xludf.DUMMYFUNCTION("INDEX(IMPORTRANGE(""17pNv02DXDpQT9S3w4-QeNym2QJy2BzMBqDXp-XtzJBM"", ""'STC'!BK3:BK139""),MATCH($D100,IMPORTRANGE(""17pNv02DXDpQT9S3w4-QeNym2QJy2BzMBqDXp-XtzJBM"", ""'STC'!D3:D139""),0))"),"")</f>
        <v/>
      </c>
      <c r="AD100" s="15">
        <f ca="1">IFERROR(__xludf.DUMMYFUNCTION("INDEX(IMPORTRANGE(""17pNv02DXDpQT9S3w4-QeNym2QJy2BzMBqDXp-XtzJBM"", ""'STC'!BL3:BL139""),MATCH($D100,IMPORTRANGE(""17pNv02DXDpQT9S3w4-QeNym2QJy2BzMBqDXp-XtzJBM"", ""'STC'!D3:D139""),0))"),0.208955223880597)</f>
        <v>0.20895522388059701</v>
      </c>
      <c r="AE100" s="15">
        <f ca="1">IFERROR(__xludf.DUMMYFUNCTION("INDEX(IMPORTRANGE(""17pNv02DXDpQT9S3w4-QeNym2QJy2BzMBqDXp-XtzJBM"", ""'STC'!BM3:BM139""),MATCH($D100,IMPORTRANGE(""17pNv02DXDpQT9S3w4-QeNym2QJy2BzMBqDXp-XtzJBM"", ""'STC'!D3:D139""),0))"),0.208955223880597)</f>
        <v>0.20895522388059701</v>
      </c>
    </row>
    <row r="101" spans="1:31">
      <c r="A101" s="7" t="s">
        <v>275</v>
      </c>
      <c r="B101" s="7" t="s">
        <v>276</v>
      </c>
      <c r="C101" s="1" t="s">
        <v>30</v>
      </c>
      <c r="D101" s="7" t="s">
        <v>277</v>
      </c>
      <c r="E101" s="9" t="s">
        <v>278</v>
      </c>
      <c r="F101" s="9" t="s">
        <v>279</v>
      </c>
      <c r="G101" s="11" t="s">
        <v>213</v>
      </c>
      <c r="H101" s="2" t="s">
        <v>214</v>
      </c>
      <c r="I101" s="2" t="s">
        <v>368</v>
      </c>
      <c r="J101" s="9" t="s">
        <v>215</v>
      </c>
      <c r="K101" s="182"/>
      <c r="L101" s="9" t="s">
        <v>216</v>
      </c>
      <c r="M101" s="182"/>
      <c r="N101" s="9" t="s">
        <v>217</v>
      </c>
      <c r="O101" s="22" t="s">
        <v>369</v>
      </c>
      <c r="P101" s="2" t="s">
        <v>218</v>
      </c>
      <c r="Q101" s="36">
        <v>412666403</v>
      </c>
      <c r="R101" s="36">
        <v>412666403</v>
      </c>
      <c r="S101" s="36">
        <f ca="1">IFERROR(__xludf.DUMMYFUNCTION("INDEX(IMPORTRANGE(""17pNv02DXDpQT9S3w4-QeNym2QJy2BzMBqDXp-XtzJBM"", ""'STC'!BG3:BG139""),MATCH($D101,IMPORTRANGE(""17pNv02DXDpQT9S3w4-QeNym2QJy2BzMBqDXp-XtzJBM"", ""'STC'!D3:D139""),0))"),227212432)</f>
        <v>227212432</v>
      </c>
      <c r="T101" s="2"/>
      <c r="U101" s="2"/>
      <c r="V101" s="2"/>
      <c r="W101" s="2"/>
      <c r="X101" s="2"/>
      <c r="Y101" s="2"/>
      <c r="Z101" s="36">
        <f ca="1">IFERROR(__xludf.DUMMYFUNCTION("INDEX(IMPORTRANGE(""17pNv02DXDpQT9S3w4-QeNym2QJy2BzMBqDXp-XtzJBM"", ""'STC'!BH3:BH139""),MATCH($D101,IMPORTRANGE(""17pNv02DXDpQT9S3w4-QeNym2QJy2BzMBqDXp-XtzJBM"", ""'STC'!D3:D139""),0))"),412666403)</f>
        <v>412666403</v>
      </c>
      <c r="AA101" s="479" t="str">
        <f ca="1">IFERROR(__xludf.DUMMYFUNCTION("INDEX(IMPORTRANGE(""17pNv02DXDpQT9S3w4-QeNym2QJy2BzMBqDXp-XtzJBM"", ""'STC'!BI3:BI139""),MATCH($D101,IMPORTRANGE(""17pNv02DXDpQT9S3w4-QeNym2QJy2BzMBqDXp-XtzJBM"", ""'STC'!D3:D139""),0))"),"")</f>
        <v/>
      </c>
      <c r="AB101" s="36">
        <f ca="1">IFERROR(__xludf.DUMMYFUNCTION("INDEX(IMPORTRANGE(""17pNv02DXDpQT9S3w4-QeNym2QJy2BzMBqDXp-XtzJBM"", ""'STC'!BJ3:BJ139""),MATCH($D101,IMPORTRANGE(""17pNv02DXDpQT9S3w4-QeNym2QJy2BzMBqDXp-XtzJBM"", ""'STC'!D3:D139""),0))"),521932721)</f>
        <v>521932721</v>
      </c>
      <c r="AC101" s="479" t="str">
        <f ca="1">IFERROR(__xludf.DUMMYFUNCTION("INDEX(IMPORTRANGE(""17pNv02DXDpQT9S3w4-QeNym2QJy2BzMBqDXp-XtzJBM"", ""'STC'!BK3:BK139""),MATCH($D101,IMPORTRANGE(""17pNv02DXDpQT9S3w4-QeNym2QJy2BzMBqDXp-XtzJBM"", ""'STC'!D3:D139""),0))"),"")</f>
        <v/>
      </c>
      <c r="AD101" s="36">
        <f ca="1">IFERROR(__xludf.DUMMYFUNCTION("INDEX(IMPORTRANGE(""17pNv02DXDpQT9S3w4-QeNym2QJy2BzMBqDXp-XtzJBM"", ""'STC'!BL3:BL139""),MATCH($D101,IMPORTRANGE(""17pNv02DXDpQT9S3w4-QeNym2QJy2BzMBqDXp-XtzJBM"", ""'STC'!D3:D139""),0))"),803544397)</f>
        <v>803544397</v>
      </c>
      <c r="AE101" s="36">
        <f ca="1">IFERROR(__xludf.DUMMYFUNCTION("INDEX(IMPORTRANGE(""17pNv02DXDpQT9S3w4-QeNym2QJy2BzMBqDXp-XtzJBM"", ""'STC'!BM3:BM139""),MATCH($D101,IMPORTRANGE(""17pNv02DXDpQT9S3w4-QeNym2QJy2BzMBqDXp-XtzJBM"", ""'STC'!D3:D139""),0))"),392665809)</f>
        <v>392665809</v>
      </c>
    </row>
    <row r="102" spans="1:31">
      <c r="A102" s="7" t="s">
        <v>275</v>
      </c>
      <c r="B102" s="7" t="s">
        <v>276</v>
      </c>
      <c r="C102" s="1" t="s">
        <v>30</v>
      </c>
      <c r="D102" s="7" t="s">
        <v>280</v>
      </c>
      <c r="E102" s="9" t="s">
        <v>278</v>
      </c>
      <c r="F102" s="9" t="s">
        <v>281</v>
      </c>
      <c r="G102" s="9" t="s">
        <v>213</v>
      </c>
      <c r="H102" s="2" t="s">
        <v>214</v>
      </c>
      <c r="I102" s="2" t="s">
        <v>368</v>
      </c>
      <c r="J102" s="9" t="s">
        <v>215</v>
      </c>
      <c r="K102" s="182"/>
      <c r="L102" s="9" t="s">
        <v>216</v>
      </c>
      <c r="M102" s="182"/>
      <c r="N102" s="9" t="s">
        <v>217</v>
      </c>
      <c r="O102" s="22" t="s">
        <v>369</v>
      </c>
      <c r="P102" s="2" t="s">
        <v>218</v>
      </c>
      <c r="Q102" s="36">
        <v>1342608130</v>
      </c>
      <c r="R102" s="36">
        <v>1342608130</v>
      </c>
      <c r="S102" s="36">
        <f ca="1">IFERROR(__xludf.DUMMYFUNCTION("INDEX(IMPORTRANGE(""17pNv02DXDpQT9S3w4-QeNym2QJy2BzMBqDXp-XtzJBM"", ""'STC'!BG3:BG139""),MATCH($D102,IMPORTRANGE(""17pNv02DXDpQT9S3w4-QeNym2QJy2BzMBqDXp-XtzJBM"", ""'STC'!D3:D139""),0))"),712741225)</f>
        <v>712741225</v>
      </c>
      <c r="T102" s="2"/>
      <c r="U102" s="2"/>
      <c r="V102" s="2"/>
      <c r="W102" s="2"/>
      <c r="X102" s="2"/>
      <c r="Y102" s="2"/>
      <c r="Z102" s="36">
        <f ca="1">IFERROR(__xludf.DUMMYFUNCTION("INDEX(IMPORTRANGE(""17pNv02DXDpQT9S3w4-QeNym2QJy2BzMBqDXp-XtzJBM"", ""'STC'!BH3:BH139""),MATCH($D102,IMPORTRANGE(""17pNv02DXDpQT9S3w4-QeNym2QJy2BzMBqDXp-XtzJBM"", ""'STC'!D3:D139""),0))"),1342608130)</f>
        <v>1342608130</v>
      </c>
      <c r="AA102" s="479" t="str">
        <f ca="1">IFERROR(__xludf.DUMMYFUNCTION("INDEX(IMPORTRANGE(""17pNv02DXDpQT9S3w4-QeNym2QJy2BzMBqDXp-XtzJBM"", ""'STC'!BI3:BI139""),MATCH($D102,IMPORTRANGE(""17pNv02DXDpQT9S3w4-QeNym2QJy2BzMBqDXp-XtzJBM"", ""'STC'!D3:D139""),0))"),"")</f>
        <v/>
      </c>
      <c r="AB102" s="36">
        <f ca="1">IFERROR(__xludf.DUMMYFUNCTION("INDEX(IMPORTRANGE(""17pNv02DXDpQT9S3w4-QeNym2QJy2BzMBqDXp-XtzJBM"", ""'STC'!BJ3:BJ139""),MATCH($D102,IMPORTRANGE(""17pNv02DXDpQT9S3w4-QeNym2QJy2BzMBqDXp-XtzJBM"", ""'STC'!D3:D139""),0))"),1724136981)</f>
        <v>1724136981</v>
      </c>
      <c r="AC102" s="479" t="str">
        <f ca="1">IFERROR(__xludf.DUMMYFUNCTION("INDEX(IMPORTRANGE(""17pNv02DXDpQT9S3w4-QeNym2QJy2BzMBqDXp-XtzJBM"", ""'STC'!BK3:BK139""),MATCH($D102,IMPORTRANGE(""17pNv02DXDpQT9S3w4-QeNym2QJy2BzMBqDXp-XtzJBM"", ""'STC'!D3:D139""),0))"),"")</f>
        <v/>
      </c>
      <c r="AD102" s="36">
        <f ca="1">IFERROR(__xludf.DUMMYFUNCTION("INDEX(IMPORTRANGE(""17pNv02DXDpQT9S3w4-QeNym2QJy2BzMBqDXp-XtzJBM"", ""'STC'!BL3:BL139""),MATCH($D102,IMPORTRANGE(""17pNv02DXDpQT9S3w4-QeNym2QJy2BzMBqDXp-XtzJBM"", ""'STC'!D3:D139""),0))"),2532369048)</f>
        <v>2532369048</v>
      </c>
      <c r="AE102" s="36">
        <f ca="1">IFERROR(__xludf.DUMMYFUNCTION("INDEX(IMPORTRANGE(""17pNv02DXDpQT9S3w4-QeNym2QJy2BzMBqDXp-XtzJBM"", ""'STC'!BM3:BM139""),MATCH($D102,IMPORTRANGE(""17pNv02DXDpQT9S3w4-QeNym2QJy2BzMBqDXp-XtzJBM"", ""'STC'!D3:D139""),0))"),1341027218)</f>
        <v>1341027218</v>
      </c>
    </row>
    <row r="103" spans="1:31">
      <c r="A103" s="7" t="s">
        <v>275</v>
      </c>
      <c r="B103" s="7" t="s">
        <v>276</v>
      </c>
      <c r="C103" s="1" t="s">
        <v>36</v>
      </c>
      <c r="D103" s="7" t="s">
        <v>282</v>
      </c>
      <c r="E103" s="9" t="s">
        <v>278</v>
      </c>
      <c r="F103" s="9" t="s">
        <v>283</v>
      </c>
      <c r="G103" s="9" t="s">
        <v>213</v>
      </c>
      <c r="H103" s="2" t="s">
        <v>214</v>
      </c>
      <c r="I103" s="2" t="s">
        <v>368</v>
      </c>
      <c r="J103" s="9" t="s">
        <v>215</v>
      </c>
      <c r="K103" s="182"/>
      <c r="L103" s="9" t="s">
        <v>216</v>
      </c>
      <c r="M103" s="182"/>
      <c r="N103" s="9" t="s">
        <v>217</v>
      </c>
      <c r="O103" s="22" t="s">
        <v>369</v>
      </c>
      <c r="P103" s="2" t="s">
        <v>218</v>
      </c>
      <c r="Q103" s="15">
        <f t="shared" ref="Q103:R103" si="19">Q101/Q102</f>
        <v>0.30736176385286745</v>
      </c>
      <c r="R103" s="15">
        <f t="shared" si="19"/>
        <v>0.30736176385286745</v>
      </c>
      <c r="S103" s="15">
        <f ca="1">IFERROR(__xludf.DUMMYFUNCTION("INDEX(IMPORTRANGE(""17pNv02DXDpQT9S3w4-QeNym2QJy2BzMBqDXp-XtzJBM"", ""'STC'!BG3:BG139""),MATCH($D103,IMPORTRANGE(""17pNv02DXDpQT9S3w4-QeNym2QJy2BzMBqDXp-XtzJBM"", ""'STC'!D3:D139""),0))"),0.318786712526695)</f>
        <v>0.31878671252669499</v>
      </c>
      <c r="T103" s="2"/>
      <c r="U103" s="26">
        <v>0.315</v>
      </c>
      <c r="V103" s="2"/>
      <c r="W103" s="15">
        <v>0.32200000000000001</v>
      </c>
      <c r="X103" s="15">
        <f>(Y103-W103)/6*5+W103</f>
        <v>0.32866666666666666</v>
      </c>
      <c r="Y103" s="15">
        <v>0.33</v>
      </c>
      <c r="Z103" s="15">
        <f ca="1">IFERROR(__xludf.DUMMYFUNCTION("INDEX(IMPORTRANGE(""17pNv02DXDpQT9S3w4-QeNym2QJy2BzMBqDXp-XtzJBM"", ""'STC'!BH3:BH139""),MATCH($D103,IMPORTRANGE(""17pNv02DXDpQT9S3w4-QeNym2QJy2BzMBqDXp-XtzJBM"", ""'STC'!D3:D139""),0))"),0.307361763852867)</f>
        <v>0.30736176385286701</v>
      </c>
      <c r="AA103" s="479" t="str">
        <f ca="1">IFERROR(__xludf.DUMMYFUNCTION("INDEX(IMPORTRANGE(""17pNv02DXDpQT9S3w4-QeNym2QJy2BzMBqDXp-XtzJBM"", ""'STC'!BI3:BI139""),MATCH($D103,IMPORTRANGE(""17pNv02DXDpQT9S3w4-QeNym2QJy2BzMBqDXp-XtzJBM"", ""'STC'!D3:D139""),0))"),"")</f>
        <v/>
      </c>
      <c r="AB103" s="15">
        <f ca="1">IFERROR(__xludf.DUMMYFUNCTION("INDEX(IMPORTRANGE(""17pNv02DXDpQT9S3w4-QeNym2QJy2BzMBqDXp-XtzJBM"", ""'STC'!BJ3:BJ139""),MATCH($D103,IMPORTRANGE(""17pNv02DXDpQT9S3w4-QeNym2QJy2BzMBqDXp-XtzJBM"", ""'STC'!D3:D139""),0))"),0.302721144985405)</f>
        <v>0.30272114498540498</v>
      </c>
      <c r="AC103" s="479" t="str">
        <f ca="1">IFERROR(__xludf.DUMMYFUNCTION("INDEX(IMPORTRANGE(""17pNv02DXDpQT9S3w4-QeNym2QJy2BzMBqDXp-XtzJBM"", ""'STC'!BK3:BK139""),MATCH($D103,IMPORTRANGE(""17pNv02DXDpQT9S3w4-QeNym2QJy2BzMBqDXp-XtzJBM"", ""'STC'!D3:D139""),0))"),"")</f>
        <v/>
      </c>
      <c r="AD103" s="15">
        <f ca="1">IFERROR(__xludf.DUMMYFUNCTION("INDEX(IMPORTRANGE(""17pNv02DXDpQT9S3w4-QeNym2QJy2BzMBqDXp-XtzJBM"", ""'STC'!BL3:BL139""),MATCH($D103,IMPORTRANGE(""17pNv02DXDpQT9S3w4-QeNym2QJy2BzMBqDXp-XtzJBM"", ""'STC'!D3:D139""),0))"),0.317309358063201)</f>
        <v>0.31730935806320099</v>
      </c>
      <c r="AE103" s="15">
        <f ca="1">IFERROR(__xludf.DUMMYFUNCTION("INDEX(IMPORTRANGE(""17pNv02DXDpQT9S3w4-QeNym2QJy2BzMBqDXp-XtzJBM"", ""'STC'!BM3:BM139""),MATCH($D103,IMPORTRANGE(""17pNv02DXDpQT9S3w4-QeNym2QJy2BzMBqDXp-XtzJBM"", ""'STC'!D3:D139""),0))"),0.29280972356819)</f>
        <v>0.29280972356819002</v>
      </c>
    </row>
    <row r="104" spans="1:31">
      <c r="A104" s="7" t="s">
        <v>275</v>
      </c>
      <c r="B104" s="7" t="s">
        <v>284</v>
      </c>
      <c r="C104" s="1" t="s">
        <v>30</v>
      </c>
      <c r="D104" s="7" t="s">
        <v>285</v>
      </c>
      <c r="E104" s="9" t="s">
        <v>278</v>
      </c>
      <c r="F104" s="9" t="s">
        <v>286</v>
      </c>
      <c r="G104" s="9" t="s">
        <v>213</v>
      </c>
      <c r="H104" s="2" t="s">
        <v>214</v>
      </c>
      <c r="I104" s="2" t="s">
        <v>368</v>
      </c>
      <c r="J104" s="9" t="s">
        <v>215</v>
      </c>
      <c r="K104" s="182"/>
      <c r="L104" s="9" t="s">
        <v>216</v>
      </c>
      <c r="M104" s="182"/>
      <c r="N104" s="9" t="s">
        <v>217</v>
      </c>
      <c r="O104" s="22" t="s">
        <v>369</v>
      </c>
      <c r="P104" s="2" t="s">
        <v>218</v>
      </c>
      <c r="Q104" s="36">
        <v>968130919</v>
      </c>
      <c r="R104" s="36">
        <v>968130919</v>
      </c>
      <c r="S104" s="36">
        <f ca="1">IFERROR(__xludf.DUMMYFUNCTION("INDEX(IMPORTRANGE(""17pNv02DXDpQT9S3w4-QeNym2QJy2BzMBqDXp-XtzJBM"", ""'STC'!BG3:BG139""),MATCH($D104,IMPORTRANGE(""17pNv02DXDpQT9S3w4-QeNym2QJy2BzMBqDXp-XtzJBM"", ""'STC'!D3:D139""),0))"),482593086)</f>
        <v>482593086</v>
      </c>
      <c r="T104" s="2"/>
      <c r="U104" s="2"/>
      <c r="V104" s="2"/>
      <c r="W104" s="2"/>
      <c r="X104" s="250"/>
      <c r="Y104" s="2"/>
      <c r="Z104" s="36">
        <f ca="1">IFERROR(__xludf.DUMMYFUNCTION("INDEX(IMPORTRANGE(""17pNv02DXDpQT9S3w4-QeNym2QJy2BzMBqDXp-XtzJBM"", ""'STC'!BH3:BH139""),MATCH($D104,IMPORTRANGE(""17pNv02DXDpQT9S3w4-QeNym2QJy2BzMBqDXp-XtzJBM"", ""'STC'!D3:D139""),0))"),968130919)</f>
        <v>968130919</v>
      </c>
      <c r="AA104" s="479" t="str">
        <f ca="1">IFERROR(__xludf.DUMMYFUNCTION("INDEX(IMPORTRANGE(""17pNv02DXDpQT9S3w4-QeNym2QJy2BzMBqDXp-XtzJBM"", ""'STC'!BI3:BI139""),MATCH($D104,IMPORTRANGE(""17pNv02DXDpQT9S3w4-QeNym2QJy2BzMBqDXp-XtzJBM"", ""'STC'!D3:D139""),0))"),"")</f>
        <v/>
      </c>
      <c r="AB104" s="36">
        <f ca="1">IFERROR(__xludf.DUMMYFUNCTION("INDEX(IMPORTRANGE(""17pNv02DXDpQT9S3w4-QeNym2QJy2BzMBqDXp-XtzJBM"", ""'STC'!BJ3:BJ139""),MATCH($D104,IMPORTRANGE(""17pNv02DXDpQT9S3w4-QeNym2QJy2BzMBqDXp-XtzJBM"", ""'STC'!D3:D139""),0))"),1257622635)</f>
        <v>1257622635</v>
      </c>
      <c r="AC104" s="479" t="str">
        <f ca="1">IFERROR(__xludf.DUMMYFUNCTION("INDEX(IMPORTRANGE(""17pNv02DXDpQT9S3w4-QeNym2QJy2BzMBqDXp-XtzJBM"", ""'STC'!BK3:BK139""),MATCH($D104,IMPORTRANGE(""17pNv02DXDpQT9S3w4-QeNym2QJy2BzMBqDXp-XtzJBM"", ""'STC'!D3:D139""),0))"),"")</f>
        <v/>
      </c>
      <c r="AD104" s="36">
        <f ca="1">IFERROR(__xludf.DUMMYFUNCTION("INDEX(IMPORTRANGE(""17pNv02DXDpQT9S3w4-QeNym2QJy2BzMBqDXp-XtzJBM"", ""'STC'!BL3:BL139""),MATCH($D104,IMPORTRANGE(""17pNv02DXDpQT9S3w4-QeNym2QJy2BzMBqDXp-XtzJBM"", ""'STC'!D3:D139""),0))"),2105208118)</f>
        <v>2105208118</v>
      </c>
      <c r="AE104" s="36">
        <f ca="1">IFERROR(__xludf.DUMMYFUNCTION("INDEX(IMPORTRANGE(""17pNv02DXDpQT9S3w4-QeNym2QJy2BzMBqDXp-XtzJBM"", ""'STC'!BM3:BM139""),MATCH($D104,IMPORTRANGE(""17pNv02DXDpQT9S3w4-QeNym2QJy2BzMBqDXp-XtzJBM"", ""'STC'!D3:D139""),0))"),979816699)</f>
        <v>979816699</v>
      </c>
    </row>
    <row r="105" spans="1:31">
      <c r="A105" s="7" t="s">
        <v>275</v>
      </c>
      <c r="B105" s="7" t="s">
        <v>276</v>
      </c>
      <c r="C105" s="1" t="s">
        <v>36</v>
      </c>
      <c r="D105" s="7" t="s">
        <v>287</v>
      </c>
      <c r="E105" s="9" t="s">
        <v>278</v>
      </c>
      <c r="F105" s="9" t="s">
        <v>288</v>
      </c>
      <c r="G105" s="9" t="s">
        <v>213</v>
      </c>
      <c r="H105" s="2" t="s">
        <v>214</v>
      </c>
      <c r="I105" s="2" t="s">
        <v>368</v>
      </c>
      <c r="J105" s="9" t="s">
        <v>215</v>
      </c>
      <c r="K105" s="182"/>
      <c r="L105" s="9" t="s">
        <v>216</v>
      </c>
      <c r="M105" s="182"/>
      <c r="N105" s="9" t="s">
        <v>217</v>
      </c>
      <c r="O105" s="22" t="s">
        <v>369</v>
      </c>
      <c r="P105" s="2" t="s">
        <v>218</v>
      </c>
      <c r="Q105" s="15">
        <f t="shared" ref="Q105:R105" si="20">Q101/Q104</f>
        <v>0.42625061848685775</v>
      </c>
      <c r="R105" s="15">
        <f t="shared" si="20"/>
        <v>0.42625061848685775</v>
      </c>
      <c r="S105" s="15">
        <f ca="1">IFERROR(__xludf.DUMMYFUNCTION("INDEX(IMPORTRANGE(""17pNv02DXDpQT9S3w4-QeNym2QJy2BzMBqDXp-XtzJBM"", ""'STC'!BG3:BG139""),MATCH($D105,IMPORTRANGE(""17pNv02DXDpQT9S3w4-QeNym2QJy2BzMBqDXp-XtzJBM"", ""'STC'!D3:D139""),0))"),0.426250618486857)</f>
        <v>0.42625061848685702</v>
      </c>
      <c r="T105" s="2"/>
      <c r="U105" s="26">
        <v>0.434</v>
      </c>
      <c r="V105" s="2"/>
      <c r="W105" s="15">
        <v>0.442</v>
      </c>
      <c r="X105" s="15">
        <f>(Y105-W105)/6*5+W105</f>
        <v>0.44866666666666666</v>
      </c>
      <c r="Y105" s="15">
        <v>0.45</v>
      </c>
      <c r="Z105" s="15">
        <f ca="1">IFERROR(__xludf.DUMMYFUNCTION("INDEX(IMPORTRANGE(""17pNv02DXDpQT9S3w4-QeNym2QJy2BzMBqDXp-XtzJBM"", ""'STC'!BH3:BH139""),MATCH($D105,IMPORTRANGE(""17pNv02DXDpQT9S3w4-QeNym2QJy2BzMBqDXp-XtzJBM"", ""'STC'!D3:D139""),0))"),0.426250618486857)</f>
        <v>0.42625061848685702</v>
      </c>
      <c r="AA105" s="479" t="str">
        <f ca="1">IFERROR(__xludf.DUMMYFUNCTION("INDEX(IMPORTRANGE(""17pNv02DXDpQT9S3w4-QeNym2QJy2BzMBqDXp-XtzJBM"", ""'STC'!BI3:BI139""),MATCH($D105,IMPORTRANGE(""17pNv02DXDpQT9S3w4-QeNym2QJy2BzMBqDXp-XtzJBM"", ""'STC'!D3:D139""),0))"),"")</f>
        <v/>
      </c>
      <c r="AB105" s="15">
        <f ca="1">IFERROR(__xludf.DUMMYFUNCTION("INDEX(IMPORTRANGE(""17pNv02DXDpQT9S3w4-QeNym2QJy2BzMBqDXp-XtzJBM"", ""'STC'!BJ3:BJ139""),MATCH($D105,IMPORTRANGE(""17pNv02DXDpQT9S3w4-QeNym2QJy2BzMBqDXp-XtzJBM"", ""'STC'!D3:D139""),0))"),0.415015368262674)</f>
        <v>0.41501536826267399</v>
      </c>
      <c r="AC105" s="479" t="str">
        <f ca="1">IFERROR(__xludf.DUMMYFUNCTION("INDEX(IMPORTRANGE(""17pNv02DXDpQT9S3w4-QeNym2QJy2BzMBqDXp-XtzJBM"", ""'STC'!BK3:BK139""),MATCH($D105,IMPORTRANGE(""17pNv02DXDpQT9S3w4-QeNym2QJy2BzMBqDXp-XtzJBM"", ""'STC'!D3:D139""),0))"),"")</f>
        <v/>
      </c>
      <c r="AD105" s="15">
        <f ca="1">IFERROR(__xludf.DUMMYFUNCTION("INDEX(IMPORTRANGE(""17pNv02DXDpQT9S3w4-QeNym2QJy2BzMBqDXp-XtzJBM"", ""'STC'!BL3:BL139""),MATCH($D105,IMPORTRANGE(""17pNv02DXDpQT9S3w4-QeNym2QJy2BzMBqDXp-XtzJBM"", ""'STC'!D3:D139""),0))"),0.381693567552545)</f>
        <v>0.38169356755254502</v>
      </c>
      <c r="AE105" s="15">
        <f ca="1">IFERROR(__xludf.DUMMYFUNCTION("INDEX(IMPORTRANGE(""17pNv02DXDpQT9S3w4-QeNym2QJy2BzMBqDXp-XtzJBM"", ""'STC'!BM3:BM139""),MATCH($D105,IMPORTRANGE(""17pNv02DXDpQT9S3w4-QeNym2QJy2BzMBqDXp-XtzJBM"", ""'STC'!D3:D139""),0))"),0.400754354769371)</f>
        <v>0.40075435476937099</v>
      </c>
    </row>
    <row r="106" spans="1:31">
      <c r="A106" s="7" t="s">
        <v>275</v>
      </c>
      <c r="B106" s="7" t="s">
        <v>276</v>
      </c>
      <c r="C106" s="1" t="s">
        <v>30</v>
      </c>
      <c r="D106" s="7" t="s">
        <v>289</v>
      </c>
      <c r="E106" s="9" t="s">
        <v>38</v>
      </c>
      <c r="F106" s="9" t="s">
        <v>112</v>
      </c>
      <c r="G106" s="9" t="s">
        <v>254</v>
      </c>
      <c r="H106" s="9" t="s">
        <v>254</v>
      </c>
      <c r="I106" s="2" t="s">
        <v>370</v>
      </c>
      <c r="J106" s="9" t="s">
        <v>254</v>
      </c>
      <c r="K106" s="182"/>
      <c r="L106" s="9" t="s">
        <v>255</v>
      </c>
      <c r="M106" s="182"/>
      <c r="N106" s="9" t="s">
        <v>256</v>
      </c>
      <c r="O106" s="22" t="s">
        <v>361</v>
      </c>
      <c r="P106" s="2" t="s">
        <v>218</v>
      </c>
      <c r="Q106" s="12">
        <v>106593</v>
      </c>
      <c r="R106" s="12">
        <v>106593</v>
      </c>
      <c r="S106" s="12">
        <f ca="1">IFERROR(__xludf.DUMMYFUNCTION("INDEX(IMPORTRANGE(""17pNv02DXDpQT9S3w4-QeNym2QJy2BzMBqDXp-XtzJBM"", ""'STC'!BG3:BG139""),MATCH($D106,IMPORTRANGE(""17pNv02DXDpQT9S3w4-QeNym2QJy2BzMBqDXp-XtzJBM"", ""'STC'!D3:D139""),0))"),105325)</f>
        <v>105325</v>
      </c>
      <c r="T106" s="2"/>
      <c r="U106" s="2"/>
      <c r="V106" s="2"/>
      <c r="W106" s="2"/>
      <c r="X106" s="250"/>
      <c r="Y106" s="2"/>
      <c r="Z106" s="12">
        <f ca="1">IFERROR(__xludf.DUMMYFUNCTION("INDEX(IMPORTRANGE(""17pNv02DXDpQT9S3w4-QeNym2QJy2BzMBqDXp-XtzJBM"", ""'STC'!BH3:BH139""),MATCH($D106,IMPORTRANGE(""17pNv02DXDpQT9S3w4-QeNym2QJy2BzMBqDXp-XtzJBM"", ""'STC'!D3:D139""),0))"),106593)</f>
        <v>106593</v>
      </c>
      <c r="AA106" s="479" t="str">
        <f ca="1">IFERROR(__xludf.DUMMYFUNCTION("INDEX(IMPORTRANGE(""17pNv02DXDpQT9S3w4-QeNym2QJy2BzMBqDXp-XtzJBM"", ""'STC'!BI3:BI139""),MATCH($D106,IMPORTRANGE(""17pNv02DXDpQT9S3w4-QeNym2QJy2BzMBqDXp-XtzJBM"", ""'STC'!D3:D139""),0))"),"")</f>
        <v/>
      </c>
      <c r="AB106" s="12">
        <f ca="1">IFERROR(__xludf.DUMMYFUNCTION("INDEX(IMPORTRANGE(""17pNv02DXDpQT9S3w4-QeNym2QJy2BzMBqDXp-XtzJBM"", ""'STC'!BJ3:BJ139""),MATCH($D106,IMPORTRANGE(""17pNv02DXDpQT9S3w4-QeNym2QJy2BzMBqDXp-XtzJBM"", ""'STC'!D3:D139""),0))"),104194)</f>
        <v>104194</v>
      </c>
      <c r="AC106" s="479" t="str">
        <f ca="1">IFERROR(__xludf.DUMMYFUNCTION("INDEX(IMPORTRANGE(""17pNv02DXDpQT9S3w4-QeNym2QJy2BzMBqDXp-XtzJBM"", ""'STC'!BK3:BK139""),MATCH($D106,IMPORTRANGE(""17pNv02DXDpQT9S3w4-QeNym2QJy2BzMBqDXp-XtzJBM"", ""'STC'!D3:D139""),0))"),"")</f>
        <v/>
      </c>
      <c r="AD106" s="12">
        <f ca="1">IFERROR(__xludf.DUMMYFUNCTION("INDEX(IMPORTRANGE(""17pNv02DXDpQT9S3w4-QeNym2QJy2BzMBqDXp-XtzJBM"", ""'STC'!BL3:BL139""),MATCH($D106,IMPORTRANGE(""17pNv02DXDpQT9S3w4-QeNym2QJy2BzMBqDXp-XtzJBM"", ""'STC'!D3:D139""),0))"),105377)</f>
        <v>105377</v>
      </c>
      <c r="AE106" s="12">
        <f ca="1">IFERROR(__xludf.DUMMYFUNCTION("INDEX(IMPORTRANGE(""17pNv02DXDpQT9S3w4-QeNym2QJy2BzMBqDXp-XtzJBM"", ""'STC'!BM3:BM139""),MATCH($D106,IMPORTRANGE(""17pNv02DXDpQT9S3w4-QeNym2QJy2BzMBqDXp-XtzJBM"", ""'STC'!D3:D139""),0))"),106108)</f>
        <v>106108</v>
      </c>
    </row>
    <row r="107" spans="1:31">
      <c r="A107" s="7" t="s">
        <v>275</v>
      </c>
      <c r="B107" s="7" t="s">
        <v>276</v>
      </c>
      <c r="C107" s="1" t="s">
        <v>30</v>
      </c>
      <c r="D107" s="7" t="s">
        <v>290</v>
      </c>
      <c r="E107" s="9" t="s">
        <v>38</v>
      </c>
      <c r="F107" s="9" t="s">
        <v>291</v>
      </c>
      <c r="G107" s="9" t="s">
        <v>213</v>
      </c>
      <c r="H107" s="2" t="s">
        <v>214</v>
      </c>
      <c r="I107" s="2" t="s">
        <v>365</v>
      </c>
      <c r="J107" s="9" t="s">
        <v>215</v>
      </c>
      <c r="K107" s="182"/>
      <c r="L107" s="9" t="s">
        <v>216</v>
      </c>
      <c r="M107" s="182"/>
      <c r="N107" s="9" t="s">
        <v>217</v>
      </c>
      <c r="O107" s="22" t="s">
        <v>366</v>
      </c>
      <c r="P107" s="2" t="s">
        <v>218</v>
      </c>
      <c r="Q107" s="12">
        <v>56902</v>
      </c>
      <c r="R107" s="12">
        <v>56902</v>
      </c>
      <c r="S107" s="12">
        <f ca="1">IFERROR(__xludf.DUMMYFUNCTION("INDEX(IMPORTRANGE(""17pNv02DXDpQT9S3w4-QeNym2QJy2BzMBqDXp-XtzJBM"", ""'STC'!BG3:BG139""),MATCH($D107,IMPORTRANGE(""17pNv02DXDpQT9S3w4-QeNym2QJy2BzMBqDXp-XtzJBM"", ""'STC'!D3:D139""),0))"),50672)</f>
        <v>50672</v>
      </c>
      <c r="T107" s="2"/>
      <c r="U107" s="2"/>
      <c r="V107" s="2"/>
      <c r="W107" s="2"/>
      <c r="X107" s="250"/>
      <c r="Y107" s="2"/>
      <c r="Z107" s="12">
        <f ca="1">IFERROR(__xludf.DUMMYFUNCTION("INDEX(IMPORTRANGE(""17pNv02DXDpQT9S3w4-QeNym2QJy2BzMBqDXp-XtzJBM"", ""'STC'!BH3:BH139""),MATCH($D107,IMPORTRANGE(""17pNv02DXDpQT9S3w4-QeNym2QJy2BzMBqDXp-XtzJBM"", ""'STC'!D3:D139""),0))"),56902)</f>
        <v>56902</v>
      </c>
      <c r="AA107" s="479" t="str">
        <f ca="1">IFERROR(__xludf.DUMMYFUNCTION("INDEX(IMPORTRANGE(""17pNv02DXDpQT9S3w4-QeNym2QJy2BzMBqDXp-XtzJBM"", ""'STC'!BI3:BI139""),MATCH($D107,IMPORTRANGE(""17pNv02DXDpQT9S3w4-QeNym2QJy2BzMBqDXp-XtzJBM"", ""'STC'!D3:D139""),0))"),"")</f>
        <v/>
      </c>
      <c r="AB107" s="12">
        <f ca="1">IFERROR(__xludf.DUMMYFUNCTION("INDEX(IMPORTRANGE(""17pNv02DXDpQT9S3w4-QeNym2QJy2BzMBqDXp-XtzJBM"", ""'STC'!BJ3:BJ139""),MATCH($D107,IMPORTRANGE(""17pNv02DXDpQT9S3w4-QeNym2QJy2BzMBqDXp-XtzJBM"", ""'STC'!D3:D139""),0))"),70425)</f>
        <v>70425</v>
      </c>
      <c r="AC107" s="479" t="str">
        <f ca="1">IFERROR(__xludf.DUMMYFUNCTION("INDEX(IMPORTRANGE(""17pNv02DXDpQT9S3w4-QeNym2QJy2BzMBqDXp-XtzJBM"", ""'STC'!BK3:BK139""),MATCH($D107,IMPORTRANGE(""17pNv02DXDpQT9S3w4-QeNym2QJy2BzMBqDXp-XtzJBM"", ""'STC'!D3:D139""),0))"),"")</f>
        <v/>
      </c>
      <c r="AD107" s="12">
        <f ca="1">IFERROR(__xludf.DUMMYFUNCTION("INDEX(IMPORTRANGE(""17pNv02DXDpQT9S3w4-QeNym2QJy2BzMBqDXp-XtzJBM"", ""'STC'!BL3:BL139""),MATCH($D107,IMPORTRANGE(""17pNv02DXDpQT9S3w4-QeNym2QJy2BzMBqDXp-XtzJBM"", ""'STC'!D3:D139""),0))"),62420)</f>
        <v>62420</v>
      </c>
      <c r="AE107" s="12">
        <f ca="1">IFERROR(__xludf.DUMMYFUNCTION("INDEX(IMPORTRANGE(""17pNv02DXDpQT9S3w4-QeNym2QJy2BzMBqDXp-XtzJBM"", ""'STC'!BM3:BM139""),MATCH($D107,IMPORTRANGE(""17pNv02DXDpQT9S3w4-QeNym2QJy2BzMBqDXp-XtzJBM"", ""'STC'!D3:D139""),0))"),62700)</f>
        <v>62700</v>
      </c>
    </row>
    <row r="108" spans="1:31">
      <c r="A108" s="7" t="s">
        <v>275</v>
      </c>
      <c r="B108" s="7" t="s">
        <v>276</v>
      </c>
      <c r="C108" s="1" t="s">
        <v>36</v>
      </c>
      <c r="D108" s="7" t="s">
        <v>292</v>
      </c>
      <c r="E108" s="9" t="s">
        <v>38</v>
      </c>
      <c r="F108" s="9" t="s">
        <v>293</v>
      </c>
      <c r="G108" s="9" t="s">
        <v>213</v>
      </c>
      <c r="H108" s="2" t="s">
        <v>214</v>
      </c>
      <c r="I108" s="2" t="s">
        <v>365</v>
      </c>
      <c r="J108" s="9" t="s">
        <v>215</v>
      </c>
      <c r="K108" s="182"/>
      <c r="L108" s="9" t="s">
        <v>216</v>
      </c>
      <c r="M108" s="182"/>
      <c r="N108" s="9" t="s">
        <v>217</v>
      </c>
      <c r="O108" s="22" t="s">
        <v>366</v>
      </c>
      <c r="P108" s="2" t="s">
        <v>218</v>
      </c>
      <c r="Q108" s="15">
        <f t="shared" ref="Q108:R108" si="21">Q107/Q106</f>
        <v>0.53382492283733451</v>
      </c>
      <c r="R108" s="15">
        <f t="shared" si="21"/>
        <v>0.53382492283733451</v>
      </c>
      <c r="S108" s="15">
        <f ca="1">IFERROR(__xludf.DUMMYFUNCTION("INDEX(IMPORTRANGE(""17pNv02DXDpQT9S3w4-QeNym2QJy2BzMBqDXp-XtzJBM"", ""'STC'!BG3:BG139""),MATCH($D108,IMPORTRANGE(""17pNv02DXDpQT9S3w4-QeNym2QJy2BzMBqDXp-XtzJBM"", ""'STC'!D3:D139""),0))"),0.481101352955138)</f>
        <v>0.48110135295513801</v>
      </c>
      <c r="T108" s="2"/>
      <c r="U108" s="26">
        <v>0.55600000000000005</v>
      </c>
      <c r="V108" s="2"/>
      <c r="W108" s="15">
        <v>0.57799999999999996</v>
      </c>
      <c r="X108" s="15">
        <f>(Y108-W108)/6*5+W108</f>
        <v>0.59633333333333327</v>
      </c>
      <c r="Y108" s="15">
        <v>0.6</v>
      </c>
      <c r="Z108" s="15">
        <f ca="1">IFERROR(__xludf.DUMMYFUNCTION("INDEX(IMPORTRANGE(""17pNv02DXDpQT9S3w4-QeNym2QJy2BzMBqDXp-XtzJBM"", ""'STC'!BH3:BH139""),MATCH($D108,IMPORTRANGE(""17pNv02DXDpQT9S3w4-QeNym2QJy2BzMBqDXp-XtzJBM"", ""'STC'!D3:D139""),0))"),0.533824922837334)</f>
        <v>0.53382492283733396</v>
      </c>
      <c r="AA108" s="479" t="str">
        <f ca="1">IFERROR(__xludf.DUMMYFUNCTION("INDEX(IMPORTRANGE(""17pNv02DXDpQT9S3w4-QeNym2QJy2BzMBqDXp-XtzJBM"", ""'STC'!BI3:BI139""),MATCH($D108,IMPORTRANGE(""17pNv02DXDpQT9S3w4-QeNym2QJy2BzMBqDXp-XtzJBM"", ""'STC'!D3:D139""),0))"),"")</f>
        <v/>
      </c>
      <c r="AB108" s="15">
        <f ca="1">IFERROR(__xludf.DUMMYFUNCTION("INDEX(IMPORTRANGE(""17pNv02DXDpQT9S3w4-QeNym2QJy2BzMBqDXp-XtzJBM"", ""'STC'!BJ3:BJ139""),MATCH($D108,IMPORTRANGE(""17pNv02DXDpQT9S3w4-QeNym2QJy2BzMBqDXp-XtzJBM"", ""'STC'!D3:D139""),0))"),0.675902643146438)</f>
        <v>0.675902643146438</v>
      </c>
      <c r="AC108" s="479" t="str">
        <f ca="1">IFERROR(__xludf.DUMMYFUNCTION("INDEX(IMPORTRANGE(""17pNv02DXDpQT9S3w4-QeNym2QJy2BzMBqDXp-XtzJBM"", ""'STC'!BK3:BK139""),MATCH($D108,IMPORTRANGE(""17pNv02DXDpQT9S3w4-QeNym2QJy2BzMBqDXp-XtzJBM"", ""'STC'!D3:D139""),0))"),"")</f>
        <v/>
      </c>
      <c r="AD108" s="15">
        <f ca="1">IFERROR(__xludf.DUMMYFUNCTION("INDEX(IMPORTRANGE(""17pNv02DXDpQT9S3w4-QeNym2QJy2BzMBqDXp-XtzJBM"", ""'STC'!BL3:BL139""),MATCH($D108,IMPORTRANGE(""17pNv02DXDpQT9S3w4-QeNym2QJy2BzMBqDXp-XtzJBM"", ""'STC'!D3:D139""),0))"),0.592349374151854)</f>
        <v>0.59234937415185396</v>
      </c>
      <c r="AE108" s="15">
        <f ca="1">IFERROR(__xludf.DUMMYFUNCTION("INDEX(IMPORTRANGE(""17pNv02DXDpQT9S3w4-QeNym2QJy2BzMBqDXp-XtzJBM"", ""'STC'!BM3:BM139""),MATCH($D108,IMPORTRANGE(""17pNv02DXDpQT9S3w4-QeNym2QJy2BzMBqDXp-XtzJBM"", ""'STC'!D3:D139""),0))"),0.590907377389075)</f>
        <v>0.59090737738907495</v>
      </c>
    </row>
    <row r="109" spans="1:31">
      <c r="A109" s="7" t="s">
        <v>275</v>
      </c>
      <c r="B109" s="7" t="s">
        <v>276</v>
      </c>
      <c r="C109" s="7" t="s">
        <v>30</v>
      </c>
      <c r="D109" s="7" t="s">
        <v>294</v>
      </c>
      <c r="E109" s="9" t="s">
        <v>38</v>
      </c>
      <c r="F109" s="9" t="s">
        <v>295</v>
      </c>
      <c r="G109" s="9" t="s">
        <v>213</v>
      </c>
      <c r="H109" s="2" t="s">
        <v>214</v>
      </c>
      <c r="I109" s="2" t="s">
        <v>365</v>
      </c>
      <c r="J109" s="9" t="s">
        <v>215</v>
      </c>
      <c r="K109" s="182"/>
      <c r="L109" s="9" t="s">
        <v>216</v>
      </c>
      <c r="M109" s="182"/>
      <c r="N109" s="9" t="s">
        <v>217</v>
      </c>
      <c r="O109" s="22" t="s">
        <v>366</v>
      </c>
      <c r="P109" s="2" t="s">
        <v>218</v>
      </c>
      <c r="Q109" s="349"/>
      <c r="R109" s="349"/>
      <c r="S109" s="349">
        <f ca="1">IFERROR(__xludf.DUMMYFUNCTION("INDEX(IMPORTRANGE(""17pNv02DXDpQT9S3w4-QeNym2QJy2BzMBqDXp-XtzJBM"", ""'STC'!BG3:BG139""),MATCH($D109,IMPORTRANGE(""17pNv02DXDpQT9S3w4-QeNym2QJy2BzMBqDXp-XtzJBM"", ""'STC'!D3:D139""),0))"),103086611)</f>
        <v>103086611</v>
      </c>
      <c r="T109" s="2"/>
      <c r="U109" s="2"/>
      <c r="V109" s="2"/>
      <c r="W109" s="2"/>
      <c r="X109" s="491"/>
      <c r="Y109" s="2"/>
      <c r="Z109" s="349">
        <f ca="1">IFERROR(__xludf.DUMMYFUNCTION("INDEX(IMPORTRANGE(""17pNv02DXDpQT9S3w4-QeNym2QJy2BzMBqDXp-XtzJBM"", ""'STC'!BH3:BH139""),MATCH($D109,IMPORTRANGE(""17pNv02DXDpQT9S3w4-QeNym2QJy2BzMBqDXp-XtzJBM"", ""'STC'!D3:D139""),0))"),122025706)</f>
        <v>122025706</v>
      </c>
      <c r="AA109" s="479" t="str">
        <f ca="1">IFERROR(__xludf.DUMMYFUNCTION("INDEX(IMPORTRANGE(""17pNv02DXDpQT9S3w4-QeNym2QJy2BzMBqDXp-XtzJBM"", ""'STC'!BI3:BI139""),MATCH($D109,IMPORTRANGE(""17pNv02DXDpQT9S3w4-QeNym2QJy2BzMBqDXp-XtzJBM"", ""'STC'!D3:D139""),0))"),"")</f>
        <v/>
      </c>
      <c r="AB109" s="349">
        <f ca="1">IFERROR(__xludf.DUMMYFUNCTION("INDEX(IMPORTRANGE(""17pNv02DXDpQT9S3w4-QeNym2QJy2BzMBqDXp-XtzJBM"", ""'STC'!BJ3:BJ139""),MATCH($D109,IMPORTRANGE(""17pNv02DXDpQT9S3w4-QeNym2QJy2BzMBqDXp-XtzJBM"", ""'STC'!D3:D139""),0))"),183318826)</f>
        <v>183318826</v>
      </c>
      <c r="AC109" s="479" t="str">
        <f ca="1">IFERROR(__xludf.DUMMYFUNCTION("INDEX(IMPORTRANGE(""17pNv02DXDpQT9S3w4-QeNym2QJy2BzMBqDXp-XtzJBM"", ""'STC'!BK3:BK139""),MATCH($D109,IMPORTRANGE(""17pNv02DXDpQT9S3w4-QeNym2QJy2BzMBqDXp-XtzJBM"", ""'STC'!D3:D139""),0))"),"")</f>
        <v/>
      </c>
      <c r="AD109" s="349">
        <f ca="1">IFERROR(__xludf.DUMMYFUNCTION("INDEX(IMPORTRANGE(""17pNv02DXDpQT9S3w4-QeNym2QJy2BzMBqDXp-XtzJBM"", ""'STC'!BL3:BL139""),MATCH($D109,IMPORTRANGE(""17pNv02DXDpQT9S3w4-QeNym2QJy2BzMBqDXp-XtzJBM"", ""'STC'!D3:D139""),0))"),189451119)</f>
        <v>189451119</v>
      </c>
      <c r="AE109" s="349">
        <f ca="1">IFERROR(__xludf.DUMMYFUNCTION("INDEX(IMPORTRANGE(""17pNv02DXDpQT9S3w4-QeNym2QJy2BzMBqDXp-XtzJBM"", ""'STC'!BM3:BM139""),MATCH($D109,IMPORTRANGE(""17pNv02DXDpQT9S3w4-QeNym2QJy2BzMBqDXp-XtzJBM"", ""'STC'!D3:D139""),0))"),178968213.6)</f>
        <v>178968213.59999999</v>
      </c>
    </row>
    <row r="110" spans="1:31">
      <c r="A110" s="7" t="s">
        <v>275</v>
      </c>
      <c r="B110" s="7" t="s">
        <v>276</v>
      </c>
      <c r="C110" s="1" t="s">
        <v>36</v>
      </c>
      <c r="D110" s="1" t="s">
        <v>296</v>
      </c>
      <c r="E110" s="9" t="s">
        <v>38</v>
      </c>
      <c r="F110" s="9" t="s">
        <v>297</v>
      </c>
      <c r="G110" s="9" t="s">
        <v>213</v>
      </c>
      <c r="H110" s="2" t="s">
        <v>214</v>
      </c>
      <c r="I110" s="2" t="s">
        <v>365</v>
      </c>
      <c r="J110" s="9" t="s">
        <v>215</v>
      </c>
      <c r="K110" s="182"/>
      <c r="L110" s="9" t="s">
        <v>216</v>
      </c>
      <c r="M110" s="182"/>
      <c r="N110" s="9" t="s">
        <v>217</v>
      </c>
      <c r="O110" s="22" t="s">
        <v>366</v>
      </c>
      <c r="P110" s="2" t="s">
        <v>218</v>
      </c>
      <c r="Q110" s="349">
        <v>122025706</v>
      </c>
      <c r="R110" s="349">
        <v>122025706</v>
      </c>
      <c r="S110" s="349" t="str">
        <f ca="1">IFERROR(__xludf.DUMMYFUNCTION("INDEX(IMPORTRANGE(""17pNv02DXDpQT9S3w4-QeNym2QJy2BzMBqDXp-XtzJBM"", ""'STC'!BG3:BG139""),MATCH($D110,IMPORTRANGE(""17pNv02DXDpQT9S3w4-QeNym2QJy2BzMBqDXp-XtzJBM"", ""'STC'!D3:D139""),0))"),"")</f>
        <v/>
      </c>
      <c r="T110" s="2"/>
      <c r="U110" s="36">
        <v>133017137.33</v>
      </c>
      <c r="V110" s="2"/>
      <c r="W110" s="36">
        <v>144008568.66999999</v>
      </c>
      <c r="X110" s="36">
        <f>(Y110-W110)/6*5+W110</f>
        <v>153168094.77833334</v>
      </c>
      <c r="Y110" s="12">
        <v>155000000</v>
      </c>
      <c r="Z110" s="349" t="str">
        <f ca="1">IFERROR(__xludf.DUMMYFUNCTION("INDEX(IMPORTRANGE(""17pNv02DXDpQT9S3w4-QeNym2QJy2BzMBqDXp-XtzJBM"", ""'STC'!BH3:BH139""),MATCH($D110,IMPORTRANGE(""17pNv02DXDpQT9S3w4-QeNym2QJy2BzMBqDXp-XtzJBM"", ""'STC'!D3:D139""),0))"),"")</f>
        <v/>
      </c>
      <c r="AA110" s="479" t="str">
        <f ca="1">IFERROR(__xludf.DUMMYFUNCTION("INDEX(IMPORTRANGE(""17pNv02DXDpQT9S3w4-QeNym2QJy2BzMBqDXp-XtzJBM"", ""'STC'!BI3:BI139""),MATCH($D110,IMPORTRANGE(""17pNv02DXDpQT9S3w4-QeNym2QJy2BzMBqDXp-XtzJBM"", ""'STC'!D3:D139""),0))"),"")</f>
        <v/>
      </c>
      <c r="AB110" s="349">
        <f ca="1">IFERROR(__xludf.DUMMYFUNCTION("INDEX(IMPORTRANGE(""17pNv02DXDpQT9S3w4-QeNym2QJy2BzMBqDXp-XtzJBM"", ""'STC'!BJ3:BJ139""),MATCH($D110,IMPORTRANGE(""17pNv02DXDpQT9S3w4-QeNym2QJy2BzMBqDXp-XtzJBM"", ""'STC'!D3:D139""),0))"),267020341)</f>
        <v>267020341</v>
      </c>
      <c r="AC110" s="479" t="str">
        <f ca="1">IFERROR(__xludf.DUMMYFUNCTION("INDEX(IMPORTRANGE(""17pNv02DXDpQT9S3w4-QeNym2QJy2BzMBqDXp-XtzJBM"", ""'STC'!BK3:BK139""),MATCH($D110,IMPORTRANGE(""17pNv02DXDpQT9S3w4-QeNym2QJy2BzMBqDXp-XtzJBM"", ""'STC'!D3:D139""),0))"),"")</f>
        <v/>
      </c>
      <c r="AD110" s="349">
        <f ca="1">IFERROR(__xludf.DUMMYFUNCTION("INDEX(IMPORTRANGE(""17pNv02DXDpQT9S3w4-QeNym2QJy2BzMBqDXp-XtzJBM"", ""'STC'!BL3:BL139""),MATCH($D110,IMPORTRANGE(""17pNv02DXDpQT9S3w4-QeNym2QJy2BzMBqDXp-XtzJBM"", ""'STC'!D3:D139""),0))"),263202205)</f>
        <v>263202205</v>
      </c>
      <c r="AE110" s="349">
        <f ca="1">IFERROR(__xludf.DUMMYFUNCTION("INDEX(IMPORTRANGE(""17pNv02DXDpQT9S3w4-QeNym2QJy2BzMBqDXp-XtzJBM"", ""'STC'!BM3:BM139""),MATCH($D110,IMPORTRANGE(""17pNv02DXDpQT9S3w4-QeNym2QJy2BzMBqDXp-XtzJBM"", ""'STC'!D3:D139""),0))"),194646978.8)</f>
        <v>194646978.80000001</v>
      </c>
    </row>
    <row r="111" spans="1:31">
      <c r="A111" s="7" t="s">
        <v>275</v>
      </c>
      <c r="B111" s="7" t="s">
        <v>298</v>
      </c>
      <c r="C111" s="1" t="s">
        <v>30</v>
      </c>
      <c r="D111" s="7" t="s">
        <v>299</v>
      </c>
      <c r="E111" s="9" t="s">
        <v>278</v>
      </c>
      <c r="F111" s="9" t="s">
        <v>300</v>
      </c>
      <c r="G111" s="9" t="s">
        <v>213</v>
      </c>
      <c r="H111" s="2" t="s">
        <v>214</v>
      </c>
      <c r="I111" s="2" t="s">
        <v>368</v>
      </c>
      <c r="J111" s="9" t="s">
        <v>215</v>
      </c>
      <c r="K111" s="182"/>
      <c r="L111" s="9" t="s">
        <v>216</v>
      </c>
      <c r="M111" s="182"/>
      <c r="N111" s="9" t="s">
        <v>217</v>
      </c>
      <c r="O111" s="22" t="s">
        <v>369</v>
      </c>
      <c r="P111" s="2" t="s">
        <v>218</v>
      </c>
      <c r="Q111" s="50">
        <v>1352030259</v>
      </c>
      <c r="R111" s="50">
        <v>1352030259</v>
      </c>
      <c r="S111" s="50">
        <f ca="1">IFERROR(__xludf.DUMMYFUNCTION("INDEX(IMPORTRANGE(""17pNv02DXDpQT9S3w4-QeNym2QJy2BzMBqDXp-XtzJBM"", ""'STC'!BG3:BG139""),MATCH($D111,IMPORTRANGE(""17pNv02DXDpQT9S3w4-QeNym2QJy2BzMBqDXp-XtzJBM"", ""'STC'!D3:D139""),0))"),682783428)</f>
        <v>682783428</v>
      </c>
      <c r="T111" s="2"/>
      <c r="U111" s="2"/>
      <c r="V111" s="2"/>
      <c r="W111" s="2"/>
      <c r="X111" s="491"/>
      <c r="Y111" s="2"/>
      <c r="Z111" s="36">
        <f ca="1">IFERROR(__xludf.DUMMYFUNCTION("INDEX(IMPORTRANGE(""17pNv02DXDpQT9S3w4-QeNym2QJy2BzMBqDXp-XtzJBM"", ""'STC'!BH3:BH139""),MATCH($D111,IMPORTRANGE(""17pNv02DXDpQT9S3w4-QeNym2QJy2BzMBqDXp-XtzJBM"", ""'STC'!D3:D139""),0))"),1352030259)</f>
        <v>1352030259</v>
      </c>
      <c r="AA111" s="479" t="str">
        <f ca="1">IFERROR(__xludf.DUMMYFUNCTION("INDEX(IMPORTRANGE(""17pNv02DXDpQT9S3w4-QeNym2QJy2BzMBqDXp-XtzJBM"", ""'STC'!BI3:BI139""),MATCH($D111,IMPORTRANGE(""17pNv02DXDpQT9S3w4-QeNym2QJy2BzMBqDXp-XtzJBM"", ""'STC'!D3:D139""),0))"),"")</f>
        <v/>
      </c>
      <c r="AB111" s="36">
        <f ca="1">IFERROR(__xludf.DUMMYFUNCTION("INDEX(IMPORTRANGE(""17pNv02DXDpQT9S3w4-QeNym2QJy2BzMBqDXp-XtzJBM"", ""'STC'!BJ3:BJ139""),MATCH($D111,IMPORTRANGE(""17pNv02DXDpQT9S3w4-QeNym2QJy2BzMBqDXp-XtzJBM"", ""'STC'!D3:D139""),0))"),1646561121)</f>
        <v>1646561121</v>
      </c>
      <c r="AC111" s="479" t="str">
        <f ca="1">IFERROR(__xludf.DUMMYFUNCTION("INDEX(IMPORTRANGE(""17pNv02DXDpQT9S3w4-QeNym2QJy2BzMBqDXp-XtzJBM"", ""'STC'!BK3:BK139""),MATCH($D111,IMPORTRANGE(""17pNv02DXDpQT9S3w4-QeNym2QJy2BzMBqDXp-XtzJBM"", ""'STC'!D3:D139""),0))"),"")</f>
        <v/>
      </c>
      <c r="AD111" s="36">
        <f ca="1">IFERROR(__xludf.DUMMYFUNCTION("INDEX(IMPORTRANGE(""17pNv02DXDpQT9S3w4-QeNym2QJy2BzMBqDXp-XtzJBM"", ""'STC'!BL3:BL139""),MATCH($D111,IMPORTRANGE(""17pNv02DXDpQT9S3w4-QeNym2QJy2BzMBqDXp-XtzJBM"", ""'STC'!D3:D139""),0))"),2657030610)</f>
        <v>2657030610</v>
      </c>
      <c r="AE111" s="36">
        <f ca="1">IFERROR(__xludf.DUMMYFUNCTION("INDEX(IMPORTRANGE(""17pNv02DXDpQT9S3w4-QeNym2QJy2BzMBqDXp-XtzJBM"", ""'STC'!BM3:BM139""),MATCH($D111,IMPORTRANGE(""17pNv02DXDpQT9S3w4-QeNym2QJy2BzMBqDXp-XtzJBM"", ""'STC'!D3:D139""),0))"),1312754672)</f>
        <v>1312754672</v>
      </c>
    </row>
    <row r="112" spans="1:31">
      <c r="A112" s="7" t="s">
        <v>275</v>
      </c>
      <c r="B112" s="7" t="s">
        <v>298</v>
      </c>
      <c r="C112" s="1" t="s">
        <v>36</v>
      </c>
      <c r="D112" s="7" t="s">
        <v>301</v>
      </c>
      <c r="E112" s="9" t="s">
        <v>278</v>
      </c>
      <c r="F112" s="9" t="s">
        <v>302</v>
      </c>
      <c r="G112" s="9" t="s">
        <v>213</v>
      </c>
      <c r="H112" s="2" t="s">
        <v>214</v>
      </c>
      <c r="I112" s="2" t="s">
        <v>368</v>
      </c>
      <c r="J112" s="9" t="s">
        <v>215</v>
      </c>
      <c r="K112" s="182"/>
      <c r="L112" s="9" t="s">
        <v>216</v>
      </c>
      <c r="M112" s="182"/>
      <c r="N112" s="9" t="s">
        <v>217</v>
      </c>
      <c r="O112" s="22" t="s">
        <v>369</v>
      </c>
      <c r="P112" s="2" t="s">
        <v>218</v>
      </c>
      <c r="Q112" s="15">
        <f t="shared" ref="Q112:R112" si="22">Q104/Q111</f>
        <v>0.71605713892532041</v>
      </c>
      <c r="R112" s="15">
        <f t="shared" si="22"/>
        <v>0.71605713892532041</v>
      </c>
      <c r="S112" s="15">
        <f ca="1">IFERROR(__xludf.DUMMYFUNCTION("INDEX(IMPORTRANGE(""17pNv02DXDpQT9S3w4-QeNym2QJy2BzMBqDXp-XtzJBM"", ""'STC'!BG3:BG139""),MATCH($D112,IMPORTRANGE(""17pNv02DXDpQT9S3w4-QeNym2QJy2BzMBqDXp-XtzJBM"", ""'STC'!D3:D139""),0))"),0.706802576350754)</f>
        <v>0.70680257635075405</v>
      </c>
      <c r="T112" s="2"/>
      <c r="U112" s="26">
        <v>0.70699999999999996</v>
      </c>
      <c r="V112" s="2"/>
      <c r="W112" s="15">
        <v>0.69899999999999995</v>
      </c>
      <c r="X112" s="15">
        <f>(Y112-W112)/6*5+W112</f>
        <v>0.6915</v>
      </c>
      <c r="Y112" s="15">
        <v>0.69</v>
      </c>
      <c r="Z112" s="15">
        <f ca="1">IFERROR(__xludf.DUMMYFUNCTION("INDEX(IMPORTRANGE(""17pNv02DXDpQT9S3w4-QeNym2QJy2BzMBqDXp-XtzJBM"", ""'STC'!BH3:BH139""),MATCH($D112,IMPORTRANGE(""17pNv02DXDpQT9S3w4-QeNym2QJy2BzMBqDXp-XtzJBM"", ""'STC'!D3:D139""),0))"),0.71605713892532)</f>
        <v>0.71605713892531997</v>
      </c>
      <c r="AA112" s="479" t="str">
        <f ca="1">IFERROR(__xludf.DUMMYFUNCTION("INDEX(IMPORTRANGE(""17pNv02DXDpQT9S3w4-QeNym2QJy2BzMBqDXp-XtzJBM"", ""'STC'!BI3:BI139""),MATCH($D112,IMPORTRANGE(""17pNv02DXDpQT9S3w4-QeNym2QJy2BzMBqDXp-XtzJBM"", ""'STC'!D3:D139""),0))"),"")</f>
        <v/>
      </c>
      <c r="AB112" s="15">
        <f ca="1">IFERROR(__xludf.DUMMYFUNCTION("INDEX(IMPORTRANGE(""17pNv02DXDpQT9S3w4-QeNym2QJy2BzMBqDXp-XtzJBM"", ""'STC'!BJ3:BJ139""),MATCH($D112,IMPORTRANGE(""17pNv02DXDpQT9S3w4-QeNym2QJy2BzMBqDXp-XtzJBM"", ""'STC'!D3:D139""),0))"),0.763787398451514)</f>
        <v>0.763787398451514</v>
      </c>
      <c r="AC112" s="479" t="str">
        <f ca="1">IFERROR(__xludf.DUMMYFUNCTION("INDEX(IMPORTRANGE(""17pNv02DXDpQT9S3w4-QeNym2QJy2BzMBqDXp-XtzJBM"", ""'STC'!BK3:BK139""),MATCH($D112,IMPORTRANGE(""17pNv02DXDpQT9S3w4-QeNym2QJy2BzMBqDXp-XtzJBM"", ""'STC'!D3:D139""),0))"),"")</f>
        <v/>
      </c>
      <c r="AD112" s="15">
        <f ca="1">IFERROR(__xludf.DUMMYFUNCTION("INDEX(IMPORTRANGE(""17pNv02DXDpQT9S3w4-QeNym2QJy2BzMBqDXp-XtzJBM"", ""'STC'!BL3:BL139""),MATCH($D112,IMPORTRANGE(""17pNv02DXDpQT9S3w4-QeNym2QJy2BzMBqDXp-XtzJBM"", ""'STC'!D3:D139""),0))"),0.792316095297073)</f>
        <v>0.79231609529707303</v>
      </c>
      <c r="AE112" s="15">
        <f ca="1">IFERROR(__xludf.DUMMYFUNCTION("INDEX(IMPORTRANGE(""17pNv02DXDpQT9S3w4-QeNym2QJy2BzMBqDXp-XtzJBM"", ""'STC'!BM3:BM139""),MATCH($D112,IMPORTRANGE(""17pNv02DXDpQT9S3w4-QeNym2QJy2BzMBqDXp-XtzJBM"", ""'STC'!D3:D139""),0))"),0.746382183890639)</f>
        <v>0.74638218389063904</v>
      </c>
    </row>
    <row r="113" spans="1:31">
      <c r="A113" s="7" t="s">
        <v>275</v>
      </c>
      <c r="B113" s="7" t="s">
        <v>303</v>
      </c>
      <c r="C113" s="1" t="s">
        <v>36</v>
      </c>
      <c r="D113" s="7" t="s">
        <v>304</v>
      </c>
      <c r="E113" s="9" t="s">
        <v>305</v>
      </c>
      <c r="F113" s="9" t="s">
        <v>306</v>
      </c>
      <c r="G113" s="11" t="s">
        <v>307</v>
      </c>
      <c r="H113" s="182"/>
      <c r="I113" s="49">
        <v>44348</v>
      </c>
      <c r="J113" s="2" t="s">
        <v>254</v>
      </c>
      <c r="K113" s="182"/>
      <c r="L113" s="2" t="s">
        <v>255</v>
      </c>
      <c r="M113" s="182"/>
      <c r="N113" s="2" t="s">
        <v>256</v>
      </c>
      <c r="O113" s="275">
        <v>45473</v>
      </c>
      <c r="P113" s="2"/>
      <c r="Q113" s="30" t="s">
        <v>308</v>
      </c>
      <c r="R113" s="30" t="s">
        <v>308</v>
      </c>
      <c r="S113" s="30" t="str">
        <f ca="1">IFERROR(__xludf.DUMMYFUNCTION("INDEX(IMPORTRANGE(""17pNv02DXDpQT9S3w4-QeNym2QJy2BzMBqDXp-XtzJBM"", ""'STC'!BG3:BG139""),MATCH($D113,IMPORTRANGE(""17pNv02DXDpQT9S3w4-QeNym2QJy2BzMBqDXp-XtzJBM"", ""'STC'!D3:D139""),0))"),"Verde")</f>
        <v>Verde</v>
      </c>
      <c r="T113" s="2" t="s">
        <v>308</v>
      </c>
      <c r="U113" s="2" t="s">
        <v>308</v>
      </c>
      <c r="V113" s="2" t="s">
        <v>308</v>
      </c>
      <c r="W113" s="2" t="s">
        <v>308</v>
      </c>
      <c r="X113" s="2" t="s">
        <v>308</v>
      </c>
      <c r="Y113" s="2" t="s">
        <v>308</v>
      </c>
      <c r="Z113" s="2" t="str">
        <f ca="1">IFERROR(__xludf.DUMMYFUNCTION("INDEX(IMPORTRANGE(""17pNv02DXDpQT9S3w4-QeNym2QJy2BzMBqDXp-XtzJBM"", ""'STC'!BH3:BH139""),MATCH($D113,IMPORTRANGE(""17pNv02DXDpQT9S3w4-QeNym2QJy2BzMBqDXp-XtzJBM"", ""'STC'!D3:D139""),0))"),"Verde")</f>
        <v>Verde</v>
      </c>
      <c r="AA113" s="479" t="str">
        <f ca="1">IFERROR(__xludf.DUMMYFUNCTION("INDEX(IMPORTRANGE(""17pNv02DXDpQT9S3w4-QeNym2QJy2BzMBqDXp-XtzJBM"", ""'STC'!BI3:BI139""),MATCH($D113,IMPORTRANGE(""17pNv02DXDpQT9S3w4-QeNym2QJy2BzMBqDXp-XtzJBM"", ""'STC'!D3:D139""),0))"),"")</f>
        <v/>
      </c>
      <c r="AB113" s="2" t="str">
        <f ca="1">IFERROR(__xludf.DUMMYFUNCTION("INDEX(IMPORTRANGE(""17pNv02DXDpQT9S3w4-QeNym2QJy2BzMBqDXp-XtzJBM"", ""'STC'!BJ3:BJ139""),MATCH($D113,IMPORTRANGE(""17pNv02DXDpQT9S3w4-QeNym2QJy2BzMBqDXp-XtzJBM"", ""'STC'!D3:D139""),0))"),"Verde")</f>
        <v>Verde</v>
      </c>
      <c r="AC113" s="479" t="str">
        <f ca="1">IFERROR(__xludf.DUMMYFUNCTION("INDEX(IMPORTRANGE(""17pNv02DXDpQT9S3w4-QeNym2QJy2BzMBqDXp-XtzJBM"", ""'STC'!BK3:BK139""),MATCH($D113,IMPORTRANGE(""17pNv02DXDpQT9S3w4-QeNym2QJy2BzMBqDXp-XtzJBM"", ""'STC'!D3:D139""),0))"),"")</f>
        <v/>
      </c>
      <c r="AD113" s="2" t="str">
        <f ca="1">IFERROR(__xludf.DUMMYFUNCTION("INDEX(IMPORTRANGE(""17pNv02DXDpQT9S3w4-QeNym2QJy2BzMBqDXp-XtzJBM"", ""'STC'!BL3:BL139""),MATCH($D113,IMPORTRANGE(""17pNv02DXDpQT9S3w4-QeNym2QJy2BzMBqDXp-XtzJBM"", ""'STC'!D3:D139""),0))"),"Verde")</f>
        <v>Verde</v>
      </c>
      <c r="AE113" s="2" t="str">
        <f ca="1">IFERROR(__xludf.DUMMYFUNCTION("INDEX(IMPORTRANGE(""17pNv02DXDpQT9S3w4-QeNym2QJy2BzMBqDXp-XtzJBM"", ""'STC'!BM3:BM139""),MATCH($D113,IMPORTRANGE(""17pNv02DXDpQT9S3w4-QeNym2QJy2BzMBqDXp-XtzJBM"", ""'STC'!D3:D139""),0))"),"Verde")</f>
        <v>Verde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73AF7-3F6B-724E-A8DA-B8408BD3572C}">
  <dimension ref="A1:M39"/>
  <sheetViews>
    <sheetView topLeftCell="A35" workbookViewId="0">
      <selection activeCell="E2" sqref="E2"/>
    </sheetView>
  </sheetViews>
  <sheetFormatPr baseColWidth="10" defaultRowHeight="16"/>
  <cols>
    <col min="1" max="1" width="10.83203125" style="118"/>
    <col min="3" max="3" width="21.33203125" customWidth="1"/>
    <col min="7" max="7" width="12" customWidth="1"/>
    <col min="8" max="8" width="12.83203125" customWidth="1"/>
    <col min="13" max="13" width="10.83203125" style="118"/>
  </cols>
  <sheetData>
    <row r="1" spans="1:13" ht="65">
      <c r="A1" s="69" t="s">
        <v>0</v>
      </c>
      <c r="B1" s="69" t="s">
        <v>1</v>
      </c>
      <c r="C1" s="69" t="s">
        <v>309</v>
      </c>
      <c r="D1" s="69" t="s">
        <v>371</v>
      </c>
      <c r="E1" s="70" t="s">
        <v>372</v>
      </c>
      <c r="F1" s="69" t="s">
        <v>373</v>
      </c>
      <c r="G1" s="70" t="s">
        <v>374</v>
      </c>
      <c r="H1" s="70" t="s">
        <v>375</v>
      </c>
      <c r="I1" s="508" t="s">
        <v>311</v>
      </c>
      <c r="J1" s="70" t="s">
        <v>312</v>
      </c>
      <c r="K1" s="70" t="s">
        <v>313</v>
      </c>
      <c r="L1" s="70" t="s">
        <v>314</v>
      </c>
      <c r="M1" s="70" t="s">
        <v>315</v>
      </c>
    </row>
    <row r="2" spans="1:13" ht="117">
      <c r="A2" s="121" t="s">
        <v>34</v>
      </c>
      <c r="B2" s="72" t="s">
        <v>35</v>
      </c>
      <c r="C2" s="71" t="s">
        <v>37</v>
      </c>
      <c r="D2" s="75">
        <f>VLOOKUP(C2,'BD EVA 5 STC'!$D$3:$AE$113,6,0)</f>
        <v>44469</v>
      </c>
      <c r="E2" s="212">
        <f ca="1">VLOOKUP(C2,'BD EVA 5 STC'!$D$3:$AE$113,16,0)</f>
        <v>265</v>
      </c>
      <c r="F2" s="75" t="str">
        <f>VLOOKUP(C2,'BD EVA 5 STC'!$D$3:$AE$113,12,0)</f>
        <v>Ago 2024</v>
      </c>
      <c r="G2" s="212">
        <f ca="1">VLOOKUP(C2,'BD EVA 5 STC'!$D$3:$AE$113,28,0)</f>
        <v>391</v>
      </c>
      <c r="H2" s="212">
        <f>VLOOKUP(C2,'BD EVA 5 STC'!$D$3:$AE$113,21,0)</f>
        <v>428.33333333333331</v>
      </c>
      <c r="I2" s="78">
        <f ca="1">IF(G2&gt;=E2,G2/H2,0)</f>
        <v>0.91284046692607013</v>
      </c>
      <c r="J2" s="72" t="s">
        <v>316</v>
      </c>
      <c r="K2" s="81">
        <v>2.7</v>
      </c>
      <c r="L2" s="81">
        <f t="shared" ref="L2:L39" ca="1" si="0">IF(I2&lt;0,0,IF(I2&gt;1,K2,I2*K2))</f>
        <v>2.4646692607003895</v>
      </c>
      <c r="M2" s="124">
        <f ca="1">SUM(L2:L4)</f>
        <v>9.6417330938535528</v>
      </c>
    </row>
    <row r="3" spans="1:13" ht="52">
      <c r="A3" s="121" t="s">
        <v>34</v>
      </c>
      <c r="B3" s="72" t="s">
        <v>40</v>
      </c>
      <c r="C3" s="71" t="s">
        <v>43</v>
      </c>
      <c r="D3" s="75">
        <f>VLOOKUP(C3,'BD EVA 5 STC'!$D$3:$AE$113,6,0)</f>
        <v>44469</v>
      </c>
      <c r="E3" s="207">
        <f ca="1">VLOOKUP(C3,'BD EVA 5 STC'!$D$3:$AE$113,16,0)</f>
        <v>0.98867924528301798</v>
      </c>
      <c r="F3" s="75" t="str">
        <f>VLOOKUP(C3,'BD EVA 5 STC'!$D$3:$AE$113,12,0)</f>
        <v>Ago 2024</v>
      </c>
      <c r="G3" s="207">
        <f ca="1">VLOOKUP(C3,'BD EVA 5 STC'!$D$3:$AE$113,28,0)</f>
        <v>0.93861892583120199</v>
      </c>
      <c r="H3" s="207" t="str">
        <f>VLOOKUP(C3,'BD EVA 5 STC'!$D$3:$AE$113,21,0)</f>
        <v>&gt;=97%</v>
      </c>
      <c r="I3" s="78">
        <f ca="1">IF(G3&gt;=97%,1,G3/97%)</f>
        <v>0.96764837714556906</v>
      </c>
      <c r="J3" s="75" t="s">
        <v>318</v>
      </c>
      <c r="K3" s="81">
        <v>3.8</v>
      </c>
      <c r="L3" s="81">
        <f t="shared" ca="1" si="0"/>
        <v>3.6770638331531624</v>
      </c>
      <c r="M3" s="127"/>
    </row>
    <row r="4" spans="1:13" ht="143">
      <c r="A4" s="121" t="s">
        <v>34</v>
      </c>
      <c r="B4" s="72" t="s">
        <v>45</v>
      </c>
      <c r="C4" s="71" t="s">
        <v>50</v>
      </c>
      <c r="D4" s="89">
        <f>VLOOKUP(C4,'BD EVA 5 STC'!$D$3:$AE$113,6,0)</f>
        <v>44469</v>
      </c>
      <c r="E4" s="207">
        <f ca="1">VLOOKUP(C4,'BD EVA 5 STC'!$D$3:$AE$113,16,0)</f>
        <v>0.10566037735849</v>
      </c>
      <c r="F4" s="89" t="str">
        <f>VLOOKUP(C4,'BD EVA 5 STC'!$D$3:$AE$113,12,0)</f>
        <v>Ago 2024</v>
      </c>
      <c r="G4" s="207">
        <f ca="1">VLOOKUP(C4,'BD EVA 5 STC'!$D$3:$AE$113,28,0)</f>
        <v>0.12531969309462901</v>
      </c>
      <c r="H4" s="207">
        <f>VLOOKUP(C4,'BD EVA 5 STC'!$D$3:$AE$113,21,0)</f>
        <v>0.10349999999999999</v>
      </c>
      <c r="I4" s="77">
        <f t="shared" ref="I4:I5" ca="1" si="1">G4/H4</f>
        <v>1.2108182907693625</v>
      </c>
      <c r="J4" s="75" t="s">
        <v>318</v>
      </c>
      <c r="K4" s="81">
        <v>3.5</v>
      </c>
      <c r="L4" s="81">
        <f t="shared" ca="1" si="0"/>
        <v>3.5</v>
      </c>
      <c r="M4" s="127"/>
    </row>
    <row r="5" spans="1:13" ht="143">
      <c r="A5" s="121" t="s">
        <v>52</v>
      </c>
      <c r="B5" s="72" t="s">
        <v>53</v>
      </c>
      <c r="C5" s="72" t="s">
        <v>66</v>
      </c>
      <c r="D5" s="75" t="str">
        <f>VLOOKUP(C5,'BD EVA 5 STC'!$D$3:$AE$113,6,0)</f>
        <v>octubre 20 - agosto 21</v>
      </c>
      <c r="E5" s="207">
        <f ca="1">VLOOKUP(C5,'BD EVA 5 STC'!$D$3:$AE$113,16,0)</f>
        <v>3.4434620753838997E-2</v>
      </c>
      <c r="F5" s="75" t="str">
        <f>VLOOKUP(C5,'BD EVA 5 STC'!$D$3:$AE$113,12,0)</f>
        <v>octubre 23 - agosto 24</v>
      </c>
      <c r="G5" s="207">
        <f ca="1">VLOOKUP(C5,'BD EVA 5 STC'!$D$3:$AE$113,28,0)</f>
        <v>0.37287712287712199</v>
      </c>
      <c r="H5" s="207">
        <f>VLOOKUP(C5,'BD EVA 5 STC'!$D$3:$AE$113,21,0)</f>
        <v>0.39777777777777779</v>
      </c>
      <c r="I5" s="77">
        <f t="shared" ca="1" si="1"/>
        <v>0.93740058823857486</v>
      </c>
      <c r="J5" s="75" t="s">
        <v>318</v>
      </c>
      <c r="K5" s="209">
        <v>1.6</v>
      </c>
      <c r="L5" s="209">
        <f t="shared" ca="1" si="0"/>
        <v>1.49984094118172</v>
      </c>
      <c r="M5" s="130">
        <f ca="1">SUM(L5:L10)</f>
        <v>3.0511240780420144</v>
      </c>
    </row>
    <row r="6" spans="1:13" ht="65">
      <c r="A6" s="121" t="s">
        <v>52</v>
      </c>
      <c r="B6" s="72" t="s">
        <v>68</v>
      </c>
      <c r="C6" s="72" t="s">
        <v>72</v>
      </c>
      <c r="D6" s="75" t="str">
        <f>VLOOKUP(C6,'BD EVA 5 STC'!$D$3:$AE$113,6,0)</f>
        <v>octubre 20 - agosto 21</v>
      </c>
      <c r="E6" s="209">
        <f ca="1">VLOOKUP(C6,'BD EVA 5 STC'!$D$3:$AE$113,16,0)</f>
        <v>11.3682451116546</v>
      </c>
      <c r="F6" s="75" t="str">
        <f>VLOOKUP(C6,'BD EVA 5 STC'!$D$3:$AE$113,12,0)</f>
        <v>octubre 23 - agosto 24</v>
      </c>
      <c r="G6" s="209">
        <f ca="1">VLOOKUP(C6,'BD EVA 5 STC'!$D$3:$AE$113,28,0)</f>
        <v>18.774026283636701</v>
      </c>
      <c r="H6" s="209">
        <f ca="1">VLOOKUP(C6,'BD EVA 5 STC'!$D$3:$AE$113,21,0)</f>
        <v>10.571428571428569</v>
      </c>
      <c r="I6" s="78">
        <f t="shared" ref="I6:I10" ca="1" si="2">(G6-E6)/(H6-E6)</f>
        <v>-9.2942111491326767</v>
      </c>
      <c r="J6" s="71" t="s">
        <v>319</v>
      </c>
      <c r="K6" s="209">
        <v>1.7</v>
      </c>
      <c r="L6" s="209">
        <f t="shared" ca="1" si="0"/>
        <v>0</v>
      </c>
      <c r="M6" s="127"/>
    </row>
    <row r="7" spans="1:13" ht="91">
      <c r="A7" s="121" t="s">
        <v>52</v>
      </c>
      <c r="B7" s="72" t="s">
        <v>68</v>
      </c>
      <c r="C7" s="72" t="s">
        <v>84</v>
      </c>
      <c r="D7" s="75" t="str">
        <f>VLOOKUP(C7,'BD EVA 5 STC'!$D$3:$AE$113,6,0)</f>
        <v>octubre 20 - agosto 21</v>
      </c>
      <c r="E7" s="208">
        <f ca="1">VLOOKUP(C7,'BD EVA 5 STC'!$D$3:$AE$113,16,0)</f>
        <v>283.59162805559902</v>
      </c>
      <c r="F7" s="75" t="str">
        <f>VLOOKUP(C7,'BD EVA 5 STC'!$D$3:$AE$113,12,0)</f>
        <v>octubre 23 - agosto 24</v>
      </c>
      <c r="G7" s="208">
        <f ca="1">VLOOKUP(C7,'BD EVA 5 STC'!$D$3:$AE$113,28,0)</f>
        <v>239.89033584647001</v>
      </c>
      <c r="H7" s="208">
        <f ca="1">VLOOKUP(C7,'BD EVA 5 STC'!$D$3:$AE$113,21,0)</f>
        <v>127.99414062499957</v>
      </c>
      <c r="I7" s="78">
        <f t="shared" ca="1" si="2"/>
        <v>0.28086116897370167</v>
      </c>
      <c r="J7" s="71" t="s">
        <v>319</v>
      </c>
      <c r="K7" s="209">
        <v>1.6</v>
      </c>
      <c r="L7" s="209">
        <f t="shared" ca="1" si="0"/>
        <v>0.4493778703579227</v>
      </c>
      <c r="M7" s="127"/>
    </row>
    <row r="8" spans="1:13" ht="104">
      <c r="A8" s="121" t="s">
        <v>52</v>
      </c>
      <c r="B8" s="72" t="s">
        <v>86</v>
      </c>
      <c r="C8" s="72" t="s">
        <v>89</v>
      </c>
      <c r="D8" s="75" t="str">
        <f>VLOOKUP(C8,'BD EVA 5 STC'!$D$3:$AE$113,6,0)</f>
        <v>octubre 20 - agosto 21</v>
      </c>
      <c r="E8" s="208">
        <f ca="1">VLOOKUP(C8,'BD EVA 5 STC'!$D$3:$AE$113,16,0)</f>
        <v>783.17991323263698</v>
      </c>
      <c r="F8" s="75" t="str">
        <f>VLOOKUP(C8,'BD EVA 5 STC'!$D$3:$AE$113,12,0)</f>
        <v>octubre 23 - agosto 24</v>
      </c>
      <c r="G8" s="208">
        <f ca="1">VLOOKUP(C8,'BD EVA 5 STC'!$D$3:$AE$113,28,0)</f>
        <v>705.96298834818299</v>
      </c>
      <c r="H8" s="208">
        <f ca="1">VLOOKUP(C8,'BD EVA 5 STC'!$D$3:$AE$113,21,0)</f>
        <v>509.4361170592432</v>
      </c>
      <c r="I8" s="78">
        <f t="shared" ca="1" si="2"/>
        <v>0.28207735102622572</v>
      </c>
      <c r="J8" s="71" t="s">
        <v>319</v>
      </c>
      <c r="K8" s="209">
        <v>1.7</v>
      </c>
      <c r="L8" s="209">
        <f t="shared" ca="1" si="0"/>
        <v>0.47953149674458373</v>
      </c>
      <c r="M8" s="127"/>
    </row>
    <row r="9" spans="1:13" ht="104">
      <c r="A9" s="121" t="s">
        <v>52</v>
      </c>
      <c r="B9" s="72" t="s">
        <v>86</v>
      </c>
      <c r="C9" s="72" t="s">
        <v>93</v>
      </c>
      <c r="D9" s="75" t="str">
        <f>VLOOKUP(C9,'BD EVA 5 STC'!$D$3:$AE$113,6,0)</f>
        <v>octubre 20 - agosto 21</v>
      </c>
      <c r="E9" s="208">
        <f ca="1">VLOOKUP(C9,'BD EVA 5 STC'!$D$3:$AE$113,16,0)</f>
        <v>132.73194292526401</v>
      </c>
      <c r="F9" s="75" t="str">
        <f>VLOOKUP(C9,'BD EVA 5 STC'!$D$3:$AE$113,12,0)</f>
        <v>octubre 23 - agosto 24</v>
      </c>
      <c r="G9" s="208">
        <f ca="1">VLOOKUP(C9,'BD EVA 5 STC'!$D$3:$AE$113,28,0)</f>
        <v>106.68414935780901</v>
      </c>
      <c r="H9" s="208">
        <f ca="1">VLOOKUP(C9,'BD EVA 5 STC'!$D$3:$AE$113,21,0)</f>
        <v>61.582978723404011</v>
      </c>
      <c r="I9" s="78">
        <f t="shared" ca="1" si="2"/>
        <v>0.36610221750458111</v>
      </c>
      <c r="J9" s="71" t="s">
        <v>319</v>
      </c>
      <c r="K9" s="209">
        <v>1.7</v>
      </c>
      <c r="L9" s="209">
        <f t="shared" ca="1" si="0"/>
        <v>0.62237376975778791</v>
      </c>
      <c r="M9" s="127"/>
    </row>
    <row r="10" spans="1:13" ht="156">
      <c r="A10" s="121" t="s">
        <v>52</v>
      </c>
      <c r="B10" s="72" t="s">
        <v>86</v>
      </c>
      <c r="C10" s="72" t="s">
        <v>117</v>
      </c>
      <c r="D10" s="89" t="str">
        <f>VLOOKUP(C10,'BD EVA 5 STC'!$D$3:$AE$113,6,0)</f>
        <v>octubre 20 - agosto 21</v>
      </c>
      <c r="E10" s="208">
        <f ca="1">VLOOKUP(C10,'BD EVA 5 STC'!$D$3:$AE$113,16,0)</f>
        <v>15.362493394127799</v>
      </c>
      <c r="F10" s="89" t="str">
        <f>VLOOKUP(C10,'BD EVA 5 STC'!$D$3:$AE$113,12,0)</f>
        <v>octubre 23 - agosto 24</v>
      </c>
      <c r="G10" s="208">
        <f ca="1">VLOOKUP(C10,'BD EVA 5 STC'!$D$3:$AE$113,28,0)</f>
        <v>30.098042137258901</v>
      </c>
      <c r="H10" s="208">
        <f ca="1">VLOOKUP(C10,'BD EVA 5 STC'!$D$3:$AE$113,21,0)</f>
        <v>10.169491525423702</v>
      </c>
      <c r="I10" s="78">
        <f t="shared" ca="1" si="2"/>
        <v>-2.837578170717725</v>
      </c>
      <c r="J10" s="71" t="s">
        <v>319</v>
      </c>
      <c r="K10" s="209">
        <v>1.7</v>
      </c>
      <c r="L10" s="209">
        <f t="shared" ca="1" si="0"/>
        <v>0</v>
      </c>
      <c r="M10" s="127"/>
    </row>
    <row r="11" spans="1:13" ht="91">
      <c r="A11" s="121" t="s">
        <v>119</v>
      </c>
      <c r="B11" s="72" t="s">
        <v>120</v>
      </c>
      <c r="C11" s="72" t="s">
        <v>125</v>
      </c>
      <c r="D11" s="75">
        <f>VLOOKUP(C11,'BD EVA 5 STC'!$D$3:$AE$113,6,0)</f>
        <v>44469</v>
      </c>
      <c r="E11" s="78">
        <f ca="1">VLOOKUP(C11,'BD EVA 5 STC'!$D$3:$AE$113,16,0)</f>
        <v>0</v>
      </c>
      <c r="F11" s="75" t="str">
        <f>VLOOKUP(C11,'BD EVA 5 STC'!$D$3:$AE$113,12,0)</f>
        <v>Ago 2024</v>
      </c>
      <c r="G11" s="78">
        <f ca="1">VLOOKUP(C11,'BD EVA 5 STC'!$D$3:$AE$113,28,0)</f>
        <v>5.34288074910493E-2</v>
      </c>
      <c r="H11" s="78">
        <f>VLOOKUP(C11,'BD EVA 5 STC'!$D$3:$AE$113,21,0)</f>
        <v>0.01</v>
      </c>
      <c r="I11" s="77">
        <f t="shared" ref="I11:I15" ca="1" si="3">G11/H11</f>
        <v>5.3428807491049302</v>
      </c>
      <c r="J11" s="89" t="s">
        <v>318</v>
      </c>
      <c r="K11" s="71">
        <v>1.1000000000000001</v>
      </c>
      <c r="L11" s="209">
        <f t="shared" ca="1" si="0"/>
        <v>1.1000000000000001</v>
      </c>
      <c r="M11" s="130">
        <f ca="1">SUM(L11:L15)</f>
        <v>9.0020547945205482</v>
      </c>
    </row>
    <row r="12" spans="1:13" ht="91">
      <c r="A12" s="141" t="s">
        <v>119</v>
      </c>
      <c r="B12" s="72" t="s">
        <v>120</v>
      </c>
      <c r="C12" s="72" t="s">
        <v>333</v>
      </c>
      <c r="D12" s="75" t="str">
        <f>VLOOKUP(C12,'BD EVA 5 STC'!$D$3:$AE$113,6,0)</f>
        <v>octubre 20 - agosto 21</v>
      </c>
      <c r="E12" s="210" t="str">
        <f ca="1">VLOOKUP(C12,'BD EVA 5 STC'!$D$3:$AE$113,16,0)</f>
        <v/>
      </c>
      <c r="F12" s="75" t="str">
        <f>VLOOKUP(C12,'BD EVA 5 STC'!$D$3:$AE$113,12,0)</f>
        <v>octubre 23 - agosto 24</v>
      </c>
      <c r="G12" s="210">
        <f ca="1">VLOOKUP(C12,'BD EVA 5 STC'!$D$3:$AE$113,28,0)</f>
        <v>1.8369264067445899E-2</v>
      </c>
      <c r="H12" s="210">
        <f>VLOOKUP(C12,'BD EVA 5 STC'!$D$3:$AE$113,21,0)</f>
        <v>3.6166666666666671E-4</v>
      </c>
      <c r="I12" s="78">
        <f t="shared" ca="1" si="3"/>
        <v>50.790591891555472</v>
      </c>
      <c r="J12" s="75" t="s">
        <v>318</v>
      </c>
      <c r="K12" s="71">
        <v>1.1000000000000001</v>
      </c>
      <c r="L12" s="209">
        <f t="shared" ca="1" si="0"/>
        <v>1.1000000000000001</v>
      </c>
      <c r="M12" s="127"/>
    </row>
    <row r="13" spans="1:13" ht="91">
      <c r="A13" s="121" t="s">
        <v>119</v>
      </c>
      <c r="B13" s="72" t="s">
        <v>127</v>
      </c>
      <c r="C13" s="72" t="s">
        <v>128</v>
      </c>
      <c r="D13" s="75" t="str">
        <f>VLOOKUP(C13,'BD EVA 5 STC'!$D$3:$AE$113,6,0)</f>
        <v>octubre 20 - agosto 21</v>
      </c>
      <c r="E13" s="212">
        <f ca="1">VLOOKUP(C13,'BD EVA 5 STC'!$D$3:$AE$113,16,0)</f>
        <v>0</v>
      </c>
      <c r="F13" s="75" t="str">
        <f>VLOOKUP(C13,'BD EVA 5 STC'!$D$3:$AE$113,12,0)</f>
        <v>octubre 21 - agosto 24</v>
      </c>
      <c r="G13" s="212">
        <f ca="1">VLOOKUP(C13,'BD EVA 5 STC'!$D$3:$AE$113,28,0)</f>
        <v>14</v>
      </c>
      <c r="H13" s="212">
        <f>VLOOKUP(C13,'BD EVA 5 STC'!$D$3:$AE$113,21,0)</f>
        <v>24.333333333333332</v>
      </c>
      <c r="I13" s="78">
        <f t="shared" ca="1" si="3"/>
        <v>0.57534246575342474</v>
      </c>
      <c r="J13" s="75" t="s">
        <v>318</v>
      </c>
      <c r="K13" s="82">
        <v>2.35</v>
      </c>
      <c r="L13" s="209">
        <f t="shared" ca="1" si="0"/>
        <v>1.3520547945205481</v>
      </c>
      <c r="M13" s="127"/>
    </row>
    <row r="14" spans="1:13" ht="78">
      <c r="A14" s="121" t="s">
        <v>119</v>
      </c>
      <c r="B14" s="72" t="s">
        <v>133</v>
      </c>
      <c r="C14" s="72" t="s">
        <v>134</v>
      </c>
      <c r="D14" s="75" t="str">
        <f>VLOOKUP(C14,'BD EVA 5 STC'!$D$3:$AE$113,6,0)</f>
        <v>octubre 20 - agosto 21</v>
      </c>
      <c r="E14" s="212">
        <f ca="1">VLOOKUP(C14,'BD EVA 5 STC'!$D$3:$AE$113,16,0)</f>
        <v>3140</v>
      </c>
      <c r="F14" s="75" t="str">
        <f>VLOOKUP(C14,'BD EVA 5 STC'!$D$3:$AE$113,12,0)</f>
        <v>octubre 21 - agosto 24</v>
      </c>
      <c r="G14" s="212">
        <f ca="1">VLOOKUP(C14,'BD EVA 5 STC'!$D$3:$AE$113,28,0)</f>
        <v>1535</v>
      </c>
      <c r="H14" s="212">
        <f ca="1">VLOOKUP(C14,'BD EVA 5 STC'!$D$3:$AE$113,21,0)</f>
        <v>1369.8333333333333</v>
      </c>
      <c r="I14" s="78">
        <f t="shared" ca="1" si="3"/>
        <v>1.1205742791093807</v>
      </c>
      <c r="J14" s="75" t="s">
        <v>318</v>
      </c>
      <c r="K14" s="82">
        <v>2.35</v>
      </c>
      <c r="L14" s="209">
        <f t="shared" ca="1" si="0"/>
        <v>2.35</v>
      </c>
      <c r="M14" s="127"/>
    </row>
    <row r="15" spans="1:13" ht="78">
      <c r="A15" s="121" t="s">
        <v>119</v>
      </c>
      <c r="B15" s="72" t="s">
        <v>136</v>
      </c>
      <c r="C15" s="72" t="s">
        <v>145</v>
      </c>
      <c r="D15" s="89" t="str">
        <f>VLOOKUP(C15,'BD EVA 5 STC'!$D$3:$AE$113,6,0)</f>
        <v>octubre 20 - agosto 21</v>
      </c>
      <c r="E15" s="212">
        <f ca="1">VLOOKUP(C15,'BD EVA 5 STC'!$D$3:$AE$113,16,0)</f>
        <v>16</v>
      </c>
      <c r="F15" s="89" t="str">
        <f>VLOOKUP(C15,'BD EVA 5 STC'!$D$3:$AE$113,12,0)</f>
        <v>octubre 21 - agosto 24</v>
      </c>
      <c r="G15" s="212">
        <f ca="1">VLOOKUP(C15,'BD EVA 5 STC'!$D$3:$AE$113,28,0)</f>
        <v>85</v>
      </c>
      <c r="H15" s="212">
        <f>VLOOKUP(C15,'BD EVA 5 STC'!$D$3:$AE$113,21,0)</f>
        <v>21</v>
      </c>
      <c r="I15" s="78">
        <f t="shared" ca="1" si="3"/>
        <v>4.0476190476190474</v>
      </c>
      <c r="J15" s="75" t="s">
        <v>318</v>
      </c>
      <c r="K15" s="71">
        <v>3.1</v>
      </c>
      <c r="L15" s="209">
        <f t="shared" ca="1" si="0"/>
        <v>3.1</v>
      </c>
      <c r="M15" s="127"/>
    </row>
    <row r="16" spans="1:13" ht="409.6">
      <c r="A16" s="121" t="s">
        <v>147</v>
      </c>
      <c r="B16" s="72" t="s">
        <v>148</v>
      </c>
      <c r="C16" s="72" t="s">
        <v>156</v>
      </c>
      <c r="D16" s="75">
        <f>VLOOKUP(C16,'BD EVA 5 STC'!$D$3:$AE$113,6,0)</f>
        <v>44469</v>
      </c>
      <c r="E16" s="213">
        <f ca="1">VLOOKUP(C16,'BD EVA 5 STC'!$D$3:$AE$113,16,0)</f>
        <v>0.33333333333333298</v>
      </c>
      <c r="F16" s="75" t="str">
        <f>VLOOKUP(C16,'BD EVA 5 STC'!$D$3:$AE$113,12,0)</f>
        <v>Ago 2024</v>
      </c>
      <c r="G16" s="213">
        <f ca="1">VLOOKUP(C16,'BD EVA 5 STC'!$D$3:$AE$113,28,0)</f>
        <v>1</v>
      </c>
      <c r="H16" s="213" t="str">
        <f>VLOOKUP(C16,'BD EVA 5 STC'!$D$3:$AE$113,21,0)</f>
        <v>Plan Municipal de Ordenamiento Territorial y Desarrollo Urbano y Reglamento de Zonificación actualizado después del 27 noviembre del 2017 ( fecha de publicación de la Ley de Asentamientos Humanos,Ordenamiento Territorial y Desarrollo Urbano para el Estado de Nuevo León) Reglamento de Banquetas: actualizado después de octubre 2019 ( fecha de publicación de la Norma Técnica Estatal de Aceras)</v>
      </c>
      <c r="I16" s="77">
        <f t="shared" ref="I16:I17" ca="1" si="4">G16/1</f>
        <v>1</v>
      </c>
      <c r="J16" s="75" t="s">
        <v>318</v>
      </c>
      <c r="K16" s="171">
        <v>1.5</v>
      </c>
      <c r="L16" s="209">
        <f t="shared" ca="1" si="0"/>
        <v>1.5</v>
      </c>
      <c r="M16" s="130">
        <f ca="1">SUM(L16:L23)</f>
        <v>8.5830551067787173</v>
      </c>
    </row>
    <row r="17" spans="1:13" ht="52">
      <c r="A17" s="121" t="s">
        <v>147</v>
      </c>
      <c r="B17" s="72" t="s">
        <v>148</v>
      </c>
      <c r="C17" s="72" t="s">
        <v>351</v>
      </c>
      <c r="D17" s="75">
        <f>VLOOKUP(C17,'BD EVA 5 STC'!$D$3:$AE$113,6,0)</f>
        <v>44469</v>
      </c>
      <c r="E17" s="212">
        <f ca="1">VLOOKUP(C17,'BD EVA 5 STC'!$D$3:$AE$113,16,0)</f>
        <v>1</v>
      </c>
      <c r="F17" s="75" t="str">
        <f>VLOOKUP(C17,'BD EVA 5 STC'!$D$3:$AE$113,12,0)</f>
        <v>Ago 2024</v>
      </c>
      <c r="G17" s="212">
        <f ca="1">VLOOKUP(C17,'BD EVA 5 STC'!$D$3:$AE$113,28,0)</f>
        <v>0.5</v>
      </c>
      <c r="H17" s="212" t="str">
        <f>VLOOKUP(C17,'BD EVA 5 STC'!$D$3:$AE$113,21,0)</f>
        <v>Actualizado al 2019</v>
      </c>
      <c r="I17" s="214">
        <f t="shared" ca="1" si="4"/>
        <v>0.5</v>
      </c>
      <c r="J17" s="75" t="s">
        <v>318</v>
      </c>
      <c r="K17" s="71">
        <v>1.5</v>
      </c>
      <c r="L17" s="209">
        <f t="shared" ca="1" si="0"/>
        <v>0.75</v>
      </c>
      <c r="M17" s="127"/>
    </row>
    <row r="18" spans="1:13" ht="104">
      <c r="A18" s="121" t="s">
        <v>147</v>
      </c>
      <c r="B18" s="72" t="s">
        <v>148</v>
      </c>
      <c r="C18" s="72" t="s">
        <v>166</v>
      </c>
      <c r="D18" s="75">
        <f>VLOOKUP(C18,'BD EVA 5 STC'!$D$3:$AE$113,6,0)</f>
        <v>44469</v>
      </c>
      <c r="E18" s="72" t="s">
        <v>320</v>
      </c>
      <c r="F18" s="75" t="str">
        <f>VLOOKUP(C18,'BD EVA 5 STC'!$D$3:$AE$113,12,0)</f>
        <v>Ago 2024</v>
      </c>
      <c r="G18" s="207" t="str">
        <f ca="1">VLOOKUP(C18,'BD EVA 5 STC'!$D$3:$AE$113,28,0)</f>
        <v>NA</v>
      </c>
      <c r="H18" s="207">
        <f>VLOOKUP(C18,'BD EVA 5 STC'!$D$3:$AE$113,21,0)</f>
        <v>1</v>
      </c>
      <c r="I18" s="214">
        <v>1</v>
      </c>
      <c r="J18" s="75" t="s">
        <v>318</v>
      </c>
      <c r="K18" s="71">
        <v>0.3</v>
      </c>
      <c r="L18" s="209">
        <f t="shared" si="0"/>
        <v>0.3</v>
      </c>
      <c r="M18" s="127"/>
    </row>
    <row r="19" spans="1:13" ht="91">
      <c r="A19" s="121" t="s">
        <v>147</v>
      </c>
      <c r="B19" s="72" t="s">
        <v>168</v>
      </c>
      <c r="C19" s="72" t="s">
        <v>173</v>
      </c>
      <c r="D19" s="75">
        <f>VLOOKUP(C19,'BD EVA 5 STC'!$D$3:$AE$113,6,0)</f>
        <v>44469</v>
      </c>
      <c r="E19" s="207">
        <f ca="1">VLOOKUP(C19,'BD EVA 5 STC'!$D$3:$AE$113,16,0)</f>
        <v>0.97948010868242796</v>
      </c>
      <c r="F19" s="75" t="str">
        <f>VLOOKUP(C19,'BD EVA 5 STC'!$D$3:$AE$113,12,0)</f>
        <v>Ago 2024</v>
      </c>
      <c r="G19" s="207">
        <f ca="1">VLOOKUP(C19,'BD EVA 5 STC'!$D$3:$AE$113,28,0)</f>
        <v>1</v>
      </c>
      <c r="H19" s="207">
        <f>VLOOKUP(C19,'BD EVA 5 STC'!$D$3:$AE$113,21,0)</f>
        <v>1</v>
      </c>
      <c r="I19" s="214">
        <f t="shared" ref="I19:I27" ca="1" si="5">G19/H19</f>
        <v>1</v>
      </c>
      <c r="J19" s="75" t="s">
        <v>318</v>
      </c>
      <c r="K19" s="71">
        <v>1.5</v>
      </c>
      <c r="L19" s="209">
        <f t="shared" ca="1" si="0"/>
        <v>1.5</v>
      </c>
      <c r="M19" s="127"/>
    </row>
    <row r="20" spans="1:13" ht="117">
      <c r="A20" s="121" t="s">
        <v>147</v>
      </c>
      <c r="B20" s="72" t="s">
        <v>168</v>
      </c>
      <c r="C20" s="71" t="s">
        <v>177</v>
      </c>
      <c r="D20" s="75">
        <f>VLOOKUP(C20,'BD EVA 5 STC'!$D$3:$AE$113,6,0)</f>
        <v>44469</v>
      </c>
      <c r="E20" s="214">
        <f ca="1">VLOOKUP(C20,'BD EVA 5 STC'!$D$3:$AE$113,16,0)</f>
        <v>0.96452997337739799</v>
      </c>
      <c r="F20" s="75" t="str">
        <f>VLOOKUP(C20,'BD EVA 5 STC'!$D$3:$AE$113,12,0)</f>
        <v>Ago 2024</v>
      </c>
      <c r="G20" s="214">
        <f ca="1">VLOOKUP(C20,'BD EVA 5 STC'!$D$3:$AE$113,28,0)</f>
        <v>1</v>
      </c>
      <c r="H20" s="214">
        <f>VLOOKUP(C20,'BD EVA 5 STC'!$D$3:$AE$113,21,0)</f>
        <v>1</v>
      </c>
      <c r="I20" s="214">
        <f t="shared" ca="1" si="5"/>
        <v>1</v>
      </c>
      <c r="J20" s="75" t="s">
        <v>318</v>
      </c>
      <c r="K20" s="71">
        <v>1.5</v>
      </c>
      <c r="L20" s="209">
        <f t="shared" ca="1" si="0"/>
        <v>1.5</v>
      </c>
      <c r="M20" s="127"/>
    </row>
    <row r="21" spans="1:13" ht="117">
      <c r="A21" s="121" t="s">
        <v>147</v>
      </c>
      <c r="B21" s="72" t="s">
        <v>168</v>
      </c>
      <c r="C21" s="72" t="s">
        <v>183</v>
      </c>
      <c r="D21" s="75">
        <f>VLOOKUP(C21,'BD EVA 5 STC'!$D$3:$AE$113,6,0)</f>
        <v>44469</v>
      </c>
      <c r="E21" s="207">
        <f ca="1">VLOOKUP(C21,'BD EVA 5 STC'!$D$3:$AE$113,16,0)</f>
        <v>0.99295063250668403</v>
      </c>
      <c r="F21" s="75" t="str">
        <f>VLOOKUP(C21,'BD EVA 5 STC'!$D$3:$AE$113,12,0)</f>
        <v>Ago 2024</v>
      </c>
      <c r="G21" s="207">
        <f ca="1">VLOOKUP(C21,'BD EVA 5 STC'!$D$3:$AE$113,28,0)</f>
        <v>0.99343083080919303</v>
      </c>
      <c r="H21" s="207">
        <f>VLOOKUP(C21,'BD EVA 5 STC'!$D$3:$AE$113,21,0)</f>
        <v>1</v>
      </c>
      <c r="I21" s="214">
        <f t="shared" ca="1" si="5"/>
        <v>0.99343083080919303</v>
      </c>
      <c r="J21" s="75" t="s">
        <v>318</v>
      </c>
      <c r="K21" s="71">
        <v>0.9</v>
      </c>
      <c r="L21" s="209">
        <f t="shared" ca="1" si="0"/>
        <v>0.89408774772827371</v>
      </c>
      <c r="M21" s="127"/>
    </row>
    <row r="22" spans="1:13" ht="78">
      <c r="A22" s="121" t="s">
        <v>147</v>
      </c>
      <c r="B22" s="72" t="s">
        <v>168</v>
      </c>
      <c r="C22" s="72" t="s">
        <v>189</v>
      </c>
      <c r="D22" s="75">
        <f>VLOOKUP(C22,'BD EVA 5 STC'!$D$3:$AE$113,6,0)</f>
        <v>44469</v>
      </c>
      <c r="E22" s="207">
        <f ca="1">VLOOKUP(C22,'BD EVA 5 STC'!$D$3:$AE$113,16,0)</f>
        <v>0.54364391691394598</v>
      </c>
      <c r="F22" s="75" t="str">
        <f>VLOOKUP(C22,'BD EVA 5 STC'!$D$3:$AE$113,12,0)</f>
        <v>Ago 2024</v>
      </c>
      <c r="G22" s="207">
        <f ca="1">VLOOKUP(C22,'BD EVA 5 STC'!$D$3:$AE$113,28,0)</f>
        <v>0.55931157270029597</v>
      </c>
      <c r="H22" s="207">
        <f>VLOOKUP(C22,'BD EVA 5 STC'!$D$3:$AE$113,21,0)</f>
        <v>1</v>
      </c>
      <c r="I22" s="214">
        <f t="shared" ca="1" si="5"/>
        <v>0.55931157270029597</v>
      </c>
      <c r="J22" s="75" t="s">
        <v>318</v>
      </c>
      <c r="K22" s="71">
        <v>1.5</v>
      </c>
      <c r="L22" s="209">
        <f t="shared" ca="1" si="0"/>
        <v>0.83896735905044395</v>
      </c>
      <c r="M22" s="127"/>
    </row>
    <row r="23" spans="1:13" ht="195">
      <c r="A23" s="121" t="s">
        <v>147</v>
      </c>
      <c r="B23" s="72" t="s">
        <v>168</v>
      </c>
      <c r="C23" s="72" t="s">
        <v>197</v>
      </c>
      <c r="D23" s="89" t="str">
        <f>VLOOKUP(C23,'BD EVA 5 STC'!$D$3:$AE$113,6,0)</f>
        <v>octubre 20 - septiembre 21</v>
      </c>
      <c r="E23" s="208">
        <f ca="1">VLOOKUP(C23,'BD EVA 5 STC'!$D$3:$AE$113,16,0)</f>
        <v>0</v>
      </c>
      <c r="F23" s="89" t="str">
        <f>VLOOKUP(C23,'BD EVA 5 STC'!$D$3:$AE$113,12,0)</f>
        <v>octubre 23 - septiembre 24</v>
      </c>
      <c r="G23" s="208">
        <f ca="1">VLOOKUP(C23,'BD EVA 5 STC'!$D$3:$AE$113,28,0)</f>
        <v>16.5</v>
      </c>
      <c r="H23" s="208">
        <f>VLOOKUP(C23,'BD EVA 5 STC'!$D$3:$AE$113,21,0)</f>
        <v>5.5</v>
      </c>
      <c r="I23" s="214">
        <f t="shared" ca="1" si="5"/>
        <v>3</v>
      </c>
      <c r="J23" s="75" t="s">
        <v>318</v>
      </c>
      <c r="K23" s="82">
        <v>1.3</v>
      </c>
      <c r="L23" s="209">
        <f t="shared" ca="1" si="0"/>
        <v>1.3</v>
      </c>
      <c r="M23" s="127"/>
    </row>
    <row r="24" spans="1:13" ht="156">
      <c r="A24" s="121" t="s">
        <v>199</v>
      </c>
      <c r="B24" s="72" t="s">
        <v>200</v>
      </c>
      <c r="C24" s="72" t="s">
        <v>201</v>
      </c>
      <c r="D24" s="75">
        <f>VLOOKUP(C24,'BD EVA 5 STC'!$D$3:$AE$113,6,0)</f>
        <v>44469</v>
      </c>
      <c r="E24" s="171">
        <f ca="1">VLOOKUP(C24,'BD EVA 5 STC'!$D$3:$AE$113,16,0)</f>
        <v>0</v>
      </c>
      <c r="F24" s="75" t="str">
        <f>VLOOKUP(C24,'BD EVA 5 STC'!$D$3:$AE$113,12,0)</f>
        <v>Ago 2024</v>
      </c>
      <c r="G24" s="171">
        <f ca="1">VLOOKUP(C24,'BD EVA 5 STC'!$D$3:$AE$113,28,0)</f>
        <v>0</v>
      </c>
      <c r="H24" s="171">
        <f>VLOOKUP(C24,'BD EVA 5 STC'!$D$3:$AE$113,21,0)</f>
        <v>3.833333333333333</v>
      </c>
      <c r="I24" s="214">
        <f t="shared" ca="1" si="5"/>
        <v>0</v>
      </c>
      <c r="J24" s="75" t="s">
        <v>318</v>
      </c>
      <c r="K24" s="82">
        <v>1.9450000000000001</v>
      </c>
      <c r="L24" s="82">
        <f t="shared" ca="1" si="0"/>
        <v>0</v>
      </c>
      <c r="M24" s="130">
        <f ca="1">SUM(L24:L28)</f>
        <v>6.986742531091001</v>
      </c>
    </row>
    <row r="25" spans="1:13" ht="130">
      <c r="A25" s="121" t="s">
        <v>199</v>
      </c>
      <c r="B25" s="72" t="s">
        <v>200</v>
      </c>
      <c r="C25" s="72" t="s">
        <v>209</v>
      </c>
      <c r="D25" s="75" t="str">
        <f>VLOOKUP(C25,'BD EVA 5 STC'!$D$3:$AE$113,6,0)</f>
        <v>octubre 20 - agosto 21</v>
      </c>
      <c r="E25" s="212" t="str">
        <f ca="1">VLOOKUP(C25,'BD EVA 5 STC'!$D$3:$AE$113,16,0)</f>
        <v/>
      </c>
      <c r="F25" s="75" t="str">
        <f>VLOOKUP(C25,'BD EVA 5 STC'!$D$3:$AE$113,12,0)</f>
        <v>octubre 23 - agosto 24</v>
      </c>
      <c r="G25" s="212">
        <f ca="1">VLOOKUP(C25,'BD EVA 5 STC'!$D$3:$AE$113,28,0)</f>
        <v>1105.69</v>
      </c>
      <c r="H25" s="212">
        <f>VLOOKUP(C25,'BD EVA 5 STC'!$D$3:$AE$113,21,0)</f>
        <v>1527.1666666666667</v>
      </c>
      <c r="I25" s="214">
        <f t="shared" ca="1" si="5"/>
        <v>0.72401396922405326</v>
      </c>
      <c r="J25" s="75" t="s">
        <v>318</v>
      </c>
      <c r="K25" s="82">
        <v>1.6337999999999999</v>
      </c>
      <c r="L25" s="209">
        <f t="shared" ca="1" si="0"/>
        <v>1.1828940229182581</v>
      </c>
      <c r="M25" s="127"/>
    </row>
    <row r="26" spans="1:13" ht="117">
      <c r="A26" s="121" t="s">
        <v>199</v>
      </c>
      <c r="B26" s="72" t="s">
        <v>200</v>
      </c>
      <c r="C26" s="72" t="s">
        <v>221</v>
      </c>
      <c r="D26" s="75" t="str">
        <f>VLOOKUP(C26,'BD EVA 5 STC'!$D$3:$AE$113,6,0)</f>
        <v>enero - agosto 2021</v>
      </c>
      <c r="E26" s="210">
        <f ca="1">VLOOKUP(C26,'BD EVA 5 STC'!$D$3:$AE$113,16,0)</f>
        <v>2.0998339675090599E-2</v>
      </c>
      <c r="F26" s="75" t="str">
        <f>VLOOKUP(C26,'BD EVA 5 STC'!$D$3:$AE$113,12,0)</f>
        <v>enero- agosto 2024</v>
      </c>
      <c r="G26" s="210">
        <f ca="1">VLOOKUP(C26,'BD EVA 5 STC'!$D$3:$AE$113,28,0)</f>
        <v>0.993786284742322</v>
      </c>
      <c r="H26" s="210">
        <f>VLOOKUP(C26,'BD EVA 5 STC'!$D$3:$AE$113,21,0)</f>
        <v>0.13820000000000002</v>
      </c>
      <c r="I26" s="214">
        <f t="shared" ca="1" si="5"/>
        <v>7.1909282542859758</v>
      </c>
      <c r="J26" s="75" t="s">
        <v>318</v>
      </c>
      <c r="K26" s="82">
        <v>2.1006</v>
      </c>
      <c r="L26" s="209">
        <f t="shared" ca="1" si="0"/>
        <v>2.1006</v>
      </c>
      <c r="M26" s="127"/>
    </row>
    <row r="27" spans="1:13" ht="104">
      <c r="A27" s="121" t="s">
        <v>199</v>
      </c>
      <c r="B27" s="72" t="s">
        <v>200</v>
      </c>
      <c r="C27" s="72" t="s">
        <v>226</v>
      </c>
      <c r="D27" s="75" t="str">
        <f>VLOOKUP(C27,'BD EVA 5 STC'!$D$3:$AE$113,6,0)</f>
        <v>octubre 20 - agosto 21</v>
      </c>
      <c r="E27" s="212">
        <f ca="1">VLOOKUP(C27,'BD EVA 5 STC'!$D$3:$AE$113,16,0)</f>
        <v>25</v>
      </c>
      <c r="F27" s="75" t="str">
        <f>VLOOKUP(C27,'BD EVA 5 STC'!$D$3:$AE$113,12,0)</f>
        <v>octubre 23 - agosto 24</v>
      </c>
      <c r="G27" s="212">
        <f ca="1">VLOOKUP(C27,'BD EVA 5 STC'!$D$3:$AE$113,28,0)</f>
        <v>67</v>
      </c>
      <c r="H27" s="212">
        <f>VLOOKUP(C27,'BD EVA 5 STC'!$D$3:$AE$113,21,0)</f>
        <v>9</v>
      </c>
      <c r="I27" s="214">
        <f t="shared" ca="1" si="5"/>
        <v>7.4444444444444446</v>
      </c>
      <c r="J27" s="75" t="s">
        <v>318</v>
      </c>
      <c r="K27" s="82">
        <v>2.1006</v>
      </c>
      <c r="L27" s="209">
        <f t="shared" ca="1" si="0"/>
        <v>2.1006</v>
      </c>
      <c r="M27" s="127"/>
    </row>
    <row r="28" spans="1:13" ht="52">
      <c r="A28" s="121" t="s">
        <v>199</v>
      </c>
      <c r="B28" s="72" t="s">
        <v>228</v>
      </c>
      <c r="C28" s="72" t="s">
        <v>241</v>
      </c>
      <c r="D28" s="89" t="str">
        <f>VLOOKUP(C28,'BD EVA 5 STC'!$D$3:$AE$113,6,0)</f>
        <v>octubre 18 - agosto 19</v>
      </c>
      <c r="E28" s="212">
        <f ca="1">VLOOKUP(C28,'BD EVA 5 STC'!$D$3:$AE$113,16,0)</f>
        <v>3153</v>
      </c>
      <c r="F28" s="89" t="str">
        <f>VLOOKUP(C28,'BD EVA 5 STC'!$D$3:$AE$113,12,0)</f>
        <v>octubre 23 - agosto 24</v>
      </c>
      <c r="G28" s="212">
        <f ca="1">VLOOKUP(C28,'BD EVA 5 STC'!$D$3:$AE$113,28,0)</f>
        <v>2388</v>
      </c>
      <c r="H28" s="212">
        <f ca="1">VLOOKUP(C28,'BD EVA 5 STC'!$D$3:$AE$113,21,0)</f>
        <v>2093.3166125700795</v>
      </c>
      <c r="I28" s="78">
        <f ca="1">(G28-E28)/(H28-E28)</f>
        <v>0.72191374242015416</v>
      </c>
      <c r="J28" s="89" t="s">
        <v>319</v>
      </c>
      <c r="K28" s="82">
        <v>2.2200000000000002</v>
      </c>
      <c r="L28" s="209">
        <f t="shared" ca="1" si="0"/>
        <v>1.6026485081727424</v>
      </c>
      <c r="M28" s="127"/>
    </row>
    <row r="29" spans="1:13" ht="208">
      <c r="A29" s="121" t="s">
        <v>243</v>
      </c>
      <c r="B29" s="72" t="s">
        <v>244</v>
      </c>
      <c r="C29" s="142" t="s">
        <v>338</v>
      </c>
      <c r="D29" s="75" t="str">
        <f>VLOOKUP(C29,'BD EVA 5 STC'!$D$3:$AE$113,6,0)</f>
        <v>octubre 20 - agosto 21</v>
      </c>
      <c r="E29" s="212">
        <f ca="1">VLOOKUP(C29,'BD EVA 5 STC'!$D$3:$AE$113,16,0)</f>
        <v>1</v>
      </c>
      <c r="F29" s="75" t="str">
        <f>VLOOKUP(C29,'BD EVA 5 STC'!$D$3:$AE$113,12,0)</f>
        <v>octubre 23 - agosto 24</v>
      </c>
      <c r="G29" s="212">
        <f ca="1">VLOOKUP(C29,'BD EVA 5 STC'!$D$3:$AE$113,28,0)</f>
        <v>470</v>
      </c>
      <c r="H29" s="212">
        <f>VLOOKUP(C29,'BD EVA 5 STC'!$D$3:$AE$113,21,0)</f>
        <v>4</v>
      </c>
      <c r="I29" s="78">
        <f t="shared" ref="I29:I33" ca="1" si="6">G29/H29</f>
        <v>117.5</v>
      </c>
      <c r="J29" s="75" t="s">
        <v>318</v>
      </c>
      <c r="K29" s="82">
        <v>2</v>
      </c>
      <c r="L29" s="209">
        <f t="shared" ca="1" si="0"/>
        <v>2</v>
      </c>
      <c r="M29" s="130">
        <f ca="1">SUM(L29:L33)</f>
        <v>8.6328567929582842</v>
      </c>
    </row>
    <row r="30" spans="1:13" ht="65">
      <c r="A30" s="121" t="s">
        <v>243</v>
      </c>
      <c r="B30" s="72" t="s">
        <v>247</v>
      </c>
      <c r="C30" s="72" t="s">
        <v>248</v>
      </c>
      <c r="D30" s="75">
        <f>VLOOKUP(C30,'BD EVA 5 STC'!$D$3:$AE$113,6,0)</f>
        <v>44469</v>
      </c>
      <c r="E30" s="212">
        <f ca="1">VLOOKUP(C30,'BD EVA 5 STC'!$D$3:$AE$113,16,0)</f>
        <v>2</v>
      </c>
      <c r="F30" s="75" t="str">
        <f>VLOOKUP(C30,'BD EVA 5 STC'!$D$3:$AE$113,12,0)</f>
        <v>Ago 2024</v>
      </c>
      <c r="G30" s="212">
        <f ca="1">VLOOKUP(C30,'BD EVA 5 STC'!$D$3:$AE$113,28,0)</f>
        <v>10</v>
      </c>
      <c r="H30" s="212">
        <f>VLOOKUP(C30,'BD EVA 5 STC'!$D$3:$AE$113,21,0)</f>
        <v>4</v>
      </c>
      <c r="I30" s="78">
        <f t="shared" ca="1" si="6"/>
        <v>2.5</v>
      </c>
      <c r="J30" s="75" t="s">
        <v>318</v>
      </c>
      <c r="K30" s="82">
        <v>2</v>
      </c>
      <c r="L30" s="209">
        <f t="shared" ca="1" si="0"/>
        <v>2</v>
      </c>
      <c r="M30" s="127"/>
    </row>
    <row r="31" spans="1:13" ht="91">
      <c r="A31" s="121" t="s">
        <v>243</v>
      </c>
      <c r="B31" s="72" t="s">
        <v>250</v>
      </c>
      <c r="C31" s="72" t="s">
        <v>251</v>
      </c>
      <c r="D31" s="75">
        <f>VLOOKUP(C31,'BD EVA 5 STC'!$D$3:$AE$113,6,0)</f>
        <v>44440</v>
      </c>
      <c r="E31" s="212">
        <f ca="1">VLOOKUP(C31,'BD EVA 5 STC'!$D$3:$AE$113,16,0)</f>
        <v>100</v>
      </c>
      <c r="F31" s="75">
        <f>VLOOKUP(C31,'BD EVA 5 STC'!$D$3:$AE$113,12,0)</f>
        <v>45444</v>
      </c>
      <c r="G31" s="212">
        <f ca="1">VLOOKUP(C31,'BD EVA 5 STC'!$D$3:$AE$113,28,0)</f>
        <v>94.98</v>
      </c>
      <c r="H31" s="212">
        <f>VLOOKUP(C31,'BD EVA 5 STC'!$D$3:$AE$113,21,0)</f>
        <v>100</v>
      </c>
      <c r="I31" s="78">
        <f t="shared" ca="1" si="6"/>
        <v>0.94980000000000009</v>
      </c>
      <c r="J31" s="75" t="s">
        <v>318</v>
      </c>
      <c r="K31" s="82">
        <v>2</v>
      </c>
      <c r="L31" s="209">
        <f t="shared" ca="1" si="0"/>
        <v>1.8996000000000002</v>
      </c>
      <c r="M31" s="127"/>
    </row>
    <row r="32" spans="1:13" ht="260">
      <c r="A32" s="121" t="s">
        <v>243</v>
      </c>
      <c r="B32" s="72" t="s">
        <v>257</v>
      </c>
      <c r="C32" s="72" t="s">
        <v>258</v>
      </c>
      <c r="D32" s="75">
        <f>VLOOKUP(C32,'BD EVA 5 STC'!$D$3:$AE$113,6,0)</f>
        <v>44440</v>
      </c>
      <c r="E32" s="209">
        <f ca="1">VLOOKUP(C32,'BD EVA 5 STC'!$D$3:$AE$113,16,0)</f>
        <v>0</v>
      </c>
      <c r="F32" s="75" t="str">
        <f>VLOOKUP(C32,'BD EVA 5 STC'!$D$3:$AE$113,12,0)</f>
        <v>Ago 2024</v>
      </c>
      <c r="G32" s="209">
        <f ca="1">VLOOKUP(C32,'BD EVA 5 STC'!$D$3:$AE$113,28,0)</f>
        <v>3.7948717948717898</v>
      </c>
      <c r="H32" s="209">
        <f>VLOOKUP(C32,'BD EVA 5 STC'!$D$3:$AE$113,21,0)</f>
        <v>4</v>
      </c>
      <c r="I32" s="78">
        <f t="shared" ca="1" si="6"/>
        <v>0.94871794871794746</v>
      </c>
      <c r="J32" s="75" t="s">
        <v>318</v>
      </c>
      <c r="K32" s="82">
        <v>2</v>
      </c>
      <c r="L32" s="209">
        <f t="shared" ca="1" si="0"/>
        <v>1.8974358974358949</v>
      </c>
      <c r="M32" s="127"/>
    </row>
    <row r="33" spans="1:13" ht="91">
      <c r="A33" s="121" t="s">
        <v>243</v>
      </c>
      <c r="B33" s="72" t="s">
        <v>260</v>
      </c>
      <c r="C33" s="72" t="s">
        <v>273</v>
      </c>
      <c r="D33" s="75">
        <f>VLOOKUP(C33,'BD EVA 5 STC'!$D$3:$AE$113,6,0)</f>
        <v>44440</v>
      </c>
      <c r="E33" s="75" t="str">
        <f ca="1">VLOOKUP(C33,'BD EVA 5 STC'!$D$3:$AE$113,16,0)</f>
        <v/>
      </c>
      <c r="F33" s="75" t="str">
        <f>VLOOKUP(C33,'BD EVA 5 STC'!$D$3:$AE$113,12,0)</f>
        <v>Ago 2024</v>
      </c>
      <c r="G33" s="207">
        <f ca="1">VLOOKUP(C33,'BD EVA 5 STC'!$D$3:$AE$113,28,0)</f>
        <v>0.20895522388059701</v>
      </c>
      <c r="H33" s="207">
        <f>VLOOKUP(C33,'BD EVA 5 STC'!$D$3:$AE$113,21,0)</f>
        <v>0.5</v>
      </c>
      <c r="I33" s="78">
        <f t="shared" ca="1" si="6"/>
        <v>0.41791044776119401</v>
      </c>
      <c r="J33" s="75" t="s">
        <v>318</v>
      </c>
      <c r="K33" s="82">
        <v>2</v>
      </c>
      <c r="L33" s="209">
        <f t="shared" ca="1" si="0"/>
        <v>0.83582089552238803</v>
      </c>
      <c r="M33" s="127"/>
    </row>
    <row r="34" spans="1:13" ht="91">
      <c r="A34" s="121" t="s">
        <v>275</v>
      </c>
      <c r="B34" s="72" t="s">
        <v>276</v>
      </c>
      <c r="C34" s="72" t="s">
        <v>282</v>
      </c>
      <c r="D34" s="75" t="str">
        <f>VLOOKUP(C34,'BD EVA 5 STC'!$D$3:$AE$113,6,0)</f>
        <v>enero - junio 2021</v>
      </c>
      <c r="E34" s="78">
        <f ca="1">VLOOKUP(C34,'BD EVA 5 STC'!$D$3:$AE$113,16,0)</f>
        <v>0.31878671252669499</v>
      </c>
      <c r="F34" s="75" t="str">
        <f>VLOOKUP(C34,'BD EVA 5 STC'!$D$3:$AE$113,12,0)</f>
        <v>enero- junio 2024</v>
      </c>
      <c r="G34" s="78">
        <f ca="1">VLOOKUP(C34,'BD EVA 5 STC'!$D$3:$AE$113,28,0)</f>
        <v>0.29280972356819002</v>
      </c>
      <c r="H34" s="78">
        <f>VLOOKUP(C34,'BD EVA 5 STC'!$D$3:$AE$113,21,0)</f>
        <v>0.32866666666666666</v>
      </c>
      <c r="I34" s="78">
        <f ca="1">(G34/H34)</f>
        <v>0.89090179584641993</v>
      </c>
      <c r="J34" s="75" t="s">
        <v>318</v>
      </c>
      <c r="K34" s="81">
        <v>2.1631999999999998</v>
      </c>
      <c r="L34" s="209">
        <f t="shared" ca="1" si="0"/>
        <v>1.9271987647749753</v>
      </c>
      <c r="M34" s="130">
        <f ca="1">SUM(L34:L39)</f>
        <v>9.4808183135578297</v>
      </c>
    </row>
    <row r="35" spans="1:13" ht="117">
      <c r="A35" s="121" t="s">
        <v>275</v>
      </c>
      <c r="B35" s="72" t="s">
        <v>276</v>
      </c>
      <c r="C35" s="72" t="s">
        <v>287</v>
      </c>
      <c r="D35" s="75" t="str">
        <f>VLOOKUP(C35,'BD EVA 5 STC'!$D$3:$AE$113,6,0)</f>
        <v>enero - junio 2021</v>
      </c>
      <c r="E35" s="78">
        <f ca="1">VLOOKUP(C35,'BD EVA 5 STC'!$D$3:$AE$113,16,0)</f>
        <v>0.42625061848685702</v>
      </c>
      <c r="F35" s="75" t="str">
        <f>VLOOKUP(C35,'BD EVA 5 STC'!$D$3:$AE$113,12,0)</f>
        <v>enero- junio 2024</v>
      </c>
      <c r="G35" s="78">
        <f ca="1">VLOOKUP(C35,'BD EVA 5 STC'!$D$3:$AE$113,28,0)</f>
        <v>0.40075435476937099</v>
      </c>
      <c r="H35" s="78">
        <f>VLOOKUP(C35,'BD EVA 5 STC'!$D$3:$AE$113,21,0)</f>
        <v>0.44866666666666666</v>
      </c>
      <c r="I35" s="78">
        <f ca="1">G35/H35</f>
        <v>0.89321178626159958</v>
      </c>
      <c r="J35" s="75" t="s">
        <v>318</v>
      </c>
      <c r="K35" s="81">
        <v>1.3520000000000001</v>
      </c>
      <c r="L35" s="209">
        <f t="shared" ca="1" si="0"/>
        <v>1.2076223350256827</v>
      </c>
      <c r="M35" s="127"/>
    </row>
    <row r="36" spans="1:13" ht="117">
      <c r="A36" s="121" t="s">
        <v>275</v>
      </c>
      <c r="B36" s="72" t="s">
        <v>276</v>
      </c>
      <c r="C36" s="72" t="s">
        <v>292</v>
      </c>
      <c r="D36" s="75" t="str">
        <f>VLOOKUP(C36,'BD EVA 5 STC'!$D$3:$AE$113,6,0)</f>
        <v>enero - agosto 2021</v>
      </c>
      <c r="E36" s="78">
        <f ca="1">VLOOKUP(C36,'BD EVA 5 STC'!$D$3:$AE$113,16,0)</f>
        <v>0.48110135295513801</v>
      </c>
      <c r="F36" s="75" t="str">
        <f>VLOOKUP(C36,'BD EVA 5 STC'!$D$3:$AE$113,12,0)</f>
        <v>enero- agosto 2024</v>
      </c>
      <c r="G36" s="78">
        <f ca="1">VLOOKUP(C36,'BD EVA 5 STC'!$D$3:$AE$113,28,0)</f>
        <v>0.59090737738907495</v>
      </c>
      <c r="H36" s="78">
        <f>VLOOKUP(C36,'BD EVA 5 STC'!$D$3:$AE$113,21,0)</f>
        <v>0.59633333333333327</v>
      </c>
      <c r="I36" s="78">
        <f ca="1">IF(G36&lt;E36,0,G36/H36)</f>
        <v>0.99090113592354667</v>
      </c>
      <c r="J36" s="72" t="s">
        <v>316</v>
      </c>
      <c r="K36" s="81">
        <v>2.1631999999999998</v>
      </c>
      <c r="L36" s="209">
        <f t="shared" ca="1" si="0"/>
        <v>2.1435173372298157</v>
      </c>
      <c r="M36" s="127"/>
    </row>
    <row r="37" spans="1:13" ht="78">
      <c r="A37" s="121" t="s">
        <v>275</v>
      </c>
      <c r="B37" s="72" t="s">
        <v>276</v>
      </c>
      <c r="C37" s="72" t="s">
        <v>296</v>
      </c>
      <c r="D37" s="75" t="str">
        <f>VLOOKUP(C37,'BD EVA 5 STC'!$D$3:$AE$113,6,0)</f>
        <v>enero - agosto 2021</v>
      </c>
      <c r="E37" s="90" t="str">
        <f ca="1">VLOOKUP(C37,'BD EVA 5 STC'!$D$3:$AE$113,16,0)</f>
        <v/>
      </c>
      <c r="F37" s="75" t="str">
        <f>VLOOKUP(C37,'BD EVA 5 STC'!$D$3:$AE$113,12,0)</f>
        <v>enero- agosto 2024</v>
      </c>
      <c r="G37" s="90">
        <f ca="1">VLOOKUP(C37,'BD EVA 5 STC'!$D$3:$AE$113,28,0)</f>
        <v>194646978.80000001</v>
      </c>
      <c r="H37" s="90">
        <f>VLOOKUP(C37,'BD EVA 5 STC'!$D$3:$AE$113,21,0)</f>
        <v>153168094.77833334</v>
      </c>
      <c r="I37" s="78">
        <f ca="1">G37/H37</f>
        <v>1.27080629344966</v>
      </c>
      <c r="J37" s="75" t="s">
        <v>318</v>
      </c>
      <c r="K37" s="81">
        <v>1.0815999999999999</v>
      </c>
      <c r="L37" s="209">
        <f t="shared" ca="1" si="0"/>
        <v>1.0815999999999999</v>
      </c>
      <c r="M37" s="127"/>
    </row>
    <row r="38" spans="1:13" ht="78">
      <c r="A38" s="121" t="s">
        <v>275</v>
      </c>
      <c r="B38" s="72" t="s">
        <v>298</v>
      </c>
      <c r="C38" s="142" t="s">
        <v>301</v>
      </c>
      <c r="D38" s="75" t="str">
        <f>VLOOKUP(C38,'BD EVA 5 STC'!$D$3:$AE$113,6,0)</f>
        <v>enero - junio 2021</v>
      </c>
      <c r="E38" s="78">
        <f ca="1">VLOOKUP(C38,'BD EVA 5 STC'!$D$3:$AE$113,16,0)</f>
        <v>0.70680257635075405</v>
      </c>
      <c r="F38" s="75" t="str">
        <f>VLOOKUP(C38,'BD EVA 5 STC'!$D$3:$AE$113,12,0)</f>
        <v>enero- junio 2024</v>
      </c>
      <c r="G38" s="78">
        <f ca="1">VLOOKUP(C38,'BD EVA 5 STC'!$D$3:$AE$113,28,0)</f>
        <v>0.74638218389063904</v>
      </c>
      <c r="H38" s="78">
        <f>VLOOKUP(C38,'BD EVA 5 STC'!$D$3:$AE$113,21,0)</f>
        <v>0.6915</v>
      </c>
      <c r="I38" s="78">
        <f ca="1">(H38/G38)</f>
        <v>0.92646905958478709</v>
      </c>
      <c r="J38" s="89" t="s">
        <v>341</v>
      </c>
      <c r="K38" s="81">
        <v>1.62</v>
      </c>
      <c r="L38" s="209">
        <f t="shared" ca="1" si="0"/>
        <v>1.5008798765273552</v>
      </c>
      <c r="M38" s="127"/>
    </row>
    <row r="39" spans="1:13" ht="78">
      <c r="A39" s="121" t="s">
        <v>275</v>
      </c>
      <c r="B39" s="72" t="s">
        <v>303</v>
      </c>
      <c r="C39" s="72" t="s">
        <v>304</v>
      </c>
      <c r="D39" s="75">
        <f>VLOOKUP(C39,'BD EVA 5 STC'!$D$3:$AE$113,6,0)</f>
        <v>44348</v>
      </c>
      <c r="E39" s="75" t="str">
        <f ca="1">VLOOKUP(C39,'BD EVA 5 STC'!$D$3:$AE$113,16,0)</f>
        <v>Verde</v>
      </c>
      <c r="F39" s="75">
        <f>VLOOKUP(C39,'BD EVA 5 STC'!$D$3:$AE$113,12,0)</f>
        <v>45473</v>
      </c>
      <c r="G39" s="75" t="str">
        <f ca="1">VLOOKUP(C39,'BD EVA 5 STC'!$D$3:$AE$113,28,0)</f>
        <v>Verde</v>
      </c>
      <c r="H39" s="207" t="str">
        <f>VLOOKUP(C39,'BD EVA 5 STC'!$D$3:$AE$113,21,0)</f>
        <v>Verde</v>
      </c>
      <c r="I39" s="76">
        <f ca="1">IF(G39="Verde",1,0)</f>
        <v>1</v>
      </c>
      <c r="J39" s="75" t="s">
        <v>318</v>
      </c>
      <c r="K39" s="81">
        <v>1.62</v>
      </c>
      <c r="L39" s="209">
        <f t="shared" ca="1" si="0"/>
        <v>1.62</v>
      </c>
      <c r="M39" s="127"/>
    </row>
  </sheetData>
  <mergeCells count="7">
    <mergeCell ref="M34:M39"/>
    <mergeCell ref="M2:M4"/>
    <mergeCell ref="M5:M10"/>
    <mergeCell ref="M11:M15"/>
    <mergeCell ref="M16:M23"/>
    <mergeCell ref="M24:M28"/>
    <mergeCell ref="M29:M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100</vt:i4>
      </vt:variant>
    </vt:vector>
  </HeadingPairs>
  <TitlesOfParts>
    <vt:vector size="100" baseType="lpstr">
      <vt:lpstr>INDICE</vt:lpstr>
      <vt:lpstr>BD EVA 1 APO</vt:lpstr>
      <vt:lpstr>EVA 1 APO</vt:lpstr>
      <vt:lpstr>BD EVA 2 APO</vt:lpstr>
      <vt:lpstr>EVA 2 APO</vt:lpstr>
      <vt:lpstr>BD EVA 3 APO</vt:lpstr>
      <vt:lpstr>EVA 3 APO</vt:lpstr>
      <vt:lpstr>BD EVA 4 APO</vt:lpstr>
      <vt:lpstr>EVA 4 APO</vt:lpstr>
      <vt:lpstr>BD EVA 5 APO</vt:lpstr>
      <vt:lpstr>EVA 5 APO</vt:lpstr>
      <vt:lpstr>APO HISTORICO</vt:lpstr>
      <vt:lpstr>BD EVA 1 ESC</vt:lpstr>
      <vt:lpstr>EVA 1 ESC</vt:lpstr>
      <vt:lpstr>BD EVA 2 ESC</vt:lpstr>
      <vt:lpstr>EVA 2 ESC</vt:lpstr>
      <vt:lpstr>BD EVA 3 ESC</vt:lpstr>
      <vt:lpstr>EVA 3 ESC</vt:lpstr>
      <vt:lpstr>BD EVA 4 ESC</vt:lpstr>
      <vt:lpstr>EVA 4 ESC</vt:lpstr>
      <vt:lpstr>BD EVA 5 ESC</vt:lpstr>
      <vt:lpstr>EVA 5 ESC</vt:lpstr>
      <vt:lpstr>ESC HISTORICO</vt:lpstr>
      <vt:lpstr>BD EVA 1 GAR</vt:lpstr>
      <vt:lpstr>EVA 1 GAR</vt:lpstr>
      <vt:lpstr>BD EVA 2 GAR</vt:lpstr>
      <vt:lpstr>EVA 2 GAR</vt:lpstr>
      <vt:lpstr>BD EVA 3 GAR</vt:lpstr>
      <vt:lpstr>EVA 3 GAR</vt:lpstr>
      <vt:lpstr>BD EVA 4 GAR</vt:lpstr>
      <vt:lpstr>EVA 4 GAR</vt:lpstr>
      <vt:lpstr>BD EVA 5 GAR</vt:lpstr>
      <vt:lpstr>EVA 5 GAR</vt:lpstr>
      <vt:lpstr>GAR HISTORICO</vt:lpstr>
      <vt:lpstr>BD EVA 1 GPE</vt:lpstr>
      <vt:lpstr>EVA 1 GPE</vt:lpstr>
      <vt:lpstr>BD EVA 2 GPE</vt:lpstr>
      <vt:lpstr>EVA 2 GPE</vt:lpstr>
      <vt:lpstr>BD EVA 3 GPE</vt:lpstr>
      <vt:lpstr>EVA 3 GPE</vt:lpstr>
      <vt:lpstr>BD EVA 4 GPE</vt:lpstr>
      <vt:lpstr>EVA 4 GPE</vt:lpstr>
      <vt:lpstr>BD EVA 5 GPE</vt:lpstr>
      <vt:lpstr>EVA 5 GPE</vt:lpstr>
      <vt:lpstr>GPE HISTORICO</vt:lpstr>
      <vt:lpstr>BD EVA 1 JUA</vt:lpstr>
      <vt:lpstr>EVA 1 JUA</vt:lpstr>
      <vt:lpstr>BD EVA 2 JUA</vt:lpstr>
      <vt:lpstr>EVA 2 JUA</vt:lpstr>
      <vt:lpstr>BD EVA 3 JUA</vt:lpstr>
      <vt:lpstr>EVA 3 JUA</vt:lpstr>
      <vt:lpstr>BD EVA 4 JUA</vt:lpstr>
      <vt:lpstr>EVA 4 JUA</vt:lpstr>
      <vt:lpstr>BD EVA 5 JUA</vt:lpstr>
      <vt:lpstr>EVA 5 JUA</vt:lpstr>
      <vt:lpstr>JUA HISTORICO</vt:lpstr>
      <vt:lpstr>BD EVA 1 MTY</vt:lpstr>
      <vt:lpstr>EVA 1 MTY</vt:lpstr>
      <vt:lpstr>BD EVA 2 MTY</vt:lpstr>
      <vt:lpstr>EVA 2 MTY</vt:lpstr>
      <vt:lpstr>BD EVA 3 MTY</vt:lpstr>
      <vt:lpstr>EVA 3 MTY</vt:lpstr>
      <vt:lpstr>BD EVA 4 MTY</vt:lpstr>
      <vt:lpstr>EVA 4 MTY</vt:lpstr>
      <vt:lpstr>BD EVA 5 MTY</vt:lpstr>
      <vt:lpstr>EVA 5 MTY</vt:lpstr>
      <vt:lpstr>MTY HISTORICO</vt:lpstr>
      <vt:lpstr>BD EVA 1 SNG</vt:lpstr>
      <vt:lpstr>EVA 1 SNG</vt:lpstr>
      <vt:lpstr>BD EVA 2 SNG</vt:lpstr>
      <vt:lpstr>EVA 2 SNG</vt:lpstr>
      <vt:lpstr>BD EVA 3 SNG</vt:lpstr>
      <vt:lpstr>EVA 3 SNG</vt:lpstr>
      <vt:lpstr>BD EVA 4 SNG</vt:lpstr>
      <vt:lpstr>EVA 4 SNG</vt:lpstr>
      <vt:lpstr>BD EVA 5 SNG</vt:lpstr>
      <vt:lpstr>EVA 5 SNG</vt:lpstr>
      <vt:lpstr>SNG HISTORICO</vt:lpstr>
      <vt:lpstr>BD EVA 1 SPGG</vt:lpstr>
      <vt:lpstr>EVA 1 SPGG</vt:lpstr>
      <vt:lpstr>BD EVA 2 SPGG</vt:lpstr>
      <vt:lpstr>EVA 2 SPGG</vt:lpstr>
      <vt:lpstr>BD EVA 3 SPGG</vt:lpstr>
      <vt:lpstr>EVA 3 SPGG</vt:lpstr>
      <vt:lpstr>BD EVA 4 SPGG</vt:lpstr>
      <vt:lpstr>EVA 4 SPGG</vt:lpstr>
      <vt:lpstr>BD EVA 5 SPGG</vt:lpstr>
      <vt:lpstr>EVA 5 SPGG</vt:lpstr>
      <vt:lpstr>SPGG HISTORICO</vt:lpstr>
      <vt:lpstr>BD EVA 1 STC</vt:lpstr>
      <vt:lpstr>EVA 1 STC</vt:lpstr>
      <vt:lpstr>BD EVA 2 STC</vt:lpstr>
      <vt:lpstr>EVA 2 STC</vt:lpstr>
      <vt:lpstr>BD EVA 3 STC</vt:lpstr>
      <vt:lpstr>EVA 3 STC</vt:lpstr>
      <vt:lpstr>BD EVA 4 STC</vt:lpstr>
      <vt:lpstr>EVA 4 STC</vt:lpstr>
      <vt:lpstr>BD EVA 5 STC</vt:lpstr>
      <vt:lpstr>EVA 5 STC</vt:lpstr>
      <vt:lpstr>STC HISTORICO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Cuevas</dc:creator>
  <cp:lastModifiedBy>Natalia Cuevas</cp:lastModifiedBy>
  <dcterms:created xsi:type="dcterms:W3CDTF">2024-10-25T20:48:52Z</dcterms:created>
  <dcterms:modified xsi:type="dcterms:W3CDTF">2024-10-26T03:06:54Z</dcterms:modified>
</cp:coreProperties>
</file>